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omments2.xml" ContentType="application/vnd.openxmlformats-officedocument.spreadsheetml.comments+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theme/themeOverride3.xml" ContentType="application/vnd.openxmlformats-officedocument.themeOverride+xml"/>
  <Override PartName="/xl/charts/chart4.xml" ContentType="application/vnd.openxmlformats-officedocument.drawingml.chart+xml"/>
  <Override PartName="/xl/theme/themeOverride4.xml" ContentType="application/vnd.openxmlformats-officedocument.themeOverride+xml"/>
  <Override PartName="/xl/charts/chart5.xml" ContentType="application/vnd.openxmlformats-officedocument.drawingml.chart+xml"/>
  <Override PartName="/xl/theme/themeOverride5.xml" ContentType="application/vnd.openxmlformats-officedocument.themeOverride+xml"/>
  <Override PartName="/xl/drawings/drawing2.xml" ContentType="application/vnd.openxmlformats-officedocument.drawing+xml"/>
  <Override PartName="/xl/ctrlProps/ctrlProp8.xml" ContentType="application/vnd.ms-excel.controlproperties+xml"/>
  <Override PartName="/xl/drawings/drawing3.xml" ContentType="application/vnd.openxmlformats-officedocument.drawing+xml"/>
  <Override PartName="/xl/ctrlProps/ctrlProp9.xml" ContentType="application/vnd.ms-excel.controlproperties+xml"/>
  <Override PartName="/xl/comments3.xml" ContentType="application/vnd.openxmlformats-officedocument.spreadsheetml.comments+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threadedComments/threadedComment3.xml" ContentType="application/vnd.ms-excel.threadedcomments+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hreadedComments/threadedComment5.xml" ContentType="application/vnd.ms-excel.threadedcomments+xml"/>
  <Override PartName="/xl/comments9.xml" ContentType="application/vnd.openxmlformats-officedocument.spreadsheetml.comments+xml"/>
  <Override PartName="/xl/threadedComments/threadedComment6.xml" ContentType="application/vnd.ms-excel.threadedcomments+xml"/>
  <Override PartName="/xl/comments10.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charts/style11.xml" ContentType="application/vnd.ms-office.chartstyle+xml"/>
  <Override PartName="/xl/charts/colors11.xml" ContentType="application/vnd.ms-office.chartcolorstyle+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7.xml" ContentType="application/vnd.openxmlformats-officedocument.drawingml.chart+xml"/>
  <Override PartName="/xl/drawings/drawing12.xml" ContentType="application/vnd.openxmlformats-officedocument.drawing+xml"/>
  <Override PartName="/xl/comments13.xml" ContentType="application/vnd.openxmlformats-officedocument.spreadsheetml.comments+xml"/>
  <Override PartName="/xl/threadedComments/threadedComment8.xml" ContentType="application/vnd.ms-excel.threadedcomments+xml"/>
  <Override PartName="/xl/drawings/drawing13.xml" ContentType="application/vnd.openxmlformats-officedocument.drawing+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ml.chartshapes+xml"/>
  <Override PartName="/xl/comments14.xml" ContentType="application/vnd.openxmlformats-officedocument.spreadsheetml.comments+xml"/>
  <Override PartName="/xl/drawings/drawing15.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6.xml" ContentType="application/vnd.openxmlformats-officedocument.drawing+xml"/>
  <Override PartName="/xl/tables/table1.xml" ContentType="application/vnd.openxmlformats-officedocument.spreadsheetml.tab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DieseArbeitsmappe" defaultThemeVersion="166925"/>
  <mc:AlternateContent xmlns:mc="http://schemas.openxmlformats.org/markup-compatibility/2006">
    <mc:Choice Requires="x15">
      <x15ac:absPath xmlns:x15ac="http://schemas.microsoft.com/office/spreadsheetml/2010/11/ac" url="C:\Users\P_SIGWA\Desktop\"/>
    </mc:Choice>
  </mc:AlternateContent>
  <xr:revisionPtr revIDLastSave="0" documentId="8_{D2ED86DE-207A-495A-B442-31364E7AD6A1}" xr6:coauthVersionLast="47" xr6:coauthVersionMax="47" xr10:uidLastSave="{00000000-0000-0000-0000-000000000000}"/>
  <bookViews>
    <workbookView xWindow="2520" yWindow="180" windowWidth="25110" windowHeight="14745" tabRatio="601" firstSheet="1" activeTab="1" xr2:uid="{00000000-000D-0000-FFFF-FFFF00000000}"/>
  </bookViews>
  <sheets>
    <sheet name="__FDSCACHE__" sheetId="2" state="veryHidden" r:id="rId1"/>
    <sheet name="At a Glance" sheetId="12" r:id="rId2"/>
    <sheet name="Comps" sheetId="25" r:id="rId3"/>
    <sheet name="Estimates" sheetId="32" r:id="rId4"/>
    <sheet name="DCS Detail" sheetId="43" r:id="rId5"/>
    <sheet name="BS" sheetId="17" r:id="rId6"/>
    <sheet name="IS" sheetId="18" r:id="rId7"/>
    <sheet name="CFS" sheetId="19" r:id="rId8"/>
    <sheet name="DAL-US BS-adj" sheetId="20" r:id="rId9"/>
    <sheet name="AC-CA BS-adj" sheetId="58" r:id="rId10"/>
    <sheet name="AAL-US BS-adj" sheetId="75" r:id="rId11"/>
    <sheet name="LUV-US BS-adj" sheetId="88" r:id="rId12"/>
    <sheet name="ALK-US BS-adj" sheetId="76" r:id="rId13"/>
    <sheet name="skyw-US BS-adj" sheetId="77" r:id="rId14"/>
    <sheet name="DAL-US IS-adj" sheetId="21" r:id="rId15"/>
    <sheet name="AC-CA IS-adj" sheetId="82" r:id="rId16"/>
    <sheet name="AAL-US IS-adj" sheetId="64" r:id="rId17"/>
    <sheet name="LUV-US IS-adj" sheetId="78" r:id="rId18"/>
    <sheet name="ALK-US IS-adj" sheetId="79" r:id="rId19"/>
    <sheet name="skyw-US IS-adj" sheetId="80" r:id="rId20"/>
    <sheet name="DAL-US CFS-adj" sheetId="22" r:id="rId21"/>
    <sheet name="AC-CA CFS-adj" sheetId="81" r:id="rId22"/>
    <sheet name="AAL-US CFS-adj" sheetId="83" r:id="rId23"/>
    <sheet name="LUV-US CFS-adj" sheetId="84" r:id="rId24"/>
    <sheet name="ALK-US CFS-adj" sheetId="85" r:id="rId25"/>
    <sheet name="skyw-US CFS-adj" sheetId="86" r:id="rId26"/>
    <sheet name="Historical adj Ratios" sheetId="87" r:id="rId27"/>
    <sheet name="DAL-US R&amp;D" sheetId="14" r:id="rId28"/>
    <sheet name="AC-CA R&amp;D" sheetId="65" r:id="rId29"/>
    <sheet name="AAL-US R&amp;D" sheetId="66" r:id="rId30"/>
    <sheet name="LUV-US R&amp;D" sheetId="67" r:id="rId31"/>
    <sheet name="ALK-US R&amp;D" sheetId="68" r:id="rId32"/>
    <sheet name="skyw-US R&amp;D" sheetId="69" r:id="rId33"/>
    <sheet name="DAL-US Lease" sheetId="15" r:id="rId34"/>
    <sheet name="AC-CA Lease" sheetId="70" r:id="rId35"/>
    <sheet name="AAL-US Lease" sheetId="71" r:id="rId36"/>
    <sheet name="LUV-US Lease" sheetId="72" r:id="rId37"/>
    <sheet name="ALK-US Lease" sheetId="73" r:id="rId38"/>
    <sheet name="skyw-US Lease" sheetId="74" r:id="rId39"/>
    <sheet name="Ratios" sheetId="13" r:id="rId40"/>
    <sheet name="Relative Valuation" sheetId="94" r:id="rId41"/>
    <sheet name="Industry Ratios" sheetId="1" r:id="rId42"/>
    <sheet name="Ind Leases" sheetId="3" r:id="rId43"/>
    <sheet name="Ind R&amp;D" sheetId="5" r:id="rId44"/>
    <sheet name="Help Sheet" sheetId="6" r:id="rId45"/>
    <sheet name="Multiples" sheetId="7" r:id="rId46"/>
    <sheet name="FCF (corrected)" sheetId="27" r:id="rId47"/>
    <sheet name="FCF" sheetId="26" r:id="rId48"/>
    <sheet name="Forecasted FCF (corrected)" sheetId="91" r:id="rId49"/>
    <sheet name="Delta Beta" sheetId="23" r:id="rId50"/>
    <sheet name="Data" sheetId="24" r:id="rId51"/>
    <sheet name="Delta CRP" sheetId="28" r:id="rId52"/>
    <sheet name="ERP and Spreads" sheetId="30" r:id="rId53"/>
    <sheet name="Forecast" sheetId="34" r:id="rId54"/>
    <sheet name="Supp. Schedule" sheetId="38" r:id="rId55"/>
    <sheet name="Growth" sheetId="33" r:id="rId56"/>
    <sheet name="DDM" sheetId="93" r:id="rId57"/>
    <sheet name="DCF" sheetId="39" r:id="rId58"/>
    <sheet name="DCF Comps" sheetId="40" r:id="rId59"/>
    <sheet name="Football field" sheetId="41" r:id="rId60"/>
    <sheet name="D PE" sheetId="10" r:id="rId61"/>
    <sheet name="D EV" sheetId="8" r:id="rId62"/>
    <sheet name="D EV2" sheetId="11" r:id="rId63"/>
    <sheet name="Ind Revenues" sheetId="89" r:id="rId64"/>
    <sheet name="__APW_ACTIVE_FIELD_RESTORE__" sheetId="4" state="veryHidden" r:id="rId65"/>
  </sheets>
  <externalReferences>
    <externalReference r:id="rId66"/>
    <externalReference r:id="rId67"/>
  </externalReferences>
  <definedNames>
    <definedName name="__FDS_HYPERLINK_TOGGLE_STATE__" hidden="1">"ON"</definedName>
    <definedName name="__FDS_UNIQUE_RANGE_ID_GENERATOR_COUNTER" localSheetId="1" hidden="1">1782</definedName>
    <definedName name="__FDS_UNIQUE_RANGE_ID_GENERATOR_COUNTER" localSheetId="2" hidden="1">1782</definedName>
    <definedName name="__FDS_UNIQUE_RANGE_ID_GENERATOR_COUNTER" localSheetId="3" hidden="1">2298</definedName>
    <definedName name="__FDS_UNIQUE_RANGE_ID_GENERATOR_COUNTER" localSheetId="55" hidden="1">2298</definedName>
    <definedName name="__FDS_UNIQUE_RANGE_ID_GENERATOR_COUNTER" hidden="1">46</definedName>
    <definedName name="_1__FDSAUDITLINK__" localSheetId="58" hidden="1">{"fdsup:app=SCRIPT&amp;creator=factset&amp;CMD=INSTRUCTION&amp;WINDOW=NEW&amp;TARGET_APP=EDGAR\Search by Symbol&amp;INSTRUCTION_NAME=VIEW_DOCUMENT&amp;display_string=View Table&amp;IDENTIFIER=IBM&amp;START_DATE=20090224&amp;END_DATE=20090224&amp;FILING=10-K&amp;TITLE=Income Statement"}</definedName>
    <definedName name="_1__FDSAUDITLINK__" localSheetId="59" hidden="1">{"fdsup:app=SCRIPT&amp;creator=factset&amp;CMD=INSTRUCTION&amp;WINDOW=NEW&amp;TARGET_APP=EDGAR\Search by Symbol&amp;INSTRUCTION_NAME=VIEW_DOCUMENT&amp;display_string=View Table&amp;IDENTIFIER=IBM&amp;START_DATE=20090224&amp;END_DATE=20090224&amp;FILING=10-K&amp;TITLE=Income Statement"}</definedName>
    <definedName name="_1__FDSAUDITLINK__" hidden="1">{"fdsup://directions/FAT Viewer?action=UPDATE&amp;creator=factSet&amp;DYN_ARGS=true&amp;DOC_NAME=FAT:RGA_ENTRPR_VAL_EV_SOURCE_WINDOW.FAT&amp;VAR:ID1=DHR-US&amp;VAR:SDATE=20091211&amp;VAR:FDATE=20081231&amp;VAR:FREQ=DAILY&amp;VAR:RELITEM=RP&amp;VAR:CURRENCY=&amp;VAR:DB_TYPE=&amp;VAR:UNITS=M&amp;window=pop","up&amp;width=535&amp;height=425&amp;START_MAXIMIZED=FALSE&amp;Y=120"}</definedName>
    <definedName name="_10__FDSAUDITLINK__" hidden="1">{"fdsup://IBCentral/FAT Viewer?action=UPDATE&amp;creator=factset&amp;DOC_NAME=fat:reuters_annual_source_window.fat&amp;display_string=Audit&amp;DYN_ARGS=TRUE&amp;VAR:ID1=01852230&amp;VAR:RCODE=FEBITDA&amp;VAR:SDATE=20081299&amp;VAR:FREQ=Y&amp;VAR:RELITEM=RP&amp;VAR:CURRENCY=&amp;VAR:CURRSOURCE=EXSHAR","E&amp;VAR:NATFREQ=ANNUAL&amp;VAR:RFIELD=FINALIZED&amp;VAR:DB_TYPE=&amp;VAR:UNITS=M&amp;window=popup&amp;width=450&amp;height=300&amp;START_MAXIMIZED=FALSE"}</definedName>
    <definedName name="_1000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23"}</definedName>
    <definedName name="_1006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13"}</definedName>
    <definedName name="_1008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4"}</definedName>
    <definedName name="_1017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3"}</definedName>
    <definedName name="_1018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4"}</definedName>
    <definedName name="_1019__FDSAUDITLINK__" hidden="1">{"fdsup://Directions/FactSet Auditing Viewer?action=AUDIT_VALUE&amp;DB=129&amp;ID1=088470&amp;VALUEID=03501&amp;SDATE=2007&amp;PERIODTYPE=ANN_STD&amp;window=popup_no_bar&amp;width=385&amp;height=120&amp;START_MAXIMIZED=FALSE&amp;creator=factset&amp;display_string=Audit"}</definedName>
    <definedName name="_1020__FDSAUDITLINK__" hidden="1">{"fdsup://Directions/FactSet Auditing Viewer?action=AUDIT_VALUE&amp;DB=129&amp;ID1=066168&amp;VALUEID=01081&amp;SDATE=2007&amp;PERIODTYPE=ANN_STD&amp;window=popup_no_bar&amp;width=385&amp;height=120&amp;START_MAXIMIZED=FALSE&amp;creator=factset&amp;display_string=Audit"}</definedName>
    <definedName name="_1021__FDSAUDITLINK__" hidden="1">{"fdsup://directions/FAT Viewer?action=UPDATE&amp;creator=factset&amp;DYN_ARGS=TRUE&amp;DOC_NAME=FAT:FQL_AUDITING_CLIENT_TEMPLATE.FAT&amp;display_string=Audit&amp;VAR:KEY=NUJONWZSTS&amp;VAR:QUERY=RkVfVkFMVUFUSU9OKCdQRScsJ01FQU4nLCdBTk5VQUwnLCcrMScsMCwsLCcsQ1VSUkVOQ1k9RVVSLCcp&amp;WIND","OW=FIRST_POPUP&amp;HEIGHT=450&amp;WIDTH=450&amp;START_MAXIMIZED=FALSE&amp;VAR:CALENDAR=US&amp;VAR:SYMBOL=088470&amp;VAR:INDEX=0"}</definedName>
    <definedName name="_1022__FDSAUDITLINK__" hidden="1">{"fdsup://Directions/FactSet Auditing Viewer?action=AUDIT_VALUE&amp;DB=129&amp;ID1=066168&amp;VALUEID=01002&amp;SDATE=2009&amp;PERIODTYPE=ANN_STD&amp;window=popup_no_bar&amp;width=385&amp;height=120&amp;START_MAXIMIZED=FALSE&amp;creator=factset&amp;display_string=Audit"}</definedName>
    <definedName name="_1023__FDSAUDITLINK__" hidden="1">{"fdsup://Directions/FactSet Auditing Viewer?action=AUDIT_VALUE&amp;DB=129&amp;ID1=066168&amp;VALUEID=01002&amp;SDATE=2008&amp;PERIODTYPE=ANN_STD&amp;window=popup_no_bar&amp;width=385&amp;height=120&amp;START_MAXIMIZED=FALSE&amp;creator=factset&amp;display_string=Audit"}</definedName>
    <definedName name="_1024__FDSAUDITLINK__" hidden="1">{"fdsup://Directions/FactSet Auditing Viewer?action=AUDIT_VALUE&amp;DB=129&amp;ID1=066168&amp;VALUEID=01002&amp;SDATE=2007&amp;PERIODTYPE=ANN_STD&amp;window=popup_no_bar&amp;width=385&amp;height=120&amp;START_MAXIMIZED=FALSE&amp;creator=factset&amp;display_string=Audit"}</definedName>
    <definedName name="_1025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1"}</definedName>
    <definedName name="_1026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4"}</definedName>
    <definedName name="_1027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4"}</definedName>
    <definedName name="_1028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1029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030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103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6"}</definedName>
    <definedName name="_1038__FDSAUDITLINK__" hidden="1">{"fdsup://directions/FAT Viewer?action=UPDATE&amp;creator=factset&amp;DYN_ARGS=TRUE&amp;DOC_NAME=FAT:FQL_AUDITING_CLIENT_TEMPLATE.FAT&amp;display_string=Audit&amp;VAR:KEY=VYRIZGBIFG&amp;VAR:QUERY=RkZfSU5UX0lOQ19ORVQoQU5OLC01WSwwWSxZLCxFVVIp&amp;WINDOW=FIRST_POPUP&amp;HEIGHT=450&amp;WIDTH=450&amp;","START_MAXIMIZED=FALSE&amp;VAR:CALENDAR=FIVEDAY&amp;VAR:SYMBOL=088470&amp;VAR:INDEX=2"}</definedName>
    <definedName name="_1039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5"}</definedName>
    <definedName name="_1042__FDSAUDITLINK__" hidden="1">{"fdsup://directions/FAT Viewer?action=UPDATE&amp;creator=factset&amp;DYN_ARGS=TRUE&amp;DOC_NAME=FAT:FQL_AUDITING_CLIENT_TEMPLATE.FAT&amp;display_string=Audit&amp;VAR:KEY=BWHMPAXUVM&amp;VAR:QUERY=RkVfVkFMVUFUSU9OKCdNQ0FQX1NBTEVTJywnTUVBTicsJ0FOTlVBTCcsJysyJywwLCwsJ0NVUlJFTkNZPUVVU","icp&amp;WINDOW=FIRST_POPUP&amp;HEIGHT=450&amp;WIDTH=450&amp;START_MAXIMIZED=FALSE&amp;VAR:CALENDAR=FIVEDAY&amp;VAR:SYMBOL=088470&amp;VAR:INDEX=0"}</definedName>
    <definedName name="_104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35"}</definedName>
    <definedName name="_1044__FDSAUDITLINK__" hidden="1">{"fdsup://directions/FAT Viewer?action=UPDATE&amp;creator=factset&amp;DYN_ARGS=TRUE&amp;DOC_NAME=FAT:FQL_AUDITING_CLIENT_TEMPLATE.FAT&amp;display_string=Audit&amp;VAR:KEY=LSZMJSDIJY&amp;VAR:QUERY=RkZfT1BFUl9FWFAoQU5OLC01WSwwWSxZLCxFVVIpKygtMSpGRl9ERVBfQU1PUlRfRVhQKEFOTiwtNVksMFksW","SwsRVVSKSk=&amp;WINDOW=FIRST_POPUP&amp;HEIGHT=450&amp;WIDTH=450&amp;START_MAXIMIZED=FALSE&amp;VAR:CALENDAR=FIVEDAY&amp;VAR:SYMBOL=088470&amp;VAR:INDEX=4"}</definedName>
    <definedName name="_1045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1"}</definedName>
    <definedName name="_1046__FDSAUDITLINK__" hidden="1">{"fdsup://Directions/FactSet Auditing Viewer?action=AUDIT_VALUE&amp;DB=129&amp;ID1=088470&amp;VALUEID=02001&amp;SDATE=2009&amp;PERIODTYPE=ANN_STD&amp;window=popup_no_bar&amp;width=385&amp;height=120&amp;START_MAXIMIZED=FALSE&amp;creator=factset&amp;display_string=Audit"}</definedName>
    <definedName name="_1047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052__FDSAUDITLINK__" hidden="1">{"fdsup://Directions/FactSet Auditing Viewer?action=AUDIT_VALUE&amp;DB=129&amp;ID1=088470&amp;VALUEID=04001&amp;SDATE=2009&amp;PERIODTYPE=ANN_STD&amp;window=popup_no_bar&amp;width=385&amp;height=120&amp;START_MAXIMIZED=FALSE&amp;creator=factset&amp;display_string=Audit"}</definedName>
    <definedName name="_105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47"}</definedName>
    <definedName name="_106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definedName>
    <definedName name="_1066__FDSAUDITLINK__" hidden="1">{"fdsup://Directions/FactSet Auditing Viewer?action=AUDIT_VALUE&amp;DB=129&amp;ID1=088470&amp;VALUEID=04851&amp;SDATE=2007&amp;PERIODTYPE=ANN_STD&amp;window=popup_no_bar&amp;width=385&amp;height=120&amp;START_MAXIMIZED=FALSE&amp;creator=factset&amp;display_string=Audit"}</definedName>
    <definedName name="_1068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3"}</definedName>
    <definedName name="_107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3"}</definedName>
    <definedName name="_1076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1"}</definedName>
    <definedName name="_107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31"}</definedName>
    <definedName name="_1078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1079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5"}</definedName>
    <definedName name="_108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2"}</definedName>
    <definedName name="_1083__FDSAUDITLINK__" hidden="1">{"fdsup://Directions/FactSet Auditing Viewer?action=AUDIT_VALUE&amp;DB=129&amp;ID1=088470&amp;VALUEID=03051&amp;SDATE=2009&amp;PERIODTYPE=ANN_STD&amp;window=popup_no_bar&amp;width=385&amp;height=120&amp;START_MAXIMIZED=FALSE&amp;creator=factset&amp;display_string=Audit"}</definedName>
    <definedName name="_1084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085__FDSAUDITLINK__" hidden="1">{"fdsup://directions/FAT Viewer?action=UPDATE&amp;creator=factset&amp;DYN_ARGS=TRUE&amp;DOC_NAME=FAT:FQL_AUDITING_CLIENT_TEMPLATE.FAT&amp;display_string=Audit&amp;VAR:KEY=JAHUVMFKZQ&amp;VAR:QUERY=RkVfVkFMVUFUSU9OKCdFVl9FQklUREEnLCdNRUFOJywnTlRNQScsJycsMCwsLCdDVVJSRU5DWT1FVVInKQ==&amp;","WINDOW=FIRST_POPUP&amp;HEIGHT=450&amp;WIDTH=450&amp;START_MAXIMIZED=FALSE&amp;VAR:CALENDAR=FIVEDAY&amp;VAR:SYMBOL=088470&amp;VAR:INDEX=0"}</definedName>
    <definedName name="_1089__FDSAUDITLINK__" hidden="1">{"fdsup://Directions/FactSet Auditing Viewer?action=AUDIT_VALUE&amp;DB=129&amp;ID1=088470&amp;VALUEID=04851&amp;SDATE=2008&amp;PERIODTYPE=ANN_STD&amp;window=popup_no_bar&amp;width=385&amp;height=120&amp;START_MAXIMIZED=FALSE&amp;creator=factset&amp;display_string=Audit"}</definedName>
    <definedName name="_1092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definedName>
    <definedName name="_1096__FDSAUDITLINK__" hidden="1">{"fdsup://Directions/FactSet Auditing Viewer?action=AUDIT_VALUE&amp;DB=129&amp;ID1=088470&amp;VALUEID=04151&amp;SDATE=2007&amp;PERIODTYPE=ANN_STD&amp;window=popup_no_bar&amp;width=385&amp;height=120&amp;START_MAXIMIZED=FALSE&amp;creator=factset&amp;display_string=Audit"}</definedName>
    <definedName name="_1098__FDSAUDITLINK__" hidden="1">{"fdsup://directions/FAT Viewer?action=UPDATE&amp;creator=factset&amp;DYN_ARGS=TRUE&amp;DOC_NAME=FAT:FQL_AUDITING_CLIENT_TEMPLATE.FAT&amp;display_string=Audit&amp;VAR:KEY=JIXQJOXEHA&amp;VAR:QUERY=RkZfRUJJVF9PUEVSKEFOTiwtNVksMFksWSwsRVVSKQ==&amp;WINDOW=FIRST_POPUP&amp;HEIGHT=450&amp;WIDTH=450&amp;","START_MAXIMIZED=FALSE&amp;VAR:CALENDAR=FIVEDAY&amp;VAR:SYMBOL=088470&amp;VAR:INDEX=2"}</definedName>
    <definedName name="_1099__FDSAUDITLINK__" hidden="1">{"fdsup://directions/FAT Viewer?action=UPDATE&amp;creator=factset&amp;DYN_ARGS=TRUE&amp;DOC_NAME=FAT:FQL_AUDITING_CLIENT_TEMPLATE.FAT&amp;display_string=Audit&amp;VAR:KEY=TSDORQPIXI&amp;VAR:QUERY=KEZGX0VOVFJQUl9WQUxfREFJTFkoMCwsLCxFVVIsJ0RJTCcpLy9GRV9FU1RJTUFURSgnRUJJVERBJywnTUVBT","icsJ0NBTEEnLCcyMDExJywwLCwsJyxDVVJSRU5DWT1FVVIsJykp&amp;WINDOW=FIRST_POPUP&amp;HEIGHT=450&amp;WIDTH=450&amp;START_MAXIMIZED=FALSE&amp;VAR:CALENDAR=US&amp;VAR:SYMBOL=088470&amp;VAR:INDEX=0"}</definedName>
    <definedName name="_11__FDSAUDITLINK__" hidden="1">{"fdsup://IBCentral/FAT Viewer?action=UPDATE&amp;creator=factset&amp;DOC_NAME=fat:reuters_annual_source_window.fat&amp;display_string=Audit&amp;DYN_ARGS=TRUE&amp;VAR:ID1=45091110&amp;VAR:RCODE=FEBITDA&amp;VAR:SDATE=20081299&amp;VAR:FREQ=Y&amp;VAR:RELITEM=RP&amp;VAR:CURRENCY=&amp;VAR:CURRSOURCE=EXSHAR","E&amp;VAR:NATFREQ=ANNUAL&amp;VAR:RFIELD=FINALIZED&amp;VAR:DB_TYPE=&amp;VAR:UNITS=M&amp;window=popup&amp;width=450&amp;height=300&amp;START_MAXIMIZED=FALSE"}</definedName>
    <definedName name="_1100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0"}</definedName>
    <definedName name="_1102__FDSAUDITLINK__" hidden="1">{"fdsup://Directions/FactSet Auditing Viewer?action=AUDIT_VALUE&amp;DB=129&amp;ID1=088470&amp;VALUEID=03501&amp;SDATE=2007&amp;PERIODTYPE=ANN_STD&amp;window=popup_no_bar&amp;width=385&amp;height=120&amp;START_MAXIMIZED=FALSE&amp;creator=factset&amp;display_string=Audit"}</definedName>
    <definedName name="_1103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105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106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107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1"}</definedName>
    <definedName name="_1109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22"}</definedName>
    <definedName name="_1110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5"}</definedName>
    <definedName name="_1111__FDSAUDITLINK__" hidden="1">{"fdsup://Directions/FactSet Auditing Viewer?action=AUDIT_VALUE&amp;DB=129&amp;ID1=088470&amp;VALUEID=04840&amp;SDATE=2007&amp;PERIODTYPE=ANN_STD&amp;window=popup_no_bar&amp;width=385&amp;height=120&amp;START_MAXIMIZED=FALSE&amp;creator=factset&amp;display_string=Audit"}</definedName>
    <definedName name="_1114__FDSAUDITLINK__" hidden="1">{"fdsup://Directions/FactSet Auditing Viewer?action=AUDIT_VALUE&amp;DB=129&amp;ID1=088470&amp;VALUEID=04840&amp;SDATE=2008&amp;PERIODTYPE=ANN_STD&amp;window=popup_no_bar&amp;width=385&amp;height=120&amp;START_MAXIMIZED=FALSE&amp;creator=factset&amp;display_string=Audit"}</definedName>
    <definedName name="_1115__FDSAUDITLINK__" hidden="1">{"fdsup://Directions/FactSet Auditing Viewer?action=AUDIT_VALUE&amp;DB=129&amp;ID1=088470&amp;VALUEID=04840&amp;SDATE=2008&amp;PERIODTYPE=ANN_STD&amp;window=popup_no_bar&amp;width=385&amp;height=120&amp;START_MAXIMIZED=FALSE&amp;creator=factset&amp;display_string=Audit"}</definedName>
    <definedName name="_1116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0"}</definedName>
    <definedName name="_1118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4"}</definedName>
    <definedName name="_1122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2"}</definedName>
    <definedName name="_1123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124__FDSAUDITLINK__" hidden="1">{"fdsup://directions/FAT Viewer?action=UPDATE&amp;creator=factset&amp;DYN_ARGS=TRUE&amp;DOC_NAME=FAT:FQL_AUDITING_CLIENT_TEMPLATE.FAT&amp;display_string=Audit&amp;VAR:KEY=JIXQJOXEHA&amp;VAR:QUERY=RkZfRUJJVF9PUEVSKEFOTiwtNVksMFksWSwsRVVSKQ==&amp;WINDOW=FIRST_POPUP&amp;HEIGHT=450&amp;WIDTH=450&amp;","START_MAXIMIZED=FALSE&amp;VAR:CALENDAR=FIVEDAY&amp;VAR:SYMBOL=088470&amp;VAR:INDEX=3"}</definedName>
    <definedName name="_1125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5"}</definedName>
    <definedName name="_1126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5"}</definedName>
    <definedName name="_1127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3"}</definedName>
    <definedName name="_1128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129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1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9"}</definedName>
    <definedName name="_1130__FDSAUDITLINK__" hidden="1">{"fdsup://directions/FAT Viewer?action=UPDATE&amp;creator=factset&amp;DYN_ARGS=TRUE&amp;DOC_NAME=FAT:FQL_AUDITING_CLIENT_TEMPLATE.FAT&amp;display_string=Audit&amp;VAR:KEY=BGBCVQHWTS&amp;VAR:QUERY=NC44NzMxMjgvKEZGX1NBTEVTKEFOTiwwLCwsLEVVUikvUF9DT01fU0hTX09VVCgwKSk=&amp;WINDOW=FIRST_POP","UP&amp;HEIGHT=450&amp;WIDTH=450&amp;START_MAXIMIZED=FALSE&amp;VAR:CALENDAR=FIVEDAY&amp;VAR:SYMBOL=088470&amp;VAR:INDEX=0"}</definedName>
    <definedName name="_1131__FDSAUDITLINK__" hidden="1">{"fdsup://Directions/FactSet Auditing Viewer?action=AUDIT_VALUE&amp;DB=129&amp;ID1=066168&amp;VALUEID=01270&amp;SDATE=2007&amp;PERIODTYPE=ANN_STD&amp;window=popup_no_bar&amp;width=385&amp;height=120&amp;START_MAXIMIZED=FALSE&amp;creator=factset&amp;display_string=Audit"}</definedName>
    <definedName name="_1132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1"}</definedName>
    <definedName name="_1135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0"}</definedName>
    <definedName name="_1136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4"}</definedName>
    <definedName name="_1137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2"}</definedName>
    <definedName name="_1138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3"}</definedName>
    <definedName name="_1139__FDSAUDITLINK__" hidden="1">{"fdsup://Directions/FactSet Auditing Viewer?action=AUDIT_VALUE&amp;DB=129&amp;ID1=066168&amp;VALUEID=02647&amp;SDATE=2007&amp;PERIODTYPE=ANN_STD&amp;window=popup_no_bar&amp;width=385&amp;height=120&amp;START_MAXIMIZED=FALSE&amp;creator=factset&amp;display_string=Audit"}</definedName>
    <definedName name="_1140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1"}</definedName>
    <definedName name="_1141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5"}</definedName>
    <definedName name="_1142__FDSAUDITLINK__" hidden="1">{"fdsup://Directions/FactSet Auditing Viewer?action=AUDIT_VALUE&amp;DB=129&amp;ID1=088470&amp;VALUEID=04870&amp;SDATE=2008&amp;PERIODTYPE=ANN_STD&amp;window=popup_no_bar&amp;width=385&amp;height=120&amp;START_MAXIMIZED=FALSE&amp;creator=factset&amp;display_string=Audit"}</definedName>
    <definedName name="_114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51"}</definedName>
    <definedName name="_1144__FDSAUDITLINK__" hidden="1">{"fdsup://directions/FAT Viewer?action=UPDATE&amp;creator=factset&amp;DYN_ARGS=TRUE&amp;DOC_NAME=FAT:FQL_AUDITING_CLIENT_TEMPLATE.FAT&amp;display_string=Audit&amp;VAR:KEY=VYRIZGBIFG&amp;VAR:QUERY=RkZfSU5UX0lOQ19ORVQoQU5OLC01WSwwWSxZLCxFVVIp&amp;WINDOW=FIRST_POPUP&amp;HEIGHT=450&amp;WIDTH=450&amp;","START_MAXIMIZED=FALSE&amp;VAR:CALENDAR=FIVEDAY&amp;VAR:SYMBOL=088470&amp;VAR:INDEX=3"}</definedName>
    <definedName name="_1145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5"}</definedName>
    <definedName name="_1146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2"}</definedName>
    <definedName name="_1147__FDSAUDITLINK__" hidden="1">{"fdsup://directions/FAT Viewer?action=UPDATE&amp;creator=factset&amp;DYN_ARGS=TRUE&amp;DOC_NAME=FAT:FQL_AUDITING_CLIENT_TEMPLATE.FAT&amp;display_string=Audit&amp;VAR:KEY=XYJQPCHWBY&amp;VAR:QUERY=RkZfTk9OX0lOVF9FWFAoQU5OLC01WSwwWSxZLCxFVVIp&amp;WINDOW=FIRST_POPUP&amp;HEIGHT=450&amp;WIDTH=450&amp;","START_MAXIMIZED=FALSE&amp;VAR:CALENDAR=FIVEDAY&amp;VAR:SYMBOL=088470&amp;VAR:INDEX=4"}</definedName>
    <definedName name="_1148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39"}</definedName>
    <definedName name="_1149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5"}</definedName>
    <definedName name="_1154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155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156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16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0"}</definedName>
    <definedName name="_1162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1163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18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19__FDSAUDITLINK__" hidden="1">{"fdsup://Directions/FactSet Auditing Viewer?action=AUDIT_VALUE&amp;DB=129&amp;ID1=088470&amp;VALUEID=01250&amp;SDATE=2009&amp;PERIODTYPE=ANN_STD&amp;window=popup_no_bar&amp;width=385&amp;height=120&amp;START_MAXIMIZED=FALSE&amp;creator=factset&amp;display_string=Audit"}</definedName>
    <definedName name="_12__FDSAUDITLINK__" hidden="1">{"fdsup://IBCentral/FAT Viewer?action=UPDATE&amp;creator=factset&amp;DOC_NAME=fat:reuters_annual_source_window.fat&amp;display_string=Audit&amp;DYN_ARGS=TRUE&amp;VAR:ID1=45091110&amp;VAR:RCODE=FEBITDA&amp;VAR:SDATE=20081299&amp;VAR:FREQ=Y&amp;VAR:RELITEM=RP&amp;VAR:CURRENCY=&amp;VAR:CURRSOURCE=EXSHAR","E&amp;VAR:NATFREQ=ANNUAL&amp;VAR:RFIELD=FINALIZED&amp;VAR:DB_TYPE=&amp;VAR:UNITS=M&amp;window=popup&amp;width=450&amp;height=300&amp;START_MAXIMIZED=FALSE"}</definedName>
    <definedName name="_1206__FDSAUDITLINK__" hidden="1">{"fdsup://Directions/FactSet Auditing Viewer?action=AUDIT_VALUE&amp;DB=129&amp;ID1=088470&amp;VALUEID=04601&amp;SDATE=2008&amp;PERIODTYPE=ANN_STD&amp;window=popup_no_bar&amp;width=385&amp;height=120&amp;START_MAXIMIZED=FALSE&amp;creator=factset&amp;display_string=Audit"}</definedName>
    <definedName name="_1207__FDSAUDITLINK__" hidden="1">{"fdsup://directions/FAT Viewer?action=UPDATE&amp;creator=factset&amp;DYN_ARGS=TRUE&amp;DOC_NAME=FAT:FQL_AUDITING_CLIENT_TEMPLATE.FAT&amp;display_string=Audit&amp;VAR:KEY=LSZMJSDIJY&amp;VAR:QUERY=RkZfT1BFUl9FWFAoQU5OLC01WSwwWSxZLCxFVVIpKygtMSpGRl9ERVBfQU1PUlRfRVhQKEFOTiwtNVksMFksW","SwsRVVSKSk=&amp;WINDOW=FIRST_POPUP&amp;HEIGHT=450&amp;WIDTH=450&amp;START_MAXIMIZED=FALSE&amp;VAR:CALENDAR=FIVEDAY&amp;VAR:SYMBOL=088470&amp;VAR:INDEX=3"}</definedName>
    <definedName name="_1208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0"}</definedName>
    <definedName name="_1209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24"}</definedName>
    <definedName name="_121__FDSAUDITLINK__" hidden="1">{"fdsup://Directions/FactSet Auditing Viewer?action=AUDIT_VALUE&amp;DB=129&amp;ID1=088470&amp;VALUEID=03351&amp;SDATE=2009&amp;PERIODTYPE=ANN_STD&amp;window=popup_no_bar&amp;width=385&amp;height=120&amp;START_MAXIMIZED=FALSE&amp;creator=factset&amp;display_string=Audit"}</definedName>
    <definedName name="_1210__FDSAUDITLINK__" hidden="1">{"fdsup://directions/FAT Viewer?action=UPDATE&amp;creator=factset&amp;DYN_ARGS=TRUE&amp;DOC_NAME=FAT:FQL_AUDITING_CLIENT_TEMPLATE.FAT&amp;display_string=Audit&amp;VAR:KEY=ZEXCLUFKPQ&amp;VAR:QUERY=RkVfVkFMVUFUSU9OKCdFVl9FQklUJywnTUVBTicsJ0FOTlVBTCcsJysyJywwLCwsJ0NVUlJFTkNZPUVVUicp&amp;","WINDOW=FIRST_POPUP&amp;HEIGHT=450&amp;WIDTH=450&amp;START_MAXIMIZED=FALSE&amp;VAR:CALENDAR=FIVEDAY&amp;VAR:SYMBOL=088470&amp;VAR:INDEX=0"}</definedName>
    <definedName name="_1217__FDSAUDITLINK__" hidden="1">{"fdsup://Directions/FactSet Auditing Viewer?action=AUDIT_VALUE&amp;DB=129&amp;ID1=088470&amp;VALUEID=04551&amp;SDATE=2009&amp;PERIODTYPE=ANN_STD&amp;window=popup_no_bar&amp;width=385&amp;height=120&amp;START_MAXIMIZED=FALSE&amp;creator=factset&amp;display_string=Audit"}</definedName>
    <definedName name="_1218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33"}</definedName>
    <definedName name="_1219__FDSAUDITLINK__" hidden="1">{"fdsup://directions/FAT Viewer?action=UPDATE&amp;creator=factset&amp;DYN_ARGS=TRUE&amp;DOC_NAME=FAT:FQL_AUDITING_CLIENT_TEMPLATE.FAT&amp;display_string=Audit&amp;VAR:KEY=TUNIZEZATA&amp;VAR:QUERY=RkZfRUJJVERBX09QRVIoQU5OLC01WSwwWSxZLCxFVVIp&amp;WINDOW=FIRST_POPUP&amp;HEIGHT=450&amp;WIDTH=450&amp;","START_MAXIMIZED=FALSE&amp;VAR:CALENDAR=FIVEDAY&amp;VAR:SYMBOL=088470&amp;VAR:INDEX=5"}</definedName>
    <definedName name="_1221__FDSAUDITLINK__" hidden="1">{"fdsup://Directions/FactSet Auditing Viewer?action=AUDIT_VALUE&amp;DB=129&amp;ID1=088470&amp;VALUEID=04890&amp;SDATE=2008&amp;PERIODTYPE=ANN_STD&amp;window=popup_no_bar&amp;width=385&amp;height=120&amp;START_MAXIMIZED=FALSE&amp;creator=factset&amp;display_string=Audit"}</definedName>
    <definedName name="_1235__FDSAUDITLINK__" hidden="1">{"fdsup://directions/FAT Viewer?action=UPDATE&amp;creator=factset&amp;DYN_ARGS=TRUE&amp;DOC_NAME=FAT:FQL_AUDITING_CLIENT_TEMPLATE.FAT&amp;display_string=Audit&amp;VAR:KEY=NKPIVGLUFY&amp;VAR:QUERY=RkZfQ09HUyhBTk4sLTVZLDBZLFksLEVVUik=&amp;WINDOW=FIRST_POPUP&amp;HEIGHT=450&amp;WIDTH=450&amp;START_MA","XIMIZED=FALSE&amp;VAR:CALENDAR=FIVEDAY&amp;VAR:SYMBOL=088470&amp;VAR:INDEX=5"}</definedName>
    <definedName name="_124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5"}</definedName>
    <definedName name="_128__FDSAUDITLINK__" hidden="1">{"fdsup://Directions/FactSet Auditing Viewer?action=AUDIT_VALUE&amp;DB=129&amp;ID1=054052&amp;VALUEID=04601&amp;SDATE=2006&amp;PERIODTYPE=ANN_STD&amp;window=popup_no_bar&amp;width=385&amp;height=120&amp;START_MAXIMIZED=FALSE&amp;creator=factset&amp;display_string=Audit"}</definedName>
    <definedName name="_1289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290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4"}</definedName>
    <definedName name="_1299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5"}</definedName>
    <definedName name="_13__FDSAUDITLINK__" hidden="1">{"fdsup://IBCentral/FAT Viewer?action=UPDATE&amp;creator=factset&amp;DOC_NAME=fat:reuters_annual_source_window.fat&amp;display_string=Audit&amp;DYN_ARGS=TRUE&amp;VAR:ID1=01852230&amp;VAR:RCODE=STLD&amp;VAR:SDATE=20081299&amp;VAR:FREQ=Y&amp;VAR:RELITEM=RP&amp;VAR:CURRENCY=&amp;VAR:CURRSOURCE=EXSHARE&amp;V","AR:NATFREQ=ANNUAL&amp;VAR:RFIELD=FINALIZED&amp;VAR:DB_TYPE=&amp;VAR:UNITS=M&amp;window=popup&amp;width=450&amp;height=300&amp;START_MAXIMIZED=FALSE"}</definedName>
    <definedName name="_1300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4"}</definedName>
    <definedName name="_1301__FDSAUDITLINK__" hidden="1">{"fdsup://directions/FAT Viewer?action=UPDATE&amp;creator=factset&amp;DYN_ARGS=TRUE&amp;DOC_NAME=FAT:FQL_AUDITING_CLIENT_TEMPLATE.FAT&amp;display_string=Audit&amp;VAR:KEY=ROJKNQREHU&amp;VAR:QUERY=RkVfVkFMVUFUSU9OKCdFVl9FQklUJywnTUVBTicsJ05UTUEnLCcnLDAsLCwnQ1VSUkVOQ1k9RVVSJyk=&amp;WIND","OW=FIRST_POPUP&amp;HEIGHT=450&amp;WIDTH=450&amp;START_MAXIMIZED=FALSE&amp;VAR:CALENDAR=FIVEDAY&amp;VAR:SYMBOL=088470&amp;VAR:INDEX=0"}</definedName>
    <definedName name="_1302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40"}</definedName>
    <definedName name="_1304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1"}</definedName>
    <definedName name="_1305__FDSAUDITLINK__" hidden="1">{"fdsup://Directions/FactSet Auditing Viewer?action=AUDIT_VALUE&amp;DB=129&amp;ID1=088470&amp;VALUEID=01451&amp;SDATE=2009&amp;PERIODTYPE=ANN_STD&amp;window=popup_no_bar&amp;width=385&amp;height=120&amp;START_MAXIMIZED=FALSE&amp;creator=factset&amp;display_string=Audit"}</definedName>
    <definedName name="_1306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37"}</definedName>
    <definedName name="_132__FDSAUDITLINK__" hidden="1">{"fdsup://Directions/FactSet Auditing Viewer?action=AUDIT_VALUE&amp;DB=129&amp;ID1=054052&amp;VALUEID=01075&amp;SDATE=2006&amp;PERIODTYPE=ANN_STD&amp;window=popup_no_bar&amp;width=385&amp;height=120&amp;START_MAXIMIZED=FALSE&amp;creator=factset&amp;display_string=Audit"}</definedName>
    <definedName name="_1325__FDSAUDITLINK__" hidden="1">{"fdsup://Directions/FactSet Auditing Viewer?action=AUDIT_VALUE&amp;DB=129&amp;ID1=088470&amp;VALUEID=01151&amp;SDATE=2007&amp;PERIODTYPE=ANN_STD&amp;window=popup_no_bar&amp;width=385&amp;height=120&amp;START_MAXIMIZED=FALSE&amp;creator=factset&amp;display_string=Audit"}</definedName>
    <definedName name="_1326__FDSAUDITLINK__" hidden="1">{"fdsup://Directions/FactSet Auditing Viewer?action=AUDIT_VALUE&amp;DB=129&amp;ID1=088470&amp;VALUEID=02101&amp;SDATE=2009&amp;PERIODTYPE=ANN_STD&amp;window=popup_no_bar&amp;width=385&amp;height=120&amp;START_MAXIMIZED=FALSE&amp;creator=factset&amp;display_string=Audit"}</definedName>
    <definedName name="_1327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3"}</definedName>
    <definedName name="_1331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17"}</definedName>
    <definedName name="_1332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5"}</definedName>
    <definedName name="_1334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0"}</definedName>
    <definedName name="_1340__FDSAUDITLINK__" hidden="1">{"fdsup://Directions/FactSet Auditing Viewer?action=AUDIT_VALUE&amp;DB=129&amp;ID1=088470&amp;VALUEID=02999&amp;SDATE=2009&amp;PERIODTYPE=ANN_STD&amp;window=popup_no_bar&amp;width=385&amp;height=120&amp;START_MAXIMIZED=FALSE&amp;creator=factset&amp;display_string=Audit"}</definedName>
    <definedName name="_1341__FDSAUDITLINK__" hidden="1">{"fdsup://directions/FAT Viewer?action=UPDATE&amp;creator=factset&amp;DYN_ARGS=TRUE&amp;DOC_NAME=FAT:FQL_AUDITING_CLIENT_TEMPLATE.FAT&amp;display_string=Audit&amp;VAR:KEY=POVAROXODE&amp;VAR:QUERY=RkZfTE9BTl9ORVQoQU5OLC01WSwwWSxZLCxFVVIp&amp;WINDOW=FIRST_POPUP&amp;HEIGHT=450&amp;WIDTH=450&amp;STAR","T_MAXIMIZED=FALSE&amp;VAR:CALENDAR=FIVEDAY&amp;VAR:SYMBOL=088470&amp;VAR:INDEX=0"}</definedName>
    <definedName name="_1342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20"}</definedName>
    <definedName name="_1349__FDSAUDITLINK__" hidden="1">{"fdsup://directions/FAT Viewer?action=UPDATE&amp;creator=factset&amp;DYN_ARGS=TRUE&amp;DOC_NAME=FAT:FQL_AUDITING_CLIENT_TEMPLATE.FAT&amp;display_string=Audit&amp;VAR:KEY=HKTOLEJQJU&amp;VAR:QUERY=RkVfVkFMVUFUSU9OKCdFVl9FQklUJywnTUVBTicsJ0FOTlVBTF9ST0xMJywnMCcsMCwsLCdDVVJSRU5DWT1FV","VInKQ==&amp;WINDOW=FIRST_POPUP&amp;HEIGHT=450&amp;WIDTH=450&amp;START_MAXIMIZED=FALSE&amp;VAR:CALENDAR=FIVEDAY&amp;VAR:SYMBOL=088470&amp;VAR:INDEX=0"}</definedName>
    <definedName name="_1350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1"}</definedName>
    <definedName name="_1351__FDSAUDITLINK__" hidden="1">{"fdsup://Directions/FactSet Auditing Viewer?action=AUDIT_VALUE&amp;DB=129&amp;ID1=088470&amp;VALUEID=01250&amp;SDATE=2007&amp;PERIODTYPE=ANN_STD&amp;window=popup_no_bar&amp;width=385&amp;height=120&amp;START_MAXIMIZED=FALSE&amp;creator=factset&amp;display_string=Audit"}</definedName>
    <definedName name="_1352__FDSAUDITLINK__" hidden="1">{"fdsup://directions/FAT Viewer?action=UPDATE&amp;creator=factset&amp;DYN_ARGS=TRUE&amp;DOC_NAME=FAT:FQL_AUDITING_CLIENT_TEMPLATE.FAT&amp;display_string=Audit&amp;VAR:KEY=FOJCBWBWZI&amp;VAR:QUERY=RkZfT1BFUl9JTkMoQU5OLC01WSwwWSxZLCxFVVIpK0ZGX0RFUF9BTU9SVF9FWFAoQU5OLC01WSwwWSxZLCxFV","VIp&amp;WINDOW=FIRST_POPUP&amp;HEIGHT=450&amp;WIDTH=450&amp;START_MAXIMIZED=FALSE&amp;VAR:CALENDAR=FIVEDAY&amp;VAR:SYMBOL=088470&amp;VAR:INDEX=4"}</definedName>
    <definedName name="_1353__FDSAUDITLINK__" hidden="1">{"fdsup://directions/FAT Viewer?action=UPDATE&amp;creator=factset&amp;DYN_ARGS=TRUE&amp;DOC_NAME=FAT:FQL_AUDITING_CLIENT_TEMPLATE.FAT&amp;display_string=Audit&amp;VAR:KEY=FOJCBWBWZI&amp;VAR:QUERY=RkZfT1BFUl9JTkMoQU5OLC01WSwwWSxZLCxFVVIpK0ZGX0RFUF9BTU9SVF9FWFAoQU5OLC01WSwwWSxZLCxFV","VIp&amp;WINDOW=FIRST_POPUP&amp;HEIGHT=450&amp;WIDTH=450&amp;START_MAXIMIZED=FALSE&amp;VAR:CALENDAR=FIVEDAY&amp;VAR:SYMBOL=088470&amp;VAR:INDEX=5"}</definedName>
    <definedName name="_1354__FDSAUDITLINK__" hidden="1">{"fdsup://directions/FAT Viewer?action=UPDATE&amp;creator=factset&amp;DYN_ARGS=TRUE&amp;DOC_NAME=FAT:FQL_AUDITING_CLIENT_TEMPLATE.FAT&amp;display_string=Audit&amp;VAR:KEY=TUNIZEZATA&amp;VAR:QUERY=RkZfRUJJVERBX09QRVIoQU5OLC01WSwwWSxZLCxFVVIp&amp;WINDOW=FIRST_POPUP&amp;HEIGHT=450&amp;WIDTH=450&amp;","START_MAXIMIZED=FALSE&amp;VAR:CALENDAR=FIVEDAY&amp;VAR:SYMBOL=088470&amp;VAR:INDEX=0"}</definedName>
    <definedName name="_1360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1"}</definedName>
    <definedName name="_1361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3"}</definedName>
    <definedName name="_1363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364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365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366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367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376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1"}</definedName>
    <definedName name="_1377__FDSAUDITLINK__" hidden="1">{"fdsup://directions/FAT Viewer?action=UPDATE&amp;creator=factset&amp;DYN_ARGS=TRUE&amp;DOC_NAME=FAT:FQL_AUDITING_CLIENT_TEMPLATE.FAT&amp;display_string=Audit&amp;VAR:KEY=HMDSFAFGVA&amp;VAR:QUERY=RkZfTk9OX0lOVF9JTkMoQU5OLC01WSwwWSxZLCxFVVIp&amp;WINDOW=FIRST_POPUP&amp;HEIGHT=450&amp;WIDTH=450&amp;","START_MAXIMIZED=FALSE&amp;VAR:CALENDAR=FIVEDAY&amp;VAR:SYMBOL=088470&amp;VAR:INDEX=3"}</definedName>
    <definedName name="_1378__FDSAUDITLINK__" hidden="1">{"fdsup://directions/FAT Viewer?action=UPDATE&amp;creator=factset&amp;DYN_ARGS=TRUE&amp;DOC_NAME=FAT:FQL_AUDITING_CLIENT_TEMPLATE.FAT&amp;display_string=Audit&amp;VAR:KEY=FOJCBWBWZI&amp;VAR:QUERY=RkZfT1BFUl9JTkMoQU5OLC01WSwwWSxZLCxFVVIpK0ZGX0RFUF9BTU9SVF9FWFAoQU5OLC01WSwwWSxZLCxFV","VIp&amp;WINDOW=FIRST_POPUP&amp;HEIGHT=450&amp;WIDTH=450&amp;START_MAXIMIZED=FALSE&amp;VAR:CALENDAR=FIVEDAY&amp;VAR:SYMBOL=088470&amp;VAR:INDEX=3"}</definedName>
    <definedName name="_1383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5"}</definedName>
    <definedName name="_1384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4"}</definedName>
    <definedName name="_139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0"}</definedName>
    <definedName name="_1390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3"}</definedName>
    <definedName name="_1391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2"}</definedName>
    <definedName name="_1392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16"}</definedName>
    <definedName name="_1393__FDSAUDITLINK__" hidden="1">{"fdsup://Directions/FactSet Auditing Viewer?action=AUDIT_VALUE&amp;DB=129&amp;ID1=088470&amp;VALUEID=04890&amp;SDATE=2009&amp;PERIODTYPE=ANN_STD&amp;window=popup_no_bar&amp;width=385&amp;height=120&amp;START_MAXIMIZED=FALSE&amp;creator=factset&amp;display_string=Audit"}</definedName>
    <definedName name="_1394__FDSAUDITLINK__" hidden="1">{"fdsup://directions/FAT Viewer?action=UPDATE&amp;creator=factset&amp;DYN_ARGS=TRUE&amp;DOC_NAME=FAT:FQL_AUDITING_CLIENT_TEMPLATE.FAT&amp;display_string=Audit&amp;VAR:KEY=HGRQTYDOLQ&amp;VAR:QUERY=RkVfVkFMVUFUSU9OKCdFVl9FQklUJywnTUVBTicsJ0FOTlVBTCcsJysxJywwLCwsJ0NVUlJFTkNZPUVVUicp&amp;","WINDOW=FIRST_POPUP&amp;HEIGHT=450&amp;WIDTH=450&amp;START_MAXIMIZED=FALSE&amp;VAR:CALENDAR=FIVEDAY&amp;VAR:SYMBOL=088470&amp;VAR:INDEX=0"}</definedName>
    <definedName name="_1395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4"}</definedName>
    <definedName name="_14__FDSAUDITLINK__" hidden="1">{"fdsup://IBCentral/FAT Viewer?action=UPDATE&amp;creator=factset&amp;DOC_NAME=fat:reuters_annual_source_window.fat&amp;display_string=Audit&amp;DYN_ARGS=TRUE&amp;VAR:ID1=01852230&amp;VAR:RCODE=STLD&amp;VAR:SDATE=20081299&amp;VAR:FREQ=Y&amp;VAR:RELITEM=RP&amp;VAR:CURRENCY=&amp;VAR:CURRSOURCE=EXSHARE&amp;V","AR:NATFREQ=ANNUAL&amp;VAR:RFIELD=FINALIZED&amp;VAR:DB_TYPE=&amp;VAR:UNITS=M&amp;window=popup&amp;width=450&amp;height=300&amp;START_MAXIMIZED=FALSE"}</definedName>
    <definedName name="_1401__FDSAUDITLINK__" hidden="1">{"fdsup://Directions/FactSet Auditing Viewer?action=AUDIT_VALUE&amp;DB=129&amp;ID1=088470&amp;VALUEID=04831&amp;SDATE=2007&amp;PERIODTYPE=ANN_STD&amp;window=popup_no_bar&amp;width=385&amp;height=120&amp;START_MAXIMIZED=FALSE&amp;creator=factset&amp;display_string=Audit"}</definedName>
    <definedName name="_1402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5"}</definedName>
    <definedName name="_1403__FDSAUDITLINK__" hidden="1">{"fdsup://Directions/FactSet Auditing Viewer?action=AUDIT_VALUE&amp;DB=129&amp;ID1=088470&amp;VALUEID=05194&amp;SDATE=2007&amp;PERIODTYPE=ANN_STD&amp;window=popup_no_bar&amp;width=385&amp;height=120&amp;START_MAXIMIZED=FALSE&amp;creator=factset&amp;display_string=Audit"}</definedName>
    <definedName name="_1409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25"}</definedName>
    <definedName name="_141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16"}</definedName>
    <definedName name="_1415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1"}</definedName>
    <definedName name="_1416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1417__FDSAUDITLINK__" hidden="1">{"fdsup://directions/FAT Viewer?action=UPDATE&amp;creator=factset&amp;DYN_ARGS=TRUE&amp;DOC_NAME=FAT:FQL_AUDITING_CLIENT_TEMPLATE.FAT&amp;display_string=Audit&amp;VAR:KEY=NKPIVGLUFY&amp;VAR:QUERY=RkZfQ09HUyhBTk4sLTVZLDBZLFksLEVVUik=&amp;WINDOW=FIRST_POPUP&amp;HEIGHT=450&amp;WIDTH=450&amp;START_MA","XIMIZED=FALSE&amp;VAR:CALENDAR=FIVEDAY&amp;VAR:SYMBOL=088470&amp;VAR:INDEX=2"}</definedName>
    <definedName name="_1418__FDSAUDITLINK__" hidden="1">{"fdsup://Directions/FactSet Auditing Viewer?action=AUDIT_VALUE&amp;DB=129&amp;ID1=088470&amp;VALUEID=01451&amp;SDATE=2009&amp;PERIODTYPE=ANN_STD&amp;window=popup_no_bar&amp;width=385&amp;height=120&amp;START_MAXIMIZED=FALSE&amp;creator=factset&amp;display_string=Audit"}</definedName>
    <definedName name="_1420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3"}</definedName>
    <definedName name="_1422__FDSAUDITLINK__" hidden="1">{"fdsup://Directions/FactSet Auditing Viewer?action=AUDIT_VALUE&amp;DB=129&amp;ID1=088470&amp;VALUEID=01401&amp;SDATE=2009&amp;PERIODTYPE=ANN_STD&amp;window=popup_no_bar&amp;width=385&amp;height=120&amp;START_MAXIMIZED=FALSE&amp;creator=factset&amp;display_string=Audit"}</definedName>
    <definedName name="_1423__FDSAUDITLINK__" hidden="1">{"fdsup://Directions/FactSet Auditing Viewer?action=AUDIT_VALUE&amp;DB=129&amp;ID1=088470&amp;VALUEID=05194&amp;SDATE=2009&amp;PERIODTYPE=ANN_STD&amp;window=popup_no_bar&amp;width=385&amp;height=120&amp;START_MAXIMIZED=FALSE&amp;creator=factset&amp;display_string=Audit"}</definedName>
    <definedName name="_1425__FDSAUDITLINK__" hidden="1">{"fdsup://Directions/FactSet Auditing Viewer?action=AUDIT_VALUE&amp;DB=129&amp;ID1=088470&amp;VALUEID=04851&amp;SDATE=2008&amp;PERIODTYPE=ANN_STD&amp;window=popup_no_bar&amp;width=385&amp;height=120&amp;START_MAXIMIZED=FALSE&amp;creator=factset&amp;display_string=Audit"}</definedName>
    <definedName name="_1428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2"}</definedName>
    <definedName name="_1429__FDSAUDITLINK__" hidden="1">{"fdsup://Directions/FactSet Auditing Viewer?action=AUDIT_VALUE&amp;DB=129&amp;ID1=088470&amp;VALUEID=02999&amp;SDATE=2008&amp;PERIODTYPE=ANN_STD&amp;window=popup_no_bar&amp;width=385&amp;height=120&amp;START_MAXIMIZED=FALSE&amp;creator=factset&amp;display_string=Audit"}</definedName>
    <definedName name="_1432__FDSAUDITLINK__" hidden="1">{"fdsup://Directions/FactSet Auditing Viewer?action=AUDIT_VALUE&amp;DB=129&amp;ID1=088470&amp;VALUEID=02999&amp;SDATE=2007&amp;PERIODTYPE=ANN_STD&amp;window=popup_no_bar&amp;width=385&amp;height=120&amp;START_MAXIMIZED=FALSE&amp;creator=factset&amp;display_string=Audit"}</definedName>
    <definedName name="_1433__FDSAUDITLINK__" hidden="1">{"fdsup://Directions/FactSet Auditing Viewer?action=AUDIT_VALUE&amp;DB=129&amp;ID1=088470&amp;VALUEID=04831&amp;SDATE=2009&amp;PERIODTYPE=ANN_STD&amp;window=popup_no_bar&amp;width=385&amp;height=120&amp;START_MAXIMIZED=FALSE&amp;creator=factset&amp;display_string=Audit"}</definedName>
    <definedName name="_1434__FDSAUDITLINK__" hidden="1">{"fdsup://directions/FAT Viewer?action=UPDATE&amp;creator=factset&amp;DYN_ARGS=TRUE&amp;DOC_NAME=FAT:FQL_AUDITING_CLIENT_TEMPLATE.FAT&amp;display_string=Audit&amp;VAR:KEY=JIXQJOXEHA&amp;VAR:QUERY=RkZfRUJJVF9PUEVSKEFOTiwtNVksMFksWSwsRVVSKQ==&amp;WINDOW=FIRST_POPUP&amp;HEIGHT=450&amp;WIDTH=450&amp;","START_MAXIMIZED=FALSE&amp;VAR:CALENDAR=FIVEDAY&amp;VAR:SYMBOL=088470&amp;VAR:INDEX=1"}</definedName>
    <definedName name="_1435__FDSAUDITLINK__" hidden="1">{"fdsup://Directions/FactSet Auditing Viewer?action=AUDIT_VALUE&amp;DB=129&amp;ID1=066168&amp;VALUEID=01006&amp;SDATE=2009&amp;PERIODTYPE=ANN_STD&amp;window=popup_no_bar&amp;width=385&amp;height=120&amp;START_MAXIMIZED=FALSE&amp;creator=factset&amp;display_string=Audit"}</definedName>
    <definedName name="_1439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1440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3"}</definedName>
    <definedName name="_1468__FDSAUDITLINK__" hidden="1">{"fdsup://Directions/FactSet Auditing Viewer?action=AUDIT_VALUE&amp;DB=129&amp;ID1=088470&amp;VALUEID=03351&amp;SDATE=2007&amp;PERIODTYPE=ANN_STD&amp;window=popup_no_bar&amp;width=385&amp;height=120&amp;START_MAXIMIZED=FALSE&amp;creator=factset&amp;display_string=Audit"}</definedName>
    <definedName name="_1469__FDSAUDITLINK__" hidden="1">{"fdsup://Directions/FactSet Auditing Viewer?action=AUDIT_VALUE&amp;DB=129&amp;ID1=088470&amp;VALUEID=02501&amp;SDATE=2008&amp;PERIODTYPE=ANN_STD&amp;window=popup_no_bar&amp;width=385&amp;height=120&amp;START_MAXIMIZED=FALSE&amp;creator=factset&amp;display_string=Audit"}</definedName>
    <definedName name="_1470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471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1"}</definedName>
    <definedName name="_1472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1"}</definedName>
    <definedName name="_147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32"}</definedName>
    <definedName name="_1474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475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476__FDSAUDITLINK__" hidden="1">{"fdsup://Directions/FactSet Auditing Viewer?action=AUDIT_VALUE&amp;DB=129&amp;ID1=088470&amp;VALUEID=02003&amp;SDATE=2009&amp;PERIODTYPE=ANN_STD&amp;window=popup_no_bar&amp;width=385&amp;height=120&amp;START_MAXIMIZED=FALSE&amp;creator=factset&amp;display_string=Audit"}</definedName>
    <definedName name="_1477__FDSAUDITLINK__" hidden="1">{"fdsup://Directions/FactSet Auditing Viewer?action=AUDIT_VALUE&amp;DB=129&amp;ID1=088470&amp;VALUEID=02999&amp;SDATE=2009&amp;PERIODTYPE=ANN_STD&amp;window=popup_no_bar&amp;width=385&amp;height=120&amp;START_MAXIMIZED=FALSE&amp;creator=factset&amp;display_string=Audit"}</definedName>
    <definedName name="_1478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1"}</definedName>
    <definedName name="_1479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43"}</definedName>
    <definedName name="_1489__FDSAUDITLINK__" hidden="1">{"fdsup://Directions/FactSet Auditing Viewer?action=AUDIT_VALUE&amp;DB=129&amp;ID1=088470&amp;VALUEID=03351&amp;SDATE=2008&amp;PERIODTYPE=ANN_STD&amp;window=popup_no_bar&amp;width=385&amp;height=120&amp;START_MAXIMIZED=FALSE&amp;creator=factset&amp;display_string=Audit"}</definedName>
    <definedName name="_1490__FDSAUDITLINK__" hidden="1">{"fdsup://Directions/FactSet Auditing Viewer?action=AUDIT_VALUE&amp;DB=129&amp;ID1=088470&amp;VALUEID=02501&amp;SDATE=2007&amp;PERIODTYPE=ANN_STD&amp;window=popup_no_bar&amp;width=385&amp;height=120&amp;START_MAXIMIZED=FALSE&amp;creator=factset&amp;display_string=Audit"}</definedName>
    <definedName name="_1491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42"}</definedName>
    <definedName name="_1492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3"}</definedName>
    <definedName name="_1493__FDSAUDITLINK__" hidden="1">{"fdsup://directions/FAT Viewer?action=UPDATE&amp;creator=factset&amp;DYN_ARGS=TRUE&amp;DOC_NAME=FAT:FQL_AUDITING_CLIENT_TEMPLATE.FAT&amp;display_string=Audit&amp;VAR:KEY=RQJUBMPMDY&amp;VAR:QUERY=RkZfTElBQlNfQ1VSUl9PVEgoQU5OLC01WSwwWSxZLCxFVVIp&amp;WINDOW=FIRST_POPUP&amp;HEIGHT=450&amp;WIDTH=","450&amp;START_MAXIMIZED=FALSE&amp;VAR:CALENDAR=FIVEDAY&amp;VAR:SYMBOL=088470&amp;VAR:INDEX=5"}</definedName>
    <definedName name="_1494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2"}</definedName>
    <definedName name="_15__FDSAUDITLINK__" localSheetId="3"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24"}</definedName>
    <definedName name="_15__FDSAUDITLINK__" localSheetId="55"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24"}</definedName>
    <definedName name="_15__FDSAUDITLINK__" hidden="1">{"fdsup://IBCentral/FAT Viewer?action=UPDATE&amp;creator=factset&amp;DOC_NAME=fat:reuters_annual_source_window.fat&amp;display_string=Audit&amp;DYN_ARGS=TRUE&amp;VAR:ID1=45091110&amp;VAR:RCODE=STLD&amp;VAR:SDATE=20081299&amp;VAR:FREQ=Y&amp;VAR:RELITEM=RP&amp;VAR:CURRENCY=&amp;VAR:CURRSOURCE=EXSHARE&amp;V","AR:NATFREQ=ANNUAL&amp;VAR:RFIELD=FINALIZED&amp;VAR:DB_TYPE=&amp;VAR:UNITS=M&amp;window=popup&amp;width=450&amp;height=300&amp;START_MAXIMIZED=FALSE"}</definedName>
    <definedName name="_1510__FDSAUDITLINK__" hidden="1">{"fdsup://Directions/FactSet Auditing Viewer?action=AUDIT_VALUE&amp;DB=129&amp;ID1=088470&amp;VALUEID=02999&amp;SDATE=2009&amp;PERIODTYPE=ANN_STD&amp;window=popup_no_bar&amp;width=385&amp;height=120&amp;START_MAXIMIZED=FALSE&amp;creator=factset&amp;display_string=Audit"}</definedName>
    <definedName name="_1511__FDSAUDITLINK__" hidden="1">{"fdsup://directions/FAT Viewer?action=UPDATE&amp;creator=factset&amp;DYN_ARGS=TRUE&amp;DOC_NAME=FAT:FQL_AUDITING_CLIENT_TEMPLATE.FAT&amp;display_string=Audit&amp;VAR:KEY=TUNIZEZATA&amp;VAR:QUERY=RkZfRUJJVERBX09QRVIoQU5OLC01WSwwWSxZLCxFVVIp&amp;WINDOW=FIRST_POPUP&amp;HEIGHT=450&amp;WIDTH=450&amp;","START_MAXIMIZED=FALSE&amp;VAR:CALENDAR=FIVEDAY&amp;VAR:SYMBOL=088470&amp;VAR:INDEX=3"}</definedName>
    <definedName name="_1512__FDSAUDITLINK__" hidden="1">{"fdsup://Directions/FactSet Auditing Viewer?action=AUDIT_VALUE&amp;DB=129&amp;ID1=088470&amp;VALUEID=02003&amp;SDATE=2007&amp;PERIODTYPE=ANN_STD&amp;window=popup_no_bar&amp;width=385&amp;height=120&amp;START_MAXIMIZED=FALSE&amp;creator=factset&amp;display_string=Audit"}</definedName>
    <definedName name="_1513__FDSAUDITLINK__" hidden="1">{"fdsup://Directions/FactSet Auditing Viewer?action=AUDIT_VALUE&amp;DB=129&amp;ID1=088470&amp;VALUEID=02999&amp;SDATE=2007&amp;PERIODTYPE=ANN_STD&amp;window=popup_no_bar&amp;width=385&amp;height=120&amp;START_MAXIMIZED=FALSE&amp;creator=factset&amp;display_string=Audit"}</definedName>
    <definedName name="_1514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2"}</definedName>
    <definedName name="_1515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50"}</definedName>
    <definedName name="_152__FDSAUDITLINK__" hidden="1">{"fdsup://Directions/FactSet Auditing Viewer?action=AUDIT_VALUE&amp;DB=129&amp;ID1=088470&amp;VALUEID=04831&amp;SDATE=2007&amp;PERIODTYPE=ANN_STD&amp;window=popup_no_bar&amp;width=385&amp;height=120&amp;START_MAXIMIZED=FALSE&amp;creator=factset&amp;display_string=Audit"}</definedName>
    <definedName name="_1528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529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53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1530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531__FDSAUDITLINK__" hidden="1">{"fdsup://directions/FAT Viewer?action=UPDATE&amp;creator=factset&amp;DYN_ARGS=TRUE&amp;DOC_NAME=FAT:FQL_AUDITING_CLIENT_TEMPLATE.FAT&amp;display_string=Audit&amp;VAR:KEY=XYJQPCHWBY&amp;VAR:QUERY=RkZfTk9OX0lOVF9FWFAoQU5OLC01WSwwWSxZLCxFVVIp&amp;WINDOW=FIRST_POPUP&amp;HEIGHT=450&amp;WIDTH=450&amp;","START_MAXIMIZED=FALSE&amp;VAR:CALENDAR=FIVEDAY&amp;VAR:SYMBOL=088470&amp;VAR:INDEX=0"}</definedName>
    <definedName name="_1532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533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0"}</definedName>
    <definedName name="_154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1540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541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542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543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544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545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546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547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548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549__FDSAUDITLINK__" hidden="1">{"fdsup://Directions/FactSet Auditing Viewer?action=AUDIT_VALUE&amp;DB=129&amp;ID1=088470&amp;VALUEID=02999&amp;SDATE=2008&amp;PERIODTYPE=ANN_STD&amp;window=popup_no_bar&amp;width=385&amp;height=120&amp;START_MAXIMIZED=FALSE&amp;creator=factset&amp;display_string=Audit"}</definedName>
    <definedName name="_1550__FDSAUDITLINK__" hidden="1">{"fdsup://Directions/FactSet Auditing Viewer?action=AUDIT_VALUE&amp;DB=129&amp;ID1=088470&amp;VALUEID=02003&amp;SDATE=2008&amp;PERIODTYPE=ANN_STD&amp;window=popup_no_bar&amp;width=385&amp;height=120&amp;START_MAXIMIZED=FALSE&amp;creator=factset&amp;display_string=Audit"}</definedName>
    <definedName name="_1551__FDSAUDITLINK__" hidden="1">{"fdsup://Directions/FactSet Auditing Viewer?action=AUDIT_VALUE&amp;DB=129&amp;ID1=088470&amp;VALUEID=02501&amp;SDATE=2009&amp;PERIODTYPE=ANN_STD&amp;window=popup_no_bar&amp;width=385&amp;height=120&amp;START_MAXIMIZED=FALSE&amp;creator=factset&amp;display_string=Audit"}</definedName>
    <definedName name="_157__FDSAUDITLINK__" hidden="1">{"fdsup://Directions/FactSet Auditing Viewer?action=AUDIT_VALUE&amp;DB=129&amp;ID1=088470&amp;VALUEID=04831&amp;SDATE=2008&amp;PERIODTYPE=ANN_STD&amp;window=popup_no_bar&amp;width=385&amp;height=120&amp;START_MAXIMIZED=FALSE&amp;creator=factset&amp;display_string=Audit"}</definedName>
    <definedName name="_16__FDSAUDITLINK__" hidden="1">{"fdsup://IBCentral/FAT Viewer?action=UPDATE&amp;creator=factset&amp;DOC_NAME=fat:reuters_annual_source_window.fat&amp;display_string=Audit&amp;DYN_ARGS=TRUE&amp;VAR:ID1=45091110&amp;VAR:RCODE=STLD&amp;VAR:SDATE=20081299&amp;VAR:FREQ=Y&amp;VAR:RELITEM=RP&amp;VAR:CURRENCY=&amp;VAR:CURRSOURCE=EXSHARE&amp;V","AR:NATFREQ=ANNUAL&amp;VAR:RFIELD=FINALIZED&amp;VAR:DB_TYPE=&amp;VAR:UNITS=M&amp;window=popup&amp;width=450&amp;height=300&amp;START_MAXIMIZED=FALSE"}</definedName>
    <definedName name="_1602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1603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1604__FDSAUDITLINK__" hidden="1">{"fdsup://Directions/FactSet Auditing Viewer?action=AUDIT_VALUE&amp;DB=129&amp;ID1=088470&amp;VALUEID=01451&amp;SDATE=2008&amp;PERIODTYPE=ANN_STD&amp;window=popup_no_bar&amp;width=385&amp;height=120&amp;START_MAXIMIZED=FALSE&amp;creator=factset&amp;display_string=Audit"}</definedName>
    <definedName name="_1605__FDSAUDITLINK__" hidden="1">{"fdsup://Directions/FactSet Auditing Viewer?action=AUDIT_VALUE&amp;DB=129&amp;ID1=088470&amp;VALUEID=01251&amp;SDATE=2007&amp;PERIODTYPE=ANN_STD&amp;window=popup_no_bar&amp;width=385&amp;height=120&amp;START_MAXIMIZED=FALSE&amp;creator=factset&amp;display_string=Audit"}</definedName>
    <definedName name="_1606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2"}</definedName>
    <definedName name="_1607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0"}</definedName>
    <definedName name="_1608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4"}</definedName>
    <definedName name="_1609__FDSAUDITLINK__" hidden="1">{"fdsup://directions/FAT Viewer?action=UPDATE&amp;creator=factset&amp;DYN_ARGS=TRUE&amp;DOC_NAME=FAT:FQL_AUDITING_CLIENT_TEMPLATE.FAT&amp;display_string=Audit&amp;VAR:KEY=DGPARKZAFA&amp;VAR:QUERY=RkZfQVNTRVRTX0NVUlJfT1RIKEFOTiwtNVksMFksWSwsRVVSKQ==&amp;WINDOW=FIRST_POPUP&amp;HEIGHT=450&amp;WI","DTH=450&amp;START_MAXIMIZED=FALSE&amp;VAR:CALENDAR=FIVEDAY&amp;VAR:SYMBOL=088470&amp;VAR:INDEX=3"}</definedName>
    <definedName name="_1610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611__FDSAUDITLINK__" hidden="1">{"fdsup://directions/FAT Viewer?action=UPDATE&amp;creator=factset&amp;DYN_ARGS=TRUE&amp;DOC_NAME=FAT:FQL_AUDITING_CLIENT_TEMPLATE.FAT&amp;display_string=Audit&amp;VAR:KEY=DGPARKZAFA&amp;VAR:QUERY=RkZfQVNTRVRTX0NVUlJfT1RIKEFOTiwtNVksMFksWSwsRVVSKQ==&amp;WINDOW=FIRST_POPUP&amp;HEIGHT=450&amp;WI","DTH=450&amp;START_MAXIMIZED=FALSE&amp;VAR:CALENDAR=FIVEDAY&amp;VAR:SYMBOL=088470&amp;VAR:INDEX=4"}</definedName>
    <definedName name="_1612__FDSAUDITLINK__" hidden="1">{"fdsup://directions/FAT Viewer?action=UPDATE&amp;creator=factset&amp;DYN_ARGS=TRUE&amp;DOC_NAME=FAT:FQL_AUDITING_CLIENT_TEMPLATE.FAT&amp;display_string=Audit&amp;VAR:KEY=PELMDQFIHA&amp;VAR:QUERY=RkZfR1JPU1NfSU5DKEFOTiwtNVksMFksWSwsRVVSKQ==&amp;WINDOW=FIRST_POPUP&amp;HEIGHT=450&amp;WIDTH=450&amp;","START_MAXIMIZED=FALSE&amp;VAR:CALENDAR=FIVEDAY&amp;VAR:SYMBOL=088470&amp;VAR:INDEX=4"}</definedName>
    <definedName name="_1613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23"}</definedName>
    <definedName name="_1614__FDSAUDITLINK__" hidden="1">{"fdsup://directions/FAT Viewer?action=UPDATE&amp;creator=factset&amp;DYN_ARGS=TRUE&amp;DOC_NAME=FAT:FQL_AUDITING_CLIENT_TEMPLATE.FAT&amp;display_string=Audit&amp;VAR:KEY=HMREPEDMLM&amp;VAR:QUERY=RkVfVkFMVUFUSU9OKCdFVl9TQUxFUycsJ01FQU4nLCdBTk5VQUwnLCcrMScsMCwsLCdDVVJSRU5DWT1FVVInK","Q==&amp;WINDOW=FIRST_POPUP&amp;HEIGHT=450&amp;WIDTH=450&amp;START_MAXIMIZED=FALSE&amp;VAR:CALENDAR=FIVEDAY&amp;VAR:SYMBOL=088470&amp;VAR:INDEX=0"}</definedName>
    <definedName name="_1615__FDSAUDITLINK__" hidden="1">{"fdsup://Directions/FactSet Auditing Viewer?action=AUDIT_VALUE&amp;DB=129&amp;ID1=088470&amp;VALUEID=04351&amp;SDATE=2009&amp;PERIODTYPE=ANN_STD&amp;window=popup_no_bar&amp;width=385&amp;height=120&amp;START_MAXIMIZED=FALSE&amp;creator=factset&amp;display_string=Audit"}</definedName>
    <definedName name="_1616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2"}</definedName>
    <definedName name="_1617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618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0"}</definedName>
    <definedName name="_1619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0"}</definedName>
    <definedName name="_1620__FDSAUDITLINK__" hidden="1">{"fdsup://Directions/FactSet Auditing Viewer?action=AUDIT_VALUE&amp;DB=129&amp;ID1=088470&amp;VALUEID=01451&amp;SDATE=2009&amp;PERIODTYPE=ANN_STD&amp;window=popup_no_bar&amp;width=385&amp;height=120&amp;START_MAXIMIZED=FALSE&amp;creator=factset&amp;display_string=Audit"}</definedName>
    <definedName name="_1621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622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3"}</definedName>
    <definedName name="_1623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624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1625__FDSAUDITLINK__" hidden="1">{"fdsup://Directions/FactSet Auditing Viewer?action=AUDIT_VALUE&amp;DB=129&amp;ID1=066168&amp;VALUEID=02260&amp;SDATE=2009&amp;PERIODTYPE=ANN_STD&amp;window=popup_no_bar&amp;width=385&amp;height=120&amp;START_MAXIMIZED=FALSE&amp;creator=factset&amp;display_string=Audit"}</definedName>
    <definedName name="_1626__FDSAUDITLINK__" hidden="1">{"fdsup://Directions/FactSet Auditing Viewer?action=AUDIT_VALUE&amp;DB=129&amp;ID1=088470&amp;VALUEID=01250&amp;SDATE=2009&amp;PERIODTYPE=ANN_STD&amp;window=popup_no_bar&amp;width=385&amp;height=120&amp;START_MAXIMIZED=FALSE&amp;creator=factset&amp;display_string=Audit"}</definedName>
    <definedName name="_1627__FDSAUDITLINK__" hidden="1">{"fdsup://Directions/FactSet Auditing Viewer?action=AUDIT_VALUE&amp;DB=129&amp;ID1=066168&amp;VALUEID=02260&amp;SDATE=2008&amp;PERIODTYPE=ANN_STD&amp;window=popup_no_bar&amp;width=385&amp;height=120&amp;START_MAXIMIZED=FALSE&amp;creator=factset&amp;display_string=Audit"}</definedName>
    <definedName name="_1628__FDSAUDITLINK__" hidden="1">{"fdsup://Directions/FactSet Auditing Viewer?action=AUDIT_VALUE&amp;DB=129&amp;ID1=088470&amp;VALUEID=03351&amp;SDATE=2009&amp;PERIODTYPE=ANN_STD&amp;window=popup_no_bar&amp;width=385&amp;height=120&amp;START_MAXIMIZED=FALSE&amp;creator=factset&amp;display_string=Audit"}</definedName>
    <definedName name="_1629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630__FDSAUDITLINK__" hidden="1">{"fdsup://Directions/FactSet Auditing Viewer?action=AUDIT_VALUE&amp;DB=129&amp;ID1=088470&amp;VALUEID=03351&amp;SDATE=2007&amp;PERIODTYPE=ANN_STD&amp;window=popup_no_bar&amp;width=385&amp;height=120&amp;START_MAXIMIZED=FALSE&amp;creator=factset&amp;display_string=Audit"}</definedName>
    <definedName name="_1631__FDSAUDITLINK__" hidden="1">{"fdsup://Directions/FactSet Auditing Viewer?action=AUDIT_VALUE&amp;DB=129&amp;ID1=088470&amp;VALUEID=01401&amp;SDATE=2007&amp;PERIODTYPE=ANN_STD&amp;window=popup_no_bar&amp;width=385&amp;height=120&amp;START_MAXIMIZED=FALSE&amp;creator=factset&amp;display_string=Audit"}</definedName>
    <definedName name="_1632__FDSAUDITLINK__" hidden="1">{"fdsup://Directions/FactSet Auditing Viewer?action=AUDIT_VALUE&amp;DB=129&amp;ID1=066168&amp;VALUEID=02647&amp;SDATE=2009&amp;PERIODTYPE=ANN_STD&amp;window=popup_no_bar&amp;width=385&amp;height=120&amp;START_MAXIMIZED=FALSE&amp;creator=factset&amp;display_string=Audit"}</definedName>
    <definedName name="_1633__FDSAUDITLINK__" hidden="1">{"fdsup://directions/FAT Viewer?action=UPDATE&amp;creator=factset&amp;DYN_ARGS=TRUE&amp;DOC_NAME=FAT:FQL_AUDITING_CLIENT_TEMPLATE.FAT&amp;display_string=Audit&amp;VAR:KEY=XABEVABCJM&amp;VAR:QUERY=RkVfVkFMVUFUSU9OKCdFVl9FQklUREEnLCdNRUFOJywnQU5OVUFMJywnKzInLDAsLCwnQ1VSUkVOQ1k9RVVSJ","yk=&amp;WINDOW=FIRST_POPUP&amp;HEIGHT=450&amp;WIDTH=450&amp;START_MAXIMIZED=FALSE&amp;VAR:CALENDAR=FIVEDAY&amp;VAR:SYMBOL=088470&amp;VAR:INDEX=0"}</definedName>
    <definedName name="_1634__FDSAUDITLINK__" hidden="1">{"fdsup://Directions/FactSet Auditing Viewer?action=AUDIT_VALUE&amp;DB=129&amp;ID1=066168&amp;VALUEID=02647&amp;SDATE=2008&amp;PERIODTYPE=ANN_STD&amp;window=popup_no_bar&amp;width=385&amp;height=120&amp;START_MAXIMIZED=FALSE&amp;creator=factset&amp;display_string=Audit"}</definedName>
    <definedName name="_1635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636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47"}</definedName>
    <definedName name="_1637__FDSAUDITLINK__" hidden="1">{"fdsup://directions/FAT Viewer?action=UPDATE&amp;creator=factset&amp;DYN_ARGS=TRUE&amp;DOC_NAME=FAT:FQL_AUDITING_CLIENT_TEMPLATE.FAT&amp;display_string=Audit&amp;VAR:KEY=TYFMNEVOBG&amp;VAR:QUERY=RkVfVkFMVUFUSU9OKCdFVl9FQklUREEnLCdNRUFOJywnQU5OVUFMX1JPTEwnLCcwJywwLCwsJ0NVUlJFTkNZP","UVVUicp&amp;WINDOW=FIRST_POPUP&amp;HEIGHT=450&amp;WIDTH=450&amp;START_MAXIMIZED=FALSE&amp;VAR:CALENDAR=FIVEDAY&amp;VAR:SYMBOL=088470&amp;VAR:INDEX=0"}</definedName>
    <definedName name="_1638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1"}</definedName>
    <definedName name="_1639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17"}</definedName>
    <definedName name="_1640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2"}</definedName>
    <definedName name="_1641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642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1"}</definedName>
    <definedName name="_1643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1644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5"}</definedName>
    <definedName name="_1645__FDSAUDITLINK__" hidden="1">{"fdsup://Directions/FactSet Auditing Viewer?action=AUDIT_VALUE&amp;DB=129&amp;ID1=088470&amp;VALUEID=01451&amp;SDATE=2007&amp;PERIODTYPE=ANN_STD&amp;window=popup_no_bar&amp;width=385&amp;height=120&amp;START_MAXIMIZED=FALSE&amp;creator=factset&amp;display_string=Audit"}</definedName>
    <definedName name="_1646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4"}</definedName>
    <definedName name="_1647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648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0"}</definedName>
    <definedName name="_1649__FDSAUDITLINK__" hidden="1">{"fdsup://directions/FAT Viewer?action=UPDATE&amp;creator=factset&amp;DYN_ARGS=TRUE&amp;DOC_NAME=FAT:FQL_AUDITING_CLIENT_TEMPLATE.FAT&amp;display_string=Audit&amp;VAR:KEY=PELMDQFIHA&amp;VAR:QUERY=RkZfR1JPU1NfSU5DKEFOTiwtNVksMFksWSwsRVVSKQ==&amp;WINDOW=FIRST_POPUP&amp;HEIGHT=450&amp;WIDTH=450&amp;","START_MAXIMIZED=FALSE&amp;VAR:CALENDAR=FIVEDAY&amp;VAR:SYMBOL=088470&amp;VAR:INDEX=5"}</definedName>
    <definedName name="_1650__FDSAUDITLINK__" hidden="1">{"fdsup://directions/FAT Viewer?action=UPDATE&amp;creator=factset&amp;DYN_ARGS=TRUE&amp;DOC_NAME=FAT:FQL_AUDITING_CLIENT_TEMPLATE.FAT&amp;display_string=Audit&amp;VAR:KEY=VYRIZGBIFG&amp;VAR:QUERY=RkZfSU5UX0lOQ19ORVQoQU5OLC01WSwwWSxZLCxFVVIp&amp;WINDOW=FIRST_POPUP&amp;HEIGHT=450&amp;WIDTH=450&amp;","START_MAXIMIZED=FALSE&amp;VAR:CALENDAR=FIVEDAY&amp;VAR:SYMBOL=088470&amp;VAR:INDEX=1"}</definedName>
    <definedName name="_1651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652__FDSAUDITLINK__" hidden="1">{"fdsup://Directions/FactSet Auditing Viewer?action=AUDIT_VALUE&amp;DB=129&amp;ID1=088470&amp;VALUEID=03501&amp;SDATE=2009&amp;PERIODTYPE=ANN_STD&amp;window=popup_no_bar&amp;width=385&amp;height=120&amp;START_MAXIMIZED=FALSE&amp;creator=factset&amp;display_string=Audit"}</definedName>
    <definedName name="_1653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654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0"}</definedName>
    <definedName name="_1655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5"}</definedName>
    <definedName name="_1656__FDSAUDITLINK__" hidden="1">{"fdsup://Directions/FactSet Auditing Viewer?action=AUDIT_VALUE&amp;DB=129&amp;ID1=088470&amp;VALUEID=04851&amp;SDATE=2009&amp;PERIODTYPE=ANN_STD&amp;window=popup_no_bar&amp;width=385&amp;height=120&amp;START_MAXIMIZED=FALSE&amp;creator=factset&amp;display_string=Audit"}</definedName>
    <definedName name="_1657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658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4"}</definedName>
    <definedName name="_1659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660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2"}</definedName>
    <definedName name="_1661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4"}</definedName>
    <definedName name="_1662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663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1"}</definedName>
    <definedName name="_1664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2"}</definedName>
    <definedName name="_1665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666__FDSAUDITLINK__" hidden="1">{"fdsup://Directions/FactSet Auditing Viewer?action=AUDIT_VALUE&amp;DB=129&amp;ID1=088470&amp;VALUEID=04831&amp;SDATE=2009&amp;PERIODTYPE=ANN_STD&amp;window=popup_no_bar&amp;width=385&amp;height=120&amp;START_MAXIMIZED=FALSE&amp;creator=factset&amp;display_string=Audit"}</definedName>
    <definedName name="_1667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668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1669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670__FDSAUDITLINK__" hidden="1">{"fdsup://Directions/FactSet Auditing Viewer?action=AUDIT_VALUE&amp;DB=129&amp;ID1=088470&amp;VALUEID=04870&amp;SDATE=2007&amp;PERIODTYPE=ANN_STD&amp;window=popup_no_bar&amp;width=385&amp;height=120&amp;START_MAXIMIZED=FALSE&amp;creator=factset&amp;display_string=Audit"}</definedName>
    <definedName name="_1671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5"}</definedName>
    <definedName name="_1672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673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674__FDSAUDITLINK__" hidden="1">{"fdsup://Directions/FactSet Auditing Viewer?action=AUDIT_VALUE&amp;DB=129&amp;ID1=088470&amp;VALUEID=04890&amp;SDATE=2009&amp;PERIODTYPE=ANN_STD&amp;window=popup_no_bar&amp;width=385&amp;height=120&amp;START_MAXIMIZED=FALSE&amp;creator=factset&amp;display_string=Audit"}</definedName>
    <definedName name="_1675__FDSAUDITLINK__" hidden="1">{"fdsup://Directions/FactSet Auditing Viewer?action=AUDIT_VALUE&amp;DB=129&amp;ID1=088470&amp;VALUEID=04890&amp;SDATE=2008&amp;PERIODTYPE=ANN_STD&amp;window=popup_no_bar&amp;width=385&amp;height=120&amp;START_MAXIMIZED=FALSE&amp;creator=factset&amp;display_string=Audit"}</definedName>
    <definedName name="_1676__FDSAUDITLINK__" hidden="1">{"fdsup://Directions/FactSet Auditing Viewer?action=AUDIT_VALUE&amp;DB=129&amp;ID1=088470&amp;VALUEID=04890&amp;SDATE=2007&amp;PERIODTYPE=ANN_STD&amp;window=popup_no_bar&amp;width=385&amp;height=120&amp;START_MAXIMIZED=FALSE&amp;creator=factset&amp;display_string=Audit"}</definedName>
    <definedName name="_1677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27"}</definedName>
    <definedName name="_1678__FDSAUDITLINK__" hidden="1">{"fdsup://Directions/FactSet Auditing Viewer?action=AUDIT_VALUE&amp;DB=129&amp;ID1=088470&amp;VALUEID=04001&amp;SDATE=2008&amp;PERIODTYPE=ANN_STD&amp;window=popup_no_bar&amp;width=385&amp;height=120&amp;START_MAXIMIZED=FALSE&amp;creator=factset&amp;display_string=Audit"}</definedName>
    <definedName name="_1679__FDSAUDITLINK__" hidden="1">{"fdsup://Directions/FactSet Auditing Viewer?action=AUDIT_VALUE&amp;DB=129&amp;ID1=088470&amp;VALUEID=04001&amp;SDATE=2007&amp;PERIODTYPE=ANN_STD&amp;window=popup_no_bar&amp;width=385&amp;height=120&amp;START_MAXIMIZED=FALSE&amp;creator=factset&amp;display_string=Audit"}</definedName>
    <definedName name="_1680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5"}</definedName>
    <definedName name="_1681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4"}</definedName>
    <definedName name="_1682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3"}</definedName>
    <definedName name="_1683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684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0"}</definedName>
    <definedName name="_1685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5"}</definedName>
    <definedName name="_1686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4"}</definedName>
    <definedName name="_1687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3"}</definedName>
    <definedName name="_1688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2"}</definedName>
    <definedName name="_1689__FDSAUDITLINK__" hidden="1">{"fdsup://Directions/FactSet Auditing Viewer?action=AUDIT_VALUE&amp;DB=129&amp;ID1=088470&amp;VALUEID=01451&amp;SDATE=2008&amp;PERIODTYPE=ANN_STD&amp;window=popup_no_bar&amp;width=385&amp;height=120&amp;START_MAXIMIZED=FALSE&amp;creator=factset&amp;display_string=Audit"}</definedName>
    <definedName name="_1690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691__FDSAUDITLINK__" hidden="1">{"fdsup://Directions/FactSet Auditing Viewer?action=AUDIT_VALUE&amp;DB=129&amp;ID1=088470&amp;VALUEID=03063&amp;SDATE=2009&amp;PERIODTYPE=ANN_STD&amp;window=popup_no_bar&amp;width=385&amp;height=120&amp;START_MAXIMIZED=FALSE&amp;creator=factset&amp;display_string=Audit"}</definedName>
    <definedName name="_1692__FDSAUDITLINK__" hidden="1">{"fdsup://Directions/FactSet Auditing Viewer?action=AUDIT_VALUE&amp;DB=129&amp;ID1=088470&amp;VALUEID=03063&amp;SDATE=2008&amp;PERIODTYPE=ANN_STD&amp;window=popup_no_bar&amp;width=385&amp;height=120&amp;START_MAXIMIZED=FALSE&amp;creator=factset&amp;display_string=Audit"}</definedName>
    <definedName name="_1693__FDSAUDITLINK__" hidden="1">{"fdsup://directions/FAT Viewer?action=UPDATE&amp;creator=factset&amp;DYN_ARGS=TRUE&amp;DOC_NAME=FAT:FQL_AUDITING_CLIENT_TEMPLATE.FAT&amp;display_string=Audit&amp;VAR:KEY=DQLCDMPOJQ&amp;VAR:QUERY=RkVfVkFMVUFUSU9OKCdST0UnLCdNRUFOJywnTFRNQScsJycsLTEsLCwnQ1VSUkVOQ1k9RVVSJyk=&amp;WINDOW=F","IRST_POPUP&amp;HEIGHT=450&amp;WIDTH=450&amp;START_MAXIMIZED=FALSE&amp;VAR:CALENDAR=FIVEDAY&amp;VAR:SYMBOL=088470&amp;VAR:INDEX=0"}</definedName>
    <definedName name="_1694__FDSAUDITLINK__" hidden="1">{"fdsup://directions/FAT Viewer?action=UPDATE&amp;creator=factset&amp;DYN_ARGS=TRUE&amp;DOC_NAME=FAT:FQL_AUDITING_CLIENT_TEMPLATE.FAT&amp;display_string=Audit&amp;VAR:KEY=RQJUBMPMDY&amp;VAR:QUERY=RkZfTElBQlNfQ1VSUl9PVEgoQU5OLC01WSwwWSxZLCxFVVIp&amp;WINDOW=FIRST_POPUP&amp;HEIGHT=450&amp;WIDTH=","450&amp;START_MAXIMIZED=FALSE&amp;VAR:CALENDAR=FIVEDAY&amp;VAR:SYMBOL=088470&amp;VAR:INDEX=4"}</definedName>
    <definedName name="_1695__FDSAUDITLINK__" hidden="1">{"fdsup://directions/FAT Viewer?action=UPDATE&amp;creator=factset&amp;DYN_ARGS=TRUE&amp;DOC_NAME=FAT:FQL_AUDITING_CLIENT_TEMPLATE.FAT&amp;display_string=Audit&amp;VAR:KEY=XOVSXIVKDK&amp;VAR:QUERY=RkVfVkFMVUFUSU9OKCdST0UnLCdNRUFOJywnTFRNQScsJycsMCwsLCdDVVJSRU5DWT1FVVInKQ==&amp;WINDOW=F","IRST_POPUP&amp;HEIGHT=450&amp;WIDTH=450&amp;START_MAXIMIZED=FALSE&amp;VAR:CALENDAR=FIVEDAY&amp;VAR:SYMBOL=088470&amp;VAR:INDEX=0"}</definedName>
    <definedName name="_1696__FDSAUDITLINK__" hidden="1">{"fdsup://directions/FAT Viewer?action=UPDATE&amp;creator=factset&amp;DYN_ARGS=TRUE&amp;DOC_NAME=FAT:FQL_AUDITING_CLIENT_TEMPLATE.FAT&amp;display_string=Audit&amp;VAR:KEY=XYJQPCHWBY&amp;VAR:QUERY=RkZfTk9OX0lOVF9FWFAoQU5OLC01WSwwWSxZLCxFVVIp&amp;WINDOW=FIRST_POPUP&amp;HEIGHT=450&amp;WIDTH=450&amp;","START_MAXIMIZED=FALSE&amp;VAR:CALENDAR=FIVEDAY&amp;VAR:SYMBOL=088470&amp;VAR:INDEX=5"}</definedName>
    <definedName name="_1697__FDSAUDITLINK__" hidden="1">{"fdsup://Directions/FactSet Auditing Viewer?action=AUDIT_VALUE&amp;DB=129&amp;ID1=088470&amp;VALUEID=01401&amp;SDATE=2007&amp;PERIODTYPE=ANN_STD&amp;window=popup_no_bar&amp;width=385&amp;height=120&amp;START_MAXIMIZED=FALSE&amp;creator=factset&amp;display_string=Audit"}</definedName>
    <definedName name="_1698__FDSAUDITLINK__" hidden="1">{"fdsup://directions/FAT Viewer?action=UPDATE&amp;creator=factset&amp;DYN_ARGS=TRUE&amp;DOC_NAME=FAT:FQL_AUDITING_CLIENT_TEMPLATE.FAT&amp;display_string=Audit&amp;VAR:KEY=HGLWNOZKBK&amp;VAR:QUERY=RkVfVkFMVUFUSU9OKCdST0UnLCdNRUFOJywnTlRNQScsJycsMCwsLCdDVVJSRU5DWT1FVVInKQ==&amp;WINDOW=F","IRST_POPUP&amp;HEIGHT=450&amp;WIDTH=450&amp;START_MAXIMIZED=FALSE&amp;VAR:CALENDAR=FIVEDAY&amp;VAR:SYMBOL=088470&amp;VAR:INDEX=0"}</definedName>
    <definedName name="_1699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17__FDSAUDITLINK__" localSheetId="3" hidden="1">{"fdsup://Directions/FactSet Auditing Viewer?action=AUDIT_VALUE&amp;DB=129&amp;ID1=054052&amp;VALUEID=01271&amp;SDATE=2007&amp;PERIODTYPE=ANN_STD&amp;window=popup_no_bar&amp;width=385&amp;height=120&amp;START_MAXIMIZED=FALSE&amp;creator=factset&amp;display_string=Audit"}</definedName>
    <definedName name="_17__FDSAUDITLINK__" localSheetId="55" hidden="1">{"fdsup://Directions/FactSet Auditing Viewer?action=AUDIT_VALUE&amp;DB=129&amp;ID1=054052&amp;VALUEID=01271&amp;SDATE=2007&amp;PERIODTYPE=ANN_STD&amp;window=popup_no_bar&amp;width=385&amp;height=120&amp;START_MAXIMIZED=FALSE&amp;creator=factset&amp;display_string=Audit"}</definedName>
    <definedName name="_17__FDSAUDITLINK__" hidden="1">{"fdsup://directions/FAT Viewer?action=UPDATE&amp;creator=factSet&amp;DYN_ARGS=true&amp;DOC_NAME=FAT:RGA_ENTRPR_VAL_EV_SOURCE_WINDOW.FAT&amp;VAR:ID1=ALE-US&amp;VAR:SDATE=20091211&amp;VAR:FDATE=20081231&amp;VAR:FREQ=DAILY&amp;VAR:RELITEM=RP&amp;VAR:CURRENCY=&amp;VAR:DB_TYPE=&amp;VAR:UNITS=M&amp;window=pop","up&amp;width=535&amp;height=425&amp;START_MAXIMIZED=FALSE&amp;Y=120"}</definedName>
    <definedName name="_1700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5"}</definedName>
    <definedName name="_1701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702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1"}</definedName>
    <definedName name="_1703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3"}</definedName>
    <definedName name="_1704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3"}</definedName>
    <definedName name="_1705__FDSAUDITLINK__" hidden="1">{"fdsup://directions/FAT Viewer?action=UPDATE&amp;creator=factset&amp;DYN_ARGS=TRUE&amp;DOC_NAME=FAT:FQL_AUDITING_CLIENT_TEMPLATE.FAT&amp;display_string=Audit&amp;VAR:KEY=PELMDQFIHA&amp;VAR:QUERY=RkZfR1JPU1NfSU5DKEFOTiwtNVksMFksWSwsRVVSKQ==&amp;WINDOW=FIRST_POPUP&amp;HEIGHT=450&amp;WIDTH=450&amp;","START_MAXIMIZED=FALSE&amp;VAR:CALENDAR=FIVEDAY&amp;VAR:SYMBOL=088470&amp;VAR:INDEX=0"}</definedName>
    <definedName name="_1706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2"}</definedName>
    <definedName name="_1707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708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709__FDSAUDITLINK__" hidden="1">{"fdsup://Directions/FactSet Auditing Viewer?action=AUDIT_VALUE&amp;DB=129&amp;ID1=088470&amp;VALUEID=04870&amp;SDATE=2009&amp;PERIODTYPE=ANN_STD&amp;window=popup_no_bar&amp;width=385&amp;height=120&amp;START_MAXIMIZED=FALSE&amp;creator=factset&amp;display_string=Audit"}</definedName>
    <definedName name="_1710__FDSAUDITLINK__" hidden="1">{"fdsup://Directions/FactSet Auditing Viewer?action=AUDIT_VALUE&amp;DB=129&amp;ID1=066168&amp;VALUEID=03451&amp;SDATE=2009&amp;PERIODTYPE=ANN_STD&amp;window=popup_no_bar&amp;width=385&amp;height=120&amp;START_MAXIMIZED=FALSE&amp;creator=factset&amp;display_string=Audit"}</definedName>
    <definedName name="_1711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5"}</definedName>
    <definedName name="_1712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1713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714__FDSAUDITLINK__" hidden="1">{"fdsup://Directions/FactSet Auditing Viewer?action=AUDIT_VALUE&amp;DB=129&amp;ID1=088470&amp;VALUEID=04001&amp;SDATE=2007&amp;PERIODTYPE=ANN_STD&amp;window=popup_no_bar&amp;width=385&amp;height=120&amp;START_MAXIMIZED=FALSE&amp;creator=factset&amp;display_string=Audit"}</definedName>
    <definedName name="_1715__FDSAUDITLINK__" hidden="1">{"fdsup://directions/FAT Viewer?action=UPDATE&amp;creator=factset&amp;DYN_ARGS=TRUE&amp;DOC_NAME=FAT:FQL_AUDITING_CLIENT_TEMPLATE.FAT&amp;display_string=Audit&amp;VAR:KEY=BSZCNUHKJS&amp;VAR:QUERY=RkVfVkFMVUFUSU9OKCdFVl9TQUxFUycsJ01FQU4nLCdBTk5VQUwnLCcrMycsMCwsLCdDVVJSRU5DWT1FVVInK","Q==&amp;WINDOW=FIRST_POPUP&amp;HEIGHT=450&amp;WIDTH=450&amp;START_MAXIMIZED=FALSE&amp;VAR:CALENDAR=FIVEDAY&amp;VAR:SYMBOL=088470&amp;VAR:INDEX=0"}</definedName>
    <definedName name="_1716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1717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0"}</definedName>
    <definedName name="_1718__FDSAUDITLINK__" hidden="1">{"fdsup://directions/FAT Viewer?action=UPDATE&amp;creator=factset&amp;DYN_ARGS=TRUE&amp;DOC_NAME=FAT:FQL_AUDITING_CLIENT_TEMPLATE.FAT&amp;display_string=Audit&amp;VAR:KEY=VYRIZGBIFG&amp;VAR:QUERY=RkZfSU5UX0lOQ19ORVQoQU5OLC01WSwwWSxZLCxFVVIp&amp;WINDOW=FIRST_POPUP&amp;HEIGHT=450&amp;WIDTH=450&amp;","START_MAXIMIZED=FALSE&amp;VAR:CALENDAR=FIVEDAY&amp;VAR:SYMBOL=088470&amp;VAR:INDEX=0"}</definedName>
    <definedName name="_1719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720__FDSAUDITLINK__" hidden="1">{"fdsup://Directions/FactSet Auditing Viewer?action=AUDIT_VALUE&amp;DB=129&amp;ID1=088470&amp;VALUEID=01250&amp;SDATE=2008&amp;PERIODTYPE=ANN_STD&amp;window=popup_no_bar&amp;width=385&amp;height=120&amp;START_MAXIMIZED=FALSE&amp;creator=factset&amp;display_string=Audit"}</definedName>
    <definedName name="_1721__FDSAUDITLINK__" hidden="1">{"fdsup://directions/FAT Viewer?action=UPDATE&amp;creator=factset&amp;DYN_ARGS=TRUE&amp;DOC_NAME=FAT:FQL_AUDITING_CLIENT_TEMPLATE.FAT&amp;display_string=Audit&amp;VAR:KEY=NKPIVGLUFY&amp;VAR:QUERY=RkZfQ09HUyhBTk4sLTVZLDBZLFksLEVVUik=&amp;WINDOW=FIRST_POPUP&amp;HEIGHT=450&amp;WIDTH=450&amp;START_MA","XIMIZED=FALSE&amp;VAR:CALENDAR=FIVEDAY&amp;VAR:SYMBOL=088470&amp;VAR:INDEX=1"}</definedName>
    <definedName name="_1722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723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3"}</definedName>
    <definedName name="_1724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2"}</definedName>
    <definedName name="_1725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726__FDSAUDITLINK__" hidden="1">{"fdsup://Directions/FactSet Auditing Viewer?action=AUDIT_VALUE&amp;DB=129&amp;ID1=088470&amp;VALUEID=04890&amp;SDATE=2008&amp;PERIODTYPE=ANN_STD&amp;window=popup_no_bar&amp;width=385&amp;height=120&amp;START_MAXIMIZED=FALSE&amp;creator=factset&amp;display_string=Audit"}</definedName>
    <definedName name="_1727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5"}</definedName>
    <definedName name="_1728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definedName>
    <definedName name="_1729__FDSAUDITLINK__" hidden="1">{"fdsup://Directions/FactSet Auditing Viewer?action=AUDIT_VALUE&amp;DB=129&amp;ID1=088470&amp;VALUEID=05194&amp;SDATE=201002&amp;PERIODTYPE=SEMI_STD&amp;SCFT=3&amp;window=popup_no_bar&amp;width=385&amp;height=120&amp;START_MAXIMIZED=FALSE&amp;creator=factset&amp;display_string=Audit"}</definedName>
    <definedName name="_1730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14"}</definedName>
    <definedName name="_1731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732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1733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1734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1735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737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1743__FDSAUDITLINK__" hidden="1">{"fdsup://Directions/FactSet Auditing Viewer?action=AUDIT_VALUE&amp;DB=129&amp;ID1=088470&amp;VALUEID=04151&amp;SDATE=2007&amp;PERIODTYPE=ANN_STD&amp;window=popup_no_bar&amp;width=385&amp;height=120&amp;START_MAXIMIZED=FALSE&amp;creator=factset&amp;display_string=Audit"}</definedName>
    <definedName name="_1744__FDSAUDITLINK__" hidden="1">{"fdsup://Directions/FactSet Auditing Viewer?action=AUDIT_VALUE&amp;DB=129&amp;ID1=088470&amp;VALUEID=04870&amp;SDATE=2007&amp;PERIODTYPE=ANN_STD&amp;window=popup_no_bar&amp;width=385&amp;height=120&amp;START_MAXIMIZED=FALSE&amp;creator=factset&amp;display_string=Audit"}</definedName>
    <definedName name="_1745__FDSAUDITLINK__" hidden="1">{"fdsup://Directions/FactSet Auditing Viewer?action=AUDIT_VALUE&amp;DB=129&amp;ID1=088470&amp;VALUEID=02008&amp;SDATE=2009&amp;PERIODTYPE=ANN_STD&amp;window=popup_no_bar&amp;width=385&amp;height=120&amp;START_MAXIMIZED=FALSE&amp;creator=factset&amp;display_string=Audit"}</definedName>
    <definedName name="_1746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747__FDSAUDITLINK__" hidden="1">{"fdsup://Directions/FactSet Auditing Viewer?action=AUDIT_VALUE&amp;DB=129&amp;ID1=088470&amp;VALUEID=02008&amp;SDATE=2008&amp;PERIODTYPE=ANN_STD&amp;window=popup_no_bar&amp;width=385&amp;height=120&amp;START_MAXIMIZED=FALSE&amp;creator=factset&amp;display_string=Audit"}</definedName>
    <definedName name="_1748__FDSAUDITLINK__" hidden="1">{"fdsup://Directions/FactSet Auditing Viewer?action=AUDIT_VALUE&amp;DB=129&amp;ID1=088470&amp;VALUEID=02008&amp;SDATE=2007&amp;PERIODTYPE=ANN_STD&amp;window=popup_no_bar&amp;width=385&amp;height=120&amp;START_MAXIMIZED=FALSE&amp;creator=factset&amp;display_string=Audit"}</definedName>
    <definedName name="_1749__FDSAUDITLINK__" hidden="1">{"fdsup://Directions/FactSet Auditing Viewer?action=AUDIT_VALUE&amp;DB=129&amp;ID1=088470&amp;VALUEID=04001&amp;SDATE=2007&amp;PERIODTYPE=ANN_STD&amp;window=popup_no_bar&amp;width=385&amp;height=120&amp;START_MAXIMIZED=FALSE&amp;creator=factset&amp;display_string=Audit"}</definedName>
    <definedName name="_175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49"}</definedName>
    <definedName name="_1750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52"}</definedName>
    <definedName name="_1751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752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753__FDSAUDITLINK__" hidden="1">{"fdsup://Directions/FactSet Auditing Viewer?action=AUDIT_VALUE&amp;DB=129&amp;ID1=088470&amp;VALUEID=03040&amp;SDATE=2007&amp;PERIODTYPE=ANN_STD&amp;window=popup_no_bar&amp;width=385&amp;height=120&amp;START_MAXIMIZED=FALSE&amp;creator=factset&amp;display_string=Audit"}</definedName>
    <definedName name="_175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6"}</definedName>
    <definedName name="_1755__FDSAUDITLINK__" hidden="1">{"fdsup://Directions/FactSet Auditing Viewer?action=AUDIT_VALUE&amp;DB=129&amp;ID1=088470&amp;VALUEID=01401&amp;SDATE=2009&amp;PERIODTYPE=ANN_STD&amp;window=popup_no_bar&amp;width=385&amp;height=120&amp;START_MAXIMIZED=FALSE&amp;creator=factset&amp;display_string=Audit"}</definedName>
    <definedName name="_1756__FDSAUDITLINK__" hidden="1">{"fdsup://directions/FAT Viewer?action=UPDATE&amp;creator=factset&amp;DYN_ARGS=TRUE&amp;DOC_NAME=FAT:FQL_AUDITING_CLIENT_TEMPLATE.FAT&amp;display_string=Audit&amp;VAR:KEY=RQJUBMPMDY&amp;VAR:QUERY=RkZfTElBQlNfQ1VSUl9PVEgoQU5OLC01WSwwWSxZLCxFVVIp&amp;WINDOW=FIRST_POPUP&amp;HEIGHT=450&amp;WIDTH=","450&amp;START_MAXIMIZED=FALSE&amp;VAR:CALENDAR=FIVEDAY&amp;VAR:SYMBOL=088470&amp;VAR:INDEX=3"}</definedName>
    <definedName name="_1757__FDSAUDITLINK__" hidden="1">{"fdsup://directions/FAT Viewer?action=UPDATE&amp;creator=factset&amp;DYN_ARGS=TRUE&amp;DOC_NAME=FAT:FQL_AUDITING_CLIENT_TEMPLATE.FAT&amp;display_string=Audit&amp;VAR:KEY=RQJUBMPMDY&amp;VAR:QUERY=RkZfTElBQlNfQ1VSUl9PVEgoQU5OLC01WSwwWSxZLCxFVVIp&amp;WINDOW=FIRST_POPUP&amp;HEIGHT=450&amp;WIDTH=","450&amp;START_MAXIMIZED=FALSE&amp;VAR:CALENDAR=FIVEDAY&amp;VAR:SYMBOL=088470&amp;VAR:INDEX=2"}</definedName>
    <definedName name="_1758__FDSAUDITLINK__" hidden="1">{"fdsup://directions/FAT Viewer?action=UPDATE&amp;creator=factset&amp;DYN_ARGS=TRUE&amp;DOC_NAME=FAT:FQL_AUDITING_CLIENT_TEMPLATE.FAT&amp;display_string=Audit&amp;VAR:KEY=RQJUBMPMDY&amp;VAR:QUERY=RkZfTElBQlNfQ1VSUl9PVEgoQU5OLC01WSwwWSxZLCxFVVIp&amp;WINDOW=FIRST_POPUP&amp;HEIGHT=450&amp;WIDTH=","450&amp;START_MAXIMIZED=FALSE&amp;VAR:CALENDAR=FIVEDAY&amp;VAR:SYMBOL=088470&amp;VAR:INDEX=1"}</definedName>
    <definedName name="_1759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4"}</definedName>
    <definedName name="_1760__FDSAUDITLINK__" hidden="1">{"fdsup://directions/FAT Viewer?action=UPDATE&amp;creator=factset&amp;DYN_ARGS=TRUE&amp;DOC_NAME=FAT:FQL_AUDITING_CLIENT_TEMPLATE.FAT&amp;display_string=Audit&amp;VAR:KEY=RQJUBMPMDY&amp;VAR:QUERY=RkZfTElBQlNfQ1VSUl9PVEgoQU5OLC01WSwwWSxZLCxFVVIp&amp;WINDOW=FIRST_POPUP&amp;HEIGHT=450&amp;WIDTH=","450&amp;START_MAXIMIZED=FALSE&amp;VAR:CALENDAR=FIVEDAY&amp;VAR:SYMBOL=088470&amp;VAR:INDEX=0"}</definedName>
    <definedName name="_1761__FDSAUDITLINK__" hidden="1">{"fdsup://Directions/FactSet Auditing Viewer?action=AUDIT_VALUE&amp;DB=129&amp;ID1=088470&amp;VALUEID=01401&amp;SDATE=2008&amp;PERIODTYPE=ANN_STD&amp;window=popup_no_bar&amp;width=385&amp;height=120&amp;START_MAXIMIZED=FALSE&amp;creator=factset&amp;display_string=Audit"}</definedName>
    <definedName name="_1762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763__FDSAUDITLINK__" hidden="1">{"fdsup://Directions/FactSet Auditing Viewer?action=AUDIT_VALUE&amp;DB=129&amp;ID1=066168&amp;VALUEID=03451&amp;SDATE=2008&amp;PERIODTYPE=ANN_STD&amp;window=popup_no_bar&amp;width=385&amp;height=120&amp;START_MAXIMIZED=FALSE&amp;creator=factset&amp;display_string=Audit"}</definedName>
    <definedName name="_1764__FDSAUDITLINK__" hidden="1">{"fdsup://directions/FAT Viewer?action=UPDATE&amp;creator=factset&amp;DYN_ARGS=TRUE&amp;DOC_NAME=FAT:FQL_AUDITING_CLIENT_TEMPLATE.FAT&amp;display_string=Audit&amp;VAR:KEY=PWBYXSXKDG&amp;VAR:QUERY=RkVfVkFMVUFUSU9OKCdFVl9FQklUREEnLCdNRUFOJywnTFRNQScsJycsMCwsLCdDVVJSRU5DWT1FVVInKQ==&amp;","WINDOW=FIRST_POPUP&amp;HEIGHT=450&amp;WIDTH=450&amp;START_MAXIMIZED=FALSE&amp;VAR:CALENDAR=FIVEDAY&amp;VAR:SYMBOL=088470&amp;VAR:INDEX=0"}</definedName>
    <definedName name="_1765__FDSAUDITLINK__" hidden="1">{"fdsup://Directions/FactSet Auditing Viewer?action=AUDIT_VALUE&amp;DB=129&amp;ID1=066168&amp;VALUEID=03451&amp;SDATE=2007&amp;PERIODTYPE=ANN_STD&amp;window=popup_no_bar&amp;width=385&amp;height=120&amp;START_MAXIMIZED=FALSE&amp;creator=factset&amp;display_string=Audit"}</definedName>
    <definedName name="_1766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1"}</definedName>
    <definedName name="_1767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768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0"}</definedName>
    <definedName name="_1769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5"}</definedName>
    <definedName name="_1770__FDSAUDITLINK__" hidden="1">{"fdsup://Directions/FactSet Auditing Viewer?action=AUDIT_VALUE&amp;DB=129&amp;ID1=088470&amp;VALUEID=05194&amp;SDATE=2008&amp;PERIODTYPE=ANN_STD&amp;window=popup_no_bar&amp;width=385&amp;height=120&amp;START_MAXIMIZED=FALSE&amp;creator=factset&amp;display_string=Audit"}</definedName>
    <definedName name="_1771__FDSAUDITLINK__" hidden="1">{"fdsup://Directions/FactSet Auditing Viewer?action=AUDIT_VALUE&amp;DB=129&amp;ID1=088470&amp;VALUEID=01401&amp;SDATE=2008&amp;PERIODTYPE=ANN_STD&amp;window=popup_no_bar&amp;width=385&amp;height=120&amp;START_MAXIMIZED=FALSE&amp;creator=factset&amp;display_string=Audit"}</definedName>
    <definedName name="_1772__FDSAUDITLINK__" hidden="1">{"fdsup://Directions/FactSet Auditing Viewer?action=AUDIT_VALUE&amp;DB=129&amp;ID1=088470&amp;VALUEID=04890&amp;SDATE=2009&amp;PERIODTYPE=ANN_STD&amp;window=popup_no_bar&amp;width=385&amp;height=120&amp;START_MAXIMIZED=FALSE&amp;creator=factset&amp;display_string=Audit"}</definedName>
    <definedName name="_1773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77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15"}</definedName>
    <definedName name="_177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36"}</definedName>
    <definedName name="_1776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12"}</definedName>
    <definedName name="_1777__FDSAUDITLINK__" hidden="1">{"fdsup://directions/FAT Viewer?action=UPDATE&amp;creator=factset&amp;DYN_ARGS=TRUE&amp;DOC_NAME=FAT:FQL_AUDITING_CLIENT_TEMPLATE.FAT&amp;display_string=Audit&amp;VAR:KEY=FOJCBWBWZI&amp;VAR:QUERY=RkZfT1BFUl9JTkMoQU5OLC01WSwwWSxZLCxFVVIpK0ZGX0RFUF9BTU9SVF9FWFAoQU5OLC01WSwwWSxZLCxFV","VIp&amp;WINDOW=FIRST_POPUP&amp;HEIGHT=450&amp;WIDTH=450&amp;START_MAXIMIZED=FALSE&amp;VAR:CALENDAR=FIVEDAY&amp;VAR:SYMBOL=088470&amp;VAR:INDEX=0"}</definedName>
    <definedName name="_1778__FDSAUDITLINK__" hidden="1">{"fdsup://directions/FAT Viewer?action=UPDATE&amp;creator=factset&amp;DYN_ARGS=TRUE&amp;DOC_NAME=FAT:FQL_AUDITING_CLIENT_TEMPLATE.FAT&amp;display_string=Audit&amp;VAR:KEY=LSZMJSDIJY&amp;VAR:QUERY=RkZfT1BFUl9FWFAoQU5OLC01WSwwWSxZLCxFVVIpKygtMSpGRl9ERVBfQU1PUlRfRVhQKEFOTiwtNVksMFksW","SwsRVVSKSk=&amp;WINDOW=FIRST_POPUP&amp;HEIGHT=450&amp;WIDTH=450&amp;START_MAXIMIZED=FALSE&amp;VAR:CALENDAR=FIVEDAY&amp;VAR:SYMBOL=088470&amp;VAR:INDEX=5"}</definedName>
    <definedName name="_1779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780__FDSAUDITLINK__" hidden="1">{"fdsup://directions/FAT Viewer?action=UPDATE&amp;creator=factset&amp;DYN_ARGS=TRUE&amp;DOC_NAME=FAT:FQL_AUDITING_CLIENT_TEMPLATE.FAT&amp;display_string=Audit&amp;VAR:KEY=NKPIVGLUFY&amp;VAR:QUERY=RkZfQ09HUyhBTk4sLTVZLDBZLFksLEVVUik=&amp;WINDOW=FIRST_POPUP&amp;HEIGHT=450&amp;WIDTH=450&amp;START_MA","XIMIZED=FALSE&amp;VAR:CALENDAR=FIVEDAY&amp;VAR:SYMBOL=088470&amp;VAR:INDEX=3"}</definedName>
    <definedName name="_1781__FDSAUDITLINK__" hidden="1">{"fdsup://directions/FAT Viewer?action=UPDATE&amp;creator=factset&amp;DYN_ARGS=TRUE&amp;DOC_NAME=FAT:FQL_AUDITING_CLIENT_TEMPLATE.FAT&amp;display_string=Audit&amp;VAR:KEY=FOJCBWBWZI&amp;VAR:QUERY=RkZfT1BFUl9JTkMoQU5OLC01WSwwWSxZLCxFVVIpK0ZGX0RFUF9BTU9SVF9FWFAoQU5OLC01WSwwWSxZLCxFV","VIp&amp;WINDOW=FIRST_POPUP&amp;HEIGHT=450&amp;WIDTH=450&amp;START_MAXIMIZED=FALSE&amp;VAR:CALENDAR=FIVEDAY&amp;VAR:SYMBOL=088470&amp;VAR:INDEX=2"}</definedName>
    <definedName name="_1782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783__FDSAUDITLINK__" hidden="1">{"fdsup://directions/FAT Viewer?action=UPDATE&amp;creator=factset&amp;DYN_ARGS=TRUE&amp;DOC_NAME=FAT:FQL_AUDITING_CLIENT_TEMPLATE.FAT&amp;display_string=Audit&amp;VAR:KEY=FOJCBWBWZI&amp;VAR:QUERY=RkZfT1BFUl9JTkMoQU5OLC01WSwwWSxZLCxFVVIpK0ZGX0RFUF9BTU9SVF9FWFAoQU5OLC01WSwwWSxZLCxFV","VIp&amp;WINDOW=FIRST_POPUP&amp;HEIGHT=450&amp;WIDTH=450&amp;START_MAXIMIZED=FALSE&amp;VAR:CALENDAR=FIVEDAY&amp;VAR:SYMBOL=088470&amp;VAR:INDEX=1"}</definedName>
    <definedName name="_1784__FDSAUDITLINK__" hidden="1">{"fdsup://Directions/FactSet Auditing Viewer?action=AUDIT_VALUE&amp;DB=129&amp;ID1=088470&amp;VALUEID=01151&amp;SDATE=2007&amp;PERIODTYPE=ANN_STD&amp;window=popup_no_bar&amp;width=385&amp;height=120&amp;START_MAXIMIZED=FALSE&amp;creator=factset&amp;display_string=Audit"}</definedName>
    <definedName name="_1785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786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787__FDSAUDITLINK__" hidden="1">{"fdsup://directions/FAT Viewer?action=UPDATE&amp;creator=factset&amp;DYN_ARGS=TRUE&amp;DOC_NAME=FAT:FQL_AUDITING_CLIENT_TEMPLATE.FAT&amp;display_string=Audit&amp;VAR:KEY=HMDSFAFGVA&amp;VAR:QUERY=RkZfTk9OX0lOVF9JTkMoQU5OLC01WSwwWSxZLCxFVVIp&amp;WINDOW=FIRST_POPUP&amp;HEIGHT=450&amp;WIDTH=450&amp;","START_MAXIMIZED=FALSE&amp;VAR:CALENDAR=FIVEDAY&amp;VAR:SYMBOL=088470&amp;VAR:INDEX=2"}</definedName>
    <definedName name="_1788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3"}</definedName>
    <definedName name="_1789__FDSAUDITLINK__" hidden="1">{"fdsup://Directions/FactSet Auditing Viewer?action=AUDIT_VALUE&amp;DB=129&amp;ID1=088470&amp;VALUEID=01151&amp;SDATE=2009&amp;PERIODTYPE=ANN_STD&amp;window=popup_no_bar&amp;width=385&amp;height=120&amp;START_MAXIMIZED=FALSE&amp;creator=factset&amp;display_string=Audit"}</definedName>
    <definedName name="_179__FDSAUDITLINK__" hidden="1">{"fdsup://Directions/FactSet Auditing Viewer?action=AUDIT_VALUE&amp;DB=129&amp;ID1=054052&amp;VALUEID=02999&amp;SDATE=2006&amp;PERIODTYPE=ANN_STD&amp;window=popup_no_bar&amp;width=385&amp;height=120&amp;START_MAXIMIZED=FALSE&amp;creator=factset&amp;display_string=Audit"}</definedName>
    <definedName name="_1790__FDSAUDITLINK__" hidden="1">{"fdsup://Directions/FactSet Auditing Viewer?action=AUDIT_VALUE&amp;DB=129&amp;ID1=088470&amp;VALUEID=01151&amp;SDATE=2008&amp;PERIODTYPE=ANN_STD&amp;window=popup_no_bar&amp;width=385&amp;height=120&amp;START_MAXIMIZED=FALSE&amp;creator=factset&amp;display_string=Audit"}</definedName>
    <definedName name="_1791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792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4"}</definedName>
    <definedName name="_1793__FDSAUDITLINK__" hidden="1">{"fdsup://directions/FAT Viewer?action=UPDATE&amp;creator=factset&amp;DYN_ARGS=TRUE&amp;DOC_NAME=FAT:FQL_AUDITING_CLIENT_TEMPLATE.FAT&amp;display_string=Audit&amp;VAR:KEY=RGVGZKJIHC&amp;VAR:QUERY=NC44NzMxMjgvRkZfQlBTKEFOTiwwLCwsLEVVUik=&amp;WINDOW=FIRST_POPUP&amp;HEIGHT=450&amp;WIDTH=450&amp;STAR","T_MAXIMIZED=FALSE&amp;VAR:CALENDAR=FIVEDAY&amp;VAR:SYMBOL=088470&amp;VAR:INDEX=0"}</definedName>
    <definedName name="_179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21"}</definedName>
    <definedName name="_1795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796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797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798__FDSAUDITLINK__" hidden="1">{"fdsup://Directions/FactSet Auditing Viewer?action=AUDIT_VALUE&amp;DB=129&amp;ID1=066168&amp;VALUEID=01270&amp;SDATE=2009&amp;PERIODTYPE=ANN_STD&amp;window=popup_no_bar&amp;width=385&amp;height=120&amp;START_MAXIMIZED=FALSE&amp;creator=factset&amp;display_string=Audit"}</definedName>
    <definedName name="_1799__FDSAUDITLINK__" hidden="1">{"fdsup://Directions/FactSet Auditing Viewer?action=AUDIT_VALUE&amp;DB=129&amp;ID1=066168&amp;VALUEID=01270&amp;SDATE=2008&amp;PERIODTYPE=ANN_STD&amp;window=popup_no_bar&amp;width=385&amp;height=120&amp;START_MAXIMIZED=FALSE&amp;creator=factset&amp;display_string=Audit"}</definedName>
    <definedName name="_18__FDSAUDITLINK__" localSheetId="3" hidden="1">{"fdsup://Directions/FactSet Auditing Viewer?action=AUDIT_VALUE&amp;DB=129&amp;ID1=054052&amp;VALUEID=01271&amp;SDATE=2006&amp;PERIODTYPE=ANN_STD&amp;window=popup_no_bar&amp;width=385&amp;height=120&amp;START_MAXIMIZED=FALSE&amp;creator=factset&amp;display_string=Audit"}</definedName>
    <definedName name="_18__FDSAUDITLINK__" localSheetId="55" hidden="1">{"fdsup://Directions/FactSet Auditing Viewer?action=AUDIT_VALUE&amp;DB=129&amp;ID1=054052&amp;VALUEID=01271&amp;SDATE=2006&amp;PERIODTYPE=ANN_STD&amp;window=popup_no_bar&amp;width=385&amp;height=120&amp;START_MAXIMIZED=FALSE&amp;creator=factset&amp;display_string=Audit"}</definedName>
    <definedName name="_18__FDSAUDITLINK__" hidden="1">{"fdsup://directions/FAT Viewer?action=UPDATE&amp;creator=factSet&amp;DYN_ARGS=true&amp;DOC_NAME=FAT:RGA_ENTRPR_VAL_EV_SOURCE_WINDOW.FAT&amp;VAR:ID1=ALE-US&amp;VAR:SDATE=20091211&amp;VAR:FDATE=20081231&amp;VAR:FREQ=DAILY&amp;VAR:RELITEM=RP&amp;VAR:CURRENCY=&amp;VAR:DB_TYPE=&amp;VAR:UNITS=M&amp;window=pop","up&amp;width=535&amp;height=425&amp;START_MAXIMIZED=FALSE&amp;Y=120"}</definedName>
    <definedName name="_1800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3"}</definedName>
    <definedName name="_1801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2"}</definedName>
    <definedName name="_1802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803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804__FDSAUDITLINK__" hidden="1">{"fdsup://Directions/FactSet Auditing Viewer?action=AUDIT_VALUE&amp;DB=129&amp;ID1=088470&amp;VALUEID=04870&amp;SDATE=2009&amp;PERIODTYPE=ANN_STD&amp;window=popup_no_bar&amp;width=385&amp;height=120&amp;START_MAXIMIZED=FALSE&amp;creator=factset&amp;display_string=Audit"}</definedName>
    <definedName name="_1805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30"}</definedName>
    <definedName name="_1806__FDSAUDITLINK__" hidden="1">{"fdsup://Directions/FactSet Auditing Viewer?action=AUDIT_VALUE&amp;DB=129&amp;ID1=088470&amp;VALUEID=04870&amp;SDATE=2008&amp;PERIODTYPE=ANN_STD&amp;window=popup_no_bar&amp;width=385&amp;height=120&amp;START_MAXIMIZED=FALSE&amp;creator=factset&amp;display_string=Audit"}</definedName>
    <definedName name="_1807__FDSAUDITLINK__" hidden="1">{"fdsup://Directions/FactSet Auditing Viewer?action=AUDIT_VALUE&amp;DB=129&amp;ID1=088470&amp;VALUEID=04870&amp;SDATE=2007&amp;PERIODTYPE=ANN_STD&amp;window=popup_no_bar&amp;width=385&amp;height=120&amp;START_MAXIMIZED=FALSE&amp;creator=factset&amp;display_string=Audit"}</definedName>
    <definedName name="_1808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22"}</definedName>
    <definedName name="_1809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810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41"}</definedName>
    <definedName name="_1811__FDSAUDITLINK__" hidden="1">{"fdsup://Directions/FactSet Auditing Viewer?action=AUDIT_VALUE&amp;DB=129&amp;ID1=088470&amp;VALUEID=02649&amp;SDATE=2007&amp;PERIODTYPE=ANN_STD&amp;window=popup_no_bar&amp;width=385&amp;height=120&amp;START_MAXIMIZED=FALSE&amp;creator=factset&amp;display_string=Audit"}</definedName>
    <definedName name="_1812__FDSAUDITLINK__" hidden="1">{"fdsup://Directions/FactSet Auditing Viewer?action=AUDIT_VALUE&amp;DB=129&amp;ID1=088470&amp;VALUEID=02648&amp;SDATE=2009&amp;PERIODTYPE=ANN_STD&amp;window=popup_no_bar&amp;width=385&amp;height=120&amp;START_MAXIMIZED=FALSE&amp;creator=factset&amp;display_string=Audit"}</definedName>
    <definedName name="_1813__FDSAUDITLINK__" hidden="1">{"fdsup://Directions/FactSet Auditing Viewer?action=AUDIT_VALUE&amp;DB=129&amp;ID1=088470&amp;VALUEID=02648&amp;SDATE=2008&amp;PERIODTYPE=ANN_STD&amp;window=popup_no_bar&amp;width=385&amp;height=120&amp;START_MAXIMIZED=FALSE&amp;creator=factset&amp;display_string=Audit"}</definedName>
    <definedName name="_1814__FDSAUDITLINK__" hidden="1">{"fdsup://Directions/FactSet Auditing Viewer?action=AUDIT_VALUE&amp;DB=129&amp;ID1=088470&amp;VALUEID=02648&amp;SDATE=2007&amp;PERIODTYPE=ANN_STD&amp;window=popup_no_bar&amp;width=385&amp;height=120&amp;START_MAXIMIZED=FALSE&amp;creator=factset&amp;display_string=Audit"}</definedName>
    <definedName name="_1815__FDSAUDITLINK__" hidden="1">{"fdsup://directions/FAT Viewer?action=UPDATE&amp;creator=factset&amp;DYN_ARGS=TRUE&amp;DOC_NAME=FAT:FQL_AUDITING_CLIENT_TEMPLATE.FAT&amp;display_string=Audit&amp;VAR:KEY=TUNIZEZATA&amp;VAR:QUERY=RkZfRUJJVERBX09QRVIoQU5OLC01WSwwWSxZLCxFVVIp&amp;WINDOW=FIRST_POPUP&amp;HEIGHT=450&amp;WIDTH=450&amp;","START_MAXIMIZED=FALSE&amp;VAR:CALENDAR=FIVEDAY&amp;VAR:SYMBOL=088470&amp;VAR:INDEX=2"}</definedName>
    <definedName name="_1816__FDSAUDITLINK__" hidden="1">{"fdsup://Directions/FactSet Auditing Viewer?action=AUDIT_VALUE&amp;DB=129&amp;ID1=088470&amp;VALUEID=02501&amp;SDATE=2009&amp;PERIODTYPE=ANN_STD&amp;window=popup_no_bar&amp;width=385&amp;height=120&amp;START_MAXIMIZED=FALSE&amp;creator=factset&amp;display_string=Audit"}</definedName>
    <definedName name="_1817__FDSAUDITLINK__" hidden="1">{"fdsup://Directions/FactSet Auditing Viewer?action=AUDIT_VALUE&amp;DB=129&amp;ID1=088470&amp;VALUEID=02501&amp;SDATE=2008&amp;PERIODTYPE=ANN_STD&amp;window=popup_no_bar&amp;width=385&amp;height=120&amp;START_MAXIMIZED=FALSE&amp;creator=factset&amp;display_string=Audit"}</definedName>
    <definedName name="_1818__FDSAUDITLINK__" hidden="1">{"fdsup://Directions/FactSet Auditing Viewer?action=AUDIT_VALUE&amp;DB=129&amp;ID1=088470&amp;VALUEID=03351&amp;SDATE=2008&amp;PERIODTYPE=ANN_STD&amp;window=popup_no_bar&amp;width=385&amp;height=120&amp;START_MAXIMIZED=FALSE&amp;creator=factset&amp;display_string=Audit"}</definedName>
    <definedName name="_1819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1820__FDSAUDITLINK__" hidden="1">{"fdsup://Directions/FactSet Auditing Viewer?action=AUDIT_VALUE&amp;DB=129&amp;ID1=088470&amp;VALUEID=03351&amp;SDATE=2007&amp;PERIODTYPE=ANN_STD&amp;window=popup_no_bar&amp;width=385&amp;height=120&amp;START_MAXIMIZED=FALSE&amp;creator=factset&amp;display_string=Audit"}</definedName>
    <definedName name="_1821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822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27"}</definedName>
    <definedName name="_1823__FDSAUDITLINK__" hidden="1">{"fdsup://directions/FAT Viewer?action=UPDATE&amp;creator=factset&amp;DYN_ARGS=TRUE&amp;DOC_NAME=FAT:FQL_AUDITING_CLIENT_TEMPLATE.FAT&amp;display_string=Audit&amp;VAR:KEY=XYJQPCHWBY&amp;VAR:QUERY=RkZfTk9OX0lOVF9FWFAoQU5OLC01WSwwWSxZLCxFVVIp&amp;WINDOW=FIRST_POPUP&amp;HEIGHT=450&amp;WIDTH=450&amp;","START_MAXIMIZED=FALSE&amp;VAR:CALENDAR=FIVEDAY&amp;VAR:SYMBOL=088470&amp;VAR:INDEX=1"}</definedName>
    <definedName name="_1824__FDSAUDITLINK__" hidden="1">{"fdsup://Directions/FactSet Auditing Viewer?action=AUDIT_VALUE&amp;DB=129&amp;ID1=088470&amp;VALUEID=02649&amp;SDATE=2009&amp;PERIODTYPE=ANN_STD&amp;window=popup_no_bar&amp;width=385&amp;height=120&amp;START_MAXIMIZED=FALSE&amp;creator=factset&amp;display_string=Audit"}</definedName>
    <definedName name="_1825__FDSAUDITLINK__" hidden="1">{"fdsup://Directions/FactSet Auditing Viewer?action=AUDIT_VALUE&amp;DB=129&amp;ID1=088470&amp;VALUEID=02649&amp;SDATE=2008&amp;PERIODTYPE=ANN_STD&amp;window=popup_no_bar&amp;width=385&amp;height=120&amp;START_MAXIMIZED=FALSE&amp;creator=factset&amp;display_string=Audit"}</definedName>
    <definedName name="_1826__FDSAUDITLINK__" hidden="1">{"fdsup://directions/FAT Viewer?action=UPDATE&amp;creator=factset&amp;DYN_ARGS=TRUE&amp;DOC_NAME=FAT:FQL_AUDITING_CLIENT_TEMPLATE.FAT&amp;display_string=Audit&amp;VAR:KEY=TUNIZEZATA&amp;VAR:QUERY=RkZfRUJJVERBX09QRVIoQU5OLC01WSwwWSxZLCxFVVIp&amp;WINDOW=FIRST_POPUP&amp;HEIGHT=450&amp;WIDTH=450&amp;","START_MAXIMIZED=FALSE&amp;VAR:CALENDAR=FIVEDAY&amp;VAR:SYMBOL=088470&amp;VAR:INDEX=1"}</definedName>
    <definedName name="_1827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4"}</definedName>
    <definedName name="_1828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829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3"}</definedName>
    <definedName name="_1830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2"}</definedName>
    <definedName name="_1831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1"}</definedName>
    <definedName name="_1832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0"}</definedName>
    <definedName name="_1833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5"}</definedName>
    <definedName name="_1834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835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2"}</definedName>
    <definedName name="_1836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28"}</definedName>
    <definedName name="_1837__FDSAUDITLINK__" hidden="1">{"fdsup://Directions/FactSet Auditing Viewer?action=AUDIT_VALUE&amp;DB=129&amp;ID1=088470&amp;VALUEID=04601&amp;SDATE=2008&amp;PERIODTYPE=ANN_STD&amp;window=popup_no_bar&amp;width=385&amp;height=120&amp;START_MAXIMIZED=FALSE&amp;creator=factset&amp;display_string=Audit"}</definedName>
    <definedName name="_1838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1"}</definedName>
    <definedName name="_1839__FDSAUDITLINK__" hidden="1">{"fdsup://directions/FAT Viewer?action=UPDATE&amp;creator=factset&amp;DYN_ARGS=TRUE&amp;DOC_NAME=FAT:FQL_AUDITING_CLIENT_TEMPLATE.FAT&amp;display_string=Audit&amp;VAR:KEY=XYJQPCHWBY&amp;VAR:QUERY=RkZfTk9OX0lOVF9FWFAoQU5OLC01WSwwWSxZLCxFVVIp&amp;WINDOW=FIRST_POPUP&amp;HEIGHT=450&amp;WIDTH=450&amp;","START_MAXIMIZED=FALSE&amp;VAR:CALENDAR=FIVEDAY&amp;VAR:SYMBOL=088470&amp;VAR:INDEX=2"}</definedName>
    <definedName name="_1840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0"}</definedName>
    <definedName name="_1841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1842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51"}</definedName>
    <definedName name="_1843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40"}</definedName>
    <definedName name="_1844__FDSAUDITLINK__" hidden="1">{"fdsup://Directions/FactSet Auditing Viewer?action=AUDIT_VALUE&amp;DB=129&amp;ID1=088470&amp;VALUEID=03351&amp;SDATE=2009&amp;PERIODTYPE=ANN_STD&amp;window=popup_no_bar&amp;width=385&amp;height=120&amp;START_MAXIMIZED=FALSE&amp;creator=factset&amp;display_string=Audit"}</definedName>
    <definedName name="_1845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10"}</definedName>
    <definedName name="_1846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4"}</definedName>
    <definedName name="_1847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3"}</definedName>
    <definedName name="_1848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5"}</definedName>
    <definedName name="_1849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850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2"}</definedName>
    <definedName name="_1851__FDSAUDITLINK__" hidden="1">{"fdsup://Directions/FactSet Auditing Viewer?action=AUDIT_VALUE&amp;DB=129&amp;ID1=088470&amp;VALUEID=02501&amp;SDATE=2007&amp;PERIODTYPE=ANN_STD&amp;window=popup_no_bar&amp;width=385&amp;height=120&amp;START_MAXIMIZED=FALSE&amp;creator=factset&amp;display_string=Audit"}</definedName>
    <definedName name="_1852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853__FDSAUDITLINK__" hidden="1">{"fdsup://Directions/FactSet Auditing Viewer?action=AUDIT_VALUE&amp;DB=129&amp;ID1=066168&amp;VALUEID=03451&amp;SDATE=2007&amp;PERIODTYPE=ANN_STD&amp;window=popup_no_bar&amp;width=385&amp;height=120&amp;START_MAXIMIZED=FALSE&amp;creator=factset&amp;display_string=Audit"}</definedName>
    <definedName name="_1854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29"}</definedName>
    <definedName name="_1855__FDSAUDITLINK__" hidden="1">{"fdsup://directions/FAT Viewer?action=UPDATE&amp;creator=factset&amp;DYN_ARGS=TRUE&amp;DOC_NAME=FAT:FQL_AUDITING_CLIENT_TEMPLATE.FAT&amp;display_string=Audit&amp;VAR:KEY=RQBQLCFWRM&amp;VAR:QUERY=RkVfVkFMVUFUSU9OKCdNQ0FQX1NBTEVTJywnTUVBTicsJ0xUTUEnLCcnLDAsLCwnQ1VSUkVOQ1k9RVVSJyk=&amp;","WINDOW=FIRST_POPUP&amp;HEIGHT=450&amp;WIDTH=450&amp;START_MAXIMIZED=FALSE&amp;VAR:CALENDAR=FIVEDAY&amp;VAR:SYMBOL=088470&amp;VAR:INDEX=0"}</definedName>
    <definedName name="_1856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0"}</definedName>
    <definedName name="_1857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5"}</definedName>
    <definedName name="_1858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4"}</definedName>
    <definedName name="_1859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3"}</definedName>
    <definedName name="_1860__FDSAUDITLINK__" hidden="1">{"fdsup://Directions/FactSet Auditing Viewer?action=AUDIT_VALUE&amp;DB=129&amp;ID1=088470&amp;VALUEID=04601&amp;SDATE=2007&amp;PERIODTYPE=ANN_STD&amp;window=popup_no_bar&amp;width=385&amp;height=120&amp;START_MAXIMIZED=FALSE&amp;creator=factset&amp;display_string=Audit"}</definedName>
    <definedName name="_1861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862__FDSAUDITLINK__" hidden="1">{"fdsup://Directions/FactSet Auditing Viewer?action=AUDIT_VALUE&amp;DB=129&amp;ID1=088470&amp;VALUEID=02001&amp;SDATE=2007&amp;PERIODTYPE=ANN_STD&amp;window=popup_no_bar&amp;width=385&amp;height=120&amp;START_MAXIMIZED=FALSE&amp;creator=factset&amp;display_string=Audit"}</definedName>
    <definedName name="_1863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864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2"}</definedName>
    <definedName name="_1865__FDSAUDITLINK__" hidden="1">{"fdsup://Directions/FactSet Auditing Viewer?action=AUDIT_VALUE&amp;DB=129&amp;ID1=088470&amp;VALUEID=02999&amp;SDATE=2009&amp;PERIODTYPE=ANN_STD&amp;window=popup_no_bar&amp;width=385&amp;height=120&amp;START_MAXIMIZED=FALSE&amp;creator=factset&amp;display_string=Audit"}</definedName>
    <definedName name="_1866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37"}</definedName>
    <definedName name="_1867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4"}</definedName>
    <definedName name="_1868__FDSAUDITLINK__" hidden="1">{"fdsup://Directions/FactSet Auditing Viewer?action=AUDIT_VALUE&amp;DB=129&amp;ID1=088470&amp;VALUEID=01001&amp;SDATE=201001&amp;PERIODTYPE=SEMI_STD&amp;window=popup_no_bar&amp;width=385&amp;height=120&amp;START_MAXIMIZED=FALSE&amp;creator=factset&amp;display_string=Audit"}</definedName>
    <definedName name="_1869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2"}</definedName>
    <definedName name="_1870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3"}</definedName>
    <definedName name="_1871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10"}</definedName>
    <definedName name="_1872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1873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5"}</definedName>
    <definedName name="_1874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4"}</definedName>
    <definedName name="_1875__FDSAUDITLINK__" hidden="1">{"fdsup://Directions/FactSet Auditing Viewer?action=AUDIT_VALUE&amp;DB=129&amp;ID1=088470&amp;VALUEID=02051&amp;SDATE=2008&amp;PERIODTYPE=ANN_STD&amp;window=popup_no_bar&amp;width=385&amp;height=120&amp;START_MAXIMIZED=FALSE&amp;creator=factset&amp;display_string=Audit"}</definedName>
    <definedName name="_1876__FDSAUDITLINK__" hidden="1">{"fdsup://Directions/FactSet Auditing Viewer?action=AUDIT_VALUE&amp;DB=129&amp;ID1=088470&amp;VALUEID=02051&amp;SDATE=2007&amp;PERIODTYPE=ANN_STD&amp;window=popup_no_bar&amp;width=385&amp;height=120&amp;START_MAXIMIZED=FALSE&amp;creator=factset&amp;display_string=Audit"}</definedName>
    <definedName name="_1877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1"}</definedName>
    <definedName name="_1878__FDSAUDITLINK__" hidden="1">{"fdsup://Directions/FactSet Auditing Viewer?action=AUDIT_VALUE&amp;DB=129&amp;ID1=088470&amp;VALUEID=02001&amp;SDATE=2009&amp;PERIODTYPE=ANN_STD&amp;window=popup_no_bar&amp;width=385&amp;height=120&amp;START_MAXIMIZED=FALSE&amp;creator=factset&amp;display_string=Audit"}</definedName>
    <definedName name="_1879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1880__FDSAUDITLINK__" hidden="1">{"fdsup://Directions/FactSet Auditing Viewer?action=AUDIT_VALUE&amp;DB=129&amp;ID1=088470&amp;VALUEID=04151&amp;SDATE=2007&amp;PERIODTYPE=ANN_STD&amp;window=popup_no_bar&amp;width=385&amp;height=120&amp;START_MAXIMIZED=FALSE&amp;creator=factset&amp;display_string=Audit"}</definedName>
    <definedName name="_1881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1882__FDSAUDITLINK__" hidden="1">{"fdsup://Directions/FactSet Auditing Viewer?action=AUDIT_VALUE&amp;DB=129&amp;ID1=088470&amp;VALUEID=04001&amp;SDATE=2009&amp;PERIODTYPE=ANN_STD&amp;window=popup_no_bar&amp;width=385&amp;height=120&amp;START_MAXIMIZED=FALSE&amp;creator=factset&amp;display_string=Audit"}</definedName>
    <definedName name="_1883__FDSAUDITLINK__" hidden="1">{"fdsup://Directions/FactSet Auditing Viewer?action=AUDIT_VALUE&amp;DB=129&amp;ID1=088470&amp;VALUEID=04001&amp;SDATE=2008&amp;PERIODTYPE=ANN_STD&amp;window=popup_no_bar&amp;width=385&amp;height=120&amp;START_MAXIMIZED=FALSE&amp;creator=factset&amp;display_string=Audit"}</definedName>
    <definedName name="_1884__FDSAUDITLINK__" hidden="1">{"fdsup://Directions/FactSet Auditing Viewer?action=AUDIT_VALUE&amp;DB=129&amp;ID1=088470&amp;VALUEID=04355&amp;SDATE=2009&amp;PERIODTYPE=ANN_STD&amp;window=popup_no_bar&amp;width=385&amp;height=120&amp;START_MAXIMIZED=FALSE&amp;creator=factset&amp;display_string=Audit"}</definedName>
    <definedName name="_1885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886__FDSAUDITLINK__" hidden="1">{"fdsup://Directions/FactSet Auditing Viewer?action=AUDIT_VALUE&amp;DB=129&amp;ID1=088470&amp;VALUEID=01501&amp;SDATE=201001&amp;PERIODTYPE=SEMI_STD&amp;window=popup_no_bar&amp;width=385&amp;height=120&amp;START_MAXIMIZED=FALSE&amp;creator=factset&amp;display_string=Audit"}</definedName>
    <definedName name="_1887__FDSAUDITLINK__" hidden="1">{"fdsup://Directions/FactSet Auditing Viewer?action=AUDIT_VALUE&amp;DB=129&amp;ID1=088470&amp;VALUEID=04001&amp;SDATE=2007&amp;PERIODTYPE=ANN_STD&amp;window=popup_no_bar&amp;width=385&amp;height=120&amp;START_MAXIMIZED=FALSE&amp;creator=factset&amp;display_string=Audit"}</definedName>
    <definedName name="_1888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5"}</definedName>
    <definedName name="_1889__FDSAUDITLINK__" hidden="1">{"fdsup://Directions/FactSet Auditing Viewer?action=AUDIT_VALUE&amp;DB=129&amp;ID1=088470&amp;VALUEID=02101&amp;SDATE=2008&amp;PERIODTYPE=ANN_STD&amp;window=popup_no_bar&amp;width=385&amp;height=120&amp;START_MAXIMIZED=FALSE&amp;creator=factset&amp;display_string=Audit"}</definedName>
    <definedName name="_1890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0"}</definedName>
    <definedName name="_1891__FDSAUDITLINK__" hidden="1">{"fdsup://Directions/FactSet Auditing Viewer?action=AUDIT_VALUE&amp;DB=129&amp;ID1=088470&amp;VALUEID=02101&amp;SDATE=2007&amp;PERIODTYPE=ANN_STD&amp;window=popup_no_bar&amp;width=385&amp;height=120&amp;START_MAXIMIZED=FALSE&amp;creator=factset&amp;display_string=Audit"}</definedName>
    <definedName name="_1892__FDSAUDITLINK__" hidden="1">{"fdsup://Directions/FactSet Auditing Viewer?action=AUDIT_VALUE&amp;DB=129&amp;ID1=088470&amp;VALUEID=02051&amp;SDATE=2009&amp;PERIODTYPE=ANN_STD&amp;window=popup_no_bar&amp;width=385&amp;height=120&amp;START_MAXIMIZED=FALSE&amp;creator=factset&amp;display_string=Audit"}</definedName>
    <definedName name="_1893__FDSAUDITLINK__" hidden="1">{"fdsup://Directions/FactSet Auditing Viewer?action=AUDIT_VALUE&amp;DB=129&amp;ID1=088470&amp;VALUEID=01151&amp;SDATE=2008&amp;PERIODTYPE=ANN_STD&amp;window=popup_no_bar&amp;width=385&amp;height=120&amp;START_MAXIMIZED=FALSE&amp;creator=factset&amp;display_string=Audit"}</definedName>
    <definedName name="_1894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4"}</definedName>
    <definedName name="_189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32"}</definedName>
    <definedName name="_1896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1897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3"}</definedName>
    <definedName name="_1898__FDSAUDITLINK__" hidden="1">{"fdsup://directions/FAT Viewer?action=UPDATE&amp;creator=factset&amp;DYN_ARGS=TRUE&amp;DOC_NAME=FAT:FQL_AUDITING_CLIENT_TEMPLATE.FAT&amp;display_string=Audit&amp;VAR:KEY=HMDSFAFGVA&amp;VAR:QUERY=RkZfTk9OX0lOVF9JTkMoQU5OLC01WSwwWSxZLCxFVVIp&amp;WINDOW=FIRST_POPUP&amp;HEIGHT=450&amp;WIDTH=450&amp;","START_MAXIMIZED=FALSE&amp;VAR:CALENDAR=FIVEDAY&amp;VAR:SYMBOL=088470&amp;VAR:INDEX=4"}</definedName>
    <definedName name="_1899__FDSAUDITLINK__" hidden="1">{"fdsup://Directions/FactSet Auditing Viewer?action=AUDIT_VALUE&amp;DB=129&amp;ID1=088470&amp;VALUEID=04831&amp;SDATE=2007&amp;PERIODTYPE=ANN_STD&amp;window=popup_no_bar&amp;width=385&amp;height=120&amp;START_MAXIMIZED=FALSE&amp;creator=factset&amp;display_string=Audit"}</definedName>
    <definedName name="_19__FDSAUDITLINK__" hidden="1">{"fdsup://directions/FAT Viewer?action=UPDATE&amp;creator=factSet&amp;DYN_ARGS=true&amp;DOC_NAME=FAT:RGA_ENTRPR_VAL_EV_SOURCE_WINDOW.FAT&amp;VAR:ID1=ITT-US&amp;VAR:SDATE=20091211&amp;VAR:FDATE=20081231&amp;VAR:FREQ=DAILY&amp;VAR:RELITEM=RP&amp;VAR:CURRENCY=&amp;VAR:DB_TYPE=&amp;VAR:UNITS=M&amp;window=pop","up&amp;width=535&amp;height=425&amp;START_MAXIMIZED=FALSE&amp;Y=120"}</definedName>
    <definedName name="_1900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45"}</definedName>
    <definedName name="_1901__FDSAUDITLINK__" hidden="1">{"fdsup://Directions/FactSet Auditing Viewer?action=AUDIT_VALUE&amp;DB=129&amp;ID1=088470&amp;VALUEID=04355&amp;SDATE=2008&amp;PERIODTYPE=ANN_STD&amp;window=popup_no_bar&amp;width=385&amp;height=120&amp;START_MAXIMIZED=FALSE&amp;creator=factset&amp;display_string=Audit"}</definedName>
    <definedName name="_1902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1903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1904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1905__FDSAUDITLINK__" hidden="1">{"fdsup://Directions/FactSet Auditing Viewer?action=AUDIT_VALUE&amp;DB=129&amp;ID1=088470&amp;VALUEID=04551&amp;SDATE=2008&amp;PERIODTYPE=ANN_STD&amp;window=popup_no_bar&amp;width=385&amp;height=120&amp;START_MAXIMIZED=FALSE&amp;creator=factset&amp;display_string=Audit"}</definedName>
    <definedName name="_1906__FDSAUDITLINK__" hidden="1">{"fdsup://Directions/FactSet Auditing Viewer?action=AUDIT_VALUE&amp;DB=129&amp;ID1=088470&amp;VALUEID=04551&amp;SDATE=2007&amp;PERIODTYPE=ANN_STD&amp;window=popup_no_bar&amp;width=385&amp;height=120&amp;START_MAXIMIZED=FALSE&amp;creator=factset&amp;display_string=Audit"}</definedName>
    <definedName name="_1907__FDSAUDITLINK__" hidden="1">{"fdsup://Directions/FactSet Auditing Viewer?action=AUDIT_VALUE&amp;DB=129&amp;ID1=088470&amp;VALUEID=04601&amp;SDATE=2009&amp;PERIODTYPE=ANN_STD&amp;window=popup_no_bar&amp;width=385&amp;height=120&amp;START_MAXIMIZED=FALSE&amp;creator=factset&amp;display_string=Audit"}</definedName>
    <definedName name="_1908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909__FDSAUDITLINK__" hidden="1">{"fdsup://Directions/FactSet Auditing Viewer?action=AUDIT_VALUE&amp;DB=129&amp;ID1=088470&amp;VALUEID=04601&amp;SDATE=2008&amp;PERIODTYPE=ANN_STD&amp;window=popup_no_bar&amp;width=385&amp;height=120&amp;START_MAXIMIZED=FALSE&amp;creator=factset&amp;display_string=Audit"}</definedName>
    <definedName name="_1910__FDSAUDITLINK__" hidden="1">{"fdsup://Directions/FactSet Auditing Viewer?action=AUDIT_VALUE&amp;DB=129&amp;ID1=088470&amp;VALUEID=04601&amp;SDATE=2007&amp;PERIODTYPE=ANN_STD&amp;window=popup_no_bar&amp;width=385&amp;height=120&amp;START_MAXIMIZED=FALSE&amp;creator=factset&amp;display_string=Audit"}</definedName>
    <definedName name="_1911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1912__FDSAUDITLINK__" hidden="1">{"fdsup://Directions/FactSet Auditing Viewer?action=AUDIT_VALUE&amp;DB=129&amp;ID1=088470&amp;VALUEID=04355&amp;SDATE=2007&amp;PERIODTYPE=ANN_STD&amp;window=popup_no_bar&amp;width=385&amp;height=120&amp;START_MAXIMIZED=FALSE&amp;creator=factset&amp;display_string=Audit"}</definedName>
    <definedName name="_1913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919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3"}</definedName>
    <definedName name="_1923__FDSAUDITLINK__" hidden="1">{"fdsup://directions/FAT Viewer?action=UPDATE&amp;creator=factset&amp;DYN_ARGS=TRUE&amp;DOC_NAME=FAT:FQL_AUDITING_CLIENT_TEMPLATE.FAT&amp;display_string=Audit&amp;VAR:KEY=HALEHUNALQ&amp;VAR:QUERY=RkVfVkFMVUFUSU9OKCdST0UnLCdNRUFOJywnTFRNQScsJycsKzMsLCwnQ1VSUkVOQ1k9RVVSJyk=&amp;WINDOW=F","IRST_POPUP&amp;HEIGHT=450&amp;WIDTH=450&amp;START_MAXIMIZED=FALSE&amp;VAR:CALENDAR=FIVEDAY&amp;VAR:SYMBOL=088470&amp;VAR:INDEX=0"}</definedName>
    <definedName name="_1924__FDSAUDITLINK__" hidden="1">{"fdsup://directions/FAT Viewer?action=UPDATE&amp;creator=factset&amp;DYN_ARGS=TRUE&amp;DOC_NAME=FAT:FQL_AUDITING_CLIENT_TEMPLATE.FAT&amp;display_string=Audit&amp;VAR:KEY=ZSZWHUFCZE&amp;VAR:QUERY=RkVfVkFMVUFUSU9OKCdST0UnLCdNRUFOJywnTFRNQScsJycsKzIsLCwnQ1VSUkVOQ1k9RVVSJyk=&amp;WINDOW=F","IRST_POPUP&amp;HEIGHT=450&amp;WIDTH=450&amp;START_MAXIMIZED=FALSE&amp;VAR:CALENDAR=FIVEDAY&amp;VAR:SYMBOL=088470&amp;VAR:INDEX=0"}</definedName>
    <definedName name="_1925__FDSAUDITLINK__" hidden="1">{"fdsup://Directions/FactSet Auditing Viewer?action=AUDIT_VALUE&amp;DB=129&amp;ID1=088470&amp;VALUEID=04001&amp;SDATE=2008&amp;PERIODTYPE=ANN_STD&amp;window=popup_no_bar&amp;width=385&amp;height=120&amp;START_MAXIMIZED=FALSE&amp;creator=factset&amp;display_string=Audit"}</definedName>
    <definedName name="_1926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2"}</definedName>
    <definedName name="_1927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1"}</definedName>
    <definedName name="_1928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0"}</definedName>
    <definedName name="_1929__FDSAUDITLINK__" hidden="1">{"fdsup://Directions/FactSet Auditing Viewer?action=AUDIT_VALUE&amp;DB=129&amp;ID1=088470&amp;VALUEID=03501&amp;SDATE=2009&amp;PERIODTYPE=ANN_STD&amp;window=popup_no_bar&amp;width=385&amp;height=120&amp;START_MAXIMIZED=FALSE&amp;creator=factset&amp;display_string=Audit"}</definedName>
    <definedName name="_1930__FDSAUDITLINK__" hidden="1">{"fdsup://Directions/FactSet Auditing Viewer?action=AUDIT_VALUE&amp;DB=129&amp;ID1=088470&amp;VALUEID=03501&amp;SDATE=2008&amp;PERIODTYPE=ANN_STD&amp;window=popup_no_bar&amp;width=385&amp;height=120&amp;START_MAXIMIZED=FALSE&amp;creator=factset&amp;display_string=Audit"}</definedName>
    <definedName name="_1931__FDSAUDITLINK__" hidden="1">{"fdsup://Directions/FactSet Auditing Viewer?action=AUDIT_VALUE&amp;DB=129&amp;ID1=088470&amp;VALUEID=01451&amp;SDATE=2009&amp;PERIODTYPE=ANN_STD&amp;window=popup_no_bar&amp;width=385&amp;height=120&amp;START_MAXIMIZED=FALSE&amp;creator=factset&amp;display_string=Audit"}</definedName>
    <definedName name="_1932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1"}</definedName>
    <definedName name="_1933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0"}</definedName>
    <definedName name="_1934__FDSAUDITLINK__" hidden="1">{"fdsup://Directions/FactSet Auditing Viewer?action=AUDIT_VALUE&amp;DB=129&amp;ID1=088470&amp;VALUEID=03351&amp;SDATE=2009&amp;PERIODTYPE=ANN_STD&amp;window=popup_no_bar&amp;width=385&amp;height=120&amp;START_MAXIMIZED=FALSE&amp;creator=factset&amp;display_string=Audit"}</definedName>
    <definedName name="_1935__FDSAUDITLINK__" hidden="1">{"fdsup://Directions/FactSet Auditing Viewer?action=AUDIT_VALUE&amp;DB=129&amp;ID1=088470&amp;VALUEID=03351&amp;SDATE=2008&amp;PERIODTYPE=ANN_STD&amp;window=popup_no_bar&amp;width=385&amp;height=120&amp;START_MAXIMIZED=FALSE&amp;creator=factset&amp;display_string=Audit"}</definedName>
    <definedName name="_1936__FDSAUDITLINK__" hidden="1">{"fdsup://directions/FAT Viewer?action=UPDATE&amp;creator=factset&amp;DYN_ARGS=TRUE&amp;DOC_NAME=FAT:FQL_AUDITING_CLIENT_TEMPLATE.FAT&amp;display_string=Audit&amp;VAR:KEY=PELMDQFIHA&amp;VAR:QUERY=RkZfR1JPU1NfSU5DKEFOTiwtNVksMFksWSwsRVVSKQ==&amp;WINDOW=FIRST_POPUP&amp;HEIGHT=450&amp;WIDTH=450&amp;","START_MAXIMIZED=FALSE&amp;VAR:CALENDAR=FIVEDAY&amp;VAR:SYMBOL=088470&amp;VAR:INDEX=2"}</definedName>
    <definedName name="_1937__FDSAUDITLINK__" hidden="1">{"fdsup://Directions/FactSet Auditing Viewer?action=AUDIT_VALUE&amp;DB=129&amp;ID1=088470&amp;VALUEID=01451&amp;SDATE=2007&amp;PERIODTYPE=ANN_STD&amp;window=popup_no_bar&amp;width=385&amp;height=120&amp;START_MAXIMIZED=FALSE&amp;creator=factset&amp;display_string=Audit"}</definedName>
    <definedName name="_1938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4"}</definedName>
    <definedName name="_1939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3"}</definedName>
    <definedName name="_1940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2"}</definedName>
    <definedName name="_1941__FDSAUDITLINK__" hidden="1">{"fdsup://Directions/FactSet Auditing Viewer?action=AUDIT_VALUE&amp;DB=129&amp;ID1=088470&amp;VALUEID=04831&amp;SDATE=2007&amp;PERIODTYPE=ANN_STD&amp;window=popup_no_bar&amp;width=385&amp;height=120&amp;START_MAXIMIZED=FALSE&amp;creator=factset&amp;display_string=Audit"}</definedName>
    <definedName name="_1942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1943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0"}</definedName>
    <definedName name="_1944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4"}</definedName>
    <definedName name="_1945__FDSAUDITLINK__" hidden="1">{"fdsup://directions/FAT Viewer?action=UPDATE&amp;creator=factset&amp;DYN_ARGS=TRUE&amp;DOC_NAME=FAT:FQL_AUDITING_CLIENT_TEMPLATE.FAT&amp;display_string=Audit&amp;VAR:KEY=RADGRITWFS&amp;VAR:QUERY=RkVfVkFMVUFUSU9OKCdFVl9FQklUREEnLCdNRUFOJywnQU5OVUFMJywnKzEnLDAsLCwnQ1VSUkVOQ1k9RVVSJ","yk=&amp;WINDOW=FIRST_POPUP&amp;HEIGHT=450&amp;WIDTH=450&amp;START_MAXIMIZED=FALSE&amp;VAR:CALENDAR=FIVEDAY&amp;VAR:SYMBOL=088470&amp;VAR:INDEX=0"}</definedName>
    <definedName name="_1946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947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4"}</definedName>
    <definedName name="_1948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31"}</definedName>
    <definedName name="_1949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950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11"}</definedName>
    <definedName name="_1951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0"}</definedName>
    <definedName name="_1952__FDSAUDITLINK__" hidden="1">{"fdsup://directions/FAT Viewer?action=UPDATE&amp;creator=factset&amp;DYN_ARGS=TRUE&amp;DOC_NAME=FAT:FQL_AUDITING_CLIENT_TEMPLATE.FAT&amp;display_string=Audit&amp;VAR:KEY=JUTSBETOPI&amp;VAR:QUERY=RkZfTElBQlNfT1RIKEFOTiwtNVksMFksWSwsRVVSKStGRl9QUk9WX1JJU0soQU5OLC01WSwwWSxZLCxFVVIpK","0ZGX0RGRF9JTkMoQU5OLC01WSwwWSxZLCxFVVIpK0ZGX0RGRF9UQVgoQU5OLC01WSwwWSxZLCxFVVIpK0ZGX0RGRF9UQVhfUlNSVihBTk4sLTVZLDBZLFksLEVVUik=&amp;WINDOW=FIRST_POPUP&amp;HEIGHT=450&amp;WIDTH=450&amp;START_MAXIMIZED=FALSE&amp;VAR:CALENDAR=FIVEDAY&amp;VAR:SYMBOL=088470&amp;VAR:INDEX=5"}</definedName>
    <definedName name="_1953__FDSAUDITLINK__" hidden="1">{"fdsup://directions/FAT Viewer?action=UPDATE&amp;creator=factset&amp;DYN_ARGS=TRUE&amp;DOC_NAME=FAT:FQL_AUDITING_CLIENT_TEMPLATE.FAT&amp;display_string=Audit&amp;VAR:KEY=VIPENCDQZW&amp;VAR:QUERY=RkVfVkFMVUFUSU9OKCdFVl9FQklUREEnLCdNRUFOJywnQU5OVUFMX1JPTEwnLCctMScsMCwsLCdDVVJSRU5DW","T1FVVInKQ==&amp;WINDOW=FIRST_POPUP&amp;HEIGHT=450&amp;WIDTH=450&amp;START_MAXIMIZED=FALSE&amp;VAR:CALENDAR=FIVEDAY&amp;VAR:SYMBOL=088470&amp;VAR:INDEX=0"}</definedName>
    <definedName name="_1954__FDSAUDITLINK__" hidden="1">{"fdsup://Directions/FactSet Auditing Viewer?action=AUDIT_VALUE&amp;DB=129&amp;ID1=088470&amp;VALUEID=01250&amp;SDATE=2008&amp;PERIODTYPE=ANN_STD&amp;window=popup_no_bar&amp;width=385&amp;height=120&amp;START_MAXIMIZED=FALSE&amp;creator=factset&amp;display_string=Audit"}</definedName>
    <definedName name="_1955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956__FDSAUDITLINK__" hidden="1">{"fdsup://directions/FAT Viewer?action=UPDATE&amp;creator=factset&amp;DYN_ARGS=TRUE&amp;DOC_NAME=FAT:FQL_AUDITING_CLIENT_TEMPLATE.FAT&amp;display_string=Audit&amp;VAR:KEY=FEZEFIFYHA&amp;VAR:QUERY=RkVfVkFMVUFUSU9OKCdFVl9FQklUJywnTUVBTicsJ0FOTlVBTF9ST0xMJywnLTEnLDAsLCwnQ1VSUkVOQ1k9R","VVSJyk=&amp;WINDOW=FIRST_POPUP&amp;HEIGHT=450&amp;WIDTH=450&amp;START_MAXIMIZED=FALSE&amp;VAR:CALENDAR=FIVEDAY&amp;VAR:SYMBOL=088470&amp;VAR:INDEX=0"}</definedName>
    <definedName name="_1957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0"}</definedName>
    <definedName name="_1958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959__FDSAUDITLINK__" hidden="1">{"fdsup://Directions/FactSet Auditing Viewer?action=AUDIT_VALUE&amp;DB=129&amp;ID1=088470&amp;VALUEID=01250&amp;SDATE=2009&amp;PERIODTYPE=ANN_STD&amp;window=popup_no_bar&amp;width=385&amp;height=120&amp;START_MAXIMIZED=FALSE&amp;creator=factset&amp;display_string=Audit"}</definedName>
    <definedName name="_1960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0"}</definedName>
    <definedName name="_1961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5"}</definedName>
    <definedName name="_1962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1963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4"}</definedName>
    <definedName name="_1964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2"}</definedName>
    <definedName name="_1965__FDSAUDITLINK__" hidden="1">{"fdsup://Directions/FactSet Auditing Viewer?action=AUDIT_VALUE&amp;DB=129&amp;ID1=088470&amp;VALUEID=01401&amp;SDATE=2008&amp;PERIODTYPE=ANN_STD&amp;window=popup_no_bar&amp;width=385&amp;height=120&amp;START_MAXIMIZED=FALSE&amp;creator=factset&amp;display_string=Audit"}</definedName>
    <definedName name="_1966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967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44"}</definedName>
    <definedName name="_1968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1969__FDSAUDITLINK__" hidden="1">{"fdsup://Directions/FactSet Auditing Viewer?action=AUDIT_VALUE&amp;DB=129&amp;ID1=088470&amp;VALUEID=01401&amp;SDATE=2009&amp;PERIODTYPE=ANN_STD&amp;window=popup_no_bar&amp;width=385&amp;height=120&amp;START_MAXIMIZED=FALSE&amp;creator=factset&amp;display_string=Audit"}</definedName>
    <definedName name="_197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5"}</definedName>
    <definedName name="_1970__FDSAUDITLINK__" hidden="1">{"fdsup://Directions/FactSet Auditing Viewer?action=AUDIT_VALUE&amp;DB=129&amp;ID1=088470&amp;VALUEID=04831&amp;SDATE=2008&amp;PERIODTYPE=ANN_STD&amp;window=popup_no_bar&amp;width=385&amp;height=120&amp;START_MAXIMIZED=FALSE&amp;creator=factset&amp;display_string=Audit"}</definedName>
    <definedName name="_1971__FDSAUDITLINK__" hidden="1">{"fdsup://Directions/FactSet Auditing Viewer?action=AUDIT_VALUE&amp;DB=129&amp;ID1=088470&amp;VALUEID=04890&amp;SDATE=2007&amp;PERIODTYPE=ANN_STD&amp;window=popup_no_bar&amp;width=385&amp;height=120&amp;START_MAXIMIZED=FALSE&amp;creator=factset&amp;display_string=Audit"}</definedName>
    <definedName name="_1972__FDSAUDITLINK__" hidden="1">{"fdsup://directions/FAT Viewer?action=UPDATE&amp;creator=factset&amp;DYN_ARGS=TRUE&amp;DOC_NAME=FAT:FQL_AUDITING_CLIENT_TEMPLATE.FAT&amp;display_string=Audit&amp;VAR:KEY=POVAROXODE&amp;VAR:QUERY=RkZfTE9BTl9ORVQoQU5OLC01WSwwWSxZLCxFVVIp&amp;WINDOW=FIRST_POPUP&amp;HEIGHT=450&amp;WIDTH=450&amp;STAR","T_MAXIMIZED=FALSE&amp;VAR:CALENDAR=FIVEDAY&amp;VAR:SYMBOL=088470&amp;VAR:INDEX=4"}</definedName>
    <definedName name="_1973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974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975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976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4"}</definedName>
    <definedName name="_1977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3"}</definedName>
    <definedName name="_1978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2"}</definedName>
    <definedName name="_1979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98__FDSAUDITLINK__" hidden="1">{"fdsup://Directions/FactSet Auditing Viewer?action=AUDIT_VALUE&amp;DB=129&amp;ID1=088470&amp;VALUEID=04001&amp;SDATE=2009&amp;PERIODTYPE=ANN_STD&amp;window=popup_no_bar&amp;width=385&amp;height=120&amp;START_MAXIMIZED=FALSE&amp;creator=factset&amp;display_string=Audit"}</definedName>
    <definedName name="_1980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1981__FDSAUDITLINK__" hidden="1">{"fdsup://Directions/FactSet Auditing Viewer?action=AUDIT_VALUE&amp;DB=129&amp;ID1=088470&amp;VALUEID=03501&amp;SDATE=2008&amp;PERIODTYPE=ANN_STD&amp;window=popup_no_bar&amp;width=385&amp;height=120&amp;START_MAXIMIZED=FALSE&amp;creator=factset&amp;display_string=Audit"}</definedName>
    <definedName name="_1982__FDSAUDITLINK__" hidden="1">{"fdsup://Directions/FactSet Auditing Viewer?action=AUDIT_VALUE&amp;DB=129&amp;ID1=088470&amp;VALUEID=04151&amp;SDATE=2007&amp;PERIODTYPE=ANN_STD&amp;window=popup_no_bar&amp;width=385&amp;height=120&amp;START_MAXIMIZED=FALSE&amp;creator=factset&amp;display_string=Audit"}</definedName>
    <definedName name="_1983__FDSAUDITLINK__" hidden="1">{"fdsup://Directions/FactSet Auditing Viewer?action=AUDIT_VALUE&amp;DB=129&amp;ID1=088470&amp;VALUEID=01001&amp;SDATE=2007&amp;PERIODTYPE=ANN_STD&amp;window=popup_no_bar&amp;width=385&amp;height=120&amp;START_MAXIMIZED=FALSE&amp;creator=factset&amp;display_string=Audit"}</definedName>
    <definedName name="_1984__FDSAUDITLINK__" hidden="1">{"fdsup://Directions/FactSet Auditing Viewer?action=AUDIT_VALUE&amp;DB=129&amp;ID1=088470&amp;VALUEID=04890&amp;SDATE=2009&amp;PERIODTYPE=ANN_STD&amp;window=popup_no_bar&amp;width=385&amp;height=120&amp;START_MAXIMIZED=FALSE&amp;creator=factset&amp;display_string=Audit"}</definedName>
    <definedName name="_1985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1986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1987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1"}</definedName>
    <definedName name="_1988__FDSAUDITLINK__" hidden="1">{"fdsup://directions/FAT Viewer?action=UPDATE&amp;creator=factset&amp;DYN_ARGS=TRUE&amp;DOC_NAME=FAT:FQL_AUDITING_CLIENT_TEMPLATE.FAT&amp;display_string=Audit&amp;VAR:KEY=LMBKNOTAPU&amp;VAR:QUERY=RkVfVkFMVUFUSU9OKCdFVl9FQklUJywnTUVBTicsJ0FOTlVBTCcsJyszJywwLCwsJ0NVUlJFTkNZPUVVUicp&amp;","WINDOW=FIRST_POPUP&amp;HEIGHT=450&amp;WIDTH=450&amp;START_MAXIMIZED=FALSE&amp;VAR:CALENDAR=FIVEDAY&amp;VAR:SYMBOL=088470&amp;VAR:INDEX=0"}</definedName>
    <definedName name="_1989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2"}</definedName>
    <definedName name="_1990__FDSAUDITLINK__" hidden="1">{"fdsup://Directions/FactSet Auditing Viewer?action=AUDIT_VALUE&amp;DB=129&amp;ID1=088470&amp;VALUEID=04351&amp;SDATE=2007&amp;PERIODTYPE=ANN_STD&amp;window=popup_no_bar&amp;width=385&amp;height=120&amp;START_MAXIMIZED=FALSE&amp;creator=factset&amp;display_string=Audit"}</definedName>
    <definedName name="_1991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4"}</definedName>
    <definedName name="_1992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1993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0"}</definedName>
    <definedName name="_199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42"}</definedName>
    <definedName name="_1995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1996__FDSAUDITLINK__" hidden="1">{"fdsup://Directions/FactSet Auditing Viewer?action=AUDIT_VALUE&amp;DB=129&amp;ID1=088470&amp;VALUEID=01001&amp;SDATE=2008&amp;PERIODTYPE=ANN_STD&amp;window=popup_no_bar&amp;width=385&amp;height=120&amp;START_MAXIMIZED=FALSE&amp;creator=factset&amp;display_string=Audit"}</definedName>
    <definedName name="_1997__FDSAUDITLINK__" hidden="1">{"fdsup://Directions/FactSet Auditing Viewer?action=AUDIT_VALUE&amp;DB=129&amp;ID1=088470&amp;VALUEID=04870&amp;SDATE=2008&amp;PERIODTYPE=ANN_STD&amp;window=popup_no_bar&amp;width=385&amp;height=120&amp;START_MAXIMIZED=FALSE&amp;creator=factset&amp;display_string=Audit"}</definedName>
    <definedName name="_1998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1999__FDSAUDITLINK__" hidden="1">{"fdsup://Directions/FactSet Auditing Viewer?action=AUDIT_VALUE&amp;DB=129&amp;ID1=088470&amp;VALUEID=04601&amp;SDATE=2009&amp;PERIODTYPE=ANN_STD&amp;window=popup_no_bar&amp;width=385&amp;height=120&amp;START_MAXIMIZED=FALSE&amp;creator=factset&amp;display_string=Audit"}</definedName>
    <definedName name="_2__FDSAUDITLINK__" localSheetId="58" hidden="1">{"fdsup:app=SCRIPT&amp;creator=factset&amp;CMD=INSTRUCTION&amp;WINDOW=NEW&amp;TARGET_APP=EDGAR\Search by Symbol&amp;INSTRUCTION_NAME=VIEW_DOCUMENT&amp;display_string=View Document&amp;IDENTIFIER=IBM&amp;START_DATE=20090224&amp;END_DATE=20090224&amp;FILING=10-K"}</definedName>
    <definedName name="_2__FDSAUDITLINK__" localSheetId="59" hidden="1">{"fdsup:app=SCRIPT&amp;creator=factset&amp;CMD=INSTRUCTION&amp;WINDOW=NEW&amp;TARGET_APP=EDGAR\Search by Symbol&amp;INSTRUCTION_NAME=VIEW_DOCUMENT&amp;display_string=View Document&amp;IDENTIFIER=IBM&amp;START_DATE=20090224&amp;END_DATE=20090224&amp;FILING=10-K"}</definedName>
    <definedName name="_2__FDSAUDITLINK__" hidden="1">{"fdsup://IBCentral/FAT Viewer?action=UPDATE&amp;creator=factset&amp;DOC_NAME=fat:reuters_annual_source_window.fat&amp;display_string=Audit&amp;DYN_ARGS=TRUE&amp;VAR:ID1=23585110&amp;VAR:RCODE=FEBITDA&amp;VAR:SDATE=20081299&amp;VAR:FREQ=Y&amp;VAR:RELITEM=RP&amp;VAR:CURRENCY=&amp;VAR:CURRSOURCE=EXSHAR","E&amp;VAR:NATFREQ=ANNUAL&amp;VAR:RFIELD=FINALIZED&amp;VAR:DB_TYPE=&amp;VAR:UNITS=M&amp;window=popup&amp;width=450&amp;height=300&amp;START_MAXIMIZED=FALSE"}</definedName>
    <definedName name="_20__FDSAUDITLINK__" hidden="1">{"fdsup://directions/FAT Viewer?action=UPDATE&amp;creator=factSet&amp;DYN_ARGS=true&amp;DOC_NAME=FAT:RGA_ENTRPR_VAL_EV_SOURCE_WINDOW.FAT&amp;VAR:ID1=ITT-US&amp;VAR:SDATE=20091211&amp;VAR:FDATE=20081231&amp;VAR:FREQ=DAILY&amp;VAR:RELITEM=RP&amp;VAR:CURRENCY=&amp;VAR:DB_TYPE=&amp;VAR:UNITS=M&amp;window=pop","up&amp;width=535&amp;height=425&amp;START_MAXIMIZED=FALSE&amp;Y=120"}</definedName>
    <definedName name="_2000__FDSAUDITLINK__" hidden="1">{"fdsup://directions/FAT Viewer?action=UPDATE&amp;creator=factset&amp;DYN_ARGS=TRUE&amp;DOC_NAME=FAT:FQL_AUDITING_CLIENT_TEMPLATE.FAT&amp;display_string=Audit&amp;VAR:KEY=JSFQBEBYLA&amp;VAR:QUERY=RkVfVkFMVUFUSU9OKCdNQ0FQX1NBTEVTJywnTUVBTicsJ0FOTlVBTF9ST0xMJywnMCcsMCwsLCdDVVJSRU5DW","T1FVVInKQ==&amp;WINDOW=FIRST_POPUP&amp;HEIGHT=450&amp;WIDTH=450&amp;START_MAXIMIZED=FALSE&amp;VAR:CALENDAR=FIVEDAY&amp;VAR:SYMBOL=088470&amp;VAR:INDEX=0"}</definedName>
    <definedName name="_2001__FDSAUDITLINK__" hidden="1">{"fdsup://directions/FAT Viewer?action=UPDATE&amp;creator=factset&amp;DYN_ARGS=TRUE&amp;DOC_NAME=FAT:FQL_AUDITING_CLIENT_TEMPLATE.FAT&amp;display_string=Audit&amp;VAR:KEY=TUNIZEZATA&amp;VAR:QUERY=RkZfRUJJVERBX09QRVIoQU5OLC01WSwwWSxZLCxFVVIp&amp;WINDOW=FIRST_POPUP&amp;HEIGHT=450&amp;WIDTH=450&amp;","START_MAXIMIZED=FALSE&amp;VAR:CALENDAR=FIVEDAY&amp;VAR:SYMBOL=088470&amp;VAR:INDEX=4"}</definedName>
    <definedName name="_2002__FDSAUDITLINK__" hidden="1">{"fdsup://Directions/FactSet Auditing Viewer?action=AUDIT_VALUE&amp;DB=129&amp;ID1=088470&amp;VALUEID=04601&amp;SDATE=2007&amp;PERIODTYPE=ANN_STD&amp;window=popup_no_bar&amp;width=385&amp;height=120&amp;START_MAXIMIZED=FALSE&amp;creator=factset&amp;display_string=Audit"}</definedName>
    <definedName name="_2003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5"}</definedName>
    <definedName name="_2004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25"}</definedName>
    <definedName name="_2005__FDSAUDITLINK__" hidden="1">{"fdsup://Directions/FactSet Auditing Viewer?action=AUDIT_VALUE&amp;DB=129&amp;ID1=088470&amp;VALUEID=04551&amp;SDATE=2009&amp;PERIODTYPE=ANN_STD&amp;window=popup_no_bar&amp;width=385&amp;height=120&amp;START_MAXIMIZED=FALSE&amp;creator=factset&amp;display_string=Audit"}</definedName>
    <definedName name="_2006__FDSAUDITLINK__" hidden="1">{"fdsup://Directions/FactSet Auditing Viewer?action=AUDIT_VALUE&amp;DB=129&amp;ID1=088470&amp;VALUEID=04551&amp;SDATE=2008&amp;PERIODTYPE=ANN_STD&amp;window=popup_no_bar&amp;width=385&amp;height=120&amp;START_MAXIMIZED=FALSE&amp;creator=factset&amp;display_string=Audit"}</definedName>
    <definedName name="_2007__FDSAUDITLINK__" hidden="1">{"fdsup://Directions/FactSet Auditing Viewer?action=AUDIT_VALUE&amp;DB=129&amp;ID1=088470&amp;VALUEID=04551&amp;SDATE=2007&amp;PERIODTYPE=ANN_STD&amp;window=popup_no_bar&amp;width=385&amp;height=120&amp;START_MAXIMIZED=FALSE&amp;creator=factset&amp;display_string=Audit"}</definedName>
    <definedName name="_2008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009__FDSAUDITLINK__" hidden="1">{"fdsup://Directions/FactSet Auditing Viewer?action=AUDIT_VALUE&amp;DB=129&amp;ID1=088470&amp;VALUEID=04355&amp;SDATE=2009&amp;PERIODTYPE=ANN_STD&amp;window=popup_no_bar&amp;width=385&amp;height=120&amp;START_MAXIMIZED=FALSE&amp;creator=factset&amp;display_string=Audit"}</definedName>
    <definedName name="_201__FDSAUDITLINK__" hidden="1">{"fdsup://Directions/FactSet Auditing Viewer?action=AUDIT_VALUE&amp;DB=129&amp;ID1=088470&amp;VALUEID=04870&amp;SDATE=2008&amp;PERIODTYPE=ANN_STD&amp;window=popup_no_bar&amp;width=385&amp;height=120&amp;START_MAXIMIZED=FALSE&amp;creator=factset&amp;display_string=Audit"}</definedName>
    <definedName name="_2010__FDSAUDITLINK__" hidden="1">{"fdsup://directions/FAT Viewer?action=UPDATE&amp;creator=factset&amp;DYN_ARGS=TRUE&amp;DOC_NAME=FAT:FQL_AUDITING_CLIENT_TEMPLATE.FAT&amp;display_string=Audit&amp;VAR:KEY=JWFWFAXQTM&amp;VAR:QUERY=RkVfVkFMVUFUSU9OKCdNQ0FQX1NBTEVTJywnTUVBTicsJ0FOTlVBTF9ST0xMJywnLTEnLDAsLCwnQ1VSUkVOQ","1k9RVVSJyk=&amp;WINDOW=FIRST_POPUP&amp;HEIGHT=450&amp;WIDTH=450&amp;START_MAXIMIZED=FALSE&amp;VAR:CALENDAR=FIVEDAY&amp;VAR:SYMBOL=088470&amp;VAR:INDEX=0"}</definedName>
    <definedName name="_2011__FDSAUDITLINK__" hidden="1">{"fdsup://Directions/FactSet Auditing Viewer?action=AUDIT_VALUE&amp;DB=129&amp;ID1=088470&amp;VALUEID=04355&amp;SDATE=2008&amp;PERIODTYPE=ANN_STD&amp;window=popup_no_bar&amp;width=385&amp;height=120&amp;START_MAXIMIZED=FALSE&amp;creator=factset&amp;display_string=Audit"}</definedName>
    <definedName name="_2012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26"}</definedName>
    <definedName name="_2013__FDSAUDITLINK__" hidden="1">{"fdsup://Directions/FactSet Auditing Viewer?action=AUDIT_VALUE&amp;DB=129&amp;ID1=088470&amp;VALUEID=04355&amp;SDATE=2007&amp;PERIODTYPE=ANN_STD&amp;window=popup_no_bar&amp;width=385&amp;height=120&amp;START_MAXIMIZED=FALSE&amp;creator=factset&amp;display_string=Audit"}</definedName>
    <definedName name="_2014__FDSAUDITLINK__" hidden="1">{"fdsup://Directions/FactSet Auditing Viewer?action=AUDIT_VALUE&amp;DB=129&amp;ID1=088470&amp;VALUEID=04351&amp;SDATE=2009&amp;PERIODTYPE=ANN_STD&amp;window=popup_no_bar&amp;width=385&amp;height=120&amp;START_MAXIMIZED=FALSE&amp;creator=factset&amp;display_string=Audit"}</definedName>
    <definedName name="_2015__FDSAUDITLINK__" hidden="1">{"fdsup://Directions/FactSet Auditing Viewer?action=AUDIT_VALUE&amp;DB=129&amp;ID1=088470&amp;VALUEID=04351&amp;SDATE=2008&amp;PERIODTYPE=ANN_STD&amp;window=popup_no_bar&amp;width=385&amp;height=120&amp;START_MAXIMIZED=FALSE&amp;creator=factset&amp;display_string=Audit"}</definedName>
    <definedName name="_2016__FDSAUDITLINK__" hidden="1">{"fdsup://Directions/FactSet Auditing Viewer?action=AUDIT_VALUE&amp;DB=129&amp;ID1=088470&amp;VALUEID=04351&amp;SDATE=2007&amp;PERIODTYPE=ANN_STD&amp;window=popup_no_bar&amp;width=385&amp;height=120&amp;START_MAXIMIZED=FALSE&amp;creator=factset&amp;display_string=Audit"}</definedName>
    <definedName name="_2017__FDSAUDITLINK__" hidden="1">{"fdsup://Directions/FactSet Auditing Viewer?action=AUDIT_VALUE&amp;DB=129&amp;ID1=088470&amp;VALUEID=04551&amp;SDATE=2008&amp;PERIODTYPE=ANN_STD&amp;window=popup_no_bar&amp;width=385&amp;height=120&amp;START_MAXIMIZED=FALSE&amp;creator=factset&amp;display_string=Audit"}</definedName>
    <definedName name="_2018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5"}</definedName>
    <definedName name="_2019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4"}</definedName>
    <definedName name="_202__FDSAUDITLINK__" hidden="1">{"fdsup://Directions/FactSet Auditing Viewer?action=AUDIT_VALUE&amp;DB=129&amp;ID1=054052&amp;VALUEID=04890&amp;SDATE=2006&amp;PERIODTYPE=ANN_STD&amp;window=popup_no_bar&amp;width=385&amp;height=120&amp;START_MAXIMIZED=FALSE&amp;creator=factset&amp;display_string=Audit"}</definedName>
    <definedName name="_2020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0"}</definedName>
    <definedName name="_2021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4"}</definedName>
    <definedName name="_2022__FDSAUDITLINK__" hidden="1">{"fdsup://Directions/FactSet Auditing Viewer?action=AUDIT_VALUE&amp;DB=129&amp;ID1=088470&amp;VALUEID=05194&amp;SDATE=2008&amp;PERIODTYPE=ANN_STD&amp;window=popup_no_bar&amp;width=385&amp;height=120&amp;START_MAXIMIZED=FALSE&amp;creator=factset&amp;display_string=Audit"}</definedName>
    <definedName name="_2023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2024__FDSAUDITLINK__" hidden="1">{"fdsup://Directions/FactSet Auditing Viewer?action=AUDIT_VALUE&amp;DB=129&amp;ID1=088470&amp;VALUEID=05194&amp;SDATE=2007&amp;PERIODTYPE=ANN_STD&amp;window=popup_no_bar&amp;width=385&amp;height=120&amp;START_MAXIMIZED=FALSE&amp;creator=factset&amp;display_string=Audit"}</definedName>
    <definedName name="_2025__FDSAUDITLINK__" hidden="1">{"fdsup://directions/FAT Viewer?action=UPDATE&amp;creator=factset&amp;DYN_ARGS=TRUE&amp;DOC_NAME=FAT:FQL_AUDITING_CLIENT_TEMPLATE.FAT&amp;display_string=Audit&amp;VAR:KEY=JIXQJOXEHA&amp;VAR:QUERY=RkZfRUJJVF9PUEVSKEFOTiwtNVksMFksWSwsRVVSKQ==&amp;WINDOW=FIRST_POPUP&amp;HEIGHT=450&amp;WIDTH=450&amp;","START_MAXIMIZED=FALSE&amp;VAR:CALENDAR=FIVEDAY&amp;VAR:SYMBOL=088470&amp;VAR:INDEX=0"}</definedName>
    <definedName name="_2026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4"}</definedName>
    <definedName name="_2027__FDSAUDITLINK__" hidden="1">{"fdsup://Directions/FactSet Auditing Viewer?action=AUDIT_VALUE&amp;DB=129&amp;ID1=088470&amp;VALUEID=07011&amp;SDATE=2009&amp;PERIODTYPE=ANN_STD&amp;window=popup_no_bar&amp;width=385&amp;height=120&amp;START_MAXIMIZED=FALSE&amp;creator=factset&amp;display_string=Audit"}</definedName>
    <definedName name="_2028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48"}</definedName>
    <definedName name="_2029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3"}</definedName>
    <definedName name="_2030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2"}</definedName>
    <definedName name="_2031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032__FDSAUDITLINK__" hidden="1">{"fdsup://Directions/FactSet Auditing Viewer?action=AUDIT_VALUE&amp;DB=129&amp;ID1=088470&amp;VALUEID=04551&amp;SDATE=2007&amp;PERIODTYPE=ANN_STD&amp;window=popup_no_bar&amp;width=385&amp;height=120&amp;START_MAXIMIZED=FALSE&amp;creator=factset&amp;display_string=Audit"}</definedName>
    <definedName name="_2033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1"}</definedName>
    <definedName name="_2034__FDSAUDITLINK__" hidden="1">{"fdsup://directions/FAT Viewer?action=UPDATE&amp;creator=factset&amp;DYN_ARGS=TRUE&amp;DOC_NAME=FAT:FQL_AUDITING_CLIENT_TEMPLATE.FAT&amp;display_string=Audit&amp;VAR:KEY=XYJQPCHWBY&amp;VAR:QUERY=RkZfTk9OX0lOVF9FWFAoQU5OLC01WSwwWSxZLCxFVVIp&amp;WINDOW=FIRST_POPUP&amp;HEIGHT=450&amp;WIDTH=450&amp;","START_MAXIMIZED=FALSE&amp;VAR:CALENDAR=FIVEDAY&amp;VAR:SYMBOL=088470&amp;VAR:INDEX=3"}</definedName>
    <definedName name="_2035__FDSAUDITLINK__" hidden="1">{"fdsup://Directions/FactSet Auditing Viewer?action=AUDIT_VALUE&amp;DB=129&amp;ID1=066168&amp;VALUEID=03451&amp;SDATE=2009&amp;PERIODTYPE=ANN_STD&amp;window=popup_no_bar&amp;width=385&amp;height=120&amp;START_MAXIMIZED=FALSE&amp;creator=factset&amp;display_string=Audit"}</definedName>
    <definedName name="_2036__FDSAUDITLINK__" hidden="1">{"fdsup://Directions/FactSet Auditing Viewer?action=AUDIT_VALUE&amp;DB=129&amp;ID1=088470&amp;VALUEID=03351&amp;SDATE=2007&amp;PERIODTYPE=ANN_STD&amp;window=popup_no_bar&amp;width=385&amp;height=120&amp;START_MAXIMIZED=FALSE&amp;creator=factset&amp;display_string=Audit"}</definedName>
    <definedName name="_2037__FDSAUDITLINK__" hidden="1">{"fdsup://Directions/FactSet Auditing Viewer?action=AUDIT_VALUE&amp;DB=129&amp;ID1=066168&amp;VALUEID=03451&amp;SDATE=2008&amp;PERIODTYPE=ANN_STD&amp;window=popup_no_bar&amp;width=385&amp;height=120&amp;START_MAXIMIZED=FALSE&amp;creator=factset&amp;display_string=Audit"}</definedName>
    <definedName name="_2038__FDSAUDITLINK__" hidden="1">{"fdsup://Directions/FactSet Auditing Viewer?action=AUDIT_VALUE&amp;DB=129&amp;ID1=088470&amp;VALUEID=02999&amp;SDATE=2008&amp;PERIODTYPE=ANN_STD&amp;window=popup_no_bar&amp;width=385&amp;height=120&amp;START_MAXIMIZED=FALSE&amp;creator=factset&amp;display_string=Audit"}</definedName>
    <definedName name="_2039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2040__FDSAUDITLINK__" hidden="1">{"fdsup://Directions/FactSet Auditing Viewer?action=AUDIT_VALUE&amp;DB=129&amp;ID1=088470&amp;VALUEID=02999&amp;SDATE=2007&amp;PERIODTYPE=ANN_STD&amp;window=popup_no_bar&amp;width=385&amp;height=120&amp;START_MAXIMIZED=FALSE&amp;creator=factset&amp;display_string=Audit"}</definedName>
    <definedName name="_2041__FDSAUDITLINK__" hidden="1">{"fdsup://Directions/FactSet Auditing Viewer?action=AUDIT_VALUE&amp;DB=129&amp;ID1=088470&amp;VALUEID=05194&amp;SDATE=2009&amp;PERIODTYPE=ANN_STD&amp;window=popup_no_bar&amp;width=385&amp;height=120&amp;START_MAXIMIZED=FALSE&amp;creator=factset&amp;display_string=Audit"}</definedName>
    <definedName name="_2042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2043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2"}</definedName>
    <definedName name="_2044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2045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3"}</definedName>
    <definedName name="_2046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3"}</definedName>
    <definedName name="_2047__FDSAUDITLINK__" hidden="1">{"fdsup://Directions/FactSet Auditing Viewer?action=AUDIT_VALUE&amp;DB=129&amp;ID1=088470&amp;VALUEID=04151&amp;SDATE=2007&amp;PERIODTYPE=ANN_STD&amp;window=popup_no_bar&amp;width=385&amp;height=120&amp;START_MAXIMIZED=FALSE&amp;creator=factset&amp;display_string=Audit"}</definedName>
    <definedName name="_2048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049__FDSAUDITLINK__" hidden="1">{"fdsup://Directions/FactSet Auditing Viewer?action=AUDIT_VALUE&amp;DB=129&amp;ID1=088470&amp;VALUEID=02001&amp;SDATE=2008&amp;PERIODTYPE=ANN_STD&amp;window=popup_no_bar&amp;width=385&amp;height=120&amp;START_MAXIMIZED=FALSE&amp;creator=factset&amp;display_string=Audit"}</definedName>
    <definedName name="_205__FDSAUDITLINK__" hidden="1">{"fdsup://Directions/FactSet Auditing Viewer?action=AUDIT_VALUE&amp;DB=129&amp;ID1=054052&amp;VALUEID=04870&amp;SDATE=2006&amp;PERIODTYPE=ANN_STD&amp;window=popup_no_bar&amp;width=385&amp;height=120&amp;START_MAXIMIZED=FALSE&amp;creator=factset&amp;display_string=Audit"}</definedName>
    <definedName name="_2050__FDSAUDITLINK__" hidden="1">{"fdsup://directions/FAT Viewer?action=UPDATE&amp;creator=factset&amp;DYN_ARGS=TRUE&amp;DOC_NAME=FAT:FQL_AUDITING_CLIENT_TEMPLATE.FAT&amp;display_string=Audit&amp;VAR:KEY=VOPEDKNABC&amp;VAR:QUERY=KEZGX0VOVFJQUl9WQUxfREFJTFkoMCwsLCxFVVIsJ0RJTCcpLy9GRV9FU1RJTUFURSgnRUJJVERBJywnTUVBT","icsJ0NBTEEnLCcyMDEyJywwLCwsJyxDVVJSRU5DWT1FVVIsJykp&amp;WINDOW=FIRST_POPUP&amp;HEIGHT=450&amp;WIDTH=450&amp;START_MAXIMIZED=FALSE&amp;VAR:CALENDAR=FIVEDAY&amp;VAR:SYMBOL=0&amp;VAR:INDEX=0"}</definedName>
    <definedName name="_2051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2"}</definedName>
    <definedName name="_2052__FDSAUDITLINK__" hidden="1">{"fdsup://Directions/FactSet Auditing Viewer?action=AUDIT_VALUE&amp;DB=129&amp;ID1=088470&amp;VALUEID=03101&amp;SDATE=2007&amp;PERIODTYPE=ANN_STD&amp;window=popup_no_bar&amp;width=385&amp;height=120&amp;START_MAXIMIZED=FALSE&amp;creator=factset&amp;display_string=Audit"}</definedName>
    <definedName name="_2053__FDSAUDITLINK__" hidden="1">{"fdsup://directions/FAT Viewer?action=UPDATE&amp;creator=factset&amp;DYN_ARGS=TRUE&amp;DOC_NAME=FAT:FQL_AUDITING_CLIENT_TEMPLATE.FAT&amp;display_string=Audit&amp;VAR:KEY=DGPARKZAFA&amp;VAR:QUERY=RkZfQVNTRVRTX0NVUlJfT1RIKEFOTiwtNVksMFksWSwsRVVSKQ==&amp;WINDOW=FIRST_POPUP&amp;HEIGHT=450&amp;WI","DTH=450&amp;START_MAXIMIZED=FALSE&amp;VAR:CALENDAR=FIVEDAY&amp;VAR:SYMBOL=088470&amp;VAR:INDEX=5"}</definedName>
    <definedName name="_2054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2055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056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057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058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059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06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060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1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2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3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4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5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6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7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8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69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70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071__FDSAUDITLINK__" hidden="1">{"fdsup://directions/FAT Viewer?action=UPDATE&amp;creator=factset&amp;DYN_ARGS=TRUE&amp;DOC_NAME=FAT:FQL_AUDITING_CLIENT_TEMPLATE.FAT&amp;display_string=Audit&amp;VAR:KEY=NGLGRKDYZQ&amp;VAR:QUERY=RkVfVkFMVUFUSU9OKCdFVl9TQUxFUycsJ01FQU4nLCdBTk5VQUxfUk9MTCcsJy0xJywwLCwsJ0NVUlJFTkNZP","UVVUicp&amp;WINDOW=FIRST_POPUP&amp;HEIGHT=450&amp;WIDTH=450&amp;START_MAXIMIZED=FALSE&amp;VAR:CALENDAR=FIVEDAY&amp;VAR:SYMBOL=088470&amp;VAR:INDEX=0"}</definedName>
    <definedName name="_2072__FDSAUDITLINK__" hidden="1">{"fdsup://directions/FAT Viewer?action=UPDATE&amp;creator=factset&amp;DYN_ARGS=TRUE&amp;DOC_NAME=FAT:FQL_AUDITING_CLIENT_TEMPLATE.FAT&amp;display_string=Audit&amp;VAR:KEY=NYNUFCJYPO&amp;VAR:QUERY=RkVfVkFMVUFUSU9OKCdFVl9TQUxFUycsJ01FQU4nLCdOVE1BJywnJywwLCwsJ0NVUlJFTkNZPUVVUicp&amp;WIND","OW=FIRST_POPUP&amp;HEIGHT=450&amp;WIDTH=450&amp;START_MAXIMIZED=FALSE&amp;VAR:CALENDAR=FIVEDAY&amp;VAR:SYMBOL=088470&amp;VAR:INDEX=0"}</definedName>
    <definedName name="_2073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1"}</definedName>
    <definedName name="_2074__FDSAUDITLINK__" hidden="1">{"fdsup://directions/FAT Viewer?action=UPDATE&amp;creator=factset&amp;DYN_ARGS=TRUE&amp;DOC_NAME=FAT:FQL_AUDITING_CLIENT_TEMPLATE.FAT&amp;display_string=Audit&amp;VAR:KEY=PCVGPKTYTE&amp;VAR:QUERY=RkVfVkFMVUFUSU9OKCdFVl9TQUxFUycsJ01FQU4nLCdMVE1BJywnJywwLCwsJ0NVUlJFTkNZPUVVUicp&amp;WIND","OW=FIRST_POPUP&amp;HEIGHT=450&amp;WIDTH=450&amp;START_MAXIMIZED=FALSE&amp;VAR:CALENDAR=FIVEDAY&amp;VAR:SYMBOL=088470&amp;VAR:INDEX=0"}</definedName>
    <definedName name="_2075__FDSAUDITLINK__" hidden="1">{"fdsup://directions/FAT Viewer?action=UPDATE&amp;creator=factset&amp;DYN_ARGS=TRUE&amp;DOC_NAME=FAT:FQL_AUDITING_CLIENT_TEMPLATE.FAT&amp;display_string=Audit&amp;VAR:KEY=ZQHYLEVAZK&amp;VAR:QUERY=RkVfVkFMVUFUSU9OKCdST0EnLCdNRUFOJywnQU5OVUFMJywnKzMnLDAsLCwnQ1VSUkVOQ1k9RVVSJykvMTAwL","jAwMDAwMA==&amp;WINDOW=FIRST_POPUP&amp;HEIGHT=450&amp;WIDTH=450&amp;START_MAXIMIZED=FALSE&amp;VAR:CALENDAR=FIVEDAY&amp;VAR:SYMBOL=088470&amp;VAR:INDEX=0"}</definedName>
    <definedName name="_2076__FDSAUDITLINK__" hidden="1">{"fdsup://directions/FAT Viewer?action=UPDATE&amp;creator=factset&amp;DYN_ARGS=TRUE&amp;DOC_NAME=FAT:FQL_AUDITING_CLIENT_TEMPLATE.FAT&amp;display_string=Audit&amp;VAR:KEY=HWFSRAFGTQ&amp;VAR:QUERY=RkVfVkFMVUFUSU9OKCdST0EnLCdNRUFOJywnQU5OVUFMJywnKzInLDAsLCwnQ1VSUkVOQ1k9RVVSJykvMTAwL","jAwMDAwMA==&amp;WINDOW=FIRST_POPUP&amp;HEIGHT=450&amp;WIDTH=450&amp;START_MAXIMIZED=FALSE&amp;VAR:CALENDAR=FIVEDAY&amp;VAR:SYMBOL=088470&amp;VAR:INDEX=0"}</definedName>
    <definedName name="_2077__FDSAUDITLINK__" hidden="1">{"fdsup://directions/FAT Viewer?action=UPDATE&amp;creator=factset&amp;DYN_ARGS=TRUE&amp;DOC_NAME=FAT:FQL_AUDITING_CLIENT_TEMPLATE.FAT&amp;display_string=Audit&amp;VAR:KEY=PEVKHIXYLM&amp;VAR:QUERY=RkVfVkFMVUFUSU9OKCdST0EnLCdNRUFOJywnQU5OVUFMJywnKzEnLDAsLCwnQ1VSUkVOQ1k9RVVSJykvMTAwL","jAwMDAwMA==&amp;WINDOW=FIRST_POPUP&amp;HEIGHT=450&amp;WIDTH=450&amp;START_MAXIMIZED=FALSE&amp;VAR:CALENDAR=FIVEDAY&amp;VAR:SYMBOL=088470&amp;VAR:INDEX=0"}</definedName>
    <definedName name="_2078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2079__FDSAUDITLINK__" hidden="1">{"fdsup://directions/FAT Viewer?action=UPDATE&amp;creator=factset&amp;DYN_ARGS=TRUE&amp;DOC_NAME=FAT:FQL_AUDITING_CLIENT_TEMPLATE.FAT&amp;display_string=Audit&amp;VAR:KEY=JUNOXCLWJK&amp;VAR:QUERY=RkVfVkFMVUFUSU9OKCdST0EnLCdNRUFOJywnQU5OVUFMX1JPTEwnLCcwJywwLCwsJ0NVUlJFTkNZPUVVUicpL","zEwMC4wMDAwMDA=&amp;WINDOW=FIRST_POPUP&amp;HEIGHT=450&amp;WIDTH=450&amp;START_MAXIMIZED=FALSE&amp;VAR:CALENDAR=FIVEDAY&amp;VAR:SYMBOL=088470&amp;VAR:INDEX=0"}</definedName>
    <definedName name="_2080__FDSAUDITLINK__" hidden="1">{"fdsup://directions/FAT Viewer?action=UPDATE&amp;creator=factset&amp;DYN_ARGS=TRUE&amp;DOC_NAME=FAT:FQL_AUDITING_CLIENT_TEMPLATE.FAT&amp;display_string=Audit&amp;VAR:KEY=RKJINQHOZE&amp;VAR:QUERY=RkVfVkFMVUFUSU9OKCdST0EnLCdNRUFOJywnQU5OVUFMX1JPTEwnLCctMScsMCwsLCdDVVJSRU5DWT1FVVInK","S8xMDAuMDAwMDAw&amp;WINDOW=FIRST_POPUP&amp;HEIGHT=450&amp;WIDTH=450&amp;START_MAXIMIZED=FALSE&amp;VAR:CALENDAR=FIVEDAY&amp;VAR:SYMBOL=088470&amp;VAR:INDEX=0"}</definedName>
    <definedName name="_2081__FDSAUDITLINK__" hidden="1">{"fdsup://directions/FAT Viewer?action=UPDATE&amp;creator=factset&amp;DYN_ARGS=TRUE&amp;DOC_NAME=FAT:FQL_AUDITING_CLIENT_TEMPLATE.FAT&amp;display_string=Audit&amp;VAR:KEY=RCPWHCXWTK&amp;VAR:QUERY=RkVfVkFMVUFUSU9OKCdST0EnLCdNRUFOJywnTlRNQScsJycsMCwsLCdDVVJSRU5DWT1FVVInKS8xMDAuMDAwM","DAw&amp;WINDOW=FIRST_POPUP&amp;HEIGHT=450&amp;WIDTH=450&amp;START_MAXIMIZED=FALSE&amp;VAR:CALENDAR=FIVEDAY&amp;VAR:SYMBOL=088470&amp;VAR:INDEX=0"}</definedName>
    <definedName name="_2082__FDSAUDITLINK__" hidden="1">{"fdsup://directions/FAT Viewer?action=UPDATE&amp;creator=factset&amp;DYN_ARGS=TRUE&amp;DOC_NAME=FAT:FQL_AUDITING_CLIENT_TEMPLATE.FAT&amp;display_string=Audit&amp;VAR:KEY=JQDERYBWTI&amp;VAR:QUERY=RkVfVkFMVUFUSU9OKCdST0EnLCdNRUFOJywnTFRNQScsJycsMCwsLCdDVVJSRU5DWT1FVVInKS8xMDAuMDAwM","DAw&amp;WINDOW=FIRST_POPUP&amp;HEIGHT=450&amp;WIDTH=450&amp;START_MAXIMIZED=FALSE&amp;VAR:CALENDAR=FIVEDAY&amp;VAR:SYMBOL=088470&amp;VAR:INDEX=0"}</definedName>
    <definedName name="_2083__FDSAUDITLINK__" hidden="1">{"fdsup://directions/FAT Viewer?action=UPDATE&amp;creator=factset&amp;DYN_ARGS=TRUE&amp;DOC_NAME=FAT:FQL_AUDITING_CLIENT_TEMPLATE.FAT&amp;display_string=Audit&amp;VAR:KEY=HMDSFAFGVA&amp;VAR:QUERY=RkZfTk9OX0lOVF9JTkMoQU5OLC01WSwwWSxZLCxFVVIp&amp;WINDOW=FIRST_POPUP&amp;HEIGHT=450&amp;WIDTH=450&amp;","START_MAXIMIZED=FALSE&amp;VAR:CALENDAR=FIVEDAY&amp;VAR:SYMBOL=088470&amp;VAR:INDEX=5"}</definedName>
    <definedName name="_2084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2085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2086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28"}</definedName>
    <definedName name="_2087__FDSAUDITLINK__" hidden="1">{"fdsup://Directions/FactSet Auditing Viewer?action=AUDIT_VALUE&amp;DB=129&amp;ID1=088470&amp;VALUEID=04831&amp;SDATE=2008&amp;PERIODTYPE=ANN_STD&amp;window=popup_no_bar&amp;width=385&amp;height=120&amp;START_MAXIMIZED=FALSE&amp;creator=factset&amp;display_string=Audit"}</definedName>
    <definedName name="_2088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definedName>
    <definedName name="_2089__FDSAUDITLINK__" hidden="1">{"fdsup://Directions/FactSet Auditing Viewer?action=AUDIT_VALUE&amp;DB=129&amp;ID1=93114210&amp;VALUEID=01001&amp;SDATE=2010&amp;PERIODTYPE=ANN_STD&amp;SCFT=3&amp;window=popup_no_bar&amp;width=385&amp;height=120&amp;START_MAXIMIZED=FALSE&amp;creator=factset&amp;display_string=Audit"}</definedName>
    <definedName name="_2090__FDSAUDITLINK__" hidden="1">{"fdsup://Directions/FactSet Auditing Viewer?action=AUDIT_VALUE&amp;DB=129&amp;ID1=93114210&amp;VALUEID=01001&amp;SDATE=2010&amp;PERIODTYPE=ANN_STD&amp;SCFT=3&amp;window=popup_no_bar&amp;width=385&amp;height=120&amp;START_MAXIMIZED=FALSE&amp;creator=factset&amp;display_string=Audit"}</definedName>
    <definedName name="_2091__FDSAUDITLINK__" hidden="1">{"fdsup://Directions/FactSet Auditing Viewer?action=AUDIT_VALUE&amp;DB=129&amp;ID1=93114210&amp;VALUEID=05194&amp;SDATE=201101&amp;PERIODTYPE=QTR_STD&amp;SCFT=3&amp;window=popup_no_bar&amp;width=385&amp;height=120&amp;START_MAXIMIZED=FALSE&amp;creator=factset&amp;display_string=Audit"}</definedName>
    <definedName name="_2092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2093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2094__FDSAUDITLINK__" hidden="1">{"fdsup://directions/FAT Viewer?action=UPDATE&amp;creator=factset&amp;DYN_ARGS=TRUE&amp;DOC_NAME=FAT:FQL_AUDITING_CLIENT_TEMPLATE.FAT&amp;display_string=Audit&amp;VAR:KEY=DOBOBKXWTM&amp;VAR:QUERY=KEZGX0VOVFJQUl9WQUxfREFJTFkoMCwsLCxFVVIsJ0RJTCcpLy9GRV9FU1RJTUFURSgnRUJJVCcsJ01FQU4nL","CdDQUxBJywnMjAxMycsMCwsLCcsQ1VSUkVOQ1k9RVVSLCcpKQ==&amp;WINDOW=FIRST_POPUP&amp;HEIGHT=450&amp;WIDTH=450&amp;START_MAXIMIZED=FALSE&amp;VAR:CALENDAR=US&amp;VAR:SYMBOL=564156&amp;VAR:INDEX=0"}</definedName>
    <definedName name="_2095__FDSAUDITLINK__" hidden="1">{"fdsup://directions/FAT Viewer?action=UPDATE&amp;creator=factset&amp;DYN_ARGS=TRUE&amp;DOC_NAME=FAT:FQL_AUDITING_CLIENT_TEMPLATE.FAT&amp;display_string=Audit&amp;VAR:KEY=BGRKPYJWBK&amp;VAR:QUERY=KEZGX0VOVFJQUl9WQUxfREFJTFkoMCwsLCxFVVIsJ0RJTCcpLy9GRV9FU1RJTUFURSgnRUJJVCcsJ01FQU4nL","CdDQUxBJywnMjAxMicsMCwsLCcsQ1VSUkVOQ1k9RVVSLCcpKQ==&amp;WINDOW=FIRST_POPUP&amp;HEIGHT=450&amp;WIDTH=450&amp;START_MAXIMIZED=FALSE&amp;VAR:CALENDAR=US&amp;VAR:SYMBOL=564156&amp;VAR:INDEX=0"}</definedName>
    <definedName name="_2096__FDSAUDITLINK__" hidden="1">{"fdsup://directions/FAT Viewer?action=UPDATE&amp;creator=factset&amp;DYN_ARGS=TRUE&amp;DOC_NAME=FAT:FQL_AUDITING_CLIENT_TEMPLATE.FAT&amp;display_string=Audit&amp;VAR:KEY=JWTGTCNEZK&amp;VAR:QUERY=KEZGX0VOVFJQUl9WQUxfREFJTFkoMCwsLCxFVVIsJ0RJTCcpLy9GRV9FU1RJTUFURSgnRUJJVCcsJ01FQU4nL","CdDQUxBJywnMjAxMScsMCwsLCcsQ1VSUkVOQ1k9RVVSLCcpKQ==&amp;WINDOW=FIRST_POPUP&amp;HEIGHT=450&amp;WIDTH=450&amp;START_MAXIMIZED=FALSE&amp;VAR:CALENDAR=US&amp;VAR:SYMBOL=564156&amp;VAR:INDEX=0"}</definedName>
    <definedName name="_2097__FDSAUDITLINK__" hidden="1">{"fdsup://directions/FAT Viewer?action=UPDATE&amp;creator=factset&amp;DYN_ARGS=TRUE&amp;DOC_NAME=FAT:FQL_AUDITING_CLIENT_TEMPLATE.FAT&amp;display_string=Audit&amp;VAR:KEY=XEXODADEDY&amp;VAR:QUERY=KEZGX0VOVFJQUl9WQUxfREFJTFkoMCwsLCxFVVIsJ0RJTCcpLy9GRV9FU1RJTUFURSgnRUJJVERBJywnTUVBT","icsJ0NBTEEnLCcyMDEzJywwLCwsJyxDVVJSRU5DWT1FVVIsJykp&amp;WINDOW=FIRST_POPUP&amp;HEIGHT=450&amp;WIDTH=450&amp;START_MAXIMIZED=FALSE&amp;VAR:CALENDAR=US&amp;VAR:SYMBOL=564156&amp;VAR:INDEX=0"}</definedName>
    <definedName name="_2098__FDSAUDITLINK__" hidden="1">{"fdsup://directions/FAT Viewer?action=UPDATE&amp;creator=factset&amp;DYN_ARGS=TRUE&amp;DOC_NAME=FAT:FQL_AUDITING_CLIENT_TEMPLATE.FAT&amp;display_string=Audit&amp;VAR:KEY=HYJMDMVSVO&amp;VAR:QUERY=KEZGX0VOVFJQUl9WQUxfREFJTFkoMCwsLCxFVVIsJ0RJTCcpLy9GRV9FU1RJTUFURSgnRUJJVERBJywnTUVBT","icsJ0NBTEEnLCcyMDEyJywwLCwsJyxDVVJSRU5DWT1FVVIsJykp&amp;WINDOW=FIRST_POPUP&amp;HEIGHT=450&amp;WIDTH=450&amp;START_MAXIMIZED=FALSE&amp;VAR:CALENDAR=US&amp;VAR:SYMBOL=564156&amp;VAR:INDEX=0"}</definedName>
    <definedName name="_2099__FDSAUDITLINK__" hidden="1">{"fdsup://directions/FAT Viewer?action=UPDATE&amp;creator=factset&amp;DYN_ARGS=TRUE&amp;DOC_NAME=FAT:FQL_AUDITING_CLIENT_TEMPLATE.FAT&amp;display_string=Audit&amp;VAR:KEY=JGBUZYLCRE&amp;VAR:QUERY=KEZGX0VOVFJQUl9WQUxfREFJTFkoMCwsLCxFVVIsJ0RJTCcpLy9GRV9FU1RJTUFURSgnRUJJVERBJywnTUVBT","icsJ0NBTEEnLCcyMDExJywwLCwsJyxDVVJSRU5DWT1FVVIsJykp&amp;WINDOW=FIRST_POPUP&amp;HEIGHT=450&amp;WIDTH=450&amp;START_MAXIMIZED=FALSE&amp;VAR:CALENDAR=US&amp;VAR:SYMBOL=564156&amp;VAR:INDEX=0"}</definedName>
    <definedName name="_21__FDSAUDITLINK__" hidden="1">{"fdsup://IBCentral/FAT Viewer?action=UPDATE&amp;creator=factset&amp;DOC_NAME=fat:reuters_annual_source_window.fat&amp;display_string=Audit&amp;DYN_ARGS=TRUE&amp;VAR:ID1=01852230&amp;VAR:RCODE=FDSCASHTOTAL&amp;VAR:SDATE=20081299&amp;VAR:FREQ=Y&amp;VAR:RELITEM=RP&amp;VAR:CURRENCY=&amp;VAR:CURRSOURCE=E","XSHARE&amp;VAR:NATFREQ=ANNUAL&amp;VAR:RFIELD=FINALIZED&amp;VAR:DB_TYPE=&amp;VAR:UNITS=M&amp;window=popup&amp;width=450&amp;height=300&amp;START_MAXIMIZED=FALSE"}</definedName>
    <definedName name="_2100__FDSAUDITLINK__" hidden="1">{"fdsup://directions/FAT Viewer?action=UPDATE&amp;creator=factset&amp;DYN_ARGS=TRUE&amp;DOC_NAME=FAT:FQL_AUDITING_CLIENT_TEMPLATE.FAT&amp;display_string=Audit&amp;VAR:KEY=VAJQXAJQTA&amp;VAR:QUERY=KEZGX0VOVFJQUl9WQUxfREFJTFkoMCwsLCxFVVIsJ0RJTCcpLy9GRV9FU1RJTUFURSgnRUJJVCcsJ01FQU4nL","CdDQUxBJywnMjAxMycsMCwsLCcsQ1VSUkVOQ1k9RVVSLCcpKQ==&amp;WINDOW=FIRST_POPUP&amp;HEIGHT=450&amp;WIDTH=450&amp;START_MAXIMIZED=FALSE&amp;VAR:CALENDAR=US&amp;VAR:SYMBOL=93114210&amp;VAR:INDEX=0"}</definedName>
    <definedName name="_2101__FDSAUDITLINK__" hidden="1">{"fdsup://directions/FAT Viewer?action=UPDATE&amp;creator=factset&amp;DYN_ARGS=TRUE&amp;DOC_NAME=FAT:FQL_AUDITING_CLIENT_TEMPLATE.FAT&amp;display_string=Audit&amp;VAR:KEY=RIXQDCBKXQ&amp;VAR:QUERY=KEZGX0VOVFJQUl9WQUxfREFJTFkoMCwsLCxFVVIsJ0RJTCcpLy9GRV9FU1RJTUFURSgnRUJJVCcsJ01FQU4nL","CdDQUxBJywnMjAxMicsMCwsLCcsQ1VSUkVOQ1k9RVVSLCcpKQ==&amp;WINDOW=FIRST_POPUP&amp;HEIGHT=450&amp;WIDTH=450&amp;START_MAXIMIZED=FALSE&amp;VAR:CALENDAR=US&amp;VAR:SYMBOL=93114210&amp;VAR:INDEX=0"}</definedName>
    <definedName name="_2102__FDSAUDITLINK__" hidden="1">{"fdsup://directions/FAT Viewer?action=UPDATE&amp;creator=factset&amp;DYN_ARGS=TRUE&amp;DOC_NAME=FAT:FQL_AUDITING_CLIENT_TEMPLATE.FAT&amp;display_string=Audit&amp;VAR:KEY=DQNMVKLSTE&amp;VAR:QUERY=KEZGX0VOVFJQUl9WQUxfREFJTFkoMCwsLCxFVVIsJ0RJTCcpLy9GRV9FU1RJTUFURSgnRUJJVCcsJ01FQU4nL","CdDQUxBJywnMjAxMScsMCwsLCcsQ1VSUkVOQ1k9RVVSLCcpKQ==&amp;WINDOW=FIRST_POPUP&amp;HEIGHT=450&amp;WIDTH=450&amp;START_MAXIMIZED=FALSE&amp;VAR:CALENDAR=US&amp;VAR:SYMBOL=93114210&amp;VAR:INDEX=0"}</definedName>
    <definedName name="_2103__FDSAUDITLINK__" hidden="1">{"fdsup://directions/FAT Viewer?action=UPDATE&amp;creator=factset&amp;DYN_ARGS=TRUE&amp;DOC_NAME=FAT:FQL_AUDITING_CLIENT_TEMPLATE.FAT&amp;display_string=Audit&amp;VAR:KEY=TQJMPKHMRM&amp;VAR:QUERY=KEZGX0VOVFJQUl9WQUxfREFJTFkoMCwsLCxFVVIsJ0RJTCcpLy9GRV9FU1RJTUFURSgnRUJJVERBJywnTUVBT","icsJ0NBTEEnLCcyMDEzJywwLCwsJyxDVVJSRU5DWT1FVVIsJykp&amp;WINDOW=FIRST_POPUP&amp;HEIGHT=450&amp;WIDTH=450&amp;START_MAXIMIZED=FALSE&amp;VAR:CALENDAR=US&amp;VAR:SYMBOL=93114210&amp;VAR:INDEX=0"}</definedName>
    <definedName name="_2104__FDSAUDITLINK__" hidden="1">{"fdsup://directions/FAT Viewer?action=UPDATE&amp;creator=factset&amp;DYN_ARGS=TRUE&amp;DOC_NAME=FAT:FQL_AUDITING_CLIENT_TEMPLATE.FAT&amp;display_string=Audit&amp;VAR:KEY=PWNEDQDEXG&amp;VAR:QUERY=KEZGX0VOVFJQUl9WQUxfREFJTFkoMCwsLCxFVVIsJ0RJTCcpLy9GRV9FU1RJTUFURSgnRUJJVERBJywnTUVBT","icsJ0NBTEEnLCcyMDEyJywwLCwsJyxDVVJSRU5DWT1FVVIsJykp&amp;WINDOW=FIRST_POPUP&amp;HEIGHT=450&amp;WIDTH=450&amp;START_MAXIMIZED=FALSE&amp;VAR:CALENDAR=US&amp;VAR:SYMBOL=93114210&amp;VAR:INDEX=0"}</definedName>
    <definedName name="_2105__FDSAUDITLINK__" hidden="1">{"fdsup://directions/FAT Viewer?action=UPDATE&amp;creator=factset&amp;DYN_ARGS=TRUE&amp;DOC_NAME=FAT:FQL_AUDITING_CLIENT_TEMPLATE.FAT&amp;display_string=Audit&amp;VAR:KEY=XYPETIPGBK&amp;VAR:QUERY=KEZGX0VOVFJQUl9WQUxfREFJTFkoMCwsLCxFVVIsJ0RJTCcpLy9GRV9FU1RJTUFURSgnRUJJVERBJywnTUVBT","icsJ0NBTEEnLCcyMDExJywwLCwsJyxDVVJSRU5DWT1FVVIsJykp&amp;WINDOW=FIRST_POPUP&amp;HEIGHT=450&amp;WIDTH=450&amp;START_MAXIMIZED=FALSE&amp;VAR:CALENDAR=US&amp;VAR:SYMBOL=93114210&amp;VAR:INDEX=0"}</definedName>
    <definedName name="_2106__FDSAUDITLINK__" hidden="1">{"fdsup://directions/FAT Viewer?action=UPDATE&amp;creator=factset&amp;DYN_ARGS=TRUE&amp;DOC_NAME=FAT:FQL_AUDITING_CLIENT_TEMPLATE.FAT&amp;display_string=Audit&amp;VAR:KEY=DSJKTCTCZM&amp;VAR:QUERY=KEZGX0VOVFJQUl9WQUxfREFJTFkoMCwsLCxFVVIsJ0RJTCcpLy9GRV9FU1RJTUFURSgnRUJJVCcsJ01FQU4nL","CdDQUxBJywnMjAxMycsMCwsLCcsQ1VSUkVOQ1k9RVVSLCcpKQ==&amp;WINDOW=FIRST_POPUP&amp;HEIGHT=450&amp;WIDTH=450&amp;START_MAXIMIZED=FALSE&amp;VAR:CALENDAR=US&amp;VAR:SYMBOL=088470&amp;VAR:INDEX=0"}</definedName>
    <definedName name="_2107__FDSAUDITLINK__" hidden="1">{"fdsup://directions/FAT Viewer?action=UPDATE&amp;creator=factset&amp;DYN_ARGS=TRUE&amp;DOC_NAME=FAT:FQL_AUDITING_CLIENT_TEMPLATE.FAT&amp;display_string=Audit&amp;VAR:KEY=PWDQZELABS&amp;VAR:QUERY=KEZGX0VOVFJQUl9WQUxfREFJTFkoMCwsLCxFVVIsJ0RJTCcpLy9GRV9FU1RJTUFURSgnRUJJVCcsJ01FQU4nL","CdDQUxBJywnMjAxMicsMCwsLCcsQ1VSUkVOQ1k9RVVSLCcpKQ==&amp;WINDOW=FIRST_POPUP&amp;HEIGHT=450&amp;WIDTH=450&amp;START_MAXIMIZED=FALSE&amp;VAR:CALENDAR=US&amp;VAR:SYMBOL=088470&amp;VAR:INDEX=0"}</definedName>
    <definedName name="_2108__FDSAUDITLINK__" hidden="1">{"fdsup://directions/FAT Viewer?action=UPDATE&amp;creator=factset&amp;DYN_ARGS=TRUE&amp;DOC_NAME=FAT:FQL_AUDITING_CLIENT_TEMPLATE.FAT&amp;display_string=Audit&amp;VAR:KEY=ZEXQPMNAZW&amp;VAR:QUERY=KEZGX0VOVFJQUl9WQUxfREFJTFkoMCwsLCxFVVIsJ0RJTCcpLy9GRV9FU1RJTUFURSgnRUJJVCcsJ01FQU4nL","CdDQUxBJywnMjAxMScsMCwsLCcsQ1VSUkVOQ1k9RVVSLCcpKQ==&amp;WINDOW=FIRST_POPUP&amp;HEIGHT=450&amp;WIDTH=450&amp;START_MAXIMIZED=FALSE&amp;VAR:CALENDAR=US&amp;VAR:SYMBOL=088470&amp;VAR:INDEX=0"}</definedName>
    <definedName name="_2109__FDSAUDITLINK__" hidden="1">{"fdsup://directions/FAT Viewer?action=UPDATE&amp;creator=factset&amp;DYN_ARGS=TRUE&amp;DOC_NAME=FAT:FQL_AUDITING_CLIENT_TEMPLATE.FAT&amp;display_string=Audit&amp;VAR:KEY=BCTYPGRWZI&amp;VAR:QUERY=KEZGX0VOVFJQUl9WQUxfREFJTFkoMCwsLCxFVVIsJ0RJTCcpLy9GRV9FU1RJTUFURSgnRUJJVERBJywnTUVBT","icsJ0NBTEEnLCcyMDEzJywwLCwsJyxDVVJSRU5DWT1FVVIsJykp&amp;WINDOW=FIRST_POPUP&amp;HEIGHT=450&amp;WIDTH=450&amp;START_MAXIMIZED=FALSE&amp;VAR:CALENDAR=US&amp;VAR:SYMBOL=088470&amp;VAR:INDEX=0"}</definedName>
    <definedName name="_2110__FDSAUDITLINK__" hidden="1">{"fdsup://directions/FAT Viewer?action=UPDATE&amp;creator=factset&amp;DYN_ARGS=TRUE&amp;DOC_NAME=FAT:FQL_AUDITING_CLIENT_TEMPLATE.FAT&amp;display_string=Audit&amp;VAR:KEY=HQRUXANYVI&amp;VAR:QUERY=KEZGX0VOVFJQUl9WQUxfREFJTFkoMCwsLCxFVVIsJ0RJTCcpLy9GRV9FU1RJTUFURSgnRUJJVERBJywnTUVBT","icsJ0NBTEEnLCcyMDEyJywwLCwsJyxDVVJSRU5DWT1FVVIsJykp&amp;WINDOW=FIRST_POPUP&amp;HEIGHT=450&amp;WIDTH=450&amp;START_MAXIMIZED=FALSE&amp;VAR:CALENDAR=US&amp;VAR:SYMBOL=088470&amp;VAR:INDEX=0"}</definedName>
    <definedName name="_2111__FDSAUDITLINK__" hidden="1">{"fdsup://Directions/FactSet Auditing Viewer?action=AUDIT_VALUE&amp;DB=129&amp;ID1=088470&amp;VALUEID=04851&amp;SDATE=2008&amp;PERIODTYPE=ANN_STD&amp;window=popup_no_bar&amp;width=385&amp;height=120&amp;START_MAXIMIZED=FALSE&amp;creator=factset&amp;display_string=Audit"}</definedName>
    <definedName name="_2112__FDSAUDITLINK__" hidden="1">{"fdsup://Directions/FactSet Auditing Viewer?action=AUDIT_VALUE&amp;DB=129&amp;ID1=088470&amp;VALUEID=04851&amp;SDATE=2007&amp;PERIODTYPE=ANN_STD&amp;window=popup_no_bar&amp;width=385&amp;height=120&amp;START_MAXIMIZED=FALSE&amp;creator=factset&amp;display_string=Audit"}</definedName>
    <definedName name="_2113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21"}</definedName>
    <definedName name="_2114__FDSAUDITLINK__" hidden="1">{"fdsup://Directions/FactSet Auditing Viewer?action=AUDIT_VALUE&amp;DB=129&amp;ID1=088470&amp;VALUEID=04840&amp;SDATE=2009&amp;PERIODTYPE=ANN_STD&amp;window=popup_no_bar&amp;width=385&amp;height=120&amp;START_MAXIMIZED=FALSE&amp;creator=factset&amp;display_string=Audit"}</definedName>
    <definedName name="_2115__FDSAUDITLINK__" hidden="1">{"fdsup://Directions/FactSet Auditing Viewer?action=AUDIT_VALUE&amp;DB=129&amp;ID1=088470&amp;VALUEID=04840&amp;SDATE=2008&amp;PERIODTYPE=ANN_STD&amp;window=popup_no_bar&amp;width=385&amp;height=120&amp;START_MAXIMIZED=FALSE&amp;creator=factset&amp;display_string=Audit"}</definedName>
    <definedName name="_2116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29"}</definedName>
    <definedName name="_2117__FDSAUDITLINK__" hidden="1">{"fdsup://Directions/FactSet Auditing Viewer?action=AUDIT_VALUE&amp;DB=129&amp;ID1=088470&amp;VALUEID=04840&amp;SDATE=2007&amp;PERIODTYPE=ANN_STD&amp;window=popup_no_bar&amp;width=385&amp;height=120&amp;START_MAXIMIZED=FALSE&amp;creator=factset&amp;display_string=Audit"}</definedName>
    <definedName name="_2118__FDSAUDITLINK__" hidden="1">{"fdsup://Directions/FactSet Auditing Viewer?action=AUDIT_VALUE&amp;DB=129&amp;ID1=088470&amp;VALUEID=04551&amp;SDATE=2009&amp;PERIODTYPE=ANN_STD&amp;window=popup_no_bar&amp;width=385&amp;height=120&amp;START_MAXIMIZED=FALSE&amp;creator=factset&amp;display_string=Audit"}</definedName>
    <definedName name="_2119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20"}</definedName>
    <definedName name="_2120__FDSAUDITLINK__" hidden="1">{"fdsup://Directions/FactSet Auditing Viewer?action=AUDIT_VALUE&amp;DB=129&amp;ID1=088470&amp;VALUEID=04551&amp;SDATE=2008&amp;PERIODTYPE=ANN_STD&amp;window=popup_no_bar&amp;width=385&amp;height=120&amp;START_MAXIMIZED=FALSE&amp;creator=factset&amp;display_string=Audit"}</definedName>
    <definedName name="_2121__FDSAUDITLINK__" hidden="1">{"fdsup://Directions/FactSet Auditing Viewer?action=AUDIT_VALUE&amp;DB=129&amp;ID1=088470&amp;VALUEID=04551&amp;SDATE=2007&amp;PERIODTYPE=ANN_STD&amp;window=popup_no_bar&amp;width=385&amp;height=120&amp;START_MAXIMIZED=FALSE&amp;creator=factset&amp;display_string=Audit"}</definedName>
    <definedName name="_2122__FDSAUDITLINK__" hidden="1">{"fdsup://Directions/FactSet Auditing Viewer?action=AUDIT_VALUE&amp;DB=129&amp;ID1=088470&amp;VALUEID=04601&amp;SDATE=2009&amp;PERIODTYPE=ANN_STD&amp;window=popup_no_bar&amp;width=385&amp;height=120&amp;START_MAXIMIZED=FALSE&amp;creator=factset&amp;display_string=Audit"}</definedName>
    <definedName name="_2123__FDSAUDITLINK__" hidden="1">{"fdsup://Directions/FactSet Auditing Viewer?action=AUDIT_VALUE&amp;DB=129&amp;ID1=088470&amp;VALUEID=04601&amp;SDATE=2008&amp;PERIODTYPE=ANN_STD&amp;window=popup_no_bar&amp;width=385&amp;height=120&amp;START_MAXIMIZED=FALSE&amp;creator=factset&amp;display_string=Audit"}</definedName>
    <definedName name="_2124__FDSAUDITLINK__" hidden="1">{"fdsup://Directions/FactSet Auditing Viewer?action=AUDIT_VALUE&amp;DB=129&amp;ID1=088470&amp;VALUEID=04601&amp;SDATE=2007&amp;PERIODTYPE=ANN_STD&amp;window=popup_no_bar&amp;width=385&amp;height=120&amp;START_MAXIMIZED=FALSE&amp;creator=factset&amp;display_string=Audit"}</definedName>
    <definedName name="_212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49"}</definedName>
    <definedName name="_2126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50"}</definedName>
    <definedName name="_2127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2128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129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130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2131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0"}</definedName>
    <definedName name="_2132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2"}</definedName>
    <definedName name="_2133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213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19"}</definedName>
    <definedName name="_2135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136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2137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2138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2139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2140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2141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2142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2143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2144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145__FDSAUDITLINK__" hidden="1">{"fdsup://directions/FAT Viewer?action=UPDATE&amp;creator=factset&amp;DYN_ARGS=TRUE&amp;DOC_NAME=FAT:FQL_AUDITING_CLIENT_TEMPLATE.FAT&amp;display_string=Audit&amp;VAR:KEY=PELMDQFIHA&amp;VAR:QUERY=RkZfR1JPU1NfSU5DKEFOTiwtNVksMFksWSwsRVVSKQ==&amp;WINDOW=FIRST_POPUP&amp;HEIGHT=450&amp;WIDTH=450&amp;","START_MAXIMIZED=FALSE&amp;VAR:CALENDAR=FIVEDAY&amp;VAR:SYMBOL=088470&amp;VAR:INDEX=3"}</definedName>
    <definedName name="_2146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2147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148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5"}</definedName>
    <definedName name="_2149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30"}</definedName>
    <definedName name="_2150__FDSAUDITLINK__" hidden="1">{"fdsup://directions/FAT Viewer?action=UPDATE&amp;creator=factset&amp;DYN_ARGS=TRUE&amp;DOC_NAME=FAT:FQL_AUDITING_CLIENT_TEMPLATE.FAT&amp;display_string=Audit&amp;VAR:KEY=PGNOVUPMHK&amp;VAR:QUERY=RkZfTkVUX0lOQ19CQVNJQ19CRUZUX1hPUkQoQU5OLDAsLCwsRVVSKS1GRl9YT1JEX1BTX1BUQVgoQU5OLDAsL","CwsRVVSKQ==&amp;WINDOW=FIRST_POPUP&amp;HEIGHT=450&amp;WIDTH=450&amp;START_MAXIMIZED=FALSE&amp;VAR:CALENDAR=FIVEDAY&amp;VAR:SYMBOL=088470&amp;VAR:INDEX=0"}</definedName>
    <definedName name="_2151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4"}</definedName>
    <definedName name="_2152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153__FDSAUDITLINK__" hidden="1">{"fdsup://Directions/FactSet Auditing Viewer?action=AUDIT_VALUE&amp;DB=129&amp;ID1=088470&amp;VALUEID=04840&amp;SDATE=2008&amp;PERIODTYPE=ANN_STD&amp;window=popup_no_bar&amp;width=385&amp;height=120&amp;START_MAXIMIZED=FALSE&amp;creator=factset&amp;display_string=Audit"}</definedName>
    <definedName name="_2154__FDSAUDITLINK__" hidden="1">{"fdsup://Directions/FactSet Auditing Viewer?action=AUDIT_VALUE&amp;DB=129&amp;ID1=088470&amp;VALUEID=04840&amp;SDATE=2007&amp;PERIODTYPE=ANN_STD&amp;window=popup_no_bar&amp;width=385&amp;height=120&amp;START_MAXIMIZED=FALSE&amp;creator=factset&amp;display_string=Audit"}</definedName>
    <definedName name="_2155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5"}</definedName>
    <definedName name="_2156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15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definedName>
    <definedName name="_2158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4"}</definedName>
    <definedName name="_2159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1"}</definedName>
    <definedName name="_2160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5"}</definedName>
    <definedName name="_2161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4"}</definedName>
    <definedName name="_2162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5"}</definedName>
    <definedName name="_2163__FDSAUDITLINK__" hidden="1">{"fdsup://directions/FAT Viewer?action=UPDATE&amp;creator=factset&amp;DYN_ARGS=TRUE&amp;DOC_NAME=FAT:FQL_AUDITING_CLIENT_TEMPLATE.FAT&amp;display_string=Audit&amp;VAR:KEY=NAJUXANIPG&amp;VAR:QUERY=RkZfRElWX0NPTV9DRihBTk4sMCwtNUFZLCwsRVVSKS9GRl9ORVRfSU5DX0JBU0lDX0JFRlRfWE9SRChBTk4sM","CwtNUFZLCwsRVVSKQ==&amp;WINDOW=FIRST_POPUP&amp;HEIGHT=450&amp;WIDTH=450&amp;START_MAXIMIZED=FALSE&amp;VAR:CALENDAR=FIVEDAY&amp;VAR:SYMBOL=088470&amp;VAR:INDEX=0"}</definedName>
    <definedName name="_2164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4"}</definedName>
    <definedName name="_2165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166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4"}</definedName>
    <definedName name="_2167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3"}</definedName>
    <definedName name="_2168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2"}</definedName>
    <definedName name="_2169__FDSAUDITLINK__" hidden="1">{"fdsup://Directions/FactSet Auditing Viewer?action=AUDIT_VALUE&amp;DB=129&amp;ID1=088470&amp;VALUEID=04851&amp;SDATE=2007&amp;PERIODTYPE=ANN_STD&amp;window=popup_no_bar&amp;width=385&amp;height=120&amp;START_MAXIMIZED=FALSE&amp;creator=factset&amp;display_string=Audit"}</definedName>
    <definedName name="_2170__FDSAUDITLINK__" hidden="1">{"fdsup://Directions/FactSet Auditing Viewer?action=AUDIT_VALUE&amp;DB=129&amp;ID1=088470&amp;VALUEID=04355&amp;SDATE=2007&amp;PERIODTYPE=ANN_STD&amp;window=popup_no_bar&amp;width=385&amp;height=120&amp;START_MAXIMIZED=FALSE&amp;creator=factset&amp;display_string=Audit"}</definedName>
    <definedName name="_2171__FDSAUDITLINK__" hidden="1">{"fdsup://Directions/FactSet Auditing Viewer?action=AUDIT_VALUE&amp;DB=129&amp;ID1=088470&amp;VALUEID=04355&amp;SDATE=2008&amp;PERIODTYPE=ANN_STD&amp;window=popup_no_bar&amp;width=385&amp;height=120&amp;START_MAXIMIZED=FALSE&amp;creator=factset&amp;display_string=Audit"}</definedName>
    <definedName name="_2172__FDSAUDITLINK__" hidden="1">{"fdsup://Directions/FactSet Auditing Viewer?action=AUDIT_VALUE&amp;DB=129&amp;ID1=088470&amp;VALUEID=04355&amp;SDATE=2009&amp;PERIODTYPE=ANN_STD&amp;window=popup_no_bar&amp;width=385&amp;height=120&amp;START_MAXIMIZED=FALSE&amp;creator=factset&amp;display_string=Audit"}</definedName>
    <definedName name="_2173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5"}</definedName>
    <definedName name="_217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7"}</definedName>
    <definedName name="_2175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4"}</definedName>
    <definedName name="_2176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2"}</definedName>
    <definedName name="_2177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1"}</definedName>
    <definedName name="_2178__FDSAUDITLINK__" hidden="1">{"fdsup://Directions/FactSet Auditing Viewer?action=AUDIT_VALUE&amp;DB=129&amp;ID1=088470&amp;VALUEID=03051&amp;SDATE=2007&amp;PERIODTYPE=ANN_STD&amp;window=popup_no_bar&amp;width=385&amp;height=120&amp;START_MAXIMIZED=FALSE&amp;creator=factset&amp;display_string=Audit"}</definedName>
    <definedName name="_2179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19"}</definedName>
    <definedName name="_2180__FDSAUDITLINK__" hidden="1">{"fdsup://Directions/FactSet Auditing Viewer?action=AUDIT_VALUE&amp;DB=129&amp;ID1=088470&amp;VALUEID=03040&amp;SDATE=2009&amp;PERIODTYPE=ANN_STD&amp;window=popup_no_bar&amp;width=385&amp;height=120&amp;START_MAXIMIZED=FALSE&amp;creator=factset&amp;display_string=Audit"}</definedName>
    <definedName name="_2181__FDSAUDITLINK__" hidden="1">{"fdsup://Directions/FactSet Auditing Viewer?action=AUDIT_VALUE&amp;DB=129&amp;ID1=088470&amp;VALUEID=04001&amp;SDATE=2009&amp;PERIODTYPE=ANN_STD&amp;window=popup_no_bar&amp;width=385&amp;height=120&amp;START_MAXIMIZED=FALSE&amp;creator=factset&amp;display_string=Audit"}</definedName>
    <definedName name="_2182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0"}</definedName>
    <definedName name="_2183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184__FDSAUDITLINK__" hidden="1">{"fdsup://Directions/FactSet Auditing Viewer?action=AUDIT_VALUE&amp;DB=129&amp;ID1=088470&amp;VALUEID=02201&amp;SDATE=2007&amp;PERIODTYPE=ANN_STD&amp;window=popup_no_bar&amp;width=385&amp;height=120&amp;START_MAXIMIZED=FALSE&amp;creator=factset&amp;display_string=Audit"}</definedName>
    <definedName name="_2185__FDSAUDITLINK__" hidden="1">{"fdsup://Directions/FactSet Auditing Viewer?action=AUDIT_VALUE&amp;DB=129&amp;ID1=088470&amp;VALUEID=05194&amp;SDATE=2009&amp;PERIODTYPE=ANN_STD&amp;window=popup_no_bar&amp;width=385&amp;height=120&amp;START_MAXIMIZED=FALSE&amp;creator=factset&amp;display_string=Audit"}</definedName>
    <definedName name="_2186__FDSAUDITLINK__" hidden="1">{"fdsup://Directions/FactSet Auditing Viewer?action=AUDIT_VALUE&amp;DB=129&amp;ID1=088470&amp;VALUEID=05194&amp;SDATE=2008&amp;PERIODTYPE=ANN_STD&amp;window=popup_no_bar&amp;width=385&amp;height=120&amp;START_MAXIMIZED=FALSE&amp;creator=factset&amp;display_string=Audit"}</definedName>
    <definedName name="_2187__FDSAUDITLINK__" hidden="1">{"fdsup://Directions/FactSet Auditing Viewer?action=AUDIT_VALUE&amp;DB=129&amp;ID1=054052&amp;VALUEID=03263&amp;SDATE=2009&amp;PERIODTYPE=ANN_STD&amp;window=popup_no_bar&amp;width=385&amp;height=120&amp;START_MAXIMIZED=FALSE&amp;creator=factset&amp;display_string=Audit"}</definedName>
    <definedName name="_2188__FDSAUDITLINK__" hidden="1">{"fdsup://Directions/FactSet Auditing Viewer?action=AUDIT_VALUE&amp;DB=129&amp;ID1=088470&amp;VALUEID=03263&amp;SDATE=2008&amp;PERIODTYPE=ANN_STD&amp;window=popup_no_bar&amp;width=385&amp;height=120&amp;START_MAXIMIZED=FALSE&amp;creator=factset&amp;display_string=Audit"}</definedName>
    <definedName name="_2189__FDSAUDITLINK__" hidden="1">{"fdsup://Directions/FactSet Auditing Viewer?action=AUDIT_VALUE&amp;DB=129&amp;ID1=054052&amp;VALUEID=03263&amp;SDATE=2007&amp;PERIODTYPE=ANN_STD&amp;window=popup_no_bar&amp;width=385&amp;height=120&amp;START_MAXIMIZED=FALSE&amp;creator=factset&amp;display_string=Audit"}</definedName>
    <definedName name="_2190__FDSAUDITLINK__" hidden="1">{"fdsup://Directions/FactSet Auditing Viewer?action=AUDIT_VALUE&amp;DB=129&amp;ID1=054052&amp;VALUEID=03263&amp;SDATE=2006&amp;PERIODTYPE=ANN_STD&amp;window=popup_no_bar&amp;width=385&amp;height=120&amp;START_MAXIMIZED=FALSE&amp;creator=factset&amp;display_string=Audit"}</definedName>
    <definedName name="_2191__FDSAUDITLINK__" hidden="1">{"fdsup://Directions/FactSet Auditing Viewer?action=AUDIT_VALUE&amp;DB=129&amp;ID1=054052&amp;VALUEID=03262&amp;SDATE=2009&amp;PERIODTYPE=ANN_STD&amp;window=popup_no_bar&amp;width=385&amp;height=120&amp;START_MAXIMIZED=FALSE&amp;creator=factset&amp;display_string=Audit"}</definedName>
    <definedName name="_2192__FDSAUDITLINK__" hidden="1">{"fdsup://Directions/FactSet Auditing Viewer?action=AUDIT_VALUE&amp;DB=129&amp;ID1=088470&amp;VALUEID=05194&amp;SDATE=2007&amp;PERIODTYPE=ANN_STD&amp;window=popup_no_bar&amp;width=385&amp;height=120&amp;START_MAXIMIZED=FALSE&amp;creator=factset&amp;display_string=Audit"}</definedName>
    <definedName name="_2193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5"}</definedName>
    <definedName name="_2194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195__FDSAUDITLINK__" hidden="1">{"fdsup://Directions/FactSet Auditing Viewer?action=AUDIT_VALUE&amp;DB=129&amp;ID1=088470&amp;VALUEID=02201&amp;SDATE=2009&amp;PERIODTYPE=ANN_STD&amp;window=popup_no_bar&amp;width=385&amp;height=120&amp;START_MAXIMIZED=FALSE&amp;creator=factset&amp;display_string=Audit"}</definedName>
    <definedName name="_2196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definedName>
    <definedName name="_2197__FDSAUDITLINK__" hidden="1">{"fdsup://Directions/FactSet Auditing Viewer?action=AUDIT_VALUE&amp;DB=129&amp;ID1=088470&amp;VALUEID=02201&amp;SDATE=2008&amp;PERIODTYPE=ANN_STD&amp;window=popup_no_bar&amp;width=385&amp;height=120&amp;START_MAXIMIZED=FALSE&amp;creator=factset&amp;display_string=Audit"}</definedName>
    <definedName name="_2198__FDSAUDITLINK__" hidden="1">{"fdsup://Directions/FactSet Auditing Viewer?action=AUDIT_VALUE&amp;DB=129&amp;ID1=088470&amp;VALUEID=02649&amp;SDATE=2009&amp;PERIODTYPE=ANN_STD&amp;window=popup_no_bar&amp;width=385&amp;height=120&amp;START_MAXIMIZED=FALSE&amp;creator=factset&amp;display_string=Audit"}</definedName>
    <definedName name="_2199__FDSAUDITLINK__" hidden="1">{"fdsup://Directions/FactSet Auditing Viewer?action=AUDIT_VALUE&amp;DB=129&amp;ID1=088470&amp;VALUEID=02649&amp;SDATE=2008&amp;PERIODTYPE=ANN_STD&amp;window=popup_no_bar&amp;width=385&amp;height=120&amp;START_MAXIMIZED=FALSE&amp;creator=factset&amp;display_string=Audit"}</definedName>
    <definedName name="_22__FDSAUDITLINK__" hidden="1">{"fdsup://IBCentral/FAT Viewer?action=UPDATE&amp;creator=factset&amp;DOC_NAME=fat:reuters_annual_source_window.fat&amp;display_string=Audit&amp;DYN_ARGS=TRUE&amp;VAR:ID1=01852230&amp;VAR:RCODE=FDSCASHTOTAL&amp;VAR:SDATE=20081299&amp;VAR:FREQ=Y&amp;VAR:RELITEM=RP&amp;VAR:CURRENCY=&amp;VAR:CURRSOURCE=E","XSHARE&amp;VAR:NATFREQ=ANNUAL&amp;VAR:RFIELD=FINALIZED&amp;VAR:DB_TYPE=&amp;VAR:UNITS=M&amp;window=popup&amp;width=450&amp;height=300&amp;START_MAXIMIZED=FALSE"}</definedName>
    <definedName name="_220__FDSAUDITLINK__" hidden="1">{"fdsup://Directions/FactSet Auditing Viewer?action=AUDIT_VALUE&amp;DB=129&amp;ID1=054052&amp;VALUEID=05194&amp;SDATE=2006&amp;PERIODTYPE=ANN_STD&amp;window=popup_no_bar&amp;width=385&amp;height=120&amp;START_MAXIMIZED=FALSE&amp;creator=factset&amp;display_string=Audit"}</definedName>
    <definedName name="_2200__FDSAUDITLINK__" hidden="1">{"fdsup://Directions/FactSet Auditing Viewer?action=AUDIT_VALUE&amp;DB=129&amp;ID1=088470&amp;VALUEID=02649&amp;SDATE=2007&amp;PERIODTYPE=ANN_STD&amp;window=popup_no_bar&amp;width=385&amp;height=120&amp;START_MAXIMIZED=FALSE&amp;creator=factset&amp;display_string=Audit"}</definedName>
    <definedName name="_2201__FDSAUDITLINK__" hidden="1">{"fdsup://Directions/FactSet Auditing Viewer?action=AUDIT_VALUE&amp;DB=129&amp;ID1=088470&amp;VALUEID=02501&amp;SDATE=2009&amp;PERIODTYPE=ANN_STD&amp;window=popup_no_bar&amp;width=385&amp;height=120&amp;START_MAXIMIZED=FALSE&amp;creator=factset&amp;display_string=Audit"}</definedName>
    <definedName name="_2202__FDSAUDITLINK__" hidden="1">{"fdsup://Directions/FactSet Auditing Viewer?action=AUDIT_VALUE&amp;DB=129&amp;ID1=088470&amp;VALUEID=02501&amp;SDATE=2008&amp;PERIODTYPE=ANN_STD&amp;window=popup_no_bar&amp;width=385&amp;height=120&amp;START_MAXIMIZED=FALSE&amp;creator=factset&amp;display_string=Audit"}</definedName>
    <definedName name="_2203__FDSAUDITLINK__" hidden="1">{"fdsup://Directions/FactSet Auditing Viewer?action=AUDIT_VALUE&amp;DB=129&amp;ID1=088470&amp;VALUEID=02501&amp;SDATE=2007&amp;PERIODTYPE=ANN_STD&amp;window=popup_no_bar&amp;width=385&amp;height=120&amp;START_MAXIMIZED=FALSE&amp;creator=factset&amp;display_string=Audit"}</definedName>
    <definedName name="_2204__FDSAUDITLINK__" hidden="1">{"fdsup://Directions/FactSet Auditing Viewer?action=AUDIT_VALUE&amp;DB=129&amp;ID1=088470&amp;VALUEID=02999&amp;SDATE=2007&amp;PERIODTYPE=ANN_STD&amp;window=popup_no_bar&amp;width=385&amp;height=120&amp;START_MAXIMIZED=FALSE&amp;creator=factset&amp;display_string=Audit"}</definedName>
    <definedName name="_2205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206__FDSAUDITLINK__" hidden="1">{"fdsup://Directions/FactSet Auditing Viewer?action=AUDIT_VALUE&amp;DB=129&amp;ID1=088470&amp;VALUEID=02051&amp;SDATE=2009&amp;PERIODTYPE=ANN_STD&amp;window=popup_no_bar&amp;width=385&amp;height=120&amp;START_MAXIMIZED=FALSE&amp;creator=factset&amp;display_string=Audit"}</definedName>
    <definedName name="_2207__FDSAUDITLINK__" hidden="1">{"fdsup://Directions/FactSet Auditing Viewer?action=AUDIT_VALUE&amp;DB=129&amp;ID1=088470&amp;VALUEID=02101&amp;SDATE=2007&amp;PERIODTYPE=ANN_STD&amp;window=popup_no_bar&amp;width=385&amp;height=120&amp;START_MAXIMIZED=FALSE&amp;creator=factset&amp;display_string=Audit"}</definedName>
    <definedName name="_2208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09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__FDSAUDITLINK__" hidden="1">{"fdsup://Directions/FactSet Auditing Viewer?action=AUDIT_VALUE&amp;DB=129&amp;ID1=054052&amp;VALUEID=P05301&amp;SDATE=2009&amp;PERIODTYPE=ANN_STD&amp;window=popup_no_bar&amp;width=385&amp;height=120&amp;START_MAXIMIZED=FALSE&amp;creator=factset&amp;display_string=Audit"}</definedName>
    <definedName name="_2210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1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2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3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4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5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6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7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8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19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__FDSAUDITLINK__" hidden="1">{"fdsup://Directions/FactSet Auditing Viewer?action=AUDIT_VALUE&amp;DB=129&amp;ID1=054052&amp;VALUEID=P05301&amp;SDATE=2007&amp;PERIODTYPE=ANN_STD&amp;window=popup_no_bar&amp;width=385&amp;height=120&amp;START_MAXIMIZED=FALSE&amp;creator=factset&amp;display_string=Audit"}</definedName>
    <definedName name="_2220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1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2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3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4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5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6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7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8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29__FDSAUDITLINK__" hidden="1">{"fdsup://Directions/FactSet Auditing Viewer?action=AUDIT_VALUE&amp;DB=129&amp;ID1=088470&amp;VALUEID=02001&amp;SDATE=201001&amp;PERIODTYPE=SEMI_STD&amp;window=popup_no_bar&amp;width=385&amp;height=120&amp;START_MAXIMIZED=FALSE&amp;creator=factset&amp;display_string=Audit"}</definedName>
    <definedName name="_223__FDSAUDITLINK__" hidden="1">{"fdsup://Directions/FactSet Auditing Viewer?action=AUDIT_VALUE&amp;DB=129&amp;ID1=054052&amp;VALUEID=P05301&amp;SDATE=2006&amp;PERIODTYPE=ANN_STD&amp;window=popup_no_bar&amp;width=385&amp;height=120&amp;START_MAXIMIZED=FALSE&amp;creator=factset&amp;display_string=Audit"}</definedName>
    <definedName name="_2230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1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2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3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4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5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6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7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8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39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0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1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2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3__FDSAUDITLINK__" hidden="1">{"fdsup://directions/FAT Viewer?action=UPDATE&amp;creator=factset&amp;DYN_ARGS=TRUE&amp;DOC_NAME=FAT:FQL_AUDITING_CLIENT_TEMPLATE.FAT&amp;display_string=Audit&amp;VAR:KEY=NWBMTIVAXI&amp;VAR:QUERY=RkVfVkFMVUFUSU9OKCdNQ0FQX1NBTEVTJywnTUVBTicsJ0FOTlVBTCcsJysxJywwLCwsJ0NVUlJFTkNZPUVVU","icp&amp;WINDOW=FIRST_POPUP&amp;HEIGHT=450&amp;WIDTH=450&amp;START_MAXIMIZED=FALSE&amp;VAR:CALENDAR=FIVEDAY&amp;VAR:SYMBOL=088470&amp;VAR:INDEX=0"}</definedName>
    <definedName name="_2244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5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6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7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8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49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50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251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252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0"}</definedName>
    <definedName name="_2253__FDSAUDITLINK__" hidden="1">{"fdsup://directions/FAT Viewer?action=UPDATE&amp;creator=factset&amp;DYN_ARGS=TRUE&amp;DOC_NAME=FAT:FQL_AUDITING_CLIENT_TEMPLATE.FAT&amp;display_string=Audit&amp;VAR:KEY=BSNKTUZENK&amp;VAR:QUERY=RkZfSU5UX0VYUF9ORVQoQU5OLC01WSwwWSxZLCxFVVIp&amp;WINDOW=FIRST_POPUP&amp;HEIGHT=450&amp;WIDTH=450&amp;","START_MAXIMIZED=FALSE&amp;VAR:CALENDAR=FIVEDAY&amp;VAR:SYMBOL=088470&amp;VAR:INDEX=5"}</definedName>
    <definedName name="_2254__FDSAUDITLINK__" hidden="1">{"fdsup://directions/FAT Viewer?action=UPDATE&amp;creator=factset&amp;DYN_ARGS=TRUE&amp;DOC_NAME=FAT:FQL_AUDITING_CLIENT_TEMPLATE.FAT&amp;display_string=Audit&amp;VAR:KEY=BSNKTUZENK&amp;VAR:QUERY=RkZfSU5UX0VYUF9ORVQoQU5OLC01WSwwWSxZLCxFVVIp&amp;WINDOW=FIRST_POPUP&amp;HEIGHT=450&amp;WIDTH=450&amp;","START_MAXIMIZED=FALSE&amp;VAR:CALENDAR=FIVEDAY&amp;VAR:SYMBOL=088470&amp;VAR:INDEX=4"}</definedName>
    <definedName name="_2255__FDSAUDITLINK__" hidden="1">{"fdsup://directions/FAT Viewer?action=UPDATE&amp;creator=factset&amp;DYN_ARGS=TRUE&amp;DOC_NAME=FAT:FQL_AUDITING_CLIENT_TEMPLATE.FAT&amp;display_string=Audit&amp;VAR:KEY=BSNKTUZENK&amp;VAR:QUERY=RkZfSU5UX0VYUF9ORVQoQU5OLC01WSwwWSxZLCxFVVIp&amp;WINDOW=FIRST_POPUP&amp;HEIGHT=450&amp;WIDTH=450&amp;","START_MAXIMIZED=FALSE&amp;VAR:CALENDAR=FIVEDAY&amp;VAR:SYMBOL=088470&amp;VAR:INDEX=3"}</definedName>
    <definedName name="_2256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257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258__FDSAUDITLINK__" hidden="1">{"fdsup://directions/FAT Viewer?action=UPDATE&amp;creator=factset&amp;DYN_ARGS=TRUE&amp;DOC_NAME=FAT:FQL_AUDITING_CLIENT_TEMPLATE.FAT&amp;display_string=Audit&amp;VAR:KEY=BSNKTUZENK&amp;VAR:QUERY=RkZfSU5UX0VYUF9ORVQoQU5OLC01WSwwWSxZLCxFVVIp&amp;WINDOW=FIRST_POPUP&amp;HEIGHT=450&amp;WIDTH=450&amp;","START_MAXIMIZED=FALSE&amp;VAR:CALENDAR=FIVEDAY&amp;VAR:SYMBOL=088470&amp;VAR:INDEX=2"}</definedName>
    <definedName name="_2259__FDSAUDITLINK__" hidden="1">{"fdsup://directions/FAT Viewer?action=UPDATE&amp;creator=factset&amp;DYN_ARGS=TRUE&amp;DOC_NAME=FAT:FQL_AUDITING_CLIENT_TEMPLATE.FAT&amp;display_string=Audit&amp;VAR:KEY=BSNKTUZENK&amp;VAR:QUERY=RkZfSU5UX0VYUF9ORVQoQU5OLC01WSwwWSxZLCxFVVIp&amp;WINDOW=FIRST_POPUP&amp;HEIGHT=450&amp;WIDTH=450&amp;","START_MAXIMIZED=FALSE&amp;VAR:CALENDAR=FIVEDAY&amp;VAR:SYMBOL=088470&amp;VAR:INDEX=1"}</definedName>
    <definedName name="_2260__FDSAUDITLINK__" hidden="1">{"fdsup://directions/FAT Viewer?action=UPDATE&amp;creator=factset&amp;DYN_ARGS=TRUE&amp;DOC_NAME=FAT:FQL_AUDITING_CLIENT_TEMPLATE.FAT&amp;display_string=Audit&amp;VAR:KEY=BSNKTUZENK&amp;VAR:QUERY=RkZfSU5UX0VYUF9ORVQoQU5OLC01WSwwWSxZLCxFVVIp&amp;WINDOW=FIRST_POPUP&amp;HEIGHT=450&amp;WIDTH=450&amp;","START_MAXIMIZED=FALSE&amp;VAR:CALENDAR=FIVEDAY&amp;VAR:SYMBOL=088470&amp;VAR:INDEX=0"}</definedName>
    <definedName name="_2261__FDSAUDITLINK__" hidden="1">{"fdsup://directions/FAT Viewer?action=UPDATE&amp;creator=factset&amp;DYN_ARGS=TRUE&amp;DOC_NAME=FAT:FQL_AUDITING_CLIENT_TEMPLATE.FAT&amp;display_string=Audit&amp;VAR:KEY=JIXQJOXEHA&amp;VAR:QUERY=RkZfRUJJVF9PUEVSKEFOTiwtNVksMFksWSwsRVVSKQ==&amp;WINDOW=FIRST_POPUP&amp;HEIGHT=450&amp;WIDTH=450&amp;","START_MAXIMIZED=FALSE&amp;VAR:CALENDAR=FIVEDAY&amp;VAR:SYMBOL=088470&amp;VAR:INDEX=5"}</definedName>
    <definedName name="_2262__FDSAUDITLINK__" hidden="1">{"fdsup://directions/FAT Viewer?action=UPDATE&amp;creator=factset&amp;DYN_ARGS=TRUE&amp;DOC_NAME=FAT:FQL_AUDITING_CLIENT_TEMPLATE.FAT&amp;display_string=Audit&amp;VAR:KEY=JIXQJOXEHA&amp;VAR:QUERY=RkZfRUJJVF9PUEVSKEFOTiwtNVksMFksWSwsRVVSKQ==&amp;WINDOW=FIRST_POPUP&amp;HEIGHT=450&amp;WIDTH=450&amp;","START_MAXIMIZED=FALSE&amp;VAR:CALENDAR=FIVEDAY&amp;VAR:SYMBOL=088470&amp;VAR:INDEX=4"}</definedName>
    <definedName name="_2263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264__FDSAUDITLINK__" hidden="1">{"fdsup://Directions/FactSet Auditing Viewer?action=AUDIT_VALUE&amp;DB=129&amp;ID1=088470&amp;VALUEID=01451&amp;SDATE=2007&amp;PERIODTYPE=ANN_STD&amp;window=popup_no_bar&amp;width=385&amp;height=120&amp;START_MAXIMIZED=FALSE&amp;creator=factset&amp;display_string=Audit"}</definedName>
    <definedName name="_2265__FDSAUDITLINK__" hidden="1">{"fdsup://Directions/FactSet Auditing Viewer?action=AUDIT_VALUE&amp;DB=129&amp;ID1=088470&amp;VALUEID=01401&amp;SDATE=2009&amp;PERIODTYPE=ANN_STD&amp;window=popup_no_bar&amp;width=385&amp;height=120&amp;START_MAXIMIZED=FALSE&amp;creator=factset&amp;display_string=Audit"}</definedName>
    <definedName name="_2266__FDSAUDITLINK__" hidden="1">{"fdsup://Directions/FactSet Auditing Viewer?action=AUDIT_VALUE&amp;DB=129&amp;ID1=088470&amp;VALUEID=01401&amp;SDATE=2008&amp;PERIODTYPE=ANN_STD&amp;window=popup_no_bar&amp;width=385&amp;height=120&amp;START_MAXIMIZED=FALSE&amp;creator=factset&amp;display_string=Audit"}</definedName>
    <definedName name="_2267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268__FDSAUDITLINK__" hidden="1">{"fdsup://Directions/FactSet Auditing Viewer?action=AUDIT_VALUE&amp;DB=129&amp;ID1=088470&amp;VALUEID=01401&amp;SDATE=2007&amp;PERIODTYPE=ANN_STD&amp;window=popup_no_bar&amp;width=385&amp;height=120&amp;START_MAXIMIZED=FALSE&amp;creator=factset&amp;display_string=Audit"}</definedName>
    <definedName name="_2269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270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13"}</definedName>
    <definedName name="_2271__FDSAUDITLINK__" hidden="1">{"fdsup://Directions/FactSet Auditing Viewer?action=AUDIT_VALUE&amp;DB=129&amp;ID1=088470&amp;VALUEID=02008&amp;SDATE=2008&amp;PERIODTYPE=ANN_STD&amp;window=popup_no_bar&amp;width=385&amp;height=120&amp;START_MAXIMIZED=FALSE&amp;creator=factset&amp;display_string=Audit"}</definedName>
    <definedName name="_2272__FDSAUDITLINK__" hidden="1">{"fdsup://Directions/FactSet Auditing Viewer?action=AUDIT_VALUE&amp;DB=129&amp;ID1=088470&amp;VALUEID=02008&amp;SDATE=2007&amp;PERIODTYPE=ANN_STD&amp;window=popup_no_bar&amp;width=385&amp;height=120&amp;START_MAXIMIZED=FALSE&amp;creator=factset&amp;display_string=Audit"}</definedName>
    <definedName name="_2273__FDSAUDITLINK__" hidden="1">{"fdsup://Directions/FactSet Auditing Viewer?action=AUDIT_VALUE&amp;DB=129&amp;ID1=088470&amp;VALUEID=04851&amp;SDATE=2009&amp;PERIODTYPE=ANN_STD&amp;window=popup_no_bar&amp;width=385&amp;height=120&amp;START_MAXIMIZED=FALSE&amp;creator=factset&amp;display_string=Audit"}</definedName>
    <definedName name="_2274__FDSAUDITLINK__" hidden="1">{"fdsup://Directions/FactSet Auditing Viewer?action=AUDIT_VALUE&amp;DB=129&amp;ID1=088470&amp;VALUEID=04851&amp;SDATE=2008&amp;PERIODTYPE=ANN_STD&amp;window=popup_no_bar&amp;width=385&amp;height=120&amp;START_MAXIMIZED=FALSE&amp;creator=factset&amp;display_string=Audit"}</definedName>
    <definedName name="_2275__FDSAUDITLINK__" hidden="1">{"fdsup://directions/FAT Viewer?action=UPDATE&amp;creator=factset&amp;DYN_ARGS=TRUE&amp;DOC_NAME=FAT:FQL_AUDITING_CLIENT_TEMPLATE.FAT&amp;display_string=Audit&amp;VAR:KEY=HYTENWFARS&amp;VAR:QUERY=RkZfSU5UX0lOQ19BRlRfUFJPVihBTk4sLTVZLDBZLFksLEVVUik=&amp;WINDOW=FIRST_POPUP&amp;HEIGHT=450&amp;WI","DTH=450&amp;START_MAXIMIZED=FALSE&amp;VAR:CALENDAR=FIVEDAY&amp;VAR:SYMBOL=088470&amp;VAR:INDEX=5"}</definedName>
    <definedName name="_2276__FDSAUDITLINK__" hidden="1">{"fdsup://directions/FAT Viewer?action=UPDATE&amp;creator=factset&amp;DYN_ARGS=TRUE&amp;DOC_NAME=FAT:FQL_AUDITING_CLIENT_TEMPLATE.FAT&amp;display_string=Audit&amp;VAR:KEY=HYTENWFARS&amp;VAR:QUERY=RkZfSU5UX0lOQ19BRlRfUFJPVihBTk4sLTVZLDBZLFksLEVVUik=&amp;WINDOW=FIRST_POPUP&amp;HEIGHT=450&amp;WI","DTH=450&amp;START_MAXIMIZED=FALSE&amp;VAR:CALENDAR=FIVEDAY&amp;VAR:SYMBOL=088470&amp;VAR:INDEX=4"}</definedName>
    <definedName name="_2277__FDSAUDITLINK__" hidden="1">{"fdsup://directions/FAT Viewer?action=UPDATE&amp;creator=factset&amp;DYN_ARGS=TRUE&amp;DOC_NAME=FAT:FQL_AUDITING_CLIENT_TEMPLATE.FAT&amp;display_string=Audit&amp;VAR:KEY=HYTENWFARS&amp;VAR:QUERY=RkZfSU5UX0lOQ19BRlRfUFJPVihBTk4sLTVZLDBZLFksLEVVUik=&amp;WINDOW=FIRST_POPUP&amp;HEIGHT=450&amp;WI","DTH=450&amp;START_MAXIMIZED=FALSE&amp;VAR:CALENDAR=FIVEDAY&amp;VAR:SYMBOL=088470&amp;VAR:INDEX=3"}</definedName>
    <definedName name="_2278__FDSAUDITLINK__" hidden="1">{"fdsup://directions/FAT Viewer?action=UPDATE&amp;creator=factset&amp;DYN_ARGS=TRUE&amp;DOC_NAME=FAT:FQL_AUDITING_CLIENT_TEMPLATE.FAT&amp;display_string=Audit&amp;VAR:KEY=HYTENWFARS&amp;VAR:QUERY=RkZfSU5UX0lOQ19BRlRfUFJPVihBTk4sLTVZLDBZLFksLEVVUik=&amp;WINDOW=FIRST_POPUP&amp;HEIGHT=450&amp;WI","DTH=450&amp;START_MAXIMIZED=FALSE&amp;VAR:CALENDAR=FIVEDAY&amp;VAR:SYMBOL=088470&amp;VAR:INDEX=2"}</definedName>
    <definedName name="_2279__FDSAUDITLINK__" hidden="1">{"fdsup://directions/FAT Viewer?action=UPDATE&amp;creator=factset&amp;DYN_ARGS=TRUE&amp;DOC_NAME=FAT:FQL_AUDITING_CLIENT_TEMPLATE.FAT&amp;display_string=Audit&amp;VAR:KEY=HYTENWFARS&amp;VAR:QUERY=RkZfSU5UX0lOQ19BRlRfUFJPVihBTk4sLTVZLDBZLFksLEVVUik=&amp;WINDOW=FIRST_POPUP&amp;HEIGHT=450&amp;WI","DTH=450&amp;START_MAXIMIZED=FALSE&amp;VAR:CALENDAR=FIVEDAY&amp;VAR:SYMBOL=088470&amp;VAR:INDEX=1"}</definedName>
    <definedName name="_2280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2281__FDSAUDITLINK__" hidden="1">{"fdsup://directions/FAT Viewer?action=UPDATE&amp;creator=factset&amp;DYN_ARGS=TRUE&amp;DOC_NAME=FAT:FQL_AUDITING_CLIENT_TEMPLATE.FAT&amp;display_string=Audit&amp;VAR:KEY=DGPARKZAFA&amp;VAR:QUERY=RkZfQVNTRVRTX0NVUlJfT1RIKEFOTiwtNVksMFksWSwsRVVSKQ==&amp;WINDOW=FIRST_POPUP&amp;HEIGHT=450&amp;WI","DTH=450&amp;START_MAXIMIZED=FALSE&amp;VAR:CALENDAR=FIVEDAY&amp;VAR:SYMBOL=088470&amp;VAR:INDEX=2"}</definedName>
    <definedName name="_2282__FDSAUDITLINK__" hidden="1">{"fdsup://directions/FAT Viewer?action=UPDATE&amp;creator=factset&amp;DYN_ARGS=TRUE&amp;DOC_NAME=FAT:FQL_AUDITING_CLIENT_TEMPLATE.FAT&amp;display_string=Audit&amp;VAR:KEY=DGPARKZAFA&amp;VAR:QUERY=RkZfQVNTRVRTX0NVUlJfT1RIKEFOTiwtNVksMFksWSwsRVVSKQ==&amp;WINDOW=FIRST_POPUP&amp;HEIGHT=450&amp;WI","DTH=450&amp;START_MAXIMIZED=FALSE&amp;VAR:CALENDAR=FIVEDAY&amp;VAR:SYMBOL=088470&amp;VAR:INDEX=1"}</definedName>
    <definedName name="_2283__FDSAUDITLINK__" hidden="1">{"fdsup://directions/FAT Viewer?action=UPDATE&amp;creator=factset&amp;DYN_ARGS=TRUE&amp;DOC_NAME=FAT:FQL_AUDITING_CLIENT_TEMPLATE.FAT&amp;display_string=Audit&amp;VAR:KEY=DGPARKZAFA&amp;VAR:QUERY=RkZfQVNTRVRTX0NVUlJfT1RIKEFOTiwtNVksMFksWSwsRVVSKQ==&amp;WINDOW=FIRST_POPUP&amp;HEIGHT=450&amp;WI","DTH=450&amp;START_MAXIMIZED=FALSE&amp;VAR:CALENDAR=FIVEDAY&amp;VAR:SYMBOL=088470&amp;VAR:INDEX=0"}</definedName>
    <definedName name="_2284__FDSAUDITLINK__" hidden="1">{"fdsup://Directions/FactSet Auditing Viewer?action=AUDIT_VALUE&amp;DB=129&amp;ID1=088470&amp;VALUEID=02101&amp;SDATE=2009&amp;PERIODTYPE=ANN_STD&amp;window=popup_no_bar&amp;width=385&amp;height=120&amp;START_MAXIMIZED=FALSE&amp;creator=factset&amp;display_string=Audit"}</definedName>
    <definedName name="_2285__FDSAUDITLINK__" hidden="1">{"fdsup://Directions/FactSet Auditing Viewer?action=AUDIT_VALUE&amp;DB=129&amp;ID1=088470&amp;VALUEID=02101&amp;SDATE=2008&amp;PERIODTYPE=ANN_STD&amp;window=popup_no_bar&amp;width=385&amp;height=120&amp;START_MAXIMIZED=FALSE&amp;creator=factset&amp;display_string=Audit"}</definedName>
    <definedName name="_2286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2287__FDSAUDITLINK__" hidden="1">{"fdsup://directions/FAT Viewer?action=UPDATE&amp;creator=factset&amp;DYN_ARGS=TRUE&amp;DOC_NAME=FAT:FQL_AUDITING_CLIENT_TEMPLATE.FAT&amp;display_string=Audit&amp;VAR:KEY=BMJIXSTGBE&amp;VAR:QUERY=RkVfVkFMVUFUSU9OKCdNQ0FQX1NBTEVTJywnTUVBTicsJ05UTUEnLCcnLDAsLCwnQ1VSUkVOQ1k9RVVSJyk=&amp;","WINDOW=FIRST_POPUP&amp;HEIGHT=450&amp;WIDTH=450&amp;START_MAXIMIZED=FALSE&amp;VAR:CALENDAR=FIVEDAY&amp;VAR:SYMBOL=088470&amp;VAR:INDEX=0"}</definedName>
    <definedName name="_2288__FDSAUDITLINK__" hidden="1">{"fdsup://Directions/FactSet Auditing Viewer?action=AUDIT_VALUE&amp;DB=129&amp;ID1=088470&amp;VALUEID=05194&amp;SDATE=2009&amp;PERIODTYPE=ANN_STD&amp;window=popup_no_bar&amp;width=385&amp;height=120&amp;START_MAXIMIZED=FALSE&amp;creator=factset&amp;display_string=Audit"}</definedName>
    <definedName name="_2289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34"}</definedName>
    <definedName name="_2290__FDSAUDITLINK__" hidden="1">{"fdsup://Directions/FactSet Auditing Viewer?action=AUDIT_VALUE&amp;DB=129&amp;ID1=088470&amp;VALUEID=05194&amp;SDATE=2008&amp;PERIODTYPE=ANN_STD&amp;window=popup_no_bar&amp;width=385&amp;height=120&amp;START_MAXIMIZED=FALSE&amp;creator=factset&amp;display_string=Audit"}</definedName>
    <definedName name="_2291__FDSAUDITLINK__" hidden="1">{"fdsup://Directions/FactSet Auditing Viewer?action=AUDIT_VALUE&amp;DB=129&amp;ID1=088470&amp;VALUEID=05194&amp;SDATE=2007&amp;PERIODTYPE=ANN_STD&amp;window=popup_no_bar&amp;width=385&amp;height=120&amp;START_MAXIMIZED=FALSE&amp;creator=factset&amp;display_string=Audit"}</definedName>
    <definedName name="_2292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44"}</definedName>
    <definedName name="_2293__FDSAUDITLINK__" hidden="1">{"fdsup://directions/FAT Viewer?action=UPDATE&amp;creator=factset&amp;DYN_ARGS=TRUE&amp;DOC_NAME=FAT:FQL_AUDITING_CLIENT_TEMPLATE.FAT&amp;display_string=Audit&amp;VAR:KEY=NKPIVGLUFY&amp;VAR:QUERY=RkZfQ09HUyhBTk4sLTVZLDBZLFksLEVVUik=&amp;WINDOW=FIRST_POPUP&amp;HEIGHT=450&amp;WIDTH=450&amp;START_MA","XIMIZED=FALSE&amp;VAR:CALENDAR=FIVEDAY&amp;VAR:SYMBOL=088470&amp;VAR:INDEX=0"}</definedName>
    <definedName name="_2294__FDSAUDITLINK__" hidden="1">{"fdsup://Directions/FactSet Auditing Viewer?action=AUDIT_VALUE&amp;DB=129&amp;ID1=564156&amp;VALUEID=01001&amp;SDATE=2010&amp;PERIODTYPE=ANN_STD&amp;SCFT=3&amp;window=popup_no_bar&amp;width=385&amp;height=120&amp;START_MAXIMIZED=FALSE&amp;creator=factset&amp;display_string=Audit"}</definedName>
    <definedName name="_2295__FDSAUDITLINK__" hidden="1">{"fdsup://Directions/FactSet Auditing Viewer?action=AUDIT_VALUE&amp;DB=129&amp;ID1=564156&amp;VALUEID=01001&amp;SDATE=2010&amp;PERIODTYPE=ANN_STD&amp;SCFT=3&amp;window=popup_no_bar&amp;width=385&amp;height=120&amp;START_MAXIMIZED=FALSE&amp;creator=factset&amp;display_string=Audit"}</definedName>
    <definedName name="_2296__FDSAUDITLINK__" hidden="1">{"fdsup://Directions/FactSet Auditing Viewer?action=AUDIT_VALUE&amp;DB=129&amp;ID1=564156&amp;VALUEID=05194&amp;SDATE=201002&amp;PERIODTYPE=SEMI_STD&amp;SCFT=3&amp;window=popup_no_bar&amp;width=385&amp;height=120&amp;START_MAXIMIZED=FALSE&amp;creator=factset&amp;display_string=Audit"}</definedName>
    <definedName name="_2297__FDSAUDITLINK__" hidden="1">{"fdsup://directions/FAT Viewer?action=UPDATE&amp;creator=factset&amp;DYN_ARGS=TRUE&amp;DOC_NAME=FAT:FQL_AUDITING_CLIENT_TEMPLATE.FAT&amp;display_string=Audit&amp;VAR:KEY=DSBYTCFODQ&amp;VAR:QUERY=RkZfRU5UUlBSX1ZBTF9EQUlMWSgwLCwsLEVVUiwnRElMJyk=&amp;WINDOW=FIRST_POPUP&amp;HEIGHT=450&amp;WIDTH=","450&amp;START_MAXIMIZED=FALSE&amp;VAR:CALENDAR=US&amp;VAR:SYMBOL=93114210&amp;VAR:INDEX=0"}</definedName>
    <definedName name="_23__FDSAUDITLINK__" hidden="1">{"fdsup://IBCentral/FAT Viewer?action=UPDATE&amp;creator=factset&amp;DOC_NAME=fat:reuters_annual_source_window.fat&amp;display_string=Audit&amp;DYN_ARGS=TRUE&amp;VAR:ID1=45091110&amp;VAR:RCODE=FDSCASHTOTAL&amp;VAR:SDATE=20081299&amp;VAR:FREQ=Y&amp;VAR:RELITEM=RP&amp;VAR:CURRENCY=&amp;VAR:CURRSOURCE=E","XSHARE&amp;VAR:NATFREQ=ANNUAL&amp;VAR:RFIELD=FINALIZED&amp;VAR:DB_TYPE=&amp;VAR:UNITS=M&amp;window=popup&amp;width=450&amp;height=300&amp;START_MAXIMIZED=FALSE"}</definedName>
    <definedName name="_237__FDSAUDITLINK__" hidden="1">{"fdsup://directions/FAT Viewer?action=UPDATE&amp;creator=factset&amp;DYN_ARGS=TRUE&amp;DOC_NAME=FAT:FQL_AUDITING_CLIENT_TEMPLATE.FAT&amp;display_string=Audit&amp;VAR:KEY=XOVSXIVKDK&amp;VAR:QUERY=RkVfVkFMVUFUSU9OKCdST0UnLCdNRUFOJywnTFRNQScsJycsMCwsLCdDVVJSRU5DWT1FVVInKQ==&amp;WINDOW=F","IRST_POPUP&amp;HEIGHT=450&amp;WIDTH=450&amp;START_MAXIMIZED=FALSE&amp;VAR:CALENDAR=FIVEDAY&amp;VAR:SYMBOL=088470&amp;VAR:INDEX=0"}</definedName>
    <definedName name="_24__FDSAUDITLINK__" hidden="1">{"fdsup://IBCentral/FAT Viewer?action=UPDATE&amp;creator=factset&amp;DOC_NAME=fat:reuters_annual_source_window.fat&amp;display_string=Audit&amp;DYN_ARGS=TRUE&amp;VAR:ID1=45091110&amp;VAR:RCODE=FDSCASHTOTAL&amp;VAR:SDATE=20081299&amp;VAR:FREQ=Y&amp;VAR:RELITEM=RP&amp;VAR:CURRENCY=&amp;VAR:CURRSOURCE=E","XSHARE&amp;VAR:NATFREQ=ANNUAL&amp;VAR:RFIELD=FINALIZED&amp;VAR:DB_TYPE=&amp;VAR:UNITS=M&amp;window=popup&amp;width=450&amp;height=300&amp;START_MAXIMIZED=FALSE"}</definedName>
    <definedName name="_248__FDSAUDITLINK__" hidden="1">{"fdsup://Directions/FactSet Auditing Viewer?action=AUDIT_VALUE&amp;DB=129&amp;ID1=054052&amp;VALUEID=01151&amp;SDATE=2006&amp;PERIODTYPE=ANN_STD&amp;window=popup_no_bar&amp;width=385&amp;height=120&amp;START_MAXIMIZED=FALSE&amp;creator=factset&amp;display_string=Audit"}</definedName>
    <definedName name="_25__FDSAUDITLINK__" hidden="1">{"fdsup://IBCentral/FAT Viewer?action=UPDATE&amp;creator=factset&amp;DOC_NAME=fat:reuters_annual_source_window.fat&amp;display_string=Audit&amp;DYN_ARGS=TRUE&amp;VAR:ID1=23585110&amp;VAR:RCODE=FDSCASHTOTAL&amp;VAR:SDATE=20081299&amp;VAR:FREQ=Y&amp;VAR:RELITEM=RP&amp;VAR:CURRENCY=&amp;VAR:CURRSOURCE=E","XSHARE&amp;VAR:NATFREQ=ANNUAL&amp;VAR:RFIELD=FINALIZED&amp;VAR:DB_TYPE=&amp;VAR:UNITS=M&amp;window=popup&amp;width=450&amp;height=300&amp;START_MAXIMIZED=FALSE"}</definedName>
    <definedName name="_26__FDSAUDITLINK__" hidden="1">{"fdsup://IBCentral/FAT Viewer?action=UPDATE&amp;creator=factset&amp;DOC_NAME=fat:reuters_annual_source_window.fat&amp;display_string=Audit&amp;DYN_ARGS=TRUE&amp;VAR:ID1=53983010&amp;VAR:RCODE=FDSCASHTOTAL&amp;VAR:SDATE=20081299&amp;VAR:FREQ=Y&amp;VAR:RELITEM=RP&amp;VAR:CURRENCY=&amp;VAR:CURRSOURCE=E","XSHARE&amp;VAR:NATFREQ=ANNUAL&amp;VAR:RFIELD=FINALIZED&amp;VAR:DB_TYPE=&amp;VAR:UNITS=M&amp;window=popup&amp;width=450&amp;height=300&amp;START_MAXIMIZED=FALSE"}</definedName>
    <definedName name="_261__FDSAUDITLINK__" hidden="1">{"fdsup://directions/FAT Viewer?action=UPDATE&amp;creator=factset&amp;DYN_ARGS=TRUE&amp;DOC_NAME=FAT:FQL_AUDITING_CLIENT_TEMPLATE.FAT&amp;display_string=Audit&amp;VAR:KEY=XGHKLWDGZC&amp;VAR:QUERY=RkVfVkFMVUFUSU9OKCdFVl9TQUxFUycsJ01FQU4nLCdBTk5VQUxfUk9MTCcsJzAnLDAsLCwnQ1VSUkVOQ1k9R","VVSJyk=&amp;WINDOW=FIRST_POPUP&amp;HEIGHT=450&amp;WIDTH=450&amp;START_MAXIMIZED=FALSE&amp;VAR:CALENDAR=FIVEDAY&amp;VAR:SYMBOL=088470&amp;VAR:INDEX=0"}</definedName>
    <definedName name="_27__FDSAUDITLINK__" hidden="1">{"fdsup://IBCentral/FAT Viewer?action=UPDATE&amp;creator=factset&amp;DOC_NAME=fat:reuters_annual_source_window.fat&amp;display_string=Audit&amp;DYN_ARGS=TRUE&amp;VAR:ID1=53983010&amp;VAR:RCODE=FDSCASHTOTAL&amp;VAR:SDATE=20081299&amp;VAR:FREQ=Y&amp;VAR:RELITEM=RP&amp;VAR:CURRENCY=&amp;VAR:CURRSOURCE=E","XSHARE&amp;VAR:NATFREQ=ANNUAL&amp;VAR:RFIELD=FINALIZED&amp;VAR:DB_TYPE=&amp;VAR:UNITS=M&amp;window=popup&amp;width=450&amp;height=300&amp;START_MAXIMIZED=FALSE"}</definedName>
    <definedName name="_272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5"}</definedName>
    <definedName name="_28__FDSAUDITLINK__" hidden="1">{"fdsup://IBCentral/FAT Viewer?action=UPDATE&amp;creator=factset&amp;DOC_NAME=fat:reuters_annual_source_window.fat&amp;display_string=Audit&amp;DYN_ARGS=TRUE&amp;VAR:ID1=53983010&amp;VAR:RCODE=FSALE&amp;VAR:SDATE=20081299&amp;VAR:FREQ=Y&amp;VAR:RELITEM=RP&amp;VAR:CURRENCY=&amp;VAR:CURRSOURCE=EXSHARE&amp;","VAR:NATFREQ=ANNUAL&amp;VAR:RFIELD=FINALIZED&amp;VAR:DB_TYPE=&amp;VAR:UNITS=M&amp;window=popup&amp;width=450&amp;height=300&amp;START_MAXIMIZED=FALSE"}</definedName>
    <definedName name="_29__FDSAUDITLINK__" hidden="1">{"fdsup://IBCentral/FAT Viewer?action=UPDATE&amp;creator=factset&amp;DOC_NAME=fat:reuters_annual_source_window.fat&amp;display_string=Audit&amp;DYN_ARGS=TRUE&amp;VAR:ID1=53983010&amp;VAR:RCODE=FSALE&amp;VAR:SDATE=20081299&amp;VAR:FREQ=Y&amp;VAR:RELITEM=RP&amp;VAR:CURRENCY=&amp;VAR:CURRSOURCE=EXSHARE&amp;","VAR:NATFREQ=ANNUAL&amp;VAR:RFIELD=FINALIZED&amp;VAR:DB_TYPE=&amp;VAR:UNITS=M&amp;window=popup&amp;width=450&amp;height=300&amp;START_MAXIMIZED=FALSE"}</definedName>
    <definedName name="_292__FDSAUDITLINK__" hidden="1">{"fdsup://Directions/FactSet Auditing Viewer?action=AUDIT_VALUE&amp;DB=129&amp;ID1=054052&amp;VALUEID=03351&amp;SDATE=2006&amp;PERIODTYPE=ANN_STD&amp;window=popup_no_bar&amp;width=385&amp;height=120&amp;START_MAXIMIZED=FALSE&amp;creator=factset&amp;display_string=Audit"}</definedName>
    <definedName name="_295__FDSAUDITLINK__" hidden="1">{"fdsup://Directions/FactSet Auditing Viewer?action=AUDIT_VALUE&amp;DB=129&amp;ID1=054052&amp;VALUEID=02999&amp;SDATE=2006&amp;PERIODTYPE=ANN_STD&amp;window=popup_no_bar&amp;width=385&amp;height=120&amp;START_MAXIMIZED=FALSE&amp;creator=factset&amp;display_string=Audit"}</definedName>
    <definedName name="_296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297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5"}</definedName>
    <definedName name="_298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299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3__FDSAUDITLINK__" localSheetId="58" hidden="1">{"fdsup:app=SCRIPT&amp;creator=factset&amp;CMD=INSTRUCTION&amp;WINDOW=NEW&amp;TARGET_APP=EDGAR\Search by Symbol&amp;INSTRUCTION_NAME=VIEW_DOCUMENT&amp;display_string=View Table&amp;IDENTIFIER=IBM&amp;START_DATE=20090224&amp;END_DATE=20090224&amp;FILING=10-K&amp;TITLE=Income Statement"}</definedName>
    <definedName name="_3__FDSAUDITLINK__" localSheetId="59" hidden="1">{"fdsup:app=SCRIPT&amp;creator=factset&amp;CMD=INSTRUCTION&amp;WINDOW=NEW&amp;TARGET_APP=EDGAR\Search by Symbol&amp;INSTRUCTION_NAME=VIEW_DOCUMENT&amp;display_string=View Table&amp;IDENTIFIER=IBM&amp;START_DATE=20090224&amp;END_DATE=20090224&amp;FILING=10-K&amp;TITLE=Income Statement"}</definedName>
    <definedName name="_3__FDSAUDITLINK__" hidden="1">{"fdsup://IBCentral/FAT Viewer?action=UPDATE&amp;creator=factset&amp;DOC_NAME=fat:reuters_annual_source_window.fat&amp;display_string=Audit&amp;DYN_ARGS=TRUE&amp;VAR:ID1=23585110&amp;VAR:RCODE=STLD&amp;VAR:SDATE=20081299&amp;VAR:FREQ=Y&amp;VAR:RELITEM=RP&amp;VAR:CURRENCY=&amp;VAR:CURRSOURCE=EXSHARE&amp;V","AR:NATFREQ=ANNUAL&amp;VAR:RFIELD=FINALIZED&amp;VAR:DB_TYPE=&amp;VAR:UNITS=M&amp;window=popup&amp;width=450&amp;height=300&amp;START_MAXIMIZED=FALSE"}</definedName>
    <definedName name="_30__FDSAUDITLINK__" hidden="1">{"fdsup://IBCentral/FAT Viewer?action=UPDATE&amp;creator=factset&amp;DOC_NAME=fat:reuters_annual_source_window.fat&amp;display_string=Audit&amp;DYN_ARGS=TRUE&amp;VAR:ID1=53983010&amp;VAR:RCODE=FEBITDA&amp;VAR:SDATE=20081299&amp;VAR:FREQ=Y&amp;VAR:RELITEM=RP&amp;VAR:CURRENCY=&amp;VAR:CURRSOURCE=EXSHAR","E&amp;VAR:NATFREQ=ANNUAL&amp;VAR:RFIELD=FINALIZED&amp;VAR:DB_TYPE=&amp;VAR:UNITS=M&amp;window=popup&amp;width=450&amp;height=300&amp;START_MAXIMIZED=FALSE"}</definedName>
    <definedName name="_305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308__FDSAUDITLINK__" hidden="1">{"fdsup://Directions/FactSet Auditing Viewer?action=AUDIT_VALUE&amp;DB=129&amp;ID1=054052&amp;VALUEID=02004&amp;SDATE=2009&amp;PERIODTYPE=ANN_STD&amp;window=popup_no_bar&amp;width=385&amp;height=120&amp;START_MAXIMIZED=FALSE&amp;creator=factset&amp;display_string=Audit"}</definedName>
    <definedName name="_309__FDSAUDITLINK__" hidden="1">{"fdsup://Directions/FactSet Auditing Viewer?action=AUDIT_VALUE&amp;DB=129&amp;ID1=054052&amp;VALUEID=02004&amp;SDATE=2007&amp;PERIODTYPE=ANN_STD&amp;window=popup_no_bar&amp;width=385&amp;height=120&amp;START_MAXIMIZED=FALSE&amp;creator=factset&amp;display_string=Audit"}</definedName>
    <definedName name="_31__FDSAUDITLINK__" localSheetId="3" hidden="1">{"fdsup://Directions/FactSet Auditing Viewer?action=AUDIT_VALUE&amp;DB=129&amp;ID1=054052&amp;VALUEID=01075&amp;SDATE=2009&amp;PERIODTYPE=ANN_STD&amp;window=popup_no_bar&amp;width=385&amp;height=120&amp;START_MAXIMIZED=FALSE&amp;creator=factset&amp;display_string=Audit"}</definedName>
    <definedName name="_31__FDSAUDITLINK__" localSheetId="55" hidden="1">{"fdsup://Directions/FactSet Auditing Viewer?action=AUDIT_VALUE&amp;DB=129&amp;ID1=054052&amp;VALUEID=01075&amp;SDATE=2009&amp;PERIODTYPE=ANN_STD&amp;window=popup_no_bar&amp;width=385&amp;height=120&amp;START_MAXIMIZED=FALSE&amp;creator=factset&amp;display_string=Audit"}</definedName>
    <definedName name="_31__FDSAUDITLINK__" hidden="1">{"fdsup://IBCentral/FAT Viewer?action=UPDATE&amp;creator=factset&amp;DOC_NAME=fat:reuters_annual_source_window.fat&amp;display_string=Audit&amp;DYN_ARGS=TRUE&amp;VAR:ID1=53983010&amp;VAR:RCODE=FEBITDA&amp;VAR:SDATE=20081299&amp;VAR:FREQ=Y&amp;VAR:RELITEM=RP&amp;VAR:CURRENCY=&amp;VAR:CURRSOURCE=EXSHAR","E&amp;VAR:NATFREQ=ANNUAL&amp;VAR:RFIELD=FINALIZED&amp;VAR:DB_TYPE=&amp;VAR:UNITS=M&amp;window=popup&amp;width=450&amp;height=300&amp;START_MAXIMIZED=FALSE"}</definedName>
    <definedName name="_310__FDSAUDITLINK__" hidden="1">{"fdsup://Directions/FactSet Auditing Viewer?action=AUDIT_VALUE&amp;DB=129&amp;ID1=054052&amp;VALUEID=02004&amp;SDATE=2006&amp;PERIODTYPE=ANN_STD&amp;window=popup_no_bar&amp;width=385&amp;height=120&amp;START_MAXIMIZED=FALSE&amp;creator=factset&amp;display_string=Audit"}</definedName>
    <definedName name="_318__FDSAUDITLINK__" hidden="1">{"fdsup://Directions/FactSet Auditing Viewer?action=AUDIT_VALUE&amp;DB=129&amp;ID1=054052&amp;VALUEID=03501&amp;SDATE=2006&amp;PERIODTYPE=ANN_STD&amp;window=popup_no_bar&amp;width=385&amp;height=120&amp;START_MAXIMIZED=FALSE&amp;creator=factset&amp;display_string=Audit"}</definedName>
    <definedName name="_32__FDSAUDITLINK__" localSheetId="3" hidden="1">{"fdsup://Directions/FactSet Auditing Viewer?action=AUDIT_VALUE&amp;DB=129&amp;ID1=054052&amp;VALUEID=01075&amp;SDATE=2007&amp;PERIODTYPE=ANN_STD&amp;window=popup_no_bar&amp;width=385&amp;height=120&amp;START_MAXIMIZED=FALSE&amp;creator=factset&amp;display_string=Audit"}</definedName>
    <definedName name="_32__FDSAUDITLINK__" localSheetId="55" hidden="1">{"fdsup://Directions/FactSet Auditing Viewer?action=AUDIT_VALUE&amp;DB=129&amp;ID1=054052&amp;VALUEID=01075&amp;SDATE=2007&amp;PERIODTYPE=ANN_STD&amp;window=popup_no_bar&amp;width=385&amp;height=120&amp;START_MAXIMIZED=FALSE&amp;creator=factset&amp;display_string=Audit"}</definedName>
    <definedName name="_32__FDSAUDITLINK__" hidden="1">{"fdsup://IBCentral/FAT Viewer?action=UPDATE&amp;creator=factset&amp;DOC_NAME=fat:reuters_annual_source_window.fat&amp;display_string=Audit&amp;DYN_ARGS=TRUE&amp;VAR:ID1=53983010&amp;VAR:RCODE=STLD&amp;VAR:SDATE=20081299&amp;VAR:FREQ=Y&amp;VAR:RELITEM=RP&amp;VAR:CURRENCY=&amp;VAR:CURRSOURCE=EXSHARE&amp;V","AR:NATFREQ=ANNUAL&amp;VAR:RFIELD=FINALIZED&amp;VAR:DB_TYPE=&amp;VAR:UNITS=M&amp;window=popup&amp;width=450&amp;height=300&amp;START_MAXIMIZED=FALSE"}</definedName>
    <definedName name="_33__FDSAUDITLINK__" localSheetId="3" hidden="1">{"fdsup://Directions/FactSet Auditing Viewer?action=AUDIT_VALUE&amp;DB=129&amp;ID1=054052&amp;VALUEID=01075&amp;SDATE=2006&amp;PERIODTYPE=ANN_STD&amp;window=popup_no_bar&amp;width=385&amp;height=120&amp;START_MAXIMIZED=FALSE&amp;creator=factset&amp;display_string=Audit"}</definedName>
    <definedName name="_33__FDSAUDITLINK__" localSheetId="55" hidden="1">{"fdsup://Directions/FactSet Auditing Viewer?action=AUDIT_VALUE&amp;DB=129&amp;ID1=054052&amp;VALUEID=01075&amp;SDATE=2006&amp;PERIODTYPE=ANN_STD&amp;window=popup_no_bar&amp;width=385&amp;height=120&amp;START_MAXIMIZED=FALSE&amp;creator=factset&amp;display_string=Audit"}</definedName>
    <definedName name="_33__FDSAUDITLINK__" hidden="1">{"fdsup://IBCentral/FAT Viewer?action=UPDATE&amp;creator=factset&amp;DOC_NAME=fat:reuters_annual_source_window.fat&amp;display_string=Audit&amp;DYN_ARGS=TRUE&amp;VAR:ID1=53983010&amp;VAR:RCODE=STLD&amp;VAR:SDATE=20081299&amp;VAR:FREQ=Y&amp;VAR:RELITEM=RP&amp;VAR:CURRENCY=&amp;VAR:CURRSOURCE=EXSHARE&amp;V","AR:NATFREQ=ANNUAL&amp;VAR:RFIELD=FINALIZED&amp;VAR:DB_TYPE=&amp;VAR:UNITS=M&amp;window=popup&amp;width=450&amp;height=300&amp;START_MAXIMIZED=FALSE"}</definedName>
    <definedName name="_334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3"}</definedName>
    <definedName name="_34__FDSAUDITLINK__" localSheetId="3" hidden="1">{"fdsup://Directions/FactSet Auditing Viewer?action=AUDIT_VALUE&amp;DB=129&amp;ID1=054052&amp;VALUEID=01016&amp;SDATE=2009&amp;PERIODTYPE=ANN_STD&amp;window=popup_no_bar&amp;width=385&amp;height=120&amp;START_MAXIMIZED=FALSE&amp;creator=factset&amp;display_string=Audit"}</definedName>
    <definedName name="_34__FDSAUDITLINK__" localSheetId="55" hidden="1">{"fdsup://Directions/FactSet Auditing Viewer?action=AUDIT_VALUE&amp;DB=129&amp;ID1=054052&amp;VALUEID=01016&amp;SDATE=2009&amp;PERIODTYPE=ANN_STD&amp;window=popup_no_bar&amp;width=385&amp;height=120&amp;START_MAXIMIZED=FALSE&amp;creator=factset&amp;display_string=Audit"}</definedName>
    <definedName name="_34__FDSAUDITLINK__" hidden="1">{"fdsup://directions/FAT Viewer?action=UPDATE&amp;creator=factSet&amp;DYN_ARGS=true&amp;DOC_NAME=FAT:RGA_ENTRPR_VAL_EV_SOURCE_WINDOW.FAT&amp;VAR:ID1=LMT-US&amp;VAR:SDATE=20091211&amp;VAR:FDATE=20081231&amp;VAR:FREQ=DAILY&amp;VAR:RELITEM=RP&amp;VAR:CURRENCY=&amp;VAR:DB_TYPE=&amp;VAR:UNITS=M&amp;window=pop","up&amp;width=535&amp;height=425&amp;START_MAXIMIZED=FALSE&amp;Y=120"}</definedName>
    <definedName name="_35__FDSAUDITLINK__" localSheetId="3" hidden="1">{"fdsup://Directions/FactSet Auditing Viewer?action=AUDIT_VALUE&amp;DB=129&amp;ID1=054052&amp;VALUEID=04551&amp;SDATE=2006&amp;PERIODTYPE=ANN_STD&amp;window=popup_no_bar&amp;width=385&amp;height=120&amp;START_MAXIMIZED=FALSE&amp;creator=factset&amp;display_string=Audit"}</definedName>
    <definedName name="_35__FDSAUDITLINK__" localSheetId="55" hidden="1">{"fdsup://Directions/FactSet Auditing Viewer?action=AUDIT_VALUE&amp;DB=129&amp;ID1=054052&amp;VALUEID=04551&amp;SDATE=2006&amp;PERIODTYPE=ANN_STD&amp;window=popup_no_bar&amp;width=385&amp;height=120&amp;START_MAXIMIZED=FALSE&amp;creator=factset&amp;display_string=Audit"}</definedName>
    <definedName name="_35__FDSAUDITLINK__" hidden="1">{"fdsup://directions/FAT Viewer?action=UPDATE&amp;creator=factSet&amp;DYN_ARGS=true&amp;DOC_NAME=FAT:RGA_ENTRPR_VAL_EV_SOURCE_WINDOW.FAT&amp;VAR:ID1=LMT-US&amp;VAR:SDATE=20091211&amp;VAR:FDATE=20081231&amp;VAR:FREQ=DAILY&amp;VAR:RELITEM=RP&amp;VAR:CURRENCY=&amp;VAR:DB_TYPE=&amp;VAR:UNITS=M&amp;window=pop","up&amp;width=535&amp;height=425&amp;START_MAXIMIZED=FALSE&amp;Y=120"}</definedName>
    <definedName name="_36__FDSAUDITLINK__" hidden="1">{"fdsup://IBCentral/FAT Viewer?action=UPDATE&amp;creator=factset&amp;DOC_NAME=fat:reuters_annual_source_window.fat&amp;display_string=Audit&amp;DYN_ARGS=TRUE&amp;VAR:ID1=53983010&amp;VAR:RCODE=FDSCASHTOTAL&amp;VAR:SDATE=20081299&amp;VAR:FREQ=Y&amp;VAR:RELITEM=RP&amp;VAR:CURRENCY=&amp;VAR:CURRSOURCE=E","XSHARE&amp;VAR:NATFREQ=ANNUAL&amp;VAR:RFIELD=FINALIZED&amp;VAR:DB_TYPE=&amp;VAR:UNITS=M&amp;window=popup&amp;width=450&amp;height=300&amp;START_MAXIMIZED=FALSE"}</definedName>
    <definedName name="_37__FDSAUDITLINK__" hidden="1">{"fdsup://IBCentral/FAT Viewer?action=UPDATE&amp;creator=factset&amp;DOC_NAME=fat:reuters_annual_source_window.fat&amp;display_string=Audit&amp;DYN_ARGS=TRUE&amp;VAR:ID1=53983010&amp;VAR:RCODE=FSALE&amp;VAR:SDATE=20081299&amp;VAR:FREQ=Y&amp;VAR:RELITEM=RP&amp;VAR:CURRENCY=&amp;VAR:CURRSOURCE=EXSHARE&amp;","VAR:NATFREQ=ANNUAL&amp;VAR:RFIELD=FINALIZED&amp;VAR:DB_TYPE=&amp;VAR:UNITS=M&amp;window=popup&amp;width=450&amp;height=300&amp;START_MAXIMIZED=FALSE"}</definedName>
    <definedName name="_38__FDSAUDITLINK__" hidden="1">{"fdsup://IBCentral/FAT Viewer?action=UPDATE&amp;creator=factset&amp;DOC_NAME=fat:reuters_annual_source_window.fat&amp;display_string=Audit&amp;DYN_ARGS=TRUE&amp;VAR:ID1=53983010&amp;VAR:RCODE=FEBITDA&amp;VAR:SDATE=20081299&amp;VAR:FREQ=Y&amp;VAR:RELITEM=RP&amp;VAR:CURRENCY=&amp;VAR:CURRSOURCE=EXSHAR","E&amp;VAR:NATFREQ=ANNUAL&amp;VAR:RFIELD=FINALIZED&amp;VAR:DB_TYPE=&amp;VAR:UNITS=M&amp;window=popup&amp;width=450&amp;height=300&amp;START_MAXIMIZED=FALSE"}</definedName>
    <definedName name="_39__FDSAUDITLINK__" hidden="1">{"fdsup://IBCentral/FAT Viewer?action=UPDATE&amp;creator=factset&amp;DOC_NAME=fat:reuters_annual_source_window.fat&amp;display_string=Audit&amp;DYN_ARGS=TRUE&amp;VAR:ID1=53983010&amp;VAR:RCODE=STLD&amp;VAR:SDATE=20081299&amp;VAR:FREQ=Y&amp;VAR:RELITEM=RP&amp;VAR:CURRENCY=&amp;VAR:CURRSOURCE=EXSHARE&amp;V","AR:NATFREQ=ANNUAL&amp;VAR:RFIELD=FINALIZED&amp;VAR:DB_TYPE=&amp;VAR:UNITS=M&amp;window=popup&amp;width=450&amp;height=300&amp;START_MAXIMIZED=FALSE"}</definedName>
    <definedName name="_4__FDSAUDITLINK__" hidden="1">{"fdsup://IBCentral/FAT Viewer?action=UPDATE&amp;creator=factset&amp;DOC_NAME=fat:reuters_annual_source_window.fat&amp;display_string=Audit&amp;DYN_ARGS=TRUE&amp;VAR:ID1=23585110&amp;VAR:RCODE=FSALE&amp;VAR:SDATE=20081299&amp;VAR:FREQ=Y&amp;VAR:RELITEM=RP&amp;VAR:CURRENCY=&amp;VAR:CURRSOURCE=EXSHARE&amp;","VAR:NATFREQ=ANNUAL&amp;VAR:RFIELD=FINALIZED&amp;VAR:DB_TYPE=&amp;VAR:UNITS=M&amp;window=popup&amp;width=450&amp;height=300&amp;START_MAXIMIZED=FALSE"}</definedName>
    <definedName name="_40__FDSAUDITLINK__" hidden="1">{"fdsup://directions/FAT Viewer?action=UPDATE&amp;creator=factSet&amp;DYN_ARGS=true&amp;DOC_NAME=FAT:RGA_ENTRPR_VAL_EV_SOURCE_WINDOW.FAT&amp;VAR:ID1=LMT-US&amp;VAR:SDATE=20091211&amp;VAR:FDATE=20081231&amp;VAR:FREQ=DAILY&amp;VAR:RELITEM=RP&amp;VAR:CURRENCY=&amp;VAR:DB_TYPE=&amp;VAR:UNITS=M&amp;window=pop","up&amp;width=535&amp;height=425&amp;START_MAXIMIZED=FALSE&amp;Y=120"}</definedName>
    <definedName name="_41__FDSAUDITLINK__" localSheetId="3" hidden="1">{"fdsup://Directions/FactSet Auditing Viewer?action=AUDIT_VALUE&amp;DB=129&amp;ID1=088470&amp;VALUEID=04151&amp;SDATE=2007&amp;PERIODTYPE=ANN_STD&amp;window=popup_no_bar&amp;width=385&amp;height=120&amp;START_MAXIMIZED=FALSE&amp;creator=factset&amp;display_string=Audit"}</definedName>
    <definedName name="_41__FDSAUDITLINK__" localSheetId="55" hidden="1">{"fdsup://Directions/FactSet Auditing Viewer?action=AUDIT_VALUE&amp;DB=129&amp;ID1=088470&amp;VALUEID=04151&amp;SDATE=2007&amp;PERIODTYPE=ANN_STD&amp;window=popup_no_bar&amp;width=385&amp;height=120&amp;START_MAXIMIZED=FALSE&amp;creator=factset&amp;display_string=Audit"}</definedName>
    <definedName name="_41__FDSAUDITLINK__" hidden="1">{"fdsup://IBCentral/FAT Viewer?action=UPDATE&amp;creator=factset&amp;DOC_NAME=fat:reuters_annual_source_window.fat&amp;display_string=Audit&amp;DYN_ARGS=TRUE&amp;VAR:ID1=53983010&amp;VAR:RCODE=FDSCASHTOTAL&amp;VAR:SDATE=20081299&amp;VAR:FREQ=Y&amp;VAR:RELITEM=RP&amp;VAR:CURRENCY=&amp;VAR:CURRSOURCE=E","XSHARE&amp;VAR:NATFREQ=ANNUAL&amp;VAR:RFIELD=FINALIZED&amp;VAR:DB_TYPE=&amp;VAR:UNITS=M&amp;window=popup&amp;width=450&amp;height=300&amp;START_MAXIMIZED=FALSE"}</definedName>
    <definedName name="_42__FDSAUDITLINK__" localSheetId="3"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2"}</definedName>
    <definedName name="_42__FDSAUDITLINK__" localSheetId="55"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2"}</definedName>
    <definedName name="_42__FDSAUDITLINK__" hidden="1">{"fdsup://IBCentral/FAT Viewer?action=UPDATE&amp;creator=factset&amp;DOC_NAME=fat:reuters_annual_source_window.fat&amp;display_string=Audit&amp;DYN_ARGS=TRUE&amp;VAR:ID1=53983010&amp;VAR:RCODE=FSALE&amp;VAR:SDATE=20081299&amp;VAR:FREQ=Y&amp;VAR:RELITEM=RP&amp;VAR:CURRENCY=&amp;VAR:CURRSOURCE=EXSHARE&amp;","VAR:NATFREQ=ANNUAL&amp;VAR:RFIELD=FINALIZED&amp;VAR:DB_TYPE=&amp;VAR:UNITS=M&amp;window=popup&amp;width=450&amp;height=300&amp;START_MAXIMIZED=FALSE"}</definedName>
    <definedName name="_43__FDSAUDITLINK__" localSheetId="3" hidden="1">{"fdsup://Directions/FactSet Auditing Viewer?action=AUDIT_VALUE&amp;DB=129&amp;ID1=054052&amp;VALUEID=04831&amp;SDATE=2006&amp;PERIODTYPE=ANN_STD&amp;window=popup_no_bar&amp;width=385&amp;height=120&amp;START_MAXIMIZED=FALSE&amp;creator=factset&amp;display_string=Audit"}</definedName>
    <definedName name="_43__FDSAUDITLINK__" localSheetId="55" hidden="1">{"fdsup://Directions/FactSet Auditing Viewer?action=AUDIT_VALUE&amp;DB=129&amp;ID1=054052&amp;VALUEID=04831&amp;SDATE=2006&amp;PERIODTYPE=ANN_STD&amp;window=popup_no_bar&amp;width=385&amp;height=120&amp;START_MAXIMIZED=FALSE&amp;creator=factset&amp;display_string=Audit"}</definedName>
    <definedName name="_43__FDSAUDITLINK__" hidden="1">{"fdsup://IBCentral/FAT Viewer?action=UPDATE&amp;creator=factset&amp;DOC_NAME=fat:reuters_annual_source_window.fat&amp;display_string=Audit&amp;DYN_ARGS=TRUE&amp;VAR:ID1=53983010&amp;VAR:RCODE=FEBITDA&amp;VAR:SDATE=20081299&amp;VAR:FREQ=Y&amp;VAR:RELITEM=RP&amp;VAR:CURRENCY=&amp;VAR:CURRSOURCE=EXSHAR","E&amp;VAR:NATFREQ=ANNUAL&amp;VAR:RFIELD=FINALIZED&amp;VAR:DB_TYPE=&amp;VAR:UNITS=M&amp;window=popup&amp;width=450&amp;height=300&amp;START_MAXIMIZED=FALSE"}</definedName>
    <definedName name="_438__FDSAUDITLINK__" hidden="1">{"fdsup://Directions/FactSet Auditing Viewer?action=AUDIT_VALUE&amp;DB=129&amp;ID1=088470&amp;VALUEID=04851&amp;SDATE=2009&amp;PERIODTYPE=ANN_STD&amp;window=popup_no_bar&amp;width=385&amp;height=120&amp;START_MAXIMIZED=FALSE&amp;creator=factset&amp;display_string=Audit"}</definedName>
    <definedName name="_44__FDSAUDITLINK__" hidden="1">{"fdsup://IBCentral/FAT Viewer?action=UPDATE&amp;creator=factset&amp;DOC_NAME=fat:reuters_annual_source_window.fat&amp;display_string=Audit&amp;DYN_ARGS=TRUE&amp;VAR:ID1=53983010&amp;VAR:RCODE=STLD&amp;VAR:SDATE=20081299&amp;VAR:FREQ=Y&amp;VAR:RELITEM=RP&amp;VAR:CURRENCY=&amp;VAR:CURRSOURCE=EXSHARE&amp;V","AR:NATFREQ=ANNUAL&amp;VAR:RFIELD=FINALIZED&amp;VAR:DB_TYPE=&amp;VAR:UNITS=M&amp;window=popup&amp;width=450&amp;height=300&amp;START_MAXIMIZED=FALSE"}</definedName>
    <definedName name="_447__FDSAUDITLINK__" hidden="1">{"fdsup://Directions/FactSet Auditing Viewer?action=AUDIT_VALUE&amp;DB=129&amp;ID1=B1DWJ9&amp;VALUEID=02648&amp;SDATE=2009&amp;PERIODTYPE=ANN_STD&amp;window=popup_no_bar&amp;width=385&amp;height=120&amp;START_MAXIMIZED=FALSE&amp;creator=factset&amp;display_string=Audit"}</definedName>
    <definedName name="_448__FDSAUDITLINK__" hidden="1">{"fdsup://Directions/FactSet Auditing Viewer?action=AUDIT_VALUE&amp;DB=129&amp;ID1=B1DWJ9&amp;VALUEID=02648&amp;SDATE=2008&amp;PERIODTYPE=ANN_STD&amp;window=popup_no_bar&amp;width=385&amp;height=120&amp;START_MAXIMIZED=FALSE&amp;creator=factset&amp;display_string=Audit"}</definedName>
    <definedName name="_449__FDSAUDITLINK__" hidden="1">{"fdsup://Directions/FactSet Auditing Viewer?action=AUDIT_VALUE&amp;DB=129&amp;ID1=088470&amp;VALUEID=02999&amp;SDATE=2008&amp;PERIODTYPE=ANN_STD&amp;window=popup_no_bar&amp;width=385&amp;height=120&amp;START_MAXIMIZED=FALSE&amp;creator=factset&amp;display_string=Audit"}</definedName>
    <definedName name="_45__FDSAUDITLINK__" hidden="1">{"fdsup://directions/FAT Viewer?action=UPDATE&amp;creator=factSet&amp;DYN_ARGS=true&amp;DOC_NAME=FAT:RGA_ENTRPR_VAL_EV_SOURCE_WINDOW.FAT&amp;VAR:ID1=LMT-US&amp;VAR:SDATE=20091211&amp;VAR:FDATE=20081231&amp;VAR:FREQ=DAILY&amp;VAR:RELITEM=RP&amp;VAR:CURRENCY=&amp;VAR:DB_TYPE=&amp;VAR:UNITS=M&amp;window=pop","up&amp;width=535&amp;height=425&amp;START_MAXIMIZED=FALSE&amp;Y=120"}</definedName>
    <definedName name="_450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8"}</definedName>
    <definedName name="_451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5"}</definedName>
    <definedName name="_452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26"}</definedName>
    <definedName name="_46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43"}</definedName>
    <definedName name="_464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0"}</definedName>
    <definedName name="_465__FDSAUDITLINK__" hidden="1">{"fdsup://directions/FAT Viewer?action=UPDATE&amp;creator=factset&amp;DYN_ARGS=TRUE&amp;DOC_NAME=FAT:FQL_AUDITING_CLIENT_TEMPLATE.FAT&amp;display_string=Audit&amp;VAR:KEY=LSZMJSDIJY&amp;VAR:QUERY=RkZfT1BFUl9FWFAoQU5OLC01WSwwWSxZLCxFVVIpKygtMSpGRl9ERVBfQU1PUlRfRVhQKEFOTiwtNVksMFksW","SwsRVVSKSk=&amp;WINDOW=FIRST_POPUP&amp;HEIGHT=450&amp;WIDTH=450&amp;START_MAXIMIZED=FALSE&amp;VAR:CALENDAR=FIVEDAY&amp;VAR:SYMBOL=088470&amp;VAR:INDEX=2"}</definedName>
    <definedName name="_466__FDSAUDITLINK__" hidden="1">{"fdsup://directions/FAT Viewer?action=UPDATE&amp;creator=factset&amp;DYN_ARGS=TRUE&amp;DOC_NAME=FAT:FQL_AUDITING_CLIENT_TEMPLATE.FAT&amp;display_string=Audit&amp;VAR:KEY=LSZMJSDIJY&amp;VAR:QUERY=RkZfT1BFUl9FWFAoQU5OLC01WSwwWSxZLCxFVVIpKygtMSpGRl9ERVBfQU1PUlRfRVhQKEFOTiwtNVksMFksW","SwsRVVSKSk=&amp;WINDOW=FIRST_POPUP&amp;HEIGHT=450&amp;WIDTH=450&amp;START_MAXIMIZED=FALSE&amp;VAR:CALENDAR=FIVEDAY&amp;VAR:SYMBOL=088470&amp;VAR:INDEX=1"}</definedName>
    <definedName name="_47__FDSAUDITLINK__" hidden="1">{"fdsup://Directions/FactSet Auditing Viewer?action=AUDIT_VALUE&amp;DB=129&amp;ID1=088470&amp;VALUEID=01001&amp;SDATE=2008&amp;PERIODTYPE=ANN_STD&amp;window=popup_no_bar&amp;width=385&amp;height=120&amp;START_MAXIMIZED=FALSE&amp;creator=factset&amp;display_string=Audit"}</definedName>
    <definedName name="_473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11"}</definedName>
    <definedName name="_5__FDSAUDITLINK__" hidden="1">{"fdsup://IBCentral/FAT Viewer?action=UPDATE&amp;creator=factset&amp;DOC_NAME=fat:reuters_annual_source_window.fat&amp;display_string=Audit&amp;DYN_ARGS=TRUE&amp;VAR:ID1=01852230&amp;VAR:RCODE=FSALE&amp;VAR:SDATE=20081299&amp;VAR:FREQ=Y&amp;VAR:RELITEM=RP&amp;VAR:CURRENCY=&amp;VAR:CURRSOURCE=EXSHARE&amp;","VAR:NATFREQ=ANNUAL&amp;VAR:RFIELD=FINALIZED&amp;VAR:DB_TYPE=&amp;VAR:UNITS=M&amp;window=popup&amp;width=450&amp;height=300&amp;START_MAXIMIZED=FALSE"}</definedName>
    <definedName name="_51__FDSAUDITLINK__" hidden="1">{"fdsup://Directions/FactSet Auditing Viewer?action=AUDIT_VALUE&amp;DB=129&amp;ID1=054052&amp;VALUEID=04851&amp;SDATE=2006&amp;PERIODTYPE=ANN_STD&amp;window=popup_no_bar&amp;width=385&amp;height=120&amp;START_MAXIMIZED=FALSE&amp;creator=factset&amp;display_string=Audit"}</definedName>
    <definedName name="_528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529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3"}</definedName>
    <definedName name="_58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2"}</definedName>
    <definedName name="_589__FDSAUDITLINK__" hidden="1">{"fdsup://Directions/FactSet Auditing Viewer?action=AUDIT_VALUE&amp;DB=129&amp;ID1=088470&amp;VALUEID=04601&amp;SDATE=2009&amp;PERIODTYPE=ANN_STD&amp;window=popup_no_bar&amp;width=385&amp;height=120&amp;START_MAXIMIZED=FALSE&amp;creator=factset&amp;display_string=Audit"}</definedName>
    <definedName name="_59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1"}</definedName>
    <definedName name="_590__FDSAUDITLINK__" hidden="1">{"fdsup://directions/FAT Viewer?action=UPDATE&amp;creator=factset&amp;DYN_ARGS=TRUE&amp;DOC_NAME=FAT:FQL_AUDITING_CLIENT_TEMPLATE.FAT&amp;display_string=Audit&amp;VAR:KEY=NKPIVGLUFY&amp;VAR:QUERY=RkZfQ09HUyhBTk4sLTVZLDBZLFksLEVVUik=&amp;WINDOW=FIRST_POPUP&amp;HEIGHT=450&amp;WIDTH=450&amp;START_MA","XIMIZED=FALSE&amp;VAR:CALENDAR=FIVEDAY&amp;VAR:SYMBOL=088470&amp;VAR:INDEX=4"}</definedName>
    <definedName name="_6__FDSAUDITLINK__" hidden="1">{"fdsup://IBCentral/FAT Viewer?action=UPDATE&amp;creator=factset&amp;DOC_NAME=fat:reuters_annual_source_window.fat&amp;display_string=Audit&amp;DYN_ARGS=TRUE&amp;VAR:ID1=01852230&amp;VAR:RCODE=FSALE&amp;VAR:SDATE=20081299&amp;VAR:FREQ=Y&amp;VAR:RELITEM=RP&amp;VAR:CURRENCY=&amp;VAR:CURRSOURCE=EXSHARE&amp;","VAR:NATFREQ=ANNUAL&amp;VAR:RFIELD=FINALIZED&amp;VAR:DB_TYPE=&amp;VAR:UNITS=M&amp;window=popup&amp;width=450&amp;height=300&amp;START_MAXIMIZED=FALSE"}</definedName>
    <definedName name="_603__FDSAUDITLINK__" hidden="1">{"fdsup://Directions/FactSet Auditing Viewer?action=AUDIT_VALUE&amp;DB=129&amp;ID1=088470&amp;VALUEID=04851&amp;SDATE=2007&amp;PERIODTYPE=ANN_STD&amp;window=popup_no_bar&amp;width=385&amp;height=120&amp;START_MAXIMIZED=FALSE&amp;creator=factset&amp;display_string=Audit"}</definedName>
    <definedName name="_61__FDSAUDITLINK__" hidden="1">{"fdsup://Directions/FactSet Auditing Viewer?action=AUDIT_VALUE&amp;DB=129&amp;ID1=054052&amp;VALUEID=01271&amp;SDATE=2009&amp;PERIODTYPE=ANN_STD&amp;window=popup_no_bar&amp;width=385&amp;height=120&amp;START_MAXIMIZED=FALSE&amp;creator=factset&amp;display_string=Audit"}</definedName>
    <definedName name="_64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654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1"}</definedName>
    <definedName name="_655__FDSAUDITLINK__" hidden="1">{"fdsup://Directions/FactSet Auditing Viewer?action=AUDIT_VALUE&amp;DB=129&amp;ID1=088470&amp;VALUEID=03051&amp;SDATE=2008&amp;PERIODTYPE=ANN_STD&amp;window=popup_no_bar&amp;width=385&amp;height=120&amp;START_MAXIMIZED=FALSE&amp;creator=factset&amp;display_string=Audit"}</definedName>
    <definedName name="_661__FDSAUDITLINK__" hidden="1">{"fdsup://Directions/FactSet Auditing Viewer?action=AUDIT_VALUE&amp;DB=129&amp;ID1=088470&amp;VALUEID=01001&amp;SDATE=2010&amp;PERIODTYPE=ANN_STD&amp;SCFT=3&amp;window=popup_no_bar&amp;width=385&amp;height=120&amp;START_MAXIMIZED=FALSE&amp;creator=factset&amp;display_string=Audit"}</definedName>
    <definedName name="_662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2"}</definedName>
    <definedName name="_663__FDSAUDITLINK__" hidden="1">{"fdsup://Directions/FactSet Auditing Viewer?action=AUDIT_VALUE&amp;DB=129&amp;ID1=088470&amp;VALUEID=01451&amp;SDATE=2008&amp;PERIODTYPE=ANN_STD&amp;window=popup_no_bar&amp;width=385&amp;height=120&amp;START_MAXIMIZED=FALSE&amp;creator=factset&amp;display_string=Audit"}</definedName>
    <definedName name="_664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67__FDSAUDITLINK__" hidden="1">{"fdsup://Directions/FactSet Auditing Viewer?action=AUDIT_VALUE&amp;DB=129&amp;ID1=088470&amp;VALUEID=03101&amp;SDATE=2008&amp;PERIODTYPE=ANN_STD&amp;window=popup_no_bar&amp;width=385&amp;height=120&amp;START_MAXIMIZED=FALSE&amp;creator=factset&amp;display_string=Audit"}</definedName>
    <definedName name="_670__FDSAUDITLINK__" hidden="1">{"fdsup://Directions/FactSet Auditing Viewer?action=AUDIT_VALUE&amp;DB=129&amp;ID1=088470&amp;VALUEID=01001&amp;SDATE=2010&amp;PERIODTYPE=ANN_STD&amp;SCFT=3&amp;window=popup_no_bar&amp;width=385&amp;height=120&amp;START_MAXIMIZED=FALSE&amp;creator=factset&amp;display_string=Audit"}</definedName>
    <definedName name="_671__FDSAUDITLINK__" hidden="1">{"fdsup://Directions/FactSet Auditing Viewer?action=AUDIT_VALUE&amp;DB=129&amp;ID1=088470&amp;VALUEID=04351&amp;SDATE=2008&amp;PERIODTYPE=ANN_STD&amp;window=popup_no_bar&amp;width=385&amp;height=120&amp;START_MAXIMIZED=FALSE&amp;creator=factset&amp;display_string=Audit"}</definedName>
    <definedName name="_672__FDSAUDITLINK__" hidden="1">{"fdsup://Directions/FactSet Auditing Viewer?action=AUDIT_VALUE&amp;DB=129&amp;ID1=088470&amp;VALUEID=01001&amp;SDATE=2007&amp;PERIODTYPE=ANN_STD&amp;window=popup_no_bar&amp;width=385&amp;height=120&amp;START_MAXIMIZED=FALSE&amp;creator=factset&amp;display_string=Audit"}</definedName>
    <definedName name="_673__FDSAUDITLINK__" hidden="1">{"fdsup://directions/FAT Viewer?action=UPDATE&amp;creator=factset&amp;DYN_ARGS=TRUE&amp;DOC_NAME=FAT:FQL_AUDITING_CLIENT_TEMPLATE.FAT&amp;display_string=Audit&amp;VAR:KEY=HYTENWFARS&amp;VAR:QUERY=RkZfSU5UX0lOQ19BRlRfUFJPVihBTk4sLTVZLDBZLFksLEVVUik=&amp;WINDOW=FIRST_POPUP&amp;HEIGHT=450&amp;WI","DTH=450&amp;START_MAXIMIZED=FALSE&amp;VAR:CALENDAR=FIVEDAY&amp;VAR:SYMBOL=088470&amp;VAR:INDEX=0"}</definedName>
    <definedName name="_688__FDSAUDITLINK__" hidden="1">{"fdsup://Directions/FactSet Auditing Viewer?action=AUDIT_VALUE&amp;DB=129&amp;ID1=B1DWJ9&amp;VALUEID=04870&amp;SDATE=2009&amp;PERIODTYPE=ANN_STD&amp;window=popup_no_bar&amp;width=385&amp;height=120&amp;START_MAXIMIZED=FALSE&amp;creator=factset&amp;display_string=Audit"}</definedName>
    <definedName name="_689__FDSAUDITLINK__" hidden="1">{"fdsup://Directions/FactSet Auditing Viewer?action=AUDIT_VALUE&amp;DB=129&amp;ID1=B1DWJ9&amp;VALUEID=04870&amp;SDATE=2008&amp;PERIODTYPE=ANN_STD&amp;window=popup_no_bar&amp;width=385&amp;height=120&amp;START_MAXIMIZED=FALSE&amp;creator=factset&amp;display_string=Audit"}</definedName>
    <definedName name="_691__FDSAUDITLINK__" hidden="1">{"fdsup://Directions/FactSet Auditing Viewer?action=AUDIT_VALUE&amp;DB=129&amp;ID1=088470&amp;VALUEID=04890&amp;SDATE=2008&amp;PERIODTYPE=ANN_STD&amp;window=popup_no_bar&amp;width=385&amp;height=120&amp;START_MAXIMIZED=FALSE&amp;creator=factset&amp;display_string=Audit"}</definedName>
    <definedName name="_69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38"}</definedName>
    <definedName name="_696__FDSAUDITLINK__" hidden="1">{"fdsup://Directions/FactSet Auditing Viewer?action=AUDIT_VALUE&amp;DB=129&amp;ID1=066168&amp;VALUEID=01081&amp;SDATE=2008&amp;PERIODTYPE=ANN_STD&amp;window=popup_no_bar&amp;width=385&amp;height=120&amp;START_MAXIMIZED=FALSE&amp;creator=factset&amp;display_string=Audit"}</definedName>
    <definedName name="_7__FDSAUDITLINK__" localSheetId="3" hidden="1">{"fdsup://Directions/FactSet Auditing Viewer?action=AUDIT_VALUE&amp;DB=129&amp;ID1=088470&amp;VALUEID=05194&amp;SDATE=201001&amp;PERIODTYPE=SEMI_STD&amp;window=popup_no_bar&amp;width=385&amp;height=120&amp;START_MAXIMIZED=FALSE&amp;creator=factset&amp;display_string=Audit"}</definedName>
    <definedName name="_7__FDSAUDITLINK__" localSheetId="55" hidden="1">{"fdsup://Directions/FactSet Auditing Viewer?action=AUDIT_VALUE&amp;DB=129&amp;ID1=088470&amp;VALUEID=05194&amp;SDATE=201001&amp;PERIODTYPE=SEMI_STD&amp;window=popup_no_bar&amp;width=385&amp;height=120&amp;START_MAXIMIZED=FALSE&amp;creator=factset&amp;display_string=Audit"}</definedName>
    <definedName name="_7__FDSAUDITLINK__" hidden="1">{"fdsup://IBCentral/FAT Viewer?action=UPDATE&amp;creator=factset&amp;DOC_NAME=fat:reuters_annual_source_window.fat&amp;display_string=Audit&amp;DYN_ARGS=TRUE&amp;VAR:ID1=45091110&amp;VAR:RCODE=FSALE&amp;VAR:SDATE=20081299&amp;VAR:FREQ=Y&amp;VAR:RELITEM=RP&amp;VAR:CURRENCY=&amp;VAR:CURRSOURCE=EXSHARE&amp;","VAR:NATFREQ=ANNUAL&amp;VAR:RFIELD=FINALIZED&amp;VAR:DB_TYPE=&amp;VAR:UNITS=M&amp;window=popup&amp;width=450&amp;height=300&amp;START_MAXIMIZED=FALSE"}</definedName>
    <definedName name="_702__FDSAUDITLINK__" hidden="1">{"fdsup://directions/FAT Viewer?action=UPDATE&amp;creator=factset&amp;DYN_ARGS=TRUE&amp;DOC_NAME=FAT:FQL_AUDITING_CLIENT_TEMPLATE.FAT&amp;display_string=Audit&amp;VAR:KEY=POVAROXODE&amp;VAR:QUERY=RkZfTE9BTl9ORVQoQU5OLC01WSwwWSxZLCxFVVIp&amp;WINDOW=FIRST_POPUP&amp;HEIGHT=450&amp;WIDTH=450&amp;STAR","T_MAXIMIZED=FALSE&amp;VAR:CALENDAR=FIVEDAY&amp;VAR:SYMBOL=088470&amp;VAR:INDEX=2"}</definedName>
    <definedName name="_703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704__FDSAUDITLINK__" hidden="1">{"fdsup://directions/FAT Viewer?action=UPDATE&amp;creator=factset&amp;DYN_ARGS=TRUE&amp;DOC_NAME=FAT:FQL_AUDITING_CLIENT_TEMPLATE.FAT&amp;display_string=Audit&amp;VAR:KEY=POVAROXODE&amp;VAR:QUERY=RkZfTE9BTl9ORVQoQU5OLC01WSwwWSxZLCxFVVIp&amp;WINDOW=FIRST_POPUP&amp;HEIGHT=450&amp;WIDTH=450&amp;STAR","T_MAXIMIZED=FALSE&amp;VAR:CALENDAR=FIVEDAY&amp;VAR:SYMBOL=088470&amp;VAR:INDEX=1"}</definedName>
    <definedName name="_705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1"}</definedName>
    <definedName name="_70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34"}</definedName>
    <definedName name="_710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711__FDSAUDITLINK__" hidden="1">{"fdsup://directions/FAT Viewer?action=UPDATE&amp;creator=factset&amp;DYN_ARGS=TRUE&amp;DOC_NAME=FAT:FQL_AUDITING_CLIENT_TEMPLATE.FAT&amp;display_string=Audit&amp;VAR:KEY=POVAROXODE&amp;VAR:QUERY=RkZfTE9BTl9ORVQoQU5OLC01WSwwWSxZLCxFVVIp&amp;WINDOW=FIRST_POPUP&amp;HEIGHT=450&amp;WIDTH=450&amp;STAR","T_MAXIMIZED=FALSE&amp;VAR:CALENDAR=FIVEDAY&amp;VAR:SYMBOL=088470&amp;VAR:INDEX=3"}</definedName>
    <definedName name="_714__FDSAUDITLINK__" hidden="1">{"fdsup://Directions/FactSet Auditing Viewer?action=AUDIT_VALUE&amp;DB=129&amp;ID1=088470&amp;VALUEID=04870&amp;SDATE=2007&amp;PERIODTYPE=ANN_STD&amp;window=popup_no_bar&amp;width=385&amp;height=120&amp;START_MAXIMIZED=FALSE&amp;creator=factset&amp;display_string=Audit"}</definedName>
    <definedName name="_716__FDSAUDITLINK__" hidden="1">{"fdsup://Directions/FactSet Auditing Viewer?action=AUDIT_VALUE&amp;DB=129&amp;ID1=088470&amp;VALUEID=04840&amp;SDATE=2007&amp;PERIODTYPE=ANN_STD&amp;window=popup_no_bar&amp;width=385&amp;height=120&amp;START_MAXIMIZED=FALSE&amp;creator=factset&amp;display_string=Audit"}</definedName>
    <definedName name="_722__FDSAUDITLINK__" hidden="1">{"fdsup://Directions/FactSet Auditing Viewer?action=AUDIT_VALUE&amp;DB=129&amp;ID1=088470&amp;VALUEID=01451&amp;SDATE=2007&amp;PERIODTYPE=ANN_STD&amp;window=popup_no_bar&amp;width=385&amp;height=120&amp;START_MAXIMIZED=FALSE&amp;creator=factset&amp;display_string=Audit"}</definedName>
    <definedName name="_72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48"}</definedName>
    <definedName name="_73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5"}</definedName>
    <definedName name="_730__FDSAUDITLINK__" hidden="1">{"fdsup://directions/FAT Viewer?action=UPDATE&amp;creator=factset&amp;DYN_ARGS=TRUE&amp;DOC_NAME=FAT:FQL_AUDITING_CLIENT_TEMPLATE.FAT&amp;display_string=Audit&amp;VAR:KEY=HMDSFAFGVA&amp;VAR:QUERY=RkZfTk9OX0lOVF9JTkMoQU5OLC01WSwwWSxZLCxFVVIp&amp;WINDOW=FIRST_POPUP&amp;HEIGHT=450&amp;WIDTH=450&amp;","START_MAXIMIZED=FALSE&amp;VAR:CALENDAR=FIVEDAY&amp;VAR:SYMBOL=088470&amp;VAR:INDEX=1"}</definedName>
    <definedName name="_731__FDSAUDITLINK__" hidden="1">{"fdsup://directions/FAT Viewer?action=UPDATE&amp;creator=factset&amp;DYN_ARGS=TRUE&amp;DOC_NAME=FAT:FQL_AUDITING_CLIENT_TEMPLATE.FAT&amp;display_string=Audit&amp;VAR:KEY=DUHWLARWXY&amp;VAR:QUERY=RkVfVkFMVUFUSU9OKCdFVl9FQklUJywnTUVBTicsJ0xUTUEnLCcnLDAsLCwnQ1VSUkVOQ1k9RVVSJyk=&amp;WIND","OW=FIRST_POPUP&amp;HEIGHT=450&amp;WIDTH=450&amp;START_MAXIMIZED=FALSE&amp;VAR:CALENDAR=FIVEDAY&amp;VAR:SYMBOL=088470&amp;VAR:INDEX=0"}</definedName>
    <definedName name="_732__FDSAUDITLINK__" hidden="1">{"fdsup://Directions/FactSet Auditing Viewer?action=AUDIT_VALUE&amp;DB=129&amp;ID1=088470&amp;VALUEID=01451&amp;SDATE=2008&amp;PERIODTYPE=ANN_STD&amp;window=popup_no_bar&amp;width=385&amp;height=120&amp;START_MAXIMIZED=FALSE&amp;creator=factset&amp;display_string=Audit"}</definedName>
    <definedName name="_733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2"}</definedName>
    <definedName name="_734__FDSAUDITLINK__" hidden="1">{"fdsup://Directions/FactSet Auditing Viewer?action=AUDIT_VALUE&amp;DB=129&amp;ID1=088470&amp;VALUEID=01401&amp;SDATE=2007&amp;PERIODTYPE=ANN_STD&amp;window=popup_no_bar&amp;width=385&amp;height=120&amp;START_MAXIMIZED=FALSE&amp;creator=factset&amp;display_string=Audit"}</definedName>
    <definedName name="_735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14"}</definedName>
    <definedName name="_738__FDSAUDITLINK__" hidden="1">{"fdsup://Directions/FactSet Auditing Viewer?action=AUDIT_VALUE&amp;DB=129&amp;ID1=088470&amp;VALUEID=03101&amp;SDATE=2009&amp;PERIODTYPE=ANN_STD&amp;window=popup_no_bar&amp;width=385&amp;height=120&amp;START_MAXIMIZED=FALSE&amp;creator=factset&amp;display_string=Audit"}</definedName>
    <definedName name="_739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740__FDSAUDITLINK__" hidden="1">{"fdsup://directions/FAT Viewer?action=UPDATE&amp;creator=factset&amp;DYN_ARGS=TRUE&amp;DOC_NAME=FAT:FQL_AUDITING_CLIENT_TEMPLATE.FAT&amp;display_string=Audit&amp;VAR:KEY=NSFUFADWNU&amp;VAR:QUERY=KEZGX0VOVFJQUl9WQUxfREFJTFkoMCwsLCxFVVIsJ0RJTCcpLy9GRV9FU1RJTUFURSgnRUJJVCcsJ01FQU4nL","CdDQUxBJywnMjAxMCcsMCwsLCcsQ1VSUkVOQ1k9RVVSLCcpKQ==&amp;WINDOW=FIRST_POPUP&amp;HEIGHT=450&amp;WIDTH=450&amp;START_MAXIMIZED=FALSE&amp;VAR:CALENDAR=FIVEDAY&amp;VAR:SYMBOL=0&amp;VAR:INDEX=0"}</definedName>
    <definedName name="_741__FDSAUDITLINK__" hidden="1">{"fdsup://directions/FAT Viewer?action=UPDATE&amp;creator=factset&amp;DYN_ARGS=TRUE&amp;DOC_NAME=FAT:FQL_AUDITING_CLIENT_TEMPLATE.FAT&amp;display_string=Audit&amp;VAR:KEY=VCRAZWHURG&amp;VAR:QUERY=KEZGX0VOVFJQUl9WQUxfREFJTFkoMCwsLCxFVVIsJ0RJTCcpLy9GRV9FU1RJTUFURSgnRUJJVCcsJ01FQU4nL","CdDQUxBJywnMjAxMicsMCwsLCcsQ1VSUkVOQ1k9RVVSLCcpKQ==&amp;WINDOW=FIRST_POPUP&amp;HEIGHT=450&amp;WIDTH=450&amp;START_MAXIMIZED=FALSE&amp;VAR:CALENDAR=FIVEDAY&amp;VAR:SYMBOL=0&amp;VAR:INDEX=0"}</definedName>
    <definedName name="_742__FDSAUDITLINK__" hidden="1">{"fdsup://directions/FAT Viewer?action=UPDATE&amp;creator=factset&amp;DYN_ARGS=TRUE&amp;DOC_NAME=FAT:FQL_AUDITING_CLIENT_TEMPLATE.FAT&amp;display_string=Audit&amp;VAR:KEY=LYHQRSNUFM&amp;VAR:QUERY=KEZGX0VOVFJQUl9WQUxfREFJTFkoMCwsLCxFVVIsJ0RJTCcpLy9GRV9FU1RJTUFURSgnRUJJVERBJywnTUVBT","icsJ0NBTEEnLCcyMDEwJywwLCwsJyxDVVJSRU5DWT1FVVIsJykp&amp;WINDOW=FIRST_POPUP&amp;HEIGHT=450&amp;WIDTH=450&amp;START_MAXIMIZED=FALSE&amp;VAR:CALENDAR=FIVEDAY&amp;VAR:SYMBOL=0&amp;VAR:INDEX=0"}</definedName>
    <definedName name="_75__FDSAUDITLINK__" hidden="1">{"fdsup://Directions/FactSet Auditing Viewer?action=AUDIT_VALUE&amp;DB=129&amp;ID1=088470&amp;VALUEID=04001&amp;SDATE=2008&amp;PERIODTYPE=ANN_STD&amp;window=popup_no_bar&amp;width=385&amp;height=120&amp;START_MAXIMIZED=FALSE&amp;creator=factset&amp;display_string=Audit"}</definedName>
    <definedName name="_751__FDSAUDITLINK__" hidden="1">{"fdsup://directions/FAT Viewer?action=UPDATE&amp;creator=factset&amp;DYN_ARGS=TRUE&amp;DOC_NAME=FAT:FQL_AUDITING_CLIENT_TEMPLATE.FAT&amp;display_string=Audit&amp;VAR:KEY=HGBKDQZQVC&amp;VAR:QUERY=RkZfU0hMRFJTX0VRKEFOTiwtNVksMFksWSwsRVVSKQ==&amp;WINDOW=FIRST_POPUP&amp;HEIGHT=450&amp;WIDTH=450&amp;","START_MAXIMIZED=FALSE&amp;VAR:CALENDAR=FIVEDAY&amp;VAR:SYMBOL=088470&amp;VAR:INDEX=4"}</definedName>
    <definedName name="_752__FDSAUDITLINK__" hidden="1">{"fdsup://directions/FAT Viewer?action=UPDATE&amp;creator=factset&amp;DYN_ARGS=TRUE&amp;DOC_NAME=FAT:FQL_AUDITING_CLIENT_TEMPLATE.FAT&amp;display_string=Audit&amp;VAR:KEY=ZYPSTMJYVM&amp;VAR:QUERY=KEZGX0VOVFJQUl9WQUxfREFJTFkoMCwsLCxFVVIsJ0RJTCcpLy9GRV9FU1RJTUFURSgnRUJJVERBJywnTUVBT","icsJ0NBTEEnLCcyMDEyJywwLCwsJyxDVVJSRU5DWT1FVVIsJykp&amp;WINDOW=FIRST_POPUP&amp;HEIGHT=450&amp;WIDTH=450&amp;START_MAXIMIZED=FALSE&amp;VAR:CALENDAR=US&amp;VAR:SYMBOL=0&amp;VAR:INDEX=0"}</definedName>
    <definedName name="_753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4"}</definedName>
    <definedName name="_757__FDSAUDITLINK__" hidden="1">{"fdsup://directions/FAT Viewer?action=UPDATE&amp;creator=factset&amp;DYN_ARGS=TRUE&amp;DOC_NAME=FAT:FQL_AUDITING_CLIENT_TEMPLATE.FAT&amp;display_string=Audit&amp;VAR:KEY=PUJKLYDMJG&amp;VAR:QUERY=RkVfVkFMVUFUSU9OKCdST0UnLCdNRUFOJywnTFRNQScsJycsKzEsLCwnQ1VSUkVOQ1k9RVVSJyk=&amp;WINDOW=F","IRST_POPUP&amp;HEIGHT=450&amp;WIDTH=450&amp;START_MAXIMIZED=FALSE&amp;VAR:CALENDAR=FIVEDAY&amp;VAR:SYMBOL=088470&amp;VAR:INDEX=0"}</definedName>
    <definedName name="_758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3"}</definedName>
    <definedName name="_759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760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3"}</definedName>
    <definedName name="_761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2"}</definedName>
    <definedName name="_762__FDSAUDITLINK__" hidden="1">{"fdsup://directions/FAT Viewer?action=UPDATE&amp;creator=factset&amp;DYN_ARGS=TRUE&amp;DOC_NAME=FAT:FQL_AUDITING_CLIENT_TEMPLATE.FAT&amp;display_string=Audit&amp;VAR:KEY=PEXAJKNQNE&amp;VAR:QUERY=KEZGX0VOVFJQUl9WQUxfREFJTFkoMCwsLCxFVVIsJ0RJTCcpLy9GRV9FU1RJTUFURSgnRUJJVERBJywnTUVBT","icsJ0NBTEEnLCcyMDExJywwLCwsJyxDVVJSRU5DWT1FVVIsJykp&amp;WINDOW=FIRST_POPUP&amp;HEIGHT=450&amp;WIDTH=450&amp;START_MAXIMIZED=FALSE&amp;VAR:CALENDAR=US&amp;VAR:SYMBOL=0&amp;VAR:INDEX=0"}</definedName>
    <definedName name="_763__FDSAUDITLINK__" hidden="1">{"fdsup://Directions/FactSet Auditing Viewer?action=AUDIT_VALUE&amp;DB=129&amp;ID1=088470&amp;VALUEID=01251&amp;SDATE=2009&amp;PERIODTYPE=ANN_STD&amp;window=popup_no_bar&amp;width=385&amp;height=120&amp;START_MAXIMIZED=FALSE&amp;creator=factset&amp;display_string=Audit"}</definedName>
    <definedName name="_764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1"}</definedName>
    <definedName name="_765__FDSAUDITLINK__" hidden="1">{"fdsup://Directions/FactSet Auditing Viewer?action=AUDIT_VALUE&amp;DB=129&amp;ID1=088470&amp;VALUEID=01151&amp;SDATE=2009&amp;PERIODTYPE=ANN_STD&amp;window=popup_no_bar&amp;width=385&amp;height=120&amp;START_MAXIMIZED=FALSE&amp;creator=factset&amp;display_string=Audit"}</definedName>
    <definedName name="_766__FDSAUDITLINK__" hidden="1">{"fdsup://directions/FAT Viewer?action=UPDATE&amp;creator=factset&amp;DYN_ARGS=TRUE&amp;DOC_NAME=FAT:FQL_AUDITING_CLIENT_TEMPLATE.FAT&amp;display_string=Audit&amp;VAR:KEY=LWJUFWDMRS&amp;VAR:QUERY=KEZGX0VOVFJQUl9WQUxfREFJTFkoMCwsLCxFVVIsJ0RJTCcpLy9GRV9FU1RJTUFURSgnRUJJVCcsJ01FQU4nL","CdDQUxBJywnMjAxMScsMCwsLCcsQ1VSUkVOQ1k9RVVSLCcpKQ==&amp;WINDOW=FIRST_POPUP&amp;HEIGHT=450&amp;WIDTH=450&amp;START_MAXIMIZED=FALSE&amp;VAR:CALENDAR=US&amp;VAR:SYMBOL=0&amp;VAR:INDEX=0"}</definedName>
    <definedName name="_773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3"}</definedName>
    <definedName name="_77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39"}</definedName>
    <definedName name="_775__FDSAUDITLINK__" hidden="1">{"fdsup://directions/FAT Viewer?action=UPDATE&amp;creator=factset&amp;DYN_ARGS=TRUE&amp;DOC_NAME=FAT:FQL_AUDITING_CLIENT_TEMPLATE.FAT&amp;display_string=Audit&amp;VAR:KEY=LKVKNSZWHI&amp;VAR:QUERY=RkZfSU5WRVNUX1NUX1RPVChBTk4sLTVZLDBZLFksLEVVUik=&amp;WINDOW=FIRST_POPUP&amp;HEIGHT=450&amp;WIDTH=","450&amp;START_MAXIMIZED=FALSE&amp;VAR:CALENDAR=FIVEDAY&amp;VAR:SYMBOL=066168&amp;VAR:INDEX=2"}</definedName>
    <definedName name="_776__FDSAUDITLINK__" hidden="1">{"fdsup://directions/FAT Viewer?action=UPDATE&amp;creator=factset&amp;DYN_ARGS=TRUE&amp;DOC_NAME=FAT:FQL_AUDITING_CLIENT_TEMPLATE.FAT&amp;display_string=Audit&amp;VAR:KEY=LKVKNSZWHI&amp;VAR:QUERY=RkZfSU5WRVNUX1NUX1RPVChBTk4sLTVZLDBZLFksLEVVUik=&amp;WINDOW=FIRST_POPUP&amp;HEIGHT=450&amp;WIDTH=","450&amp;START_MAXIMIZED=FALSE&amp;VAR:CALENDAR=FIVEDAY&amp;VAR:SYMBOL=066168&amp;VAR:INDEX=1"}</definedName>
    <definedName name="_777__FDSAUDITLINK__" hidden="1">{"fdsup://Directions/FactSet Auditing Viewer?action=AUDIT_VALUE&amp;DB=129&amp;ID1=088470&amp;VALUEID=04551&amp;SDATE=2009&amp;PERIODTYPE=ANN_STD&amp;window=popup_no_bar&amp;width=385&amp;height=120&amp;START_MAXIMIZED=FALSE&amp;creator=factset&amp;display_string=Audit"}</definedName>
    <definedName name="_778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0"}</definedName>
    <definedName name="_779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0"}</definedName>
    <definedName name="_78__FDSAUDITLINK__" hidden="1">{"fdsup://directions/FAT Viewer?action=UPDATE&amp;creator=factset&amp;DYN_ARGS=TRUE&amp;DOC_NAME=FAT:FQL_AUDITING_CLIENT_TEMPLATE.FAT&amp;display_string=Audit&amp;VAR:KEY=VEHWZYLITK&amp;VAR:QUERY=RkZfQlBTX1RBTkcoQU5OLC01WSwwWSxZLCxFVVIp&amp;WINDOW=FIRST_POPUP&amp;HEIGHT=450&amp;WIDTH=450&amp;STAR","T_MAXIMIZED=FALSE&amp;VAR:CALENDAR=FIVEDAY&amp;VAR:SYMBOL=088470&amp;VAR:INDEX=0"}</definedName>
    <definedName name="_780__FDSAUDITLINK__" hidden="1">{"fdsup://Directions/FactSet Auditing Viewer?action=AUDIT_VALUE&amp;DB=129&amp;ID1=088470&amp;VALUEID=01251&amp;SDATE=2008&amp;PERIODTYPE=ANN_STD&amp;window=popup_no_bar&amp;width=385&amp;height=120&amp;START_MAXIMIZED=FALSE&amp;creator=factset&amp;display_string=Audit"}</definedName>
    <definedName name="_781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782__FDSAUDITLINK__" hidden="1">{"fdsup://directions/FAT Viewer?action=UPDATE&amp;creator=factset&amp;DYN_ARGS=TRUE&amp;DOC_NAME=FAT:FQL_AUDITING_CLIENT_TEMPLATE.FAT&amp;display_string=Audit&amp;VAR:KEY=PCLMZKZGXQ&amp;VAR:QUERY=KEZGX0VOVFJQUl9WQUxfREFJTFkoMCwsLCxFVVIsJ0RJTCcpLy9GRV9FU1RJTUFURSgnRUJJVCcsJ01FQU4nL","CdDQUxBJywnMjAxMScsMCwsLCcsQ1VSUkVOQ1k9RVVSLCcpKQ==&amp;WINDOW=FIRST_POPUP&amp;HEIGHT=450&amp;WIDTH=450&amp;START_MAXIMIZED=FALSE&amp;VAR:CALENDAR=FIVEDAY&amp;VAR:SYMBOL=0&amp;VAR:INDEX=0"}</definedName>
    <definedName name="_789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8__FDSAUDITLINK__" hidden="1">{"fdsup://IBCentral/FAT Viewer?action=UPDATE&amp;creator=factset&amp;DOC_NAME=fat:reuters_annual_source_window.fat&amp;display_string=Audit&amp;DYN_ARGS=TRUE&amp;VAR:ID1=45091110&amp;VAR:RCODE=FSALE&amp;VAR:SDATE=20081299&amp;VAR:FREQ=Y&amp;VAR:RELITEM=RP&amp;VAR:CURRENCY=&amp;VAR:CURRSOURCE=EXSHARE&amp;","VAR:NATFREQ=ANNUAL&amp;VAR:RFIELD=FINALIZED&amp;VAR:DB_TYPE=&amp;VAR:UNITS=M&amp;window=popup&amp;width=450&amp;height=300&amp;START_MAXIMIZED=FALSE"}</definedName>
    <definedName name="_803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804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18"}</definedName>
    <definedName name="_80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7"}</definedName>
    <definedName name="_806__FDSAUDITLINK__" hidden="1">{"fdsup://directions/FAT Viewer?action=UPDATE&amp;creator=factset&amp;DYN_ARGS=TRUE&amp;DOC_NAME=FAT:FQL_AUDITING_CLIENT_TEMPLATE.FAT&amp;display_string=Audit&amp;VAR:KEY=VQNKJQJWPM&amp;VAR:QUERY=RkVfVkFMVUFUSU9OKCdNQ0FQX1NBTEVTJywnTUVBTicsJ0FOTlVBTCcsJyszJywwLCwsJ0NVUlJFTkNZPUVVU","icp&amp;WINDOW=FIRST_POPUP&amp;HEIGHT=450&amp;WIDTH=450&amp;START_MAXIMIZED=FALSE&amp;VAR:CALENDAR=FIVEDAY&amp;VAR:SYMBOL=088470&amp;VAR:INDEX=0"}</definedName>
    <definedName name="_807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2"}</definedName>
    <definedName name="_813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5"}</definedName>
    <definedName name="_814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815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8"}</definedName>
    <definedName name="_82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46"}</definedName>
    <definedName name="_83__FDSAUDITLINK__" hidden="1">{"fdsup://Directions/FactSet Auditing Viewer?action=AUDIT_VALUE&amp;DB=129&amp;ID1=088470&amp;VALUEID=04831&amp;SDATE=2009&amp;PERIODTYPE=ANN_STD&amp;window=popup_no_bar&amp;width=385&amp;height=120&amp;START_MAXIMIZED=FALSE&amp;creator=factset&amp;display_string=Audit"}</definedName>
    <definedName name="_831__FDSAUDITLINK__" hidden="1">{"fdsup://directions/FAT Viewer?action=UPDATE&amp;creator=factset&amp;DYN_ARGS=TRUE&amp;DOC_NAME=FAT:FQL_AUDITING_CLIENT_TEMPLATE.FAT&amp;display_string=Audit&amp;VAR:KEY=ZWHWBEBIVU&amp;VAR:QUERY=RkVfVkFMVUFUSU9OKCdFVl9TQUxFUycsJ01FQU4nLCdBTk5VQUwnLCcrMicsMCwsLCdDVVJSRU5DWT1FVVInK","Q==&amp;WINDOW=FIRST_POPUP&amp;HEIGHT=450&amp;WIDTH=450&amp;START_MAXIMIZED=FALSE&amp;VAR:CALENDAR=FIVEDAY&amp;VAR:SYMBOL=088470&amp;VAR:INDEX=0"}</definedName>
    <definedName name="_836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0"}</definedName>
    <definedName name="_837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3"}</definedName>
    <definedName name="_839__FDSAUDITLINK__" hidden="1">{"fdsup://Directions/FactSet Auditing Viewer?action=AUDIT_VALUE&amp;DB=129&amp;ID1=088470&amp;VALUEID=04840&amp;SDATE=2009&amp;PERIODTYPE=ANN_STD&amp;window=popup_no_bar&amp;width=385&amp;height=120&amp;START_MAXIMIZED=FALSE&amp;creator=factset&amp;display_string=Audit"}</definedName>
    <definedName name="_84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1"}</definedName>
    <definedName name="_842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843__FDSAUDITLINK__" hidden="1">{"fdsup://directions/FAT Viewer?action=UPDATE&amp;creator=factset&amp;DYN_ARGS=TRUE&amp;DOC_NAME=FAT:FQL_AUDITING_CLIENT_TEMPLATE.FAT&amp;display_string=Audit&amp;VAR:KEY=TKBMNGTQJE&amp;VAR:QUERY=KEZGX0VOVFJQUl9WQUxfREFJTFkoMCwsLCxFVVIsJ0RJTCcpLy9GRV9FU1RJTUFURSgnRUJJVCcsJ01FQU4nL","CdDQUxBJywnMjAxMicsMCwsLCcsQ1VSUkVOQ1k9RVVSLCcpKQ==&amp;WINDOW=FIRST_POPUP&amp;HEIGHT=450&amp;WIDTH=450&amp;START_MAXIMIZED=FALSE&amp;VAR:CALENDAR=US&amp;VAR:SYMBOL=0&amp;VAR:INDEX=0"}</definedName>
    <definedName name="_844__FDSAUDITLINK__" hidden="1">{"fdsup://directions/FAT Viewer?action=UPDATE&amp;creator=factset&amp;DYN_ARGS=TRUE&amp;DOC_NAME=FAT:FQL_AUDITING_CLIENT_TEMPLATE.FAT&amp;display_string=Audit&amp;VAR:KEY=PELMDQFIHA&amp;VAR:QUERY=RkZfR1JPU1NfSU5DKEFOTiwtNVksMFksWSwsRVVSKQ==&amp;WINDOW=FIRST_POPUP&amp;HEIGHT=450&amp;WIDTH=450&amp;","START_MAXIMIZED=FALSE&amp;VAR:CALENDAR=FIVEDAY&amp;VAR:SYMBOL=088470&amp;VAR:INDEX=1"}</definedName>
    <definedName name="_846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0"}</definedName>
    <definedName name="_847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848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2"}</definedName>
    <definedName name="_849__FDSAUDITLINK__" hidden="1">{"fdsup://Directions/FactSet Auditing Viewer?action=AUDIT_VALUE&amp;DB=129&amp;ID1=088470&amp;VALUEID=05194&amp;SDATE=200902&amp;PERIODTYPE=SEMI_STD&amp;window=popup_no_bar&amp;width=385&amp;height=120&amp;START_MAXIMIZED=FALSE&amp;creator=factset&amp;display_string=Audit"}</definedName>
    <definedName name="_85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1"}</definedName>
    <definedName name="_850__FDSAUDITLINK__" hidden="1">{"fdsup://Directions/FactSet Auditing Viewer?action=AUDIT_VALUE&amp;DB=129&amp;ID1=088470&amp;VALUEID=03351&amp;SDATE=2008&amp;PERIODTYPE=ANN_STD&amp;window=popup_no_bar&amp;width=385&amp;height=120&amp;START_MAXIMIZED=FALSE&amp;creator=factset&amp;display_string=Audit"}</definedName>
    <definedName name="_852__FDSAUDITLINK__" hidden="1">{"fdsup://directions/FAT Viewer?action=UPDATE&amp;creator=factset&amp;DYN_ARGS=TRUE&amp;DOC_NAME=FAT:FQL_AUDITING_CLIENT_TEMPLATE.FAT&amp;display_string=Audit&amp;VAR:KEY=NMFYHGJOZS&amp;VAR:QUERY=NC44NzMxMjgvRkZfT1BFUl9QU19ORVRfQ0YoQU5OLDAsLCwsRVVSKQ==&amp;WINDOW=FIRST_POPUP&amp;HEIGHT=45","0&amp;WIDTH=450&amp;START_MAXIMIZED=FALSE&amp;VAR:CALENDAR=FIVEDAY&amp;VAR:SYMBOL=088470&amp;VAR:INDEX=0"}</definedName>
    <definedName name="_853__FDSAUDITLINK__" hidden="1">{"fdsup://directions/FAT Viewer?action=UPDATE&amp;creator=factset&amp;DYN_ARGS=TRUE&amp;DOC_NAME=FAT:FQL_AUDITING_CLIENT_TEMPLATE.FAT&amp;display_string=Audit&amp;VAR:KEY=BEVYJSDKTM&amp;VAR:QUERY=RkZfU1RLX0NIR19DRihBTk4sLTVZLDBZLFksLEVVUik=&amp;WINDOW=FIRST_POPUP&amp;HEIGHT=450&amp;WIDTH=450&amp;","START_MAXIMIZED=FALSE&amp;VAR:CALENDAR=FIVEDAY&amp;VAR:SYMBOL=088470&amp;VAR:INDEX=0"}</definedName>
    <definedName name="_856__FDSAUDITLINK__" hidden="1">{"fdsup://directions/FAT Viewer?action=UPDATE&amp;creator=factset&amp;DYN_ARGS=TRUE&amp;DOC_NAME=FAT:FQL_AUDITING_CLIENT_TEMPLATE.FAT&amp;display_string=Audit&amp;VAR:KEY=ROTCXMBITK&amp;VAR:QUERY=KEZGX0VOVFJQUl9WQUxfREFJTFkoMCwsLCxFVVIsJ0RJTCcpLy9GRV9FU1RJTUFURSgnRUJJVERBJywnTUVBT","icsJ0NBTEEnLCcyMDExJywwLCwsJyxDVVJSRU5DWT1FVVIsJykp&amp;WINDOW=FIRST_POPUP&amp;HEIGHT=450&amp;WIDTH=450&amp;START_MAXIMIZED=FALSE&amp;VAR:CALENDAR=FIVEDAY&amp;VAR:SYMBOL=0&amp;VAR:INDEX=0"}</definedName>
    <definedName name="_857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86__FDSAUDITLINK__" hidden="1">{"fdsup://Directions/FactSet Auditing Viewer?action=AUDIT_VALUE&amp;DB=129&amp;ID1=088470&amp;VALUEID=04840&amp;SDATE=2009&amp;PERIODTYPE=ANN_STD&amp;window=popup_no_bar&amp;width=385&amp;height=120&amp;START_MAXIMIZED=FALSE&amp;creator=factset&amp;display_string=Audit"}</definedName>
    <definedName name="_861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0"}</definedName>
    <definedName name="_864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865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3"}</definedName>
    <definedName name="_866__FDSAUDITLINK__" hidden="1">{"fdsup://Directions/FactSet Auditing Viewer?action=AUDIT_VALUE&amp;DB=129&amp;ID1=088470&amp;VALUEID=04851&amp;SDATE=2009&amp;PERIODTYPE=ANN_STD&amp;window=popup_no_bar&amp;width=385&amp;height=120&amp;START_MAXIMIZED=FALSE&amp;creator=factset&amp;display_string=Audit"}</definedName>
    <definedName name="_86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46"}</definedName>
    <definedName name="_868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869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872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4"}</definedName>
    <definedName name="_876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0"}</definedName>
    <definedName name="_877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878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88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3"}</definedName>
    <definedName name="_887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89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1"}</definedName>
    <definedName name="_891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45"}</definedName>
    <definedName name="_892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2"}</definedName>
    <definedName name="_895__FDSAUDITLINK__" hidden="1">{"fdsup://Directions/FactSet Auditing Viewer?action=AUDIT_VALUE&amp;DB=129&amp;ID1=088470&amp;VALUEID=01250&amp;SDATE=2007&amp;PERIODTYPE=ANN_STD&amp;window=popup_no_bar&amp;width=385&amp;height=120&amp;START_MAXIMIZED=FALSE&amp;creator=factset&amp;display_string=Audit"}</definedName>
    <definedName name="_9__FDSAUDITLINK__" hidden="1">{"fdsup://IBCentral/FAT Viewer?action=UPDATE&amp;creator=factset&amp;DOC_NAME=fat:reuters_annual_source_window.fat&amp;display_string=Audit&amp;DYN_ARGS=TRUE&amp;VAR:ID1=01852230&amp;VAR:RCODE=FEBITDA&amp;VAR:SDATE=20081299&amp;VAR:FREQ=Y&amp;VAR:RELITEM=RP&amp;VAR:CURRENCY=&amp;VAR:CURRSOURCE=EXSHAR","E&amp;VAR:NATFREQ=ANNUAL&amp;VAR:RFIELD=FINALIZED&amp;VAR:DB_TYPE=&amp;VAR:UNITS=M&amp;window=popup&amp;width=450&amp;height=300&amp;START_MAXIMIZED=FALSE"}</definedName>
    <definedName name="_90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901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18"}</definedName>
    <definedName name="_910__FDSAUDITLINK__" hidden="1">{"fdsup://Directions/FactSet Auditing Viewer?action=AUDIT_VALUE&amp;DB=129&amp;ID1=088470&amp;VALUEID=03501&amp;SDATE=2007&amp;PERIODTYPE=ANN_STD&amp;window=popup_no_bar&amp;width=385&amp;height=120&amp;START_MAXIMIZED=FALSE&amp;creator=factset&amp;display_string=Audit"}</definedName>
    <definedName name="_917__FDSAUDITLINK__" hidden="1">{"fdsup://directions/FAT Viewer?action=UPDATE&amp;creator=factset&amp;DYN_ARGS=TRUE&amp;DOC_NAME=FAT:FQL_AUDITING_CLIENT_TEMPLATE.FAT&amp;display_string=Audit&amp;VAR:KEY=POVAROXODE&amp;VAR:QUERY=RkZfTE9BTl9ORVQoQU5OLC01WSwwWSxZLCxFVVIp&amp;WINDOW=FIRST_POPUP&amp;HEIGHT=450&amp;WIDTH=450&amp;STAR","T_MAXIMIZED=FALSE&amp;VAR:CALENDAR=FIVEDAY&amp;VAR:SYMBOL=088470&amp;VAR:INDEX=5"}</definedName>
    <definedName name="_918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1"}</definedName>
    <definedName name="_92__FDSAUDITLINK__" hidden="1">{"fdsup://Directions/FactSet Auditing Viewer?action=AUDIT_VALUE&amp;DB=129&amp;ID1=054052&amp;VALUEID=01016&amp;SDATE=2007&amp;PERIODTYPE=ANN_STD&amp;window=popup_no_bar&amp;width=385&amp;height=120&amp;START_MAXIMIZED=FALSE&amp;creator=factset&amp;display_string=Audit"}</definedName>
    <definedName name="_920__FDSAUDITLINK__" hidden="1">{"fdsup://directions/FAT Viewer?action=UPDATE&amp;creator=factset&amp;DYN_ARGS=TRUE&amp;DOC_NAME=FAT:FQL_AUDITING_CLIENT_TEMPLATE.FAT&amp;display_string=Audit&amp;VAR:KEY=TKLGLAHUNA&amp;VAR:QUERY=RkZfTkVUX0lOQ19CQVNJQ19CRUZUX1hPUkQoQU5OLC01WSwwWSxZLCxFVVIp&amp;WINDOW=FIRST_POPUP&amp;HEIGH","T=450&amp;WIDTH=450&amp;START_MAXIMIZED=FALSE&amp;VAR:CALENDAR=FIVEDAY&amp;VAR:SYMBOL=088470&amp;VAR:INDEX=1"}</definedName>
    <definedName name="_921__FDSAUDITLINK__" hidden="1">{"fdsup://directions/FAT Viewer?action=UPDATE&amp;creator=factset&amp;DYN_ARGS=TRUE&amp;DOC_NAME=FAT:FQL_AUDITING_CLIENT_TEMPLATE.FAT&amp;display_string=Audit&amp;VAR:KEY=JQDAVQVGHM&amp;VAR:QUERY=RkVfVkFMVUFUSU9OKCdFVl9FQklUREEnLCdNRUFOJywnQU5OVUFMJywnKzMnLDAsLCwnQ1VSUkVOQ1k9RVVSJ","yk=&amp;WINDOW=FIRST_POPUP&amp;HEIGHT=450&amp;WIDTH=450&amp;START_MAXIMIZED=FALSE&amp;VAR:CALENDAR=FIVEDAY&amp;VAR:SYMBOL=088470&amp;VAR:INDEX=0"}</definedName>
    <definedName name="_922__FDSAUDITLINK__" hidden="1">{"fdsup://Directions/FactSet Auditing Viewer?action=AUDIT_VALUE&amp;DB=129&amp;ID1=088470&amp;VALUEID=03501&amp;SDATE=2008&amp;PERIODTYPE=ANN_STD&amp;window=popup_no_bar&amp;width=385&amp;height=120&amp;START_MAXIMIZED=FALSE&amp;creator=factset&amp;display_string=Audit"}</definedName>
    <definedName name="_924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1"}</definedName>
    <definedName name="_926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0"}</definedName>
    <definedName name="_92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9"}</definedName>
    <definedName name="_928__FDSAUDITLINK__" hidden="1">{"fdsup://Directions/FactSet Auditing Viewer?action=AUDIT_VALUE&amp;DB=129&amp;ID1=088470&amp;VALUEID=04151&amp;SDATE=2009&amp;PERIODTYPE=ANN_STD&amp;window=popup_no_bar&amp;width=385&amp;height=120&amp;START_MAXIMIZED=FALSE&amp;creator=factset&amp;display_string=Audit"}</definedName>
    <definedName name="_93__FDSAUDITLINK__" hidden="1">{"fdsup://Directions/FactSet Auditing Viewer?action=AUDIT_VALUE&amp;DB=129&amp;ID1=054052&amp;VALUEID=01016&amp;SDATE=2006&amp;PERIODTYPE=ANN_STD&amp;window=popup_no_bar&amp;width=385&amp;height=120&amp;START_MAXIMIZED=FALSE&amp;creator=factset&amp;display_string=Audit"}</definedName>
    <definedName name="_932__FDSAUDITLINK__" hidden="1">{"fdsup://directions/FAT Viewer?action=UPDATE&amp;creator=factset&amp;DYN_ARGS=TRUE&amp;DOC_NAME=FAT:FQL_AUDITING_CLIENT_TEMPLATE.FAT&amp;display_string=Audit&amp;VAR:KEY=NATCLEFSJA&amp;VAR:QUERY=RkZfSU5WRVNUKEFOTiwtNVksMFksWSwsRVVSKQ==&amp;WINDOW=FIRST_POPUP&amp;HEIGHT=450&amp;WIDTH=450&amp;STAR","T_MAXIMIZED=FALSE&amp;VAR:CALENDAR=FIVEDAY&amp;VAR:SYMBOL=088470&amp;VAR:INDEX=2"}</definedName>
    <definedName name="_935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937__FDSAUDITLINK__" hidden="1">{"fdsup://directions/FAT Viewer?action=UPDATE&amp;creator=factset&amp;DYN_ARGS=TRUE&amp;DOC_NAME=FAT:FQL_AUDITING_CLIENT_TEMPLATE.FAT&amp;display_string=Audit&amp;VAR:KEY=HMDSFAFGVA&amp;VAR:QUERY=RkZfTk9OX0lOVF9JTkMoQU5OLC01WSwwWSxZLCxFVVIp&amp;WINDOW=FIRST_POPUP&amp;HEIGHT=450&amp;WIDTH=450&amp;","START_MAXIMIZED=FALSE&amp;VAR:CALENDAR=FIVEDAY&amp;VAR:SYMBOL=088470&amp;VAR:INDEX=0"}</definedName>
    <definedName name="_938__FDSAUDITLINK__" hidden="1">{"fdsup://Directions/FactSet Auditing Viewer?action=AUDIT_VALUE&amp;DB=129&amp;ID1=066168&amp;VALUEID=02260&amp;SDATE=2007&amp;PERIODTYPE=ANN_STD&amp;window=popup_no_bar&amp;width=385&amp;height=120&amp;START_MAXIMIZED=FALSE&amp;creator=factset&amp;display_string=Audit"}</definedName>
    <definedName name="_94__FDSAUDITLINK__" hidden="1">{"fdsup://Directions/FactSet Auditing Viewer?action=AUDIT_VALUE&amp;DB=129&amp;ID1=054052&amp;VALUEID=04840&amp;SDATE=2006&amp;PERIODTYPE=ANN_STD&amp;window=popup_no_bar&amp;width=385&amp;height=120&amp;START_MAXIMIZED=FALSE&amp;creator=factset&amp;display_string=Audit"}</definedName>
    <definedName name="_940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2"}</definedName>
    <definedName name="_942__FDSAUDITLINK__" hidden="1">{"fdsup://Directions/FactSet Auditing Viewer?action=AUDIT_VALUE&amp;DB=129&amp;ID1=088470&amp;VALUEID=04151&amp;SDATE=2008&amp;PERIODTYPE=ANN_STD&amp;window=popup_no_bar&amp;width=385&amp;height=120&amp;START_MAXIMIZED=FALSE&amp;creator=factset&amp;display_string=Audit"}</definedName>
    <definedName name="_943__FDSAUDITLINK__" hidden="1">{"fdsup://Directions/FactSet Auditing Viewer?action=AUDIT_VALUE&amp;DB=129&amp;ID1=088470&amp;VALUEID=03051&amp;SDATE=2007&amp;PERIODTYPE=ANN_STD&amp;window=popup_no_bar&amp;width=385&amp;height=120&amp;START_MAXIMIZED=FALSE&amp;creator=factset&amp;display_string=Audit"}</definedName>
    <definedName name="_944__FDSAUDITLINK__" hidden="1">{"fdsup://Directions/FactSet Auditing Viewer?action=AUDIT_VALUE&amp;DB=129&amp;ID1=088470&amp;VALUEID=04151&amp;SDATE=2007&amp;PERIODTYPE=ANN_STD&amp;window=popup_no_bar&amp;width=385&amp;height=120&amp;START_MAXIMIZED=FALSE&amp;creator=factset&amp;display_string=Audit"}</definedName>
    <definedName name="_945__FDSAUDITLINK__" hidden="1">{"fdsup://Directions/FactSet Auditing Viewer?action=AUDIT_VALUE&amp;DB=129&amp;ID1=088470&amp;VALUEID=04890&amp;SDATE=2007&amp;PERIODTYPE=ANN_STD&amp;window=popup_no_bar&amp;width=385&amp;height=120&amp;START_MAXIMIZED=FALSE&amp;creator=factset&amp;display_string=Audit"}</definedName>
    <definedName name="_946__FDSAUDITLINK__" hidden="1">{"fdsup://directions/FAT Viewer?action=UPDATE&amp;creator=factset&amp;DYN_ARGS=TRUE&amp;DOC_NAME=FAT:FQL_AUDITING_CLIENT_TEMPLATE.FAT&amp;display_string=Audit&amp;VAR:KEY=ZYPAFAJYJU&amp;VAR:QUERY=RkZfRUJJVERBX0lCKEFOTiwtMUFZLDBELFcsLEVVUik=&amp;WINDOW=FIRST_POPUP&amp;HEIGHT=450&amp;WIDTH=450&amp;","START_MAXIMIZED=FALSE&amp;VAR:CALENDAR=FIVEDAY&amp;VAR:SYMBOL=088470&amp;VAR:INDEX=41"}</definedName>
    <definedName name="_94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35"}</definedName>
    <definedName name="_95__FDSAUDITLINK__" hidden="1">{"fdsup://Directions/FactSet Auditing Viewer?action=AUDIT_VALUE&amp;DB=129&amp;ID1=088470&amp;VALUEID=04870&amp;SDATE=2009&amp;PERIODTYPE=ANN_STD&amp;window=popup_no_bar&amp;width=385&amp;height=120&amp;START_MAXIMIZED=FALSE&amp;creator=factset&amp;display_string=Audit"}</definedName>
    <definedName name="_950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52"}</definedName>
    <definedName name="_954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3"}</definedName>
    <definedName name="_959__FDSAUDITLINK__" hidden="1">{"fdsup://directions/FAT Viewer?action=UPDATE&amp;creator=factset&amp;DYN_ARGS=TRUE&amp;DOC_NAME=FAT:FQL_AUDITING_CLIENT_TEMPLATE.FAT&amp;display_string=Audit&amp;VAR:KEY=HCZIBCLOJM&amp;VAR:QUERY=RkZfTk9OX09QRVJfSU5DKEFOTiwtNVksMFksWSwsRVVSKQ==&amp;WINDOW=FIRST_POPUP&amp;HEIGHT=450&amp;WIDTH=","450&amp;START_MAXIMIZED=FALSE&amp;VAR:CALENDAR=FIVEDAY&amp;VAR:SYMBOL=088470&amp;VAR:INDEX=5"}</definedName>
    <definedName name="_962__FDSAUDITLINK__" hidden="1">{"fdsup://Directions/FactSet Auditing Viewer?action=AUDIT_VALUE&amp;DB=129&amp;ID1=088470&amp;VALUEID=01001&amp;SDATE=2008&amp;PERIODTYPE=ANN_STD&amp;window=popup_no_bar&amp;width=385&amp;height=120&amp;START_MAXIMIZED=FALSE&amp;creator=factset&amp;display_string=Audit"}</definedName>
    <definedName name="_963__FDSAUDITLINK__" hidden="1">{"fdsup://directions/FAT Viewer?action=UPDATE&amp;creator=factset&amp;DYN_ARGS=TRUE&amp;DOC_NAME=FAT:FQL_AUDITING_CLIENT_TEMPLATE.FAT&amp;display_string=Audit&amp;VAR:KEY=JWLOBOJQDC&amp;VAR:QUERY=RkZfTkVUX0lOQ19CQVNJQ19CRUZUX1hPUkQoQU5OLC01WSwwWSxZLCxFVVIpK0ZGX1VOVVNVQUxfRVhQKEFOT","iwtNVksMFksWSwsRVVSKQ==&amp;WINDOW=FIRST_POPUP&amp;HEIGHT=450&amp;WIDTH=450&amp;START_MAXIMIZED=FALSE&amp;VAR:CALENDAR=FIVEDAY&amp;VAR:SYMBOL=088470&amp;VAR:INDEX=1"}</definedName>
    <definedName name="_967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0"}</definedName>
    <definedName name="_97__FDSAUDITLINK__" hidden="1">{"fdsup://directions/FAT Viewer?action=UPDATE&amp;creator=factset&amp;DYN_ARGS=TRUE&amp;DOC_NAME=FAT:FQL_AUDITING_CLIENT_TEMPLATE.FAT&amp;display_string=Audit&amp;VAR:KEY=XMZAJKBURE&amp;VAR:QUERY=RkZfUEFZX09VVF9SQVRJTyhBTk4sLTVZLDBZLFksLEVVUik=&amp;WINDOW=FIRST_POPUP&amp;HEIGHT=450&amp;WIDTH=","450&amp;START_MAXIMIZED=FALSE&amp;VAR:CALENDAR=FIVEDAY&amp;VAR:SYMBOL=088470&amp;VAR:INDEX=0"}</definedName>
    <definedName name="_971__FDSAUDITLINK__" hidden="1">{"fdsup://directions/FAT Viewer?action=UPDATE&amp;creator=factset&amp;DYN_ARGS=TRUE&amp;DOC_NAME=FAT:FQL_AUDITING_CLIENT_TEMPLATE.FAT&amp;display_string=Audit&amp;VAR:KEY=JWZORGFAXC&amp;VAR:QUERY=RkZfREVCVF9MVChBTk4sLTVZLDBZLFksLEVVUik=&amp;WINDOW=FIRST_POPUP&amp;HEIGHT=450&amp;WIDTH=450&amp;STAR","T_MAXIMIZED=FALSE&amp;VAR:CALENDAR=FIVEDAY&amp;VAR:SYMBOL=088470&amp;VAR:INDEX=1"}</definedName>
    <definedName name="_972__FDSAUDITLINK__" hidden="1">{"fdsup://Directions/FactSet Auditing Viewer?action=AUDIT_VALUE&amp;DB=129&amp;ID1=066168&amp;VALUEID=01006&amp;SDATE=2008&amp;PERIODTYPE=ANN_STD&amp;window=popup_no_bar&amp;width=385&amp;height=120&amp;START_MAXIMIZED=FALSE&amp;creator=factset&amp;display_string=Audit"}</definedName>
    <definedName name="_973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974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975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976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5"}</definedName>
    <definedName name="_978__FDSAUDITLINK__" hidden="1">{"fdsup://Directions/FactSet Auditing Viewer?action=AUDIT_VALUE&amp;DB=129&amp;ID1=088470&amp;VALUEID=05194&amp;SDATE=201001&amp;PERIODTYPE=SEMI_STD&amp;window=popup_no_bar&amp;width=385&amp;height=120&amp;START_MAXIMIZED=FALSE&amp;creator=factset&amp;display_string=Audit"}</definedName>
    <definedName name="_979__FDSAUDITLINK__" hidden="1">{"fdsup://directions/FAT Viewer?action=UPDATE&amp;creator=factset&amp;DYN_ARGS=TRUE&amp;DOC_NAME=FAT:FQL_AUDITING_CLIENT_TEMPLATE.FAT&amp;display_string=Audit&amp;VAR:KEY=HQLEDQNOXI&amp;VAR:QUERY=KEZGX0VOVFJQUl9WQUxfREFJTFkoMCwsLCxFVVIsJ0RJTCcpLy9GRV9FU1RJTUFURSgnRUJJVCcsJ01FQU4nL","CdDQUxBJywnMjAxMycsMCwsLCcsQ1VSUkVOQ1k9RVVSLCcpKQ==&amp;WINDOW=FIRST_POPUP&amp;HEIGHT=450&amp;WIDTH=450&amp;START_MAXIMIZED=FALSE&amp;VAR:CALENDAR=US&amp;VAR:SYMBOL=0&amp;VAR:INDEX=0"}</definedName>
    <definedName name="_980__FDSAUDITLINK__" hidden="1">{"fdsup://Directions/FactSet Auditing Viewer?action=AUDIT_VALUE&amp;DB=129&amp;ID1=088470&amp;VALUEID=01001&amp;SDATE=2009&amp;PERIODTYPE=ANN_STD&amp;window=popup_no_bar&amp;width=385&amp;height=120&amp;START_MAXIMIZED=FALSE&amp;creator=factset&amp;display_string=Audit"}</definedName>
    <definedName name="_981__FDSAUDITLINK__" hidden="1">{"fdsup://directions/FAT Viewer?action=UPDATE&amp;creator=factset&amp;DYN_ARGS=TRUE&amp;DOC_NAME=FAT:FQL_AUDITING_CLIENT_TEMPLATE.FAT&amp;display_string=Audit&amp;VAR:KEY=VYRIZGBIFG&amp;VAR:QUERY=RkZfSU5UX0lOQ19ORVQoQU5OLC01WSwwWSxZLCxFVVIp&amp;WINDOW=FIRST_POPUP&amp;HEIGHT=450&amp;WIDTH=450&amp;","START_MAXIMIZED=FALSE&amp;VAR:CALENDAR=FIVEDAY&amp;VAR:SYMBOL=088470&amp;VAR:INDEX=4"}</definedName>
    <definedName name="_982__FDSAUDITLINK__" hidden="1">{"fdsup://Directions/FactSet Auditing Viewer?action=AUDIT_VALUE&amp;DB=129&amp;ID1=088470&amp;VALUEID=04890&amp;SDATE=2007&amp;PERIODTYPE=ANN_STD&amp;window=popup_no_bar&amp;width=385&amp;height=120&amp;START_MAXIMIZED=FALSE&amp;creator=factset&amp;display_string=Audit"}</definedName>
    <definedName name="_983__FDSAUDITLINK__" hidden="1">{"fdsup://Directions/FactSet Auditing Viewer?action=AUDIT_VALUE&amp;DB=129&amp;ID1=066168&amp;VALUEID=01006&amp;SDATE=2007&amp;PERIODTYPE=ANN_STD&amp;window=popup_no_bar&amp;width=385&amp;height=120&amp;START_MAXIMIZED=FALSE&amp;creator=factset&amp;display_string=Audit"}</definedName>
    <definedName name="_984__FDSAUDITLINK__" hidden="1">{"fdsup://directions/FAT Viewer?action=UPDATE&amp;creator=factset&amp;DYN_ARGS=TRUE&amp;DOC_NAME=FAT:FQL_AUDITING_CLIENT_TEMPLATE.FAT&amp;display_string=Audit&amp;VAR:KEY=JWHSVSFMJG&amp;VAR:QUERY=RkZfRUJJVF9JQihBTk4sLTFBWSwwRCxXLCxFVVIp&amp;WINDOW=FIRST_POPUP&amp;HEIGHT=450&amp;WIDTH=450&amp;STAR","T_MAXIMIZED=FALSE&amp;VAR:CALENDAR=FIVEDAY&amp;VAR:SYMBOL=088470&amp;VAR:INDEX=15"}</definedName>
    <definedName name="_985__FDSAUDITLINK__" hidden="1">{"fdsup://directions/FAT Viewer?action=UPDATE&amp;creator=factset&amp;DYN_ARGS=TRUE&amp;DOC_NAME=FAT:FQL_AUDITING_CLIENT_TEMPLATE.FAT&amp;display_string=Audit&amp;VAR:KEY=VYRIZGBIFG&amp;VAR:QUERY=RkZfSU5UX0lOQ19ORVQoQU5OLC01WSwwWSxZLCxFVVIp&amp;WINDOW=FIRST_POPUP&amp;HEIGHT=450&amp;WIDTH=450&amp;","START_MAXIMIZED=FALSE&amp;VAR:CALENDAR=FIVEDAY&amp;VAR:SYMBOL=088470&amp;VAR:INDEX=5"}</definedName>
    <definedName name="_986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5"}</definedName>
    <definedName name="_987__FDSAUDITLINK__" hidden="1">{"fdsup://directions/FAT Viewer?action=UPDATE&amp;creator=factset&amp;DYN_ARGS=TRUE&amp;DOC_NAME=FAT:FQL_AUDITING_CLIENT_TEMPLATE.FAT&amp;display_string=Audit&amp;VAR:KEY=DWBQPIHCJW&amp;VAR:QUERY=RkZfT1BFUl9DRihBTk4sLTVZLDBZLFksLEVVUik=&amp;WINDOW=FIRST_POPUP&amp;HEIGHT=450&amp;WIDTH=450&amp;STAR","T_MAXIMIZED=FALSE&amp;VAR:CALENDAR=FIVEDAY&amp;VAR:SYMBOL=088470&amp;VAR:INDEX=4"}</definedName>
    <definedName name="_989__FDSAUDITLINK__" hidden="1">{"fdsup://Directions/FactSet Auditing Viewer?action=AUDIT_VALUE&amp;DB=129&amp;ID1=088470&amp;VALUEID=04870&amp;SDATE=2009&amp;PERIODTYPE=ANN_STD&amp;window=popup_no_bar&amp;width=385&amp;height=120&amp;START_MAXIMIZED=FALSE&amp;creator=factset&amp;display_string=Audit"}</definedName>
    <definedName name="_990__FDSAUDITLINK__" hidden="1">{"fdsup://Directions/FactSet Auditing Viewer?action=AUDIT_VALUE&amp;DB=129&amp;ID1=066168&amp;VALUEID=01081&amp;SDATE=2009&amp;PERIODTYPE=ANN_STD&amp;window=popup_no_bar&amp;width=385&amp;height=120&amp;START_MAXIMIZED=FALSE&amp;creator=factset&amp;display_string=Audit"}</definedName>
    <definedName name="_996__FDSAUDITLINK__" hidden="1">{"fdsup://directions/FAT Viewer?action=UPDATE&amp;creator=factset&amp;DYN_ARGS=TRUE&amp;DOC_NAME=FAT:FQL_AUDITING_CLIENT_TEMPLATE.FAT&amp;display_string=Audit&amp;VAR:KEY=BEFCNQPYJS&amp;VAR:QUERY=KEZGX0VOVFJQUl9WQUxfREFJTFkoMCwsLCxFVVIsJ0RJTCcpLy9GRV9FU1RJTUFURSgnRUJJVERBJywnTUVBT","icsJ0NBTEEnLCcyMDEzJywwLCwsJyxDVVJSRU5DWT1FVVIsJykp&amp;WINDOW=FIRST_POPUP&amp;HEIGHT=450&amp;WIDTH=450&amp;START_MAXIMIZED=FALSE&amp;VAR:CALENDAR=US&amp;VAR:SYMBOL=0&amp;VAR:INDEX=0"}</definedName>
    <definedName name="_997__FDSAUDITLINK__" hidden="1">{"fdsup://directions/FAT Viewer?action=UPDATE&amp;creator=factset&amp;DYN_ARGS=TRUE&amp;DOC_NAME=FAT:FQL_AUDITING_CLIENT_TEMPLATE.FAT&amp;display_string=Audit&amp;VAR:KEY=HKNMLCPGPQ&amp;VAR:QUERY=RkZfU0dBKEFOTiwtNVksMFksWSwsRVVSKQ==&amp;WINDOW=FIRST_POPUP&amp;HEIGHT=450&amp;WIDTH=450&amp;START_MA","XIMIZED=FALSE&amp;VAR:CALENDAR=FIVEDAY&amp;VAR:SYMBOL=088470&amp;VAR:INDEX=3"}</definedName>
    <definedName name="_998__FDSAUDITLINK__" hidden="1">{"fdsup://directions/FAT Viewer?action=UPDATE&amp;creator=factset&amp;DYN_ARGS=TRUE&amp;DOC_NAME=FAT:FQL_AUDITING_CLIENT_TEMPLATE.FAT&amp;display_string=Audit&amp;VAR:KEY=ZUFATUHKJE&amp;VAR:QUERY=RkZfRVBTX0RJTF9CRUZfVU5VU1VBTChBTk4sLTVZLDBZLFksLEVVUik=&amp;WINDOW=FIRST_POPUP&amp;HEIGHT=45","0&amp;WIDTH=450&amp;START_MAXIMIZED=FALSE&amp;VAR:CALENDAR=FIVEDAY&amp;VAR:SYMBOL=088470&amp;VAR:INDEX=3"}</definedName>
    <definedName name="_999__FDSAUDITLINK__" hidden="1">{"fdsup://Directions/FactSet Auditing Viewer?action=AUDIT_VALUE&amp;DB=129&amp;ID1=088470&amp;VALUEID=03426&amp;SDATE=201001&amp;PERIODTYPE=SEMI_STD&amp;window=popup_no_bar&amp;width=385&amp;height=120&amp;START_MAXIMIZED=FALSE&amp;creator=factset&amp;display_string=Audit"}</definedName>
    <definedName name="_bdm.bb434c19d7d6401a8e93811cbf9b7399.edm" hidden="1">'Help Sheet'!$1:$1048576</definedName>
    <definedName name="_bdm.e11fd24a37524b2aa967145016eb88ac.edm" localSheetId="44" hidden="1">'Help Sheet'!$C$55</definedName>
    <definedName name="_xlnm._FilterDatabase" localSheetId="4" hidden="1">'DCS Detail'!$A$13:$N$72</definedName>
    <definedName name="ADR_Price">[1]Ownership!$E$1</definedName>
    <definedName name="Benchmark">[1]Controls!$C$7</definedName>
    <definedName name="Benchmark_Name">[1]Controls!$E$7</definedName>
    <definedName name="benchmark100_array_size">OFFSET([1]Prices!$N$7,,,COUNTA([1]Prices!$N$7:$N$997))</definedName>
    <definedName name="benchmarkTARGET_array_size">OFFSET([1]Prices!$J$7,,,COUNTA([1]Prices!$J$7:$J$997))</definedName>
    <definedName name="BONDCOMP_RWIdentifier">#REF!</definedName>
    <definedName name="BrokerNames">OFFSET('[1]Targets and Ratings'!$C$42,,,COUNTA('[1]Targets and Ratings'!$C$42:$C$98))</definedName>
    <definedName name="BrokerTargetPrice">OFFSET('[1]Targets and Ratings'!$D$42,,,COUNT('[1]Targets and Ratings'!$D$42:$D$98))</definedName>
    <definedName name="Buy_Over">OFFSET('[1]Targets and Ratings'!$R$42,,,COUNTA('[1]Targets and Ratings'!$R$42:$R$98))</definedName>
    <definedName name="CAL">'[1]Targets and Ratings'!$W$4</definedName>
    <definedName name="Calendar_Yr">[1]Controls!$F$9</definedName>
    <definedName name="Company_Name">[1]Controls!$E$6</definedName>
    <definedName name="COMPETITORS_RWIdentifier" localSheetId="2">Comps!$H$2</definedName>
    <definedName name="COMPREHENSIVE_COMPANY_RWIdentifier">[1]Controls!$C$6</definedName>
    <definedName name="CPYATGLANCEFF_RWIdentifier" localSheetId="1">'At a Glance'!$G$2</definedName>
    <definedName name="Curr">#REF!</definedName>
    <definedName name="Currency">[1]Controls!$C$43</definedName>
    <definedName name="Current_Price">[1]Overview!$C$24</definedName>
    <definedName name="custED">[1]Controls!$F$12</definedName>
    <definedName name="custSD">[1]Controls!$F$11</definedName>
    <definedName name="DATE">OFFSET(#REF!,0,0,COUNTA(#REF!),1)</definedName>
    <definedName name="Date_array_size">OFFSET([1]Prices!$B$7,,,COUNTA([1]Prices!$B$7:$B$997))</definedName>
    <definedName name="DESCRIPT_RWIdentifier">#REF!</definedName>
    <definedName name="ED">[1]Controls!$C$12</definedName>
    <definedName name="EDGAR_RWIdentifier" localSheetId="57">#REF!</definedName>
    <definedName name="EDGAR_RWIdentifier" localSheetId="58">#REF!</definedName>
    <definedName name="EDGAR_RWIdentifier" localSheetId="59">#REF!</definedName>
    <definedName name="EDGAR_RWIdentifier">#REF!</definedName>
    <definedName name="ErrorCheck" localSheetId="57">#REF!</definedName>
    <definedName name="ErrorCheck" localSheetId="58">#REF!</definedName>
    <definedName name="ErrorCheck" localSheetId="59">#REF!</definedName>
    <definedName name="ErrorCheck">#REF!</definedName>
    <definedName name="EV_Dates">OFFSET([1]EV!$B$9,,,COUNTA([1]EV!$B$9:$B$1000))</definedName>
    <definedName name="EV_EBIT">OFFSET([1]EV!$I$9,,,COUNTA([1]EV!$I$9:$I$1000))</definedName>
    <definedName name="EV_EBIT_FY1">OFFSET([1]EV!$J$9,,,COUNTA([1]EV!$J$9:$J$1000))</definedName>
    <definedName name="EV_EBIT_FY2">OFFSET([1]EV!$K$9,,,COUNTA([1]EV!$K$9:$K$1000))</definedName>
    <definedName name="EV_EBIT_FY3">OFFSET([1]EV!$L$9,,,COUNTA([1]EV!$L$9:$L$1000))</definedName>
    <definedName name="EV_EBITDA">OFFSET([1]EV!$N$9,,,COUNTA([1]EV!$N$9:$N$1000))</definedName>
    <definedName name="EV_EBITDA_FY1">OFFSET([1]EV!$O$9,,,COUNTA([1]EV!$O$9:$O$1000))</definedName>
    <definedName name="EV_EBITDA_FY2">OFFSET([1]EV!$P$9,,,COUNTA([1]EV!$P$9:$P$1000))</definedName>
    <definedName name="EV_EBITDA_FY3">OFFSET([1]EV!$Q$9,,,COUNTA([1]EV!$Q$9:$Q$1000))</definedName>
    <definedName name="EV_Sales">OFFSET([1]EV!$D$9,,,COUNTA([1]EV!$D$9:$D$1000))</definedName>
    <definedName name="EV_Sales_FY1">OFFSET([1]EV!$E$9,,,COUNTA([1]EV!$E$9:$E$1000))</definedName>
    <definedName name="EV_Sales_FY2">OFFSET([1]EV!$F$9,,,COUNTA([1]EV!$F$9:$F$1000))</definedName>
    <definedName name="EV_Sales_FY3">OFFSET([1]EV!$G$9,,,COUNTA([1]EV!$G$9:$G$1000))</definedName>
    <definedName name="FirstEdgarCell" localSheetId="57">#REF!</definedName>
    <definedName name="FirstEdgarCell" localSheetId="58">#REF!</definedName>
    <definedName name="FirstEdgarCell" localSheetId="59">#REF!</definedName>
    <definedName name="FirstEdgarCell">#REF!</definedName>
    <definedName name="FV">[1]Overview!$C$33</definedName>
    <definedName name="Hold">OFFSET('[1]Targets and Ratings'!$T$42,,,COUNTA('[1]Targets and Ratings'!$T$42:$T$98))</definedName>
    <definedName name="Id">#REF!</definedName>
    <definedName name="Identifier" localSheetId="1">'At a Glance'!$G$2</definedName>
    <definedName name="Identifier" localSheetId="2">Comps!$H$2</definedName>
    <definedName name="Identifier" localSheetId="57">#REF!</definedName>
    <definedName name="Identifier" localSheetId="58">#REF!</definedName>
    <definedName name="Identifier" localSheetId="3">[1]Controls!$C$6</definedName>
    <definedName name="Identifier" localSheetId="59">#REF!</definedName>
    <definedName name="Identifier" localSheetId="55">[1]Controls!$C$6</definedName>
    <definedName name="Identifier">#REF!</definedName>
    <definedName name="Info">#REF!</definedName>
    <definedName name="IQ_LTM" hidden="1">2000</definedName>
    <definedName name="M_to_MM">'[2]WFM - Wild Oats'!$L$54</definedName>
    <definedName name="outED">[1]Controls!$C$45</definedName>
    <definedName name="outSD">[1]Controls!$C$44</definedName>
    <definedName name="Peers_List">[1]Controls!$B$30</definedName>
    <definedName name="Peers_Name">[1]Controls!#REF!</definedName>
    <definedName name="Peers_Weight">[1]Controls!$C$46</definedName>
    <definedName name="PEERS100_array_size">OFFSET([1]Prices!$M$7,,,COUNTA([1]Prices!$M$7:$M$997))</definedName>
    <definedName name="PEERSTARGET_array_size">OFFSET([1]Prices!$I$7,,,COUNTA([1]Prices!$I$7:$I$997))</definedName>
    <definedName name="Price">OFFSET('[1]Targets and Ratings'!$AC$42,,,COUNTA('[1]Targets and Ratings'!$AC$42:$AC$98))</definedName>
    <definedName name="Price_array_size">OFFSET([1]Prices!$G$7,,,COUNTA([1]Prices!$G$7:$G$997))</definedName>
    <definedName name="price100_array_size">OFFSET([1]Prices!$L$7,,,COUNTA([1]Prices!$L$7:$L$997))</definedName>
    <definedName name="_xlnm.Print_Area" localSheetId="1">'At a Glance'!$A$4:$V$93</definedName>
    <definedName name="_xlnm.Print_Area" localSheetId="2">Comps!$B$1:$O$27</definedName>
    <definedName name="_xlnm.Print_Area" localSheetId="58">'DCF Comps'!$A$2:$L$6</definedName>
    <definedName name="_xlnm.Print_Area" localSheetId="3">Estimates!$A$1:$M$60</definedName>
    <definedName name="_xlnm.Print_Area" localSheetId="59">'Football field'!$B$3:$S$16,'Football field'!$B$20:$S$41</definedName>
    <definedName name="_xlnm.Print_Area" localSheetId="55">Growth!$A$1:$J$29</definedName>
    <definedName name="Rating_Dates">OFFSET('[1]Targets and Ratings'!$L$42,,,COUNTA('[1]Targets and Ratings'!$L$42:$L$98))</definedName>
    <definedName name="Relative" localSheetId="1">'At a Glance'!$J$2</definedName>
    <definedName name="ReportView" localSheetId="57">#REF!</definedName>
    <definedName name="ReportView" localSheetId="58">#REF!</definedName>
    <definedName name="ReportView" localSheetId="59">#REF!</definedName>
    <definedName name="ReportView">#REF!</definedName>
    <definedName name="sales_segment_b">OFFSET([1]Overview!$C$62,,,COUNTA([1]Overview!$C$62:$C$69))</definedName>
    <definedName name="sales_segment_g">OFFSET([1]Overview!$C$78,,,COUNTA([1]Overview!$C$77:$C$81))</definedName>
    <definedName name="SD">[1]Controls!$C$11</definedName>
    <definedName name="Sell_Under">OFFSET('[1]Targets and Ratings'!$V$42,,,COUNTA('[1]Targets and Ratings'!$V$42:$V$98))</definedName>
    <definedName name="Target_Price">OFFSET('[1]Targets and Ratings'!$AD$42,,,COUNTA('[1]Targets and Ratings'!$AD$42:$AD$98))</definedName>
    <definedName name="test" localSheetId="57">#REF!</definedName>
    <definedName name="test" localSheetId="58">#REF!</definedName>
    <definedName name="test" localSheetId="59">#REF!</definedName>
    <definedName name="test">#REF!</definedName>
    <definedName name="Vol_array_size">OFFSET([1]Prices!$C$7,,,COUNTA([1]Prices!$C$7:$C$997))</definedName>
    <definedName name="WACC_Target_Identifier">#REF!</definedName>
    <definedName name="WIN">'[1]Targets and Ratings'!$N$4</definedName>
    <definedName name="WTDACCFF_RWIdentifier">#REF!</definedName>
    <definedName name="XRATE">[1]Controls!$C$47</definedName>
    <definedName name="XRATE1">[1]Controls!$C$48</definedName>
    <definedName name="Year">#REF!</definedName>
    <definedName name="Year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5" i="39" l="1"/>
  <c r="B70" i="39"/>
  <c r="L16" i="43"/>
  <c r="F9" i="39"/>
  <c r="F7" i="39"/>
  <c r="F8" i="39"/>
  <c r="M13" i="34" s="1"/>
  <c r="E5" i="94" a="1"/>
  <c r="E7" i="94" a="1"/>
  <c r="E9" i="94" a="1"/>
  <c r="E6" i="94" a="1"/>
  <c r="E4" i="94" a="1"/>
  <c r="E8" i="94" a="1"/>
  <c r="E9" i="94" l="1"/>
  <c r="E7" i="94"/>
  <c r="E5" i="94"/>
  <c r="E8" i="94"/>
  <c r="E6" i="94"/>
  <c r="E4" i="94"/>
  <c r="B4" i="93" l="1"/>
  <c r="I4" i="93"/>
  <c r="I3" i="93"/>
  <c r="C4" i="93"/>
  <c r="D4" i="93"/>
  <c r="E4" i="93"/>
  <c r="B25" i="39"/>
  <c r="F81" i="39"/>
  <c r="F18" i="39"/>
  <c r="H43" i="91"/>
  <c r="H44" i="91"/>
  <c r="G44" i="91"/>
  <c r="F44" i="91"/>
  <c r="E44" i="91"/>
  <c r="D44" i="91"/>
  <c r="Q17" i="43"/>
  <c r="Q18" i="43"/>
  <c r="Q19" i="43"/>
  <c r="Q20" i="43"/>
  <c r="Q21" i="43"/>
  <c r="Q22" i="43"/>
  <c r="Q23" i="43"/>
  <c r="Q24" i="43"/>
  <c r="Q25" i="43"/>
  <c r="Q26" i="43"/>
  <c r="Q27" i="43"/>
  <c r="Q28" i="43"/>
  <c r="Q29" i="43"/>
  <c r="Q30" i="43"/>
  <c r="Q31" i="43"/>
  <c r="Q32" i="43"/>
  <c r="Q33" i="43"/>
  <c r="Q34" i="43"/>
  <c r="Q35" i="43"/>
  <c r="Q36" i="43"/>
  <c r="Q37" i="43"/>
  <c r="Q38" i="43"/>
  <c r="Q39" i="43"/>
  <c r="Q40" i="43"/>
  <c r="Q41" i="43"/>
  <c r="Q42" i="43"/>
  <c r="Q43" i="43"/>
  <c r="Q44" i="43"/>
  <c r="Q45" i="43"/>
  <c r="Q46" i="43"/>
  <c r="Q47" i="43"/>
  <c r="Q48" i="43"/>
  <c r="Q49" i="43"/>
  <c r="Q50" i="43"/>
  <c r="Q51" i="43"/>
  <c r="Q52" i="43"/>
  <c r="Q53" i="43"/>
  <c r="Q54" i="43"/>
  <c r="Q55" i="43"/>
  <c r="Q56" i="43"/>
  <c r="Q57" i="43"/>
  <c r="Q58" i="43"/>
  <c r="Q59" i="43"/>
  <c r="Q16" i="43"/>
  <c r="O7" i="43"/>
  <c r="O6" i="43"/>
  <c r="O14" i="43"/>
  <c r="O13" i="43"/>
  <c r="L12" i="43"/>
  <c r="Q13" i="34"/>
  <c r="L45" i="43"/>
  <c r="K45" i="43" s="1"/>
  <c r="O45" i="43" s="1"/>
  <c r="L46" i="43"/>
  <c r="K46" i="43" s="1"/>
  <c r="O46" i="43" s="1"/>
  <c r="L47" i="43"/>
  <c r="K47" i="43" s="1"/>
  <c r="O47" i="43" s="1"/>
  <c r="L48" i="43"/>
  <c r="K48" i="43" s="1"/>
  <c r="O48" i="43" s="1"/>
  <c r="L49" i="43"/>
  <c r="K49" i="43" s="1"/>
  <c r="O49" i="43" s="1"/>
  <c r="L50" i="43"/>
  <c r="K50" i="43" s="1"/>
  <c r="O50" i="43" s="1"/>
  <c r="L51" i="43"/>
  <c r="K51" i="43" s="1"/>
  <c r="O51" i="43" s="1"/>
  <c r="L52" i="43"/>
  <c r="K52" i="43" s="1"/>
  <c r="O52" i="43" s="1"/>
  <c r="L53" i="43"/>
  <c r="K53" i="43" s="1"/>
  <c r="O53" i="43" s="1"/>
  <c r="L54" i="43"/>
  <c r="K54" i="43" s="1"/>
  <c r="O54" i="43" s="1"/>
  <c r="L55" i="43"/>
  <c r="K55" i="43" s="1"/>
  <c r="O55" i="43" s="1"/>
  <c r="L56" i="43"/>
  <c r="K56" i="43" s="1"/>
  <c r="O56" i="43" s="1"/>
  <c r="L57" i="43"/>
  <c r="K57" i="43" s="1"/>
  <c r="O57" i="43" s="1"/>
  <c r="L58" i="43"/>
  <c r="K58" i="43" s="1"/>
  <c r="O58" i="43" s="1"/>
  <c r="L59" i="43"/>
  <c r="K59" i="43" s="1"/>
  <c r="O59" i="43" s="1"/>
  <c r="L44" i="43"/>
  <c r="P16" i="43"/>
  <c r="L17" i="43"/>
  <c r="R17" i="43" s="1"/>
  <c r="L18" i="43"/>
  <c r="K18" i="43" s="1"/>
  <c r="L19" i="43"/>
  <c r="K19" i="43" s="1"/>
  <c r="L20" i="43"/>
  <c r="K20" i="43" s="1"/>
  <c r="L21" i="43"/>
  <c r="K21" i="43" s="1"/>
  <c r="L22" i="43"/>
  <c r="K22" i="43" s="1"/>
  <c r="L23" i="43"/>
  <c r="R23" i="43" s="1"/>
  <c r="L24" i="43"/>
  <c r="R24" i="43" s="1"/>
  <c r="L25" i="43"/>
  <c r="K25" i="43" s="1"/>
  <c r="L26" i="43"/>
  <c r="K26" i="43" s="1"/>
  <c r="L27" i="43"/>
  <c r="K27" i="43" s="1"/>
  <c r="L28" i="43"/>
  <c r="K28" i="43" s="1"/>
  <c r="L29" i="43"/>
  <c r="L30" i="43"/>
  <c r="K30" i="43" s="1"/>
  <c r="L31" i="43"/>
  <c r="K31" i="43" s="1"/>
  <c r="L32" i="43"/>
  <c r="K32" i="43" s="1"/>
  <c r="L33" i="43"/>
  <c r="K33" i="43" s="1"/>
  <c r="L34" i="43"/>
  <c r="K34" i="43" s="1"/>
  <c r="P10" i="43"/>
  <c r="P12" i="43"/>
  <c r="P17" i="43"/>
  <c r="P18" i="43"/>
  <c r="P19" i="43"/>
  <c r="P20" i="43"/>
  <c r="P21" i="43"/>
  <c r="P22" i="43"/>
  <c r="P23" i="43"/>
  <c r="P24" i="43"/>
  <c r="P25" i="43"/>
  <c r="P26" i="43"/>
  <c r="P27" i="43"/>
  <c r="P28" i="43"/>
  <c r="P29" i="43"/>
  <c r="P30" i="43"/>
  <c r="P31" i="43"/>
  <c r="P32" i="43"/>
  <c r="P33" i="43"/>
  <c r="P34" i="43"/>
  <c r="P35" i="43"/>
  <c r="P36" i="43"/>
  <c r="P37" i="43"/>
  <c r="P38" i="43"/>
  <c r="P39" i="43"/>
  <c r="P40" i="43"/>
  <c r="P41" i="43"/>
  <c r="P42" i="43"/>
  <c r="P43" i="43"/>
  <c r="P44" i="43"/>
  <c r="P45" i="43"/>
  <c r="P46" i="43"/>
  <c r="P47" i="43"/>
  <c r="P48" i="43"/>
  <c r="P49" i="43"/>
  <c r="P50" i="43"/>
  <c r="P51" i="43"/>
  <c r="P52" i="43"/>
  <c r="P53" i="43"/>
  <c r="P54" i="43"/>
  <c r="P55" i="43"/>
  <c r="P56" i="43"/>
  <c r="P57" i="43"/>
  <c r="P58" i="43"/>
  <c r="P59" i="43"/>
  <c r="O11" i="43"/>
  <c r="O12" i="43"/>
  <c r="O35" i="43"/>
  <c r="O36" i="43"/>
  <c r="O37" i="43"/>
  <c r="O38" i="43"/>
  <c r="O39" i="43"/>
  <c r="O40" i="43"/>
  <c r="O41" i="43"/>
  <c r="O42" i="43"/>
  <c r="O43" i="43"/>
  <c r="B31" i="39"/>
  <c r="B9" i="39"/>
  <c r="A25" i="91"/>
  <c r="A23" i="91"/>
  <c r="A24" i="91"/>
  <c r="A22" i="91"/>
  <c r="A21" i="91"/>
  <c r="A37" i="91"/>
  <c r="A36" i="91"/>
  <c r="A35" i="91"/>
  <c r="A33" i="91"/>
  <c r="A34" i="91"/>
  <c r="A32" i="91"/>
  <c r="D13" i="91"/>
  <c r="D33" i="91" s="1"/>
  <c r="H42" i="6"/>
  <c r="G42" i="6"/>
  <c r="F42" i="6"/>
  <c r="E42" i="6"/>
  <c r="D42" i="6"/>
  <c r="C42" i="6"/>
  <c r="C11" i="91"/>
  <c r="C31" i="91" s="1"/>
  <c r="D11" i="91"/>
  <c r="D31" i="91" s="1"/>
  <c r="E11" i="91"/>
  <c r="E31" i="91" s="1"/>
  <c r="F11" i="91"/>
  <c r="F31" i="91" s="1"/>
  <c r="G11" i="91"/>
  <c r="G31" i="91" s="1"/>
  <c r="H11" i="91"/>
  <c r="H31" i="91" s="1"/>
  <c r="B11" i="91"/>
  <c r="B31" i="91" s="1"/>
  <c r="D8" i="91"/>
  <c r="D25" i="91" s="1"/>
  <c r="G24" i="33"/>
  <c r="E10" i="33"/>
  <c r="K24" i="33"/>
  <c r="J24" i="33"/>
  <c r="I24" i="33"/>
  <c r="H24" i="33"/>
  <c r="F24" i="33"/>
  <c r="E24" i="33"/>
  <c r="D24" i="33"/>
  <c r="C24" i="33"/>
  <c r="N51" i="34"/>
  <c r="N58" i="34"/>
  <c r="M30" i="34"/>
  <c r="I39" i="32"/>
  <c r="O26" i="34"/>
  <c r="M26" i="34"/>
  <c r="N21" i="34"/>
  <c r="E13" i="91" s="1"/>
  <c r="E33" i="91" s="1"/>
  <c r="K16" i="43" l="1"/>
  <c r="O16" i="43" s="1"/>
  <c r="O66" i="43" s="1"/>
  <c r="O68" i="43" s="1"/>
  <c r="R16" i="43"/>
  <c r="R18" i="43"/>
  <c r="R19" i="43"/>
  <c r="O21" i="34"/>
  <c r="K44" i="43"/>
  <c r="O44" i="43" s="1"/>
  <c r="O27" i="43"/>
  <c r="O26" i="43"/>
  <c r="O25" i="43"/>
  <c r="K24" i="43"/>
  <c r="O24" i="43" s="1"/>
  <c r="K23" i="43"/>
  <c r="O23" i="43" s="1"/>
  <c r="O34" i="43"/>
  <c r="O22" i="43"/>
  <c r="O28" i="43"/>
  <c r="O33" i="43"/>
  <c r="O32" i="43"/>
  <c r="O20" i="43"/>
  <c r="O31" i="43"/>
  <c r="O30" i="43"/>
  <c r="O18" i="43"/>
  <c r="K29" i="43"/>
  <c r="O29" i="43" s="1"/>
  <c r="K17" i="43"/>
  <c r="O17" i="43" s="1"/>
  <c r="O19" i="43"/>
  <c r="O21" i="43"/>
  <c r="M9" i="34"/>
  <c r="I5" i="89"/>
  <c r="I6" i="89"/>
  <c r="I7" i="89"/>
  <c r="I8" i="89"/>
  <c r="I9" i="89"/>
  <c r="I10" i="89"/>
  <c r="I11" i="89"/>
  <c r="I12" i="89"/>
  <c r="I13" i="89"/>
  <c r="I14" i="89"/>
  <c r="I15" i="89"/>
  <c r="I16" i="89"/>
  <c r="I17" i="89"/>
  <c r="I18" i="89"/>
  <c r="I19" i="89"/>
  <c r="I20" i="89"/>
  <c r="I21" i="89"/>
  <c r="I22" i="89"/>
  <c r="L26" i="33" s="1"/>
  <c r="I23" i="89"/>
  <c r="I24" i="89"/>
  <c r="I25" i="89"/>
  <c r="I26" i="89"/>
  <c r="I27" i="89"/>
  <c r="I28" i="89"/>
  <c r="I4" i="89"/>
  <c r="G5" i="89"/>
  <c r="G6" i="89"/>
  <c r="G7" i="89"/>
  <c r="G8" i="89"/>
  <c r="G9" i="89"/>
  <c r="G10" i="89"/>
  <c r="G11" i="89"/>
  <c r="G12" i="89"/>
  <c r="G13" i="89"/>
  <c r="G14" i="89"/>
  <c r="G15" i="89"/>
  <c r="G16" i="89"/>
  <c r="G17" i="89"/>
  <c r="G18" i="89"/>
  <c r="G19" i="89"/>
  <c r="G20" i="89"/>
  <c r="G21" i="89"/>
  <c r="G22" i="89"/>
  <c r="G23" i="89"/>
  <c r="G24" i="89"/>
  <c r="G25" i="89"/>
  <c r="G26" i="89"/>
  <c r="G27" i="89"/>
  <c r="G28" i="89"/>
  <c r="G4" i="89"/>
  <c r="E5" i="89"/>
  <c r="E6" i="89"/>
  <c r="E7" i="89"/>
  <c r="E8" i="89"/>
  <c r="E9" i="89"/>
  <c r="E10" i="89"/>
  <c r="E11" i="89"/>
  <c r="E12" i="89"/>
  <c r="E13" i="89"/>
  <c r="E14" i="89"/>
  <c r="E15" i="89"/>
  <c r="E16" i="89"/>
  <c r="E17" i="89"/>
  <c r="E18" i="89"/>
  <c r="E19" i="89"/>
  <c r="E20" i="89"/>
  <c r="E21" i="89"/>
  <c r="E22" i="89"/>
  <c r="E23" i="89"/>
  <c r="E24" i="89"/>
  <c r="E25" i="89"/>
  <c r="E26" i="89"/>
  <c r="E27" i="89"/>
  <c r="E28" i="89"/>
  <c r="E4" i="89"/>
  <c r="C8" i="89"/>
  <c r="C9" i="89"/>
  <c r="C10" i="89"/>
  <c r="C11" i="89"/>
  <c r="C12" i="89"/>
  <c r="C13" i="89"/>
  <c r="C14" i="89"/>
  <c r="C15" i="89"/>
  <c r="C16" i="89"/>
  <c r="C17" i="89"/>
  <c r="C18" i="89"/>
  <c r="C19" i="89"/>
  <c r="C20" i="89"/>
  <c r="C21" i="89"/>
  <c r="C22" i="89"/>
  <c r="L27" i="33" s="1"/>
  <c r="C23" i="89"/>
  <c r="C24" i="89"/>
  <c r="C25" i="89"/>
  <c r="C26" i="89"/>
  <c r="C27" i="89"/>
  <c r="C28" i="89"/>
  <c r="C7" i="89"/>
  <c r="D61" i="34" a="1"/>
  <c r="C61" i="34" a="1"/>
  <c r="E41" i="34" a="1"/>
  <c r="F61" i="34" a="1"/>
  <c r="E61" i="34" a="1"/>
  <c r="C41" i="34" a="1"/>
  <c r="F41" i="34" a="1"/>
  <c r="D41" i="34" a="1"/>
  <c r="O65" i="43" l="1"/>
  <c r="O67" i="43" s="1"/>
  <c r="O69" i="43" s="1"/>
  <c r="M27" i="33"/>
  <c r="N27" i="33" s="1"/>
  <c r="O27" i="33" s="1"/>
  <c r="P27" i="33" s="1"/>
  <c r="Q27" i="33" s="1"/>
  <c r="M26" i="33"/>
  <c r="L25" i="33"/>
  <c r="L24" i="33" s="1"/>
  <c r="F7" i="33" s="1"/>
  <c r="P21" i="34"/>
  <c r="F13" i="91"/>
  <c r="F33" i="91" s="1"/>
  <c r="F61" i="34"/>
  <c r="D61" i="34"/>
  <c r="E41" i="34"/>
  <c r="C41" i="34"/>
  <c r="E61" i="34"/>
  <c r="C61" i="34"/>
  <c r="F41" i="34"/>
  <c r="D41" i="34"/>
  <c r="B14" i="39" l="1"/>
  <c r="M6" i="34"/>
  <c r="Q21" i="34"/>
  <c r="H13" i="91" s="1"/>
  <c r="H33" i="91" s="1"/>
  <c r="G13" i="91"/>
  <c r="G33" i="91" s="1"/>
  <c r="M25" i="33"/>
  <c r="M24" i="33" s="1"/>
  <c r="G7" i="33" s="1"/>
  <c r="N26" i="33"/>
  <c r="M42" i="34"/>
  <c r="D6" i="87"/>
  <c r="I6" i="87"/>
  <c r="F6" i="87"/>
  <c r="E6" i="87"/>
  <c r="G6" i="87"/>
  <c r="C6" i="87"/>
  <c r="K6" i="87"/>
  <c r="H6" i="87"/>
  <c r="J6" i="87"/>
  <c r="B44" i="39" l="1"/>
  <c r="N25" i="33"/>
  <c r="N24" i="33" s="1"/>
  <c r="O26" i="33"/>
  <c r="N6" i="34"/>
  <c r="C16" i="88"/>
  <c r="C29" i="88" s="1"/>
  <c r="O25" i="33" l="1"/>
  <c r="O24" i="33" s="1"/>
  <c r="P26" i="33"/>
  <c r="H7" i="33"/>
  <c r="O6" i="34"/>
  <c r="B2" i="88"/>
  <c r="A35" i="88"/>
  <c r="A34" i="88"/>
  <c r="A33" i="88"/>
  <c r="A32" i="88"/>
  <c r="A31" i="88"/>
  <c r="A30" i="88"/>
  <c r="A29" i="88"/>
  <c r="A28" i="88"/>
  <c r="A27" i="88"/>
  <c r="A26" i="88"/>
  <c r="A46" i="88" s="1"/>
  <c r="A25" i="88"/>
  <c r="A45" i="88" s="1"/>
  <c r="A24" i="88"/>
  <c r="A44" i="88" s="1"/>
  <c r="A23" i="88"/>
  <c r="A22" i="88"/>
  <c r="A21" i="88"/>
  <c r="A20" i="88"/>
  <c r="A19" i="88"/>
  <c r="A18" i="88"/>
  <c r="A17" i="88"/>
  <c r="A14" i="88"/>
  <c r="A13" i="88"/>
  <c r="A12" i="88"/>
  <c r="A40" i="88" s="1"/>
  <c r="A11" i="88"/>
  <c r="A39" i="88" s="1"/>
  <c r="A10" i="88"/>
  <c r="A38" i="88" s="1"/>
  <c r="A9" i="88"/>
  <c r="A8" i="88"/>
  <c r="A7" i="88"/>
  <c r="A2" i="88"/>
  <c r="A1" i="88"/>
  <c r="D20" i="80"/>
  <c r="E20" i="80"/>
  <c r="F20" i="80"/>
  <c r="G20" i="80"/>
  <c r="H20" i="80"/>
  <c r="I20" i="80"/>
  <c r="J20" i="80"/>
  <c r="K20" i="80"/>
  <c r="L20" i="80"/>
  <c r="C20" i="80"/>
  <c r="D20" i="79"/>
  <c r="E20" i="79"/>
  <c r="F20" i="79"/>
  <c r="G20" i="79"/>
  <c r="H20" i="79"/>
  <c r="I20" i="79"/>
  <c r="J20" i="79"/>
  <c r="K20" i="79"/>
  <c r="L20" i="79"/>
  <c r="C20" i="79"/>
  <c r="D20" i="78"/>
  <c r="E20" i="78"/>
  <c r="F20" i="78"/>
  <c r="G20" i="78"/>
  <c r="H20" i="78"/>
  <c r="I20" i="78"/>
  <c r="J20" i="78"/>
  <c r="K20" i="78"/>
  <c r="L20" i="78"/>
  <c r="C20" i="78"/>
  <c r="D20" i="64"/>
  <c r="E20" i="64"/>
  <c r="F20" i="64"/>
  <c r="G20" i="64"/>
  <c r="H20" i="64"/>
  <c r="I20" i="64"/>
  <c r="J20" i="64"/>
  <c r="K20" i="64"/>
  <c r="L20" i="64"/>
  <c r="C20" i="64"/>
  <c r="C20" i="82"/>
  <c r="D20" i="21"/>
  <c r="K21" i="34" s="1"/>
  <c r="B13" i="91" s="1"/>
  <c r="B33" i="91" s="1"/>
  <c r="E20" i="21"/>
  <c r="F20" i="21"/>
  <c r="I21" i="34" s="1"/>
  <c r="G20" i="21"/>
  <c r="H21" i="34" s="1"/>
  <c r="H20" i="21"/>
  <c r="G21" i="34" s="1"/>
  <c r="I20" i="21"/>
  <c r="J20" i="21"/>
  <c r="K20" i="21"/>
  <c r="L20" i="21"/>
  <c r="C20" i="21"/>
  <c r="D20" i="82"/>
  <c r="E20" i="82"/>
  <c r="F20" i="82"/>
  <c r="G20" i="82"/>
  <c r="H20" i="82"/>
  <c r="I20" i="82"/>
  <c r="J20" i="82"/>
  <c r="K20" i="82"/>
  <c r="L20" i="82"/>
  <c r="C12" i="86"/>
  <c r="D22" i="27" l="1"/>
  <c r="J21" i="34"/>
  <c r="B15" i="27"/>
  <c r="B22" i="27"/>
  <c r="L21" i="34"/>
  <c r="C13" i="91" s="1"/>
  <c r="C33" i="91" s="1"/>
  <c r="Q26" i="33"/>
  <c r="Q25" i="33" s="1"/>
  <c r="P25" i="33"/>
  <c r="P24" i="33" s="1"/>
  <c r="J7" i="33" s="1"/>
  <c r="P6" i="34"/>
  <c r="I7" i="33"/>
  <c r="B2" i="86"/>
  <c r="A33" i="86"/>
  <c r="A31" i="86"/>
  <c r="A30" i="86"/>
  <c r="A28" i="86"/>
  <c r="A27" i="86"/>
  <c r="A26" i="86"/>
  <c r="B25" i="86"/>
  <c r="A25" i="86"/>
  <c r="A24" i="86"/>
  <c r="A23" i="86"/>
  <c r="A22" i="86"/>
  <c r="A21" i="86"/>
  <c r="A19" i="86"/>
  <c r="A18" i="86"/>
  <c r="A17" i="86"/>
  <c r="A16" i="86"/>
  <c r="A15" i="86"/>
  <c r="A14" i="86"/>
  <c r="A13" i="86"/>
  <c r="A10" i="86"/>
  <c r="A9" i="86"/>
  <c r="A8" i="86"/>
  <c r="A7" i="86"/>
  <c r="B6" i="86"/>
  <c r="B5" i="86"/>
  <c r="A2" i="86"/>
  <c r="C12" i="85"/>
  <c r="C22" i="86" a="1"/>
  <c r="C14" i="86" a="1"/>
  <c r="C23" i="86" a="1"/>
  <c r="C26" i="86" a="1"/>
  <c r="C29" i="86" a="1"/>
  <c r="C28" i="86" a="1"/>
  <c r="C17" i="86" a="1"/>
  <c r="C27" i="86" a="1"/>
  <c r="C21" i="86" a="1"/>
  <c r="Q6" i="34" l="1"/>
  <c r="Q24" i="33"/>
  <c r="C14" i="86"/>
  <c r="C29" i="86"/>
  <c r="C28" i="86"/>
  <c r="C27" i="86"/>
  <c r="C26" i="86"/>
  <c r="C23" i="86"/>
  <c r="C22" i="86"/>
  <c r="C21" i="86"/>
  <c r="C17" i="86"/>
  <c r="B1" i="86"/>
  <c r="B2" i="85" l="1"/>
  <c r="A33" i="85"/>
  <c r="A31" i="85"/>
  <c r="A30" i="85"/>
  <c r="A28" i="85"/>
  <c r="A27" i="85"/>
  <c r="A26" i="85"/>
  <c r="B25" i="85"/>
  <c r="A25" i="85"/>
  <c r="A24" i="85"/>
  <c r="A23" i="85"/>
  <c r="A22" i="85"/>
  <c r="A21" i="85"/>
  <c r="A19" i="85"/>
  <c r="A18" i="85"/>
  <c r="A17" i="85"/>
  <c r="A16" i="85"/>
  <c r="A15" i="85"/>
  <c r="A14" i="85"/>
  <c r="A13" i="85"/>
  <c r="A10" i="85"/>
  <c r="A9" i="85"/>
  <c r="A8" i="85"/>
  <c r="A7" i="85"/>
  <c r="B6" i="85"/>
  <c r="B5" i="85"/>
  <c r="A2" i="85"/>
  <c r="C12" i="84"/>
  <c r="C21" i="85" a="1"/>
  <c r="C26" i="85" a="1"/>
  <c r="C14" i="85" a="1"/>
  <c r="C29" i="85" a="1"/>
  <c r="C22" i="85" a="1"/>
  <c r="C28" i="85" a="1"/>
  <c r="C17" i="85" a="1"/>
  <c r="C27" i="85" a="1"/>
  <c r="C23" i="85" a="1"/>
  <c r="C27" i="85" l="1"/>
  <c r="C28" i="85"/>
  <c r="C26" i="85"/>
  <c r="C23" i="85"/>
  <c r="C14" i="85"/>
  <c r="C17" i="85"/>
  <c r="C22" i="85"/>
  <c r="C29" i="85"/>
  <c r="C21" i="85"/>
  <c r="B1" i="85"/>
  <c r="B2" i="84" l="1"/>
  <c r="A33" i="84"/>
  <c r="A31" i="84"/>
  <c r="A30" i="84"/>
  <c r="A28" i="84"/>
  <c r="A27" i="84"/>
  <c r="A26" i="84"/>
  <c r="B25" i="84"/>
  <c r="A25" i="84"/>
  <c r="A24" i="84"/>
  <c r="A23" i="84"/>
  <c r="A22" i="84"/>
  <c r="A21" i="84"/>
  <c r="A19" i="84"/>
  <c r="A18" i="84"/>
  <c r="A17" i="84"/>
  <c r="A16" i="84"/>
  <c r="A15" i="84"/>
  <c r="A14" i="84"/>
  <c r="A13" i="84"/>
  <c r="A10" i="84"/>
  <c r="A9" i="84"/>
  <c r="A8" i="84"/>
  <c r="A7" i="84"/>
  <c r="B6" i="84"/>
  <c r="B5" i="84"/>
  <c r="A2" i="84"/>
  <c r="C12" i="83"/>
  <c r="C22" i="84" a="1"/>
  <c r="C14" i="84" a="1"/>
  <c r="C17" i="84" a="1"/>
  <c r="C23" i="84" a="1"/>
  <c r="C29" i="84" a="1"/>
  <c r="C26" i="84" a="1"/>
  <c r="C21" i="84" a="1"/>
  <c r="C27" i="84" a="1"/>
  <c r="C28" i="84" a="1"/>
  <c r="C28" i="84" l="1"/>
  <c r="C27" i="84"/>
  <c r="C26" i="84"/>
  <c r="C23" i="84"/>
  <c r="C14" i="84"/>
  <c r="C17" i="84"/>
  <c r="C22" i="84"/>
  <c r="C29" i="84"/>
  <c r="C21" i="84"/>
  <c r="B1" i="84"/>
  <c r="B2" i="83"/>
  <c r="A33" i="83"/>
  <c r="A31" i="83"/>
  <c r="A30" i="83"/>
  <c r="A28" i="83"/>
  <c r="A27" i="83"/>
  <c r="A26" i="83"/>
  <c r="B25" i="83"/>
  <c r="A25" i="83"/>
  <c r="A24" i="83"/>
  <c r="A23" i="83"/>
  <c r="A22" i="83"/>
  <c r="A21" i="83"/>
  <c r="A19" i="83"/>
  <c r="A18" i="83"/>
  <c r="A17" i="83"/>
  <c r="A16" i="83"/>
  <c r="A15" i="83"/>
  <c r="A14" i="83"/>
  <c r="A13" i="83"/>
  <c r="A10" i="83"/>
  <c r="A9" i="83"/>
  <c r="A8" i="83"/>
  <c r="A7" i="83"/>
  <c r="B6" i="83"/>
  <c r="B5" i="83"/>
  <c r="A2" i="83"/>
  <c r="C17" i="83" a="1"/>
  <c r="C22" i="83" a="1"/>
  <c r="C23" i="83" a="1"/>
  <c r="C21" i="83" a="1"/>
  <c r="C27" i="83" a="1"/>
  <c r="C26" i="83" a="1"/>
  <c r="C14" i="83" a="1"/>
  <c r="C29" i="83" a="1"/>
  <c r="C28" i="83" a="1"/>
  <c r="C23" i="83" l="1"/>
  <c r="C17" i="83"/>
  <c r="C22" i="83"/>
  <c r="C27" i="83"/>
  <c r="C26" i="83"/>
  <c r="C14" i="83"/>
  <c r="C29" i="83"/>
  <c r="C21" i="83"/>
  <c r="C28" i="83"/>
  <c r="B1" i="83"/>
  <c r="B2" i="81" l="1"/>
  <c r="C21" i="81" a="1"/>
  <c r="C26" i="81" a="1"/>
  <c r="C23" i="81" a="1"/>
  <c r="C14" i="81" a="1"/>
  <c r="C29" i="81" a="1"/>
  <c r="C27" i="81" a="1"/>
  <c r="C22" i="81" a="1"/>
  <c r="C17" i="81" a="1"/>
  <c r="C28" i="81" a="1"/>
  <c r="C22" i="81" l="1"/>
  <c r="C28" i="81"/>
  <c r="C27" i="81"/>
  <c r="C26" i="81"/>
  <c r="C23" i="81"/>
  <c r="C21" i="81"/>
  <c r="C14" i="81"/>
  <c r="C29" i="81"/>
  <c r="C17" i="81"/>
  <c r="C12" i="81"/>
  <c r="B2" i="82" l="1"/>
  <c r="A24" i="82"/>
  <c r="A21" i="82"/>
  <c r="A16" i="82"/>
  <c r="A15" i="82"/>
  <c r="A13" i="82"/>
  <c r="A12" i="82"/>
  <c r="A11" i="82"/>
  <c r="A10" i="82"/>
  <c r="A9" i="82"/>
  <c r="A8" i="82"/>
  <c r="A7" i="82"/>
  <c r="A2" i="82"/>
  <c r="A33" i="81"/>
  <c r="A31" i="81"/>
  <c r="A30" i="81"/>
  <c r="A28" i="81"/>
  <c r="A27" i="81"/>
  <c r="A26" i="81"/>
  <c r="B25" i="81"/>
  <c r="A25" i="81"/>
  <c r="A24" i="81"/>
  <c r="A23" i="81"/>
  <c r="A22" i="81"/>
  <c r="A21" i="81"/>
  <c r="A19" i="81"/>
  <c r="A18" i="81"/>
  <c r="A17" i="81"/>
  <c r="A16" i="81"/>
  <c r="A15" i="81"/>
  <c r="A14" i="81"/>
  <c r="A13" i="81"/>
  <c r="A10" i="81"/>
  <c r="A9" i="81"/>
  <c r="A8" i="81"/>
  <c r="A7" i="81"/>
  <c r="B6" i="81"/>
  <c r="B5" i="81"/>
  <c r="A2" i="81"/>
  <c r="B2" i="80"/>
  <c r="A24" i="80"/>
  <c r="A21" i="80"/>
  <c r="A16" i="80"/>
  <c r="A15" i="80"/>
  <c r="A13" i="80"/>
  <c r="A12" i="80"/>
  <c r="A11" i="80"/>
  <c r="A10" i="80"/>
  <c r="A9" i="80"/>
  <c r="A8" i="80"/>
  <c r="A7" i="80"/>
  <c r="A2" i="80"/>
  <c r="B2" i="79"/>
  <c r="A24" i="79"/>
  <c r="A21" i="79"/>
  <c r="A16" i="79"/>
  <c r="A15" i="79"/>
  <c r="A13" i="79"/>
  <c r="A12" i="79"/>
  <c r="A11" i="79"/>
  <c r="A10" i="79"/>
  <c r="A9" i="79"/>
  <c r="A8" i="79"/>
  <c r="A7" i="79"/>
  <c r="A2" i="79"/>
  <c r="B2" i="78"/>
  <c r="A24" i="78"/>
  <c r="A21" i="78"/>
  <c r="A16" i="78"/>
  <c r="A15" i="78"/>
  <c r="A13" i="78"/>
  <c r="A12" i="78"/>
  <c r="A11" i="78"/>
  <c r="A10" i="78"/>
  <c r="A9" i="78"/>
  <c r="A8" i="78"/>
  <c r="A7" i="78"/>
  <c r="A2" i="78"/>
  <c r="AE5" i="41" a="1"/>
  <c r="B7" i="24" a="1"/>
  <c r="F7" i="24" a="1"/>
  <c r="J7" i="24" a="1"/>
  <c r="AF5" i="41" a="1"/>
  <c r="A7" i="24" a="1"/>
  <c r="B1" i="81" l="1"/>
  <c r="AE9" i="41"/>
  <c r="AE21" i="41"/>
  <c r="AE11" i="41"/>
  <c r="AE23" i="41"/>
  <c r="AE12" i="41"/>
  <c r="AE24" i="41"/>
  <c r="AE17" i="41"/>
  <c r="AE32" i="41"/>
  <c r="AE44" i="41"/>
  <c r="AE56" i="41"/>
  <c r="AE25" i="41"/>
  <c r="AE49" i="41"/>
  <c r="AE14" i="41"/>
  <c r="AE16" i="41"/>
  <c r="AE18" i="41"/>
  <c r="AE33" i="41"/>
  <c r="AE45" i="41"/>
  <c r="AE57" i="41"/>
  <c r="AE13" i="41"/>
  <c r="AE15" i="41"/>
  <c r="AE19" i="41"/>
  <c r="AE34" i="41"/>
  <c r="AE46" i="41"/>
  <c r="AE41" i="41"/>
  <c r="AE5" i="41"/>
  <c r="AE20" i="41"/>
  <c r="AE35" i="41"/>
  <c r="AE47" i="41"/>
  <c r="AE7" i="41"/>
  <c r="AE37" i="41"/>
  <c r="AE54" i="41"/>
  <c r="AE6" i="41"/>
  <c r="AE22" i="41"/>
  <c r="AE36" i="41"/>
  <c r="AE48" i="41"/>
  <c r="AE53" i="41"/>
  <c r="AE42" i="41"/>
  <c r="AE43" i="41"/>
  <c r="AE8" i="41"/>
  <c r="AE26" i="41"/>
  <c r="AE38" i="41"/>
  <c r="AE50" i="41"/>
  <c r="AE39" i="41"/>
  <c r="AE52" i="41"/>
  <c r="AE10" i="41"/>
  <c r="AE27" i="41"/>
  <c r="AE51" i="41"/>
  <c r="AE28" i="41"/>
  <c r="AE30" i="41"/>
  <c r="AE40" i="41"/>
  <c r="AE29" i="41"/>
  <c r="AE31" i="41"/>
  <c r="AE55" i="41"/>
  <c r="AF15" i="41"/>
  <c r="AF27" i="41"/>
  <c r="AF39" i="41"/>
  <c r="AF51" i="41"/>
  <c r="AF16" i="41"/>
  <c r="AF28" i="41"/>
  <c r="AF5" i="41"/>
  <c r="AF17" i="41"/>
  <c r="AF29" i="41"/>
  <c r="AF41" i="41"/>
  <c r="AF53" i="41"/>
  <c r="AF6" i="41"/>
  <c r="AF18" i="41"/>
  <c r="AF30" i="41"/>
  <c r="AF42" i="41"/>
  <c r="AF54" i="41"/>
  <c r="AF22" i="41"/>
  <c r="AF38" i="41"/>
  <c r="AF56" i="41"/>
  <c r="AF11" i="41"/>
  <c r="AF49" i="41"/>
  <c r="AF7" i="41"/>
  <c r="AF23" i="41"/>
  <c r="AF40" i="41"/>
  <c r="AF57" i="41"/>
  <c r="AF46" i="41"/>
  <c r="AF8" i="41"/>
  <c r="AF24" i="41"/>
  <c r="AF43" i="41"/>
  <c r="AF34" i="41"/>
  <c r="AF9" i="41"/>
  <c r="AF25" i="41"/>
  <c r="AF44" i="41"/>
  <c r="AF35" i="41"/>
  <c r="AF10" i="41"/>
  <c r="AF26" i="41"/>
  <c r="AF45" i="41"/>
  <c r="AF20" i="41"/>
  <c r="AF31" i="41"/>
  <c r="AF50" i="41"/>
  <c r="AF12" i="41"/>
  <c r="AF32" i="41"/>
  <c r="AF47" i="41"/>
  <c r="AF14" i="41"/>
  <c r="AF55" i="41"/>
  <c r="AF13" i="41"/>
  <c r="AF33" i="41"/>
  <c r="AF48" i="41"/>
  <c r="AF19" i="41"/>
  <c r="AF36" i="41"/>
  <c r="AF52" i="41"/>
  <c r="AF21" i="41"/>
  <c r="AF37" i="41"/>
  <c r="A14" i="24"/>
  <c r="A26" i="24"/>
  <c r="A38" i="24"/>
  <c r="A50" i="24"/>
  <c r="A62" i="24"/>
  <c r="A74" i="24"/>
  <c r="A86" i="24"/>
  <c r="A98" i="24"/>
  <c r="A110" i="24"/>
  <c r="A122" i="24"/>
  <c r="A134" i="24"/>
  <c r="A146" i="24"/>
  <c r="A158" i="24"/>
  <c r="A170" i="24"/>
  <c r="A182" i="24"/>
  <c r="A194" i="24"/>
  <c r="A206" i="24"/>
  <c r="A218" i="24"/>
  <c r="A230" i="24"/>
  <c r="A242" i="24"/>
  <c r="A254" i="24"/>
  <c r="A266" i="24"/>
  <c r="A278" i="24"/>
  <c r="A290" i="24"/>
  <c r="A302" i="24"/>
  <c r="A314" i="24"/>
  <c r="A326" i="24"/>
  <c r="A338" i="24"/>
  <c r="A350" i="24"/>
  <c r="A362" i="24"/>
  <c r="A374" i="24"/>
  <c r="A386" i="24"/>
  <c r="A398" i="24"/>
  <c r="A410" i="24"/>
  <c r="A422" i="24"/>
  <c r="A434" i="24"/>
  <c r="A446" i="24"/>
  <c r="A458" i="24"/>
  <c r="A470" i="24"/>
  <c r="A482" i="24"/>
  <c r="A494" i="24"/>
  <c r="A506" i="24"/>
  <c r="A518" i="24"/>
  <c r="A530" i="24"/>
  <c r="A542" i="24"/>
  <c r="A554" i="24"/>
  <c r="A566" i="24"/>
  <c r="A578" i="24"/>
  <c r="A590" i="24"/>
  <c r="A602" i="24"/>
  <c r="A614" i="24"/>
  <c r="A626" i="24"/>
  <c r="A638" i="24"/>
  <c r="A650" i="24"/>
  <c r="A662" i="24"/>
  <c r="A674" i="24"/>
  <c r="A686" i="24"/>
  <c r="A698" i="24"/>
  <c r="A710" i="24"/>
  <c r="A722" i="24"/>
  <c r="A734" i="24"/>
  <c r="A746" i="24"/>
  <c r="A758" i="24"/>
  <c r="A770" i="24"/>
  <c r="A782" i="24"/>
  <c r="A794" i="24"/>
  <c r="A806" i="24"/>
  <c r="A818" i="24"/>
  <c r="A830" i="24"/>
  <c r="A842" i="24"/>
  <c r="A854" i="24"/>
  <c r="A866" i="24"/>
  <c r="A878" i="24"/>
  <c r="A890" i="24"/>
  <c r="A902" i="24"/>
  <c r="A914" i="24"/>
  <c r="A926" i="24"/>
  <c r="A938" i="24"/>
  <c r="A950" i="24"/>
  <c r="A962" i="24"/>
  <c r="A974" i="24"/>
  <c r="A986" i="24"/>
  <c r="A998" i="24"/>
  <c r="A1010" i="24"/>
  <c r="A1022" i="24"/>
  <c r="A1034" i="24"/>
  <c r="A1046" i="24"/>
  <c r="A1058" i="24"/>
  <c r="A1070" i="24"/>
  <c r="A1082" i="24"/>
  <c r="A1094" i="24"/>
  <c r="A1106" i="24"/>
  <c r="A1118" i="24"/>
  <c r="A1130" i="24"/>
  <c r="A1142" i="24"/>
  <c r="A1154" i="24"/>
  <c r="A1166" i="24"/>
  <c r="A1178" i="24"/>
  <c r="A1190" i="24"/>
  <c r="A1202" i="24"/>
  <c r="A1214" i="24"/>
  <c r="A1226" i="24"/>
  <c r="A1238" i="24"/>
  <c r="A1250" i="24"/>
  <c r="A1262" i="24"/>
  <c r="A1274" i="24"/>
  <c r="A1286" i="24"/>
  <c r="A1298" i="24"/>
  <c r="A1310" i="24"/>
  <c r="A1322" i="24"/>
  <c r="A1334" i="24"/>
  <c r="A1346" i="24"/>
  <c r="A1358" i="24"/>
  <c r="A1370" i="24"/>
  <c r="A1382" i="24"/>
  <c r="A1394" i="24"/>
  <c r="A1406" i="24"/>
  <c r="A1418" i="24"/>
  <c r="A1430" i="24"/>
  <c r="A1442" i="24"/>
  <c r="A1454" i="24"/>
  <c r="A1466" i="24"/>
  <c r="A1478" i="24"/>
  <c r="A1490" i="24"/>
  <c r="A1502" i="24"/>
  <c r="A1514" i="24"/>
  <c r="A1526" i="24"/>
  <c r="A1538" i="24"/>
  <c r="A1550" i="24"/>
  <c r="A1562" i="24"/>
  <c r="A1574" i="24"/>
  <c r="A1586" i="24"/>
  <c r="A1598" i="24"/>
  <c r="A1610" i="24"/>
  <c r="A1622" i="24"/>
  <c r="A1634" i="24"/>
  <c r="A1646" i="24"/>
  <c r="A1658" i="24"/>
  <c r="A1670" i="24"/>
  <c r="A1682" i="24"/>
  <c r="A1694" i="24"/>
  <c r="A1706" i="24"/>
  <c r="A1718" i="24"/>
  <c r="A1730" i="24"/>
  <c r="A1742" i="24"/>
  <c r="A1754" i="24"/>
  <c r="A1766" i="24"/>
  <c r="A1778" i="24"/>
  <c r="A1790" i="24"/>
  <c r="A1802" i="24"/>
  <c r="A1814" i="24"/>
  <c r="A1826" i="24"/>
  <c r="A1838" i="24"/>
  <c r="A1850" i="24"/>
  <c r="A1862" i="24"/>
  <c r="A1874" i="24"/>
  <c r="A1886" i="24"/>
  <c r="A8" i="24"/>
  <c r="A20" i="24"/>
  <c r="A32" i="24"/>
  <c r="A44" i="24"/>
  <c r="A56" i="24"/>
  <c r="A68" i="24"/>
  <c r="A80" i="24"/>
  <c r="A92" i="24"/>
  <c r="A104" i="24"/>
  <c r="A116" i="24"/>
  <c r="A128" i="24"/>
  <c r="A140" i="24"/>
  <c r="A152" i="24"/>
  <c r="A164" i="24"/>
  <c r="A176" i="24"/>
  <c r="A188" i="24"/>
  <c r="A200" i="24"/>
  <c r="A212" i="24"/>
  <c r="A224" i="24"/>
  <c r="A236" i="24"/>
  <c r="A248" i="24"/>
  <c r="A260" i="24"/>
  <c r="A272" i="24"/>
  <c r="A284" i="24"/>
  <c r="A296" i="24"/>
  <c r="A308" i="24"/>
  <c r="A320" i="24"/>
  <c r="A332" i="24"/>
  <c r="A344" i="24"/>
  <c r="A356" i="24"/>
  <c r="A368" i="24"/>
  <c r="A380" i="24"/>
  <c r="A392" i="24"/>
  <c r="A404" i="24"/>
  <c r="A416" i="24"/>
  <c r="A428" i="24"/>
  <c r="A440" i="24"/>
  <c r="A452" i="24"/>
  <c r="A464" i="24"/>
  <c r="A476" i="24"/>
  <c r="A488" i="24"/>
  <c r="A500" i="24"/>
  <c r="A512" i="24"/>
  <c r="A524" i="24"/>
  <c r="A536" i="24"/>
  <c r="A548" i="24"/>
  <c r="A560" i="24"/>
  <c r="A572" i="24"/>
  <c r="A584" i="24"/>
  <c r="A596" i="24"/>
  <c r="A608" i="24"/>
  <c r="A620" i="24"/>
  <c r="A632" i="24"/>
  <c r="A644" i="24"/>
  <c r="A656" i="24"/>
  <c r="A668" i="24"/>
  <c r="A680" i="24"/>
  <c r="A692" i="24"/>
  <c r="A704" i="24"/>
  <c r="A716" i="24"/>
  <c r="A728" i="24"/>
  <c r="A740" i="24"/>
  <c r="A752" i="24"/>
  <c r="A764" i="24"/>
  <c r="A776" i="24"/>
  <c r="A788" i="24"/>
  <c r="A800" i="24"/>
  <c r="A812" i="24"/>
  <c r="A824" i="24"/>
  <c r="A836" i="24"/>
  <c r="A848" i="24"/>
  <c r="A860" i="24"/>
  <c r="A872" i="24"/>
  <c r="A884" i="24"/>
  <c r="A896" i="24"/>
  <c r="A908" i="24"/>
  <c r="A920" i="24"/>
  <c r="A932" i="24"/>
  <c r="A944" i="24"/>
  <c r="A956" i="24"/>
  <c r="A968" i="24"/>
  <c r="A980" i="24"/>
  <c r="A992" i="24"/>
  <c r="A1004" i="24"/>
  <c r="A1016" i="24"/>
  <c r="A1028" i="24"/>
  <c r="A1040" i="24"/>
  <c r="A1052" i="24"/>
  <c r="A1064" i="24"/>
  <c r="A1076" i="24"/>
  <c r="A1088" i="24"/>
  <c r="A1100" i="24"/>
  <c r="A1112" i="24"/>
  <c r="A1124" i="24"/>
  <c r="A1136" i="24"/>
  <c r="A1148" i="24"/>
  <c r="A1160" i="24"/>
  <c r="A1172" i="24"/>
  <c r="A1184" i="24"/>
  <c r="A1196" i="24"/>
  <c r="A1208" i="24"/>
  <c r="A1220" i="24"/>
  <c r="A1232" i="24"/>
  <c r="A1244" i="24"/>
  <c r="A1256" i="24"/>
  <c r="A1268" i="24"/>
  <c r="A1280" i="24"/>
  <c r="A1292" i="24"/>
  <c r="A1304" i="24"/>
  <c r="A1316" i="24"/>
  <c r="A1328" i="24"/>
  <c r="A1340" i="24"/>
  <c r="A1352" i="24"/>
  <c r="A1364" i="24"/>
  <c r="A1376" i="24"/>
  <c r="A1388" i="24"/>
  <c r="A1400" i="24"/>
  <c r="A1412" i="24"/>
  <c r="A1424" i="24"/>
  <c r="A1436" i="24"/>
  <c r="A1448" i="24"/>
  <c r="A1460" i="24"/>
  <c r="A1472" i="24"/>
  <c r="A1484" i="24"/>
  <c r="A1496" i="24"/>
  <c r="A1508" i="24"/>
  <c r="A1520" i="24"/>
  <c r="A1532" i="24"/>
  <c r="A1544" i="24"/>
  <c r="A1556" i="24"/>
  <c r="A1568" i="24"/>
  <c r="A1580" i="24"/>
  <c r="A1592" i="24"/>
  <c r="A1604" i="24"/>
  <c r="A1616" i="24"/>
  <c r="A1628" i="24"/>
  <c r="A1640" i="24"/>
  <c r="A1652" i="24"/>
  <c r="A1664" i="24"/>
  <c r="A1676" i="24"/>
  <c r="A1688" i="24"/>
  <c r="A1700" i="24"/>
  <c r="A1712" i="24"/>
  <c r="A1724" i="24"/>
  <c r="A1736" i="24"/>
  <c r="A1748" i="24"/>
  <c r="A1760" i="24"/>
  <c r="A1772" i="24"/>
  <c r="A1784" i="24"/>
  <c r="A1796" i="24"/>
  <c r="A1808" i="24"/>
  <c r="A1820" i="24"/>
  <c r="A1832" i="24"/>
  <c r="A1844" i="24"/>
  <c r="A1856" i="24"/>
  <c r="A1868" i="24"/>
  <c r="A1880" i="24"/>
  <c r="A9" i="24"/>
  <c r="A23" i="24"/>
  <c r="A37" i="24"/>
  <c r="A52" i="24"/>
  <c r="A66" i="24"/>
  <c r="A81" i="24"/>
  <c r="A95" i="24"/>
  <c r="A109" i="24"/>
  <c r="A124" i="24"/>
  <c r="A138" i="24"/>
  <c r="A153" i="24"/>
  <c r="A167" i="24"/>
  <c r="A181" i="24"/>
  <c r="A196" i="24"/>
  <c r="A210" i="24"/>
  <c r="A225" i="24"/>
  <c r="A239" i="24"/>
  <c r="A253" i="24"/>
  <c r="A268" i="24"/>
  <c r="A282" i="24"/>
  <c r="A297" i="24"/>
  <c r="A311" i="24"/>
  <c r="A325" i="24"/>
  <c r="A340" i="24"/>
  <c r="A354" i="24"/>
  <c r="A369" i="24"/>
  <c r="A383" i="24"/>
  <c r="A397" i="24"/>
  <c r="A412" i="24"/>
  <c r="A426" i="24"/>
  <c r="A441" i="24"/>
  <c r="A455" i="24"/>
  <c r="A469" i="24"/>
  <c r="A484" i="24"/>
  <c r="A498" i="24"/>
  <c r="A513" i="24"/>
  <c r="A527" i="24"/>
  <c r="A541" i="24"/>
  <c r="A556" i="24"/>
  <c r="A570" i="24"/>
  <c r="A585" i="24"/>
  <c r="A599" i="24"/>
  <c r="A613" i="24"/>
  <c r="A628" i="24"/>
  <c r="A642" i="24"/>
  <c r="A657" i="24"/>
  <c r="A671" i="24"/>
  <c r="A685" i="24"/>
  <c r="A700" i="24"/>
  <c r="A714" i="24"/>
  <c r="A729" i="24"/>
  <c r="A743" i="24"/>
  <c r="A757" i="24"/>
  <c r="A772" i="24"/>
  <c r="A786" i="24"/>
  <c r="A801" i="24"/>
  <c r="A815" i="24"/>
  <c r="A829" i="24"/>
  <c r="A844" i="24"/>
  <c r="A858" i="24"/>
  <c r="A873" i="24"/>
  <c r="A887" i="24"/>
  <c r="A901" i="24"/>
  <c r="A916" i="24"/>
  <c r="A930" i="24"/>
  <c r="A945" i="24"/>
  <c r="A959" i="24"/>
  <c r="A10" i="24"/>
  <c r="A24" i="24"/>
  <c r="A39" i="24"/>
  <c r="A53" i="24"/>
  <c r="A67" i="24"/>
  <c r="A82" i="24"/>
  <c r="A96" i="24"/>
  <c r="A111" i="24"/>
  <c r="A125" i="24"/>
  <c r="A139" i="24"/>
  <c r="A154" i="24"/>
  <c r="A168" i="24"/>
  <c r="A183" i="24"/>
  <c r="A197" i="24"/>
  <c r="A211" i="24"/>
  <c r="A226" i="24"/>
  <c r="A240" i="24"/>
  <c r="A255" i="24"/>
  <c r="A269" i="24"/>
  <c r="A283" i="24"/>
  <c r="A298" i="24"/>
  <c r="A312" i="24"/>
  <c r="A327" i="24"/>
  <c r="A341" i="24"/>
  <c r="A355" i="24"/>
  <c r="A370" i="24"/>
  <c r="A384" i="24"/>
  <c r="A399" i="24"/>
  <c r="A413" i="24"/>
  <c r="A427" i="24"/>
  <c r="A442" i="24"/>
  <c r="A456" i="24"/>
  <c r="A471" i="24"/>
  <c r="A485" i="24"/>
  <c r="A499" i="24"/>
  <c r="A514" i="24"/>
  <c r="A528" i="24"/>
  <c r="A543" i="24"/>
  <c r="A557" i="24"/>
  <c r="A571" i="24"/>
  <c r="A586" i="24"/>
  <c r="A600" i="24"/>
  <c r="A615" i="24"/>
  <c r="A629" i="24"/>
  <c r="A643" i="24"/>
  <c r="A658" i="24"/>
  <c r="A672" i="24"/>
  <c r="A687" i="24"/>
  <c r="A701" i="24"/>
  <c r="A715" i="24"/>
  <c r="A730" i="24"/>
  <c r="A744" i="24"/>
  <c r="A759" i="24"/>
  <c r="A773" i="24"/>
  <c r="A787" i="24"/>
  <c r="A802" i="24"/>
  <c r="A816" i="24"/>
  <c r="A831" i="24"/>
  <c r="A845" i="24"/>
  <c r="A859" i="24"/>
  <c r="A874" i="24"/>
  <c r="A888" i="24"/>
  <c r="A903" i="24"/>
  <c r="A917" i="24"/>
  <c r="A931" i="24"/>
  <c r="A12" i="24"/>
  <c r="A27" i="24"/>
  <c r="A41" i="24"/>
  <c r="A55" i="24"/>
  <c r="A70" i="24"/>
  <c r="A84" i="24"/>
  <c r="A99" i="24"/>
  <c r="A113" i="24"/>
  <c r="A127" i="24"/>
  <c r="A142" i="24"/>
  <c r="A156" i="24"/>
  <c r="A171" i="24"/>
  <c r="A185" i="24"/>
  <c r="A199" i="24"/>
  <c r="A214" i="24"/>
  <c r="A228" i="24"/>
  <c r="A243" i="24"/>
  <c r="A257" i="24"/>
  <c r="A271" i="24"/>
  <c r="A286" i="24"/>
  <c r="A300" i="24"/>
  <c r="A315" i="24"/>
  <c r="A329" i="24"/>
  <c r="A343" i="24"/>
  <c r="A358" i="24"/>
  <c r="A372" i="24"/>
  <c r="A387" i="24"/>
  <c r="A401" i="24"/>
  <c r="A415" i="24"/>
  <c r="A430" i="24"/>
  <c r="A444" i="24"/>
  <c r="A459" i="24"/>
  <c r="A473" i="24"/>
  <c r="A487" i="24"/>
  <c r="A502" i="24"/>
  <c r="A516" i="24"/>
  <c r="A531" i="24"/>
  <c r="A545" i="24"/>
  <c r="A559" i="24"/>
  <c r="A574" i="24"/>
  <c r="A588" i="24"/>
  <c r="A603" i="24"/>
  <c r="A617" i="24"/>
  <c r="A631" i="24"/>
  <c r="A646" i="24"/>
  <c r="A660" i="24"/>
  <c r="A675" i="24"/>
  <c r="A689" i="24"/>
  <c r="A703" i="24"/>
  <c r="A718" i="24"/>
  <c r="A732" i="24"/>
  <c r="A747" i="24"/>
  <c r="A761" i="24"/>
  <c r="A775" i="24"/>
  <c r="A790" i="24"/>
  <c r="A804" i="24"/>
  <c r="A819" i="24"/>
  <c r="A833" i="24"/>
  <c r="A847" i="24"/>
  <c r="A862" i="24"/>
  <c r="A876" i="24"/>
  <c r="A891" i="24"/>
  <c r="A905" i="24"/>
  <c r="A919" i="24"/>
  <c r="A934" i="24"/>
  <c r="A13" i="24"/>
  <c r="A28" i="24"/>
  <c r="A42" i="24"/>
  <c r="A57" i="24"/>
  <c r="A71" i="24"/>
  <c r="A85" i="24"/>
  <c r="A100" i="24"/>
  <c r="A114" i="24"/>
  <c r="A129" i="24"/>
  <c r="A143" i="24"/>
  <c r="A157" i="24"/>
  <c r="A172" i="24"/>
  <c r="A186" i="24"/>
  <c r="A201" i="24"/>
  <c r="A215" i="24"/>
  <c r="A229" i="24"/>
  <c r="A244" i="24"/>
  <c r="A258" i="24"/>
  <c r="A273" i="24"/>
  <c r="A287" i="24"/>
  <c r="A301" i="24"/>
  <c r="A316" i="24"/>
  <c r="A330" i="24"/>
  <c r="A345" i="24"/>
  <c r="A359" i="24"/>
  <c r="A373" i="24"/>
  <c r="A388" i="24"/>
  <c r="A402" i="24"/>
  <c r="A417" i="24"/>
  <c r="A431" i="24"/>
  <c r="A445" i="24"/>
  <c r="A460" i="24"/>
  <c r="A474" i="24"/>
  <c r="A489" i="24"/>
  <c r="A503" i="24"/>
  <c r="A517" i="24"/>
  <c r="A532" i="24"/>
  <c r="A546" i="24"/>
  <c r="A561" i="24"/>
  <c r="A575" i="24"/>
  <c r="A589" i="24"/>
  <c r="A604" i="24"/>
  <c r="A618" i="24"/>
  <c r="A633" i="24"/>
  <c r="A647" i="24"/>
  <c r="A661" i="24"/>
  <c r="A676" i="24"/>
  <c r="A690" i="24"/>
  <c r="A705" i="24"/>
  <c r="A719" i="24"/>
  <c r="A733" i="24"/>
  <c r="A748" i="24"/>
  <c r="A762" i="24"/>
  <c r="A777" i="24"/>
  <c r="A791" i="24"/>
  <c r="A805" i="24"/>
  <c r="A820" i="24"/>
  <c r="A15" i="24"/>
  <c r="A29" i="24"/>
  <c r="A43" i="24"/>
  <c r="A58" i="24"/>
  <c r="A72" i="24"/>
  <c r="A87" i="24"/>
  <c r="A101" i="24"/>
  <c r="A115" i="24"/>
  <c r="A130" i="24"/>
  <c r="A144" i="24"/>
  <c r="A159" i="24"/>
  <c r="A173" i="24"/>
  <c r="A187" i="24"/>
  <c r="A202" i="24"/>
  <c r="A216" i="24"/>
  <c r="A231" i="24"/>
  <c r="A245" i="24"/>
  <c r="A259" i="24"/>
  <c r="A274" i="24"/>
  <c r="A288" i="24"/>
  <c r="A303" i="24"/>
  <c r="A317" i="24"/>
  <c r="A331" i="24"/>
  <c r="A346" i="24"/>
  <c r="A360" i="24"/>
  <c r="A375" i="24"/>
  <c r="A389" i="24"/>
  <c r="A403" i="24"/>
  <c r="A418" i="24"/>
  <c r="A432" i="24"/>
  <c r="A447" i="24"/>
  <c r="A461" i="24"/>
  <c r="A475" i="24"/>
  <c r="A490" i="24"/>
  <c r="A504" i="24"/>
  <c r="A519" i="24"/>
  <c r="A533" i="24"/>
  <c r="A547" i="24"/>
  <c r="A562" i="24"/>
  <c r="A16" i="24"/>
  <c r="A30" i="24"/>
  <c r="A45" i="24"/>
  <c r="A59" i="24"/>
  <c r="A73" i="24"/>
  <c r="A88" i="24"/>
  <c r="A102" i="24"/>
  <c r="A117" i="24"/>
  <c r="A131" i="24"/>
  <c r="A145" i="24"/>
  <c r="A160" i="24"/>
  <c r="A174" i="24"/>
  <c r="A189" i="24"/>
  <c r="A203" i="24"/>
  <c r="A217" i="24"/>
  <c r="A232" i="24"/>
  <c r="A246" i="24"/>
  <c r="A261" i="24"/>
  <c r="A275" i="24"/>
  <c r="A289" i="24"/>
  <c r="A304" i="24"/>
  <c r="A318" i="24"/>
  <c r="A333" i="24"/>
  <c r="A347" i="24"/>
  <c r="A361" i="24"/>
  <c r="A376" i="24"/>
  <c r="A390" i="24"/>
  <c r="A405" i="24"/>
  <c r="A419" i="24"/>
  <c r="A433" i="24"/>
  <c r="A448" i="24"/>
  <c r="A462" i="24"/>
  <c r="A477" i="24"/>
  <c r="A491" i="24"/>
  <c r="A505" i="24"/>
  <c r="A520" i="24"/>
  <c r="A534" i="24"/>
  <c r="A549" i="24"/>
  <c r="A563" i="24"/>
  <c r="A577" i="24"/>
  <c r="A592" i="24"/>
  <c r="A606" i="24"/>
  <c r="A621" i="24"/>
  <c r="A635" i="24"/>
  <c r="A649" i="24"/>
  <c r="A664" i="24"/>
  <c r="A678" i="24"/>
  <c r="A693" i="24"/>
  <c r="A707" i="24"/>
  <c r="A721" i="24"/>
  <c r="A736" i="24"/>
  <c r="A750" i="24"/>
  <c r="A765" i="24"/>
  <c r="A779" i="24"/>
  <c r="A793" i="24"/>
  <c r="A808" i="24"/>
  <c r="A822" i="24"/>
  <c r="A837" i="24"/>
  <c r="A851" i="24"/>
  <c r="A865" i="24"/>
  <c r="A880" i="24"/>
  <c r="A894" i="24"/>
  <c r="A909" i="24"/>
  <c r="A923" i="24"/>
  <c r="A937" i="24"/>
  <c r="A952" i="24"/>
  <c r="A18" i="24"/>
  <c r="A33" i="24"/>
  <c r="A47" i="24"/>
  <c r="A61" i="24"/>
  <c r="A76" i="24"/>
  <c r="A90" i="24"/>
  <c r="A105" i="24"/>
  <c r="A119" i="24"/>
  <c r="A133" i="24"/>
  <c r="A148" i="24"/>
  <c r="A162" i="24"/>
  <c r="A177" i="24"/>
  <c r="A191" i="24"/>
  <c r="A205" i="24"/>
  <c r="A220" i="24"/>
  <c r="A234" i="24"/>
  <c r="A249" i="24"/>
  <c r="A263" i="24"/>
  <c r="A277" i="24"/>
  <c r="A292" i="24"/>
  <c r="A19" i="24"/>
  <c r="A34" i="24"/>
  <c r="A48" i="24"/>
  <c r="A63" i="24"/>
  <c r="A77" i="24"/>
  <c r="A91" i="24"/>
  <c r="A7" i="24"/>
  <c r="A22" i="24"/>
  <c r="A36" i="24"/>
  <c r="A51" i="24"/>
  <c r="A65" i="24"/>
  <c r="A79" i="24"/>
  <c r="A94" i="24"/>
  <c r="A25" i="24"/>
  <c r="A83" i="24"/>
  <c r="A123" i="24"/>
  <c r="A161" i="24"/>
  <c r="A193" i="24"/>
  <c r="A227" i="24"/>
  <c r="A264" i="24"/>
  <c r="A295" i="24"/>
  <c r="A324" i="24"/>
  <c r="A353" i="24"/>
  <c r="A382" i="24"/>
  <c r="A411" i="24"/>
  <c r="A439" i="24"/>
  <c r="A468" i="24"/>
  <c r="A497" i="24"/>
  <c r="A526" i="24"/>
  <c r="A555" i="24"/>
  <c r="A582" i="24"/>
  <c r="A609" i="24"/>
  <c r="A634" i="24"/>
  <c r="A655" i="24"/>
  <c r="A682" i="24"/>
  <c r="A708" i="24"/>
  <c r="A731" i="24"/>
  <c r="A755" i="24"/>
  <c r="A781" i="24"/>
  <c r="A807" i="24"/>
  <c r="A828" i="24"/>
  <c r="A852" i="24"/>
  <c r="A871" i="24"/>
  <c r="A895" i="24"/>
  <c r="A915" i="24"/>
  <c r="A939" i="24"/>
  <c r="A955" i="24"/>
  <c r="A971" i="24"/>
  <c r="A985" i="24"/>
  <c r="A1000" i="24"/>
  <c r="A1014" i="24"/>
  <c r="A1029" i="24"/>
  <c r="A1043" i="24"/>
  <c r="A1057" i="24"/>
  <c r="A1072" i="24"/>
  <c r="A1086" i="24"/>
  <c r="A1101" i="24"/>
  <c r="A1115" i="24"/>
  <c r="A1129" i="24"/>
  <c r="A1144" i="24"/>
  <c r="A1158" i="24"/>
  <c r="A1173" i="24"/>
  <c r="A1187" i="24"/>
  <c r="A1201" i="24"/>
  <c r="A1216" i="24"/>
  <c r="A1230" i="24"/>
  <c r="A1245" i="24"/>
  <c r="A1259" i="24"/>
  <c r="A1273" i="24"/>
  <c r="A1288" i="24"/>
  <c r="A1302" i="24"/>
  <c r="A1317" i="24"/>
  <c r="A1331" i="24"/>
  <c r="A1345" i="24"/>
  <c r="A1360" i="24"/>
  <c r="A1374" i="24"/>
  <c r="A1389" i="24"/>
  <c r="A1403" i="24"/>
  <c r="A1417" i="24"/>
  <c r="A1432" i="24"/>
  <c r="A1446" i="24"/>
  <c r="A1461" i="24"/>
  <c r="A1475" i="24"/>
  <c r="A1489" i="24"/>
  <c r="A1504" i="24"/>
  <c r="A31" i="24"/>
  <c r="A89" i="24"/>
  <c r="A126" i="24"/>
  <c r="A163" i="24"/>
  <c r="A195" i="24"/>
  <c r="A233" i="24"/>
  <c r="A265" i="24"/>
  <c r="A299" i="24"/>
  <c r="A328" i="24"/>
  <c r="A357" i="24"/>
  <c r="A385" i="24"/>
  <c r="A414" i="24"/>
  <c r="A443" i="24"/>
  <c r="A472" i="24"/>
  <c r="A501" i="24"/>
  <c r="A529" i="24"/>
  <c r="A558" i="24"/>
  <c r="A583" i="24"/>
  <c r="A610" i="24"/>
  <c r="A636" i="24"/>
  <c r="A659" i="24"/>
  <c r="A683" i="24"/>
  <c r="A709" i="24"/>
  <c r="A735" i="24"/>
  <c r="A756" i="24"/>
  <c r="A783" i="24"/>
  <c r="A809" i="24"/>
  <c r="A832" i="24"/>
  <c r="A853" i="24"/>
  <c r="A875" i="24"/>
  <c r="A897" i="24"/>
  <c r="A918" i="24"/>
  <c r="A940" i="24"/>
  <c r="A957" i="24"/>
  <c r="A972" i="24"/>
  <c r="A987" i="24"/>
  <c r="A1001" i="24"/>
  <c r="A1015" i="24"/>
  <c r="A1030" i="24"/>
  <c r="A1044" i="24"/>
  <c r="A1059" i="24"/>
  <c r="A1073" i="24"/>
  <c r="A1087" i="24"/>
  <c r="A1102" i="24"/>
  <c r="A1116" i="24"/>
  <c r="A1131" i="24"/>
  <c r="A1145" i="24"/>
  <c r="A1159" i="24"/>
  <c r="A1174" i="24"/>
  <c r="A1188" i="24"/>
  <c r="A1203" i="24"/>
  <c r="A1217" i="24"/>
  <c r="A1231" i="24"/>
  <c r="A1246" i="24"/>
  <c r="A1260" i="24"/>
  <c r="A1275" i="24"/>
  <c r="A1289" i="24"/>
  <c r="A1303" i="24"/>
  <c r="A1318" i="24"/>
  <c r="A1332" i="24"/>
  <c r="A1347" i="24"/>
  <c r="A1361" i="24"/>
  <c r="A1375" i="24"/>
  <c r="A1390" i="24"/>
  <c r="A1404" i="24"/>
  <c r="A1419" i="24"/>
  <c r="A1433" i="24"/>
  <c r="A1447" i="24"/>
  <c r="A1462" i="24"/>
  <c r="A1476" i="24"/>
  <c r="A1491" i="24"/>
  <c r="A1505" i="24"/>
  <c r="A35" i="24"/>
  <c r="A93" i="24"/>
  <c r="A132" i="24"/>
  <c r="A165" i="24"/>
  <c r="A198" i="24"/>
  <c r="A235" i="24"/>
  <c r="A267" i="24"/>
  <c r="A305" i="24"/>
  <c r="A334" i="24"/>
  <c r="A363" i="24"/>
  <c r="A391" i="24"/>
  <c r="A420" i="24"/>
  <c r="A449" i="24"/>
  <c r="A478" i="24"/>
  <c r="A507" i="24"/>
  <c r="A535" i="24"/>
  <c r="A564" i="24"/>
  <c r="A587" i="24"/>
  <c r="A611" i="24"/>
  <c r="A637" i="24"/>
  <c r="A663" i="24"/>
  <c r="A684" i="24"/>
  <c r="A711" i="24"/>
  <c r="A737" i="24"/>
  <c r="A760" i="24"/>
  <c r="A784" i="24"/>
  <c r="A810" i="24"/>
  <c r="A834" i="24"/>
  <c r="A855" i="24"/>
  <c r="A877" i="24"/>
  <c r="A898" i="24"/>
  <c r="A921" i="24"/>
  <c r="A941" i="24"/>
  <c r="A958" i="24"/>
  <c r="A973" i="24"/>
  <c r="A988" i="24"/>
  <c r="A1002" i="24"/>
  <c r="A1017" i="24"/>
  <c r="A1031" i="24"/>
  <c r="A1045" i="24"/>
  <c r="A1060" i="24"/>
  <c r="A1074" i="24"/>
  <c r="A1089" i="24"/>
  <c r="A1103" i="24"/>
  <c r="A1117" i="24"/>
  <c r="A1132" i="24"/>
  <c r="A1146" i="24"/>
  <c r="A1161" i="24"/>
  <c r="A1175" i="24"/>
  <c r="A1189" i="24"/>
  <c r="A1204" i="24"/>
  <c r="A1218" i="24"/>
  <c r="A1233" i="24"/>
  <c r="A1247" i="24"/>
  <c r="A1261" i="24"/>
  <c r="A1276" i="24"/>
  <c r="A1290" i="24"/>
  <c r="A1305" i="24"/>
  <c r="A1319" i="24"/>
  <c r="A1333" i="24"/>
  <c r="A1348" i="24"/>
  <c r="A1362" i="24"/>
  <c r="A1377" i="24"/>
  <c r="A1391" i="24"/>
  <c r="A1405" i="24"/>
  <c r="A1420" i="24"/>
  <c r="A1434" i="24"/>
  <c r="A1449" i="24"/>
  <c r="A1463" i="24"/>
  <c r="A1477" i="24"/>
  <c r="A1492" i="24"/>
  <c r="A40" i="24"/>
  <c r="A97" i="24"/>
  <c r="A135" i="24"/>
  <c r="A166" i="24"/>
  <c r="A204" i="24"/>
  <c r="A237" i="24"/>
  <c r="A270" i="24"/>
  <c r="A306" i="24"/>
  <c r="A335" i="24"/>
  <c r="A364" i="24"/>
  <c r="A393" i="24"/>
  <c r="A421" i="24"/>
  <c r="A450" i="24"/>
  <c r="A479" i="24"/>
  <c r="A508" i="24"/>
  <c r="A537" i="24"/>
  <c r="A565" i="24"/>
  <c r="A591" i="24"/>
  <c r="A612" i="24"/>
  <c r="A639" i="24"/>
  <c r="A665" i="24"/>
  <c r="A688" i="24"/>
  <c r="A712" i="24"/>
  <c r="A738" i="24"/>
  <c r="A763" i="24"/>
  <c r="A785" i="24"/>
  <c r="A811" i="24"/>
  <c r="A835" i="24"/>
  <c r="A856" i="24"/>
  <c r="A879" i="24"/>
  <c r="A899" i="24"/>
  <c r="A922" i="24"/>
  <c r="A942" i="24"/>
  <c r="A960" i="24"/>
  <c r="A975" i="24"/>
  <c r="A989" i="24"/>
  <c r="A1003" i="24"/>
  <c r="A1018" i="24"/>
  <c r="A1032" i="24"/>
  <c r="A1047" i="24"/>
  <c r="A1061" i="24"/>
  <c r="A1075" i="24"/>
  <c r="A1090" i="24"/>
  <c r="A1104" i="24"/>
  <c r="A1119" i="24"/>
  <c r="A1133" i="24"/>
  <c r="A1147" i="24"/>
  <c r="A1162" i="24"/>
  <c r="A1176" i="24"/>
  <c r="A1191" i="24"/>
  <c r="A1205" i="24"/>
  <c r="A1219" i="24"/>
  <c r="A1234" i="24"/>
  <c r="A1248" i="24"/>
  <c r="A1263" i="24"/>
  <c r="A1277" i="24"/>
  <c r="A1291" i="24"/>
  <c r="A1306" i="24"/>
  <c r="A1320" i="24"/>
  <c r="A1335" i="24"/>
  <c r="A1349" i="24"/>
  <c r="A1363" i="24"/>
  <c r="A1378" i="24"/>
  <c r="A1392" i="24"/>
  <c r="A1407" i="24"/>
  <c r="A1421" i="24"/>
  <c r="A1435" i="24"/>
  <c r="A1450" i="24"/>
  <c r="A1464" i="24"/>
  <c r="A1479" i="24"/>
  <c r="A1493" i="24"/>
  <c r="A46" i="24"/>
  <c r="A103" i="24"/>
  <c r="A136" i="24"/>
  <c r="A169" i="24"/>
  <c r="A207" i="24"/>
  <c r="A238" i="24"/>
  <c r="A276" i="24"/>
  <c r="A307" i="24"/>
  <c r="A336" i="24"/>
  <c r="A365" i="24"/>
  <c r="A394" i="24"/>
  <c r="A423" i="24"/>
  <c r="A451" i="24"/>
  <c r="A480" i="24"/>
  <c r="A509" i="24"/>
  <c r="A538" i="24"/>
  <c r="A567" i="24"/>
  <c r="A593" i="24"/>
  <c r="A616" i="24"/>
  <c r="A640" i="24"/>
  <c r="A666" i="24"/>
  <c r="A691" i="24"/>
  <c r="A713" i="24"/>
  <c r="A739" i="24"/>
  <c r="A766" i="24"/>
  <c r="A789" i="24"/>
  <c r="A813" i="24"/>
  <c r="A838" i="24"/>
  <c r="A857" i="24"/>
  <c r="A881" i="24"/>
  <c r="A900" i="24"/>
  <c r="A924" i="24"/>
  <c r="A943" i="24"/>
  <c r="A961" i="24"/>
  <c r="A976" i="24"/>
  <c r="A990" i="24"/>
  <c r="A1005" i="24"/>
  <c r="A1019" i="24"/>
  <c r="A1033" i="24"/>
  <c r="A1048" i="24"/>
  <c r="A1062" i="24"/>
  <c r="A1077" i="24"/>
  <c r="A1091" i="24"/>
  <c r="A1105" i="24"/>
  <c r="A1120" i="24"/>
  <c r="A1134" i="24"/>
  <c r="A1149" i="24"/>
  <c r="A1163" i="24"/>
  <c r="A1177" i="24"/>
  <c r="A1192" i="24"/>
  <c r="A1206" i="24"/>
  <c r="A1221" i="24"/>
  <c r="A1235" i="24"/>
  <c r="A1249" i="24"/>
  <c r="A1264" i="24"/>
  <c r="A1278" i="24"/>
  <c r="A1293" i="24"/>
  <c r="A1307" i="24"/>
  <c r="A1321" i="24"/>
  <c r="A49" i="24"/>
  <c r="A106" i="24"/>
  <c r="A137" i="24"/>
  <c r="A175" i="24"/>
  <c r="A208" i="24"/>
  <c r="A241" i="24"/>
  <c r="A279" i="24"/>
  <c r="A309" i="24"/>
  <c r="A337" i="24"/>
  <c r="A366" i="24"/>
  <c r="A395" i="24"/>
  <c r="A424" i="24"/>
  <c r="A453" i="24"/>
  <c r="A481" i="24"/>
  <c r="A510" i="24"/>
  <c r="A539" i="24"/>
  <c r="A568" i="24"/>
  <c r="A594" i="24"/>
  <c r="A619" i="24"/>
  <c r="A641" i="24"/>
  <c r="A667" i="24"/>
  <c r="A694" i="24"/>
  <c r="A717" i="24"/>
  <c r="A741" i="24"/>
  <c r="A767" i="24"/>
  <c r="A792" i="24"/>
  <c r="A814" i="24"/>
  <c r="A839" i="24"/>
  <c r="A861" i="24"/>
  <c r="A882" i="24"/>
  <c r="A904" i="24"/>
  <c r="A925" i="24"/>
  <c r="A946" i="24"/>
  <c r="A963" i="24"/>
  <c r="A977" i="24"/>
  <c r="A991" i="24"/>
  <c r="A1006" i="24"/>
  <c r="A1020" i="24"/>
  <c r="A1035" i="24"/>
  <c r="A1049" i="24"/>
  <c r="A1063" i="24"/>
  <c r="A1078" i="24"/>
  <c r="A54" i="24"/>
  <c r="A107" i="24"/>
  <c r="A141" i="24"/>
  <c r="A178" i="24"/>
  <c r="A209" i="24"/>
  <c r="A247" i="24"/>
  <c r="A280" i="24"/>
  <c r="A310" i="24"/>
  <c r="A339" i="24"/>
  <c r="A367" i="24"/>
  <c r="A396" i="24"/>
  <c r="A425" i="24"/>
  <c r="A454" i="24"/>
  <c r="A483" i="24"/>
  <c r="A511" i="24"/>
  <c r="A540" i="24"/>
  <c r="A569" i="24"/>
  <c r="A595" i="24"/>
  <c r="A622" i="24"/>
  <c r="A645" i="24"/>
  <c r="A669" i="24"/>
  <c r="A695" i="24"/>
  <c r="A720" i="24"/>
  <c r="A742" i="24"/>
  <c r="A768" i="24"/>
  <c r="A795" i="24"/>
  <c r="A817" i="24"/>
  <c r="A840" i="24"/>
  <c r="A863" i="24"/>
  <c r="A883" i="24"/>
  <c r="A906" i="24"/>
  <c r="A927" i="24"/>
  <c r="A947" i="24"/>
  <c r="A964" i="24"/>
  <c r="A978" i="24"/>
  <c r="A993" i="24"/>
  <c r="A1007" i="24"/>
  <c r="A1021" i="24"/>
  <c r="A1036" i="24"/>
  <c r="A1050" i="24"/>
  <c r="A1065" i="24"/>
  <c r="A1079" i="24"/>
  <c r="A1093" i="24"/>
  <c r="A1108" i="24"/>
  <c r="A1122" i="24"/>
  <c r="A1137" i="24"/>
  <c r="A1151" i="24"/>
  <c r="A1165" i="24"/>
  <c r="A1180" i="24"/>
  <c r="A1194" i="24"/>
  <c r="A1209" i="24"/>
  <c r="A1223" i="24"/>
  <c r="A1237" i="24"/>
  <c r="A1252" i="24"/>
  <c r="A1266" i="24"/>
  <c r="A1281" i="24"/>
  <c r="A1295" i="24"/>
  <c r="A1309" i="24"/>
  <c r="A1324" i="24"/>
  <c r="A60" i="24"/>
  <c r="A108" i="24"/>
  <c r="A147" i="24"/>
  <c r="A179" i="24"/>
  <c r="A213" i="24"/>
  <c r="A250" i="24"/>
  <c r="A281" i="24"/>
  <c r="A313" i="24"/>
  <c r="A342" i="24"/>
  <c r="A371" i="24"/>
  <c r="A400" i="24"/>
  <c r="A429" i="24"/>
  <c r="A457" i="24"/>
  <c r="A486" i="24"/>
  <c r="A515" i="24"/>
  <c r="A544" i="24"/>
  <c r="A573" i="24"/>
  <c r="A597" i="24"/>
  <c r="A623" i="24"/>
  <c r="A648" i="24"/>
  <c r="A670" i="24"/>
  <c r="A696" i="24"/>
  <c r="A723" i="24"/>
  <c r="A745" i="24"/>
  <c r="A769" i="24"/>
  <c r="A796" i="24"/>
  <c r="A821" i="24"/>
  <c r="A841" i="24"/>
  <c r="A864" i="24"/>
  <c r="A885" i="24"/>
  <c r="A907" i="24"/>
  <c r="A928" i="24"/>
  <c r="A948" i="24"/>
  <c r="A965" i="24"/>
  <c r="A979" i="24"/>
  <c r="A994" i="24"/>
  <c r="A1008" i="24"/>
  <c r="A1023" i="24"/>
  <c r="A1037" i="24"/>
  <c r="A1051" i="24"/>
  <c r="A1066" i="24"/>
  <c r="A1080" i="24"/>
  <c r="A1095" i="24"/>
  <c r="A11" i="24"/>
  <c r="A69" i="24"/>
  <c r="A118" i="24"/>
  <c r="A150" i="24"/>
  <c r="A184" i="24"/>
  <c r="A21" i="24"/>
  <c r="A78" i="24"/>
  <c r="A121" i="24"/>
  <c r="A155" i="24"/>
  <c r="A151" i="24"/>
  <c r="A285" i="24"/>
  <c r="A377" i="24"/>
  <c r="A463" i="24"/>
  <c r="A550" i="24"/>
  <c r="A624" i="24"/>
  <c r="A697" i="24"/>
  <c r="A771" i="24"/>
  <c r="A843" i="24"/>
  <c r="A910" i="24"/>
  <c r="A966" i="24"/>
  <c r="A1009" i="24"/>
  <c r="A1053" i="24"/>
  <c r="A1092" i="24"/>
  <c r="A1123" i="24"/>
  <c r="A1152" i="24"/>
  <c r="A1181" i="24"/>
  <c r="A1210" i="24"/>
  <c r="A1239" i="24"/>
  <c r="A1267" i="24"/>
  <c r="A1296" i="24"/>
  <c r="A1325" i="24"/>
  <c r="A1344" i="24"/>
  <c r="A1368" i="24"/>
  <c r="A1387" i="24"/>
  <c r="A1411" i="24"/>
  <c r="A1431" i="24"/>
  <c r="A1455" i="24"/>
  <c r="A1474" i="24"/>
  <c r="A1498" i="24"/>
  <c r="A1515" i="24"/>
  <c r="A1529" i="24"/>
  <c r="A1543" i="24"/>
  <c r="A1558" i="24"/>
  <c r="A1572" i="24"/>
  <c r="A1587" i="24"/>
  <c r="A1601" i="24"/>
  <c r="A1615" i="24"/>
  <c r="A1630" i="24"/>
  <c r="A1644" i="24"/>
  <c r="A1659" i="24"/>
  <c r="A1673" i="24"/>
  <c r="A1687" i="24"/>
  <c r="A1702" i="24"/>
  <c r="A1716" i="24"/>
  <c r="A1731" i="24"/>
  <c r="A1745" i="24"/>
  <c r="A1759" i="24"/>
  <c r="A1774" i="24"/>
  <c r="A1788" i="24"/>
  <c r="A1803" i="24"/>
  <c r="A1817" i="24"/>
  <c r="A1831" i="24"/>
  <c r="A1846" i="24"/>
  <c r="A1860" i="24"/>
  <c r="A1875" i="24"/>
  <c r="A1889" i="24"/>
  <c r="A1901" i="24"/>
  <c r="A1913" i="24"/>
  <c r="A1925" i="24"/>
  <c r="A1937" i="24"/>
  <c r="A1949" i="24"/>
  <c r="A1961" i="24"/>
  <c r="A1973" i="24"/>
  <c r="A1985" i="24"/>
  <c r="A1997" i="24"/>
  <c r="A2009" i="24"/>
  <c r="A2021" i="24"/>
  <c r="A2033" i="24"/>
  <c r="A2045" i="24"/>
  <c r="A2057" i="24"/>
  <c r="A2069" i="24"/>
  <c r="A2081" i="24"/>
  <c r="A2093" i="24"/>
  <c r="A2105" i="24"/>
  <c r="A2117" i="24"/>
  <c r="A2129" i="24"/>
  <c r="A2141" i="24"/>
  <c r="A2153" i="24"/>
  <c r="A2165" i="24"/>
  <c r="A2177" i="24"/>
  <c r="A2189" i="24"/>
  <c r="A2201" i="24"/>
  <c r="A2213" i="24"/>
  <c r="A2225" i="24"/>
  <c r="A2237" i="24"/>
  <c r="A2249" i="24"/>
  <c r="A2261" i="24"/>
  <c r="A2273" i="24"/>
  <c r="A2285" i="24"/>
  <c r="A2297" i="24"/>
  <c r="A2309" i="24"/>
  <c r="A2321" i="24"/>
  <c r="A2333" i="24"/>
  <c r="A2345" i="24"/>
  <c r="A2357" i="24"/>
  <c r="A2369" i="24"/>
  <c r="A2381" i="24"/>
  <c r="A2393" i="24"/>
  <c r="A2405" i="24"/>
  <c r="A2417" i="24"/>
  <c r="A2429" i="24"/>
  <c r="A2441" i="24"/>
  <c r="A2453" i="24"/>
  <c r="A2465" i="24"/>
  <c r="A2477" i="24"/>
  <c r="A2489" i="24"/>
  <c r="A2501" i="24"/>
  <c r="A2513" i="24"/>
  <c r="A2525" i="24"/>
  <c r="A180" i="24"/>
  <c r="A291" i="24"/>
  <c r="A378" i="24"/>
  <c r="A465" i="24"/>
  <c r="A551" i="24"/>
  <c r="A625" i="24"/>
  <c r="A699" i="24"/>
  <c r="A774" i="24"/>
  <c r="A846" i="24"/>
  <c r="A911" i="24"/>
  <c r="A967" i="24"/>
  <c r="A1011" i="24"/>
  <c r="A1054" i="24"/>
  <c r="A1096" i="24"/>
  <c r="A1125" i="24"/>
  <c r="A1153" i="24"/>
  <c r="A1182" i="24"/>
  <c r="A1211" i="24"/>
  <c r="A1240" i="24"/>
  <c r="A1269" i="24"/>
  <c r="A1297" i="24"/>
  <c r="A1326" i="24"/>
  <c r="A1350" i="24"/>
  <c r="A1369" i="24"/>
  <c r="A1393" i="24"/>
  <c r="A1413" i="24"/>
  <c r="A1437" i="24"/>
  <c r="A1456" i="24"/>
  <c r="A1480" i="24"/>
  <c r="A1499" i="24"/>
  <c r="A1516" i="24"/>
  <c r="A1530" i="24"/>
  <c r="A1545" i="24"/>
  <c r="A1559" i="24"/>
  <c r="A1573" i="24"/>
  <c r="A1588" i="24"/>
  <c r="A1602" i="24"/>
  <c r="A1617" i="24"/>
  <c r="A1631" i="24"/>
  <c r="A1645" i="24"/>
  <c r="A1660" i="24"/>
  <c r="A1674" i="24"/>
  <c r="A1689" i="24"/>
  <c r="A1703" i="24"/>
  <c r="A1717" i="24"/>
  <c r="A1732" i="24"/>
  <c r="A1746" i="24"/>
  <c r="A1761" i="24"/>
  <c r="A1775" i="24"/>
  <c r="A1789" i="24"/>
  <c r="A1804" i="24"/>
  <c r="A1818" i="24"/>
  <c r="A1833" i="24"/>
  <c r="A1847" i="24"/>
  <c r="A1861" i="24"/>
  <c r="A1876" i="24"/>
  <c r="A1890" i="24"/>
  <c r="A1902" i="24"/>
  <c r="A1914" i="24"/>
  <c r="A1926" i="24"/>
  <c r="A1938" i="24"/>
  <c r="A1950" i="24"/>
  <c r="A1962" i="24"/>
  <c r="A1974" i="24"/>
  <c r="A1986" i="24"/>
  <c r="A1998" i="24"/>
  <c r="A2010" i="24"/>
  <c r="A2022" i="24"/>
  <c r="A2034" i="24"/>
  <c r="A2046" i="24"/>
  <c r="A2058" i="24"/>
  <c r="A2070" i="24"/>
  <c r="A2082" i="24"/>
  <c r="A2094" i="24"/>
  <c r="A2106" i="24"/>
  <c r="A2118" i="24"/>
  <c r="A2130" i="24"/>
  <c r="A2142" i="24"/>
  <c r="A2154" i="24"/>
  <c r="A2166" i="24"/>
  <c r="A2178" i="24"/>
  <c r="A2190" i="24"/>
  <c r="A2202" i="24"/>
  <c r="A2214" i="24"/>
  <c r="A2226" i="24"/>
  <c r="A2238" i="24"/>
  <c r="A2250" i="24"/>
  <c r="A2262" i="24"/>
  <c r="A2274" i="24"/>
  <c r="A2286" i="24"/>
  <c r="A2298" i="24"/>
  <c r="A2310" i="24"/>
  <c r="A2322" i="24"/>
  <c r="A2334" i="24"/>
  <c r="A2346" i="24"/>
  <c r="A2358" i="24"/>
  <c r="A2370" i="24"/>
  <c r="A2382" i="24"/>
  <c r="A2394" i="24"/>
  <c r="A2406" i="24"/>
  <c r="A2418" i="24"/>
  <c r="A2430" i="24"/>
  <c r="A2442" i="24"/>
  <c r="A2454" i="24"/>
  <c r="A2466" i="24"/>
  <c r="A2478" i="24"/>
  <c r="A2490" i="24"/>
  <c r="A2502" i="24"/>
  <c r="A2514" i="24"/>
  <c r="A190" i="24"/>
  <c r="A293" i="24"/>
  <c r="A379" i="24"/>
  <c r="A466" i="24"/>
  <c r="A552" i="24"/>
  <c r="A627" i="24"/>
  <c r="A702" i="24"/>
  <c r="A778" i="24"/>
  <c r="A849" i="24"/>
  <c r="A912" i="24"/>
  <c r="A969" i="24"/>
  <c r="A1012" i="24"/>
  <c r="A1055" i="24"/>
  <c r="A1097" i="24"/>
  <c r="A1126" i="24"/>
  <c r="A1155" i="24"/>
  <c r="A1183" i="24"/>
  <c r="A1212" i="24"/>
  <c r="A1241" i="24"/>
  <c r="A1270" i="24"/>
  <c r="A1299" i="24"/>
  <c r="A1327" i="24"/>
  <c r="A1351" i="24"/>
  <c r="A1371" i="24"/>
  <c r="A1395" i="24"/>
  <c r="A1414" i="24"/>
  <c r="A1438" i="24"/>
  <c r="A1457" i="24"/>
  <c r="A1481" i="24"/>
  <c r="A1500" i="24"/>
  <c r="A1517" i="24"/>
  <c r="A1531" i="24"/>
  <c r="A1546" i="24"/>
  <c r="A1560" i="24"/>
  <c r="A1575" i="24"/>
  <c r="A1589" i="24"/>
  <c r="A1603" i="24"/>
  <c r="A1618" i="24"/>
  <c r="A1632" i="24"/>
  <c r="A1647" i="24"/>
  <c r="A1661" i="24"/>
  <c r="A1675" i="24"/>
  <c r="A1690" i="24"/>
  <c r="A1704" i="24"/>
  <c r="A1719" i="24"/>
  <c r="A1733" i="24"/>
  <c r="A1747" i="24"/>
  <c r="A1762" i="24"/>
  <c r="A1776" i="24"/>
  <c r="A1791" i="24"/>
  <c r="A1805" i="24"/>
  <c r="A1819" i="24"/>
  <c r="A1834" i="24"/>
  <c r="A1848" i="24"/>
  <c r="A1863" i="24"/>
  <c r="A1877" i="24"/>
  <c r="A1891" i="24"/>
  <c r="A1903" i="24"/>
  <c r="A1915" i="24"/>
  <c r="A1927" i="24"/>
  <c r="A1939" i="24"/>
  <c r="A1951" i="24"/>
  <c r="A1963" i="24"/>
  <c r="A1975" i="24"/>
  <c r="A1987" i="24"/>
  <c r="A1999" i="24"/>
  <c r="A2011" i="24"/>
  <c r="A2023" i="24"/>
  <c r="A2035" i="24"/>
  <c r="A2047" i="24"/>
  <c r="A2059" i="24"/>
  <c r="A2071" i="24"/>
  <c r="A2083" i="24"/>
  <c r="A2095" i="24"/>
  <c r="A2107" i="24"/>
  <c r="A2119" i="24"/>
  <c r="A2131" i="24"/>
  <c r="A2143" i="24"/>
  <c r="A2155" i="24"/>
  <c r="A2167" i="24"/>
  <c r="A2179" i="24"/>
  <c r="A2191" i="24"/>
  <c r="A2203" i="24"/>
  <c r="A2215" i="24"/>
  <c r="A2227" i="24"/>
  <c r="A2239" i="24"/>
  <c r="A2251" i="24"/>
  <c r="A2263" i="24"/>
  <c r="A2275" i="24"/>
  <c r="A2287" i="24"/>
  <c r="A2299" i="24"/>
  <c r="A2311" i="24"/>
  <c r="A2323" i="24"/>
  <c r="A2335" i="24"/>
  <c r="A2347" i="24"/>
  <c r="A2359" i="24"/>
  <c r="A2371" i="24"/>
  <c r="A2383" i="24"/>
  <c r="A2395" i="24"/>
  <c r="A2407" i="24"/>
  <c r="A2419" i="24"/>
  <c r="A2431" i="24"/>
  <c r="A2443" i="24"/>
  <c r="A2455" i="24"/>
  <c r="A2467" i="24"/>
  <c r="A2479" i="24"/>
  <c r="A2491" i="24"/>
  <c r="A2503" i="24"/>
  <c r="A2515" i="24"/>
  <c r="A192" i="24"/>
  <c r="A294" i="24"/>
  <c r="A381" i="24"/>
  <c r="A467" i="24"/>
  <c r="A553" i="24"/>
  <c r="A630" i="24"/>
  <c r="A706" i="24"/>
  <c r="A780" i="24"/>
  <c r="A850" i="24"/>
  <c r="A913" i="24"/>
  <c r="A970" i="24"/>
  <c r="A1013" i="24"/>
  <c r="A1056" i="24"/>
  <c r="A1098" i="24"/>
  <c r="A1127" i="24"/>
  <c r="A1156" i="24"/>
  <c r="A1185" i="24"/>
  <c r="A1213" i="24"/>
  <c r="A1242" i="24"/>
  <c r="A1271" i="24"/>
  <c r="A1300" i="24"/>
  <c r="A1329" i="24"/>
  <c r="A1353" i="24"/>
  <c r="A1372" i="24"/>
  <c r="A1396" i="24"/>
  <c r="A1415" i="24"/>
  <c r="A1439" i="24"/>
  <c r="A1458" i="24"/>
  <c r="A1482" i="24"/>
  <c r="A1501" i="24"/>
  <c r="A1518" i="24"/>
  <c r="A1533" i="24"/>
  <c r="A1547" i="24"/>
  <c r="A1561" i="24"/>
  <c r="A1576" i="24"/>
  <c r="A1590" i="24"/>
  <c r="A1605" i="24"/>
  <c r="A1619" i="24"/>
  <c r="A1633" i="24"/>
  <c r="A1648" i="24"/>
  <c r="A1662" i="24"/>
  <c r="A1677" i="24"/>
  <c r="A1691" i="24"/>
  <c r="A1705" i="24"/>
  <c r="A1720" i="24"/>
  <c r="A1734" i="24"/>
  <c r="A1749" i="24"/>
  <c r="A1763" i="24"/>
  <c r="A1777" i="24"/>
  <c r="A1792" i="24"/>
  <c r="A1806" i="24"/>
  <c r="A1821" i="24"/>
  <c r="A1835" i="24"/>
  <c r="A1849" i="24"/>
  <c r="A1864" i="24"/>
  <c r="A1878" i="24"/>
  <c r="A1892" i="24"/>
  <c r="A1904" i="24"/>
  <c r="A1916" i="24"/>
  <c r="A1928" i="24"/>
  <c r="A1940" i="24"/>
  <c r="A1952" i="24"/>
  <c r="A1964" i="24"/>
  <c r="A1976" i="24"/>
  <c r="A1988" i="24"/>
  <c r="A2000" i="24"/>
  <c r="A2012" i="24"/>
  <c r="A2024" i="24"/>
  <c r="A2036" i="24"/>
  <c r="A2048" i="24"/>
  <c r="A2060" i="24"/>
  <c r="A2072" i="24"/>
  <c r="A2084" i="24"/>
  <c r="A2096" i="24"/>
  <c r="A2108" i="24"/>
  <c r="A2120" i="24"/>
  <c r="A2132" i="24"/>
  <c r="A2144" i="24"/>
  <c r="A2156" i="24"/>
  <c r="A2168" i="24"/>
  <c r="A2180" i="24"/>
  <c r="A2192" i="24"/>
  <c r="A2204" i="24"/>
  <c r="A2216" i="24"/>
  <c r="A2228" i="24"/>
  <c r="A2240" i="24"/>
  <c r="A2252" i="24"/>
  <c r="A2264" i="24"/>
  <c r="A2276" i="24"/>
  <c r="A2288" i="24"/>
  <c r="A2300" i="24"/>
  <c r="A2312" i="24"/>
  <c r="A2324" i="24"/>
  <c r="A2336" i="24"/>
  <c r="A2348" i="24"/>
  <c r="A2360" i="24"/>
  <c r="A2372" i="24"/>
  <c r="A2384" i="24"/>
  <c r="A2396" i="24"/>
  <c r="A2408" i="24"/>
  <c r="A2420" i="24"/>
  <c r="A2432" i="24"/>
  <c r="A2444" i="24"/>
  <c r="A2456" i="24"/>
  <c r="A2468" i="24"/>
  <c r="A2480" i="24"/>
  <c r="A2492" i="24"/>
  <c r="A2504" i="24"/>
  <c r="A2516" i="24"/>
  <c r="A219" i="24"/>
  <c r="A319" i="24"/>
  <c r="A406" i="24"/>
  <c r="A492" i="24"/>
  <c r="A576" i="24"/>
  <c r="A651" i="24"/>
  <c r="A724" i="24"/>
  <c r="A797" i="24"/>
  <c r="A867" i="24"/>
  <c r="A929" i="24"/>
  <c r="A981" i="24"/>
  <c r="A1024" i="24"/>
  <c r="A1067" i="24"/>
  <c r="A1099" i="24"/>
  <c r="A1128" i="24"/>
  <c r="A1157" i="24"/>
  <c r="A1186" i="24"/>
  <c r="A1215" i="24"/>
  <c r="A1243" i="24"/>
  <c r="A1272" i="24"/>
  <c r="A1301" i="24"/>
  <c r="A1330" i="24"/>
  <c r="A1354" i="24"/>
  <c r="A1373" i="24"/>
  <c r="A1397" i="24"/>
  <c r="A1416" i="24"/>
  <c r="A1440" i="24"/>
  <c r="A1459" i="24"/>
  <c r="A1483" i="24"/>
  <c r="A1503" i="24"/>
  <c r="A1519" i="24"/>
  <c r="A1534" i="24"/>
  <c r="A1548" i="24"/>
  <c r="A1563" i="24"/>
  <c r="A1577" i="24"/>
  <c r="A1591" i="24"/>
  <c r="A1606" i="24"/>
  <c r="A1620" i="24"/>
  <c r="A1635" i="24"/>
  <c r="A1649" i="24"/>
  <c r="A1663" i="24"/>
  <c r="A1678" i="24"/>
  <c r="A1692" i="24"/>
  <c r="A1707" i="24"/>
  <c r="A1721" i="24"/>
  <c r="A1735" i="24"/>
  <c r="A1750" i="24"/>
  <c r="A1764" i="24"/>
  <c r="A1779" i="24"/>
  <c r="A1793" i="24"/>
  <c r="A1807" i="24"/>
  <c r="A1822" i="24"/>
  <c r="A1836" i="24"/>
  <c r="A1851" i="24"/>
  <c r="A1865" i="24"/>
  <c r="A1879" i="24"/>
  <c r="A1893" i="24"/>
  <c r="A1905" i="24"/>
  <c r="A1917" i="24"/>
  <c r="A1929" i="24"/>
  <c r="A1941" i="24"/>
  <c r="A1953" i="24"/>
  <c r="A1965" i="24"/>
  <c r="A1977" i="24"/>
  <c r="A1989" i="24"/>
  <c r="A2001" i="24"/>
  <c r="A2013" i="24"/>
  <c r="A2025" i="24"/>
  <c r="A2037" i="24"/>
  <c r="A2049" i="24"/>
  <c r="A2061" i="24"/>
  <c r="A2073" i="24"/>
  <c r="A2085" i="24"/>
  <c r="A2097" i="24"/>
  <c r="A2109" i="24"/>
  <c r="A2121" i="24"/>
  <c r="A2133" i="24"/>
  <c r="A2145" i="24"/>
  <c r="A2157" i="24"/>
  <c r="A2169" i="24"/>
  <c r="A2181" i="24"/>
  <c r="A2193" i="24"/>
  <c r="A2205" i="24"/>
  <c r="A2217" i="24"/>
  <c r="A2229" i="24"/>
  <c r="A2241" i="24"/>
  <c r="A2253" i="24"/>
  <c r="A2265" i="24"/>
  <c r="A2277" i="24"/>
  <c r="A2289" i="24"/>
  <c r="A2301" i="24"/>
  <c r="A2313" i="24"/>
  <c r="A2325" i="24"/>
  <c r="A2337" i="24"/>
  <c r="A2349" i="24"/>
  <c r="A2361" i="24"/>
  <c r="A2373" i="24"/>
  <c r="A2385" i="24"/>
  <c r="A2397" i="24"/>
  <c r="A2409" i="24"/>
  <c r="A2421" i="24"/>
  <c r="A2433" i="24"/>
  <c r="A2445" i="24"/>
  <c r="A2457" i="24"/>
  <c r="A2469" i="24"/>
  <c r="A221" i="24"/>
  <c r="A321" i="24"/>
  <c r="A407" i="24"/>
  <c r="A493" i="24"/>
  <c r="A579" i="24"/>
  <c r="A652" i="24"/>
  <c r="A725" i="24"/>
  <c r="A798" i="24"/>
  <c r="A868" i="24"/>
  <c r="A933" i="24"/>
  <c r="A982" i="24"/>
  <c r="A1025" i="24"/>
  <c r="A1068" i="24"/>
  <c r="A1107" i="24"/>
  <c r="A1135" i="24"/>
  <c r="A1164" i="24"/>
  <c r="A1193" i="24"/>
  <c r="A1222" i="24"/>
  <c r="A1251" i="24"/>
  <c r="A1279" i="24"/>
  <c r="A1308" i="24"/>
  <c r="A1336" i="24"/>
  <c r="A1355" i="24"/>
  <c r="A1379" i="24"/>
  <c r="A1398" i="24"/>
  <c r="A1422" i="24"/>
  <c r="A1441" i="24"/>
  <c r="A1465" i="24"/>
  <c r="A1485" i="24"/>
  <c r="A1506" i="24"/>
  <c r="A1521" i="24"/>
  <c r="A1535" i="24"/>
  <c r="A1549" i="24"/>
  <c r="A1564" i="24"/>
  <c r="A1578" i="24"/>
  <c r="A1593" i="24"/>
  <c r="A1607" i="24"/>
  <c r="A1621" i="24"/>
  <c r="A1636" i="24"/>
  <c r="A1650" i="24"/>
  <c r="A1665" i="24"/>
  <c r="A1679" i="24"/>
  <c r="A1693" i="24"/>
  <c r="A1708" i="24"/>
  <c r="A1722" i="24"/>
  <c r="A1737" i="24"/>
  <c r="A1751" i="24"/>
  <c r="A1765" i="24"/>
  <c r="A1780" i="24"/>
  <c r="A1794" i="24"/>
  <c r="A1809" i="24"/>
  <c r="A1823" i="24"/>
  <c r="A1837" i="24"/>
  <c r="A1852" i="24"/>
  <c r="A1866" i="24"/>
  <c r="A1881" i="24"/>
  <c r="A1894" i="24"/>
  <c r="A1906" i="24"/>
  <c r="A1918" i="24"/>
  <c r="A1930" i="24"/>
  <c r="A1942" i="24"/>
  <c r="A1954" i="24"/>
  <c r="A1966" i="24"/>
  <c r="A1978" i="24"/>
  <c r="A1990" i="24"/>
  <c r="A2002" i="24"/>
  <c r="A2014" i="24"/>
  <c r="A2026" i="24"/>
  <c r="A2038" i="24"/>
  <c r="A2050" i="24"/>
  <c r="A2062" i="24"/>
  <c r="A2074" i="24"/>
  <c r="A2086" i="24"/>
  <c r="A2098" i="24"/>
  <c r="A2110" i="24"/>
  <c r="A2122" i="24"/>
  <c r="A2134" i="24"/>
  <c r="A2146" i="24"/>
  <c r="A2158" i="24"/>
  <c r="A2170" i="24"/>
  <c r="A2182" i="24"/>
  <c r="A2194" i="24"/>
  <c r="A17" i="24"/>
  <c r="A222" i="24"/>
  <c r="A322" i="24"/>
  <c r="A408" i="24"/>
  <c r="A495" i="24"/>
  <c r="A580" i="24"/>
  <c r="A653" i="24"/>
  <c r="A726" i="24"/>
  <c r="A799" i="24"/>
  <c r="A869" i="24"/>
  <c r="A935" i="24"/>
  <c r="A983" i="24"/>
  <c r="A1026" i="24"/>
  <c r="A1069" i="24"/>
  <c r="A1109" i="24"/>
  <c r="A1138" i="24"/>
  <c r="A1167" i="24"/>
  <c r="A1195" i="24"/>
  <c r="A1224" i="24"/>
  <c r="A1253" i="24"/>
  <c r="A1282" i="24"/>
  <c r="A1311" i="24"/>
  <c r="A1337" i="24"/>
  <c r="A1356" i="24"/>
  <c r="A1380" i="24"/>
  <c r="A1399" i="24"/>
  <c r="A1423" i="24"/>
  <c r="A1443" i="24"/>
  <c r="A1467" i="24"/>
  <c r="A1486" i="24"/>
  <c r="A1507" i="24"/>
  <c r="A1522" i="24"/>
  <c r="A1536" i="24"/>
  <c r="A1551" i="24"/>
  <c r="A1565" i="24"/>
  <c r="A1579" i="24"/>
  <c r="A1594" i="24"/>
  <c r="A1608" i="24"/>
  <c r="A1623" i="24"/>
  <c r="A1637" i="24"/>
  <c r="A1651" i="24"/>
  <c r="A1666" i="24"/>
  <c r="A1680" i="24"/>
  <c r="A1695" i="24"/>
  <c r="A1709" i="24"/>
  <c r="A1723" i="24"/>
  <c r="A1738" i="24"/>
  <c r="A1752" i="24"/>
  <c r="A1767" i="24"/>
  <c r="A1781" i="24"/>
  <c r="A1795" i="24"/>
  <c r="A1810" i="24"/>
  <c r="A1824" i="24"/>
  <c r="A1839" i="24"/>
  <c r="A1853" i="24"/>
  <c r="A1867" i="24"/>
  <c r="A1882" i="24"/>
  <c r="A1895" i="24"/>
  <c r="A1907" i="24"/>
  <c r="A1919" i="24"/>
  <c r="A1931" i="24"/>
  <c r="A1943" i="24"/>
  <c r="A1955" i="24"/>
  <c r="A1967" i="24"/>
  <c r="A1979" i="24"/>
  <c r="A1991" i="24"/>
  <c r="A2003" i="24"/>
  <c r="A2015" i="24"/>
  <c r="A2027" i="24"/>
  <c r="A2039" i="24"/>
  <c r="A2051" i="24"/>
  <c r="A2063" i="24"/>
  <c r="A2075" i="24"/>
  <c r="A2087" i="24"/>
  <c r="A2099" i="24"/>
  <c r="A2111" i="24"/>
  <c r="A2123" i="24"/>
  <c r="A2135" i="24"/>
  <c r="A2147" i="24"/>
  <c r="A2159" i="24"/>
  <c r="A2171" i="24"/>
  <c r="A2183" i="24"/>
  <c r="A2195" i="24"/>
  <c r="A2207" i="24"/>
  <c r="A2219" i="24"/>
  <c r="A2231" i="24"/>
  <c r="A2243" i="24"/>
  <c r="A2255" i="24"/>
  <c r="A2267" i="24"/>
  <c r="A2279" i="24"/>
  <c r="A2291" i="24"/>
  <c r="A2303" i="24"/>
  <c r="A2315" i="24"/>
  <c r="A2327" i="24"/>
  <c r="A2339" i="24"/>
  <c r="A2351" i="24"/>
  <c r="A2363" i="24"/>
  <c r="A2375" i="24"/>
  <c r="A2387" i="24"/>
  <c r="A64" i="24"/>
  <c r="A223" i="24"/>
  <c r="A323" i="24"/>
  <c r="A409" i="24"/>
  <c r="A496" i="24"/>
  <c r="A581" i="24"/>
  <c r="A654" i="24"/>
  <c r="A727" i="24"/>
  <c r="A803" i="24"/>
  <c r="A870" i="24"/>
  <c r="A936" i="24"/>
  <c r="A984" i="24"/>
  <c r="A1027" i="24"/>
  <c r="A1071" i="24"/>
  <c r="A1110" i="24"/>
  <c r="A1139" i="24"/>
  <c r="A1168" i="24"/>
  <c r="A1197" i="24"/>
  <c r="A1225" i="24"/>
  <c r="A1254" i="24"/>
  <c r="A1283" i="24"/>
  <c r="A1312" i="24"/>
  <c r="A1338" i="24"/>
  <c r="A1357" i="24"/>
  <c r="A1381" i="24"/>
  <c r="A1401" i="24"/>
  <c r="A1425" i="24"/>
  <c r="A1444" i="24"/>
  <c r="A1468" i="24"/>
  <c r="A1487" i="24"/>
  <c r="A1509" i="24"/>
  <c r="A1523" i="24"/>
  <c r="A1537" i="24"/>
  <c r="A1552" i="24"/>
  <c r="A1566" i="24"/>
  <c r="A1581" i="24"/>
  <c r="A1595" i="24"/>
  <c r="A1609" i="24"/>
  <c r="A1624" i="24"/>
  <c r="A1638" i="24"/>
  <c r="A1653" i="24"/>
  <c r="A1667" i="24"/>
  <c r="A1681" i="24"/>
  <c r="A1696" i="24"/>
  <c r="A1710" i="24"/>
  <c r="A1725" i="24"/>
  <c r="A1739" i="24"/>
  <c r="A1753" i="24"/>
  <c r="A1768" i="24"/>
  <c r="A1782" i="24"/>
  <c r="A1797" i="24"/>
  <c r="A1811" i="24"/>
  <c r="A1825" i="24"/>
  <c r="A1840" i="24"/>
  <c r="A1854" i="24"/>
  <c r="A1869" i="24"/>
  <c r="A1883" i="24"/>
  <c r="A1896" i="24"/>
  <c r="A1908" i="24"/>
  <c r="A1920" i="24"/>
  <c r="A1932" i="24"/>
  <c r="A1944" i="24"/>
  <c r="A1956" i="24"/>
  <c r="A1968" i="24"/>
  <c r="A1980" i="24"/>
  <c r="A1992" i="24"/>
  <c r="A2004" i="24"/>
  <c r="A2016" i="24"/>
  <c r="A2028" i="24"/>
  <c r="A2040" i="24"/>
  <c r="A2052" i="24"/>
  <c r="A2064" i="24"/>
  <c r="A2076" i="24"/>
  <c r="A2088" i="24"/>
  <c r="A2100" i="24"/>
  <c r="A2112" i="24"/>
  <c r="A2124" i="24"/>
  <c r="A2136" i="24"/>
  <c r="A2148" i="24"/>
  <c r="A2160" i="24"/>
  <c r="A2172" i="24"/>
  <c r="A2184" i="24"/>
  <c r="A2196" i="24"/>
  <c r="A2208" i="24"/>
  <c r="A2220" i="24"/>
  <c r="A75" i="24"/>
  <c r="A251" i="24"/>
  <c r="A348" i="24"/>
  <c r="A435" i="24"/>
  <c r="A521" i="24"/>
  <c r="A598" i="24"/>
  <c r="A673" i="24"/>
  <c r="A749" i="24"/>
  <c r="A823" i="24"/>
  <c r="A886" i="24"/>
  <c r="A949" i="24"/>
  <c r="A995" i="24"/>
  <c r="A1038" i="24"/>
  <c r="A1081" i="24"/>
  <c r="A1111" i="24"/>
  <c r="A1140" i="24"/>
  <c r="A1169" i="24"/>
  <c r="A1198" i="24"/>
  <c r="A1227" i="24"/>
  <c r="A1255" i="24"/>
  <c r="A1284" i="24"/>
  <c r="A1313" i="24"/>
  <c r="A1339" i="24"/>
  <c r="A1359" i="24"/>
  <c r="A1383" i="24"/>
  <c r="A1402" i="24"/>
  <c r="A1426" i="24"/>
  <c r="A1445" i="24"/>
  <c r="A1469" i="24"/>
  <c r="A1488" i="24"/>
  <c r="A1510" i="24"/>
  <c r="A1524" i="24"/>
  <c r="A1539" i="24"/>
  <c r="A1553" i="24"/>
  <c r="A1567" i="24"/>
  <c r="A1582" i="24"/>
  <c r="A1596" i="24"/>
  <c r="A1611" i="24"/>
  <c r="A1625" i="24"/>
  <c r="A1639" i="24"/>
  <c r="A1654" i="24"/>
  <c r="A1668" i="24"/>
  <c r="A1683" i="24"/>
  <c r="A1697" i="24"/>
  <c r="A1711" i="24"/>
  <c r="A1726" i="24"/>
  <c r="A1740" i="24"/>
  <c r="A1755" i="24"/>
  <c r="A1769" i="24"/>
  <c r="A1783" i="24"/>
  <c r="A1798" i="24"/>
  <c r="A1812" i="24"/>
  <c r="A1827" i="24"/>
  <c r="A1841" i="24"/>
  <c r="A1855" i="24"/>
  <c r="A1870" i="24"/>
  <c r="A1884" i="24"/>
  <c r="A1897" i="24"/>
  <c r="A1909" i="24"/>
  <c r="A1921" i="24"/>
  <c r="A1933" i="24"/>
  <c r="A1945" i="24"/>
  <c r="A1957" i="24"/>
  <c r="A1969" i="24"/>
  <c r="A1981" i="24"/>
  <c r="A1993" i="24"/>
  <c r="A2005" i="24"/>
  <c r="A2017" i="24"/>
  <c r="A2029" i="24"/>
  <c r="A112" i="24"/>
  <c r="A252" i="24"/>
  <c r="A349" i="24"/>
  <c r="A436" i="24"/>
  <c r="A522" i="24"/>
  <c r="A601" i="24"/>
  <c r="A677" i="24"/>
  <c r="A751" i="24"/>
  <c r="A825" i="24"/>
  <c r="A889" i="24"/>
  <c r="A951" i="24"/>
  <c r="A996" i="24"/>
  <c r="A1039" i="24"/>
  <c r="A1083" i="24"/>
  <c r="A1113" i="24"/>
  <c r="A1141" i="24"/>
  <c r="A1170" i="24"/>
  <c r="A1199" i="24"/>
  <c r="A1228" i="24"/>
  <c r="A1257" i="24"/>
  <c r="A1285" i="24"/>
  <c r="A1314" i="24"/>
  <c r="A1341" i="24"/>
  <c r="A1365" i="24"/>
  <c r="A1384" i="24"/>
  <c r="A1408" i="24"/>
  <c r="A1427" i="24"/>
  <c r="A1451" i="24"/>
  <c r="A1470" i="24"/>
  <c r="A1494" i="24"/>
  <c r="A1511" i="24"/>
  <c r="A1525" i="24"/>
  <c r="A1540" i="24"/>
  <c r="A1554" i="24"/>
  <c r="A1569" i="24"/>
  <c r="A1583" i="24"/>
  <c r="A1597" i="24"/>
  <c r="A1612" i="24"/>
  <c r="A1626" i="24"/>
  <c r="A1641" i="24"/>
  <c r="A1655" i="24"/>
  <c r="A1669" i="24"/>
  <c r="A1684" i="24"/>
  <c r="A1698" i="24"/>
  <c r="A1713" i="24"/>
  <c r="A1727" i="24"/>
  <c r="A1741" i="24"/>
  <c r="A1756" i="24"/>
  <c r="A1770" i="24"/>
  <c r="A1785" i="24"/>
  <c r="A1799" i="24"/>
  <c r="A120" i="24"/>
  <c r="A256" i="24"/>
  <c r="A351" i="24"/>
  <c r="A437" i="24"/>
  <c r="A523" i="24"/>
  <c r="A605" i="24"/>
  <c r="A679" i="24"/>
  <c r="A753" i="24"/>
  <c r="A826" i="24"/>
  <c r="A892" i="24"/>
  <c r="A953" i="24"/>
  <c r="A997" i="24"/>
  <c r="A1041" i="24"/>
  <c r="A1084" i="24"/>
  <c r="A1114" i="24"/>
  <c r="A1143" i="24"/>
  <c r="A1171" i="24"/>
  <c r="A1200" i="24"/>
  <c r="A1229" i="24"/>
  <c r="A1258" i="24"/>
  <c r="A1287" i="24"/>
  <c r="A1315" i="24"/>
  <c r="A1342" i="24"/>
  <c r="A1366" i="24"/>
  <c r="A1385" i="24"/>
  <c r="A1409" i="24"/>
  <c r="A1428" i="24"/>
  <c r="A1452" i="24"/>
  <c r="A1471" i="24"/>
  <c r="A1495" i="24"/>
  <c r="A1512" i="24"/>
  <c r="A1527" i="24"/>
  <c r="A1541" i="24"/>
  <c r="A1555" i="24"/>
  <c r="A1570" i="24"/>
  <c r="A1584" i="24"/>
  <c r="A1599" i="24"/>
  <c r="A1613" i="24"/>
  <c r="A1627" i="24"/>
  <c r="A1642" i="24"/>
  <c r="A1656" i="24"/>
  <c r="A149" i="24"/>
  <c r="A262" i="24"/>
  <c r="A352" i="24"/>
  <c r="A438" i="24"/>
  <c r="A525" i="24"/>
  <c r="A607" i="24"/>
  <c r="A681" i="24"/>
  <c r="A754" i="24"/>
  <c r="A827" i="24"/>
  <c r="A893" i="24"/>
  <c r="A954" i="24"/>
  <c r="A999" i="24"/>
  <c r="A1042" i="24"/>
  <c r="A1085" i="24"/>
  <c r="A1121" i="24"/>
  <c r="A1150" i="24"/>
  <c r="A1179" i="24"/>
  <c r="A1207" i="24"/>
  <c r="A1236" i="24"/>
  <c r="A1265" i="24"/>
  <c r="A1294" i="24"/>
  <c r="A1323" i="24"/>
  <c r="A1343" i="24"/>
  <c r="A1367" i="24"/>
  <c r="A1386" i="24"/>
  <c r="A1410" i="24"/>
  <c r="A1429" i="24"/>
  <c r="A1453" i="24"/>
  <c r="A1473" i="24"/>
  <c r="A1497" i="24"/>
  <c r="A1513" i="24"/>
  <c r="A1528" i="24"/>
  <c r="A1542" i="24"/>
  <c r="A1557" i="24"/>
  <c r="A1571" i="24"/>
  <c r="A1585" i="24"/>
  <c r="A1600" i="24"/>
  <c r="A1614" i="24"/>
  <c r="A1629" i="24"/>
  <c r="A1643" i="24"/>
  <c r="A1657" i="24"/>
  <c r="A1672" i="24"/>
  <c r="A1686" i="24"/>
  <c r="A1701" i="24"/>
  <c r="A1715" i="24"/>
  <c r="A1671" i="24"/>
  <c r="A1786" i="24"/>
  <c r="A1845" i="24"/>
  <c r="A1900" i="24"/>
  <c r="A1948" i="24"/>
  <c r="A1996" i="24"/>
  <c r="A2043" i="24"/>
  <c r="A2079" i="24"/>
  <c r="A2115" i="24"/>
  <c r="A2151" i="24"/>
  <c r="A2187" i="24"/>
  <c r="A2221" i="24"/>
  <c r="A2245" i="24"/>
  <c r="A2269" i="24"/>
  <c r="A2293" i="24"/>
  <c r="A2317" i="24"/>
  <c r="A2341" i="24"/>
  <c r="A2365" i="24"/>
  <c r="A2389" i="24"/>
  <c r="A2411" i="24"/>
  <c r="A2428" i="24"/>
  <c r="A2450" i="24"/>
  <c r="A2472" i="24"/>
  <c r="A2488" i="24"/>
  <c r="A2508" i="24"/>
  <c r="A2524" i="24"/>
  <c r="A2139" i="24"/>
  <c r="A2446" i="24"/>
  <c r="A2380" i="24"/>
  <c r="A2522" i="24"/>
  <c r="A1685" i="24"/>
  <c r="A1787" i="24"/>
  <c r="A1857" i="24"/>
  <c r="A1910" i="24"/>
  <c r="A1958" i="24"/>
  <c r="A2006" i="24"/>
  <c r="A2044" i="24"/>
  <c r="A2080" i="24"/>
  <c r="A2116" i="24"/>
  <c r="A2152" i="24"/>
  <c r="A2188" i="24"/>
  <c r="A2222" i="24"/>
  <c r="A2246" i="24"/>
  <c r="A2270" i="24"/>
  <c r="A2294" i="24"/>
  <c r="A2318" i="24"/>
  <c r="A2342" i="24"/>
  <c r="A2366" i="24"/>
  <c r="A2390" i="24"/>
  <c r="A2412" i="24"/>
  <c r="A2434" i="24"/>
  <c r="A2451" i="24"/>
  <c r="A2473" i="24"/>
  <c r="A2493" i="24"/>
  <c r="A2509" i="24"/>
  <c r="A2235" i="24"/>
  <c r="A2463" i="24"/>
  <c r="A2403" i="24"/>
  <c r="A2521" i="24"/>
  <c r="A2486" i="24"/>
  <c r="A1699" i="24"/>
  <c r="A1800" i="24"/>
  <c r="A1858" i="24"/>
  <c r="A1911" i="24"/>
  <c r="A1959" i="24"/>
  <c r="A2007" i="24"/>
  <c r="A2053" i="24"/>
  <c r="A2089" i="24"/>
  <c r="A2125" i="24"/>
  <c r="A2161" i="24"/>
  <c r="A2197" i="24"/>
  <c r="A2223" i="24"/>
  <c r="A2247" i="24"/>
  <c r="A2271" i="24"/>
  <c r="A2295" i="24"/>
  <c r="A2319" i="24"/>
  <c r="A2343" i="24"/>
  <c r="A2367" i="24"/>
  <c r="A2391" i="24"/>
  <c r="A2413" i="24"/>
  <c r="A2435" i="24"/>
  <c r="A2452" i="24"/>
  <c r="A2474" i="24"/>
  <c r="A2494" i="24"/>
  <c r="A2510" i="24"/>
  <c r="A2175" i="24"/>
  <c r="A2485" i="24"/>
  <c r="A2506" i="24"/>
  <c r="A1714" i="24"/>
  <c r="A1801" i="24"/>
  <c r="A1859" i="24"/>
  <c r="A1912" i="24"/>
  <c r="A1960" i="24"/>
  <c r="A2008" i="24"/>
  <c r="A2054" i="24"/>
  <c r="A2090" i="24"/>
  <c r="A2126" i="24"/>
  <c r="A2162" i="24"/>
  <c r="A2198" i="24"/>
  <c r="A2224" i="24"/>
  <c r="A2248" i="24"/>
  <c r="A2272" i="24"/>
  <c r="A2296" i="24"/>
  <c r="A2320" i="24"/>
  <c r="A2344" i="24"/>
  <c r="A2368" i="24"/>
  <c r="A2392" i="24"/>
  <c r="A2414" i="24"/>
  <c r="A2436" i="24"/>
  <c r="A2458" i="24"/>
  <c r="A2475" i="24"/>
  <c r="A2495" i="24"/>
  <c r="A2511" i="24"/>
  <c r="A2517" i="24"/>
  <c r="A2379" i="24"/>
  <c r="A2386" i="24"/>
  <c r="A1728" i="24"/>
  <c r="A1813" i="24"/>
  <c r="A1871" i="24"/>
  <c r="A1922" i="24"/>
  <c r="A1970" i="24"/>
  <c r="A2018" i="24"/>
  <c r="A2055" i="24"/>
  <c r="A2091" i="24"/>
  <c r="A2127" i="24"/>
  <c r="A2163" i="24"/>
  <c r="A2199" i="24"/>
  <c r="A2230" i="24"/>
  <c r="A2254" i="24"/>
  <c r="A2278" i="24"/>
  <c r="A2302" i="24"/>
  <c r="A2326" i="24"/>
  <c r="A2350" i="24"/>
  <c r="A2374" i="24"/>
  <c r="A2398" i="24"/>
  <c r="A2415" i="24"/>
  <c r="A2437" i="24"/>
  <c r="A2459" i="24"/>
  <c r="A2476" i="24"/>
  <c r="A2496" i="24"/>
  <c r="A2512" i="24"/>
  <c r="A2481" i="24"/>
  <c r="A2424" i="24"/>
  <c r="A2447" i="24"/>
  <c r="A1729" i="24"/>
  <c r="A1815" i="24"/>
  <c r="A1872" i="24"/>
  <c r="A1923" i="24"/>
  <c r="A1971" i="24"/>
  <c r="A2019" i="24"/>
  <c r="A2056" i="24"/>
  <c r="A2092" i="24"/>
  <c r="A2128" i="24"/>
  <c r="A2164" i="24"/>
  <c r="A2200" i="24"/>
  <c r="A2232" i="24"/>
  <c r="A2256" i="24"/>
  <c r="A2280" i="24"/>
  <c r="A2304" i="24"/>
  <c r="A2328" i="24"/>
  <c r="A2352" i="24"/>
  <c r="A2376" i="24"/>
  <c r="A2399" i="24"/>
  <c r="A2416" i="24"/>
  <c r="A2438" i="24"/>
  <c r="A2460" i="24"/>
  <c r="A2497" i="24"/>
  <c r="A2331" i="24"/>
  <c r="A2426" i="24"/>
  <c r="A1743" i="24"/>
  <c r="A1816" i="24"/>
  <c r="A1873" i="24"/>
  <c r="A1924" i="24"/>
  <c r="A1972" i="24"/>
  <c r="A2020" i="24"/>
  <c r="A2065" i="24"/>
  <c r="A2101" i="24"/>
  <c r="A2137" i="24"/>
  <c r="A2173" i="24"/>
  <c r="A2206" i="24"/>
  <c r="A2233" i="24"/>
  <c r="A2257" i="24"/>
  <c r="A2281" i="24"/>
  <c r="A2305" i="24"/>
  <c r="A2329" i="24"/>
  <c r="A2353" i="24"/>
  <c r="A2377" i="24"/>
  <c r="A2400" i="24"/>
  <c r="A2422" i="24"/>
  <c r="A2439" i="24"/>
  <c r="A2461" i="24"/>
  <c r="A2482" i="24"/>
  <c r="A2498" i="24"/>
  <c r="A2518" i="24"/>
  <c r="A2259" i="24"/>
  <c r="A2355" i="24"/>
  <c r="A2484" i="24"/>
  <c r="A1744" i="24"/>
  <c r="A1828" i="24"/>
  <c r="A1885" i="24"/>
  <c r="A1934" i="24"/>
  <c r="A1982" i="24"/>
  <c r="A2030" i="24"/>
  <c r="A2066" i="24"/>
  <c r="A2102" i="24"/>
  <c r="A2138" i="24"/>
  <c r="A2174" i="24"/>
  <c r="A2209" i="24"/>
  <c r="A2234" i="24"/>
  <c r="A2258" i="24"/>
  <c r="A2282" i="24"/>
  <c r="A2306" i="24"/>
  <c r="A2330" i="24"/>
  <c r="A2354" i="24"/>
  <c r="A2378" i="24"/>
  <c r="A2401" i="24"/>
  <c r="A2423" i="24"/>
  <c r="A2440" i="24"/>
  <c r="A2462" i="24"/>
  <c r="A2483" i="24"/>
  <c r="A2499" i="24"/>
  <c r="A2519" i="24"/>
  <c r="A2210" i="24"/>
  <c r="A2500" i="24"/>
  <c r="A2356" i="24"/>
  <c r="A2448" i="24"/>
  <c r="A1757" i="24"/>
  <c r="A1829" i="24"/>
  <c r="A1887" i="24"/>
  <c r="A1935" i="24"/>
  <c r="A1983" i="24"/>
  <c r="A2031" i="24"/>
  <c r="A2067" i="24"/>
  <c r="A2103" i="24"/>
  <c r="A2283" i="24"/>
  <c r="A2307" i="24"/>
  <c r="A2402" i="24"/>
  <c r="A2520" i="24"/>
  <c r="A2464" i="24"/>
  <c r="A2404" i="24"/>
  <c r="A1758" i="24"/>
  <c r="A1830" i="24"/>
  <c r="A1888" i="24"/>
  <c r="A1936" i="24"/>
  <c r="A1984" i="24"/>
  <c r="A2032" i="24"/>
  <c r="A2068" i="24"/>
  <c r="A2104" i="24"/>
  <c r="A2140" i="24"/>
  <c r="A2176" i="24"/>
  <c r="A2211" i="24"/>
  <c r="A2236" i="24"/>
  <c r="A2260" i="24"/>
  <c r="A2284" i="24"/>
  <c r="A2308" i="24"/>
  <c r="A2332" i="24"/>
  <c r="A2425" i="24"/>
  <c r="A2505" i="24"/>
  <c r="A1771" i="24"/>
  <c r="A1842" i="24"/>
  <c r="A1898" i="24"/>
  <c r="A1946" i="24"/>
  <c r="A1994" i="24"/>
  <c r="A2041" i="24"/>
  <c r="A2077" i="24"/>
  <c r="A2113" i="24"/>
  <c r="A2149" i="24"/>
  <c r="A2185" i="24"/>
  <c r="A2212" i="24"/>
  <c r="A2242" i="24"/>
  <c r="A2266" i="24"/>
  <c r="A2290" i="24"/>
  <c r="A2314" i="24"/>
  <c r="A2338" i="24"/>
  <c r="A2362" i="24"/>
  <c r="A2470" i="24"/>
  <c r="A1773" i="24"/>
  <c r="A1843" i="24"/>
  <c r="A1899" i="24"/>
  <c r="A1947" i="24"/>
  <c r="A1995" i="24"/>
  <c r="A2042" i="24"/>
  <c r="A2078" i="24"/>
  <c r="A2114" i="24"/>
  <c r="A2150" i="24"/>
  <c r="A2186" i="24"/>
  <c r="A2218" i="24"/>
  <c r="A2244" i="24"/>
  <c r="A2268" i="24"/>
  <c r="A2292" i="24"/>
  <c r="A2316" i="24"/>
  <c r="A2340" i="24"/>
  <c r="A2364" i="24"/>
  <c r="A2388" i="24"/>
  <c r="A2410" i="24"/>
  <c r="A2427" i="24"/>
  <c r="A2449" i="24"/>
  <c r="A2471" i="24"/>
  <c r="A2487" i="24"/>
  <c r="A2507" i="24"/>
  <c r="A2523" i="24"/>
  <c r="J8" i="24"/>
  <c r="J20" i="24"/>
  <c r="J32" i="24"/>
  <c r="J44" i="24"/>
  <c r="J56" i="24"/>
  <c r="J68" i="24"/>
  <c r="J80" i="24"/>
  <c r="J92" i="24"/>
  <c r="J104" i="24"/>
  <c r="J116" i="24"/>
  <c r="J128" i="24"/>
  <c r="J140" i="24"/>
  <c r="J152" i="24"/>
  <c r="J164" i="24"/>
  <c r="J176" i="24"/>
  <c r="J188" i="24"/>
  <c r="J200" i="24"/>
  <c r="J212" i="24"/>
  <c r="J224" i="24"/>
  <c r="J236" i="24"/>
  <c r="J248" i="24"/>
  <c r="J260" i="24"/>
  <c r="J14" i="24"/>
  <c r="J26" i="24"/>
  <c r="J38" i="24"/>
  <c r="J50" i="24"/>
  <c r="J62" i="24"/>
  <c r="J74" i="24"/>
  <c r="J86" i="24"/>
  <c r="J7" i="24"/>
  <c r="J22" i="24"/>
  <c r="J36" i="24"/>
  <c r="J51" i="24"/>
  <c r="J65" i="24"/>
  <c r="J79" i="24"/>
  <c r="J94" i="24"/>
  <c r="J107" i="24"/>
  <c r="J120" i="24"/>
  <c r="J133" i="24"/>
  <c r="J146" i="24"/>
  <c r="J159" i="24"/>
  <c r="J172" i="24"/>
  <c r="J185" i="24"/>
  <c r="J198" i="24"/>
  <c r="J211" i="24"/>
  <c r="J225" i="24"/>
  <c r="J238" i="24"/>
  <c r="J251" i="24"/>
  <c r="J264" i="24"/>
  <c r="J276" i="24"/>
  <c r="J288" i="24"/>
  <c r="J300" i="24"/>
  <c r="J312" i="24"/>
  <c r="J324" i="24"/>
  <c r="J336" i="24"/>
  <c r="J348" i="24"/>
  <c r="J360" i="24"/>
  <c r="J372" i="24"/>
  <c r="J384" i="24"/>
  <c r="J396" i="24"/>
  <c r="J408" i="24"/>
  <c r="J420" i="24"/>
  <c r="J9" i="24"/>
  <c r="J23" i="24"/>
  <c r="J37" i="24"/>
  <c r="J52" i="24"/>
  <c r="J66" i="24"/>
  <c r="J81" i="24"/>
  <c r="J95" i="24"/>
  <c r="J108" i="24"/>
  <c r="J121" i="24"/>
  <c r="J134" i="24"/>
  <c r="J147" i="24"/>
  <c r="J160" i="24"/>
  <c r="J173" i="24"/>
  <c r="J186" i="24"/>
  <c r="J199" i="24"/>
  <c r="J213" i="24"/>
  <c r="J226" i="24"/>
  <c r="J239" i="24"/>
  <c r="J252" i="24"/>
  <c r="J265" i="24"/>
  <c r="J277" i="24"/>
  <c r="J289" i="24"/>
  <c r="J301" i="24"/>
  <c r="J313" i="24"/>
  <c r="J325" i="24"/>
  <c r="J337" i="24"/>
  <c r="J349" i="24"/>
  <c r="J361" i="24"/>
  <c r="J373" i="24"/>
  <c r="J385" i="24"/>
  <c r="J397" i="24"/>
  <c r="J409" i="24"/>
  <c r="J421" i="24"/>
  <c r="J19" i="24"/>
  <c r="J39" i="24"/>
  <c r="J55" i="24"/>
  <c r="J72" i="24"/>
  <c r="J89" i="24"/>
  <c r="J105" i="24"/>
  <c r="J122" i="24"/>
  <c r="J137" i="24"/>
  <c r="J153" i="24"/>
  <c r="J168" i="24"/>
  <c r="J183" i="24"/>
  <c r="J201" i="24"/>
  <c r="J216" i="24"/>
  <c r="J231" i="24"/>
  <c r="J246" i="24"/>
  <c r="J262" i="24"/>
  <c r="J278" i="24"/>
  <c r="J292" i="24"/>
  <c r="J306" i="24"/>
  <c r="J320" i="24"/>
  <c r="J334" i="24"/>
  <c r="J350" i="24"/>
  <c r="J364" i="24"/>
  <c r="J378" i="24"/>
  <c r="J392" i="24"/>
  <c r="J406" i="24"/>
  <c r="J422" i="24"/>
  <c r="J434" i="24"/>
  <c r="J446" i="24"/>
  <c r="J458" i="24"/>
  <c r="J470" i="24"/>
  <c r="J482" i="24"/>
  <c r="J494" i="24"/>
  <c r="J506" i="24"/>
  <c r="J518" i="24"/>
  <c r="J530" i="24"/>
  <c r="J542" i="24"/>
  <c r="J554" i="24"/>
  <c r="J566" i="24"/>
  <c r="J578" i="24"/>
  <c r="J590" i="24"/>
  <c r="J602" i="24"/>
  <c r="J614" i="24"/>
  <c r="J626" i="24"/>
  <c r="J638" i="24"/>
  <c r="J650" i="24"/>
  <c r="J662" i="24"/>
  <c r="J674" i="24"/>
  <c r="J686" i="24"/>
  <c r="J698" i="24"/>
  <c r="J710" i="24"/>
  <c r="J722" i="24"/>
  <c r="J734" i="24"/>
  <c r="J746" i="24"/>
  <c r="J758" i="24"/>
  <c r="J21" i="24"/>
  <c r="J40" i="24"/>
  <c r="J57" i="24"/>
  <c r="J73" i="24"/>
  <c r="J90" i="24"/>
  <c r="J106" i="24"/>
  <c r="J123" i="24"/>
  <c r="J138" i="24"/>
  <c r="J154" i="24"/>
  <c r="J169" i="24"/>
  <c r="J184" i="24"/>
  <c r="J202" i="24"/>
  <c r="J217" i="24"/>
  <c r="J232" i="24"/>
  <c r="J247" i="24"/>
  <c r="J263" i="24"/>
  <c r="J279" i="24"/>
  <c r="J293" i="24"/>
  <c r="J307" i="24"/>
  <c r="J321" i="24"/>
  <c r="J335" i="24"/>
  <c r="J351" i="24"/>
  <c r="J365" i="24"/>
  <c r="J379" i="24"/>
  <c r="J393" i="24"/>
  <c r="J407" i="24"/>
  <c r="J423" i="24"/>
  <c r="J435" i="24"/>
  <c r="J447" i="24"/>
  <c r="J459" i="24"/>
  <c r="J471" i="24"/>
  <c r="J483" i="24"/>
  <c r="J495" i="24"/>
  <c r="J507" i="24"/>
  <c r="J519" i="24"/>
  <c r="J531" i="24"/>
  <c r="J543" i="24"/>
  <c r="J555" i="24"/>
  <c r="J567" i="24"/>
  <c r="J579" i="24"/>
  <c r="J591" i="24"/>
  <c r="J603" i="24"/>
  <c r="J615" i="24"/>
  <c r="J627" i="24"/>
  <c r="J639" i="24"/>
  <c r="J651" i="24"/>
  <c r="J663" i="24"/>
  <c r="J675" i="24"/>
  <c r="J687" i="24"/>
  <c r="J699" i="24"/>
  <c r="J711" i="24"/>
  <c r="J723" i="24"/>
  <c r="J735" i="24"/>
  <c r="J747" i="24"/>
  <c r="J759" i="24"/>
  <c r="J12" i="24"/>
  <c r="J31" i="24"/>
  <c r="J53" i="24"/>
  <c r="J75" i="24"/>
  <c r="J96" i="24"/>
  <c r="J113" i="24"/>
  <c r="J131" i="24"/>
  <c r="J150" i="24"/>
  <c r="J170" i="24"/>
  <c r="J190" i="24"/>
  <c r="J207" i="24"/>
  <c r="J227" i="24"/>
  <c r="J244" i="24"/>
  <c r="J266" i="24"/>
  <c r="J282" i="24"/>
  <c r="J298" i="24"/>
  <c r="J316" i="24"/>
  <c r="J332" i="24"/>
  <c r="J352" i="24"/>
  <c r="J368" i="24"/>
  <c r="J386" i="24"/>
  <c r="J402" i="24"/>
  <c r="J418" i="24"/>
  <c r="J436" i="24"/>
  <c r="J450" i="24"/>
  <c r="J464" i="24"/>
  <c r="J478" i="24"/>
  <c r="J492" i="24"/>
  <c r="J508" i="24"/>
  <c r="J522" i="24"/>
  <c r="J536" i="24"/>
  <c r="J550" i="24"/>
  <c r="J564" i="24"/>
  <c r="J580" i="24"/>
  <c r="J594" i="24"/>
  <c r="J608" i="24"/>
  <c r="J622" i="24"/>
  <c r="J636" i="24"/>
  <c r="J652" i="24"/>
  <c r="J666" i="24"/>
  <c r="J680" i="24"/>
  <c r="J694" i="24"/>
  <c r="J708" i="24"/>
  <c r="J724" i="24"/>
  <c r="J738" i="24"/>
  <c r="J752" i="24"/>
  <c r="J24" i="24"/>
  <c r="J43" i="24"/>
  <c r="J63" i="24"/>
  <c r="J84" i="24"/>
  <c r="J102" i="24"/>
  <c r="J124" i="24"/>
  <c r="J142" i="24"/>
  <c r="J161" i="24"/>
  <c r="J179" i="24"/>
  <c r="J196" i="24"/>
  <c r="J218" i="24"/>
  <c r="J235" i="24"/>
  <c r="J255" i="24"/>
  <c r="J272" i="24"/>
  <c r="J290" i="24"/>
  <c r="J308" i="24"/>
  <c r="J326" i="24"/>
  <c r="J342" i="24"/>
  <c r="J358" i="24"/>
  <c r="J376" i="24"/>
  <c r="J394" i="24"/>
  <c r="J412" i="24"/>
  <c r="J428" i="24"/>
  <c r="J442" i="24"/>
  <c r="J456" i="24"/>
  <c r="J472" i="24"/>
  <c r="J486" i="24"/>
  <c r="J500" i="24"/>
  <c r="J514" i="24"/>
  <c r="J528" i="24"/>
  <c r="J544" i="24"/>
  <c r="J558" i="24"/>
  <c r="J572" i="24"/>
  <c r="J586" i="24"/>
  <c r="J600" i="24"/>
  <c r="J616" i="24"/>
  <c r="J630" i="24"/>
  <c r="J644" i="24"/>
  <c r="J658" i="24"/>
  <c r="J672" i="24"/>
  <c r="J688" i="24"/>
  <c r="J702" i="24"/>
  <c r="J716" i="24"/>
  <c r="J730" i="24"/>
  <c r="J744" i="24"/>
  <c r="J760" i="24"/>
  <c r="J10" i="24"/>
  <c r="J29" i="24"/>
  <c r="J48" i="24"/>
  <c r="J70" i="24"/>
  <c r="J91" i="24"/>
  <c r="J111" i="24"/>
  <c r="J129" i="24"/>
  <c r="J148" i="24"/>
  <c r="J166" i="24"/>
  <c r="J187" i="24"/>
  <c r="J205" i="24"/>
  <c r="J222" i="24"/>
  <c r="J242" i="24"/>
  <c r="J259" i="24"/>
  <c r="J280" i="24"/>
  <c r="J296" i="24"/>
  <c r="J314" i="24"/>
  <c r="J330" i="24"/>
  <c r="J346" i="24"/>
  <c r="J366" i="24"/>
  <c r="J382" i="24"/>
  <c r="J400" i="24"/>
  <c r="J416" i="24"/>
  <c r="J432" i="24"/>
  <c r="J448" i="24"/>
  <c r="J462" i="24"/>
  <c r="J476" i="24"/>
  <c r="J490" i="24"/>
  <c r="J504" i="24"/>
  <c r="J520" i="24"/>
  <c r="J534" i="24"/>
  <c r="J548" i="24"/>
  <c r="J562" i="24"/>
  <c r="J576" i="24"/>
  <c r="J592" i="24"/>
  <c r="J606" i="24"/>
  <c r="J620" i="24"/>
  <c r="J634" i="24"/>
  <c r="J648" i="24"/>
  <c r="J664" i="24"/>
  <c r="J678" i="24"/>
  <c r="J692" i="24"/>
  <c r="J706" i="24"/>
  <c r="J720" i="24"/>
  <c r="J736" i="24"/>
  <c r="J750" i="24"/>
  <c r="J764" i="24"/>
  <c r="J11" i="24"/>
  <c r="J30" i="24"/>
  <c r="J49" i="24"/>
  <c r="J71" i="24"/>
  <c r="J93" i="24"/>
  <c r="J112" i="24"/>
  <c r="J130" i="24"/>
  <c r="J149" i="24"/>
  <c r="J167" i="24"/>
  <c r="J189" i="24"/>
  <c r="J206" i="24"/>
  <c r="J223" i="24"/>
  <c r="J243" i="24"/>
  <c r="J261" i="24"/>
  <c r="J281" i="24"/>
  <c r="J297" i="24"/>
  <c r="J315" i="24"/>
  <c r="J331" i="24"/>
  <c r="J347" i="24"/>
  <c r="J367" i="24"/>
  <c r="J383" i="24"/>
  <c r="J401" i="24"/>
  <c r="J417" i="24"/>
  <c r="J433" i="24"/>
  <c r="J449" i="24"/>
  <c r="J463" i="24"/>
  <c r="J477" i="24"/>
  <c r="J491" i="24"/>
  <c r="J505" i="24"/>
  <c r="J521" i="24"/>
  <c r="J535" i="24"/>
  <c r="J549" i="24"/>
  <c r="J563" i="24"/>
  <c r="J577" i="24"/>
  <c r="J593" i="24"/>
  <c r="J607" i="24"/>
  <c r="J621" i="24"/>
  <c r="J635" i="24"/>
  <c r="J649" i="24"/>
  <c r="J665" i="24"/>
  <c r="J679" i="24"/>
  <c r="J693" i="24"/>
  <c r="J707" i="24"/>
  <c r="J721" i="24"/>
  <c r="J737" i="24"/>
  <c r="J751" i="24"/>
  <c r="J18" i="24"/>
  <c r="J54" i="24"/>
  <c r="J83" i="24"/>
  <c r="J114" i="24"/>
  <c r="J141" i="24"/>
  <c r="J171" i="24"/>
  <c r="J195" i="24"/>
  <c r="J228" i="24"/>
  <c r="J254" i="24"/>
  <c r="J283" i="24"/>
  <c r="J305" i="24"/>
  <c r="J333" i="24"/>
  <c r="J357" i="24"/>
  <c r="J387" i="24"/>
  <c r="J411" i="24"/>
  <c r="J437" i="24"/>
  <c r="J455" i="24"/>
  <c r="J479" i="24"/>
  <c r="J499" i="24"/>
  <c r="J523" i="24"/>
  <c r="J541" i="24"/>
  <c r="J565" i="24"/>
  <c r="J585" i="24"/>
  <c r="J609" i="24"/>
  <c r="J629" i="24"/>
  <c r="J653" i="24"/>
  <c r="J671" i="24"/>
  <c r="J695" i="24"/>
  <c r="J715" i="24"/>
  <c r="J739" i="24"/>
  <c r="J757" i="24"/>
  <c r="J35" i="24"/>
  <c r="J67" i="24"/>
  <c r="J99" i="24"/>
  <c r="J126" i="24"/>
  <c r="J156" i="24"/>
  <c r="J181" i="24"/>
  <c r="J210" i="24"/>
  <c r="J240" i="24"/>
  <c r="J269" i="24"/>
  <c r="J294" i="24"/>
  <c r="J319" i="24"/>
  <c r="J344" i="24"/>
  <c r="J371" i="24"/>
  <c r="J398" i="24"/>
  <c r="J425" i="24"/>
  <c r="J444" i="24"/>
  <c r="J467" i="24"/>
  <c r="J488" i="24"/>
  <c r="J511" i="24"/>
  <c r="J532" i="24"/>
  <c r="J553" i="24"/>
  <c r="J574" i="24"/>
  <c r="J597" i="24"/>
  <c r="J618" i="24"/>
  <c r="J641" i="24"/>
  <c r="J660" i="24"/>
  <c r="J683" i="24"/>
  <c r="J704" i="24"/>
  <c r="J727" i="24"/>
  <c r="J748" i="24"/>
  <c r="J16" i="24"/>
  <c r="J46" i="24"/>
  <c r="J78" i="24"/>
  <c r="J109" i="24"/>
  <c r="J136" i="24"/>
  <c r="J163" i="24"/>
  <c r="J193" i="24"/>
  <c r="J220" i="24"/>
  <c r="J250" i="24"/>
  <c r="J274" i="24"/>
  <c r="J303" i="24"/>
  <c r="J328" i="24"/>
  <c r="J355" i="24"/>
  <c r="J380" i="24"/>
  <c r="J405" i="24"/>
  <c r="J430" i="24"/>
  <c r="J453" i="24"/>
  <c r="J474" i="24"/>
  <c r="J497" i="24"/>
  <c r="J516" i="24"/>
  <c r="J539" i="24"/>
  <c r="J560" i="24"/>
  <c r="J583" i="24"/>
  <c r="J604" i="24"/>
  <c r="J625" i="24"/>
  <c r="J646" i="24"/>
  <c r="J669" i="24"/>
  <c r="J690" i="24"/>
  <c r="J713" i="24"/>
  <c r="J732" i="24"/>
  <c r="J755" i="24"/>
  <c r="J17" i="24"/>
  <c r="J47" i="24"/>
  <c r="J82" i="24"/>
  <c r="J110" i="24"/>
  <c r="J139" i="24"/>
  <c r="J165" i="24"/>
  <c r="J194" i="24"/>
  <c r="J221" i="24"/>
  <c r="J253" i="24"/>
  <c r="J275" i="24"/>
  <c r="J304" i="24"/>
  <c r="J329" i="24"/>
  <c r="J356" i="24"/>
  <c r="J381" i="24"/>
  <c r="J410" i="24"/>
  <c r="J431" i="24"/>
  <c r="J454" i="24"/>
  <c r="J475" i="24"/>
  <c r="J498" i="24"/>
  <c r="J517" i="24"/>
  <c r="J540" i="24"/>
  <c r="J561" i="24"/>
  <c r="J584" i="24"/>
  <c r="J605" i="24"/>
  <c r="J628" i="24"/>
  <c r="J647" i="24"/>
  <c r="J670" i="24"/>
  <c r="J691" i="24"/>
  <c r="J714" i="24"/>
  <c r="J733" i="24"/>
  <c r="J756" i="24"/>
  <c r="J34" i="24"/>
  <c r="J85" i="24"/>
  <c r="J125" i="24"/>
  <c r="J174" i="24"/>
  <c r="J209" i="24"/>
  <c r="J256" i="24"/>
  <c r="J291" i="24"/>
  <c r="J338" i="24"/>
  <c r="J370" i="24"/>
  <c r="J413" i="24"/>
  <c r="J443" i="24"/>
  <c r="J480" i="24"/>
  <c r="J510" i="24"/>
  <c r="J545" i="24"/>
  <c r="J573" i="24"/>
  <c r="J610" i="24"/>
  <c r="J640" i="24"/>
  <c r="J673" i="24"/>
  <c r="J703" i="24"/>
  <c r="J740" i="24"/>
  <c r="J13" i="24"/>
  <c r="J60" i="24"/>
  <c r="J101" i="24"/>
  <c r="J145" i="24"/>
  <c r="J191" i="24"/>
  <c r="J233" i="24"/>
  <c r="J271" i="24"/>
  <c r="J311" i="24"/>
  <c r="J353" i="24"/>
  <c r="J390" i="24"/>
  <c r="J427" i="24"/>
  <c r="J461" i="24"/>
  <c r="J493" i="24"/>
  <c r="J526" i="24"/>
  <c r="J557" i="24"/>
  <c r="J589" i="24"/>
  <c r="J623" i="24"/>
  <c r="J656" i="24"/>
  <c r="J685" i="24"/>
  <c r="J719" i="24"/>
  <c r="J753" i="24"/>
  <c r="J28" i="24"/>
  <c r="J76" i="24"/>
  <c r="J118" i="24"/>
  <c r="J158" i="24"/>
  <c r="J204" i="24"/>
  <c r="J245" i="24"/>
  <c r="J286" i="24"/>
  <c r="J323" i="24"/>
  <c r="J363" i="24"/>
  <c r="J403" i="24"/>
  <c r="J440" i="24"/>
  <c r="J469" i="24"/>
  <c r="J503" i="24"/>
  <c r="J537" i="24"/>
  <c r="J570" i="24"/>
  <c r="J599" i="24"/>
  <c r="J633" i="24"/>
  <c r="J667" i="24"/>
  <c r="J700" i="24"/>
  <c r="J729" i="24"/>
  <c r="J763" i="24"/>
  <c r="J33" i="24"/>
  <c r="J77" i="24"/>
  <c r="J119" i="24"/>
  <c r="J162" i="24"/>
  <c r="J208" i="24"/>
  <c r="J249" i="24"/>
  <c r="J287" i="24"/>
  <c r="J327" i="24"/>
  <c r="J369" i="24"/>
  <c r="J404" i="24"/>
  <c r="J441" i="24"/>
  <c r="J473" i="24"/>
  <c r="J509" i="24"/>
  <c r="J538" i="24"/>
  <c r="J571" i="24"/>
  <c r="J601" i="24"/>
  <c r="J637" i="24"/>
  <c r="J668" i="24"/>
  <c r="J701" i="24"/>
  <c r="J731" i="24"/>
  <c r="J15" i="24"/>
  <c r="J88" i="24"/>
  <c r="J151" i="24"/>
  <c r="J215" i="24"/>
  <c r="J273" i="24"/>
  <c r="J340" i="24"/>
  <c r="J391" i="24"/>
  <c r="J451" i="24"/>
  <c r="J496" i="24"/>
  <c r="J547" i="24"/>
  <c r="J595" i="24"/>
  <c r="J643" i="24"/>
  <c r="J689" i="24"/>
  <c r="J742" i="24"/>
  <c r="J58" i="24"/>
  <c r="J117" i="24"/>
  <c r="J180" i="24"/>
  <c r="J241" i="24"/>
  <c r="J309" i="24"/>
  <c r="J362" i="24"/>
  <c r="J424" i="24"/>
  <c r="J468" i="24"/>
  <c r="J524" i="24"/>
  <c r="J569" i="24"/>
  <c r="J617" i="24"/>
  <c r="J661" i="24"/>
  <c r="J717" i="24"/>
  <c r="J762" i="24"/>
  <c r="J64" i="24"/>
  <c r="J135" i="24"/>
  <c r="J197" i="24"/>
  <c r="J267" i="24"/>
  <c r="J318" i="24"/>
  <c r="J377" i="24"/>
  <c r="J438" i="24"/>
  <c r="J485" i="24"/>
  <c r="J529" i="24"/>
  <c r="J582" i="24"/>
  <c r="J631" i="24"/>
  <c r="J681" i="24"/>
  <c r="J726" i="24"/>
  <c r="J69" i="24"/>
  <c r="J143" i="24"/>
  <c r="J203" i="24"/>
  <c r="J268" i="24"/>
  <c r="J322" i="24"/>
  <c r="J388" i="24"/>
  <c r="J439" i="24"/>
  <c r="J487" i="24"/>
  <c r="J533" i="24"/>
  <c r="J587" i="24"/>
  <c r="J632" i="24"/>
  <c r="J682" i="24"/>
  <c r="J728" i="24"/>
  <c r="J97" i="24"/>
  <c r="J178" i="24"/>
  <c r="J284" i="24"/>
  <c r="J359" i="24"/>
  <c r="J452" i="24"/>
  <c r="J515" i="24"/>
  <c r="J596" i="24"/>
  <c r="J659" i="24"/>
  <c r="J743" i="24"/>
  <c r="J27" i="24"/>
  <c r="J127" i="24"/>
  <c r="J229" i="24"/>
  <c r="J310" i="24"/>
  <c r="J399" i="24"/>
  <c r="J481" i="24"/>
  <c r="J552" i="24"/>
  <c r="J619" i="24"/>
  <c r="J697" i="24"/>
  <c r="J41" i="24"/>
  <c r="J132" i="24"/>
  <c r="J230" i="24"/>
  <c r="J317" i="24"/>
  <c r="J414" i="24"/>
  <c r="J484" i="24"/>
  <c r="J556" i="24"/>
  <c r="J624" i="24"/>
  <c r="J705" i="24"/>
  <c r="J59" i="24"/>
  <c r="J157" i="24"/>
  <c r="J257" i="24"/>
  <c r="J343" i="24"/>
  <c r="J426" i="24"/>
  <c r="J502" i="24"/>
  <c r="J575" i="24"/>
  <c r="J654" i="24"/>
  <c r="J718" i="24"/>
  <c r="J61" i="24"/>
  <c r="J175" i="24"/>
  <c r="J258" i="24"/>
  <c r="J345" i="24"/>
  <c r="J429" i="24"/>
  <c r="J512" i="24"/>
  <c r="J581" i="24"/>
  <c r="J655" i="24"/>
  <c r="J725" i="24"/>
  <c r="J182" i="24"/>
  <c r="J341" i="24"/>
  <c r="J466" i="24"/>
  <c r="J611" i="24"/>
  <c r="J741" i="24"/>
  <c r="J45" i="24"/>
  <c r="J219" i="24"/>
  <c r="J375" i="24"/>
  <c r="J513" i="24"/>
  <c r="J642" i="24"/>
  <c r="J754" i="24"/>
  <c r="J100" i="24"/>
  <c r="J270" i="24"/>
  <c r="J415" i="24"/>
  <c r="J546" i="24"/>
  <c r="J676" i="24"/>
  <c r="J103" i="24"/>
  <c r="J285" i="24"/>
  <c r="J419" i="24"/>
  <c r="J551" i="24"/>
  <c r="J677" i="24"/>
  <c r="J144" i="24"/>
  <c r="J374" i="24"/>
  <c r="J568" i="24"/>
  <c r="J749" i="24"/>
  <c r="J237" i="24"/>
  <c r="J465" i="24"/>
  <c r="J657" i="24"/>
  <c r="J177" i="24"/>
  <c r="J457" i="24"/>
  <c r="J684" i="24"/>
  <c r="J299" i="24"/>
  <c r="J527" i="24"/>
  <c r="J761" i="24"/>
  <c r="J25" i="24"/>
  <c r="J302" i="24"/>
  <c r="J559" i="24"/>
  <c r="J155" i="24"/>
  <c r="J445" i="24"/>
  <c r="J645" i="24"/>
  <c r="J192" i="24"/>
  <c r="J588" i="24"/>
  <c r="J354" i="24"/>
  <c r="J709" i="24"/>
  <c r="J389" i="24"/>
  <c r="J712" i="24"/>
  <c r="J115" i="24"/>
  <c r="J525" i="24"/>
  <c r="J598" i="24"/>
  <c r="J42" i="24"/>
  <c r="J612" i="24"/>
  <c r="J98" i="24"/>
  <c r="J696" i="24"/>
  <c r="J214" i="24"/>
  <c r="J745" i="24"/>
  <c r="J234" i="24"/>
  <c r="J295" i="24"/>
  <c r="J395" i="24"/>
  <c r="J460" i="24"/>
  <c r="J489" i="24"/>
  <c r="J501" i="24"/>
  <c r="J339" i="24"/>
  <c r="J613" i="24"/>
  <c r="J87" i="24"/>
  <c r="F13" i="24"/>
  <c r="F25" i="24"/>
  <c r="F37" i="24"/>
  <c r="F49" i="24"/>
  <c r="F61" i="24"/>
  <c r="F73" i="24"/>
  <c r="F85" i="24"/>
  <c r="F97" i="24"/>
  <c r="F109" i="24"/>
  <c r="F121" i="24"/>
  <c r="F133" i="24"/>
  <c r="F145" i="24"/>
  <c r="F157" i="24"/>
  <c r="F169" i="24"/>
  <c r="F181" i="24"/>
  <c r="F193" i="24"/>
  <c r="F205" i="24"/>
  <c r="F217" i="24"/>
  <c r="F229" i="24"/>
  <c r="F241" i="24"/>
  <c r="F253" i="24"/>
  <c r="F265" i="24"/>
  <c r="F277" i="24"/>
  <c r="F289" i="24"/>
  <c r="F301" i="24"/>
  <c r="F313" i="24"/>
  <c r="F325" i="24"/>
  <c r="F337" i="24"/>
  <c r="F349" i="24"/>
  <c r="F361" i="24"/>
  <c r="F373" i="24"/>
  <c r="F385" i="24"/>
  <c r="F397" i="24"/>
  <c r="F409" i="24"/>
  <c r="F421" i="24"/>
  <c r="F433" i="24"/>
  <c r="F445" i="24"/>
  <c r="F457" i="24"/>
  <c r="F469" i="24"/>
  <c r="F481" i="24"/>
  <c r="F493" i="24"/>
  <c r="F505" i="24"/>
  <c r="F517" i="24"/>
  <c r="F529" i="24"/>
  <c r="F541" i="24"/>
  <c r="F553" i="24"/>
  <c r="F565" i="24"/>
  <c r="F577" i="24"/>
  <c r="F589" i="24"/>
  <c r="F601" i="24"/>
  <c r="F613" i="24"/>
  <c r="F625" i="24"/>
  <c r="F637" i="24"/>
  <c r="F649" i="24"/>
  <c r="F661" i="24"/>
  <c r="F673" i="24"/>
  <c r="F685" i="24"/>
  <c r="F697" i="24"/>
  <c r="F709" i="24"/>
  <c r="F721" i="24"/>
  <c r="F733" i="24"/>
  <c r="F745" i="24"/>
  <c r="F757" i="24"/>
  <c r="F769" i="24"/>
  <c r="F781" i="24"/>
  <c r="F793" i="24"/>
  <c r="F805" i="24"/>
  <c r="F817" i="24"/>
  <c r="F829" i="24"/>
  <c r="F841" i="24"/>
  <c r="F853" i="24"/>
  <c r="F865" i="24"/>
  <c r="F877" i="24"/>
  <c r="F889" i="24"/>
  <c r="F901" i="24"/>
  <c r="F913" i="24"/>
  <c r="F925" i="24"/>
  <c r="F937" i="24"/>
  <c r="F949" i="24"/>
  <c r="F961" i="24"/>
  <c r="F973" i="24"/>
  <c r="F985" i="24"/>
  <c r="F997" i="24"/>
  <c r="F1009" i="24"/>
  <c r="F1021" i="24"/>
  <c r="F1033" i="24"/>
  <c r="F1045" i="24"/>
  <c r="F1057" i="24"/>
  <c r="F1069" i="24"/>
  <c r="F1081" i="24"/>
  <c r="F1093" i="24"/>
  <c r="F1105" i="24"/>
  <c r="F1117" i="24"/>
  <c r="F1129" i="24"/>
  <c r="F1141" i="24"/>
  <c r="F1153" i="24"/>
  <c r="F1165" i="24"/>
  <c r="F1177" i="24"/>
  <c r="F1189" i="24"/>
  <c r="F1201" i="24"/>
  <c r="F1213" i="24"/>
  <c r="F1225" i="24"/>
  <c r="F1237" i="24"/>
  <c r="F1249" i="24"/>
  <c r="F1261" i="24"/>
  <c r="F14" i="24"/>
  <c r="F26" i="24"/>
  <c r="F38" i="24"/>
  <c r="F50" i="24"/>
  <c r="F62" i="24"/>
  <c r="F74" i="24"/>
  <c r="F86" i="24"/>
  <c r="F98" i="24"/>
  <c r="F110" i="24"/>
  <c r="F122" i="24"/>
  <c r="F134" i="24"/>
  <c r="F146" i="24"/>
  <c r="F158" i="24"/>
  <c r="F170" i="24"/>
  <c r="F182" i="24"/>
  <c r="F194" i="24"/>
  <c r="F206" i="24"/>
  <c r="F218" i="24"/>
  <c r="F230" i="24"/>
  <c r="F242" i="24"/>
  <c r="F254" i="24"/>
  <c r="F266" i="24"/>
  <c r="F278" i="24"/>
  <c r="F290" i="24"/>
  <c r="F302" i="24"/>
  <c r="F314" i="24"/>
  <c r="F326" i="24"/>
  <c r="F338" i="24"/>
  <c r="F350" i="24"/>
  <c r="F362" i="24"/>
  <c r="F374" i="24"/>
  <c r="F386" i="24"/>
  <c r="F398" i="24"/>
  <c r="F410" i="24"/>
  <c r="F422" i="24"/>
  <c r="F434" i="24"/>
  <c r="F446" i="24"/>
  <c r="F458" i="24"/>
  <c r="F470" i="24"/>
  <c r="F482" i="24"/>
  <c r="F494" i="24"/>
  <c r="F506" i="24"/>
  <c r="F518" i="24"/>
  <c r="F530" i="24"/>
  <c r="F542" i="24"/>
  <c r="F554" i="24"/>
  <c r="F566" i="24"/>
  <c r="F578" i="24"/>
  <c r="F590" i="24"/>
  <c r="F602" i="24"/>
  <c r="F614" i="24"/>
  <c r="F626" i="24"/>
  <c r="F638" i="24"/>
  <c r="F650" i="24"/>
  <c r="F662" i="24"/>
  <c r="F674" i="24"/>
  <c r="F686" i="24"/>
  <c r="F698" i="24"/>
  <c r="F710" i="24"/>
  <c r="F722" i="24"/>
  <c r="F734" i="24"/>
  <c r="F746" i="24"/>
  <c r="F758" i="24"/>
  <c r="F770" i="24"/>
  <c r="F782" i="24"/>
  <c r="F794" i="24"/>
  <c r="F806" i="24"/>
  <c r="F818" i="24"/>
  <c r="F830" i="24"/>
  <c r="F842" i="24"/>
  <c r="F854" i="24"/>
  <c r="F866" i="24"/>
  <c r="F878" i="24"/>
  <c r="F890" i="24"/>
  <c r="F902" i="24"/>
  <c r="F914" i="24"/>
  <c r="F926" i="24"/>
  <c r="F938" i="24"/>
  <c r="F950" i="24"/>
  <c r="F962" i="24"/>
  <c r="F974" i="24"/>
  <c r="F986" i="24"/>
  <c r="F998" i="24"/>
  <c r="F1010" i="24"/>
  <c r="F1022" i="24"/>
  <c r="F1034" i="24"/>
  <c r="F1046" i="24"/>
  <c r="F1058" i="24"/>
  <c r="F1070" i="24"/>
  <c r="F1082" i="24"/>
  <c r="F1094" i="24"/>
  <c r="F1106" i="24"/>
  <c r="F1118" i="24"/>
  <c r="F1130" i="24"/>
  <c r="F1142" i="24"/>
  <c r="F1154" i="24"/>
  <c r="F1166" i="24"/>
  <c r="F1178" i="24"/>
  <c r="F1190" i="24"/>
  <c r="F1202" i="24"/>
  <c r="F1214" i="24"/>
  <c r="F1226" i="24"/>
  <c r="F1238" i="24"/>
  <c r="F1250" i="24"/>
  <c r="F1262" i="24"/>
  <c r="F7" i="24"/>
  <c r="F21" i="24"/>
  <c r="F35" i="24"/>
  <c r="F51" i="24"/>
  <c r="F65" i="24"/>
  <c r="F79" i="24"/>
  <c r="F93" i="24"/>
  <c r="F107" i="24"/>
  <c r="F123" i="24"/>
  <c r="F137" i="24"/>
  <c r="F151" i="24"/>
  <c r="F165" i="24"/>
  <c r="F179" i="24"/>
  <c r="F195" i="24"/>
  <c r="F209" i="24"/>
  <c r="F223" i="24"/>
  <c r="F237" i="24"/>
  <c r="F251" i="24"/>
  <c r="F267" i="24"/>
  <c r="F281" i="24"/>
  <c r="F295" i="24"/>
  <c r="F309" i="24"/>
  <c r="F323" i="24"/>
  <c r="F339" i="24"/>
  <c r="F353" i="24"/>
  <c r="F367" i="24"/>
  <c r="F381" i="24"/>
  <c r="F395" i="24"/>
  <c r="F411" i="24"/>
  <c r="F425" i="24"/>
  <c r="F439" i="24"/>
  <c r="F453" i="24"/>
  <c r="F467" i="24"/>
  <c r="F483" i="24"/>
  <c r="F497" i="24"/>
  <c r="F511" i="24"/>
  <c r="F525" i="24"/>
  <c r="F539" i="24"/>
  <c r="F555" i="24"/>
  <c r="F569" i="24"/>
  <c r="F583" i="24"/>
  <c r="F597" i="24"/>
  <c r="F611" i="24"/>
  <c r="F627" i="24"/>
  <c r="F641" i="24"/>
  <c r="F655" i="24"/>
  <c r="F669" i="24"/>
  <c r="F683" i="24"/>
  <c r="F699" i="24"/>
  <c r="F713" i="24"/>
  <c r="F727" i="24"/>
  <c r="F741" i="24"/>
  <c r="F755" i="24"/>
  <c r="F771" i="24"/>
  <c r="F785" i="24"/>
  <c r="F799" i="24"/>
  <c r="F813" i="24"/>
  <c r="F827" i="24"/>
  <c r="F843" i="24"/>
  <c r="F857" i="24"/>
  <c r="F871" i="24"/>
  <c r="F885" i="24"/>
  <c r="F899" i="24"/>
  <c r="F915" i="24"/>
  <c r="F929" i="24"/>
  <c r="F943" i="24"/>
  <c r="F957" i="24"/>
  <c r="F971" i="24"/>
  <c r="F987" i="24"/>
  <c r="F1001" i="24"/>
  <c r="F1015" i="24"/>
  <c r="F1029" i="24"/>
  <c r="F1043" i="24"/>
  <c r="F1059" i="24"/>
  <c r="F1073" i="24"/>
  <c r="F1087" i="24"/>
  <c r="F1101" i="24"/>
  <c r="F1115" i="24"/>
  <c r="F1131" i="24"/>
  <c r="F1145" i="24"/>
  <c r="F1159" i="24"/>
  <c r="F1173" i="24"/>
  <c r="F1187" i="24"/>
  <c r="F1203" i="24"/>
  <c r="F1217" i="24"/>
  <c r="F1231" i="24"/>
  <c r="F1245" i="24"/>
  <c r="F1259" i="24"/>
  <c r="F8" i="24"/>
  <c r="F22" i="24"/>
  <c r="F36" i="24"/>
  <c r="F52" i="24"/>
  <c r="F66" i="24"/>
  <c r="F80" i="24"/>
  <c r="F94" i="24"/>
  <c r="F108" i="24"/>
  <c r="F124" i="24"/>
  <c r="F138" i="24"/>
  <c r="F152" i="24"/>
  <c r="F166" i="24"/>
  <c r="F180" i="24"/>
  <c r="F196" i="24"/>
  <c r="F210" i="24"/>
  <c r="F224" i="24"/>
  <c r="F238" i="24"/>
  <c r="F252" i="24"/>
  <c r="F268" i="24"/>
  <c r="F282" i="24"/>
  <c r="F296" i="24"/>
  <c r="F310" i="24"/>
  <c r="F324" i="24"/>
  <c r="F340" i="24"/>
  <c r="F354" i="24"/>
  <c r="F368" i="24"/>
  <c r="F382" i="24"/>
  <c r="F396" i="24"/>
  <c r="F412" i="24"/>
  <c r="F426" i="24"/>
  <c r="F440" i="24"/>
  <c r="F454" i="24"/>
  <c r="F468" i="24"/>
  <c r="F484" i="24"/>
  <c r="F498" i="24"/>
  <c r="F512" i="24"/>
  <c r="F526" i="24"/>
  <c r="F540" i="24"/>
  <c r="F556" i="24"/>
  <c r="F570" i="24"/>
  <c r="F584" i="24"/>
  <c r="F598" i="24"/>
  <c r="F612" i="24"/>
  <c r="F628" i="24"/>
  <c r="F642" i="24"/>
  <c r="F656" i="24"/>
  <c r="F670" i="24"/>
  <c r="F684" i="24"/>
  <c r="F700" i="24"/>
  <c r="F714" i="24"/>
  <c r="F728" i="24"/>
  <c r="F742" i="24"/>
  <c r="F756" i="24"/>
  <c r="F772" i="24"/>
  <c r="F786" i="24"/>
  <c r="F800" i="24"/>
  <c r="F814" i="24"/>
  <c r="F828" i="24"/>
  <c r="F844" i="24"/>
  <c r="F858" i="24"/>
  <c r="F872" i="24"/>
  <c r="F886" i="24"/>
  <c r="F900" i="24"/>
  <c r="F916" i="24"/>
  <c r="F930" i="24"/>
  <c r="F944" i="24"/>
  <c r="F958" i="24"/>
  <c r="F972" i="24"/>
  <c r="F988" i="24"/>
  <c r="F1002" i="24"/>
  <c r="F1016" i="24"/>
  <c r="F1030" i="24"/>
  <c r="F1044" i="24"/>
  <c r="F1060" i="24"/>
  <c r="F1074" i="24"/>
  <c r="F1088" i="24"/>
  <c r="F1102" i="24"/>
  <c r="F1116" i="24"/>
  <c r="F1132" i="24"/>
  <c r="F1146" i="24"/>
  <c r="F1160" i="24"/>
  <c r="F1174" i="24"/>
  <c r="F1188" i="24"/>
  <c r="F1204" i="24"/>
  <c r="F1218" i="24"/>
  <c r="F1232" i="24"/>
  <c r="F1246" i="24"/>
  <c r="F1260" i="24"/>
  <c r="F12" i="24"/>
  <c r="F30" i="24"/>
  <c r="F46" i="24"/>
  <c r="F64" i="24"/>
  <c r="F82" i="24"/>
  <c r="F100" i="24"/>
  <c r="F116" i="24"/>
  <c r="F132" i="24"/>
  <c r="F150" i="24"/>
  <c r="F168" i="24"/>
  <c r="F186" i="24"/>
  <c r="F202" i="24"/>
  <c r="F220" i="24"/>
  <c r="F236" i="24"/>
  <c r="F256" i="24"/>
  <c r="F272" i="24"/>
  <c r="F288" i="24"/>
  <c r="F306" i="24"/>
  <c r="F322" i="24"/>
  <c r="F342" i="24"/>
  <c r="F358" i="24"/>
  <c r="F376" i="24"/>
  <c r="F392" i="24"/>
  <c r="F408" i="24"/>
  <c r="F428" i="24"/>
  <c r="F444" i="24"/>
  <c r="F462" i="24"/>
  <c r="F478" i="24"/>
  <c r="F496" i="24"/>
  <c r="F514" i="24"/>
  <c r="F532" i="24"/>
  <c r="F548" i="24"/>
  <c r="F564" i="24"/>
  <c r="F582" i="24"/>
  <c r="F600" i="24"/>
  <c r="F618" i="24"/>
  <c r="F634" i="24"/>
  <c r="F652" i="24"/>
  <c r="F668" i="24"/>
  <c r="F688" i="24"/>
  <c r="F704" i="24"/>
  <c r="F720" i="24"/>
  <c r="F738" i="24"/>
  <c r="F754" i="24"/>
  <c r="F774" i="24"/>
  <c r="F790" i="24"/>
  <c r="F808" i="24"/>
  <c r="F824" i="24"/>
  <c r="F840" i="24"/>
  <c r="F860" i="24"/>
  <c r="F876" i="24"/>
  <c r="F894" i="24"/>
  <c r="F910" i="24"/>
  <c r="F928" i="24"/>
  <c r="F946" i="24"/>
  <c r="F964" i="24"/>
  <c r="F980" i="24"/>
  <c r="F996" i="24"/>
  <c r="F1014" i="24"/>
  <c r="F1032" i="24"/>
  <c r="F1050" i="24"/>
  <c r="F1066" i="24"/>
  <c r="F1084" i="24"/>
  <c r="F1100" i="24"/>
  <c r="F1120" i="24"/>
  <c r="F1136" i="24"/>
  <c r="F1152" i="24"/>
  <c r="F1170" i="24"/>
  <c r="F1186" i="24"/>
  <c r="F1206" i="24"/>
  <c r="F1222" i="24"/>
  <c r="F1240" i="24"/>
  <c r="F1256" i="24"/>
  <c r="F15" i="24"/>
  <c r="F31" i="24"/>
  <c r="F47" i="24"/>
  <c r="F67" i="24"/>
  <c r="F83" i="24"/>
  <c r="F101" i="24"/>
  <c r="F117" i="24"/>
  <c r="F135" i="24"/>
  <c r="F153" i="24"/>
  <c r="F171" i="24"/>
  <c r="F187" i="24"/>
  <c r="F203" i="24"/>
  <c r="F221" i="24"/>
  <c r="F239" i="24"/>
  <c r="F257" i="24"/>
  <c r="F273" i="24"/>
  <c r="F291" i="24"/>
  <c r="F307" i="24"/>
  <c r="F327" i="24"/>
  <c r="F343" i="24"/>
  <c r="F359" i="24"/>
  <c r="F377" i="24"/>
  <c r="F393" i="24"/>
  <c r="F413" i="24"/>
  <c r="F429" i="24"/>
  <c r="F447" i="24"/>
  <c r="F463" i="24"/>
  <c r="F479" i="24"/>
  <c r="F499" i="24"/>
  <c r="F515" i="24"/>
  <c r="F533" i="24"/>
  <c r="F549" i="24"/>
  <c r="F567" i="24"/>
  <c r="F585" i="24"/>
  <c r="F603" i="24"/>
  <c r="F619" i="24"/>
  <c r="F635" i="24"/>
  <c r="F653" i="24"/>
  <c r="F671" i="24"/>
  <c r="F689" i="24"/>
  <c r="F705" i="24"/>
  <c r="F723" i="24"/>
  <c r="F739" i="24"/>
  <c r="F759" i="24"/>
  <c r="F775" i="24"/>
  <c r="F791" i="24"/>
  <c r="F809" i="24"/>
  <c r="F825" i="24"/>
  <c r="F845" i="24"/>
  <c r="F861" i="24"/>
  <c r="F879" i="24"/>
  <c r="F895" i="24"/>
  <c r="F911" i="24"/>
  <c r="F931" i="24"/>
  <c r="F947" i="24"/>
  <c r="F965" i="24"/>
  <c r="F981" i="24"/>
  <c r="F999" i="24"/>
  <c r="F1017" i="24"/>
  <c r="F1035" i="24"/>
  <c r="F1051" i="24"/>
  <c r="F1067" i="24"/>
  <c r="F1085" i="24"/>
  <c r="F1103" i="24"/>
  <c r="F1121" i="24"/>
  <c r="F1137" i="24"/>
  <c r="F1155" i="24"/>
  <c r="F1171" i="24"/>
  <c r="F1191" i="24"/>
  <c r="F1207" i="24"/>
  <c r="F1223" i="24"/>
  <c r="F1241" i="24"/>
  <c r="F1257" i="24"/>
  <c r="F27" i="24"/>
  <c r="F45" i="24"/>
  <c r="F69" i="24"/>
  <c r="F89" i="24"/>
  <c r="F111" i="24"/>
  <c r="F129" i="24"/>
  <c r="F149" i="24"/>
  <c r="F173" i="24"/>
  <c r="F191" i="24"/>
  <c r="F213" i="24"/>
  <c r="F233" i="24"/>
  <c r="F255" i="24"/>
  <c r="F275" i="24"/>
  <c r="F297" i="24"/>
  <c r="F317" i="24"/>
  <c r="F335" i="24"/>
  <c r="F357" i="24"/>
  <c r="F379" i="24"/>
  <c r="F17" i="24"/>
  <c r="F39" i="24"/>
  <c r="F57" i="24"/>
  <c r="F77" i="24"/>
  <c r="F99" i="24"/>
  <c r="F119" i="24"/>
  <c r="F141" i="24"/>
  <c r="F161" i="24"/>
  <c r="F183" i="24"/>
  <c r="F201" i="24"/>
  <c r="F225" i="24"/>
  <c r="F245" i="24"/>
  <c r="F263" i="24"/>
  <c r="F285" i="24"/>
  <c r="F305" i="24"/>
  <c r="F329" i="24"/>
  <c r="F347" i="24"/>
  <c r="F369" i="24"/>
  <c r="F389" i="24"/>
  <c r="F29" i="24"/>
  <c r="F55" i="24"/>
  <c r="F78" i="24"/>
  <c r="F104" i="24"/>
  <c r="F128" i="24"/>
  <c r="F155" i="24"/>
  <c r="F177" i="24"/>
  <c r="F204" i="24"/>
  <c r="F228" i="24"/>
  <c r="F250" i="24"/>
  <c r="F279" i="24"/>
  <c r="F303" i="24"/>
  <c r="F330" i="24"/>
  <c r="F352" i="24"/>
  <c r="F378" i="24"/>
  <c r="F402" i="24"/>
  <c r="F420" i="24"/>
  <c r="F442" i="24"/>
  <c r="F464" i="24"/>
  <c r="F486" i="24"/>
  <c r="F504" i="24"/>
  <c r="F524" i="24"/>
  <c r="F546" i="24"/>
  <c r="F568" i="24"/>
  <c r="F588" i="24"/>
  <c r="F608" i="24"/>
  <c r="F630" i="24"/>
  <c r="F648" i="24"/>
  <c r="F672" i="24"/>
  <c r="F692" i="24"/>
  <c r="F712" i="24"/>
  <c r="F732" i="24"/>
  <c r="F752" i="24"/>
  <c r="F776" i="24"/>
  <c r="F796" i="24"/>
  <c r="F816" i="24"/>
  <c r="F836" i="24"/>
  <c r="F856" i="24"/>
  <c r="F880" i="24"/>
  <c r="F898" i="24"/>
  <c r="F920" i="24"/>
  <c r="F940" i="24"/>
  <c r="F960" i="24"/>
  <c r="F982" i="24"/>
  <c r="F1004" i="24"/>
  <c r="F1024" i="24"/>
  <c r="F1042" i="24"/>
  <c r="F1064" i="24"/>
  <c r="F1086" i="24"/>
  <c r="F1108" i="24"/>
  <c r="F1126" i="24"/>
  <c r="F1148" i="24"/>
  <c r="F1168" i="24"/>
  <c r="F1192" i="24"/>
  <c r="F1210" i="24"/>
  <c r="F1230" i="24"/>
  <c r="F1252" i="24"/>
  <c r="F32" i="24"/>
  <c r="F56" i="24"/>
  <c r="F81" i="24"/>
  <c r="F105" i="24"/>
  <c r="F130" i="24"/>
  <c r="F156" i="24"/>
  <c r="F178" i="24"/>
  <c r="F207" i="24"/>
  <c r="F231" i="24"/>
  <c r="F258" i="24"/>
  <c r="F280" i="24"/>
  <c r="F304" i="24"/>
  <c r="F331" i="24"/>
  <c r="F355" i="24"/>
  <c r="F380" i="24"/>
  <c r="F403" i="24"/>
  <c r="F423" i="24"/>
  <c r="F443" i="24"/>
  <c r="F465" i="24"/>
  <c r="F487" i="24"/>
  <c r="F507" i="24"/>
  <c r="F527" i="24"/>
  <c r="F547" i="24"/>
  <c r="F571" i="24"/>
  <c r="F591" i="24"/>
  <c r="F609" i="24"/>
  <c r="F631" i="24"/>
  <c r="F651" i="24"/>
  <c r="F675" i="24"/>
  <c r="F693" i="24"/>
  <c r="F715" i="24"/>
  <c r="F735" i="24"/>
  <c r="F753" i="24"/>
  <c r="F777" i="24"/>
  <c r="F797" i="24"/>
  <c r="F819" i="24"/>
  <c r="F837" i="24"/>
  <c r="F859" i="24"/>
  <c r="F881" i="24"/>
  <c r="F903" i="24"/>
  <c r="F921" i="24"/>
  <c r="F941" i="24"/>
  <c r="F963" i="24"/>
  <c r="F983" i="24"/>
  <c r="F1005" i="24"/>
  <c r="F1025" i="24"/>
  <c r="F1047" i="24"/>
  <c r="F1065" i="24"/>
  <c r="F1089" i="24"/>
  <c r="F1109" i="24"/>
  <c r="F1127" i="24"/>
  <c r="F1149" i="24"/>
  <c r="F1169" i="24"/>
  <c r="F1193" i="24"/>
  <c r="F1211" i="24"/>
  <c r="F1233" i="24"/>
  <c r="F1253" i="24"/>
  <c r="F16" i="24"/>
  <c r="F43" i="24"/>
  <c r="F72" i="24"/>
  <c r="F103" i="24"/>
  <c r="F136" i="24"/>
  <c r="F163" i="24"/>
  <c r="F192" i="24"/>
  <c r="F222" i="24"/>
  <c r="F249" i="24"/>
  <c r="F284" i="24"/>
  <c r="F315" i="24"/>
  <c r="F344" i="24"/>
  <c r="F371" i="24"/>
  <c r="F401" i="24"/>
  <c r="F427" i="24"/>
  <c r="F451" i="24"/>
  <c r="F475" i="24"/>
  <c r="F501" i="24"/>
  <c r="F523" i="24"/>
  <c r="F551" i="24"/>
  <c r="F575" i="24"/>
  <c r="F599" i="24"/>
  <c r="F623" i="24"/>
  <c r="F647" i="24"/>
  <c r="F677" i="24"/>
  <c r="F701" i="24"/>
  <c r="F725" i="24"/>
  <c r="F749" i="24"/>
  <c r="F773" i="24"/>
  <c r="F801" i="24"/>
  <c r="F823" i="24"/>
  <c r="F849" i="24"/>
  <c r="F873" i="24"/>
  <c r="F897" i="24"/>
  <c r="F923" i="24"/>
  <c r="F951" i="24"/>
  <c r="F975" i="24"/>
  <c r="F995" i="24"/>
  <c r="F1023" i="24"/>
  <c r="F1049" i="24"/>
  <c r="F1075" i="24"/>
  <c r="F1097" i="24"/>
  <c r="F1123" i="24"/>
  <c r="F1147" i="24"/>
  <c r="F1175" i="24"/>
  <c r="F1197" i="24"/>
  <c r="F1221" i="24"/>
  <c r="F1247" i="24"/>
  <c r="F20" i="24"/>
  <c r="F53" i="24"/>
  <c r="F84" i="24"/>
  <c r="F113" i="24"/>
  <c r="F142" i="24"/>
  <c r="F172" i="24"/>
  <c r="F199" i="24"/>
  <c r="F232" i="24"/>
  <c r="F261" i="24"/>
  <c r="F292" i="24"/>
  <c r="F319" i="24"/>
  <c r="F348" i="24"/>
  <c r="F383" i="24"/>
  <c r="F406" i="24"/>
  <c r="F432" i="24"/>
  <c r="F456" i="24"/>
  <c r="F480" i="24"/>
  <c r="F508" i="24"/>
  <c r="F534" i="24"/>
  <c r="F558" i="24"/>
  <c r="F28" i="24"/>
  <c r="F59" i="24"/>
  <c r="F90" i="24"/>
  <c r="F118" i="24"/>
  <c r="F147" i="24"/>
  <c r="F176" i="24"/>
  <c r="F211" i="24"/>
  <c r="F240" i="24"/>
  <c r="F269" i="24"/>
  <c r="F298" i="24"/>
  <c r="F328" i="24"/>
  <c r="F360" i="24"/>
  <c r="F388" i="24"/>
  <c r="F415" i="24"/>
  <c r="F437" i="24"/>
  <c r="F461" i="24"/>
  <c r="F489" i="24"/>
  <c r="F513" i="24"/>
  <c r="F537" i="24"/>
  <c r="F561" i="24"/>
  <c r="F33" i="24"/>
  <c r="F60" i="24"/>
  <c r="F91" i="24"/>
  <c r="F120" i="24"/>
  <c r="F148" i="24"/>
  <c r="F184" i="24"/>
  <c r="F212" i="24"/>
  <c r="F243" i="24"/>
  <c r="F270" i="24"/>
  <c r="F299" i="24"/>
  <c r="F332" i="24"/>
  <c r="F363" i="24"/>
  <c r="F390" i="24"/>
  <c r="F416" i="24"/>
  <c r="F438" i="24"/>
  <c r="F466" i="24"/>
  <c r="F490" i="24"/>
  <c r="F516" i="24"/>
  <c r="F538" i="24"/>
  <c r="F562" i="24"/>
  <c r="F592" i="24"/>
  <c r="F616" i="24"/>
  <c r="F640" i="24"/>
  <c r="F664" i="24"/>
  <c r="F690" i="24"/>
  <c r="F716" i="24"/>
  <c r="F740" i="24"/>
  <c r="F764" i="24"/>
  <c r="F788" i="24"/>
  <c r="F812" i="24"/>
  <c r="F838" i="24"/>
  <c r="F864" i="24"/>
  <c r="F888" i="24"/>
  <c r="F912" i="24"/>
  <c r="F936" i="24"/>
  <c r="F966" i="24"/>
  <c r="F990" i="24"/>
  <c r="F1012" i="24"/>
  <c r="F1038" i="24"/>
  <c r="F1062" i="24"/>
  <c r="F1090" i="24"/>
  <c r="F1112" i="24"/>
  <c r="F1138" i="24"/>
  <c r="F1162" i="24"/>
  <c r="F1184" i="24"/>
  <c r="F1212" i="24"/>
  <c r="F1236" i="24"/>
  <c r="F1264" i="24"/>
  <c r="F9" i="24"/>
  <c r="F48" i="24"/>
  <c r="F95" i="24"/>
  <c r="F140" i="24"/>
  <c r="F188" i="24"/>
  <c r="F227" i="24"/>
  <c r="F274" i="24"/>
  <c r="F318" i="24"/>
  <c r="F365" i="24"/>
  <c r="F405" i="24"/>
  <c r="F448" i="24"/>
  <c r="F477" i="24"/>
  <c r="F520" i="24"/>
  <c r="F557" i="24"/>
  <c r="F587" i="24"/>
  <c r="F620" i="24"/>
  <c r="F646" i="24"/>
  <c r="F679" i="24"/>
  <c r="F707" i="24"/>
  <c r="F737" i="24"/>
  <c r="F766" i="24"/>
  <c r="F798" i="24"/>
  <c r="F831" i="24"/>
  <c r="F855" i="24"/>
  <c r="F887" i="24"/>
  <c r="F918" i="24"/>
  <c r="F948" i="24"/>
  <c r="F977" i="24"/>
  <c r="F1007" i="24"/>
  <c r="F1037" i="24"/>
  <c r="F1068" i="24"/>
  <c r="F1096" i="24"/>
  <c r="F1125" i="24"/>
  <c r="F1157" i="24"/>
  <c r="F1183" i="24"/>
  <c r="F1216" i="24"/>
  <c r="F1244" i="24"/>
  <c r="F24" i="24"/>
  <c r="F71" i="24"/>
  <c r="F115" i="24"/>
  <c r="F162" i="24"/>
  <c r="F208" i="24"/>
  <c r="F248" i="24"/>
  <c r="F294" i="24"/>
  <c r="F341" i="24"/>
  <c r="F387" i="24"/>
  <c r="F424" i="24"/>
  <c r="F460" i="24"/>
  <c r="F500" i="24"/>
  <c r="F536" i="24"/>
  <c r="F574" i="24"/>
  <c r="F605" i="24"/>
  <c r="F633" i="24"/>
  <c r="F663" i="24"/>
  <c r="F694" i="24"/>
  <c r="F724" i="24"/>
  <c r="F751" i="24"/>
  <c r="F783" i="24"/>
  <c r="F811" i="24"/>
  <c r="F846" i="24"/>
  <c r="F870" i="24"/>
  <c r="F905" i="24"/>
  <c r="F933" i="24"/>
  <c r="F959" i="24"/>
  <c r="F992" i="24"/>
  <c r="F1020" i="24"/>
  <c r="F1053" i="24"/>
  <c r="F1079" i="24"/>
  <c r="F1111" i="24"/>
  <c r="F1140" i="24"/>
  <c r="F1172" i="24"/>
  <c r="F1199" i="24"/>
  <c r="F1229" i="24"/>
  <c r="F1263" i="24"/>
  <c r="F34" i="24"/>
  <c r="F87" i="24"/>
  <c r="F139" i="24"/>
  <c r="F190" i="24"/>
  <c r="F246" i="24"/>
  <c r="F300" i="24"/>
  <c r="F351" i="24"/>
  <c r="F404" i="24"/>
  <c r="F450" i="24"/>
  <c r="F492" i="24"/>
  <c r="F543" i="24"/>
  <c r="F580" i="24"/>
  <c r="F617" i="24"/>
  <c r="F657" i="24"/>
  <c r="F687" i="24"/>
  <c r="F726" i="24"/>
  <c r="F762" i="24"/>
  <c r="F795" i="24"/>
  <c r="F833" i="24"/>
  <c r="F868" i="24"/>
  <c r="F906" i="24"/>
  <c r="F939" i="24"/>
  <c r="F976" i="24"/>
  <c r="F1011" i="24"/>
  <c r="F1048" i="24"/>
  <c r="F1080" i="24"/>
  <c r="F1119" i="24"/>
  <c r="F1156" i="24"/>
  <c r="F1194" i="24"/>
  <c r="F1227" i="24"/>
  <c r="F1265" i="24"/>
  <c r="F54" i="24"/>
  <c r="F106" i="24"/>
  <c r="F160" i="24"/>
  <c r="F215" i="24"/>
  <c r="F264" i="24"/>
  <c r="F320" i="24"/>
  <c r="F372" i="24"/>
  <c r="F419" i="24"/>
  <c r="F472" i="24"/>
  <c r="F510" i="24"/>
  <c r="F559" i="24"/>
  <c r="F595" i="24"/>
  <c r="F632" i="24"/>
  <c r="F666" i="24"/>
  <c r="F703" i="24"/>
  <c r="F743" i="24"/>
  <c r="F778" i="24"/>
  <c r="F810" i="24"/>
  <c r="F848" i="24"/>
  <c r="F883" i="24"/>
  <c r="F919" i="24"/>
  <c r="F954" i="24"/>
  <c r="F991" i="24"/>
  <c r="F1027" i="24"/>
  <c r="F1061" i="24"/>
  <c r="F1098" i="24"/>
  <c r="F1134" i="24"/>
  <c r="F1167" i="24"/>
  <c r="F1205" i="24"/>
  <c r="F1242" i="24"/>
  <c r="F58" i="24"/>
  <c r="F112" i="24"/>
  <c r="F164" i="24"/>
  <c r="F216" i="24"/>
  <c r="F271" i="24"/>
  <c r="F321" i="24"/>
  <c r="F375" i="24"/>
  <c r="F430" i="24"/>
  <c r="F473" i="24"/>
  <c r="F519" i="24"/>
  <c r="F560" i="24"/>
  <c r="F596" i="24"/>
  <c r="F636" i="24"/>
  <c r="F667" i="24"/>
  <c r="F706" i="24"/>
  <c r="F744" i="24"/>
  <c r="F779" i="24"/>
  <c r="F815" i="24"/>
  <c r="F850" i="24"/>
  <c r="F884" i="24"/>
  <c r="F922" i="24"/>
  <c r="F955" i="24"/>
  <c r="F993" i="24"/>
  <c r="F1028" i="24"/>
  <c r="F1063" i="24"/>
  <c r="F1099" i="24"/>
  <c r="F1135" i="24"/>
  <c r="F1176" i="24"/>
  <c r="F1208" i="24"/>
  <c r="F1243" i="24"/>
  <c r="F23" i="24"/>
  <c r="F76" i="24"/>
  <c r="F131" i="24"/>
  <c r="F189" i="24"/>
  <c r="F244" i="24"/>
  <c r="F293" i="24"/>
  <c r="F346" i="24"/>
  <c r="F400" i="24"/>
  <c r="F449" i="24"/>
  <c r="F491" i="24"/>
  <c r="F535" i="24"/>
  <c r="F579" i="24"/>
  <c r="F615" i="24"/>
  <c r="F654" i="24"/>
  <c r="F682" i="24"/>
  <c r="F719" i="24"/>
  <c r="F761" i="24"/>
  <c r="F792" i="24"/>
  <c r="F832" i="24"/>
  <c r="F867" i="24"/>
  <c r="F904" i="24"/>
  <c r="F935" i="24"/>
  <c r="F970" i="24"/>
  <c r="F1008" i="24"/>
  <c r="F1041" i="24"/>
  <c r="F1078" i="24"/>
  <c r="F1114" i="24"/>
  <c r="F1151" i="24"/>
  <c r="F1185" i="24"/>
  <c r="F1224" i="24"/>
  <c r="F1258" i="24"/>
  <c r="F10" i="24"/>
  <c r="F88" i="24"/>
  <c r="F167" i="24"/>
  <c r="F247" i="24"/>
  <c r="F333" i="24"/>
  <c r="F407" i="24"/>
  <c r="F474" i="24"/>
  <c r="F544" i="24"/>
  <c r="F604" i="24"/>
  <c r="F658" i="24"/>
  <c r="F708" i="24"/>
  <c r="F763" i="24"/>
  <c r="F820" i="24"/>
  <c r="F869" i="24"/>
  <c r="F924" i="24"/>
  <c r="F978" i="24"/>
  <c r="F1031" i="24"/>
  <c r="F1083" i="24"/>
  <c r="F1139" i="24"/>
  <c r="F1195" i="24"/>
  <c r="F1248" i="24"/>
  <c r="F41" i="24"/>
  <c r="F125" i="24"/>
  <c r="F198" i="24"/>
  <c r="F283" i="24"/>
  <c r="F364" i="24"/>
  <c r="F435" i="24"/>
  <c r="F502" i="24"/>
  <c r="F572" i="24"/>
  <c r="F622" i="24"/>
  <c r="F678" i="24"/>
  <c r="F730" i="24"/>
  <c r="F784" i="24"/>
  <c r="F835" i="24"/>
  <c r="F892" i="24"/>
  <c r="F945" i="24"/>
  <c r="F1000" i="24"/>
  <c r="F1054" i="24"/>
  <c r="F1107" i="24"/>
  <c r="F1161" i="24"/>
  <c r="F1215" i="24"/>
  <c r="F1267" i="24"/>
  <c r="F42" i="24"/>
  <c r="F126" i="24"/>
  <c r="F200" i="24"/>
  <c r="F286" i="24"/>
  <c r="F366" i="24"/>
  <c r="F436" i="24"/>
  <c r="F503" i="24"/>
  <c r="F573" i="24"/>
  <c r="F624" i="24"/>
  <c r="F680" i="24"/>
  <c r="F731" i="24"/>
  <c r="F787" i="24"/>
  <c r="F839" i="24"/>
  <c r="F893" i="24"/>
  <c r="F952" i="24"/>
  <c r="F1003" i="24"/>
  <c r="F1055" i="24"/>
  <c r="F1110" i="24"/>
  <c r="F1163" i="24"/>
  <c r="F1219" i="24"/>
  <c r="F75" i="24"/>
  <c r="F159" i="24"/>
  <c r="F235" i="24"/>
  <c r="F316" i="24"/>
  <c r="F399" i="24"/>
  <c r="F471" i="24"/>
  <c r="F531" i="24"/>
  <c r="F594" i="24"/>
  <c r="F645" i="24"/>
  <c r="F702" i="24"/>
  <c r="F760" i="24"/>
  <c r="F807" i="24"/>
  <c r="F863" i="24"/>
  <c r="F917" i="24"/>
  <c r="F969" i="24"/>
  <c r="F1026" i="24"/>
  <c r="F1077" i="24"/>
  <c r="F1133" i="24"/>
  <c r="F1182" i="24"/>
  <c r="F1239" i="24"/>
  <c r="F44" i="24"/>
  <c r="F174" i="24"/>
  <c r="F287" i="24"/>
  <c r="F414" i="24"/>
  <c r="F509" i="24"/>
  <c r="F606" i="24"/>
  <c r="F681" i="24"/>
  <c r="F765" i="24"/>
  <c r="F847" i="24"/>
  <c r="F927" i="24"/>
  <c r="F1006" i="24"/>
  <c r="F1091" i="24"/>
  <c r="F1164" i="24"/>
  <c r="F1251" i="24"/>
  <c r="F63" i="24"/>
  <c r="F175" i="24"/>
  <c r="F308" i="24"/>
  <c r="F417" i="24"/>
  <c r="F521" i="24"/>
  <c r="F607" i="24"/>
  <c r="F691" i="24"/>
  <c r="F767" i="24"/>
  <c r="F851" i="24"/>
  <c r="F932" i="24"/>
  <c r="F1013" i="24"/>
  <c r="F1092" i="24"/>
  <c r="F1179" i="24"/>
  <c r="F1254" i="24"/>
  <c r="F70" i="24"/>
  <c r="F197" i="24"/>
  <c r="F312" i="24"/>
  <c r="F431" i="24"/>
  <c r="F528" i="24"/>
  <c r="F621" i="24"/>
  <c r="F696" i="24"/>
  <c r="F780" i="24"/>
  <c r="F862" i="24"/>
  <c r="F942" i="24"/>
  <c r="F1019" i="24"/>
  <c r="F1104" i="24"/>
  <c r="F1181" i="24"/>
  <c r="F1266" i="24"/>
  <c r="F92" i="24"/>
  <c r="F214" i="24"/>
  <c r="F334" i="24"/>
  <c r="F441" i="24"/>
  <c r="F545" i="24"/>
  <c r="F629" i="24"/>
  <c r="F711" i="24"/>
  <c r="F789" i="24"/>
  <c r="F874" i="24"/>
  <c r="F953" i="24"/>
  <c r="F1036" i="24"/>
  <c r="F1113" i="24"/>
  <c r="F1196" i="24"/>
  <c r="F96" i="24"/>
  <c r="F219" i="24"/>
  <c r="F336" i="24"/>
  <c r="F452" i="24"/>
  <c r="F550" i="24"/>
  <c r="F639" i="24"/>
  <c r="F717" i="24"/>
  <c r="F802" i="24"/>
  <c r="F875" i="24"/>
  <c r="F956" i="24"/>
  <c r="F1039" i="24"/>
  <c r="F1122" i="24"/>
  <c r="F1198" i="24"/>
  <c r="F102" i="24"/>
  <c r="F226" i="24"/>
  <c r="F345" i="24"/>
  <c r="F455" i="24"/>
  <c r="F552" i="24"/>
  <c r="F643" i="24"/>
  <c r="F718" i="24"/>
  <c r="F803" i="24"/>
  <c r="F882" i="24"/>
  <c r="F967" i="24"/>
  <c r="F1040" i="24"/>
  <c r="F1124" i="24"/>
  <c r="F1200" i="24"/>
  <c r="F11" i="24"/>
  <c r="F127" i="24"/>
  <c r="F259" i="24"/>
  <c r="F370" i="24"/>
  <c r="F476" i="24"/>
  <c r="F576" i="24"/>
  <c r="F659" i="24"/>
  <c r="F736" i="24"/>
  <c r="F821" i="24"/>
  <c r="F896" i="24"/>
  <c r="F979" i="24"/>
  <c r="F1056" i="24"/>
  <c r="F1143" i="24"/>
  <c r="F1220" i="24"/>
  <c r="F18" i="24"/>
  <c r="F143" i="24"/>
  <c r="F260" i="24"/>
  <c r="F384" i="24"/>
  <c r="F485" i="24"/>
  <c r="F581" i="24"/>
  <c r="F660" i="24"/>
  <c r="F747" i="24"/>
  <c r="F822" i="24"/>
  <c r="F907" i="24"/>
  <c r="F984" i="24"/>
  <c r="F1071" i="24"/>
  <c r="F1144" i="24"/>
  <c r="F1228" i="24"/>
  <c r="F19" i="24"/>
  <c r="F144" i="24"/>
  <c r="F262" i="24"/>
  <c r="F391" i="24"/>
  <c r="F488" i="24"/>
  <c r="F586" i="24"/>
  <c r="F665" i="24"/>
  <c r="F748" i="24"/>
  <c r="F826" i="24"/>
  <c r="F908" i="24"/>
  <c r="F989" i="24"/>
  <c r="F1072" i="24"/>
  <c r="F1150" i="24"/>
  <c r="F1234" i="24"/>
  <c r="F40" i="24"/>
  <c r="F154" i="24"/>
  <c r="F276" i="24"/>
  <c r="F394" i="24"/>
  <c r="F495" i="24"/>
  <c r="F593" i="24"/>
  <c r="F676" i="24"/>
  <c r="F750" i="24"/>
  <c r="F834" i="24"/>
  <c r="F909" i="24"/>
  <c r="F994" i="24"/>
  <c r="F1076" i="24"/>
  <c r="F1158" i="24"/>
  <c r="F1235" i="24"/>
  <c r="F418" i="24"/>
  <c r="F934" i="24"/>
  <c r="F459" i="24"/>
  <c r="F968" i="24"/>
  <c r="F563" i="24"/>
  <c r="F1052" i="24"/>
  <c r="F610" i="24"/>
  <c r="F1095" i="24"/>
  <c r="F644" i="24"/>
  <c r="F1128" i="24"/>
  <c r="F68" i="24"/>
  <c r="F695" i="24"/>
  <c r="F1180" i="24"/>
  <c r="F185" i="24"/>
  <c r="F768" i="24"/>
  <c r="F1255" i="24"/>
  <c r="F234" i="24"/>
  <c r="F804" i="24"/>
  <c r="F311" i="24"/>
  <c r="F852" i="24"/>
  <c r="F356" i="24"/>
  <c r="F891" i="24"/>
  <c r="F114" i="24"/>
  <c r="F522" i="24"/>
  <c r="F729" i="24"/>
  <c r="F1018" i="24"/>
  <c r="F1209" i="24"/>
  <c r="B18" i="24"/>
  <c r="B30" i="24"/>
  <c r="B42" i="24"/>
  <c r="B54" i="24"/>
  <c r="B66" i="24"/>
  <c r="B78" i="24"/>
  <c r="B90" i="24"/>
  <c r="B102" i="24"/>
  <c r="B114" i="24"/>
  <c r="B126" i="24"/>
  <c r="B138" i="24"/>
  <c r="B150" i="24"/>
  <c r="B162" i="24"/>
  <c r="B174" i="24"/>
  <c r="B186" i="24"/>
  <c r="B198" i="24"/>
  <c r="B210" i="24"/>
  <c r="B222" i="24"/>
  <c r="B234" i="24"/>
  <c r="B246" i="24"/>
  <c r="B258" i="24"/>
  <c r="B270" i="24"/>
  <c r="B282" i="24"/>
  <c r="B294" i="24"/>
  <c r="B306" i="24"/>
  <c r="B318" i="24"/>
  <c r="B330" i="24"/>
  <c r="B342" i="24"/>
  <c r="B354" i="24"/>
  <c r="B366" i="24"/>
  <c r="B378" i="24"/>
  <c r="B390" i="24"/>
  <c r="B402" i="24"/>
  <c r="B414" i="24"/>
  <c r="B426" i="24"/>
  <c r="B438" i="24"/>
  <c r="B450" i="24"/>
  <c r="B462" i="24"/>
  <c r="B474" i="24"/>
  <c r="B486" i="24"/>
  <c r="B498" i="24"/>
  <c r="B510" i="24"/>
  <c r="B522" i="24"/>
  <c r="B534" i="24"/>
  <c r="B546" i="24"/>
  <c r="B558" i="24"/>
  <c r="B570" i="24"/>
  <c r="B582" i="24"/>
  <c r="B594" i="24"/>
  <c r="B606" i="24"/>
  <c r="B618" i="24"/>
  <c r="B630" i="24"/>
  <c r="B642" i="24"/>
  <c r="B654" i="24"/>
  <c r="B666" i="24"/>
  <c r="B678" i="24"/>
  <c r="B690" i="24"/>
  <c r="B702" i="24"/>
  <c r="B714" i="24"/>
  <c r="B726" i="24"/>
  <c r="B738" i="24"/>
  <c r="B750" i="24"/>
  <c r="B762" i="24"/>
  <c r="B774" i="24"/>
  <c r="B786" i="24"/>
  <c r="B798" i="24"/>
  <c r="B810" i="24"/>
  <c r="B822" i="24"/>
  <c r="B834" i="24"/>
  <c r="B846" i="24"/>
  <c r="B858" i="24"/>
  <c r="B870" i="24"/>
  <c r="B882" i="24"/>
  <c r="B894" i="24"/>
  <c r="B7" i="24"/>
  <c r="B19" i="24"/>
  <c r="B31" i="24"/>
  <c r="B43" i="24"/>
  <c r="B55" i="24"/>
  <c r="B67" i="24"/>
  <c r="B79" i="24"/>
  <c r="B91" i="24"/>
  <c r="B103" i="24"/>
  <c r="B115" i="24"/>
  <c r="B127" i="24"/>
  <c r="B139" i="24"/>
  <c r="B151" i="24"/>
  <c r="B163" i="24"/>
  <c r="B175" i="24"/>
  <c r="B187" i="24"/>
  <c r="B199" i="24"/>
  <c r="B211" i="24"/>
  <c r="B223" i="24"/>
  <c r="B235" i="24"/>
  <c r="B247" i="24"/>
  <c r="B259" i="24"/>
  <c r="B271" i="24"/>
  <c r="B283" i="24"/>
  <c r="B295" i="24"/>
  <c r="B307" i="24"/>
  <c r="B319" i="24"/>
  <c r="B331" i="24"/>
  <c r="B343" i="24"/>
  <c r="B355" i="24"/>
  <c r="B367" i="24"/>
  <c r="B379" i="24"/>
  <c r="B391" i="24"/>
  <c r="B403" i="24"/>
  <c r="B415" i="24"/>
  <c r="B427" i="24"/>
  <c r="B439" i="24"/>
  <c r="B451" i="24"/>
  <c r="B463" i="24"/>
  <c r="B475" i="24"/>
  <c r="B487" i="24"/>
  <c r="B499" i="24"/>
  <c r="B511" i="24"/>
  <c r="B523" i="24"/>
  <c r="B535" i="24"/>
  <c r="B547" i="24"/>
  <c r="B559" i="24"/>
  <c r="B571" i="24"/>
  <c r="B583" i="24"/>
  <c r="B595" i="24"/>
  <c r="B607" i="24"/>
  <c r="B619" i="24"/>
  <c r="B631" i="24"/>
  <c r="B643" i="24"/>
  <c r="B655" i="24"/>
  <c r="B667" i="24"/>
  <c r="B679" i="24"/>
  <c r="B691" i="24"/>
  <c r="B703" i="24"/>
  <c r="B715" i="24"/>
  <c r="B727" i="24"/>
  <c r="B739" i="24"/>
  <c r="B751" i="24"/>
  <c r="B763" i="24"/>
  <c r="B775" i="24"/>
  <c r="B787" i="24"/>
  <c r="B799" i="24"/>
  <c r="B811" i="24"/>
  <c r="B823" i="24"/>
  <c r="B835" i="24"/>
  <c r="B847" i="24"/>
  <c r="B859" i="24"/>
  <c r="B871" i="24"/>
  <c r="B883" i="24"/>
  <c r="B12" i="24"/>
  <c r="B26" i="24"/>
  <c r="B40" i="24"/>
  <c r="B56" i="24"/>
  <c r="B70" i="24"/>
  <c r="B84" i="24"/>
  <c r="B98" i="24"/>
  <c r="B112" i="24"/>
  <c r="B128" i="24"/>
  <c r="B142" i="24"/>
  <c r="B156" i="24"/>
  <c r="B170" i="24"/>
  <c r="B184" i="24"/>
  <c r="B200" i="24"/>
  <c r="B214" i="24"/>
  <c r="B228" i="24"/>
  <c r="B242" i="24"/>
  <c r="B256" i="24"/>
  <c r="B272" i="24"/>
  <c r="B286" i="24"/>
  <c r="B300" i="24"/>
  <c r="B314" i="24"/>
  <c r="B328" i="24"/>
  <c r="B344" i="24"/>
  <c r="B358" i="24"/>
  <c r="B372" i="24"/>
  <c r="B386" i="24"/>
  <c r="B400" i="24"/>
  <c r="B416" i="24"/>
  <c r="B430" i="24"/>
  <c r="B444" i="24"/>
  <c r="B458" i="24"/>
  <c r="B472" i="24"/>
  <c r="B488" i="24"/>
  <c r="B502" i="24"/>
  <c r="B516" i="24"/>
  <c r="B530" i="24"/>
  <c r="B544" i="24"/>
  <c r="B560" i="24"/>
  <c r="B574" i="24"/>
  <c r="B588" i="24"/>
  <c r="B602" i="24"/>
  <c r="B616" i="24"/>
  <c r="B632" i="24"/>
  <c r="B646" i="24"/>
  <c r="B660" i="24"/>
  <c r="B674" i="24"/>
  <c r="B688" i="24"/>
  <c r="B704" i="24"/>
  <c r="B718" i="24"/>
  <c r="B732" i="24"/>
  <c r="B746" i="24"/>
  <c r="B760" i="24"/>
  <c r="B776" i="24"/>
  <c r="B790" i="24"/>
  <c r="B804" i="24"/>
  <c r="B818" i="24"/>
  <c r="B832" i="24"/>
  <c r="B848" i="24"/>
  <c r="B862" i="24"/>
  <c r="B876" i="24"/>
  <c r="B890" i="24"/>
  <c r="B903" i="24"/>
  <c r="B915" i="24"/>
  <c r="B927" i="24"/>
  <c r="B939" i="24"/>
  <c r="B951" i="24"/>
  <c r="B963" i="24"/>
  <c r="B975" i="24"/>
  <c r="B987" i="24"/>
  <c r="B999" i="24"/>
  <c r="B1011" i="24"/>
  <c r="B1023" i="24"/>
  <c r="B1035" i="24"/>
  <c r="B1047" i="24"/>
  <c r="B1059" i="24"/>
  <c r="B1071" i="24"/>
  <c r="B1083" i="24"/>
  <c r="B1095" i="24"/>
  <c r="B1107" i="24"/>
  <c r="B1119" i="24"/>
  <c r="B1131" i="24"/>
  <c r="B1143" i="24"/>
  <c r="B1155" i="24"/>
  <c r="B1167" i="24"/>
  <c r="B1179" i="24"/>
  <c r="B1191" i="24"/>
  <c r="B1203" i="24"/>
  <c r="B1215" i="24"/>
  <c r="B1227" i="24"/>
  <c r="B1239" i="24"/>
  <c r="B1251" i="24"/>
  <c r="B1263" i="24"/>
  <c r="B1275" i="24"/>
  <c r="B1287" i="24"/>
  <c r="B1299" i="24"/>
  <c r="B1311" i="24"/>
  <c r="B1323" i="24"/>
  <c r="B1335" i="24"/>
  <c r="B1347" i="24"/>
  <c r="B1359" i="24"/>
  <c r="B1371" i="24"/>
  <c r="B1383" i="24"/>
  <c r="B1395" i="24"/>
  <c r="B1407" i="24"/>
  <c r="B1419" i="24"/>
  <c r="B1431" i="24"/>
  <c r="B1443" i="24"/>
  <c r="B1455" i="24"/>
  <c r="B1467" i="24"/>
  <c r="B1479" i="24"/>
  <c r="B1491" i="24"/>
  <c r="B1503" i="24"/>
  <c r="B1515" i="24"/>
  <c r="B1527" i="24"/>
  <c r="B1539" i="24"/>
  <c r="B1551" i="24"/>
  <c r="B1563" i="24"/>
  <c r="B1575" i="24"/>
  <c r="B1587" i="24"/>
  <c r="B1599" i="24"/>
  <c r="B1611" i="24"/>
  <c r="B1623" i="24"/>
  <c r="B1635" i="24"/>
  <c r="B1647" i="24"/>
  <c r="B1659" i="24"/>
  <c r="B1671" i="24"/>
  <c r="B1683" i="24"/>
  <c r="B1695" i="24"/>
  <c r="B1707" i="24"/>
  <c r="B1719" i="24"/>
  <c r="B1731" i="24"/>
  <c r="B1743" i="24"/>
  <c r="B1755" i="24"/>
  <c r="B1767" i="24"/>
  <c r="B1779" i="24"/>
  <c r="B1791" i="24"/>
  <c r="B1803" i="24"/>
  <c r="B1815" i="24"/>
  <c r="B1827" i="24"/>
  <c r="B1839" i="24"/>
  <c r="B1851" i="24"/>
  <c r="B1863" i="24"/>
  <c r="B1875" i="24"/>
  <c r="B1887" i="24"/>
  <c r="B1899" i="24"/>
  <c r="B1911" i="24"/>
  <c r="B1923" i="24"/>
  <c r="B1935" i="24"/>
  <c r="B1947" i="24"/>
  <c r="B1959" i="24"/>
  <c r="B1971" i="24"/>
  <c r="B1983" i="24"/>
  <c r="B1995" i="24"/>
  <c r="B2007" i="24"/>
  <c r="B2019" i="24"/>
  <c r="B2031" i="24"/>
  <c r="B2043" i="24"/>
  <c r="B2055" i="24"/>
  <c r="B2067" i="24"/>
  <c r="B2079" i="24"/>
  <c r="B2091" i="24"/>
  <c r="B2103" i="24"/>
  <c r="B2115" i="24"/>
  <c r="B2127" i="24"/>
  <c r="B2139" i="24"/>
  <c r="B2151" i="24"/>
  <c r="B2163" i="24"/>
  <c r="B2175" i="24"/>
  <c r="B2187" i="24"/>
  <c r="B2199" i="24"/>
  <c r="B2211" i="24"/>
  <c r="B2223" i="24"/>
  <c r="B2235" i="24"/>
  <c r="B2247" i="24"/>
  <c r="B2259" i="24"/>
  <c r="B20" i="24"/>
  <c r="B34" i="24"/>
  <c r="B48" i="24"/>
  <c r="B62" i="24"/>
  <c r="B76" i="24"/>
  <c r="B92" i="24"/>
  <c r="B106" i="24"/>
  <c r="B120" i="24"/>
  <c r="B134" i="24"/>
  <c r="B148" i="24"/>
  <c r="B164" i="24"/>
  <c r="B178" i="24"/>
  <c r="B192" i="24"/>
  <c r="B206" i="24"/>
  <c r="B220" i="24"/>
  <c r="B236" i="24"/>
  <c r="B250" i="24"/>
  <c r="B264" i="24"/>
  <c r="B278" i="24"/>
  <c r="B292" i="24"/>
  <c r="B308" i="24"/>
  <c r="B322" i="24"/>
  <c r="B336" i="24"/>
  <c r="B350" i="24"/>
  <c r="B364" i="24"/>
  <c r="B380" i="24"/>
  <c r="B394" i="24"/>
  <c r="B408" i="24"/>
  <c r="B422" i="24"/>
  <c r="B436" i="24"/>
  <c r="B452" i="24"/>
  <c r="B466" i="24"/>
  <c r="B480" i="24"/>
  <c r="B494" i="24"/>
  <c r="B508" i="24"/>
  <c r="B524" i="24"/>
  <c r="B538" i="24"/>
  <c r="B552" i="24"/>
  <c r="B566" i="24"/>
  <c r="B580" i="24"/>
  <c r="B596" i="24"/>
  <c r="B610" i="24"/>
  <c r="B624" i="24"/>
  <c r="B638" i="24"/>
  <c r="B652" i="24"/>
  <c r="B668" i="24"/>
  <c r="B682" i="24"/>
  <c r="B696" i="24"/>
  <c r="B710" i="24"/>
  <c r="B724" i="24"/>
  <c r="B740" i="24"/>
  <c r="B754" i="24"/>
  <c r="B768" i="24"/>
  <c r="B782" i="24"/>
  <c r="B796" i="24"/>
  <c r="B812" i="24"/>
  <c r="B826" i="24"/>
  <c r="B840" i="24"/>
  <c r="B854" i="24"/>
  <c r="B868" i="24"/>
  <c r="B884" i="24"/>
  <c r="B897" i="24"/>
  <c r="B909" i="24"/>
  <c r="B921" i="24"/>
  <c r="B933" i="24"/>
  <c r="B945" i="24"/>
  <c r="B957" i="24"/>
  <c r="B969" i="24"/>
  <c r="B981" i="24"/>
  <c r="B993" i="24"/>
  <c r="B1005" i="24"/>
  <c r="B1017" i="24"/>
  <c r="B1029" i="24"/>
  <c r="B1041" i="24"/>
  <c r="B1053" i="24"/>
  <c r="B1065" i="24"/>
  <c r="B1077" i="24"/>
  <c r="B1089" i="24"/>
  <c r="B1101" i="24"/>
  <c r="B1113" i="24"/>
  <c r="B1125" i="24"/>
  <c r="B1137" i="24"/>
  <c r="B1149" i="24"/>
  <c r="B1161" i="24"/>
  <c r="B1173" i="24"/>
  <c r="B1185" i="24"/>
  <c r="B1197" i="24"/>
  <c r="B1209" i="24"/>
  <c r="B1221" i="24"/>
  <c r="B1233" i="24"/>
  <c r="B1245" i="24"/>
  <c r="B1257" i="24"/>
  <c r="B1269" i="24"/>
  <c r="B1281" i="24"/>
  <c r="B1293" i="24"/>
  <c r="B1305" i="24"/>
  <c r="B1317" i="24"/>
  <c r="B1329" i="24"/>
  <c r="B1341" i="24"/>
  <c r="B1353" i="24"/>
  <c r="B1365" i="24"/>
  <c r="B1377" i="24"/>
  <c r="B1389" i="24"/>
  <c r="B1401" i="24"/>
  <c r="B1413" i="24"/>
  <c r="B1425" i="24"/>
  <c r="B1437" i="24"/>
  <c r="B1449" i="24"/>
  <c r="B1461" i="24"/>
  <c r="B1473" i="24"/>
  <c r="B1485" i="24"/>
  <c r="B1497" i="24"/>
  <c r="B1509" i="24"/>
  <c r="B1521" i="24"/>
  <c r="B1533" i="24"/>
  <c r="B1545" i="24"/>
  <c r="B1557" i="24"/>
  <c r="B1569" i="24"/>
  <c r="B1581" i="24"/>
  <c r="B1593" i="24"/>
  <c r="B1605" i="24"/>
  <c r="B1617" i="24"/>
  <c r="B1629" i="24"/>
  <c r="B1641" i="24"/>
  <c r="B1653" i="24"/>
  <c r="B1665" i="24"/>
  <c r="B1677" i="24"/>
  <c r="B1689" i="24"/>
  <c r="B1701" i="24"/>
  <c r="B1713" i="24"/>
  <c r="B1725" i="24"/>
  <c r="B1737" i="24"/>
  <c r="B1749" i="24"/>
  <c r="B1761" i="24"/>
  <c r="B1773" i="24"/>
  <c r="B1785" i="24"/>
  <c r="B1797" i="24"/>
  <c r="B1809" i="24"/>
  <c r="B1821" i="24"/>
  <c r="B1833" i="24"/>
  <c r="B1845" i="24"/>
  <c r="B1857" i="24"/>
  <c r="B1869" i="24"/>
  <c r="B1881" i="24"/>
  <c r="B1893" i="24"/>
  <c r="B1905" i="24"/>
  <c r="B1917" i="24"/>
  <c r="B1929" i="24"/>
  <c r="B1941" i="24"/>
  <c r="B1953" i="24"/>
  <c r="B1965" i="24"/>
  <c r="B1977" i="24"/>
  <c r="B1989" i="24"/>
  <c r="B2001" i="24"/>
  <c r="B2013" i="24"/>
  <c r="B2025" i="24"/>
  <c r="B2037" i="24"/>
  <c r="B2049" i="24"/>
  <c r="B2061" i="24"/>
  <c r="B2073" i="24"/>
  <c r="B2085" i="24"/>
  <c r="B2097" i="24"/>
  <c r="B2109" i="24"/>
  <c r="B2121" i="24"/>
  <c r="B2133" i="24"/>
  <c r="B2145" i="24"/>
  <c r="B2157" i="24"/>
  <c r="B2169" i="24"/>
  <c r="B2181" i="24"/>
  <c r="B2193" i="24"/>
  <c r="B2205" i="24"/>
  <c r="B2217" i="24"/>
  <c r="B2229" i="24"/>
  <c r="B2241" i="24"/>
  <c r="B2253" i="24"/>
  <c r="B2265" i="24"/>
  <c r="B15" i="24"/>
  <c r="B33" i="24"/>
  <c r="B50" i="24"/>
  <c r="B68" i="24"/>
  <c r="B85" i="24"/>
  <c r="B101" i="24"/>
  <c r="B119" i="24"/>
  <c r="B136" i="24"/>
  <c r="B154" i="24"/>
  <c r="B171" i="24"/>
  <c r="B189" i="24"/>
  <c r="B205" i="24"/>
  <c r="B224" i="24"/>
  <c r="B240" i="24"/>
  <c r="B257" i="24"/>
  <c r="B275" i="24"/>
  <c r="B291" i="24"/>
  <c r="B310" i="24"/>
  <c r="B326" i="24"/>
  <c r="B345" i="24"/>
  <c r="B361" i="24"/>
  <c r="B377" i="24"/>
  <c r="B396" i="24"/>
  <c r="B412" i="24"/>
  <c r="B431" i="24"/>
  <c r="B447" i="24"/>
  <c r="B465" i="24"/>
  <c r="B482" i="24"/>
  <c r="B500" i="24"/>
  <c r="B517" i="24"/>
  <c r="B533" i="24"/>
  <c r="B551" i="24"/>
  <c r="B568" i="24"/>
  <c r="B586" i="24"/>
  <c r="B603" i="24"/>
  <c r="B621" i="24"/>
  <c r="B637" i="24"/>
  <c r="B656" i="24"/>
  <c r="B672" i="24"/>
  <c r="B689" i="24"/>
  <c r="B707" i="24"/>
  <c r="B723" i="24"/>
  <c r="B742" i="24"/>
  <c r="B758" i="24"/>
  <c r="B23" i="24"/>
  <c r="B39" i="24"/>
  <c r="B58" i="24"/>
  <c r="B74" i="24"/>
  <c r="B93" i="24"/>
  <c r="B109" i="24"/>
  <c r="B125" i="24"/>
  <c r="B144" i="24"/>
  <c r="B160" i="24"/>
  <c r="B179" i="24"/>
  <c r="B195" i="24"/>
  <c r="B213" i="24"/>
  <c r="B230" i="24"/>
  <c r="B248" i="24"/>
  <c r="B265" i="24"/>
  <c r="B281" i="24"/>
  <c r="B299" i="24"/>
  <c r="B316" i="24"/>
  <c r="B334" i="24"/>
  <c r="B351" i="24"/>
  <c r="B369" i="24"/>
  <c r="B385" i="24"/>
  <c r="B404" i="24"/>
  <c r="B420" i="24"/>
  <c r="B437" i="24"/>
  <c r="B455" i="24"/>
  <c r="B471" i="24"/>
  <c r="B490" i="24"/>
  <c r="B506" i="24"/>
  <c r="B525" i="24"/>
  <c r="B541" i="24"/>
  <c r="B557" i="24"/>
  <c r="B576" i="24"/>
  <c r="B592" i="24"/>
  <c r="B611" i="24"/>
  <c r="B627" i="24"/>
  <c r="B645" i="24"/>
  <c r="B662" i="24"/>
  <c r="B680" i="24"/>
  <c r="B697" i="24"/>
  <c r="B713" i="24"/>
  <c r="B731" i="24"/>
  <c r="B748" i="24"/>
  <c r="B766" i="24"/>
  <c r="B783" i="24"/>
  <c r="B801" i="24"/>
  <c r="B817" i="24"/>
  <c r="B836" i="24"/>
  <c r="B852" i="24"/>
  <c r="B869" i="24"/>
  <c r="B887" i="24"/>
  <c r="B902" i="24"/>
  <c r="B917" i="24"/>
  <c r="B931" i="24"/>
  <c r="B946" i="24"/>
  <c r="B960" i="24"/>
  <c r="B974" i="24"/>
  <c r="B989" i="24"/>
  <c r="B1003" i="24"/>
  <c r="B1018" i="24"/>
  <c r="B1032" i="24"/>
  <c r="B1046" i="24"/>
  <c r="B1061" i="24"/>
  <c r="B1075" i="24"/>
  <c r="B1090" i="24"/>
  <c r="B1104" i="24"/>
  <c r="B1118" i="24"/>
  <c r="B1133" i="24"/>
  <c r="B1147" i="24"/>
  <c r="B1162" i="24"/>
  <c r="B1176" i="24"/>
  <c r="B1190" i="24"/>
  <c r="B1205" i="24"/>
  <c r="B1219" i="24"/>
  <c r="B1234" i="24"/>
  <c r="B1248" i="24"/>
  <c r="B1262" i="24"/>
  <c r="B1277" i="24"/>
  <c r="B1291" i="24"/>
  <c r="B1306" i="24"/>
  <c r="B1320" i="24"/>
  <c r="B1334" i="24"/>
  <c r="B1349" i="24"/>
  <c r="B1363" i="24"/>
  <c r="B1378" i="24"/>
  <c r="B1392" i="24"/>
  <c r="B1406" i="24"/>
  <c r="B1421" i="24"/>
  <c r="B1435" i="24"/>
  <c r="B1450" i="24"/>
  <c r="B1464" i="24"/>
  <c r="B1478" i="24"/>
  <c r="B1493" i="24"/>
  <c r="B1507" i="24"/>
  <c r="B1522" i="24"/>
  <c r="B1536" i="24"/>
  <c r="B1550" i="24"/>
  <c r="B1565" i="24"/>
  <c r="B1579" i="24"/>
  <c r="B1594" i="24"/>
  <c r="B1608" i="24"/>
  <c r="B1622" i="24"/>
  <c r="B1637" i="24"/>
  <c r="B1651" i="24"/>
  <c r="B1666" i="24"/>
  <c r="B1680" i="24"/>
  <c r="B1694" i="24"/>
  <c r="B1709" i="24"/>
  <c r="B1723" i="24"/>
  <c r="B1738" i="24"/>
  <c r="B1752" i="24"/>
  <c r="B1766" i="24"/>
  <c r="B1781" i="24"/>
  <c r="B1795" i="24"/>
  <c r="B1810" i="24"/>
  <c r="B1824" i="24"/>
  <c r="B1838" i="24"/>
  <c r="B1853" i="24"/>
  <c r="B1867" i="24"/>
  <c r="B1882" i="24"/>
  <c r="B1896" i="24"/>
  <c r="B1910" i="24"/>
  <c r="B1925" i="24"/>
  <c r="B1939" i="24"/>
  <c r="B1954" i="24"/>
  <c r="B1968" i="24"/>
  <c r="B1982" i="24"/>
  <c r="B1997" i="24"/>
  <c r="B2011" i="24"/>
  <c r="B2026" i="24"/>
  <c r="B2040" i="24"/>
  <c r="B2054" i="24"/>
  <c r="B2069" i="24"/>
  <c r="B2083" i="24"/>
  <c r="B2098" i="24"/>
  <c r="B2112" i="24"/>
  <c r="B2126" i="24"/>
  <c r="B2141" i="24"/>
  <c r="B2155" i="24"/>
  <c r="B2170" i="24"/>
  <c r="B2184" i="24"/>
  <c r="B2198" i="24"/>
  <c r="B2213" i="24"/>
  <c r="B2227" i="24"/>
  <c r="B2242" i="24"/>
  <c r="B2256" i="24"/>
  <c r="B2270" i="24"/>
  <c r="B2282" i="24"/>
  <c r="B2294" i="24"/>
  <c r="B2306" i="24"/>
  <c r="B2318" i="24"/>
  <c r="B2330" i="24"/>
  <c r="B2342" i="24"/>
  <c r="B2354" i="24"/>
  <c r="B2366" i="24"/>
  <c r="B2378" i="24"/>
  <c r="B2390" i="24"/>
  <c r="B2402" i="24"/>
  <c r="B2414" i="24"/>
  <c r="B2426" i="24"/>
  <c r="B2438" i="24"/>
  <c r="B2450" i="24"/>
  <c r="B2462" i="24"/>
  <c r="B2474" i="24"/>
  <c r="B2486" i="24"/>
  <c r="B2498" i="24"/>
  <c r="B2510" i="24"/>
  <c r="B2522" i="24"/>
  <c r="B8" i="24"/>
  <c r="B24" i="24"/>
  <c r="B41" i="24"/>
  <c r="B59" i="24"/>
  <c r="B75" i="24"/>
  <c r="B94" i="24"/>
  <c r="B110" i="24"/>
  <c r="B129" i="24"/>
  <c r="B145" i="24"/>
  <c r="B161" i="24"/>
  <c r="B180" i="24"/>
  <c r="B196" i="24"/>
  <c r="B215" i="24"/>
  <c r="B231" i="24"/>
  <c r="B249" i="24"/>
  <c r="B266" i="24"/>
  <c r="B284" i="24"/>
  <c r="B301" i="24"/>
  <c r="B317" i="24"/>
  <c r="B335" i="24"/>
  <c r="B352" i="24"/>
  <c r="B370" i="24"/>
  <c r="B387" i="24"/>
  <c r="B405" i="24"/>
  <c r="B421" i="24"/>
  <c r="B440" i="24"/>
  <c r="B456" i="24"/>
  <c r="B473" i="24"/>
  <c r="B491" i="24"/>
  <c r="B507" i="24"/>
  <c r="B526" i="24"/>
  <c r="B542" i="24"/>
  <c r="B561" i="24"/>
  <c r="B577" i="24"/>
  <c r="B593" i="24"/>
  <c r="B612" i="24"/>
  <c r="B628" i="24"/>
  <c r="B647" i="24"/>
  <c r="B663" i="24"/>
  <c r="B681" i="24"/>
  <c r="B698" i="24"/>
  <c r="B716" i="24"/>
  <c r="B733" i="24"/>
  <c r="B749" i="24"/>
  <c r="B767" i="24"/>
  <c r="B14" i="24"/>
  <c r="B32" i="24"/>
  <c r="B49" i="24"/>
  <c r="B65" i="24"/>
  <c r="B83" i="24"/>
  <c r="B100" i="24"/>
  <c r="B118" i="24"/>
  <c r="B135" i="24"/>
  <c r="B153" i="24"/>
  <c r="B169" i="24"/>
  <c r="B188" i="24"/>
  <c r="B204" i="24"/>
  <c r="B221" i="24"/>
  <c r="B239" i="24"/>
  <c r="B255" i="24"/>
  <c r="B274" i="24"/>
  <c r="B290" i="24"/>
  <c r="B309" i="24"/>
  <c r="B325" i="24"/>
  <c r="B341" i="24"/>
  <c r="B360" i="24"/>
  <c r="B376" i="24"/>
  <c r="B395" i="24"/>
  <c r="B411" i="24"/>
  <c r="B429" i="24"/>
  <c r="B446" i="24"/>
  <c r="B464" i="24"/>
  <c r="B481" i="24"/>
  <c r="B497" i="24"/>
  <c r="B515" i="24"/>
  <c r="B532" i="24"/>
  <c r="B550" i="24"/>
  <c r="B567" i="24"/>
  <c r="B585" i="24"/>
  <c r="B601" i="24"/>
  <c r="B620" i="24"/>
  <c r="B636" i="24"/>
  <c r="B653" i="24"/>
  <c r="B671" i="24"/>
  <c r="B687" i="24"/>
  <c r="B706" i="24"/>
  <c r="B722" i="24"/>
  <c r="B741" i="24"/>
  <c r="B757" i="24"/>
  <c r="B773" i="24"/>
  <c r="B792" i="24"/>
  <c r="B808" i="24"/>
  <c r="B827" i="24"/>
  <c r="B843" i="24"/>
  <c r="B861" i="24"/>
  <c r="B878" i="24"/>
  <c r="B895" i="24"/>
  <c r="B910" i="24"/>
  <c r="B924" i="24"/>
  <c r="B938" i="24"/>
  <c r="B953" i="24"/>
  <c r="B967" i="24"/>
  <c r="B982" i="24"/>
  <c r="B996" i="24"/>
  <c r="B1010" i="24"/>
  <c r="B1025" i="24"/>
  <c r="B1039" i="24"/>
  <c r="B1054" i="24"/>
  <c r="B1068" i="24"/>
  <c r="B1082" i="24"/>
  <c r="B1097" i="24"/>
  <c r="B1111" i="24"/>
  <c r="B1126" i="24"/>
  <c r="B1140" i="24"/>
  <c r="B1154" i="24"/>
  <c r="B1169" i="24"/>
  <c r="B1183" i="24"/>
  <c r="B1198" i="24"/>
  <c r="B1212" i="24"/>
  <c r="B1226" i="24"/>
  <c r="B1241" i="24"/>
  <c r="B1255" i="24"/>
  <c r="B1270" i="24"/>
  <c r="B1284" i="24"/>
  <c r="B1298" i="24"/>
  <c r="B1313" i="24"/>
  <c r="B1327" i="24"/>
  <c r="B1342" i="24"/>
  <c r="B1356" i="24"/>
  <c r="B1370" i="24"/>
  <c r="B1385" i="24"/>
  <c r="B1399" i="24"/>
  <c r="B1414" i="24"/>
  <c r="B1428" i="24"/>
  <c r="B1442" i="24"/>
  <c r="B1457" i="24"/>
  <c r="B1471" i="24"/>
  <c r="B1486" i="24"/>
  <c r="B1500" i="24"/>
  <c r="B1514" i="24"/>
  <c r="B1529" i="24"/>
  <c r="B1543" i="24"/>
  <c r="B1558" i="24"/>
  <c r="B1572" i="24"/>
  <c r="B1586" i="24"/>
  <c r="B1601" i="24"/>
  <c r="B1615" i="24"/>
  <c r="B1630" i="24"/>
  <c r="B1644" i="24"/>
  <c r="B1658" i="24"/>
  <c r="B1673" i="24"/>
  <c r="B1687" i="24"/>
  <c r="B1702" i="24"/>
  <c r="B1716" i="24"/>
  <c r="B1730" i="24"/>
  <c r="B1745" i="24"/>
  <c r="B1759" i="24"/>
  <c r="B1774" i="24"/>
  <c r="B1788" i="24"/>
  <c r="B1802" i="24"/>
  <c r="B1817" i="24"/>
  <c r="B1831" i="24"/>
  <c r="B1846" i="24"/>
  <c r="B1860" i="24"/>
  <c r="B1874" i="24"/>
  <c r="B1889" i="24"/>
  <c r="B1903" i="24"/>
  <c r="B1918" i="24"/>
  <c r="B1932" i="24"/>
  <c r="B1946" i="24"/>
  <c r="B1961" i="24"/>
  <c r="B1975" i="24"/>
  <c r="B1990" i="24"/>
  <c r="B2004" i="24"/>
  <c r="B2018" i="24"/>
  <c r="B2033" i="24"/>
  <c r="B2047" i="24"/>
  <c r="B2062" i="24"/>
  <c r="B2076" i="24"/>
  <c r="B2090" i="24"/>
  <c r="B2105" i="24"/>
  <c r="B2119" i="24"/>
  <c r="B2134" i="24"/>
  <c r="B2148" i="24"/>
  <c r="B2162" i="24"/>
  <c r="B2177" i="24"/>
  <c r="B2191" i="24"/>
  <c r="B2206" i="24"/>
  <c r="B2220" i="24"/>
  <c r="B2234" i="24"/>
  <c r="B2249" i="24"/>
  <c r="B2263" i="24"/>
  <c r="B2276" i="24"/>
  <c r="B2288" i="24"/>
  <c r="B2300" i="24"/>
  <c r="B2312" i="24"/>
  <c r="B2324" i="24"/>
  <c r="B2336" i="24"/>
  <c r="B2348" i="24"/>
  <c r="B2360" i="24"/>
  <c r="B2372" i="24"/>
  <c r="B2384" i="24"/>
  <c r="B2396" i="24"/>
  <c r="B2408" i="24"/>
  <c r="B2420" i="24"/>
  <c r="B2432" i="24"/>
  <c r="B2444" i="24"/>
  <c r="B2456" i="24"/>
  <c r="B2468" i="24"/>
  <c r="B2480" i="24"/>
  <c r="B2492" i="24"/>
  <c r="B2504" i="24"/>
  <c r="B2516" i="24"/>
  <c r="B16" i="24"/>
  <c r="B44" i="24"/>
  <c r="B69" i="24"/>
  <c r="B95" i="24"/>
  <c r="B121" i="24"/>
  <c r="B146" i="24"/>
  <c r="B172" i="24"/>
  <c r="B197" i="24"/>
  <c r="B225" i="24"/>
  <c r="B251" i="24"/>
  <c r="B276" i="24"/>
  <c r="B302" i="24"/>
  <c r="B327" i="24"/>
  <c r="B17" i="24"/>
  <c r="B22" i="24"/>
  <c r="B28" i="24"/>
  <c r="B53" i="24"/>
  <c r="B81" i="24"/>
  <c r="B107" i="24"/>
  <c r="B132" i="24"/>
  <c r="B158" i="24"/>
  <c r="B183" i="24"/>
  <c r="B209" i="24"/>
  <c r="B237" i="24"/>
  <c r="B262" i="24"/>
  <c r="B288" i="24"/>
  <c r="B313" i="24"/>
  <c r="B339" i="24"/>
  <c r="B13" i="24"/>
  <c r="B51" i="24"/>
  <c r="B82" i="24"/>
  <c r="B113" i="24"/>
  <c r="B143" i="24"/>
  <c r="B176" i="24"/>
  <c r="B207" i="24"/>
  <c r="B238" i="24"/>
  <c r="B268" i="24"/>
  <c r="B298" i="24"/>
  <c r="B332" i="24"/>
  <c r="B359" i="24"/>
  <c r="B384" i="24"/>
  <c r="B410" i="24"/>
  <c r="B435" i="24"/>
  <c r="B461" i="24"/>
  <c r="B489" i="24"/>
  <c r="B514" i="24"/>
  <c r="B540" i="24"/>
  <c r="B565" i="24"/>
  <c r="B591" i="24"/>
  <c r="B617" i="24"/>
  <c r="B644" i="24"/>
  <c r="B670" i="24"/>
  <c r="B695" i="24"/>
  <c r="B721" i="24"/>
  <c r="B747" i="24"/>
  <c r="B772" i="24"/>
  <c r="B794" i="24"/>
  <c r="B815" i="24"/>
  <c r="B837" i="24"/>
  <c r="B856" i="24"/>
  <c r="B877" i="24"/>
  <c r="B898" i="24"/>
  <c r="B914" i="24"/>
  <c r="B932" i="24"/>
  <c r="B949" i="24"/>
  <c r="B966" i="24"/>
  <c r="B984" i="24"/>
  <c r="B1001" i="24"/>
  <c r="B1019" i="24"/>
  <c r="B1036" i="24"/>
  <c r="B1052" i="24"/>
  <c r="B1070" i="24"/>
  <c r="B1087" i="24"/>
  <c r="B1105" i="24"/>
  <c r="B1122" i="24"/>
  <c r="B1139" i="24"/>
  <c r="B1157" i="24"/>
  <c r="B1174" i="24"/>
  <c r="B1192" i="24"/>
  <c r="B1208" i="24"/>
  <c r="B1225" i="24"/>
  <c r="B1243" i="24"/>
  <c r="B1260" i="24"/>
  <c r="B1278" i="24"/>
  <c r="B1295" i="24"/>
  <c r="B1312" i="24"/>
  <c r="B1330" i="24"/>
  <c r="B1346" i="24"/>
  <c r="B1364" i="24"/>
  <c r="B1381" i="24"/>
  <c r="B1398" i="24"/>
  <c r="B1416" i="24"/>
  <c r="B1433" i="24"/>
  <c r="B1451" i="24"/>
  <c r="B1468" i="24"/>
  <c r="B1484" i="24"/>
  <c r="B1502" i="24"/>
  <c r="B1519" i="24"/>
  <c r="B1537" i="24"/>
  <c r="B1554" i="24"/>
  <c r="B1571" i="24"/>
  <c r="B1589" i="24"/>
  <c r="B1606" i="24"/>
  <c r="B1624" i="24"/>
  <c r="B1640" i="24"/>
  <c r="B1657" i="24"/>
  <c r="B1675" i="24"/>
  <c r="B1692" i="24"/>
  <c r="B1710" i="24"/>
  <c r="B1727" i="24"/>
  <c r="B1744" i="24"/>
  <c r="B1762" i="24"/>
  <c r="B1778" i="24"/>
  <c r="B1796" i="24"/>
  <c r="B1813" i="24"/>
  <c r="B1830" i="24"/>
  <c r="B1848" i="24"/>
  <c r="B1865" i="24"/>
  <c r="B1883" i="24"/>
  <c r="B1900" i="24"/>
  <c r="B1916" i="24"/>
  <c r="B1934" i="24"/>
  <c r="B21" i="24"/>
  <c r="B52" i="24"/>
  <c r="B86" i="24"/>
  <c r="B116" i="24"/>
  <c r="B147" i="24"/>
  <c r="B177" i="24"/>
  <c r="B208" i="24"/>
  <c r="B241" i="24"/>
  <c r="B269" i="24"/>
  <c r="B303" i="24"/>
  <c r="B333" i="24"/>
  <c r="B362" i="24"/>
  <c r="B388" i="24"/>
  <c r="B413" i="24"/>
  <c r="B441" i="24"/>
  <c r="B467" i="24"/>
  <c r="B492" i="24"/>
  <c r="B518" i="24"/>
  <c r="B543" i="24"/>
  <c r="B569" i="24"/>
  <c r="B597" i="24"/>
  <c r="B622" i="24"/>
  <c r="B648" i="24"/>
  <c r="B673" i="24"/>
  <c r="B699" i="24"/>
  <c r="B725" i="24"/>
  <c r="B752" i="24"/>
  <c r="B777" i="24"/>
  <c r="B795" i="24"/>
  <c r="B816" i="24"/>
  <c r="B838" i="24"/>
  <c r="B857" i="24"/>
  <c r="B879" i="24"/>
  <c r="B899" i="24"/>
  <c r="B916" i="24"/>
  <c r="B934" i="24"/>
  <c r="B950" i="24"/>
  <c r="B968" i="24"/>
  <c r="B985" i="24"/>
  <c r="B1002" i="24"/>
  <c r="B1020" i="24"/>
  <c r="B1037" i="24"/>
  <c r="B1055" i="24"/>
  <c r="B1072" i="24"/>
  <c r="B1088" i="24"/>
  <c r="B1106" i="24"/>
  <c r="B1123" i="24"/>
  <c r="B1141" i="24"/>
  <c r="B1158" i="24"/>
  <c r="B1175" i="24"/>
  <c r="B1193" i="24"/>
  <c r="B1210" i="24"/>
  <c r="B1228" i="24"/>
  <c r="B1244" i="24"/>
  <c r="B1261" i="24"/>
  <c r="B1279" i="24"/>
  <c r="B1296" i="24"/>
  <c r="B1314" i="24"/>
  <c r="B1331" i="24"/>
  <c r="B1348" i="24"/>
  <c r="B1366" i="24"/>
  <c r="B1382" i="24"/>
  <c r="B1400" i="24"/>
  <c r="B1417" i="24"/>
  <c r="B1434" i="24"/>
  <c r="B1452" i="24"/>
  <c r="B1469" i="24"/>
  <c r="B1487" i="24"/>
  <c r="B1504" i="24"/>
  <c r="B1520" i="24"/>
  <c r="B1538" i="24"/>
  <c r="B1555" i="24"/>
  <c r="B1573" i="24"/>
  <c r="B1590" i="24"/>
  <c r="B1607" i="24"/>
  <c r="B1625" i="24"/>
  <c r="B1642" i="24"/>
  <c r="B1660" i="24"/>
  <c r="B1676" i="24"/>
  <c r="B1693" i="24"/>
  <c r="B1711" i="24"/>
  <c r="B1728" i="24"/>
  <c r="B1746" i="24"/>
  <c r="B1763" i="24"/>
  <c r="B1780" i="24"/>
  <c r="B1798" i="24"/>
  <c r="B1814" i="24"/>
  <c r="B1832" i="24"/>
  <c r="B1849" i="24"/>
  <c r="B1866" i="24"/>
  <c r="B1884" i="24"/>
  <c r="B1901" i="24"/>
  <c r="B1919" i="24"/>
  <c r="B1936" i="24"/>
  <c r="B27" i="24"/>
  <c r="B60" i="24"/>
  <c r="B88" i="24"/>
  <c r="B122" i="24"/>
  <c r="B152" i="24"/>
  <c r="B182" i="24"/>
  <c r="B216" i="24"/>
  <c r="B244" i="24"/>
  <c r="B277" i="24"/>
  <c r="B305" i="24"/>
  <c r="B338" i="24"/>
  <c r="B365" i="24"/>
  <c r="B392" i="24"/>
  <c r="B418" i="24"/>
  <c r="B443" i="24"/>
  <c r="B469" i="24"/>
  <c r="B495" i="24"/>
  <c r="B520" i="24"/>
  <c r="B548" i="24"/>
  <c r="B573" i="24"/>
  <c r="B599" i="24"/>
  <c r="B625" i="24"/>
  <c r="B650" i="24"/>
  <c r="B676" i="24"/>
  <c r="B701" i="24"/>
  <c r="B729" i="24"/>
  <c r="B755" i="24"/>
  <c r="B779" i="24"/>
  <c r="B800" i="24"/>
  <c r="B820" i="24"/>
  <c r="B841" i="24"/>
  <c r="B863" i="24"/>
  <c r="B881" i="24"/>
  <c r="B901" i="24"/>
  <c r="B919" i="24"/>
  <c r="B936" i="24"/>
  <c r="B954" i="24"/>
  <c r="B971" i="24"/>
  <c r="B988" i="24"/>
  <c r="B1006" i="24"/>
  <c r="B1022" i="24"/>
  <c r="B1040" i="24"/>
  <c r="B1057" i="24"/>
  <c r="B1074" i="24"/>
  <c r="B1092" i="24"/>
  <c r="B1109" i="24"/>
  <c r="B1127" i="24"/>
  <c r="B1144" i="24"/>
  <c r="B1160" i="24"/>
  <c r="B1178" i="24"/>
  <c r="B1195" i="24"/>
  <c r="B1213" i="24"/>
  <c r="B1230" i="24"/>
  <c r="B1247" i="24"/>
  <c r="B1265" i="24"/>
  <c r="B1282" i="24"/>
  <c r="B1300" i="24"/>
  <c r="B1316" i="24"/>
  <c r="B1333" i="24"/>
  <c r="B1351" i="24"/>
  <c r="B1368" i="24"/>
  <c r="B1386" i="24"/>
  <c r="B1403" i="24"/>
  <c r="B1420" i="24"/>
  <c r="B1438" i="24"/>
  <c r="B1454" i="24"/>
  <c r="B1472" i="24"/>
  <c r="B1489" i="24"/>
  <c r="B1506" i="24"/>
  <c r="B1524" i="24"/>
  <c r="B1541" i="24"/>
  <c r="B1559" i="24"/>
  <c r="B1576" i="24"/>
  <c r="B1592" i="24"/>
  <c r="B1610" i="24"/>
  <c r="B1627" i="24"/>
  <c r="B1645" i="24"/>
  <c r="B1662" i="24"/>
  <c r="B1679" i="24"/>
  <c r="B1697" i="24"/>
  <c r="B1714" i="24"/>
  <c r="B1732" i="24"/>
  <c r="B1748" i="24"/>
  <c r="B1765" i="24"/>
  <c r="B1783" i="24"/>
  <c r="B1800" i="24"/>
  <c r="B1818" i="24"/>
  <c r="B1835" i="24"/>
  <c r="B1852" i="24"/>
  <c r="B1870" i="24"/>
  <c r="B1886" i="24"/>
  <c r="B1904" i="24"/>
  <c r="B1921" i="24"/>
  <c r="B29" i="24"/>
  <c r="B61" i="24"/>
  <c r="B89" i="24"/>
  <c r="B123" i="24"/>
  <c r="B155" i="24"/>
  <c r="B185" i="24"/>
  <c r="B217" i="24"/>
  <c r="B245" i="24"/>
  <c r="B279" i="24"/>
  <c r="B311" i="24"/>
  <c r="B340" i="24"/>
  <c r="B368" i="24"/>
  <c r="B393" i="24"/>
  <c r="B419" i="24"/>
  <c r="B445" i="24"/>
  <c r="B470" i="24"/>
  <c r="B496" i="24"/>
  <c r="B521" i="24"/>
  <c r="B549" i="24"/>
  <c r="B575" i="24"/>
  <c r="B600" i="24"/>
  <c r="B626" i="24"/>
  <c r="B651" i="24"/>
  <c r="B677" i="24"/>
  <c r="B705" i="24"/>
  <c r="B730" i="24"/>
  <c r="B756" i="24"/>
  <c r="B780" i="24"/>
  <c r="B802" i="24"/>
  <c r="B821" i="24"/>
  <c r="B842" i="24"/>
  <c r="B864" i="24"/>
  <c r="B885" i="24"/>
  <c r="B904" i="24"/>
  <c r="B920" i="24"/>
  <c r="B937" i="24"/>
  <c r="B955" i="24"/>
  <c r="B972" i="24"/>
  <c r="B990" i="24"/>
  <c r="B1007" i="24"/>
  <c r="B1024" i="24"/>
  <c r="B1042" i="24"/>
  <c r="B1058" i="24"/>
  <c r="B1076" i="24"/>
  <c r="B1093" i="24"/>
  <c r="B1110" i="24"/>
  <c r="B1128" i="24"/>
  <c r="B1145" i="24"/>
  <c r="B1163" i="24"/>
  <c r="B1180" i="24"/>
  <c r="B1196" i="24"/>
  <c r="B1214" i="24"/>
  <c r="B1231" i="24"/>
  <c r="B1249" i="24"/>
  <c r="B1266" i="24"/>
  <c r="B1283" i="24"/>
  <c r="B1301" i="24"/>
  <c r="B1318" i="24"/>
  <c r="B1336" i="24"/>
  <c r="B1352" i="24"/>
  <c r="B1369" i="24"/>
  <c r="B1387" i="24"/>
  <c r="B1404" i="24"/>
  <c r="B1422" i="24"/>
  <c r="B1439" i="24"/>
  <c r="B1456" i="24"/>
  <c r="B1474" i="24"/>
  <c r="B1490" i="24"/>
  <c r="B1508" i="24"/>
  <c r="B1525" i="24"/>
  <c r="B1542" i="24"/>
  <c r="B1560" i="24"/>
  <c r="B1577" i="24"/>
  <c r="B1595" i="24"/>
  <c r="B1612" i="24"/>
  <c r="B1628" i="24"/>
  <c r="B1646" i="24"/>
  <c r="B1663" i="24"/>
  <c r="B1681" i="24"/>
  <c r="B1698" i="24"/>
  <c r="B1715" i="24"/>
  <c r="B1733" i="24"/>
  <c r="B1750" i="24"/>
  <c r="B1768" i="24"/>
  <c r="B1784" i="24"/>
  <c r="B1801" i="24"/>
  <c r="B1819" i="24"/>
  <c r="B1836" i="24"/>
  <c r="B35" i="24"/>
  <c r="B63" i="24"/>
  <c r="B96" i="24"/>
  <c r="B124" i="24"/>
  <c r="B157" i="24"/>
  <c r="B190" i="24"/>
  <c r="B218" i="24"/>
  <c r="B252" i="24"/>
  <c r="B280" i="24"/>
  <c r="B312" i="24"/>
  <c r="B346" i="24"/>
  <c r="B371" i="24"/>
  <c r="B397" i="24"/>
  <c r="B423" i="24"/>
  <c r="B448" i="24"/>
  <c r="B476" i="24"/>
  <c r="B501" i="24"/>
  <c r="B527" i="24"/>
  <c r="B553" i="24"/>
  <c r="B578" i="24"/>
  <c r="B604" i="24"/>
  <c r="B629" i="24"/>
  <c r="B657" i="24"/>
  <c r="B683" i="24"/>
  <c r="B708" i="24"/>
  <c r="B734" i="24"/>
  <c r="B759" i="24"/>
  <c r="B781" i="24"/>
  <c r="B803" i="24"/>
  <c r="B824" i="24"/>
  <c r="B844" i="24"/>
  <c r="B865" i="24"/>
  <c r="B886" i="24"/>
  <c r="B905" i="24"/>
  <c r="B922" i="24"/>
  <c r="B940" i="24"/>
  <c r="B956" i="24"/>
  <c r="B973" i="24"/>
  <c r="B991" i="24"/>
  <c r="B1008" i="24"/>
  <c r="B1026" i="24"/>
  <c r="B1043" i="24"/>
  <c r="B1060" i="24"/>
  <c r="B1078" i="24"/>
  <c r="B1094" i="24"/>
  <c r="B1112" i="24"/>
  <c r="B1129" i="24"/>
  <c r="B1146" i="24"/>
  <c r="B1164" i="24"/>
  <c r="B1181" i="24"/>
  <c r="B1199" i="24"/>
  <c r="B1216" i="24"/>
  <c r="B1232" i="24"/>
  <c r="B1250" i="24"/>
  <c r="B1267" i="24"/>
  <c r="B1285" i="24"/>
  <c r="B1302" i="24"/>
  <c r="B1319" i="24"/>
  <c r="B1337" i="24"/>
  <c r="B1354" i="24"/>
  <c r="B1372" i="24"/>
  <c r="B1388" i="24"/>
  <c r="B1405" i="24"/>
  <c r="B1423" i="24"/>
  <c r="B1440" i="24"/>
  <c r="B1458" i="24"/>
  <c r="B1475" i="24"/>
  <c r="B36" i="24"/>
  <c r="B64" i="24"/>
  <c r="B97" i="24"/>
  <c r="B130" i="24"/>
  <c r="B159" i="24"/>
  <c r="B191" i="24"/>
  <c r="B219" i="24"/>
  <c r="B253" i="24"/>
  <c r="B285" i="24"/>
  <c r="B315" i="24"/>
  <c r="B347" i="24"/>
  <c r="B373" i="24"/>
  <c r="B398" i="24"/>
  <c r="B424" i="24"/>
  <c r="B449" i="24"/>
  <c r="B477" i="24"/>
  <c r="B503" i="24"/>
  <c r="B528" i="24"/>
  <c r="B554" i="24"/>
  <c r="B579" i="24"/>
  <c r="B605" i="24"/>
  <c r="B633" i="24"/>
  <c r="B658" i="24"/>
  <c r="B684" i="24"/>
  <c r="B709" i="24"/>
  <c r="B735" i="24"/>
  <c r="B761" i="24"/>
  <c r="B784" i="24"/>
  <c r="B805" i="24"/>
  <c r="B825" i="24"/>
  <c r="B845" i="24"/>
  <c r="B866" i="24"/>
  <c r="B888" i="24"/>
  <c r="B906" i="24"/>
  <c r="B923" i="24"/>
  <c r="B941" i="24"/>
  <c r="B958" i="24"/>
  <c r="B976" i="24"/>
  <c r="B992" i="24"/>
  <c r="B1009" i="24"/>
  <c r="B1027" i="24"/>
  <c r="B1044" i="24"/>
  <c r="B1062" i="24"/>
  <c r="B1079" i="24"/>
  <c r="B1096" i="24"/>
  <c r="B1114" i="24"/>
  <c r="B1130" i="24"/>
  <c r="B1148" i="24"/>
  <c r="B1165" i="24"/>
  <c r="B1182" i="24"/>
  <c r="B1200" i="24"/>
  <c r="B1217" i="24"/>
  <c r="B1235" i="24"/>
  <c r="B1252" i="24"/>
  <c r="B1268" i="24"/>
  <c r="B1286" i="24"/>
  <c r="B1303" i="24"/>
  <c r="B1321" i="24"/>
  <c r="B1338" i="24"/>
  <c r="B1355" i="24"/>
  <c r="B1373" i="24"/>
  <c r="B1390" i="24"/>
  <c r="B1408" i="24"/>
  <c r="B1424" i="24"/>
  <c r="B1441" i="24"/>
  <c r="B1459" i="24"/>
  <c r="B1476" i="24"/>
  <c r="B1494" i="24"/>
  <c r="B1511" i="24"/>
  <c r="B1528" i="24"/>
  <c r="B1546" i="24"/>
  <c r="B1562" i="24"/>
  <c r="B1580" i="24"/>
  <c r="B1597" i="24"/>
  <c r="B1614" i="24"/>
  <c r="B1632" i="24"/>
  <c r="B1649" i="24"/>
  <c r="B1667" i="24"/>
  <c r="B1684" i="24"/>
  <c r="B1700" i="24"/>
  <c r="B1718" i="24"/>
  <c r="B1735" i="24"/>
  <c r="B1753" i="24"/>
  <c r="B1770" i="24"/>
  <c r="B1787" i="24"/>
  <c r="B1805" i="24"/>
  <c r="B1822" i="24"/>
  <c r="B1840" i="24"/>
  <c r="B1856" i="24"/>
  <c r="B1873" i="24"/>
  <c r="B1891" i="24"/>
  <c r="B1908" i="24"/>
  <c r="B1926" i="24"/>
  <c r="B1943" i="24"/>
  <c r="B38" i="24"/>
  <c r="B72" i="24"/>
  <c r="B104" i="24"/>
  <c r="B133" i="24"/>
  <c r="B166" i="24"/>
  <c r="B194" i="24"/>
  <c r="B227" i="24"/>
  <c r="B260" i="24"/>
  <c r="B289" i="24"/>
  <c r="B321" i="24"/>
  <c r="B349" i="24"/>
  <c r="B375" i="24"/>
  <c r="B401" i="24"/>
  <c r="B428" i="24"/>
  <c r="B454" i="24"/>
  <c r="B479" i="24"/>
  <c r="B505" i="24"/>
  <c r="B531" i="24"/>
  <c r="B556" i="24"/>
  <c r="B584" i="24"/>
  <c r="B609" i="24"/>
  <c r="B635" i="24"/>
  <c r="B661" i="24"/>
  <c r="B686" i="24"/>
  <c r="B712" i="24"/>
  <c r="B737" i="24"/>
  <c r="B765" i="24"/>
  <c r="B788" i="24"/>
  <c r="B807" i="24"/>
  <c r="B829" i="24"/>
  <c r="B850" i="24"/>
  <c r="B872" i="24"/>
  <c r="B891" i="24"/>
  <c r="B908" i="24"/>
  <c r="B926" i="24"/>
  <c r="B943" i="24"/>
  <c r="B961" i="24"/>
  <c r="B978" i="24"/>
  <c r="B995" i="24"/>
  <c r="B1013" i="24"/>
  <c r="B1030" i="24"/>
  <c r="B1048" i="24"/>
  <c r="B1064" i="24"/>
  <c r="B1081" i="24"/>
  <c r="B1099" i="24"/>
  <c r="B1116" i="24"/>
  <c r="B1134" i="24"/>
  <c r="B1151" i="24"/>
  <c r="B1168" i="24"/>
  <c r="B1186" i="24"/>
  <c r="B1202" i="24"/>
  <c r="B1220" i="24"/>
  <c r="B1237" i="24"/>
  <c r="B9" i="24"/>
  <c r="B45" i="24"/>
  <c r="B73" i="24"/>
  <c r="B105" i="24"/>
  <c r="B137" i="24"/>
  <c r="B167" i="24"/>
  <c r="B201" i="24"/>
  <c r="B229" i="24"/>
  <c r="B261" i="24"/>
  <c r="B293" i="24"/>
  <c r="B323" i="24"/>
  <c r="B353" i="24"/>
  <c r="B381" i="24"/>
  <c r="B406" i="24"/>
  <c r="B432" i="24"/>
  <c r="B457" i="24"/>
  <c r="B483" i="24"/>
  <c r="B509" i="24"/>
  <c r="B536" i="24"/>
  <c r="B562" i="24"/>
  <c r="B587" i="24"/>
  <c r="B613" i="24"/>
  <c r="B639" i="24"/>
  <c r="B664" i="24"/>
  <c r="B692" i="24"/>
  <c r="B717" i="24"/>
  <c r="B743" i="24"/>
  <c r="B769" i="24"/>
  <c r="B789" i="24"/>
  <c r="B809" i="24"/>
  <c r="B830" i="24"/>
  <c r="B851" i="24"/>
  <c r="B873" i="24"/>
  <c r="B892" i="24"/>
  <c r="B911" i="24"/>
  <c r="B928" i="24"/>
  <c r="B944" i="24"/>
  <c r="B10" i="24"/>
  <c r="B46" i="24"/>
  <c r="B77" i="24"/>
  <c r="B108" i="24"/>
  <c r="B140" i="24"/>
  <c r="B168" i="24"/>
  <c r="B202" i="24"/>
  <c r="B232" i="24"/>
  <c r="B263" i="24"/>
  <c r="B296" i="24"/>
  <c r="B324" i="24"/>
  <c r="B356" i="24"/>
  <c r="B382" i="24"/>
  <c r="B407" i="24"/>
  <c r="B433" i="24"/>
  <c r="B459" i="24"/>
  <c r="B484" i="24"/>
  <c r="B512" i="24"/>
  <c r="B537" i="24"/>
  <c r="B563" i="24"/>
  <c r="B589" i="24"/>
  <c r="B614" i="24"/>
  <c r="B640" i="24"/>
  <c r="B665" i="24"/>
  <c r="B11" i="24"/>
  <c r="B47" i="24"/>
  <c r="B80" i="24"/>
  <c r="B111" i="24"/>
  <c r="B141" i="24"/>
  <c r="B173" i="24"/>
  <c r="B203" i="24"/>
  <c r="B233" i="24"/>
  <c r="B267" i="24"/>
  <c r="B297" i="24"/>
  <c r="B329" i="24"/>
  <c r="B357" i="24"/>
  <c r="B383" i="24"/>
  <c r="B409" i="24"/>
  <c r="B434" i="24"/>
  <c r="B460" i="24"/>
  <c r="B485" i="24"/>
  <c r="B513" i="24"/>
  <c r="B539" i="24"/>
  <c r="B564" i="24"/>
  <c r="B590" i="24"/>
  <c r="B615" i="24"/>
  <c r="B641" i="24"/>
  <c r="B669" i="24"/>
  <c r="B694" i="24"/>
  <c r="B720" i="24"/>
  <c r="B745" i="24"/>
  <c r="B771" i="24"/>
  <c r="B793" i="24"/>
  <c r="B814" i="24"/>
  <c r="B833" i="24"/>
  <c r="B855" i="24"/>
  <c r="B875" i="24"/>
  <c r="B896" i="24"/>
  <c r="B913" i="24"/>
  <c r="B930" i="24"/>
  <c r="B948" i="24"/>
  <c r="B965" i="24"/>
  <c r="B983" i="24"/>
  <c r="B1000" i="24"/>
  <c r="B149" i="24"/>
  <c r="B337" i="24"/>
  <c r="B493" i="24"/>
  <c r="B649" i="24"/>
  <c r="B764" i="24"/>
  <c r="B849" i="24"/>
  <c r="B925" i="24"/>
  <c r="B980" i="24"/>
  <c r="B1031" i="24"/>
  <c r="B1069" i="24"/>
  <c r="B1115" i="24"/>
  <c r="B1153" i="24"/>
  <c r="B1194" i="24"/>
  <c r="B1238" i="24"/>
  <c r="B1273" i="24"/>
  <c r="B1308" i="24"/>
  <c r="B1343" i="24"/>
  <c r="B1376" i="24"/>
  <c r="B1411" i="24"/>
  <c r="B1446" i="24"/>
  <c r="B1481" i="24"/>
  <c r="B1512" i="24"/>
  <c r="B1540" i="24"/>
  <c r="B1568" i="24"/>
  <c r="B1600" i="24"/>
  <c r="B1631" i="24"/>
  <c r="B1656" i="24"/>
  <c r="B1688" i="24"/>
  <c r="B1720" i="24"/>
  <c r="B1747" i="24"/>
  <c r="B1776" i="24"/>
  <c r="B1807" i="24"/>
  <c r="B1837" i="24"/>
  <c r="B1862" i="24"/>
  <c r="B1890" i="24"/>
  <c r="B1914" i="24"/>
  <c r="B1940" i="24"/>
  <c r="B1958" i="24"/>
  <c r="B1976" i="24"/>
  <c r="B1993" i="24"/>
  <c r="B2010" i="24"/>
  <c r="B2028" i="24"/>
  <c r="B2045" i="24"/>
  <c r="B2063" i="24"/>
  <c r="B2080" i="24"/>
  <c r="B2096" i="24"/>
  <c r="B2114" i="24"/>
  <c r="B2131" i="24"/>
  <c r="B2149" i="24"/>
  <c r="B2166" i="24"/>
  <c r="B2183" i="24"/>
  <c r="B2201" i="24"/>
  <c r="B2218" i="24"/>
  <c r="B2236" i="24"/>
  <c r="B2252" i="24"/>
  <c r="B2269" i="24"/>
  <c r="B2284" i="24"/>
  <c r="B2298" i="24"/>
  <c r="B2313" i="24"/>
  <c r="B2327" i="24"/>
  <c r="B2341" i="24"/>
  <c r="B2356" i="24"/>
  <c r="B2370" i="24"/>
  <c r="B2385" i="24"/>
  <c r="B2399" i="24"/>
  <c r="B2413" i="24"/>
  <c r="B2428" i="24"/>
  <c r="B2442" i="24"/>
  <c r="B2457" i="24"/>
  <c r="B2471" i="24"/>
  <c r="B2485" i="24"/>
  <c r="B2500" i="24"/>
  <c r="B2514" i="24"/>
  <c r="B165" i="24"/>
  <c r="B348" i="24"/>
  <c r="B504" i="24"/>
  <c r="B659" i="24"/>
  <c r="B770" i="24"/>
  <c r="B853" i="24"/>
  <c r="B929" i="24"/>
  <c r="B986" i="24"/>
  <c r="B1033" i="24"/>
  <c r="B1073" i="24"/>
  <c r="B1117" i="24"/>
  <c r="B1156" i="24"/>
  <c r="B1201" i="24"/>
  <c r="B1240" i="24"/>
  <c r="B1274" i="24"/>
  <c r="B1309" i="24"/>
  <c r="B1344" i="24"/>
  <c r="B1379" i="24"/>
  <c r="B1412" i="24"/>
  <c r="B1447" i="24"/>
  <c r="B1482" i="24"/>
  <c r="B1513" i="24"/>
  <c r="B1544" i="24"/>
  <c r="B1570" i="24"/>
  <c r="B1602" i="24"/>
  <c r="B1633" i="24"/>
  <c r="B1661" i="24"/>
  <c r="B1690" i="24"/>
  <c r="B1721" i="24"/>
  <c r="B1751" i="24"/>
  <c r="B1777" i="24"/>
  <c r="B1808" i="24"/>
  <c r="B1841" i="24"/>
  <c r="B1864" i="24"/>
  <c r="B1892" i="24"/>
  <c r="B1915" i="24"/>
  <c r="B1942" i="24"/>
  <c r="B1960" i="24"/>
  <c r="B1978" i="24"/>
  <c r="B1994" i="24"/>
  <c r="B2012" i="24"/>
  <c r="B2029" i="24"/>
  <c r="B2046" i="24"/>
  <c r="B2064" i="24"/>
  <c r="B2081" i="24"/>
  <c r="B2099" i="24"/>
  <c r="B2116" i="24"/>
  <c r="B2132" i="24"/>
  <c r="B2150" i="24"/>
  <c r="B2167" i="24"/>
  <c r="B2185" i="24"/>
  <c r="B2202" i="24"/>
  <c r="B2219" i="24"/>
  <c r="B2237" i="24"/>
  <c r="B2254" i="24"/>
  <c r="B2271" i="24"/>
  <c r="B2285" i="24"/>
  <c r="B2299" i="24"/>
  <c r="B2314" i="24"/>
  <c r="B2328" i="24"/>
  <c r="B2343" i="24"/>
  <c r="B2357" i="24"/>
  <c r="B2371" i="24"/>
  <c r="B2386" i="24"/>
  <c r="B2400" i="24"/>
  <c r="B2415" i="24"/>
  <c r="B2429" i="24"/>
  <c r="B2443" i="24"/>
  <c r="B2458" i="24"/>
  <c r="B2472" i="24"/>
  <c r="B2487" i="24"/>
  <c r="B2501" i="24"/>
  <c r="B2515" i="24"/>
  <c r="B193" i="24"/>
  <c r="B374" i="24"/>
  <c r="B529" i="24"/>
  <c r="B685" i="24"/>
  <c r="B785" i="24"/>
  <c r="B867" i="24"/>
  <c r="B942" i="24"/>
  <c r="B997" i="24"/>
  <c r="B1038" i="24"/>
  <c r="B1084" i="24"/>
  <c r="B1121" i="24"/>
  <c r="B1166" i="24"/>
  <c r="B1206" i="24"/>
  <c r="B1246" i="24"/>
  <c r="B1280" i="24"/>
  <c r="B1315" i="24"/>
  <c r="B1350" i="24"/>
  <c r="B1384" i="24"/>
  <c r="B1418" i="24"/>
  <c r="B1453" i="24"/>
  <c r="B1488" i="24"/>
  <c r="B1517" i="24"/>
  <c r="B1548" i="24"/>
  <c r="B1578" i="24"/>
  <c r="B1604" i="24"/>
  <c r="B1636" i="24"/>
  <c r="B1668" i="24"/>
  <c r="B1696" i="24"/>
  <c r="B1724" i="24"/>
  <c r="B1756" i="24"/>
  <c r="B1786" i="24"/>
  <c r="B1812" i="24"/>
  <c r="B1843" i="24"/>
  <c r="B1871" i="24"/>
  <c r="B1895" i="24"/>
  <c r="B1922" i="24"/>
  <c r="B1945" i="24"/>
  <c r="B1963" i="24"/>
  <c r="B1980" i="24"/>
  <c r="B1998" i="24"/>
  <c r="B2015" i="24"/>
  <c r="B2032" i="24"/>
  <c r="B2050" i="24"/>
  <c r="B2066" i="24"/>
  <c r="B2084" i="24"/>
  <c r="B2101" i="24"/>
  <c r="B2118" i="24"/>
  <c r="B2136" i="24"/>
  <c r="B2153" i="24"/>
  <c r="B2171" i="24"/>
  <c r="B2188" i="24"/>
  <c r="B2204" i="24"/>
  <c r="B2222" i="24"/>
  <c r="B2239" i="24"/>
  <c r="B2257" i="24"/>
  <c r="B2273" i="24"/>
  <c r="B2287" i="24"/>
  <c r="B2302" i="24"/>
  <c r="B2316" i="24"/>
  <c r="B2331" i="24"/>
  <c r="B2345" i="24"/>
  <c r="B2359" i="24"/>
  <c r="B2374" i="24"/>
  <c r="B2388" i="24"/>
  <c r="B2403" i="24"/>
  <c r="B2417" i="24"/>
  <c r="B2431" i="24"/>
  <c r="B2446" i="24"/>
  <c r="B2460" i="24"/>
  <c r="B2475" i="24"/>
  <c r="B2489" i="24"/>
  <c r="B2503" i="24"/>
  <c r="B2518" i="24"/>
  <c r="B25" i="24"/>
  <c r="B212" i="24"/>
  <c r="B389" i="24"/>
  <c r="B545" i="24"/>
  <c r="B693" i="24"/>
  <c r="B791" i="24"/>
  <c r="B874" i="24"/>
  <c r="B947" i="24"/>
  <c r="B998" i="24"/>
  <c r="B1045" i="24"/>
  <c r="B1085" i="24"/>
  <c r="B1124" i="24"/>
  <c r="B1170" i="24"/>
  <c r="B1207" i="24"/>
  <c r="B1253" i="24"/>
  <c r="B1288" i="24"/>
  <c r="B1322" i="24"/>
  <c r="B1357" i="24"/>
  <c r="B1391" i="24"/>
  <c r="B1426" i="24"/>
  <c r="B1460" i="24"/>
  <c r="B1492" i="24"/>
  <c r="B1518" i="24"/>
  <c r="B1549" i="24"/>
  <c r="B1582" i="24"/>
  <c r="B1609" i="24"/>
  <c r="B1638" i="24"/>
  <c r="B1669" i="24"/>
  <c r="B1699" i="24"/>
  <c r="B1726" i="24"/>
  <c r="B1757" i="24"/>
  <c r="B1789" i="24"/>
  <c r="B1816" i="24"/>
  <c r="B1844" i="24"/>
  <c r="B1872" i="24"/>
  <c r="B1897" i="24"/>
  <c r="B1924" i="24"/>
  <c r="B1948" i="24"/>
  <c r="B1964" i="24"/>
  <c r="B1981" i="24"/>
  <c r="B1999" i="24"/>
  <c r="B2016" i="24"/>
  <c r="B2034" i="24"/>
  <c r="B2051" i="24"/>
  <c r="B2068" i="24"/>
  <c r="B2086" i="24"/>
  <c r="B2102" i="24"/>
  <c r="B2120" i="24"/>
  <c r="B2137" i="24"/>
  <c r="B2154" i="24"/>
  <c r="B2172" i="24"/>
  <c r="B2189" i="24"/>
  <c r="B2207" i="24"/>
  <c r="B2224" i="24"/>
  <c r="B2240" i="24"/>
  <c r="B2258" i="24"/>
  <c r="B2274" i="24"/>
  <c r="B2289" i="24"/>
  <c r="B2303" i="24"/>
  <c r="B2317" i="24"/>
  <c r="B2332" i="24"/>
  <c r="B2346" i="24"/>
  <c r="B2361" i="24"/>
  <c r="B2375" i="24"/>
  <c r="B2389" i="24"/>
  <c r="B2404" i="24"/>
  <c r="B2418" i="24"/>
  <c r="B2433" i="24"/>
  <c r="B2447" i="24"/>
  <c r="B2461" i="24"/>
  <c r="B2476" i="24"/>
  <c r="B2490" i="24"/>
  <c r="B2505" i="24"/>
  <c r="B2519" i="24"/>
  <c r="B37" i="24"/>
  <c r="B226" i="24"/>
  <c r="B399" i="24"/>
  <c r="B555" i="24"/>
  <c r="B700" i="24"/>
  <c r="B797" i="24"/>
  <c r="B880" i="24"/>
  <c r="B952" i="24"/>
  <c r="B1004" i="24"/>
  <c r="B1049" i="24"/>
  <c r="B1086" i="24"/>
  <c r="B1132" i="24"/>
  <c r="B1171" i="24"/>
  <c r="B1211" i="24"/>
  <c r="B1254" i="24"/>
  <c r="B1289" i="24"/>
  <c r="B1324" i="24"/>
  <c r="B1358" i="24"/>
  <c r="B1393" i="24"/>
  <c r="B1427" i="24"/>
  <c r="B1462" i="24"/>
  <c r="B1495" i="24"/>
  <c r="B1523" i="24"/>
  <c r="B1552" i="24"/>
  <c r="B1583" i="24"/>
  <c r="B1613" i="24"/>
  <c r="B1639" i="24"/>
  <c r="B1670" i="24"/>
  <c r="B1703" i="24"/>
  <c r="B1729" i="24"/>
  <c r="B1758" i="24"/>
  <c r="B1790" i="24"/>
  <c r="B1820" i="24"/>
  <c r="B1847" i="24"/>
  <c r="B1876" i="24"/>
  <c r="B1898" i="24"/>
  <c r="B1927" i="24"/>
  <c r="B1949" i="24"/>
  <c r="B1966" i="24"/>
  <c r="B1984" i="24"/>
  <c r="B2000" i="24"/>
  <c r="B2017" i="24"/>
  <c r="B2035" i="24"/>
  <c r="B2052" i="24"/>
  <c r="B2070" i="24"/>
  <c r="B2087" i="24"/>
  <c r="B2104" i="24"/>
  <c r="B2122" i="24"/>
  <c r="B2138" i="24"/>
  <c r="B2156" i="24"/>
  <c r="B2173" i="24"/>
  <c r="B2190" i="24"/>
  <c r="B2208" i="24"/>
  <c r="B2225" i="24"/>
  <c r="B2243" i="24"/>
  <c r="B2260" i="24"/>
  <c r="B2275" i="24"/>
  <c r="B2290" i="24"/>
  <c r="B2304" i="24"/>
  <c r="B2319" i="24"/>
  <c r="B2333" i="24"/>
  <c r="B2347" i="24"/>
  <c r="B2362" i="24"/>
  <c r="B2376" i="24"/>
  <c r="B2391" i="24"/>
  <c r="B2405" i="24"/>
  <c r="B2419" i="24"/>
  <c r="B2434" i="24"/>
  <c r="B2448" i="24"/>
  <c r="B2463" i="24"/>
  <c r="B2477" i="24"/>
  <c r="B2491" i="24"/>
  <c r="B2506" i="24"/>
  <c r="B2520" i="24"/>
  <c r="B57" i="24"/>
  <c r="B243" i="24"/>
  <c r="B417" i="24"/>
  <c r="B572" i="24"/>
  <c r="B711" i="24"/>
  <c r="B806" i="24"/>
  <c r="B889" i="24"/>
  <c r="B959" i="24"/>
  <c r="B1012" i="24"/>
  <c r="B1050" i="24"/>
  <c r="B1091" i="24"/>
  <c r="B1135" i="24"/>
  <c r="B1172" i="24"/>
  <c r="B1218" i="24"/>
  <c r="B1256" i="24"/>
  <c r="B1290" i="24"/>
  <c r="B1325" i="24"/>
  <c r="B1360" i="24"/>
  <c r="B1394" i="24"/>
  <c r="B1429" i="24"/>
  <c r="B1463" i="24"/>
  <c r="B1496" i="24"/>
  <c r="B1526" i="24"/>
  <c r="B1553" i="24"/>
  <c r="B1584" i="24"/>
  <c r="B1616" i="24"/>
  <c r="B1643" i="24"/>
  <c r="B1672" i="24"/>
  <c r="B1704" i="24"/>
  <c r="B1734" i="24"/>
  <c r="B1760" i="24"/>
  <c r="B1792" i="24"/>
  <c r="B1823" i="24"/>
  <c r="B1850" i="24"/>
  <c r="B1877" i="24"/>
  <c r="B1902" i="24"/>
  <c r="B1928" i="24"/>
  <c r="B1950" i="24"/>
  <c r="B1967" i="24"/>
  <c r="B1985" i="24"/>
  <c r="B2002" i="24"/>
  <c r="B2020" i="24"/>
  <c r="B2036" i="24"/>
  <c r="B2053" i="24"/>
  <c r="B2071" i="24"/>
  <c r="B2088" i="24"/>
  <c r="B2106" i="24"/>
  <c r="B2123" i="24"/>
  <c r="B2140" i="24"/>
  <c r="B2158" i="24"/>
  <c r="B2174" i="24"/>
  <c r="B2192" i="24"/>
  <c r="B2209" i="24"/>
  <c r="B2226" i="24"/>
  <c r="B2244" i="24"/>
  <c r="B2261" i="24"/>
  <c r="B2277" i="24"/>
  <c r="B2291" i="24"/>
  <c r="B2305" i="24"/>
  <c r="B2320" i="24"/>
  <c r="B2334" i="24"/>
  <c r="B2349" i="24"/>
  <c r="B2363" i="24"/>
  <c r="B2377" i="24"/>
  <c r="B2392" i="24"/>
  <c r="B2406" i="24"/>
  <c r="B2421" i="24"/>
  <c r="B2435" i="24"/>
  <c r="B2449" i="24"/>
  <c r="B2464" i="24"/>
  <c r="B2478" i="24"/>
  <c r="B2493" i="24"/>
  <c r="B2507" i="24"/>
  <c r="B2521" i="24"/>
  <c r="B87" i="24"/>
  <c r="B273" i="24"/>
  <c r="B442" i="24"/>
  <c r="B598" i="24"/>
  <c r="B728" i="24"/>
  <c r="B819" i="24"/>
  <c r="B900" i="24"/>
  <c r="B964" i="24"/>
  <c r="B1015" i="24"/>
  <c r="B1056" i="24"/>
  <c r="B1100" i="24"/>
  <c r="B1138" i="24"/>
  <c r="B1184" i="24"/>
  <c r="B1223" i="24"/>
  <c r="B1259" i="24"/>
  <c r="B1294" i="24"/>
  <c r="B1328" i="24"/>
  <c r="B1362" i="24"/>
  <c r="B1397" i="24"/>
  <c r="B1432" i="24"/>
  <c r="B1466" i="24"/>
  <c r="B1499" i="24"/>
  <c r="B1531" i="24"/>
  <c r="B1561" i="24"/>
  <c r="B1588" i="24"/>
  <c r="B1619" i="24"/>
  <c r="B1650" i="24"/>
  <c r="B1678" i="24"/>
  <c r="B1706" i="24"/>
  <c r="B1739" i="24"/>
  <c r="B1769" i="24"/>
  <c r="B1794" i="24"/>
  <c r="B1826" i="24"/>
  <c r="B1855" i="24"/>
  <c r="B1879" i="24"/>
  <c r="B1907" i="24"/>
  <c r="B1931" i="24"/>
  <c r="B1952" i="24"/>
  <c r="B1970" i="24"/>
  <c r="B1987" i="24"/>
  <c r="B2005" i="24"/>
  <c r="B2022" i="24"/>
  <c r="B2039" i="24"/>
  <c r="B2057" i="24"/>
  <c r="B2074" i="24"/>
  <c r="B2092" i="24"/>
  <c r="B2108" i="24"/>
  <c r="B2125" i="24"/>
  <c r="B2143" i="24"/>
  <c r="B2160" i="24"/>
  <c r="B2178" i="24"/>
  <c r="B2195" i="24"/>
  <c r="B2212" i="24"/>
  <c r="B2230" i="24"/>
  <c r="B2246" i="24"/>
  <c r="B2264" i="24"/>
  <c r="B2279" i="24"/>
  <c r="B2293" i="24"/>
  <c r="B2308" i="24"/>
  <c r="B2322" i="24"/>
  <c r="B2337" i="24"/>
  <c r="B2351" i="24"/>
  <c r="B2365" i="24"/>
  <c r="B2380" i="24"/>
  <c r="B2394" i="24"/>
  <c r="B2409" i="24"/>
  <c r="B2423" i="24"/>
  <c r="B2437" i="24"/>
  <c r="B2452" i="24"/>
  <c r="B2466" i="24"/>
  <c r="B2481" i="24"/>
  <c r="B2495" i="24"/>
  <c r="B2509" i="24"/>
  <c r="B2524" i="24"/>
  <c r="B99" i="24"/>
  <c r="B287" i="24"/>
  <c r="B453" i="24"/>
  <c r="B608" i="24"/>
  <c r="B736" i="24"/>
  <c r="B828" i="24"/>
  <c r="B907" i="24"/>
  <c r="B970" i="24"/>
  <c r="B1016" i="24"/>
  <c r="B1063" i="24"/>
  <c r="B1102" i="24"/>
  <c r="B1142" i="24"/>
  <c r="B1187" i="24"/>
  <c r="B1224" i="24"/>
  <c r="B1264" i="24"/>
  <c r="B1297" i="24"/>
  <c r="B1332" i="24"/>
  <c r="B1367" i="24"/>
  <c r="B1402" i="24"/>
  <c r="B1436" i="24"/>
  <c r="B1470" i="24"/>
  <c r="B1501" i="24"/>
  <c r="B1532" i="24"/>
  <c r="B1564" i="24"/>
  <c r="B1591" i="24"/>
  <c r="B1620" i="24"/>
  <c r="B1652" i="24"/>
  <c r="B1682" i="24"/>
  <c r="B1708" i="24"/>
  <c r="B1740" i="24"/>
  <c r="B1771" i="24"/>
  <c r="B1799" i="24"/>
  <c r="B1828" i="24"/>
  <c r="B1858" i="24"/>
  <c r="B1880" i="24"/>
  <c r="B1909" i="24"/>
  <c r="B1933" i="24"/>
  <c r="B1955" i="24"/>
  <c r="B1972" i="24"/>
  <c r="B1988" i="24"/>
  <c r="B2006" i="24"/>
  <c r="B2023" i="24"/>
  <c r="B2041" i="24"/>
  <c r="B2058" i="24"/>
  <c r="B2075" i="24"/>
  <c r="B2093" i="24"/>
  <c r="B2110" i="24"/>
  <c r="B2128" i="24"/>
  <c r="B2144" i="24"/>
  <c r="B2161" i="24"/>
  <c r="B2179" i="24"/>
  <c r="B2196" i="24"/>
  <c r="B2214" i="24"/>
  <c r="B2231" i="24"/>
  <c r="B2248" i="24"/>
  <c r="B2266" i="24"/>
  <c r="B2280" i="24"/>
  <c r="B2295" i="24"/>
  <c r="B2309" i="24"/>
  <c r="B2323" i="24"/>
  <c r="B2338" i="24"/>
  <c r="B2352" i="24"/>
  <c r="B2367" i="24"/>
  <c r="B2381" i="24"/>
  <c r="B2395" i="24"/>
  <c r="B2410" i="24"/>
  <c r="B2424" i="24"/>
  <c r="B2439" i="24"/>
  <c r="B2453" i="24"/>
  <c r="B2467" i="24"/>
  <c r="B2482" i="24"/>
  <c r="B2496" i="24"/>
  <c r="B2511" i="24"/>
  <c r="B2525" i="24"/>
  <c r="B117" i="24"/>
  <c r="B304" i="24"/>
  <c r="B468" i="24"/>
  <c r="B623" i="24"/>
  <c r="B744" i="24"/>
  <c r="B831" i="24"/>
  <c r="B912" i="24"/>
  <c r="B977" i="24"/>
  <c r="B1021" i="24"/>
  <c r="B1066" i="24"/>
  <c r="B1103" i="24"/>
  <c r="B1150" i="24"/>
  <c r="B1188" i="24"/>
  <c r="B1229" i="24"/>
  <c r="B1271" i="24"/>
  <c r="B1304" i="24"/>
  <c r="B1339" i="24"/>
  <c r="B1374" i="24"/>
  <c r="B1409" i="24"/>
  <c r="B1444" i="24"/>
  <c r="B1477" i="24"/>
  <c r="B1505" i="24"/>
  <c r="B1534" i="24"/>
  <c r="B1566" i="24"/>
  <c r="B1596" i="24"/>
  <c r="B1621" i="24"/>
  <c r="B1654" i="24"/>
  <c r="B1685" i="24"/>
  <c r="B1712" i="24"/>
  <c r="B1741" i="24"/>
  <c r="B1772" i="24"/>
  <c r="B1804" i="24"/>
  <c r="B1829" i="24"/>
  <c r="B1859" i="24"/>
  <c r="B1885" i="24"/>
  <c r="B1912" i="24"/>
  <c r="B1937" i="24"/>
  <c r="B1956" i="24"/>
  <c r="B1973" i="24"/>
  <c r="B1991" i="24"/>
  <c r="B2008" i="24"/>
  <c r="B2024" i="24"/>
  <c r="B2042" i="24"/>
  <c r="B2059" i="24"/>
  <c r="B2077" i="24"/>
  <c r="B2094" i="24"/>
  <c r="B2111" i="24"/>
  <c r="B2129" i="24"/>
  <c r="B2146" i="24"/>
  <c r="B2164" i="24"/>
  <c r="B2180" i="24"/>
  <c r="B2197" i="24"/>
  <c r="B2215" i="24"/>
  <c r="B2232" i="24"/>
  <c r="B2250" i="24"/>
  <c r="B2267" i="24"/>
  <c r="B2281" i="24"/>
  <c r="B2296" i="24"/>
  <c r="B2310" i="24"/>
  <c r="B2325" i="24"/>
  <c r="B2339" i="24"/>
  <c r="B2353" i="24"/>
  <c r="B2368" i="24"/>
  <c r="B2382" i="24"/>
  <c r="B2397" i="24"/>
  <c r="B2411" i="24"/>
  <c r="B2425" i="24"/>
  <c r="B131" i="24"/>
  <c r="B320" i="24"/>
  <c r="B478" i="24"/>
  <c r="B634" i="24"/>
  <c r="B753" i="24"/>
  <c r="B839" i="24"/>
  <c r="B918" i="24"/>
  <c r="B979" i="24"/>
  <c r="B1028" i="24"/>
  <c r="B1067" i="24"/>
  <c r="B1108" i="24"/>
  <c r="B1152" i="24"/>
  <c r="B1189" i="24"/>
  <c r="B1236" i="24"/>
  <c r="B1272" i="24"/>
  <c r="B1307" i="24"/>
  <c r="B1340" i="24"/>
  <c r="B1375" i="24"/>
  <c r="B1410" i="24"/>
  <c r="B1445" i="24"/>
  <c r="B1480" i="24"/>
  <c r="B1510" i="24"/>
  <c r="B1535" i="24"/>
  <c r="B1567" i="24"/>
  <c r="B1598" i="24"/>
  <c r="B1626" i="24"/>
  <c r="B1655" i="24"/>
  <c r="B1686" i="24"/>
  <c r="B1717" i="24"/>
  <c r="B1742" i="24"/>
  <c r="B1775" i="24"/>
  <c r="B1806" i="24"/>
  <c r="B1834" i="24"/>
  <c r="B1861" i="24"/>
  <c r="B1888" i="24"/>
  <c r="B1913" i="24"/>
  <c r="B1938" i="24"/>
  <c r="B1957" i="24"/>
  <c r="B1974" i="24"/>
  <c r="B1992" i="24"/>
  <c r="B2009" i="24"/>
  <c r="B2027" i="24"/>
  <c r="B2044" i="24"/>
  <c r="B2060" i="24"/>
  <c r="B2078" i="24"/>
  <c r="B2095" i="24"/>
  <c r="B2113" i="24"/>
  <c r="B2130" i="24"/>
  <c r="B2147" i="24"/>
  <c r="B2165" i="24"/>
  <c r="B2182" i="24"/>
  <c r="B2200" i="24"/>
  <c r="B2216" i="24"/>
  <c r="B2233" i="24"/>
  <c r="B2251" i="24"/>
  <c r="B2268" i="24"/>
  <c r="B2283" i="24"/>
  <c r="B2297" i="24"/>
  <c r="B2311" i="24"/>
  <c r="B2326" i="24"/>
  <c r="B2340" i="24"/>
  <c r="B2355" i="24"/>
  <c r="B2369" i="24"/>
  <c r="B2383" i="24"/>
  <c r="B2398" i="24"/>
  <c r="B2412" i="24"/>
  <c r="B2427" i="24"/>
  <c r="B2441" i="24"/>
  <c r="B2455" i="24"/>
  <c r="B2470" i="24"/>
  <c r="B2484" i="24"/>
  <c r="B2499" i="24"/>
  <c r="B2513" i="24"/>
  <c r="B181" i="24"/>
  <c r="B935" i="24"/>
  <c r="B1204" i="24"/>
  <c r="B1415" i="24"/>
  <c r="B1603" i="24"/>
  <c r="B1782" i="24"/>
  <c r="B1944" i="24"/>
  <c r="B2048" i="24"/>
  <c r="B2152" i="24"/>
  <c r="B2255" i="24"/>
  <c r="B2344" i="24"/>
  <c r="B2430" i="24"/>
  <c r="B2488" i="24"/>
  <c r="B254" i="24"/>
  <c r="B962" i="24"/>
  <c r="B1222" i="24"/>
  <c r="B1430" i="24"/>
  <c r="B1618" i="24"/>
  <c r="B1793" i="24"/>
  <c r="B1951" i="24"/>
  <c r="B2056" i="24"/>
  <c r="B2159" i="24"/>
  <c r="B2262" i="24"/>
  <c r="B2350" i="24"/>
  <c r="B2436" i="24"/>
  <c r="B2494" i="24"/>
  <c r="B363" i="24"/>
  <c r="B994" i="24"/>
  <c r="B1242" i="24"/>
  <c r="B1448" i="24"/>
  <c r="B1634" i="24"/>
  <c r="B1811" i="24"/>
  <c r="B1962" i="24"/>
  <c r="B2065" i="24"/>
  <c r="B2168" i="24"/>
  <c r="B2272" i="24"/>
  <c r="B2358" i="24"/>
  <c r="B2440" i="24"/>
  <c r="B2497" i="24"/>
  <c r="B425" i="24"/>
  <c r="B1014" i="24"/>
  <c r="B1258" i="24"/>
  <c r="B1465" i="24"/>
  <c r="B1648" i="24"/>
  <c r="B1825" i="24"/>
  <c r="B1969" i="24"/>
  <c r="B2072" i="24"/>
  <c r="B2176" i="24"/>
  <c r="B2278" i="24"/>
  <c r="B2364" i="24"/>
  <c r="B2445" i="24"/>
  <c r="B2502" i="24"/>
  <c r="B519" i="24"/>
  <c r="B1034" i="24"/>
  <c r="B1276" i="24"/>
  <c r="B1483" i="24"/>
  <c r="B1664" i="24"/>
  <c r="B1842" i="24"/>
  <c r="B1979" i="24"/>
  <c r="B2082" i="24"/>
  <c r="B2186" i="24"/>
  <c r="B2286" i="24"/>
  <c r="B2373" i="24"/>
  <c r="B2451" i="24"/>
  <c r="B2508" i="24"/>
  <c r="B581" i="24"/>
  <c r="B1051" i="24"/>
  <c r="B1292" i="24"/>
  <c r="B1498" i="24"/>
  <c r="B1674" i="24"/>
  <c r="B1854" i="24"/>
  <c r="B1986" i="24"/>
  <c r="B2089" i="24"/>
  <c r="B2194" i="24"/>
  <c r="B2292" i="24"/>
  <c r="B2379" i="24"/>
  <c r="B2454" i="24"/>
  <c r="B2512" i="24"/>
  <c r="B675" i="24"/>
  <c r="B1080" i="24"/>
  <c r="B1310" i="24"/>
  <c r="B1516" i="24"/>
  <c r="B1691" i="24"/>
  <c r="B1868" i="24"/>
  <c r="B1996" i="24"/>
  <c r="B2100" i="24"/>
  <c r="B2203" i="24"/>
  <c r="B2301" i="24"/>
  <c r="B2387" i="24"/>
  <c r="B2459" i="24"/>
  <c r="B2517" i="24"/>
  <c r="B719" i="24"/>
  <c r="B1098" i="24"/>
  <c r="B1326" i="24"/>
  <c r="B1530" i="24"/>
  <c r="B1705" i="24"/>
  <c r="B1878" i="24"/>
  <c r="B2003" i="24"/>
  <c r="B2107" i="24"/>
  <c r="B2210" i="24"/>
  <c r="B2307" i="24"/>
  <c r="B2393" i="24"/>
  <c r="B2465" i="24"/>
  <c r="B2523" i="24"/>
  <c r="B778" i="24"/>
  <c r="B1120" i="24"/>
  <c r="B1345" i="24"/>
  <c r="B1547" i="24"/>
  <c r="B1722" i="24"/>
  <c r="B1894" i="24"/>
  <c r="B2014" i="24"/>
  <c r="B2117" i="24"/>
  <c r="B2221" i="24"/>
  <c r="B2315" i="24"/>
  <c r="B2401" i="24"/>
  <c r="B2469" i="24"/>
  <c r="B813" i="24"/>
  <c r="B1136" i="24"/>
  <c r="B1361" i="24"/>
  <c r="B1556" i="24"/>
  <c r="B1736" i="24"/>
  <c r="B1906" i="24"/>
  <c r="B2021" i="24"/>
  <c r="B2124" i="24"/>
  <c r="B2228" i="24"/>
  <c r="B2321" i="24"/>
  <c r="B2407" i="24"/>
  <c r="B2473" i="24"/>
  <c r="B860" i="24"/>
  <c r="B1159" i="24"/>
  <c r="B1380" i="24"/>
  <c r="B1574" i="24"/>
  <c r="B1754" i="24"/>
  <c r="B1920" i="24"/>
  <c r="B71" i="24"/>
  <c r="B893" i="24"/>
  <c r="B1177" i="24"/>
  <c r="B1396" i="24"/>
  <c r="B1585" i="24"/>
  <c r="B1764" i="24"/>
  <c r="B1930" i="24"/>
  <c r="B2038" i="24"/>
  <c r="B2142" i="24"/>
  <c r="B2245" i="24"/>
  <c r="B2335" i="24"/>
  <c r="B2422" i="24"/>
  <c r="B2483" i="24"/>
  <c r="B2030" i="24"/>
  <c r="B2135" i="24"/>
  <c r="B2238" i="24"/>
  <c r="B2329" i="24"/>
  <c r="B2416" i="24"/>
  <c r="B2479" i="24"/>
  <c r="B4" i="25"/>
  <c r="C16" i="77" l="1"/>
  <c r="C29" i="77" s="1"/>
  <c r="B2" i="77"/>
  <c r="A35" i="77"/>
  <c r="A34" i="77"/>
  <c r="A33" i="77"/>
  <c r="A32" i="77"/>
  <c r="A31" i="77"/>
  <c r="A30" i="77"/>
  <c r="A29" i="77"/>
  <c r="A28" i="77"/>
  <c r="A27" i="77"/>
  <c r="A26" i="77"/>
  <c r="A46" i="77" s="1"/>
  <c r="A25" i="77"/>
  <c r="A45" i="77" s="1"/>
  <c r="A24" i="77"/>
  <c r="A44" i="77" s="1"/>
  <c r="A23" i="77"/>
  <c r="A22" i="77"/>
  <c r="A21" i="77"/>
  <c r="A20" i="77"/>
  <c r="A19" i="77"/>
  <c r="A18" i="77"/>
  <c r="A17" i="77"/>
  <c r="A14" i="77"/>
  <c r="A13" i="77"/>
  <c r="A12" i="77"/>
  <c r="A40" i="77" s="1"/>
  <c r="A11" i="77"/>
  <c r="A39" i="77" s="1"/>
  <c r="A10" i="77"/>
  <c r="A38" i="77" s="1"/>
  <c r="A9" i="77"/>
  <c r="A8" i="77"/>
  <c r="A7" i="77"/>
  <c r="A2" i="77"/>
  <c r="A1" i="77"/>
  <c r="C16" i="76"/>
  <c r="C29" i="76" s="1"/>
  <c r="B2" i="76"/>
  <c r="A35" i="76"/>
  <c r="A34" i="76"/>
  <c r="A33" i="76"/>
  <c r="A32" i="76"/>
  <c r="A31" i="76"/>
  <c r="A30" i="76"/>
  <c r="A29" i="76"/>
  <c r="A28" i="76"/>
  <c r="A27" i="76"/>
  <c r="A26" i="76"/>
  <c r="A46" i="76" s="1"/>
  <c r="A25" i="76"/>
  <c r="A45" i="76" s="1"/>
  <c r="A24" i="76"/>
  <c r="A44" i="76" s="1"/>
  <c r="A23" i="76"/>
  <c r="A22" i="76"/>
  <c r="A21" i="76"/>
  <c r="A20" i="76"/>
  <c r="A19" i="76"/>
  <c r="A18" i="76"/>
  <c r="A17" i="76"/>
  <c r="A14" i="76"/>
  <c r="A13" i="76"/>
  <c r="A12" i="76"/>
  <c r="A40" i="76" s="1"/>
  <c r="A11" i="76"/>
  <c r="A39" i="76" s="1"/>
  <c r="A10" i="76"/>
  <c r="A38" i="76" s="1"/>
  <c r="A9" i="76"/>
  <c r="A8" i="76"/>
  <c r="A7" i="76"/>
  <c r="A2" i="76"/>
  <c r="A1" i="76"/>
  <c r="B2" i="64"/>
  <c r="C16" i="75"/>
  <c r="C29" i="75" s="1"/>
  <c r="B2" i="75"/>
  <c r="A35" i="75"/>
  <c r="A34" i="75"/>
  <c r="A33" i="75"/>
  <c r="A32" i="75"/>
  <c r="A31" i="75"/>
  <c r="A30" i="75"/>
  <c r="A29" i="75"/>
  <c r="A28" i="75"/>
  <c r="A27" i="75"/>
  <c r="A26" i="75"/>
  <c r="A46" i="75" s="1"/>
  <c r="A25" i="75"/>
  <c r="A45" i="75" s="1"/>
  <c r="A24" i="75"/>
  <c r="A44" i="75" s="1"/>
  <c r="A23" i="75"/>
  <c r="A22" i="75"/>
  <c r="A21" i="75"/>
  <c r="A20" i="75"/>
  <c r="A19" i="75"/>
  <c r="A18" i="75"/>
  <c r="A17" i="75"/>
  <c r="A14" i="75"/>
  <c r="A13" i="75"/>
  <c r="A12" i="75"/>
  <c r="A40" i="75" s="1"/>
  <c r="A11" i="75"/>
  <c r="A39" i="75" s="1"/>
  <c r="A10" i="75"/>
  <c r="A38" i="75" s="1"/>
  <c r="A9" i="75"/>
  <c r="A8" i="75"/>
  <c r="A7" i="75"/>
  <c r="A2" i="75"/>
  <c r="A1" i="75"/>
  <c r="C16" i="58" l="1"/>
  <c r="C29" i="58" s="1"/>
  <c r="C16" i="20"/>
  <c r="B5" i="74" l="1"/>
  <c r="B4" i="74"/>
  <c r="B2" i="74"/>
  <c r="D33" i="74"/>
  <c r="D16" i="77" s="1"/>
  <c r="D29" i="77" s="1"/>
  <c r="D31" i="74"/>
  <c r="D30" i="74"/>
  <c r="D12" i="86" s="1"/>
  <c r="A25" i="74"/>
  <c r="A24" i="74"/>
  <c r="A23" i="74"/>
  <c r="A22" i="74"/>
  <c r="A21" i="74"/>
  <c r="B1" i="74"/>
  <c r="E62" i="12" a="1"/>
  <c r="I14" i="1" a="1"/>
  <c r="D51" i="25" a="1"/>
  <c r="J15" i="12" a="1"/>
  <c r="I61" i="12" a="1"/>
  <c r="E92" i="12" a="1"/>
  <c r="G72" i="12" a="1"/>
  <c r="R2" i="12" a="1"/>
  <c r="J70" i="12" a="1"/>
  <c r="D177" i="25" a="1"/>
  <c r="D101" i="25" a="1"/>
  <c r="D57" i="25" a="1"/>
  <c r="F50" i="12" a="1"/>
  <c r="A190" i="13" a="1"/>
  <c r="J12" i="12" a="1"/>
  <c r="J13" i="74" a="1"/>
  <c r="I23" i="1" a="1"/>
  <c r="D100" i="25" a="1"/>
  <c r="D61" i="25" a="1"/>
  <c r="H36" i="1" a="1"/>
  <c r="H199" i="25" a="1"/>
  <c r="D122" i="25" a="1"/>
  <c r="G199" i="25" a="1"/>
  <c r="G11" i="1" a="1"/>
  <c r="E78" i="12" a="1"/>
  <c r="D78" i="25" a="1"/>
  <c r="D161" i="25" a="1"/>
  <c r="D86" i="25" a="1"/>
  <c r="I11" i="1" a="1"/>
  <c r="D97" i="25" a="1"/>
  <c r="I13" i="74" a="1"/>
  <c r="D197" i="25" a="1"/>
  <c r="I66" i="1" a="1"/>
  <c r="D64" i="25" a="1"/>
  <c r="F81" i="1" a="1"/>
  <c r="F12" i="1" a="1"/>
  <c r="L13" i="74" a="1"/>
  <c r="I21" i="1" a="1"/>
  <c r="D163" i="25" a="1"/>
  <c r="D116" i="25" a="1"/>
  <c r="H2" i="28" a="1"/>
  <c r="F199" i="25" a="1"/>
  <c r="D174" i="25" a="1"/>
  <c r="J78" i="12" a="1"/>
  <c r="D40" i="25" a="1"/>
  <c r="F6" i="1" a="1"/>
  <c r="C15" i="12" a="1"/>
  <c r="R25" i="12" a="1"/>
  <c r="D189" i="25" a="1"/>
  <c r="G12" i="28" a="1"/>
  <c r="H42" i="1" a="1"/>
  <c r="H27" i="28" a="1"/>
  <c r="C9" i="12" a="1"/>
  <c r="K11" i="74" a="1"/>
  <c r="G38" i="1" a="1"/>
  <c r="D95" i="25" a="1"/>
  <c r="G6" i="1" a="1"/>
  <c r="N12" i="12" a="1"/>
  <c r="E66" i="1" a="1"/>
  <c r="D166" i="25" a="1"/>
  <c r="I38" i="1" a="1"/>
  <c r="F16" i="28" a="1"/>
  <c r="F7" i="1" a="1"/>
  <c r="E64" i="1" a="1"/>
  <c r="U2" i="12" a="1"/>
  <c r="D46" i="25" a="1"/>
  <c r="F36" i="1" a="1"/>
  <c r="H18" i="28" a="1"/>
  <c r="H81" i="1" a="1"/>
  <c r="D83" i="25" a="1"/>
  <c r="K14" i="74" a="1"/>
  <c r="C3" i="28"/>
  <c r="E33" i="12" a="1"/>
  <c r="I72" i="12" a="1"/>
  <c r="K2" i="28" a="1"/>
  <c r="K4" i="32" a="1"/>
  <c r="D70" i="25" a="1"/>
  <c r="K18" i="28" a="1"/>
  <c r="D154" i="25" a="1"/>
  <c r="D65" i="25" a="1"/>
  <c r="F33" i="12" a="1"/>
  <c r="H65" i="1" a="1"/>
  <c r="H16" i="1" a="1"/>
  <c r="D72" i="25" a="1"/>
  <c r="E189" i="12" a="1"/>
  <c r="D82" i="25" a="1"/>
  <c r="E8" i="1" a="1"/>
  <c r="D84" i="25" a="1"/>
  <c r="I15" i="74" a="1"/>
  <c r="H72" i="12" a="1"/>
  <c r="J91" i="12" a="1"/>
  <c r="F16" i="1" a="1"/>
  <c r="C189" i="12" a="1"/>
  <c r="J15" i="74" a="1"/>
  <c r="J62" i="12" a="1"/>
  <c r="L14" i="74" a="1"/>
  <c r="F21" i="1" a="1"/>
  <c r="I81" i="1" a="1"/>
  <c r="D45" i="25" a="1"/>
  <c r="E4" i="1" a="1"/>
  <c r="I27" i="28" a="1"/>
  <c r="G50" i="12" a="1"/>
  <c r="E47" i="12" a="1"/>
  <c r="J59" i="12" a="1"/>
  <c r="D38" i="25" a="1"/>
  <c r="D85" i="25" a="1"/>
  <c r="G12" i="1" a="1"/>
  <c r="F46" i="1" a="1"/>
  <c r="I6" i="1" a="1"/>
  <c r="D125" i="25" a="1"/>
  <c r="I36" i="1" a="1"/>
  <c r="D128" i="25" a="1"/>
  <c r="J33" i="12" a="1"/>
  <c r="J199" i="25" a="1"/>
  <c r="E70" i="12" a="1"/>
  <c r="E23" i="1" a="1"/>
  <c r="N18" i="12" a="1"/>
  <c r="D148" i="25" a="1"/>
  <c r="C11" i="12" a="1"/>
  <c r="E16" i="74" a="1"/>
  <c r="D136" i="25" a="1"/>
  <c r="F27" i="28" a="1"/>
  <c r="D123" i="25" a="1"/>
  <c r="K12" i="74" a="1"/>
  <c r="G42" i="1" a="1"/>
  <c r="C14" i="12" a="1"/>
  <c r="I16" i="1" a="1"/>
  <c r="D135" i="25" a="1"/>
  <c r="D144" i="25" a="1"/>
  <c r="J12" i="74" a="1"/>
  <c r="H25" i="1" a="1"/>
  <c r="J27" i="28" a="1"/>
  <c r="J82" i="12" a="1"/>
  <c r="H50" i="12" a="1"/>
  <c r="C26" i="12" a="1"/>
  <c r="D175" i="25" a="1"/>
  <c r="K13" i="74" a="1"/>
  <c r="K2" i="25" a="1"/>
  <c r="E21" i="1" a="1"/>
  <c r="E51" i="12" a="1"/>
  <c r="E68" i="1" a="1"/>
  <c r="G64" i="1" a="1"/>
  <c r="E84" i="12" a="1"/>
  <c r="E65" i="1" a="1"/>
  <c r="AH4" i="41" a="1"/>
  <c r="J43" i="12" a="1"/>
  <c r="J9" i="12" a="1"/>
  <c r="F189" i="12" a="1"/>
  <c r="C27" i="12" a="1"/>
  <c r="G8" i="1" a="1"/>
  <c r="D178" i="25" a="1"/>
  <c r="D168" i="25" a="1"/>
  <c r="J84" i="12" a="1"/>
  <c r="F67" i="1" a="1"/>
  <c r="I7" i="1" a="1"/>
  <c r="D49" i="25" a="1"/>
  <c r="D153" i="25" a="1"/>
  <c r="AI4" i="41" a="1"/>
  <c r="C19" i="12" a="1"/>
  <c r="D142" i="25" a="1"/>
  <c r="C10" i="12" a="1"/>
  <c r="E6" i="1" a="1"/>
  <c r="H68" i="1" a="1"/>
  <c r="D188" i="25" a="1"/>
  <c r="G81" i="1" a="1"/>
  <c r="D119" i="25" a="1"/>
  <c r="D182" i="25" a="1"/>
  <c r="N15" i="12" a="1"/>
  <c r="G68" i="12" a="1"/>
  <c r="H12" i="1" a="1"/>
  <c r="D96" i="25" a="1"/>
  <c r="L10" i="74" a="1"/>
  <c r="R12" i="12" a="1"/>
  <c r="D41" i="25" a="1"/>
  <c r="I8" i="1" a="1"/>
  <c r="J40" i="12" a="1"/>
  <c r="D130" i="25" a="1"/>
  <c r="I33" i="12" a="1"/>
  <c r="D121" i="25" a="1"/>
  <c r="H38" i="1" a="1"/>
  <c r="E11" i="74" a="1"/>
  <c r="H61" i="12" a="1"/>
  <c r="D76" i="25" a="1"/>
  <c r="C8" i="12" a="1"/>
  <c r="G16" i="1" a="1"/>
  <c r="J51" i="12" a="1"/>
  <c r="L16" i="74" a="1"/>
  <c r="D81" i="25" a="1"/>
  <c r="D140" i="25" a="1"/>
  <c r="D117" i="25" a="1"/>
  <c r="E54" i="12" a="1"/>
  <c r="H6" i="1" a="1"/>
  <c r="M4" i="32" a="1"/>
  <c r="G33" i="12" a="1"/>
  <c r="H23" i="1" a="1"/>
  <c r="I68" i="12" a="1"/>
  <c r="I12" i="74" a="1"/>
  <c r="E80" i="1" a="1"/>
  <c r="D109" i="25" a="1"/>
  <c r="D179" i="25" a="1"/>
  <c r="J77" i="12" a="1"/>
  <c r="D87" i="25" a="1"/>
  <c r="I18" i="28" a="1"/>
  <c r="G61" i="12" a="1"/>
  <c r="H21" i="1" a="1"/>
  <c r="J36" i="12" a="1"/>
  <c r="D124" i="25" a="1"/>
  <c r="E36" i="12" a="1"/>
  <c r="D43" i="25" a="1"/>
  <c r="D147" i="25" a="1"/>
  <c r="F61" i="12" a="1"/>
  <c r="I46" i="1" a="1"/>
  <c r="I25" i="1" a="1"/>
  <c r="D105" i="25" a="1"/>
  <c r="D189" i="12" a="1"/>
  <c r="D159" i="25" a="1"/>
  <c r="F66" i="1" a="1"/>
  <c r="D88" i="25" a="1"/>
  <c r="D134" i="25" a="1"/>
  <c r="G66" i="1" a="1"/>
  <c r="E81" i="1" a="1"/>
  <c r="H4" i="1" a="1"/>
  <c r="D167" i="25" a="1"/>
  <c r="E91" i="12" a="1"/>
  <c r="G4" i="1" a="1"/>
  <c r="D118" i="25" a="1"/>
  <c r="I12" i="1" a="1"/>
  <c r="D60" i="25" a="1"/>
  <c r="U3" i="12" a="1"/>
  <c r="J74" i="12" a="1"/>
  <c r="I50" i="12" a="1"/>
  <c r="E74" i="12" a="1"/>
  <c r="H67" i="1" a="1"/>
  <c r="G21" i="1" a="1"/>
  <c r="E72" i="12" a="1"/>
  <c r="D133" i="25" a="1"/>
  <c r="D99" i="25" a="1"/>
  <c r="E12" i="1" a="1"/>
  <c r="D196" i="25" a="1"/>
  <c r="F25" i="28" a="1"/>
  <c r="I14" i="74" a="1"/>
  <c r="D172" i="25" a="1"/>
  <c r="H46" i="1" a="1"/>
  <c r="AE4" i="41" a="1"/>
  <c r="G23" i="1" a="1"/>
  <c r="D126" i="25" a="1"/>
  <c r="I42" i="1" a="1"/>
  <c r="J14" i="74" a="1"/>
  <c r="D184" i="25" a="1"/>
  <c r="E85" i="12" a="1"/>
  <c r="H66" i="1" a="1"/>
  <c r="L3" i="23" a="1"/>
  <c r="F23" i="1" a="1"/>
  <c r="D132" i="25" a="1"/>
  <c r="J61" i="12" a="1"/>
  <c r="D50" i="25" a="1"/>
  <c r="D69" i="25" a="1"/>
  <c r="H7" i="1" a="1"/>
  <c r="I68" i="1" a="1"/>
  <c r="D187" i="25" a="1"/>
  <c r="E38" i="1" a="1"/>
  <c r="E12" i="74" a="1"/>
  <c r="D47" i="25" a="1"/>
  <c r="G36" i="1" a="1"/>
  <c r="D200" i="25" a="1"/>
  <c r="C20" i="12" a="1"/>
  <c r="D106" i="25" a="1"/>
  <c r="L4" i="32" a="1"/>
  <c r="D79" i="25" a="1"/>
  <c r="J18" i="28" a="1"/>
  <c r="G65" i="1" a="1"/>
  <c r="F80" i="1" a="1"/>
  <c r="I11" i="74" a="1"/>
  <c r="E14" i="1" a="1"/>
  <c r="D67" i="25" a="1"/>
  <c r="F4" i="1" a="1"/>
  <c r="G8" i="28" a="1"/>
  <c r="E50" i="12" a="1"/>
  <c r="A223" i="13" a="1"/>
  <c r="G67" i="1" a="1"/>
  <c r="D68" i="25" a="1"/>
  <c r="D56" i="25" a="1"/>
  <c r="N21" i="12" a="1"/>
  <c r="D162" i="25" a="1"/>
  <c r="J81" i="12" a="1"/>
  <c r="D36" i="25" a="1"/>
  <c r="D112" i="25" a="1"/>
  <c r="D111" i="25" a="1"/>
  <c r="E82" i="12" a="1"/>
  <c r="D127" i="25" a="1"/>
  <c r="D157" i="25" a="1"/>
  <c r="D71" i="25" a="1"/>
  <c r="I67" i="1" a="1"/>
  <c r="D120" i="25" a="1"/>
  <c r="E11" i="1" a="1"/>
  <c r="J16" i="74" a="1"/>
  <c r="J92" i="12" a="1"/>
  <c r="J18" i="12" a="1"/>
  <c r="D42" i="25" a="1"/>
  <c r="E5" i="1" a="1"/>
  <c r="D129" i="25" a="1"/>
  <c r="M2" i="25" a="1"/>
  <c r="D77" i="25" a="1"/>
  <c r="J89" i="12" a="1"/>
  <c r="G25" i="12" a="1"/>
  <c r="C10" i="28" a="1"/>
  <c r="I65" i="1" a="1"/>
  <c r="G5" i="1" a="1"/>
  <c r="C25" i="12" a="1"/>
  <c r="D195" i="25" a="1"/>
  <c r="D150" i="25" a="1"/>
  <c r="D138" i="25" a="1"/>
  <c r="G68" i="1" a="1"/>
  <c r="L199" i="25" a="1"/>
  <c r="D164" i="25" a="1"/>
  <c r="F18" i="28" a="1"/>
  <c r="D139" i="25" a="1"/>
  <c r="D151" i="25" a="1"/>
  <c r="E77" i="12" a="1"/>
  <c r="M3" i="25" a="1"/>
  <c r="D39" i="25" a="1"/>
  <c r="D192" i="25" a="1"/>
  <c r="D173" i="25" a="1"/>
  <c r="D75" i="25" a="1"/>
  <c r="K3" i="28" a="1"/>
  <c r="D89" i="25" a="1"/>
  <c r="J21" i="12" a="1"/>
  <c r="D170" i="25" a="1"/>
  <c r="D104" i="25" a="1"/>
  <c r="I4" i="1" a="1"/>
  <c r="D183" i="25" a="1"/>
  <c r="I199" i="25" a="1"/>
  <c r="D103" i="25" a="1"/>
  <c r="D169" i="25" a="1"/>
  <c r="J11" i="74" a="1"/>
  <c r="J68" i="12" a="1"/>
  <c r="J34" i="12" a="1"/>
  <c r="C12" i="12" a="1"/>
  <c r="D107" i="25" a="1"/>
  <c r="J85" i="12" a="1"/>
  <c r="D155" i="25" a="1"/>
  <c r="E36" i="1" a="1"/>
  <c r="D176" i="25" a="1"/>
  <c r="J54" i="12" a="1"/>
  <c r="E69" i="12" a="1"/>
  <c r="C18" i="12" a="1"/>
  <c r="D158" i="25" a="1"/>
  <c r="D143" i="25" a="1"/>
  <c r="D58" i="25" a="1"/>
  <c r="D62" i="25" a="1"/>
  <c r="F11" i="1" a="1"/>
  <c r="D114" i="25" a="1"/>
  <c r="D59" i="25" a="1"/>
  <c r="H68" i="12" a="1"/>
  <c r="D48" i="25" a="1"/>
  <c r="D3" i="25"/>
  <c r="T12" i="12" a="1"/>
  <c r="C3" i="12"/>
  <c r="D145" i="25" a="1"/>
  <c r="D98" i="25" a="1"/>
  <c r="K15" i="74" a="1"/>
  <c r="X36" i="43" a="1"/>
  <c r="E40" i="12" a="1"/>
  <c r="E16" i="1" a="1"/>
  <c r="F5" i="1" a="1"/>
  <c r="E90" i="12" a="1"/>
  <c r="K199" i="25" a="1"/>
  <c r="D141" i="25" a="1"/>
  <c r="D66" i="25" a="1"/>
  <c r="I5" i="1" a="1"/>
  <c r="L11" i="74" a="1"/>
  <c r="D44" i="25" a="1"/>
  <c r="F14" i="1" a="1"/>
  <c r="D80" i="25" a="1"/>
  <c r="E46" i="1" a="1"/>
  <c r="H11" i="1" a="1"/>
  <c r="C6" i="28" a="1"/>
  <c r="D74" i="25" a="1"/>
  <c r="D92" i="25" a="1"/>
  <c r="E61" i="12" a="1"/>
  <c r="D37" i="25" a="1"/>
  <c r="D171" i="25" a="1"/>
  <c r="D55" i="25" a="1"/>
  <c r="E81" i="12" a="1"/>
  <c r="D54" i="25" a="1"/>
  <c r="H64" i="1" a="1"/>
  <c r="H5" i="1" a="1"/>
  <c r="D108" i="25" a="1"/>
  <c r="D9" i="25" a="1"/>
  <c r="H8" i="1" a="1"/>
  <c r="E14" i="74" a="1"/>
  <c r="D113" i="25" a="1"/>
  <c r="K25" i="12" a="1"/>
  <c r="D194" i="25" a="1"/>
  <c r="F38" i="1" a="1"/>
  <c r="J90" i="12" a="1"/>
  <c r="I80" i="1" a="1"/>
  <c r="D160" i="25" a="1"/>
  <c r="F68" i="1" a="1"/>
  <c r="F72" i="12" a="1"/>
  <c r="C16" i="12" a="1"/>
  <c r="D52" i="25" a="1"/>
  <c r="E34" i="12" a="1"/>
  <c r="F68" i="12" a="1"/>
  <c r="D94" i="25" a="1"/>
  <c r="E7" i="1" a="1"/>
  <c r="D152" i="25" a="1"/>
  <c r="F25" i="1" a="1"/>
  <c r="D146" i="25" a="1"/>
  <c r="D186" i="25" a="1"/>
  <c r="D181" i="25" a="1"/>
  <c r="F65" i="1" a="1"/>
  <c r="D35" i="25" a="1"/>
  <c r="D180" i="25" a="1"/>
  <c r="C21" i="12" a="1"/>
  <c r="D115" i="25" a="1"/>
  <c r="J47" i="12" a="1"/>
  <c r="H14" i="1" a="1"/>
  <c r="D156" i="25" a="1"/>
  <c r="D190" i="25" a="1"/>
  <c r="F64" i="1" a="1"/>
  <c r="D193" i="25" a="1"/>
  <c r="C13" i="12" a="1"/>
  <c r="L15" i="74" a="1"/>
  <c r="D191" i="25" a="1"/>
  <c r="E199" i="25" a="1"/>
  <c r="E59" i="12" a="1"/>
  <c r="I16" i="74" a="1"/>
  <c r="G7" i="1" a="1"/>
  <c r="G25" i="1" a="1"/>
  <c r="D73" i="25" a="1"/>
  <c r="G46" i="1" a="1"/>
  <c r="E42" i="1" a="1"/>
  <c r="I64" i="1" a="1"/>
  <c r="J50" i="12" a="1"/>
  <c r="E68" i="12" a="1"/>
  <c r="D137" i="25" a="1"/>
  <c r="H33" i="12" a="1"/>
  <c r="E43" i="12" a="1"/>
  <c r="H80" i="1" a="1"/>
  <c r="E89" i="12" a="1"/>
  <c r="AF4" i="41" a="1"/>
  <c r="J69" i="12" a="1"/>
  <c r="C17" i="12" a="1"/>
  <c r="E25" i="1" a="1"/>
  <c r="D165" i="25" a="1"/>
  <c r="D93" i="25" a="1"/>
  <c r="N7" i="24" a="1"/>
  <c r="D102" i="25" a="1"/>
  <c r="E13" i="74" a="1"/>
  <c r="F42" i="1" a="1"/>
  <c r="K27" i="28" a="1"/>
  <c r="D131" i="25" a="1"/>
  <c r="G14" i="1" a="1"/>
  <c r="E67" i="1" a="1"/>
  <c r="E15" i="74" a="1"/>
  <c r="D110" i="25" a="1"/>
  <c r="D63" i="25" a="1"/>
  <c r="G80" i="1" a="1"/>
  <c r="C22" i="12" a="1"/>
  <c r="T15" i="12" a="1"/>
  <c r="D53" i="25" a="1"/>
  <c r="D198" i="25" a="1"/>
  <c r="D90" i="25" a="1"/>
  <c r="D91" i="25" a="1"/>
  <c r="D149" i="25" a="1"/>
  <c r="K16" i="74" a="1"/>
  <c r="D185" i="25" a="1"/>
  <c r="J72" i="12" a="1"/>
  <c r="L12" i="74" a="1"/>
  <c r="F8" i="1" a="1"/>
  <c r="F66" i="1" l="1"/>
  <c r="H81" i="1"/>
  <c r="E80" i="1"/>
  <c r="E50" i="12"/>
  <c r="D60" i="25"/>
  <c r="E16" i="1"/>
  <c r="I66" i="1"/>
  <c r="J15" i="12"/>
  <c r="D121" i="25"/>
  <c r="E46" i="1"/>
  <c r="J61" i="12"/>
  <c r="D126" i="25"/>
  <c r="G42" i="1"/>
  <c r="D61" i="25"/>
  <c r="D138" i="25"/>
  <c r="D164" i="25"/>
  <c r="D109" i="25"/>
  <c r="D197" i="25"/>
  <c r="I80" i="1"/>
  <c r="I64" i="1"/>
  <c r="J27" i="28"/>
  <c r="J92" i="12"/>
  <c r="D181" i="25"/>
  <c r="D130" i="25"/>
  <c r="I72" i="12"/>
  <c r="D102" i="25"/>
  <c r="I6" i="1"/>
  <c r="H33" i="12"/>
  <c r="H11" i="1"/>
  <c r="G68" i="1"/>
  <c r="D99" i="25"/>
  <c r="F38" i="1"/>
  <c r="J89" i="12"/>
  <c r="E36" i="1"/>
  <c r="T15" i="12"/>
  <c r="D141" i="25"/>
  <c r="G11" i="1"/>
  <c r="D186" i="25"/>
  <c r="H68" i="12"/>
  <c r="D157" i="25"/>
  <c r="D147" i="25"/>
  <c r="F27" i="28"/>
  <c r="J34" i="12"/>
  <c r="E61" i="12"/>
  <c r="G36" i="1"/>
  <c r="D179" i="25"/>
  <c r="D172" i="25"/>
  <c r="F199" i="25"/>
  <c r="G14" i="1"/>
  <c r="I46" i="1"/>
  <c r="R2" i="12"/>
  <c r="E38" i="1"/>
  <c r="F42" i="1"/>
  <c r="G64" i="1"/>
  <c r="D106" i="25"/>
  <c r="D143" i="25"/>
  <c r="D163" i="25"/>
  <c r="D81" i="25"/>
  <c r="D129" i="25"/>
  <c r="D154" i="25"/>
  <c r="C21" i="12"/>
  <c r="I19" i="28"/>
  <c r="I20" i="28"/>
  <c r="I21" i="28"/>
  <c r="I18" i="28"/>
  <c r="I22" i="28"/>
  <c r="F90" i="12"/>
  <c r="I90" i="12"/>
  <c r="G90" i="12"/>
  <c r="H90" i="12"/>
  <c r="E90" i="12"/>
  <c r="D41" i="25"/>
  <c r="F67" i="1"/>
  <c r="G69" i="12"/>
  <c r="H69" i="12"/>
  <c r="F69" i="12"/>
  <c r="I69" i="12"/>
  <c r="E69" i="12"/>
  <c r="I7" i="1"/>
  <c r="C25" i="12"/>
  <c r="D113" i="25"/>
  <c r="C8" i="12"/>
  <c r="D193" i="25"/>
  <c r="I11" i="1"/>
  <c r="M2" i="25"/>
  <c r="D75" i="25"/>
  <c r="D44" i="25"/>
  <c r="D116" i="25"/>
  <c r="F70" i="12"/>
  <c r="I70" i="12"/>
  <c r="G70" i="12"/>
  <c r="E70" i="12"/>
  <c r="H70" i="12"/>
  <c r="D53" i="25"/>
  <c r="D171" i="25"/>
  <c r="J20" i="28"/>
  <c r="J22" i="28"/>
  <c r="J19" i="28"/>
  <c r="J18" i="28"/>
  <c r="J21" i="28"/>
  <c r="F46" i="1"/>
  <c r="F8" i="1"/>
  <c r="R12" i="12"/>
  <c r="G80" i="1"/>
  <c r="H21" i="1"/>
  <c r="H6" i="1"/>
  <c r="D165" i="25"/>
  <c r="H38" i="1"/>
  <c r="D118" i="25"/>
  <c r="D95" i="25"/>
  <c r="J47" i="12"/>
  <c r="G66" i="1"/>
  <c r="D98" i="25"/>
  <c r="J78" i="12"/>
  <c r="D80" i="25"/>
  <c r="D190" i="25"/>
  <c r="D104" i="25"/>
  <c r="E72" i="12"/>
  <c r="D139" i="25"/>
  <c r="F68" i="1"/>
  <c r="D73" i="25"/>
  <c r="G61" i="12"/>
  <c r="D198" i="25"/>
  <c r="D178" i="25"/>
  <c r="J72" i="12"/>
  <c r="D82" i="25"/>
  <c r="D71" i="25"/>
  <c r="F5" i="1"/>
  <c r="J81" i="12"/>
  <c r="D119" i="25"/>
  <c r="H46" i="1"/>
  <c r="G77" i="12"/>
  <c r="E77" i="12"/>
  <c r="H77" i="12"/>
  <c r="I77" i="12"/>
  <c r="F77" i="12"/>
  <c r="H85" i="12"/>
  <c r="G85" i="12"/>
  <c r="F85" i="12"/>
  <c r="I85" i="12"/>
  <c r="E85" i="12"/>
  <c r="K4" i="32"/>
  <c r="D111" i="25"/>
  <c r="D175" i="25"/>
  <c r="I16" i="1"/>
  <c r="F12" i="1"/>
  <c r="D124" i="25"/>
  <c r="E11" i="1"/>
  <c r="F25" i="28"/>
  <c r="J43" i="12"/>
  <c r="H72" i="12"/>
  <c r="D107" i="25"/>
  <c r="D128" i="25"/>
  <c r="E14" i="1"/>
  <c r="N15" i="12"/>
  <c r="C354" i="12"/>
  <c r="C423" i="12"/>
  <c r="C217" i="12"/>
  <c r="C335" i="12"/>
  <c r="C274" i="12"/>
  <c r="C237" i="12"/>
  <c r="C295" i="12"/>
  <c r="C200" i="12"/>
  <c r="C392" i="12"/>
  <c r="C257" i="12"/>
  <c r="C352" i="12"/>
  <c r="C359" i="12"/>
  <c r="C439" i="12"/>
  <c r="C328" i="12"/>
  <c r="C229" i="12"/>
  <c r="C305" i="12"/>
  <c r="C379" i="12"/>
  <c r="C316" i="12"/>
  <c r="C361" i="12"/>
  <c r="C252" i="12"/>
  <c r="C442" i="12"/>
  <c r="C417" i="12"/>
  <c r="C260" i="12"/>
  <c r="C319" i="12"/>
  <c r="C331" i="12"/>
  <c r="C425" i="12"/>
  <c r="C269" i="12"/>
  <c r="C405" i="12"/>
  <c r="C286" i="12"/>
  <c r="C330" i="12"/>
  <c r="C329" i="12"/>
  <c r="C247" i="12"/>
  <c r="C344" i="12"/>
  <c r="C250" i="12"/>
  <c r="C271" i="12"/>
  <c r="C389" i="12"/>
  <c r="C411" i="12"/>
  <c r="C323" i="12"/>
  <c r="C336" i="12"/>
  <c r="C301" i="12"/>
  <c r="C290" i="12"/>
  <c r="C351" i="12"/>
  <c r="C342" i="12"/>
  <c r="C308" i="12"/>
  <c r="C370" i="12"/>
  <c r="C281" i="12"/>
  <c r="C314" i="12"/>
  <c r="C348" i="12"/>
  <c r="C289" i="12"/>
  <c r="C238" i="12"/>
  <c r="C298" i="12"/>
  <c r="C227" i="12"/>
  <c r="C393" i="12"/>
  <c r="C273" i="12"/>
  <c r="C408" i="12"/>
  <c r="C245" i="12"/>
  <c r="C285" i="12"/>
  <c r="C385" i="12"/>
  <c r="C363" i="12"/>
  <c r="C387" i="12"/>
  <c r="C207" i="12"/>
  <c r="C212" i="12"/>
  <c r="C190" i="12"/>
  <c r="C282" i="12"/>
  <c r="C280" i="12"/>
  <c r="C246" i="12"/>
  <c r="C198" i="12"/>
  <c r="C235" i="12"/>
  <c r="C383" i="12"/>
  <c r="C265" i="12"/>
  <c r="C304" i="12"/>
  <c r="C367" i="12"/>
  <c r="C418" i="12"/>
  <c r="C216" i="12"/>
  <c r="C384" i="12"/>
  <c r="C253" i="12"/>
  <c r="C424" i="12"/>
  <c r="C390" i="12"/>
  <c r="C378" i="12"/>
  <c r="C427" i="12"/>
  <c r="C312" i="12"/>
  <c r="C433" i="12"/>
  <c r="C233" i="12"/>
  <c r="C320" i="12"/>
  <c r="C240" i="12"/>
  <c r="C266" i="12"/>
  <c r="C434" i="12"/>
  <c r="C219" i="12"/>
  <c r="C226" i="12"/>
  <c r="C291" i="12"/>
  <c r="C294" i="12"/>
  <c r="C372" i="12"/>
  <c r="C407" i="12"/>
  <c r="C225" i="12"/>
  <c r="C209" i="12"/>
  <c r="C195" i="12"/>
  <c r="C339" i="12"/>
  <c r="C210" i="12"/>
  <c r="C430" i="12"/>
  <c r="C409" i="12"/>
  <c r="C318" i="12"/>
  <c r="C302" i="12"/>
  <c r="C414" i="12"/>
  <c r="C288" i="12"/>
  <c r="C218" i="12"/>
  <c r="C256" i="12"/>
  <c r="C215" i="12"/>
  <c r="C366" i="12"/>
  <c r="C337" i="12"/>
  <c r="C268" i="12"/>
  <c r="C332" i="12"/>
  <c r="C374" i="12"/>
  <c r="C213" i="12"/>
  <c r="C272" i="12"/>
  <c r="C428" i="12"/>
  <c r="C193" i="12"/>
  <c r="C380" i="12"/>
  <c r="C292" i="12"/>
  <c r="C358" i="12"/>
  <c r="C394" i="12"/>
  <c r="C255" i="12"/>
  <c r="C232" i="12"/>
  <c r="C201" i="12"/>
  <c r="C309" i="12"/>
  <c r="C357" i="12"/>
  <c r="C249" i="12"/>
  <c r="C345" i="12"/>
  <c r="C373" i="12"/>
  <c r="C422" i="12"/>
  <c r="C221" i="12"/>
  <c r="C275" i="12"/>
  <c r="C311" i="12"/>
  <c r="C403" i="12"/>
  <c r="C258" i="12"/>
  <c r="C191" i="12"/>
  <c r="C299" i="12"/>
  <c r="C199" i="12"/>
  <c r="C189" i="12"/>
  <c r="C419" i="12"/>
  <c r="C321" i="12"/>
  <c r="C220" i="12"/>
  <c r="C261" i="12"/>
  <c r="C223" i="12"/>
  <c r="C284" i="12"/>
  <c r="C276" i="12"/>
  <c r="C279" i="12"/>
  <c r="C208" i="12"/>
  <c r="C391" i="12"/>
  <c r="C340" i="12"/>
  <c r="C421" i="12"/>
  <c r="C203" i="12"/>
  <c r="C420" i="12"/>
  <c r="C296" i="12"/>
  <c r="C205" i="12"/>
  <c r="C416" i="12"/>
  <c r="C432" i="12"/>
  <c r="C224" i="12"/>
  <c r="C396" i="12"/>
  <c r="C264" i="12"/>
  <c r="C341" i="12"/>
  <c r="C406" i="12"/>
  <c r="C327" i="12"/>
  <c r="C356" i="12"/>
  <c r="C313" i="12"/>
  <c r="C300" i="12"/>
  <c r="C315" i="12"/>
  <c r="C287" i="12"/>
  <c r="C244" i="12"/>
  <c r="C346" i="12"/>
  <c r="C278" i="12"/>
  <c r="C410" i="12"/>
  <c r="C259" i="12"/>
  <c r="C350" i="12"/>
  <c r="C398" i="12"/>
  <c r="C371" i="12"/>
  <c r="C297" i="12"/>
  <c r="C343" i="12"/>
  <c r="C306" i="12"/>
  <c r="C234" i="12"/>
  <c r="C347" i="12"/>
  <c r="C353" i="12"/>
  <c r="C415" i="12"/>
  <c r="C202" i="12"/>
  <c r="C267" i="12"/>
  <c r="C270" i="12"/>
  <c r="C360" i="12"/>
  <c r="C211" i="12"/>
  <c r="C248" i="12"/>
  <c r="C194" i="12"/>
  <c r="C196" i="12"/>
  <c r="C438" i="12"/>
  <c r="C277" i="12"/>
  <c r="C368" i="12"/>
  <c r="C322" i="12"/>
  <c r="C317" i="12"/>
  <c r="C241" i="12"/>
  <c r="C333" i="12"/>
  <c r="C307" i="12"/>
  <c r="C437" i="12"/>
  <c r="C324" i="12"/>
  <c r="C192" i="12"/>
  <c r="C206" i="12"/>
  <c r="C310" i="12"/>
  <c r="C349" i="12"/>
  <c r="C204" i="12"/>
  <c r="C230" i="12"/>
  <c r="C251" i="12"/>
  <c r="C326" i="12"/>
  <c r="C197" i="12"/>
  <c r="C242" i="12"/>
  <c r="C283" i="12"/>
  <c r="C400" i="12"/>
  <c r="C395" i="12"/>
  <c r="C362" i="12"/>
  <c r="C377" i="12"/>
  <c r="C375" i="12"/>
  <c r="C429" i="12"/>
  <c r="C426" i="12"/>
  <c r="C431" i="12"/>
  <c r="C263" i="12"/>
  <c r="C236" i="12"/>
  <c r="C222" i="12"/>
  <c r="C397" i="12"/>
  <c r="C369" i="12"/>
  <c r="C214" i="12"/>
  <c r="C303" i="12"/>
  <c r="C228" i="12"/>
  <c r="C365" i="12"/>
  <c r="C262" i="12"/>
  <c r="C441" i="12"/>
  <c r="C325" i="12"/>
  <c r="C376" i="12"/>
  <c r="C334" i="12"/>
  <c r="C338" i="12"/>
  <c r="C399" i="12"/>
  <c r="C436" i="12"/>
  <c r="C254" i="12"/>
  <c r="C293" i="12"/>
  <c r="C239" i="12"/>
  <c r="C231" i="12"/>
  <c r="C413" i="12"/>
  <c r="C440" i="12"/>
  <c r="C364" i="12"/>
  <c r="C401" i="12"/>
  <c r="C388" i="12"/>
  <c r="C412" i="12"/>
  <c r="C381" i="12"/>
  <c r="C404" i="12"/>
  <c r="C435" i="12"/>
  <c r="C243" i="12"/>
  <c r="C355" i="12"/>
  <c r="C382" i="12"/>
  <c r="C402" i="12"/>
  <c r="C386" i="12"/>
  <c r="D83" i="25"/>
  <c r="D149" i="25"/>
  <c r="D189" i="25"/>
  <c r="D169" i="25"/>
  <c r="D96" i="25"/>
  <c r="G12" i="1"/>
  <c r="D184" i="25"/>
  <c r="H199" i="25"/>
  <c r="C19" i="12"/>
  <c r="D174" i="25"/>
  <c r="D40" i="25"/>
  <c r="C9" i="12"/>
  <c r="G25" i="1"/>
  <c r="G59" i="12"/>
  <c r="H59" i="12"/>
  <c r="E59" i="12"/>
  <c r="I59" i="12"/>
  <c r="F59" i="12"/>
  <c r="J68" i="12"/>
  <c r="D112" i="25"/>
  <c r="D136" i="25"/>
  <c r="H21" i="28"/>
  <c r="H20" i="28"/>
  <c r="H19" i="28"/>
  <c r="H22" i="28"/>
  <c r="H18" i="28"/>
  <c r="D152" i="25"/>
  <c r="D167" i="25"/>
  <c r="K199" i="25"/>
  <c r="D45" i="25"/>
  <c r="D62" i="25"/>
  <c r="D51" i="25"/>
  <c r="D183" i="25"/>
  <c r="D200" i="25"/>
  <c r="K3" i="28"/>
  <c r="G23" i="1"/>
  <c r="D125" i="25"/>
  <c r="D100" i="25"/>
  <c r="F61" i="12"/>
  <c r="F4" i="1"/>
  <c r="B6" i="94" s="1"/>
  <c r="F65" i="1"/>
  <c r="C13" i="12"/>
  <c r="I51" i="12"/>
  <c r="F51" i="12"/>
  <c r="H51" i="12"/>
  <c r="G51" i="12"/>
  <c r="E51" i="12"/>
  <c r="E42" i="1"/>
  <c r="H36" i="1"/>
  <c r="X36" i="43"/>
  <c r="I36" i="1"/>
  <c r="J40" i="12"/>
  <c r="E33" i="12"/>
  <c r="N151" i="24"/>
  <c r="N80" i="24"/>
  <c r="N13" i="24"/>
  <c r="N205" i="24"/>
  <c r="N146" i="24"/>
  <c r="N87" i="24"/>
  <c r="N30" i="24"/>
  <c r="N222" i="24"/>
  <c r="N41" i="24"/>
  <c r="N172" i="24"/>
  <c r="N57" i="24"/>
  <c r="N180" i="24"/>
  <c r="N34" i="24"/>
  <c r="N96" i="24"/>
  <c r="N72" i="24"/>
  <c r="N70" i="24"/>
  <c r="N163" i="24"/>
  <c r="N92" i="24"/>
  <c r="N25" i="24"/>
  <c r="N217" i="24"/>
  <c r="N158" i="24"/>
  <c r="N99" i="24"/>
  <c r="N42" i="24"/>
  <c r="N234" i="24"/>
  <c r="N65" i="24"/>
  <c r="N196" i="24"/>
  <c r="N81" i="24"/>
  <c r="N204" i="24"/>
  <c r="N82" i="24"/>
  <c r="N199" i="24"/>
  <c r="N176" i="24"/>
  <c r="N157" i="24"/>
  <c r="N194" i="24"/>
  <c r="N183" i="24"/>
  <c r="N174" i="24"/>
  <c r="N137" i="24"/>
  <c r="N125" i="24"/>
  <c r="N84" i="24"/>
  <c r="N226" i="24"/>
  <c r="N46" i="24"/>
  <c r="N166" i="24"/>
  <c r="N211" i="24"/>
  <c r="N188" i="24"/>
  <c r="N169" i="24"/>
  <c r="N206" i="24"/>
  <c r="N195" i="24"/>
  <c r="N186" i="24"/>
  <c r="N161" i="24"/>
  <c r="N149" i="24"/>
  <c r="N108" i="24"/>
  <c r="N35" i="24"/>
  <c r="N190" i="24"/>
  <c r="N215" i="24"/>
  <c r="N31" i="24"/>
  <c r="N152" i="24"/>
  <c r="N26" i="24"/>
  <c r="N159" i="24"/>
  <c r="N64" i="24"/>
  <c r="N77" i="24"/>
  <c r="N106" i="24"/>
  <c r="N95" i="24"/>
  <c r="N214" i="24"/>
  <c r="N229" i="24"/>
  <c r="N246" i="24"/>
  <c r="N228" i="24"/>
  <c r="N91" i="24"/>
  <c r="N86" i="24"/>
  <c r="N184" i="24"/>
  <c r="N59" i="24"/>
  <c r="N43" i="24"/>
  <c r="N164" i="24"/>
  <c r="N38" i="24"/>
  <c r="N171" i="24"/>
  <c r="N88" i="24"/>
  <c r="N101" i="24"/>
  <c r="N154" i="24"/>
  <c r="N191" i="24"/>
  <c r="N8" i="24"/>
  <c r="N15" i="24"/>
  <c r="N28" i="24"/>
  <c r="N45" i="24"/>
  <c r="N116" i="24"/>
  <c r="N123" i="24"/>
  <c r="N244" i="24"/>
  <c r="N240" i="24"/>
  <c r="N247" i="24"/>
  <c r="N61" i="24"/>
  <c r="N98" i="24"/>
  <c r="N231" i="24"/>
  <c r="N112" i="24"/>
  <c r="N29" i="24"/>
  <c r="N10" i="24"/>
  <c r="N141" i="24"/>
  <c r="N23" i="24"/>
  <c r="N259" i="24"/>
  <c r="N73" i="24"/>
  <c r="N110" i="24"/>
  <c r="N243" i="24"/>
  <c r="N136" i="24"/>
  <c r="N53" i="24"/>
  <c r="N58" i="24"/>
  <c r="N189" i="24"/>
  <c r="N168" i="24"/>
  <c r="N127" i="24"/>
  <c r="N85" i="24"/>
  <c r="N63" i="24"/>
  <c r="N256" i="24"/>
  <c r="N201" i="24"/>
  <c r="N237" i="24"/>
  <c r="N175" i="24"/>
  <c r="N111" i="24"/>
  <c r="N105" i="24"/>
  <c r="N20" i="24"/>
  <c r="N219" i="24"/>
  <c r="N60" i="24"/>
  <c r="N139" i="24"/>
  <c r="N97" i="24"/>
  <c r="N75" i="24"/>
  <c r="N17" i="24"/>
  <c r="N225" i="24"/>
  <c r="N48" i="24"/>
  <c r="N200" i="24"/>
  <c r="N150" i="24"/>
  <c r="N11" i="24"/>
  <c r="N49" i="24"/>
  <c r="N258" i="24"/>
  <c r="N178" i="24"/>
  <c r="N7" i="24"/>
  <c r="N32" i="24"/>
  <c r="N109" i="24"/>
  <c r="N242" i="24"/>
  <c r="N78" i="24"/>
  <c r="N221" i="24"/>
  <c r="N202" i="24"/>
  <c r="N94" i="24"/>
  <c r="N19" i="24"/>
  <c r="N44" i="24"/>
  <c r="N121" i="24"/>
  <c r="N254" i="24"/>
  <c r="N90" i="24"/>
  <c r="N232" i="24"/>
  <c r="N245" i="24"/>
  <c r="N250" i="24"/>
  <c r="N144" i="24"/>
  <c r="N24" i="24"/>
  <c r="N223" i="24"/>
  <c r="N181" i="24"/>
  <c r="N255" i="24"/>
  <c r="N185" i="24"/>
  <c r="N132" i="24"/>
  <c r="N69" i="24"/>
  <c r="N104" i="24"/>
  <c r="N54" i="24"/>
  <c r="N130" i="24"/>
  <c r="N212" i="24"/>
  <c r="N162" i="24"/>
  <c r="N93" i="24"/>
  <c r="N235" i="24"/>
  <c r="N193" i="24"/>
  <c r="N18" i="24"/>
  <c r="N209" i="24"/>
  <c r="N156" i="24"/>
  <c r="N165" i="24"/>
  <c r="N133" i="24"/>
  <c r="N160" i="24"/>
  <c r="N238" i="24"/>
  <c r="N241" i="24"/>
  <c r="N113" i="24"/>
  <c r="N120" i="24"/>
  <c r="N55" i="24"/>
  <c r="N128" i="24"/>
  <c r="N253" i="24"/>
  <c r="N39" i="24"/>
  <c r="N126" i="24"/>
  <c r="N233" i="24"/>
  <c r="N153" i="24"/>
  <c r="N107" i="24"/>
  <c r="N143" i="24"/>
  <c r="N67" i="24"/>
  <c r="N140" i="24"/>
  <c r="N14" i="24"/>
  <c r="N51" i="24"/>
  <c r="N138" i="24"/>
  <c r="N257" i="24"/>
  <c r="N177" i="24"/>
  <c r="N155" i="24"/>
  <c r="N142" i="24"/>
  <c r="N167" i="24"/>
  <c r="N56" i="24"/>
  <c r="N122" i="24"/>
  <c r="N102" i="24"/>
  <c r="N124" i="24"/>
  <c r="N203" i="24"/>
  <c r="N22" i="24"/>
  <c r="N37" i="24"/>
  <c r="N89" i="24"/>
  <c r="N192" i="24"/>
  <c r="N145" i="24"/>
  <c r="N52" i="24"/>
  <c r="N47" i="24"/>
  <c r="N68" i="24"/>
  <c r="N134" i="24"/>
  <c r="N114" i="24"/>
  <c r="N148" i="24"/>
  <c r="N251" i="24"/>
  <c r="N216" i="24"/>
  <c r="N74" i="24"/>
  <c r="N173" i="24"/>
  <c r="N118" i="24"/>
  <c r="N182" i="24"/>
  <c r="N129" i="24"/>
  <c r="N103" i="24"/>
  <c r="N224" i="24"/>
  <c r="N50" i="24"/>
  <c r="N135" i="24"/>
  <c r="N16" i="24"/>
  <c r="N76" i="24"/>
  <c r="N249" i="24"/>
  <c r="N179" i="24"/>
  <c r="N21" i="24"/>
  <c r="N115" i="24"/>
  <c r="N236" i="24"/>
  <c r="N62" i="24"/>
  <c r="N147" i="24"/>
  <c r="N40" i="24"/>
  <c r="N100" i="24"/>
  <c r="N12" i="24"/>
  <c r="N227" i="24"/>
  <c r="N239" i="24"/>
  <c r="N117" i="24"/>
  <c r="N248" i="24"/>
  <c r="N218" i="24"/>
  <c r="N198" i="24"/>
  <c r="N9" i="24"/>
  <c r="N83" i="24"/>
  <c r="N213" i="24"/>
  <c r="N170" i="24"/>
  <c r="N220" i="24"/>
  <c r="N71" i="24"/>
  <c r="N27" i="24"/>
  <c r="N197" i="24"/>
  <c r="N119" i="24"/>
  <c r="N260" i="24"/>
  <c r="N230" i="24"/>
  <c r="N210" i="24"/>
  <c r="N33" i="24"/>
  <c r="N131" i="24"/>
  <c r="N79" i="24"/>
  <c r="N207" i="24"/>
  <c r="N36" i="24"/>
  <c r="N187" i="24"/>
  <c r="N66" i="24"/>
  <c r="N252" i="24"/>
  <c r="N208" i="24"/>
  <c r="I68" i="1"/>
  <c r="I54" i="12"/>
  <c r="H54" i="12"/>
  <c r="G54" i="12"/>
  <c r="F54" i="12"/>
  <c r="E54" i="12"/>
  <c r="E21" i="1"/>
  <c r="H7" i="1"/>
  <c r="D150" i="25"/>
  <c r="D194" i="25"/>
  <c r="F33" i="12"/>
  <c r="D155" i="25"/>
  <c r="D50" i="25"/>
  <c r="J82" i="12"/>
  <c r="G199" i="25"/>
  <c r="D146" i="25"/>
  <c r="D39" i="25"/>
  <c r="J74" i="12"/>
  <c r="D114" i="25"/>
  <c r="D89" i="25"/>
  <c r="F21" i="1"/>
  <c r="D92" i="25"/>
  <c r="D159" i="25"/>
  <c r="D69" i="25"/>
  <c r="N21" i="12"/>
  <c r="J33" i="12"/>
  <c r="D131" i="25"/>
  <c r="H5" i="1"/>
  <c r="D68" i="25"/>
  <c r="C10" i="12"/>
  <c r="H65" i="1"/>
  <c r="H92" i="12"/>
  <c r="E92" i="12"/>
  <c r="I92" i="12"/>
  <c r="F92" i="12"/>
  <c r="G92" i="12"/>
  <c r="F80" i="1"/>
  <c r="D158" i="25"/>
  <c r="J18" i="12"/>
  <c r="L3" i="23"/>
  <c r="I42" i="1"/>
  <c r="K19" i="28"/>
  <c r="K21" i="28"/>
  <c r="K18" i="28"/>
  <c r="K20" i="28"/>
  <c r="K22" i="28"/>
  <c r="D180" i="25"/>
  <c r="I74" i="12"/>
  <c r="E74" i="12"/>
  <c r="F74" i="12"/>
  <c r="H74" i="12"/>
  <c r="G74" i="12"/>
  <c r="E65" i="1"/>
  <c r="D153" i="25"/>
  <c r="E66" i="1"/>
  <c r="G6" i="1"/>
  <c r="G5" i="1"/>
  <c r="J54" i="12"/>
  <c r="D76" i="25"/>
  <c r="K2" i="28"/>
  <c r="D86" i="25"/>
  <c r="I25" i="1"/>
  <c r="D173" i="25"/>
  <c r="H68" i="1"/>
  <c r="G50" i="12"/>
  <c r="F6" i="1"/>
  <c r="G91" i="12"/>
  <c r="F91" i="12"/>
  <c r="H91" i="12"/>
  <c r="E91" i="12"/>
  <c r="I91" i="12"/>
  <c r="H4" i="1"/>
  <c r="B8" i="94" s="1"/>
  <c r="D79" i="25"/>
  <c r="J77" i="12"/>
  <c r="G12" i="28"/>
  <c r="C12" i="12"/>
  <c r="D63" i="25"/>
  <c r="I67" i="1"/>
  <c r="D56" i="25"/>
  <c r="AH4" i="41"/>
  <c r="F7" i="1"/>
  <c r="D123" i="25"/>
  <c r="D78" i="25"/>
  <c r="J84" i="12"/>
  <c r="D134" i="25"/>
  <c r="F23" i="1"/>
  <c r="E23" i="1"/>
  <c r="I33" i="12"/>
  <c r="D156" i="25"/>
  <c r="D170" i="25"/>
  <c r="G21" i="1"/>
  <c r="J59" i="12"/>
  <c r="F50" i="12"/>
  <c r="I38" i="1"/>
  <c r="D117" i="25"/>
  <c r="G72" i="12"/>
  <c r="G8" i="1"/>
  <c r="J51" i="12"/>
  <c r="E189" i="12"/>
  <c r="D133" i="25"/>
  <c r="D105" i="25"/>
  <c r="G33" i="12"/>
  <c r="G81" i="1"/>
  <c r="U2" i="12"/>
  <c r="J69" i="12"/>
  <c r="D101" i="25"/>
  <c r="D409" i="12"/>
  <c r="D437" i="12"/>
  <c r="D224" i="12"/>
  <c r="D378" i="12"/>
  <c r="D268" i="12"/>
  <c r="D329" i="12"/>
  <c r="D219" i="12"/>
  <c r="D385" i="12"/>
  <c r="D312" i="12"/>
  <c r="D221" i="12"/>
  <c r="D322" i="12"/>
  <c r="D261" i="12"/>
  <c r="D267" i="12"/>
  <c r="D377" i="12"/>
  <c r="D392" i="12"/>
  <c r="D430" i="12"/>
  <c r="D245" i="12"/>
  <c r="D249" i="12"/>
  <c r="D390" i="12"/>
  <c r="D412" i="12"/>
  <c r="D397" i="12"/>
  <c r="D341" i="12"/>
  <c r="D220" i="12"/>
  <c r="D301" i="12"/>
  <c r="D418" i="12"/>
  <c r="D441" i="12"/>
  <c r="D380" i="12"/>
  <c r="D248" i="12"/>
  <c r="D395" i="12"/>
  <c r="D388" i="12"/>
  <c r="D423" i="12"/>
  <c r="D362" i="12"/>
  <c r="D277" i="12"/>
  <c r="D410" i="12"/>
  <c r="D325" i="12"/>
  <c r="D250" i="12"/>
  <c r="D414" i="12"/>
  <c r="D225" i="12"/>
  <c r="D317" i="12"/>
  <c r="D315" i="12"/>
  <c r="D373" i="12"/>
  <c r="D299" i="12"/>
  <c r="D237" i="12"/>
  <c r="D280" i="12"/>
  <c r="D327" i="12"/>
  <c r="D311" i="12"/>
  <c r="D404" i="12"/>
  <c r="D287" i="12"/>
  <c r="D356" i="12"/>
  <c r="D411" i="12"/>
  <c r="D431" i="12"/>
  <c r="D196" i="12"/>
  <c r="D442" i="12"/>
  <c r="D276" i="12"/>
  <c r="D217" i="12"/>
  <c r="D428" i="12"/>
  <c r="D281" i="12"/>
  <c r="D199" i="12"/>
  <c r="D283" i="12"/>
  <c r="D297" i="12"/>
  <c r="D275" i="12"/>
  <c r="D310" i="12"/>
  <c r="D290" i="12"/>
  <c r="D402" i="12"/>
  <c r="D438" i="12"/>
  <c r="D305" i="12"/>
  <c r="D273" i="12"/>
  <c r="D358" i="12"/>
  <c r="D288" i="12"/>
  <c r="D269" i="12"/>
  <c r="D318" i="12"/>
  <c r="D403" i="12"/>
  <c r="D396" i="12"/>
  <c r="D212" i="12"/>
  <c r="D216" i="12"/>
  <c r="D223" i="12"/>
  <c r="D209" i="12"/>
  <c r="D384" i="12"/>
  <c r="D262" i="12"/>
  <c r="D336" i="12"/>
  <c r="D302" i="12"/>
  <c r="D375" i="12"/>
  <c r="D292" i="12"/>
  <c r="D222" i="12"/>
  <c r="D406" i="12"/>
  <c r="D353" i="12"/>
  <c r="D229" i="12"/>
  <c r="D197" i="12"/>
  <c r="D247" i="12"/>
  <c r="D365" i="12"/>
  <c r="D342" i="12"/>
  <c r="D328" i="12"/>
  <c r="D194" i="12"/>
  <c r="D285" i="12"/>
  <c r="D300" i="12"/>
  <c r="D279" i="12"/>
  <c r="D207" i="12"/>
  <c r="D236" i="12"/>
  <c r="D240" i="12"/>
  <c r="D339" i="12"/>
  <c r="D426" i="12"/>
  <c r="D401" i="12"/>
  <c r="D332" i="12"/>
  <c r="D198" i="12"/>
  <c r="D363" i="12"/>
  <c r="D294" i="12"/>
  <c r="D321" i="12"/>
  <c r="D374" i="12"/>
  <c r="D215" i="12"/>
  <c r="D235" i="12"/>
  <c r="D376" i="12"/>
  <c r="D213" i="12"/>
  <c r="D274" i="12"/>
  <c r="D263" i="12"/>
  <c r="D349" i="12"/>
  <c r="D282" i="12"/>
  <c r="D367" i="12"/>
  <c r="D201" i="12"/>
  <c r="D348" i="12"/>
  <c r="D304" i="12"/>
  <c r="D257" i="12"/>
  <c r="D360" i="12"/>
  <c r="D319" i="12"/>
  <c r="D286" i="12"/>
  <c r="D291" i="12"/>
  <c r="D351" i="12"/>
  <c r="D420" i="12"/>
  <c r="D238" i="12"/>
  <c r="D252" i="12"/>
  <c r="D189" i="12"/>
  <c r="D228" i="12"/>
  <c r="D330" i="12"/>
  <c r="D204" i="12"/>
  <c r="D316" i="12"/>
  <c r="D314" i="12"/>
  <c r="D381" i="12"/>
  <c r="D389" i="12"/>
  <c r="D202" i="12"/>
  <c r="D370" i="12"/>
  <c r="D439" i="12"/>
  <c r="D434" i="12"/>
  <c r="D413" i="12"/>
  <c r="D334" i="12"/>
  <c r="D387" i="12"/>
  <c r="D335" i="12"/>
  <c r="D271" i="12"/>
  <c r="D405" i="12"/>
  <c r="D432" i="12"/>
  <c r="D210" i="12"/>
  <c r="D338" i="12"/>
  <c r="D436" i="12"/>
  <c r="D394" i="12"/>
  <c r="D340" i="12"/>
  <c r="D417" i="12"/>
  <c r="D352" i="12"/>
  <c r="D303" i="12"/>
  <c r="D226" i="12"/>
  <c r="D255" i="12"/>
  <c r="D366" i="12"/>
  <c r="D260" i="12"/>
  <c r="D278" i="12"/>
  <c r="D424" i="12"/>
  <c r="D258" i="12"/>
  <c r="D379" i="12"/>
  <c r="D295" i="12"/>
  <c r="D368" i="12"/>
  <c r="D398" i="12"/>
  <c r="D205" i="12"/>
  <c r="D284" i="12"/>
  <c r="D383" i="12"/>
  <c r="D429" i="12"/>
  <c r="D246" i="12"/>
  <c r="D307" i="12"/>
  <c r="D425" i="12"/>
  <c r="D416" i="12"/>
  <c r="D298" i="12"/>
  <c r="D407" i="12"/>
  <c r="D308" i="12"/>
  <c r="D350" i="12"/>
  <c r="D364" i="12"/>
  <c r="D270" i="12"/>
  <c r="D296" i="12"/>
  <c r="D239" i="12"/>
  <c r="D192" i="12"/>
  <c r="D293" i="12"/>
  <c r="D256" i="12"/>
  <c r="D265" i="12"/>
  <c r="D241" i="12"/>
  <c r="D408" i="12"/>
  <c r="D230" i="12"/>
  <c r="D440" i="12"/>
  <c r="D433" i="12"/>
  <c r="D343" i="12"/>
  <c r="D435" i="12"/>
  <c r="D422" i="12"/>
  <c r="D218" i="12"/>
  <c r="D191" i="12"/>
  <c r="D354" i="12"/>
  <c r="D357" i="12"/>
  <c r="D289" i="12"/>
  <c r="D419" i="12"/>
  <c r="D399" i="12"/>
  <c r="D203" i="12"/>
  <c r="D320" i="12"/>
  <c r="D193" i="12"/>
  <c r="D361" i="12"/>
  <c r="D324" i="12"/>
  <c r="D244" i="12"/>
  <c r="D355" i="12"/>
  <c r="D206" i="12"/>
  <c r="D391" i="12"/>
  <c r="D400" i="12"/>
  <c r="D264" i="12"/>
  <c r="D326" i="12"/>
  <c r="D254" i="12"/>
  <c r="D337" i="12"/>
  <c r="D344" i="12"/>
  <c r="D190" i="12"/>
  <c r="D234" i="12"/>
  <c r="D313" i="12"/>
  <c r="D331" i="12"/>
  <c r="D231" i="12"/>
  <c r="D200" i="12"/>
  <c r="D251" i="12"/>
  <c r="D208" i="12"/>
  <c r="D323" i="12"/>
  <c r="D233" i="12"/>
  <c r="D372" i="12"/>
  <c r="D427" i="12"/>
  <c r="D243" i="12"/>
  <c r="D232" i="12"/>
  <c r="D359" i="12"/>
  <c r="D259" i="12"/>
  <c r="D266" i="12"/>
  <c r="D345" i="12"/>
  <c r="D211" i="12"/>
  <c r="D347" i="12"/>
  <c r="D333" i="12"/>
  <c r="D242" i="12"/>
  <c r="D195" i="12"/>
  <c r="D346" i="12"/>
  <c r="D306" i="12"/>
  <c r="D415" i="12"/>
  <c r="D371" i="12"/>
  <c r="D309" i="12"/>
  <c r="D393" i="12"/>
  <c r="D253" i="12"/>
  <c r="D386" i="12"/>
  <c r="D382" i="12"/>
  <c r="D214" i="12"/>
  <c r="D272" i="12"/>
  <c r="D421" i="12"/>
  <c r="D369" i="12"/>
  <c r="D227" i="12"/>
  <c r="K2" i="25"/>
  <c r="C26" i="12"/>
  <c r="C6" i="28"/>
  <c r="F81" i="1"/>
  <c r="G78" i="12"/>
  <c r="E78" i="12"/>
  <c r="F78" i="12"/>
  <c r="H78" i="12"/>
  <c r="I78" i="12"/>
  <c r="J36" i="12"/>
  <c r="D196" i="25"/>
  <c r="C15" i="12"/>
  <c r="J12" i="12"/>
  <c r="F68" i="12"/>
  <c r="I89" i="12"/>
  <c r="G89" i="12"/>
  <c r="H89" i="12"/>
  <c r="E89" i="12"/>
  <c r="F89" i="12"/>
  <c r="H16" i="1"/>
  <c r="D137" i="25"/>
  <c r="F16" i="1"/>
  <c r="N18" i="12"/>
  <c r="D91" i="25"/>
  <c r="F412" i="12"/>
  <c r="F366" i="12"/>
  <c r="F436" i="12"/>
  <c r="F217" i="12"/>
  <c r="F370" i="12"/>
  <c r="F416" i="12"/>
  <c r="F332" i="12"/>
  <c r="F388" i="12"/>
  <c r="F399" i="12"/>
  <c r="F295" i="12"/>
  <c r="F245" i="12"/>
  <c r="F253" i="12"/>
  <c r="F262" i="12"/>
  <c r="F364" i="12"/>
  <c r="F323" i="12"/>
  <c r="F282" i="12"/>
  <c r="F198" i="12"/>
  <c r="F320" i="12"/>
  <c r="F246" i="12"/>
  <c r="F277" i="12"/>
  <c r="F324" i="12"/>
  <c r="F327" i="12"/>
  <c r="F417" i="12"/>
  <c r="F390" i="12"/>
  <c r="F240" i="12"/>
  <c r="F404" i="12"/>
  <c r="F294" i="12"/>
  <c r="F409" i="12"/>
  <c r="F406" i="12"/>
  <c r="F427" i="12"/>
  <c r="F387" i="12"/>
  <c r="F271" i="12"/>
  <c r="F296" i="12"/>
  <c r="F356" i="12"/>
  <c r="F325" i="12"/>
  <c r="F350" i="12"/>
  <c r="F359" i="12"/>
  <c r="F440" i="12"/>
  <c r="F326" i="12"/>
  <c r="F234" i="12"/>
  <c r="F384" i="12"/>
  <c r="F308" i="12"/>
  <c r="F212" i="12"/>
  <c r="F273" i="12"/>
  <c r="F321" i="12"/>
  <c r="F415" i="12"/>
  <c r="F290" i="12"/>
  <c r="F376" i="12"/>
  <c r="F254" i="12"/>
  <c r="F236" i="12"/>
  <c r="F208" i="12"/>
  <c r="F235" i="12"/>
  <c r="F379" i="12"/>
  <c r="F341" i="12"/>
  <c r="F337" i="12"/>
  <c r="F281" i="12"/>
  <c r="F405" i="12"/>
  <c r="F430" i="12"/>
  <c r="F339" i="12"/>
  <c r="F274" i="12"/>
  <c r="F354" i="12"/>
  <c r="F435" i="12"/>
  <c r="F279" i="12"/>
  <c r="F244" i="12"/>
  <c r="F264" i="12"/>
  <c r="F333" i="12"/>
  <c r="F201" i="12"/>
  <c r="F375" i="12"/>
  <c r="F418" i="12"/>
  <c r="F438" i="12"/>
  <c r="F414" i="12"/>
  <c r="F369" i="12"/>
  <c r="F237" i="12"/>
  <c r="F243" i="12"/>
  <c r="F311" i="12"/>
  <c r="F297" i="12"/>
  <c r="F334" i="12"/>
  <c r="F202" i="12"/>
  <c r="F345" i="12"/>
  <c r="F213" i="12"/>
  <c r="F299" i="12"/>
  <c r="F199" i="12"/>
  <c r="F259" i="12"/>
  <c r="F238" i="12"/>
  <c r="F381" i="12"/>
  <c r="F284" i="12"/>
  <c r="F315" i="12"/>
  <c r="F310" i="12"/>
  <c r="F303" i="12"/>
  <c r="F383" i="12"/>
  <c r="F267" i="12"/>
  <c r="F260" i="12"/>
  <c r="F419" i="12"/>
  <c r="F206" i="12"/>
  <c r="F280" i="12"/>
  <c r="F286" i="12"/>
  <c r="F314" i="12"/>
  <c r="F268" i="12"/>
  <c r="F432" i="12"/>
  <c r="F194" i="12"/>
  <c r="F195" i="12"/>
  <c r="F385" i="12"/>
  <c r="F232" i="12"/>
  <c r="F223" i="12"/>
  <c r="F285" i="12"/>
  <c r="F344" i="12"/>
  <c r="F422" i="12"/>
  <c r="F322" i="12"/>
  <c r="F221" i="12"/>
  <c r="F380" i="12"/>
  <c r="F329" i="12"/>
  <c r="F425" i="12"/>
  <c r="F283" i="12"/>
  <c r="F227" i="12"/>
  <c r="F300" i="12"/>
  <c r="F265" i="12"/>
  <c r="F423" i="12"/>
  <c r="F363" i="12"/>
  <c r="F242" i="12"/>
  <c r="F263" i="12"/>
  <c r="F372" i="12"/>
  <c r="F431" i="12"/>
  <c r="F365" i="12"/>
  <c r="F373" i="12"/>
  <c r="F318" i="12"/>
  <c r="F371" i="12"/>
  <c r="F239" i="12"/>
  <c r="F229" i="12"/>
  <c r="F220" i="12"/>
  <c r="F252" i="12"/>
  <c r="F319" i="12"/>
  <c r="F407" i="12"/>
  <c r="F275" i="12"/>
  <c r="F289" i="12"/>
  <c r="F378" i="12"/>
  <c r="F374" i="12"/>
  <c r="F353" i="12"/>
  <c r="F258" i="12"/>
  <c r="F219" i="12"/>
  <c r="F413" i="12"/>
  <c r="F269" i="12"/>
  <c r="F429" i="12"/>
  <c r="F214" i="12"/>
  <c r="F211" i="12"/>
  <c r="F396" i="12"/>
  <c r="F307" i="12"/>
  <c r="F428" i="12"/>
  <c r="F411" i="12"/>
  <c r="F439" i="12"/>
  <c r="F306" i="12"/>
  <c r="F442" i="12"/>
  <c r="F248" i="12"/>
  <c r="F256" i="12"/>
  <c r="F261" i="12"/>
  <c r="F224" i="12"/>
  <c r="F424" i="12"/>
  <c r="F394" i="12"/>
  <c r="F437" i="12"/>
  <c r="F377" i="12"/>
  <c r="F287" i="12"/>
  <c r="F205" i="12"/>
  <c r="F434" i="12"/>
  <c r="F392" i="12"/>
  <c r="F361" i="12"/>
  <c r="F233" i="12"/>
  <c r="F347" i="12"/>
  <c r="F266" i="12"/>
  <c r="F421" i="12"/>
  <c r="F441" i="12"/>
  <c r="F302" i="12"/>
  <c r="F403" i="12"/>
  <c r="F336" i="12"/>
  <c r="F357" i="12"/>
  <c r="F382" i="12"/>
  <c r="F400" i="12"/>
  <c r="F203" i="12"/>
  <c r="F276" i="12"/>
  <c r="F362" i="12"/>
  <c r="F393" i="12"/>
  <c r="F278" i="12"/>
  <c r="F191" i="12"/>
  <c r="F358" i="12"/>
  <c r="F241" i="12"/>
  <c r="F343" i="12"/>
  <c r="F352" i="12"/>
  <c r="F228" i="12"/>
  <c r="F272" i="12"/>
  <c r="F420" i="12"/>
  <c r="F190" i="12"/>
  <c r="F426" i="12"/>
  <c r="F305" i="12"/>
  <c r="F230" i="12"/>
  <c r="F331" i="12"/>
  <c r="F192" i="12"/>
  <c r="F433" i="12"/>
  <c r="F330" i="12"/>
  <c r="F231" i="12"/>
  <c r="F397" i="12"/>
  <c r="F351" i="12"/>
  <c r="F292" i="12"/>
  <c r="F335" i="12"/>
  <c r="F338" i="12"/>
  <c r="F251" i="12"/>
  <c r="F189" i="12"/>
  <c r="F298" i="12"/>
  <c r="F367" i="12"/>
  <c r="F360" i="12"/>
  <c r="F304" i="12"/>
  <c r="F257" i="12"/>
  <c r="F408" i="12"/>
  <c r="F196" i="12"/>
  <c r="F200" i="12"/>
  <c r="F398" i="12"/>
  <c r="F197" i="12"/>
  <c r="F402" i="12"/>
  <c r="F215" i="12"/>
  <c r="F340" i="12"/>
  <c r="F368" i="12"/>
  <c r="F346" i="12"/>
  <c r="F349" i="12"/>
  <c r="F249" i="12"/>
  <c r="F247" i="12"/>
  <c r="F218" i="12"/>
  <c r="F226" i="12"/>
  <c r="F348" i="12"/>
  <c r="F317" i="12"/>
  <c r="F316" i="12"/>
  <c r="F225" i="12"/>
  <c r="F288" i="12"/>
  <c r="F395" i="12"/>
  <c r="F222" i="12"/>
  <c r="F389" i="12"/>
  <c r="F216" i="12"/>
  <c r="F270" i="12"/>
  <c r="F209" i="12"/>
  <c r="F401" i="12"/>
  <c r="F355" i="12"/>
  <c r="F391" i="12"/>
  <c r="F313" i="12"/>
  <c r="F207" i="12"/>
  <c r="F210" i="12"/>
  <c r="F293" i="12"/>
  <c r="F410" i="12"/>
  <c r="F204" i="12"/>
  <c r="F301" i="12"/>
  <c r="F255" i="12"/>
  <c r="F309" i="12"/>
  <c r="F342" i="12"/>
  <c r="F328" i="12"/>
  <c r="F386" i="12"/>
  <c r="F250" i="12"/>
  <c r="F291" i="12"/>
  <c r="F193" i="12"/>
  <c r="F312" i="12"/>
  <c r="D103" i="25"/>
  <c r="H12" i="1"/>
  <c r="D85" i="25"/>
  <c r="E25" i="1"/>
  <c r="G40" i="12"/>
  <c r="I40" i="12"/>
  <c r="E40" i="12"/>
  <c r="F40" i="12"/>
  <c r="H40" i="12"/>
  <c r="D52" i="25"/>
  <c r="J70" i="12"/>
  <c r="J62" i="12"/>
  <c r="H27" i="28"/>
  <c r="D84" i="25"/>
  <c r="E199" i="25"/>
  <c r="M199" i="25" s="1"/>
  <c r="E67" i="1"/>
  <c r="I68" i="12"/>
  <c r="J9" i="12"/>
  <c r="F36" i="1"/>
  <c r="E7" i="1"/>
  <c r="D87" i="25"/>
  <c r="D47" i="25"/>
  <c r="E68" i="12"/>
  <c r="G38" i="1"/>
  <c r="I14" i="1"/>
  <c r="I21" i="1"/>
  <c r="H8" i="1"/>
  <c r="J199" i="25"/>
  <c r="AE4" i="41"/>
  <c r="H2" i="28"/>
  <c r="I23" i="1"/>
  <c r="H64" i="1"/>
  <c r="D151" i="25"/>
  <c r="D48" i="25"/>
  <c r="M4" i="32"/>
  <c r="D160" i="25"/>
  <c r="G46" i="1"/>
  <c r="D185" i="25"/>
  <c r="F36" i="12"/>
  <c r="I36" i="12"/>
  <c r="H36" i="12"/>
  <c r="G36" i="12"/>
  <c r="E36" i="12"/>
  <c r="D115" i="25"/>
  <c r="I8" i="1"/>
  <c r="D93" i="25"/>
  <c r="T12" i="12"/>
  <c r="A223" i="13"/>
  <c r="F20" i="28"/>
  <c r="F18" i="28"/>
  <c r="F19" i="28"/>
  <c r="F21" i="28"/>
  <c r="F22" i="28"/>
  <c r="F43" i="12"/>
  <c r="E43" i="12"/>
  <c r="G43" i="12"/>
  <c r="H43" i="12"/>
  <c r="I43" i="12"/>
  <c r="I61" i="12"/>
  <c r="K25" i="12"/>
  <c r="G7" i="1"/>
  <c r="J85" i="12"/>
  <c r="D65" i="25"/>
  <c r="C15" i="28"/>
  <c r="C36" i="28"/>
  <c r="C31" i="28"/>
  <c r="C20" i="28"/>
  <c r="C32" i="28"/>
  <c r="C34" i="28"/>
  <c r="C26" i="28"/>
  <c r="C23" i="28"/>
  <c r="C18" i="28"/>
  <c r="C22" i="28"/>
  <c r="C14" i="28"/>
  <c r="C35" i="28"/>
  <c r="C17" i="28"/>
  <c r="C24" i="28"/>
  <c r="C28" i="28"/>
  <c r="C29" i="28"/>
  <c r="C12" i="28"/>
  <c r="C13" i="28"/>
  <c r="C11" i="28"/>
  <c r="C21" i="28"/>
  <c r="C33" i="28"/>
  <c r="C16" i="28"/>
  <c r="C30" i="28"/>
  <c r="C19" i="28"/>
  <c r="C27" i="28"/>
  <c r="C10" i="28"/>
  <c r="C25" i="28"/>
  <c r="D122" i="25"/>
  <c r="F25" i="1"/>
  <c r="M3" i="25"/>
  <c r="U3" i="12"/>
  <c r="G8" i="28"/>
  <c r="F72" i="12"/>
  <c r="J50" i="12"/>
  <c r="D74" i="25"/>
  <c r="G25" i="12"/>
  <c r="F82" i="12"/>
  <c r="G82" i="12"/>
  <c r="H82" i="12"/>
  <c r="E82" i="12"/>
  <c r="I82" i="12"/>
  <c r="D182" i="25"/>
  <c r="C14" i="12"/>
  <c r="K27" i="28"/>
  <c r="E5" i="1"/>
  <c r="G67" i="1"/>
  <c r="D142" i="25"/>
  <c r="I12" i="1"/>
  <c r="D42" i="25"/>
  <c r="J90" i="12"/>
  <c r="C18" i="12"/>
  <c r="D43" i="25"/>
  <c r="H66" i="1"/>
  <c r="F14" i="1"/>
  <c r="D70" i="25"/>
  <c r="D35" i="25"/>
  <c r="I5" i="1"/>
  <c r="I50" i="12"/>
  <c r="D148" i="25"/>
  <c r="AI4" i="41"/>
  <c r="D59" i="25"/>
  <c r="D55" i="25"/>
  <c r="I65" i="1"/>
  <c r="D176" i="25"/>
  <c r="H61" i="12"/>
  <c r="D97" i="25"/>
  <c r="D161" i="25"/>
  <c r="D108" i="25"/>
  <c r="D192" i="25"/>
  <c r="E6" i="1"/>
  <c r="I27" i="28"/>
  <c r="F84" i="12"/>
  <c r="G84" i="12"/>
  <c r="I84" i="12"/>
  <c r="E84" i="12"/>
  <c r="H84" i="12"/>
  <c r="L199" i="25"/>
  <c r="D37" i="25"/>
  <c r="L4" i="32"/>
  <c r="D127" i="25"/>
  <c r="C20" i="12"/>
  <c r="C22" i="12"/>
  <c r="D110" i="25"/>
  <c r="D145" i="25"/>
  <c r="D132" i="25"/>
  <c r="H25" i="1"/>
  <c r="F16" i="28"/>
  <c r="E4" i="1"/>
  <c r="B5" i="94" s="1"/>
  <c r="D67" i="25"/>
  <c r="D58" i="25"/>
  <c r="D88" i="25"/>
  <c r="D140" i="25"/>
  <c r="D135" i="25"/>
  <c r="D120" i="25"/>
  <c r="H14" i="1"/>
  <c r="J21" i="12"/>
  <c r="H67" i="1"/>
  <c r="E47" i="12"/>
  <c r="G47" i="12"/>
  <c r="I47" i="12"/>
  <c r="F47" i="12"/>
  <c r="H47" i="12"/>
  <c r="D57" i="25"/>
  <c r="D166" i="25"/>
  <c r="G4" i="1"/>
  <c r="B7" i="94" s="1"/>
  <c r="D195" i="25"/>
  <c r="C27" i="12"/>
  <c r="G16" i="1"/>
  <c r="D72" i="25"/>
  <c r="F64" i="1"/>
  <c r="D9" i="25"/>
  <c r="D162" i="25"/>
  <c r="D188" i="25"/>
  <c r="E64" i="1"/>
  <c r="AF4" i="41"/>
  <c r="D177" i="25"/>
  <c r="D49" i="25"/>
  <c r="G65" i="1"/>
  <c r="H50" i="12"/>
  <c r="D66" i="25"/>
  <c r="D64" i="25"/>
  <c r="I4" i="1"/>
  <c r="B9" i="94" s="1"/>
  <c r="D187" i="25"/>
  <c r="E12" i="1"/>
  <c r="C11" i="12"/>
  <c r="A190" i="13"/>
  <c r="H34" i="12"/>
  <c r="E34" i="12"/>
  <c r="G34" i="12"/>
  <c r="F34" i="12"/>
  <c r="I34" i="12"/>
  <c r="H80" i="1"/>
  <c r="E68" i="1"/>
  <c r="E81" i="1"/>
  <c r="J91" i="12"/>
  <c r="D144" i="25"/>
  <c r="D90" i="25"/>
  <c r="D77" i="25"/>
  <c r="I199" i="25"/>
  <c r="G68" i="12"/>
  <c r="D38" i="25"/>
  <c r="C17" i="12"/>
  <c r="D54" i="25"/>
  <c r="C16" i="12"/>
  <c r="I81" i="1"/>
  <c r="D168" i="25"/>
  <c r="H42" i="1"/>
  <c r="E8" i="1"/>
  <c r="D191" i="25"/>
  <c r="H23" i="1"/>
  <c r="D36" i="25"/>
  <c r="R25" i="12"/>
  <c r="D46" i="25"/>
  <c r="D94" i="25"/>
  <c r="G81" i="12"/>
  <c r="F81" i="12"/>
  <c r="E81" i="12"/>
  <c r="H81" i="12"/>
  <c r="I81" i="12"/>
  <c r="N12" i="12"/>
  <c r="F11" i="1"/>
  <c r="G62" i="12"/>
  <c r="I62" i="12"/>
  <c r="H62" i="12"/>
  <c r="F62" i="12"/>
  <c r="E62" i="12"/>
  <c r="E11" i="74"/>
  <c r="E12" i="74"/>
  <c r="E13" i="74"/>
  <c r="E14" i="74"/>
  <c r="E15" i="74"/>
  <c r="E16" i="74"/>
  <c r="I11" i="74"/>
  <c r="J11" i="74"/>
  <c r="K11" i="74"/>
  <c r="I12" i="74"/>
  <c r="I22" i="74" s="1"/>
  <c r="J12" i="74"/>
  <c r="J22" i="74" s="1"/>
  <c r="K12" i="74"/>
  <c r="K22" i="74" s="1"/>
  <c r="I13" i="74"/>
  <c r="I23" i="74" s="1"/>
  <c r="J13" i="74"/>
  <c r="J23" i="74" s="1"/>
  <c r="K13" i="74"/>
  <c r="K23" i="74" s="1"/>
  <c r="I14" i="74"/>
  <c r="I24" i="74" s="1"/>
  <c r="J14" i="74"/>
  <c r="J24" i="74" s="1"/>
  <c r="K14" i="74"/>
  <c r="K24" i="74" s="1"/>
  <c r="I15" i="74"/>
  <c r="I25" i="74" s="1"/>
  <c r="J15" i="74"/>
  <c r="J25" i="74" s="1"/>
  <c r="K15" i="74"/>
  <c r="K25" i="74" s="1"/>
  <c r="I16" i="74"/>
  <c r="J16" i="74"/>
  <c r="K16" i="74"/>
  <c r="L10" i="74"/>
  <c r="L31" i="74" s="1"/>
  <c r="L11" i="74"/>
  <c r="L12" i="74"/>
  <c r="L22" i="74" s="1"/>
  <c r="L13" i="74"/>
  <c r="L23" i="74" s="1"/>
  <c r="L14" i="74"/>
  <c r="L24" i="74" s="1"/>
  <c r="L15" i="74"/>
  <c r="L25" i="74" s="1"/>
  <c r="L16" i="74"/>
  <c r="D32" i="74"/>
  <c r="H104" i="25" a="1"/>
  <c r="K137" i="25" a="1"/>
  <c r="J102" i="25" a="1"/>
  <c r="F123" i="25" a="1"/>
  <c r="J46" i="25" a="1"/>
  <c r="I174" i="25" a="1"/>
  <c r="J55" i="25" a="1"/>
  <c r="E166" i="12" a="1"/>
  <c r="H54" i="25" a="1"/>
  <c r="I169" i="25" a="1"/>
  <c r="K122" i="25" a="1"/>
  <c r="F81" i="25" a="1"/>
  <c r="G160" i="25" a="1"/>
  <c r="J99" i="25" a="1"/>
  <c r="J100" i="25" a="1"/>
  <c r="H58" i="25" a="1"/>
  <c r="J107" i="25" a="1"/>
  <c r="K74" i="25" a="1"/>
  <c r="J148" i="25" a="1"/>
  <c r="G169" i="25" a="1"/>
  <c r="H122" i="25" a="1"/>
  <c r="K81" i="25" a="1"/>
  <c r="K160" i="25" a="1"/>
  <c r="G99" i="25" a="1"/>
  <c r="I100" i="25" a="1"/>
  <c r="L58" i="25" a="1"/>
  <c r="E107" i="25" a="1"/>
  <c r="E109" i="25" a="1"/>
  <c r="J79" i="25" a="1"/>
  <c r="I162" i="25" a="1"/>
  <c r="L183" i="25" a="1"/>
  <c r="K188" i="25" a="1"/>
  <c r="K139" i="25" a="1"/>
  <c r="L117" i="25" a="1"/>
  <c r="E141" i="25" a="1"/>
  <c r="G69" i="25" a="1"/>
  <c r="F9" i="25" a="1"/>
  <c r="J128" i="25" a="1"/>
  <c r="E65" i="25" a="1"/>
  <c r="F179" i="25" a="1"/>
  <c r="F101" i="25" a="1"/>
  <c r="F181" i="25" a="1"/>
  <c r="H200" i="25" a="1"/>
  <c r="G37" i="25" a="1"/>
  <c r="H178" i="25" a="1"/>
  <c r="G185" i="25" a="1"/>
  <c r="H70" i="25" a="1"/>
  <c r="I109" i="25" a="1"/>
  <c r="E79" i="25" a="1"/>
  <c r="I177" i="25" a="1"/>
  <c r="K183" i="25" a="1"/>
  <c r="J188" i="25" a="1"/>
  <c r="G139" i="25" a="1"/>
  <c r="H117" i="25" a="1"/>
  <c r="H141" i="25" a="1"/>
  <c r="J91" i="25" a="1"/>
  <c r="H121" i="25" a="1"/>
  <c r="I86" i="25" a="1"/>
  <c r="G166" i="25" a="1"/>
  <c r="E136" i="25" a="1"/>
  <c r="F72" i="25" a="1"/>
  <c r="F80" i="25" a="1"/>
  <c r="F78" i="25" a="1"/>
  <c r="G130" i="25" a="1"/>
  <c r="L89" i="25" a="1"/>
  <c r="K187" i="25" a="1"/>
  <c r="J39" i="25" a="1"/>
  <c r="H140" i="25" a="1"/>
  <c r="H96" i="25" a="1"/>
  <c r="F135" i="25" a="1"/>
  <c r="I165" i="25" a="1"/>
  <c r="L56" i="25" a="1"/>
  <c r="E126" i="25" a="1"/>
  <c r="L155" i="25" a="1"/>
  <c r="G88" i="25" a="1"/>
  <c r="G121" i="25" a="1"/>
  <c r="J86" i="25" a="1"/>
  <c r="E162" i="25" a="1"/>
  <c r="K136" i="25" a="1"/>
  <c r="H72" i="25" a="1"/>
  <c r="I80" i="25" a="1"/>
  <c r="G78" i="25" a="1"/>
  <c r="E130" i="25" a="1"/>
  <c r="E69" i="25" a="1"/>
  <c r="E73" i="25" a="1"/>
  <c r="E103" i="12" a="1"/>
  <c r="K186" i="25" a="1"/>
  <c r="L170" i="25" a="1"/>
  <c r="J138" i="25" a="1"/>
  <c r="F45" i="25" a="1"/>
  <c r="J97" i="25" a="1"/>
  <c r="I178" i="25" a="1"/>
  <c r="L185" i="25" a="1"/>
  <c r="E60" i="25" a="1"/>
  <c r="J68" i="25" a="1"/>
  <c r="K140" i="25" a="1"/>
  <c r="J96" i="25" a="1"/>
  <c r="E135" i="25" a="1"/>
  <c r="H165" i="25" a="1"/>
  <c r="F56" i="25" a="1"/>
  <c r="K164" i="25" a="1"/>
  <c r="F163" i="25" a="1"/>
  <c r="H134" i="25" a="1"/>
  <c r="I144" i="25" a="1"/>
  <c r="I92" i="25" a="1"/>
  <c r="I90" i="25" a="1"/>
  <c r="E111" i="25" a="1"/>
  <c r="J87" i="25" a="1"/>
  <c r="H143" i="25" a="1"/>
  <c r="I91" i="25" a="1"/>
  <c r="H36" i="25" a="1"/>
  <c r="E161" i="25" a="1"/>
  <c r="I69" i="25" a="1"/>
  <c r="L130" i="25" a="1"/>
  <c r="J9" i="25" a="1"/>
  <c r="L79" i="25" a="1"/>
  <c r="F125" i="25" a="1"/>
  <c r="F198" i="25" a="1"/>
  <c r="F196" i="25" a="1"/>
  <c r="H91" i="25" a="1"/>
  <c r="K128" i="25" a="1"/>
  <c r="I81" i="25" a="1"/>
  <c r="H181" i="25" a="1"/>
  <c r="J200" i="25" a="1"/>
  <c r="I175" i="25" a="1"/>
  <c r="H93" i="25" a="1"/>
  <c r="H86" i="25" a="1"/>
  <c r="K73" i="25" a="1"/>
  <c r="G65" i="25" a="1"/>
  <c r="J186" i="25" a="1"/>
  <c r="F170" i="25" a="1"/>
  <c r="L138" i="25" a="1"/>
  <c r="L45" i="25" a="1"/>
  <c r="H97" i="25" a="1"/>
  <c r="J178" i="25" a="1"/>
  <c r="E142" i="25" a="1"/>
  <c r="J112" i="25" a="1"/>
  <c r="I35" i="25" a="1"/>
  <c r="I53" i="25" a="1"/>
  <c r="F115" i="25" a="1"/>
  <c r="H172" i="25" a="1"/>
  <c r="I114" i="25" a="1"/>
  <c r="H120" i="25" a="1"/>
  <c r="L189" i="25" a="1"/>
  <c r="J142" i="25" a="1"/>
  <c r="E88" i="25" a="1"/>
  <c r="H112" i="25" a="1"/>
  <c r="F35" i="25" a="1"/>
  <c r="E53" i="25" a="1"/>
  <c r="E115" i="25" a="1"/>
  <c r="L172" i="25" a="1"/>
  <c r="G114" i="25" a="1"/>
  <c r="L120" i="25" a="1"/>
  <c r="F189" i="25" a="1"/>
  <c r="F147" i="25" a="1"/>
  <c r="G63" i="25" a="1"/>
  <c r="L66" i="25" a="1"/>
  <c r="G194" i="25" a="1"/>
  <c r="L64" i="25" a="1"/>
  <c r="F71" i="25" a="1"/>
  <c r="J103" i="25" a="1"/>
  <c r="G157" i="25" a="1"/>
  <c r="H133" i="25" a="1"/>
  <c r="I54" i="25" a="1"/>
  <c r="J169" i="25" a="1"/>
  <c r="J43" i="25" a="1"/>
  <c r="J81" i="25" a="1"/>
  <c r="L160" i="25" a="1"/>
  <c r="I99" i="25" a="1"/>
  <c r="F100" i="25" a="1"/>
  <c r="K58" i="25" a="1"/>
  <c r="I107" i="25" a="1"/>
  <c r="L74" i="25" a="1"/>
  <c r="L110" i="25" a="1"/>
  <c r="I163" i="25" a="1"/>
  <c r="L134" i="25" a="1"/>
  <c r="E66" i="25" a="1"/>
  <c r="J194" i="25" a="1"/>
  <c r="G64" i="25" a="1"/>
  <c r="H71" i="25" a="1"/>
  <c r="I103" i="25" a="1"/>
  <c r="K143" i="25" a="1"/>
  <c r="L52" i="25" a="1"/>
  <c r="G109" i="25" a="1"/>
  <c r="F79" i="25" a="1"/>
  <c r="G177" i="25" a="1"/>
  <c r="G125" i="25" a="1"/>
  <c r="E188" i="25" a="1"/>
  <c r="H139" i="25" a="1"/>
  <c r="J117" i="25" a="1"/>
  <c r="I141" i="25" a="1"/>
  <c r="L121" i="25" a="1"/>
  <c r="K86" i="25" a="1"/>
  <c r="J166" i="25" a="1"/>
  <c r="J136" i="25" a="1"/>
  <c r="K72" i="25" a="1"/>
  <c r="L80" i="25" a="1"/>
  <c r="K78" i="25" a="1"/>
  <c r="G89" i="25" a="1"/>
  <c r="I147" i="25" a="1"/>
  <c r="F177" i="25" a="1"/>
  <c r="H49" i="25" a="1"/>
  <c r="F157" i="25" a="1"/>
  <c r="L122" i="25" a="1"/>
  <c r="H101" i="25" a="1"/>
  <c r="E37" i="25" a="1"/>
  <c r="K121" i="25" a="1"/>
  <c r="F169" i="25" a="1"/>
  <c r="J122" i="25" a="1"/>
  <c r="E81" i="25" a="1"/>
  <c r="H160" i="25" a="1"/>
  <c r="K99" i="25" a="1"/>
  <c r="H100" i="25" a="1"/>
  <c r="F58" i="25" a="1"/>
  <c r="J189" i="25" a="1"/>
  <c r="L9" i="25" a="1"/>
  <c r="J51" i="25" a="1"/>
  <c r="E176" i="25" a="1"/>
  <c r="F95" i="25" a="1"/>
  <c r="F59" i="25" a="1"/>
  <c r="H129" i="25" a="1"/>
  <c r="G131" i="25" a="1"/>
  <c r="G77" i="25" a="1"/>
  <c r="H40" i="25" a="1"/>
  <c r="K148" i="25" a="1"/>
  <c r="J36" i="25" a="1"/>
  <c r="E51" i="25" a="1"/>
  <c r="H176" i="25" a="1"/>
  <c r="L95" i="25" a="1"/>
  <c r="E59" i="25" a="1"/>
  <c r="E129" i="25" a="1"/>
  <c r="I131" i="25" a="1"/>
  <c r="H77" i="25" a="1"/>
  <c r="G40" i="25" a="1"/>
  <c r="E113" i="25" a="1"/>
  <c r="G156" i="25" a="1"/>
  <c r="L144" i="25" a="1"/>
  <c r="H92" i="25" a="1"/>
  <c r="H90" i="25" a="1"/>
  <c r="K111" i="25" a="1"/>
  <c r="G87" i="25" a="1"/>
  <c r="I154" i="25" a="1"/>
  <c r="K52" i="25" a="1"/>
  <c r="G36" i="25" a="1"/>
  <c r="I112" i="25" a="1"/>
  <c r="L35" i="25" a="1"/>
  <c r="J53" i="25" a="1"/>
  <c r="E42" i="25" a="1"/>
  <c r="G106" i="25" a="1"/>
  <c r="G159" i="25" a="1"/>
  <c r="H195" i="25" a="1"/>
  <c r="E189" i="25" a="1"/>
  <c r="I142" i="25" a="1"/>
  <c r="K88" i="25" a="1"/>
  <c r="I113" i="25" a="1"/>
  <c r="L156" i="25" a="1"/>
  <c r="J61" i="25" a="1"/>
  <c r="E92" i="25" a="1"/>
  <c r="L90" i="25" a="1"/>
  <c r="J111" i="25" a="1"/>
  <c r="K87" i="25" a="1"/>
  <c r="F154" i="25" a="1"/>
  <c r="L48" i="25" a="1"/>
  <c r="G163" i="25" a="1"/>
  <c r="I134" i="25" a="1"/>
  <c r="G66" i="25" a="1"/>
  <c r="L194" i="25" a="1"/>
  <c r="J64" i="25" a="1"/>
  <c r="L71" i="25" a="1"/>
  <c r="G103" i="25" a="1"/>
  <c r="L143" i="25" a="1"/>
  <c r="L91" i="25" a="1"/>
  <c r="F109" i="25" a="1"/>
  <c r="G79" i="25" a="1"/>
  <c r="E177" i="25" a="1"/>
  <c r="E125" i="25" a="1"/>
  <c r="K49" i="25" a="1"/>
  <c r="I198" i="25" a="1"/>
  <c r="G196" i="25" a="1"/>
  <c r="K141" i="25" a="1"/>
  <c r="L69" i="25" a="1"/>
  <c r="H187" i="25" a="1"/>
  <c r="K163" i="25" a="1"/>
  <c r="E134" i="25" a="1"/>
  <c r="E101" i="12" a="1"/>
  <c r="E194" i="25" a="1"/>
  <c r="K64" i="25" a="1"/>
  <c r="J71" i="25" a="1"/>
  <c r="H103" i="25" a="1"/>
  <c r="J143" i="25" a="1"/>
  <c r="J47" i="25" a="1"/>
  <c r="K112" i="25" a="1"/>
  <c r="F112" i="25" a="1"/>
  <c r="J35" i="25" a="1"/>
  <c r="I75" i="25" a="1"/>
  <c r="H115" i="25" a="1"/>
  <c r="K172" i="25" a="1"/>
  <c r="J114" i="25" a="1"/>
  <c r="E120" i="25" a="1"/>
  <c r="K184" i="25" a="1"/>
  <c r="F133" i="25" a="1"/>
  <c r="F150" i="25" a="1"/>
  <c r="F127" i="25" a="1"/>
  <c r="J82" i="25" a="1"/>
  <c r="K192" i="25" a="1"/>
  <c r="I193" i="25" a="1"/>
  <c r="E180" i="25" a="1"/>
  <c r="F168" i="25" a="1"/>
  <c r="J152" i="25" a="1"/>
  <c r="I161" i="25" a="1"/>
  <c r="G142" i="25" a="1"/>
  <c r="J150" i="25" a="1"/>
  <c r="I127" i="25" a="1"/>
  <c r="H119" i="25" a="1"/>
  <c r="H192" i="25" a="1"/>
  <c r="E193" i="25" a="1"/>
  <c r="J180" i="25" a="1"/>
  <c r="J168" i="25" a="1"/>
  <c r="F152" i="25" a="1"/>
  <c r="E118" i="25" a="1"/>
  <c r="K105" i="25" a="1"/>
  <c r="K197" i="25" a="1"/>
  <c r="I153" i="25" a="1"/>
  <c r="I191" i="25" a="1"/>
  <c r="L149" i="25" a="1"/>
  <c r="E182" i="25" a="1"/>
  <c r="K41" i="25" a="1"/>
  <c r="J84" i="25" a="1"/>
  <c r="I148" i="25" a="1"/>
  <c r="F51" i="25" a="1"/>
  <c r="H108" i="25" a="1"/>
  <c r="J95" i="25" a="1"/>
  <c r="H59" i="25" a="1"/>
  <c r="L129" i="25" a="1"/>
  <c r="H131" i="25" a="1"/>
  <c r="E77" i="25" a="1"/>
  <c r="J40" i="25" a="1"/>
  <c r="H148" i="25" a="1"/>
  <c r="E187" i="25" a="1"/>
  <c r="H98" i="25" a="1"/>
  <c r="I137" i="25" a="1"/>
  <c r="L197" i="25" a="1"/>
  <c r="F153" i="25" a="1"/>
  <c r="L191" i="25" a="1"/>
  <c r="K149" i="25" a="1"/>
  <c r="G182" i="25" a="1"/>
  <c r="H116" i="25" a="1"/>
  <c r="J74" i="25" a="1"/>
  <c r="L113" i="25" a="1"/>
  <c r="K156" i="25" a="1"/>
  <c r="H61" i="25" a="1"/>
  <c r="K158" i="25" a="1"/>
  <c r="K90" i="25" a="1"/>
  <c r="G111" i="25" a="1"/>
  <c r="H87" i="25" a="1"/>
  <c r="L154" i="25" a="1"/>
  <c r="I52" i="25" a="1"/>
  <c r="H163" i="25" a="1"/>
  <c r="J134" i="25" a="1"/>
  <c r="I66" i="25" a="1"/>
  <c r="I194" i="25" a="1"/>
  <c r="H64" i="25" a="1"/>
  <c r="I71" i="25" a="1"/>
  <c r="L103" i="25" a="1"/>
  <c r="F143" i="25" a="1"/>
  <c r="E91" i="25" a="1"/>
  <c r="J54" i="25" a="1"/>
  <c r="F118" i="25" a="1"/>
  <c r="E156" i="25" a="1"/>
  <c r="I61" i="25" a="1"/>
  <c r="H158" i="25" a="1"/>
  <c r="F38" i="25" a="1"/>
  <c r="F124" i="25" a="1"/>
  <c r="G151" i="25" a="1"/>
  <c r="I41" i="25" a="1"/>
  <c r="J93" i="25" a="1"/>
  <c r="E167" i="25" a="1"/>
  <c r="I167" i="25" a="1"/>
  <c r="F176" i="25" a="1"/>
  <c r="K95" i="25" a="1"/>
  <c r="J59" i="25" a="1"/>
  <c r="J129" i="25" a="1"/>
  <c r="E131" i="25" a="1"/>
  <c r="I77" i="25" a="1"/>
  <c r="H152" i="25" a="1"/>
  <c r="I9" i="25" a="1"/>
  <c r="F39" i="25" a="1"/>
  <c r="G145" i="25" a="1"/>
  <c r="F83" i="25" a="1"/>
  <c r="G67" i="25" a="1"/>
  <c r="L171" i="25" a="1"/>
  <c r="H173" i="25" a="1"/>
  <c r="G126" i="25" a="1"/>
  <c r="I155" i="25" a="1"/>
  <c r="I88" i="25" a="1"/>
  <c r="F36" i="25" a="1"/>
  <c r="K39" i="25" a="1"/>
  <c r="J145" i="25" a="1"/>
  <c r="G83" i="25" a="1"/>
  <c r="J67" i="25" a="1"/>
  <c r="G171" i="25" a="1"/>
  <c r="G173" i="25" a="1"/>
  <c r="J126" i="25" a="1"/>
  <c r="K146" i="25" a="1"/>
  <c r="I104" i="25" a="1"/>
  <c r="J85" i="25" a="1"/>
  <c r="H102" i="25" a="1"/>
  <c r="H123" i="25" a="1"/>
  <c r="K46" i="25" a="1"/>
  <c r="K174" i="25" a="1"/>
  <c r="E55" i="25" a="1"/>
  <c r="F190" i="25" a="1"/>
  <c r="I48" i="25" a="1"/>
  <c r="G152" i="25" a="1"/>
  <c r="L150" i="25" a="1"/>
  <c r="G127" i="25" a="1"/>
  <c r="L119" i="25" a="1"/>
  <c r="F132" i="25" a="1"/>
  <c r="K44" i="25" a="1"/>
  <c r="F76" i="25" a="1"/>
  <c r="H94" i="25" a="1"/>
  <c r="L152" i="25" a="1"/>
  <c r="H161" i="25" a="1"/>
  <c r="G48" i="25" a="1"/>
  <c r="L104" i="25" a="1"/>
  <c r="F85" i="25" a="1"/>
  <c r="I186" i="25" a="1"/>
  <c r="L123" i="25" a="1"/>
  <c r="E46" i="25" a="1"/>
  <c r="J174" i="25" a="1"/>
  <c r="H55" i="25" a="1"/>
  <c r="L190" i="25" a="1"/>
  <c r="F148" i="25" a="1"/>
  <c r="J98" i="25" a="1"/>
  <c r="J137" i="25" a="1"/>
  <c r="E197" i="25" a="1"/>
  <c r="H153" i="25" a="1"/>
  <c r="E191" i="25" a="1"/>
  <c r="G149" i="25" a="1"/>
  <c r="L182" i="25" a="1"/>
  <c r="K116" i="25" a="1"/>
  <c r="E47" i="25" a="1"/>
  <c r="K113" i="25" a="1"/>
  <c r="J156" i="25" a="1"/>
  <c r="L61" i="25" a="1"/>
  <c r="I158" i="25" a="1"/>
  <c r="E38" i="25" a="1"/>
  <c r="L124" i="25" a="1"/>
  <c r="J151" i="25" a="1"/>
  <c r="G154" i="25" a="1"/>
  <c r="H52" i="25" a="1"/>
  <c r="F155" i="25" a="1"/>
  <c r="I98" i="25" a="1"/>
  <c r="E137" i="25" a="1"/>
  <c r="G197" i="25" a="1"/>
  <c r="E153" i="25" a="1"/>
  <c r="K191" i="25" a="1"/>
  <c r="G150" i="25" a="1"/>
  <c r="J127" i="25" a="1"/>
  <c r="G82" i="25" a="1"/>
  <c r="F192" i="25" a="1"/>
  <c r="J193" i="25" a="1"/>
  <c r="K180" i="25" a="1"/>
  <c r="L168" i="25" a="1"/>
  <c r="E62" i="25" a="1"/>
  <c r="G60" i="25" a="1"/>
  <c r="K68" i="25" a="1"/>
  <c r="H166" i="25" a="1"/>
  <c r="L96" i="25" a="1"/>
  <c r="G135" i="25" a="1"/>
  <c r="L165" i="25" a="1"/>
  <c r="I56" i="25" a="1"/>
  <c r="J164" i="25" a="1"/>
  <c r="G146" i="25" a="1"/>
  <c r="G57" i="25" a="1"/>
  <c r="J60" i="25" a="1"/>
  <c r="G68" i="25" a="1"/>
  <c r="I166" i="25" a="1"/>
  <c r="I136" i="25" a="1"/>
  <c r="J135" i="25" a="1"/>
  <c r="J165" i="25" a="1"/>
  <c r="H56" i="25" a="1"/>
  <c r="H164" i="25" a="1"/>
  <c r="F69" i="25" a="1"/>
  <c r="L73" i="25" a="1"/>
  <c r="H65" i="25" a="1"/>
  <c r="E179" i="25" a="1"/>
  <c r="G101" i="25" a="1"/>
  <c r="L181" i="25" a="1"/>
  <c r="I200" i="25" a="1"/>
  <c r="J37" i="25" a="1"/>
  <c r="E178" i="25" a="1"/>
  <c r="J185" i="25" a="1"/>
  <c r="I84" i="25" a="1"/>
  <c r="I39" i="25" a="1"/>
  <c r="G140" i="25" a="1"/>
  <c r="J83" i="25" a="1"/>
  <c r="H67" i="25" a="1"/>
  <c r="J171" i="25" a="1"/>
  <c r="L173" i="25" a="1"/>
  <c r="L126" i="25" a="1"/>
  <c r="G155" i="25" a="1"/>
  <c r="J88" i="25" a="1"/>
  <c r="E148" i="25" a="1"/>
  <c r="H128" i="25" a="1"/>
  <c r="F65" i="25" a="1"/>
  <c r="I179" i="25" a="1"/>
  <c r="E101" i="25" a="1"/>
  <c r="E181" i="25" a="1"/>
  <c r="E200" i="25" a="1"/>
  <c r="F37" i="25" a="1"/>
  <c r="H175" i="25" a="1"/>
  <c r="O9" i="25" a="1"/>
  <c r="F104" i="25" a="1"/>
  <c r="L85" i="25" a="1"/>
  <c r="H186" i="25" a="1"/>
  <c r="G170" i="25" a="1"/>
  <c r="H46" i="25" a="1"/>
  <c r="G174" i="25" a="1"/>
  <c r="F55" i="25" a="1"/>
  <c r="H190" i="25" a="1"/>
  <c r="K93" i="25" a="1"/>
  <c r="K98" i="25" a="1"/>
  <c r="H137" i="25" a="1"/>
  <c r="I197" i="25" a="1"/>
  <c r="J153" i="25" a="1"/>
  <c r="G191" i="25" a="1"/>
  <c r="E149" i="25" a="1"/>
  <c r="I182" i="25" a="1"/>
  <c r="F116" i="25" a="1"/>
  <c r="F47" i="25" a="1"/>
  <c r="F52" i="25" a="1"/>
  <c r="J73" i="25" a="1"/>
  <c r="I85" i="25" a="1"/>
  <c r="E186" i="25" a="1"/>
  <c r="J170" i="25" a="1"/>
  <c r="G138" i="25" a="1"/>
  <c r="G50" i="25" a="1"/>
  <c r="E145" i="25" a="1"/>
  <c r="H83" i="25" a="1"/>
  <c r="K67" i="25" a="1"/>
  <c r="I171" i="25" a="1"/>
  <c r="J173" i="25" a="1"/>
  <c r="F126" i="25" a="1"/>
  <c r="E89" i="25" a="1"/>
  <c r="J109" i="25" a="1"/>
  <c r="H79" i="25" a="1"/>
  <c r="K162" i="25" a="1"/>
  <c r="E183" i="25" a="1"/>
  <c r="L188" i="25" a="1"/>
  <c r="J139" i="25" a="1"/>
  <c r="E117" i="25" a="1"/>
  <c r="L141" i="25" a="1"/>
  <c r="J69" i="25" a="1"/>
  <c r="N9" i="25" a="1"/>
  <c r="K109" i="25" a="1"/>
  <c r="K79" i="25" a="1"/>
  <c r="J162" i="25" a="1"/>
  <c r="G183" i="25" a="1"/>
  <c r="H188" i="25" a="1"/>
  <c r="E139" i="25" a="1"/>
  <c r="K117" i="25" a="1"/>
  <c r="G141" i="25" a="1"/>
  <c r="G133" i="25" a="1"/>
  <c r="E169" i="25" a="1"/>
  <c r="L81" i="25" a="1"/>
  <c r="E160" i="25" a="1"/>
  <c r="H99" i="25" a="1"/>
  <c r="L100" i="25" a="1"/>
  <c r="I58" i="25" a="1"/>
  <c r="F107" i="25" a="1"/>
  <c r="G74" i="25" a="1"/>
  <c r="J121" i="25" a="1"/>
  <c r="E68" i="25" a="1"/>
  <c r="E166" i="25" a="1"/>
  <c r="G136" i="25" a="1"/>
  <c r="L72" i="25" a="1"/>
  <c r="E80" i="25" a="1"/>
  <c r="E78" i="25" a="1"/>
  <c r="H130" i="25" a="1"/>
  <c r="J146" i="25" a="1"/>
  <c r="H57" i="25" a="1"/>
  <c r="E9" i="25" a="1"/>
  <c r="L169" i="25" a="1"/>
  <c r="K43" i="25" a="1"/>
  <c r="K75" i="25" a="1"/>
  <c r="F160" i="25" a="1"/>
  <c r="F99" i="25" a="1"/>
  <c r="K100" i="25" a="1"/>
  <c r="J58" i="25" a="1"/>
  <c r="L107" i="25" a="1"/>
  <c r="G54" i="25" a="1"/>
  <c r="L128" i="25" a="1"/>
  <c r="L65" i="25" a="1"/>
  <c r="H179" i="25" a="1"/>
  <c r="I101" i="25" a="1"/>
  <c r="J181" i="25" a="1"/>
  <c r="K200" i="25" a="1"/>
  <c r="H37" i="25" a="1"/>
  <c r="F175" i="25" a="1"/>
  <c r="L70" i="25" a="1"/>
  <c r="K104" i="25" a="1"/>
  <c r="K85" i="25" a="1"/>
  <c r="F186" i="25" a="1"/>
  <c r="E170" i="25" a="1"/>
  <c r="F138" i="25" a="1"/>
  <c r="E45" i="25" a="1"/>
  <c r="K97" i="25" a="1"/>
  <c r="I190" i="25" a="1"/>
  <c r="J48" i="25" a="1"/>
  <c r="H48" i="25" a="1"/>
  <c r="I128" i="25" a="1"/>
  <c r="E122" i="25" a="1"/>
  <c r="J179" i="25" a="1"/>
  <c r="K101" i="25" a="1"/>
  <c r="I181" i="25" a="1"/>
  <c r="L200" i="25" a="1"/>
  <c r="I37" i="25" a="1"/>
  <c r="G175" i="25" a="1"/>
  <c r="F60" i="25" a="1"/>
  <c r="H68" i="25" a="1"/>
  <c r="L140" i="25" a="1"/>
  <c r="I96" i="25" a="1"/>
  <c r="K135" i="25" a="1"/>
  <c r="K165" i="25" a="1"/>
  <c r="K56" i="25" a="1"/>
  <c r="F164" i="25" a="1"/>
  <c r="I146" i="25" a="1"/>
  <c r="F57" i="25" a="1"/>
  <c r="G73" i="25" a="1"/>
  <c r="E104" i="12" a="1"/>
  <c r="G186" i="25" a="1"/>
  <c r="I170" i="25" a="1"/>
  <c r="E138" i="25" a="1"/>
  <c r="H45" i="25" a="1"/>
  <c r="F97" i="25" a="1"/>
  <c r="E175" i="25" a="1"/>
  <c r="K167" i="25" a="1"/>
  <c r="L176" i="25" a="1"/>
  <c r="I95" i="25" a="1"/>
  <c r="I59" i="25" a="1"/>
  <c r="K129" i="25" a="1"/>
  <c r="F131" i="25" a="1"/>
  <c r="K195" i="25" a="1"/>
  <c r="I184" i="25" a="1"/>
  <c r="J70" i="25" a="1"/>
  <c r="L142" i="25" a="1"/>
  <c r="K107" i="25" a="1"/>
  <c r="L37" i="25" a="1"/>
  <c r="H74" i="25" a="1"/>
  <c r="F43" i="25" a="1"/>
  <c r="F75" i="25" a="1"/>
  <c r="E172" i="25" a="1"/>
  <c r="F114" i="25" a="1"/>
  <c r="H107" i="25" a="1"/>
  <c r="F121" i="25" a="1"/>
  <c r="F162" i="25" a="1"/>
  <c r="I72" i="25" a="1"/>
  <c r="H80" i="25" a="1"/>
  <c r="J130" i="25" a="1"/>
  <c r="K89" i="25" a="1"/>
  <c r="E128" i="25" a="1"/>
  <c r="F122" i="25" a="1"/>
  <c r="L60" i="25" a="1"/>
  <c r="F68" i="25" a="1"/>
  <c r="K166" i="25" a="1"/>
  <c r="E96" i="25" a="1"/>
  <c r="I135" i="25" a="1"/>
  <c r="E165" i="25" a="1"/>
  <c r="J56" i="25" a="1"/>
  <c r="G164" i="25" a="1"/>
  <c r="K91" i="25" a="1"/>
  <c r="J147" i="25" a="1"/>
  <c r="J63" i="25" a="1"/>
  <c r="F66" i="25" a="1"/>
  <c r="I125" i="25" a="1"/>
  <c r="F49" i="25" a="1"/>
  <c r="G198" i="25" a="1"/>
  <c r="K196" i="25" a="1"/>
  <c r="I157" i="25" a="1"/>
  <c r="K133" i="25" a="1"/>
  <c r="L54" i="25" a="1"/>
  <c r="G147" i="25" a="1"/>
  <c r="F63" i="25" a="1"/>
  <c r="H66" i="25" a="1"/>
  <c r="F194" i="25" a="1"/>
  <c r="I49" i="25" a="1"/>
  <c r="E198" i="25" a="1"/>
  <c r="J196" i="25" a="1"/>
  <c r="H157" i="25" a="1"/>
  <c r="L84" i="25" a="1"/>
  <c r="E112" i="25" a="1"/>
  <c r="K35" i="25" a="1"/>
  <c r="F53" i="25" a="1"/>
  <c r="K42" i="25" a="1"/>
  <c r="J106" i="25" a="1"/>
  <c r="E159" i="25" a="1"/>
  <c r="E105" i="12" a="1"/>
  <c r="H189" i="25" a="1"/>
  <c r="F142" i="25" a="1"/>
  <c r="L109" i="25" a="1"/>
  <c r="I79" i="25" a="1"/>
  <c r="L177" i="25" a="1"/>
  <c r="J183" i="25" a="1"/>
  <c r="G188" i="25" a="1"/>
  <c r="L139" i="25" a="1"/>
  <c r="G117" i="25" a="1"/>
  <c r="F141" i="25" a="1"/>
  <c r="H69" i="25" a="1"/>
  <c r="F187" i="25" a="1"/>
  <c r="G70" i="25" a="1"/>
  <c r="J167" i="25" a="1"/>
  <c r="H35" i="25" a="1"/>
  <c r="G53" i="25" a="1"/>
  <c r="G42" i="25" a="1"/>
  <c r="L106" i="25" a="1"/>
  <c r="I159" i="25" a="1"/>
  <c r="L195" i="25" a="1"/>
  <c r="H184" i="25" a="1"/>
  <c r="F74" i="25" a="1"/>
  <c r="K169" i="25" a="1"/>
  <c r="E43" i="25" a="1"/>
  <c r="E75" i="25" a="1"/>
  <c r="I160" i="25" a="1"/>
  <c r="E99" i="25" a="1"/>
  <c r="E100" i="25" a="1"/>
  <c r="G58" i="25" a="1"/>
  <c r="H110" i="25" a="1"/>
  <c r="G128" i="25" a="1"/>
  <c r="I122" i="25" a="1"/>
  <c r="G179" i="25" a="1"/>
  <c r="L101" i="25" a="1"/>
  <c r="G181" i="25" a="1"/>
  <c r="G200" i="25" a="1"/>
  <c r="L175" i="25" a="1"/>
  <c r="I93" i="25" a="1"/>
  <c r="E107" i="12" a="1"/>
  <c r="L115" i="25" a="1"/>
  <c r="J120" i="25" a="1"/>
  <c r="G86" i="25" a="1"/>
  <c r="F136" i="25" a="1"/>
  <c r="J78" i="25" a="1"/>
  <c r="P9" i="25" a="1"/>
  <c r="H109" i="25" a="1"/>
  <c r="F86" i="25" a="1"/>
  <c r="H162" i="25" a="1"/>
  <c r="I183" i="25" a="1"/>
  <c r="I188" i="25" a="1"/>
  <c r="F139" i="25" a="1"/>
  <c r="F117" i="25" a="1"/>
  <c r="J141" i="25" a="1"/>
  <c r="L47" i="25" a="1"/>
  <c r="H113" i="25" a="1"/>
  <c r="F156" i="25" a="1"/>
  <c r="J144" i="25" a="1"/>
  <c r="J92" i="25" a="1"/>
  <c r="F90" i="25" a="1"/>
  <c r="I111" i="25" a="1"/>
  <c r="F87" i="25" a="1"/>
  <c r="J154" i="25" a="1"/>
  <c r="G52" i="25" a="1"/>
  <c r="I36" i="25" a="1"/>
  <c r="G113" i="25" a="1"/>
  <c r="H156" i="25" a="1"/>
  <c r="E144" i="25" a="1"/>
  <c r="F92" i="25" a="1"/>
  <c r="G90" i="25" a="1"/>
  <c r="F111" i="25" a="1"/>
  <c r="L87" i="25" a="1"/>
  <c r="E154" i="25" a="1"/>
  <c r="I185" i="25" a="1"/>
  <c r="L51" i="25" a="1"/>
  <c r="K176" i="25" a="1"/>
  <c r="G95" i="25" a="1"/>
  <c r="K59" i="25" a="1"/>
  <c r="F129" i="25" a="1"/>
  <c r="K131" i="25" a="1"/>
  <c r="L77" i="25" a="1"/>
  <c r="E40" i="25" a="1"/>
  <c r="G148" i="25" a="1"/>
  <c r="J163" i="25" a="1"/>
  <c r="E63" i="25" a="1"/>
  <c r="J66" i="25" a="1"/>
  <c r="H194" i="25" a="1"/>
  <c r="E64" i="25" a="1"/>
  <c r="G71" i="25" a="1"/>
  <c r="F103" i="25" a="1"/>
  <c r="I143" i="25" a="1"/>
  <c r="J133" i="25" a="1"/>
  <c r="E54" i="25" a="1"/>
  <c r="J187" i="25" a="1"/>
  <c r="H51" i="25" a="1"/>
  <c r="J108" i="25" a="1"/>
  <c r="E167" i="12" a="1"/>
  <c r="G59" i="25" a="1"/>
  <c r="G129" i="25" a="1"/>
  <c r="L131" i="25" a="1"/>
  <c r="F77" i="25" a="1"/>
  <c r="K40" i="25" a="1"/>
  <c r="H88" i="25" a="1"/>
  <c r="G167" i="25" a="1"/>
  <c r="E35" i="25" a="1"/>
  <c r="H53" i="25" a="1"/>
  <c r="F42" i="25" a="1"/>
  <c r="H106" i="25" a="1"/>
  <c r="K159" i="25" a="1"/>
  <c r="E195" i="25" a="1"/>
  <c r="L184" i="25" a="1"/>
  <c r="I187" i="25" a="1"/>
  <c r="H169" i="25" a="1"/>
  <c r="G43" i="25" a="1"/>
  <c r="H75" i="25" a="1"/>
  <c r="J115" i="25" a="1"/>
  <c r="J172" i="25" a="1"/>
  <c r="H114" i="25" a="1"/>
  <c r="G120" i="25" a="1"/>
  <c r="G107" i="25" a="1"/>
  <c r="I74" i="25" a="1"/>
  <c r="H9" i="25" a="1"/>
  <c r="H167" i="25" a="1"/>
  <c r="I176" i="25" a="1"/>
  <c r="L53" i="25" a="1"/>
  <c r="L42" i="25" a="1"/>
  <c r="F106" i="25" a="1"/>
  <c r="J159" i="25" a="1"/>
  <c r="F195" i="25" a="1"/>
  <c r="E184" i="25" a="1"/>
  <c r="L147" i="25" a="1"/>
  <c r="K147" i="25" a="1"/>
  <c r="L63" i="25" a="1"/>
  <c r="K66" i="25" a="1"/>
  <c r="L125" i="25" a="1"/>
  <c r="E49" i="25" a="1"/>
  <c r="J198" i="25" a="1"/>
  <c r="L196" i="25" a="1"/>
  <c r="K157" i="25" a="1"/>
  <c r="G93" i="25" a="1"/>
  <c r="K118" i="25" a="1"/>
  <c r="L105" i="25" a="1"/>
  <c r="F197" i="25" a="1"/>
  <c r="E158" i="25" a="1"/>
  <c r="J38" i="25" a="1"/>
  <c r="H124" i="25" a="1"/>
  <c r="F151" i="25" a="1"/>
  <c r="F41" i="25" a="1"/>
  <c r="H84" i="25" a="1"/>
  <c r="E155" i="25" a="1"/>
  <c r="H118" i="25" a="1"/>
  <c r="J105" i="25" a="1"/>
  <c r="J197" i="25" a="1"/>
  <c r="K153" i="25" a="1"/>
  <c r="L38" i="25" a="1"/>
  <c r="E124" i="25" a="1"/>
  <c r="K151" i="25" a="1"/>
  <c r="J41" i="25" a="1"/>
  <c r="J57" i="25" a="1"/>
  <c r="I150" i="25" a="1"/>
  <c r="L127" i="25" a="1"/>
  <c r="E119" i="25" a="1"/>
  <c r="G132" i="25" a="1"/>
  <c r="G44" i="25" a="1"/>
  <c r="K76" i="25" a="1"/>
  <c r="K168" i="25" a="1"/>
  <c r="I152" i="25" a="1"/>
  <c r="G161" i="25" a="1"/>
  <c r="F113" i="25" a="1"/>
  <c r="I156" i="25" a="1"/>
  <c r="K144" i="25" a="1"/>
  <c r="G92" i="25" a="1"/>
  <c r="J90" i="25" a="1"/>
  <c r="L111" i="25" a="1"/>
  <c r="E87" i="25" a="1"/>
  <c r="H154" i="25" a="1"/>
  <c r="E52" i="25" a="1"/>
  <c r="H89" i="25" a="1"/>
  <c r="L62" i="25" a="1"/>
  <c r="I50" i="25" a="1"/>
  <c r="E127" i="25" a="1"/>
  <c r="J119" i="25" a="1"/>
  <c r="L132" i="25" a="1"/>
  <c r="E44" i="25" a="1"/>
  <c r="H76" i="25" a="1"/>
  <c r="E94" i="25" a="1"/>
  <c r="G62" i="25" a="1"/>
  <c r="I110" i="25" a="1"/>
  <c r="G51" i="25" a="1"/>
  <c r="F108" i="25" a="1"/>
  <c r="I82" i="25" a="1"/>
  <c r="L59" i="25" a="1"/>
  <c r="I129" i="25" a="1"/>
  <c r="J131" i="25" a="1"/>
  <c r="J77" i="25" a="1"/>
  <c r="L40" i="25" a="1"/>
  <c r="K54" i="25" a="1"/>
  <c r="L167" i="25" a="1"/>
  <c r="G35" i="25" a="1"/>
  <c r="K53" i="25" a="1"/>
  <c r="H42" i="25" a="1"/>
  <c r="E106" i="25" a="1"/>
  <c r="F159" i="25" a="1"/>
  <c r="I195" i="25" a="1"/>
  <c r="G184" i="25" a="1"/>
  <c r="I70" i="25" a="1"/>
  <c r="F89" i="25" a="1"/>
  <c r="K51" i="25" a="1"/>
  <c r="I108" i="25" a="1"/>
  <c r="K82" i="25" a="1"/>
  <c r="L192" i="25" a="1"/>
  <c r="G193" i="25" a="1"/>
  <c r="I180" i="25" a="1"/>
  <c r="E168" i="25" a="1"/>
  <c r="F40" i="25" a="1"/>
  <c r="L163" i="25" a="1"/>
  <c r="F134" i="25" a="1"/>
  <c r="J113" i="25" a="1"/>
  <c r="G134" i="25" a="1"/>
  <c r="G144" i="25" a="1"/>
  <c r="L92" i="25" a="1"/>
  <c r="E90" i="25" a="1"/>
  <c r="H111" i="25" a="1"/>
  <c r="I87" i="25" a="1"/>
  <c r="K154" i="25" a="1"/>
  <c r="K70" i="25" a="1"/>
  <c r="G104" i="25" a="1"/>
  <c r="G85" i="25" a="1"/>
  <c r="G102" i="25" a="1"/>
  <c r="K123" i="25" a="1"/>
  <c r="L46" i="25" a="1"/>
  <c r="L174" i="25" a="1"/>
  <c r="L55" i="25" a="1"/>
  <c r="E190" i="25" a="1"/>
  <c r="K48" i="25" a="1"/>
  <c r="J52" i="25" a="1"/>
  <c r="J104" i="25" a="1"/>
  <c r="H85" i="25" a="1"/>
  <c r="K102" i="25" a="1"/>
  <c r="E123" i="25" a="1"/>
  <c r="I46" i="25" a="1"/>
  <c r="H174" i="25" a="1"/>
  <c r="I55" i="25" a="1"/>
  <c r="G190" i="25" a="1"/>
  <c r="H185" i="25" a="1"/>
  <c r="G39" i="25" a="1"/>
  <c r="F145" i="25" a="1"/>
  <c r="I83" i="25" a="1"/>
  <c r="I67" i="25" a="1"/>
  <c r="F171" i="25" a="1"/>
  <c r="I173" i="25" a="1"/>
  <c r="I126" i="25" a="1"/>
  <c r="H155" i="25" a="1"/>
  <c r="F88" i="25" a="1"/>
  <c r="G98" i="25" a="1"/>
  <c r="G105" i="25" a="1"/>
  <c r="H197" i="25" a="1"/>
  <c r="L153" i="25" a="1"/>
  <c r="H191" i="25" a="1"/>
  <c r="I149" i="25" a="1"/>
  <c r="J182" i="25" a="1"/>
  <c r="I116" i="25" a="1"/>
  <c r="F84" i="25" a="1"/>
  <c r="I47" i="25" a="1"/>
  <c r="F110" i="25" a="1"/>
  <c r="E39" i="25" a="1"/>
  <c r="F140" i="25" a="1"/>
  <c r="L83" i="25" a="1"/>
  <c r="F67" i="25" a="1"/>
  <c r="K171" i="25" a="1"/>
  <c r="F173" i="25" a="1"/>
  <c r="H126" i="25" a="1"/>
  <c r="J155" i="25" a="1"/>
  <c r="F184" i="25" a="1"/>
  <c r="K50" i="25" a="1"/>
  <c r="K127" i="25" a="1"/>
  <c r="F119" i="25" a="1"/>
  <c r="K132" i="25" a="1"/>
  <c r="L44" i="25" a="1"/>
  <c r="G76" i="25" a="1"/>
  <c r="G94" i="25" a="1"/>
  <c r="H62" i="25" a="1"/>
  <c r="L88" i="25" a="1"/>
  <c r="I51" i="25" a="1"/>
  <c r="G108" i="25" a="1"/>
  <c r="F82" i="25" a="1"/>
  <c r="J192" i="25" a="1"/>
  <c r="F193" i="25" a="1"/>
  <c r="H180" i="25" a="1"/>
  <c r="K77" i="25" a="1"/>
  <c r="I40" i="25" a="1"/>
  <c r="L148" i="25" a="1"/>
  <c r="J161" i="25" a="1"/>
  <c r="H50" i="25" a="1"/>
  <c r="H145" i="25" a="1"/>
  <c r="K119" i="25" a="1"/>
  <c r="J132" i="25" a="1"/>
  <c r="I44" i="25" a="1"/>
  <c r="I76" i="25" a="1"/>
  <c r="L94" i="25" a="1"/>
  <c r="K62" i="25" a="1"/>
  <c r="K185" i="25" a="1"/>
  <c r="L133" i="25" a="1"/>
  <c r="E147" i="25" a="1"/>
  <c r="F70" i="25" a="1"/>
  <c r="I172" i="25" a="1"/>
  <c r="I133" i="25" a="1"/>
  <c r="K193" i="25" a="1"/>
  <c r="E84" i="25" a="1"/>
  <c r="E108" i="25" a="1"/>
  <c r="I115" i="25" a="1"/>
  <c r="E48" i="25" a="1"/>
  <c r="G153" i="25" a="1"/>
  <c r="E132" i="25" a="1"/>
  <c r="E146" i="25" a="1"/>
  <c r="G123" i="25" a="1"/>
  <c r="G180" i="25" a="1"/>
  <c r="I43" i="25" a="1"/>
  <c r="E86" i="25" a="1"/>
  <c r="E173" i="25" a="1"/>
  <c r="H63" i="25" a="1"/>
  <c r="E157" i="25" a="1"/>
  <c r="H149" i="25" a="1"/>
  <c r="F105" i="25" a="1"/>
  <c r="E185" i="25" a="1"/>
  <c r="H41" i="25" a="1"/>
  <c r="I73" i="25" a="1"/>
  <c r="J72" i="25" a="1"/>
  <c r="G55" i="25" a="1"/>
  <c r="K69" i="25" a="1"/>
  <c r="H127" i="25" a="1"/>
  <c r="L135" i="25" a="1"/>
  <c r="F91" i="25" a="1"/>
  <c r="H177" i="25" a="1"/>
  <c r="K115" i="25" a="1"/>
  <c r="H198" i="25" a="1"/>
  <c r="K120" i="25" a="1"/>
  <c r="E133" i="25" a="1"/>
  <c r="E72" i="25" a="1"/>
  <c r="K182" i="25" a="1"/>
  <c r="H170" i="25" a="1"/>
  <c r="G84" i="25" a="1"/>
  <c r="G56" i="25" a="1"/>
  <c r="L118" i="25" a="1"/>
  <c r="H171" i="25" a="1"/>
  <c r="J110" i="25" a="1"/>
  <c r="I65" i="25" a="1"/>
  <c r="J80" i="25" a="1"/>
  <c r="K190" i="25" a="1"/>
  <c r="L57" i="25" a="1"/>
  <c r="G119" i="25" a="1"/>
  <c r="F165" i="25" a="1"/>
  <c r="I118" i="25" a="1"/>
  <c r="H144" i="25" a="1"/>
  <c r="I42" i="25" a="1"/>
  <c r="K71" i="25" a="1"/>
  <c r="J195" i="25" a="1"/>
  <c r="G91" i="25" a="1"/>
  <c r="E163" i="25" a="1"/>
  <c r="G176" i="25" a="1"/>
  <c r="K83" i="25" a="1"/>
  <c r="J49" i="25" a="1"/>
  <c r="K124" i="25" a="1"/>
  <c r="K37" i="25" a="1"/>
  <c r="H60" i="25" a="1"/>
  <c r="J160" i="25" a="1"/>
  <c r="I120" i="25" a="1"/>
  <c r="I117" i="25" a="1"/>
  <c r="E168" i="12" a="1"/>
  <c r="H73" i="25" a="1"/>
  <c r="K179" i="25" a="1"/>
  <c r="H78" i="25" a="1"/>
  <c r="F48" i="25" a="1"/>
  <c r="H39" i="25" a="1"/>
  <c r="H132" i="25" a="1"/>
  <c r="J149" i="25" a="1"/>
  <c r="F98" i="25" a="1"/>
  <c r="G61" i="25" a="1"/>
  <c r="I192" i="25" a="1"/>
  <c r="J124" i="25" a="1"/>
  <c r="H168" i="25" a="1"/>
  <c r="K84" i="25" a="1"/>
  <c r="H183" i="25" a="1"/>
  <c r="E121" i="25" a="1"/>
  <c r="E41" i="25" a="1"/>
  <c r="K65" i="25" a="1"/>
  <c r="J101" i="25" a="1"/>
  <c r="E164" i="25" a="1"/>
  <c r="L93" i="25" a="1"/>
  <c r="J140" i="25" a="1"/>
  <c r="J44" i="25" a="1"/>
  <c r="K45" i="25" a="1"/>
  <c r="E150" i="25" a="1"/>
  <c r="F102" i="25" a="1"/>
  <c r="I132" i="25" a="1"/>
  <c r="F149" i="25" a="1"/>
  <c r="I94" i="25" a="1"/>
  <c r="H47" i="25" a="1"/>
  <c r="E98" i="25" a="1"/>
  <c r="I145" i="25" a="1"/>
  <c r="J125" i="25" a="1"/>
  <c r="I38" i="25" a="1"/>
  <c r="F200" i="25" a="1"/>
  <c r="G195" i="25" a="1"/>
  <c r="H147" i="25" a="1"/>
  <c r="G137" i="25" a="1"/>
  <c r="G81" i="25" a="1"/>
  <c r="E192" i="25" a="1"/>
  <c r="G165" i="25" a="1"/>
  <c r="I196" i="25" a="1"/>
  <c r="J116" i="25" a="1"/>
  <c r="E93" i="25" a="1"/>
  <c r="K161" i="25" a="1"/>
  <c r="L179" i="25" a="1"/>
  <c r="F146" i="25" a="1"/>
  <c r="I121" i="25" a="1"/>
  <c r="G96" i="25" a="1"/>
  <c r="J76" i="25" a="1"/>
  <c r="E56" i="25" a="1"/>
  <c r="L50" i="25" a="1"/>
  <c r="J75" i="25" a="1"/>
  <c r="L49" i="25" a="1"/>
  <c r="L114" i="25" a="1"/>
  <c r="J157" i="25" a="1"/>
  <c r="K142" i="25" a="1"/>
  <c r="G112" i="25" a="1"/>
  <c r="L162" i="25" a="1"/>
  <c r="K92" i="25" a="1"/>
  <c r="F191" i="25" a="1"/>
  <c r="K114" i="25" a="1"/>
  <c r="I168" i="25" a="1"/>
  <c r="J118" i="25" a="1"/>
  <c r="J65" i="25" a="1"/>
  <c r="G75" i="25" a="1"/>
  <c r="L67" i="25" a="1"/>
  <c r="I139" i="25" a="1"/>
  <c r="I151" i="25" a="1"/>
  <c r="G178" i="25" a="1"/>
  <c r="H142" i="25" a="1"/>
  <c r="I57" i="25" a="1"/>
  <c r="G118" i="25" a="1"/>
  <c r="G45" i="25" a="1"/>
  <c r="E57" i="25" a="1"/>
  <c r="L86" i="25" a="1"/>
  <c r="E67" i="25" a="1"/>
  <c r="F94" i="25" a="1"/>
  <c r="H182" i="25" a="1"/>
  <c r="I63" i="25" a="1"/>
  <c r="I64" i="25" a="1"/>
  <c r="H159" i="25" a="1"/>
  <c r="E143" i="25" a="1"/>
  <c r="E70" i="25" a="1"/>
  <c r="F167" i="25" a="1"/>
  <c r="K177" i="25" a="1"/>
  <c r="K181" i="25" a="1"/>
  <c r="L159" i="25" a="1"/>
  <c r="K94" i="25" a="1"/>
  <c r="G122" i="25" a="1"/>
  <c r="H82" i="25" a="1"/>
  <c r="L198" i="25" a="1"/>
  <c r="K175" i="25" a="1"/>
  <c r="L161" i="25" a="1"/>
  <c r="K130" i="25" a="1"/>
  <c r="F188" i="25" a="1"/>
  <c r="G110" i="25" a="1"/>
  <c r="K96" i="25" a="1"/>
  <c r="E58" i="25" a="1"/>
  <c r="I102" i="25" a="1"/>
  <c r="K38" i="25" a="1"/>
  <c r="F54" i="25" a="1"/>
  <c r="H138" i="25" a="1"/>
  <c r="F161" i="25" a="1"/>
  <c r="H150" i="25" a="1"/>
  <c r="L180" i="25" a="1"/>
  <c r="E83" i="25" a="1"/>
  <c r="G189" i="25" a="1"/>
  <c r="K108" i="25" a="1"/>
  <c r="E152" i="25" a="1"/>
  <c r="G115" i="25" a="1"/>
  <c r="F183" i="25" a="1"/>
  <c r="K170" i="25" a="1"/>
  <c r="E95" i="25" a="1"/>
  <c r="G158" i="25" a="1"/>
  <c r="L98" i="25" a="1"/>
  <c r="H135" i="25" a="1"/>
  <c r="K55" i="25" a="1"/>
  <c r="K9" i="25" a="1"/>
  <c r="J123" i="25" a="1"/>
  <c r="F73" i="25" a="1"/>
  <c r="I124" i="25" a="1"/>
  <c r="K36" i="25" a="1"/>
  <c r="G49" i="25" a="1"/>
  <c r="E74" i="25" a="1"/>
  <c r="L78" i="25" a="1"/>
  <c r="L145" i="25" a="1"/>
  <c r="J62" i="25" a="1"/>
  <c r="E105" i="25" a="1"/>
  <c r="I138" i="25" a="1"/>
  <c r="G97" i="25" a="1"/>
  <c r="E104" i="25" a="1"/>
  <c r="F166" i="25" a="1"/>
  <c r="E171" i="25" a="1"/>
  <c r="F62" i="25" a="1"/>
  <c r="L97" i="25" a="1"/>
  <c r="I105" i="25" a="1"/>
  <c r="L82" i="25" a="1"/>
  <c r="G38" i="25" a="1"/>
  <c r="F180" i="25" a="1"/>
  <c r="G41" i="25" a="1"/>
  <c r="F144" i="25" a="1"/>
  <c r="F172" i="25" a="1"/>
  <c r="L43" i="25" a="1"/>
  <c r="E97" i="25" a="1"/>
  <c r="F174" i="25" a="1"/>
  <c r="K63" i="25" a="1"/>
  <c r="F120" i="25" a="1"/>
  <c r="E61" i="25" a="1"/>
  <c r="J45" i="25" a="1"/>
  <c r="L178" i="25" a="1"/>
  <c r="E85" i="25" a="1"/>
  <c r="H136" i="25" a="1"/>
  <c r="K173" i="25" a="1"/>
  <c r="K110" i="25" a="1"/>
  <c r="L164" i="25" a="1"/>
  <c r="F137" i="25" a="1"/>
  <c r="I119" i="25" a="1"/>
  <c r="J191" i="25" a="1"/>
  <c r="E76" i="25" a="1"/>
  <c r="L116" i="25" a="1"/>
  <c r="E110" i="25" a="1"/>
  <c r="E50" i="25" a="1"/>
  <c r="K61" i="25" a="1"/>
  <c r="E108" i="12" a="1"/>
  <c r="K106" i="25" a="1"/>
  <c r="L76" i="25" a="1"/>
  <c r="L157" i="25" a="1"/>
  <c r="F128" i="25" a="1"/>
  <c r="K57" i="25" a="1"/>
  <c r="G143" i="25" a="1"/>
  <c r="I45" i="25" a="1"/>
  <c r="J158" i="25" a="1"/>
  <c r="I97" i="25" a="1"/>
  <c r="I60" i="25" a="1"/>
  <c r="E102" i="25" a="1"/>
  <c r="G72" i="25" a="1"/>
  <c r="K126" i="25" a="1"/>
  <c r="K60" i="25" a="1"/>
  <c r="G116" i="25" a="1"/>
  <c r="H43" i="25" a="1"/>
  <c r="K125" i="25" a="1"/>
  <c r="G172" i="25" a="1"/>
  <c r="E196" i="25" a="1"/>
  <c r="I189" i="25" a="1"/>
  <c r="G187" i="25" a="1"/>
  <c r="H193" i="25" a="1"/>
  <c r="L112" i="25" a="1"/>
  <c r="G9" i="25" a="1"/>
  <c r="H38" i="25" a="1"/>
  <c r="K178" i="25" a="1"/>
  <c r="L68" i="25" a="1"/>
  <c r="I123" i="25" a="1"/>
  <c r="K80" i="25" a="1"/>
  <c r="K155" i="25" a="1"/>
  <c r="L39" i="25" a="1"/>
  <c r="J190" i="25" a="1"/>
  <c r="J176" i="25" a="1"/>
  <c r="K194" i="25" a="1"/>
  <c r="I106" i="25" a="1"/>
  <c r="E103" i="25" a="1"/>
  <c r="J184" i="25" a="1"/>
  <c r="L36" i="25" a="1"/>
  <c r="K134" i="25" a="1"/>
  <c r="H81" i="25" a="1"/>
  <c r="J42" i="25" a="1"/>
  <c r="F44" i="25" a="1"/>
  <c r="H196" i="25" a="1"/>
  <c r="L41" i="25" a="1"/>
  <c r="K150" i="25" a="1"/>
  <c r="E140" i="25" a="1"/>
  <c r="H125" i="25" a="1"/>
  <c r="G46" i="25" a="1"/>
  <c r="G100" i="25" a="1"/>
  <c r="G168" i="25" a="1"/>
  <c r="H146" i="25" a="1"/>
  <c r="L187" i="25" a="1"/>
  <c r="F93" i="25" a="1"/>
  <c r="G124" i="25" a="1"/>
  <c r="L166" i="25" a="1"/>
  <c r="F46" i="25" a="1"/>
  <c r="I78" i="25" a="1"/>
  <c r="K189" i="25" a="1"/>
  <c r="I140" i="25" a="1"/>
  <c r="J89" i="25" a="1"/>
  <c r="L108" i="25" a="1"/>
  <c r="F158" i="25" a="1"/>
  <c r="L193" i="25" a="1"/>
  <c r="H151" i="25" a="1"/>
  <c r="K152" i="25" a="1"/>
  <c r="E116" i="25" a="1"/>
  <c r="H105" i="25" a="1"/>
  <c r="L75" i="25" a="1"/>
  <c r="G192" i="25" a="1"/>
  <c r="G80" i="25" a="1"/>
  <c r="K103" i="25" a="1"/>
  <c r="F178" i="25" a="1"/>
  <c r="F50" i="25" a="1"/>
  <c r="G162" i="25" a="1"/>
  <c r="L158" i="25" a="1"/>
  <c r="K138" i="25" a="1"/>
  <c r="E114" i="25" a="1"/>
  <c r="J94" i="25" a="1"/>
  <c r="I89" i="25" a="1"/>
  <c r="J175" i="25" a="1"/>
  <c r="E151" i="25" a="1"/>
  <c r="L136" i="25" a="1"/>
  <c r="E174" i="25" a="1"/>
  <c r="I130" i="25" a="1"/>
  <c r="J50" i="25" a="1"/>
  <c r="F96" i="25" a="1"/>
  <c r="E36" i="25" a="1"/>
  <c r="K145" i="25" a="1"/>
  <c r="H44" i="25" a="1"/>
  <c r="F182" i="25" a="1"/>
  <c r="I62" i="25" a="1"/>
  <c r="K47" i="25" a="1"/>
  <c r="L137" i="25" a="1"/>
  <c r="H95" i="25" a="1"/>
  <c r="K198" i="25" a="1"/>
  <c r="L151" i="25" a="1"/>
  <c r="I68" i="25" a="1"/>
  <c r="J177" i="25" a="1"/>
  <c r="L99" i="25" a="1"/>
  <c r="I164" i="25" a="1"/>
  <c r="L146" i="25" a="1"/>
  <c r="E82" i="25" a="1"/>
  <c r="E71" i="25" a="1"/>
  <c r="F61" i="25" a="1"/>
  <c r="F130" i="25" a="1"/>
  <c r="L102" i="25" a="1"/>
  <c r="G47" i="25" a="1"/>
  <c r="F64" i="25" a="1"/>
  <c r="L186" i="25" a="1"/>
  <c r="F185" i="25" a="1"/>
  <c r="G36" i="25" l="1"/>
  <c r="J36" i="25"/>
  <c r="I36" i="25"/>
  <c r="K36" i="25"/>
  <c r="H36" i="25"/>
  <c r="F36" i="25"/>
  <c r="L36" i="25"/>
  <c r="E36" i="25"/>
  <c r="M36" i="25" s="1"/>
  <c r="J54" i="25"/>
  <c r="K54" i="25"/>
  <c r="G54" i="25"/>
  <c r="E54" i="25"/>
  <c r="M54" i="25" s="1"/>
  <c r="I54" i="25"/>
  <c r="F54" i="25"/>
  <c r="L54" i="25"/>
  <c r="H54" i="25"/>
  <c r="L187" i="25"/>
  <c r="K187" i="25"/>
  <c r="G187" i="25"/>
  <c r="J187" i="25"/>
  <c r="H187" i="25"/>
  <c r="I187" i="25"/>
  <c r="E187" i="25"/>
  <c r="M187" i="25" s="1"/>
  <c r="F187" i="25"/>
  <c r="F9" i="25"/>
  <c r="L9" i="25"/>
  <c r="N9" i="25"/>
  <c r="K9" i="25"/>
  <c r="G9" i="25"/>
  <c r="I9" i="25"/>
  <c r="P9" i="25"/>
  <c r="H9" i="25"/>
  <c r="J9" i="25"/>
  <c r="E9" i="25"/>
  <c r="O9" i="25"/>
  <c r="H57" i="25"/>
  <c r="E57" i="25"/>
  <c r="M57" i="25" s="1"/>
  <c r="J57" i="25"/>
  <c r="G57" i="25"/>
  <c r="I57" i="25"/>
  <c r="K57" i="25"/>
  <c r="L57" i="25"/>
  <c r="F57" i="25"/>
  <c r="L88" i="25"/>
  <c r="G88" i="25"/>
  <c r="H88" i="25"/>
  <c r="K88" i="25"/>
  <c r="J88" i="25"/>
  <c r="F88" i="25"/>
  <c r="E88" i="25"/>
  <c r="M88" i="25" s="1"/>
  <c r="I88" i="25"/>
  <c r="J110" i="25"/>
  <c r="G110" i="25"/>
  <c r="F110" i="25"/>
  <c r="E110" i="25"/>
  <c r="M110" i="25" s="1"/>
  <c r="I110" i="25"/>
  <c r="K110" i="25"/>
  <c r="H110" i="25"/>
  <c r="L110" i="25"/>
  <c r="H161" i="25"/>
  <c r="G161" i="25"/>
  <c r="E161" i="25"/>
  <c r="M161" i="25" s="1"/>
  <c r="I161" i="25"/>
  <c r="K161" i="25"/>
  <c r="F161" i="25"/>
  <c r="J161" i="25"/>
  <c r="L161" i="25"/>
  <c r="I148" i="25"/>
  <c r="L148" i="25"/>
  <c r="E148" i="25"/>
  <c r="M148" i="25" s="1"/>
  <c r="F148" i="25"/>
  <c r="H148" i="25"/>
  <c r="G148" i="25"/>
  <c r="J148" i="25"/>
  <c r="K148" i="25"/>
  <c r="K70" i="25"/>
  <c r="J70" i="25"/>
  <c r="F70" i="25"/>
  <c r="E70" i="25"/>
  <c r="M70" i="25" s="1"/>
  <c r="G70" i="25"/>
  <c r="I70" i="25"/>
  <c r="L70" i="25"/>
  <c r="H70" i="25"/>
  <c r="I142" i="25"/>
  <c r="F142" i="25"/>
  <c r="E142" i="25"/>
  <c r="M142" i="25" s="1"/>
  <c r="J142" i="25"/>
  <c r="L142" i="25"/>
  <c r="H142" i="25"/>
  <c r="G142" i="25"/>
  <c r="K142" i="25"/>
  <c r="H74" i="25"/>
  <c r="I74" i="25"/>
  <c r="F74" i="25"/>
  <c r="J74" i="25"/>
  <c r="L74" i="25"/>
  <c r="G74" i="25"/>
  <c r="E74" i="25"/>
  <c r="M74" i="25" s="1"/>
  <c r="K74" i="25"/>
  <c r="G93" i="25"/>
  <c r="E93" i="25"/>
  <c r="M93" i="25" s="1"/>
  <c r="F93" i="25"/>
  <c r="H93" i="25"/>
  <c r="J93" i="25"/>
  <c r="I93" i="25"/>
  <c r="K93" i="25"/>
  <c r="L93" i="25"/>
  <c r="G185" i="25"/>
  <c r="J185" i="25"/>
  <c r="I185" i="25"/>
  <c r="K185" i="25"/>
  <c r="F185" i="25"/>
  <c r="E185" i="25"/>
  <c r="M185" i="25" s="1"/>
  <c r="H185" i="25"/>
  <c r="L185" i="25"/>
  <c r="H48" i="25"/>
  <c r="J48" i="25"/>
  <c r="G48" i="25"/>
  <c r="L48" i="25"/>
  <c r="F48" i="25"/>
  <c r="I48" i="25"/>
  <c r="E48" i="25"/>
  <c r="M48" i="25" s="1"/>
  <c r="K48" i="25"/>
  <c r="L47" i="25"/>
  <c r="G47" i="25"/>
  <c r="K47" i="25"/>
  <c r="H47" i="25"/>
  <c r="J47" i="25"/>
  <c r="F47" i="25"/>
  <c r="E47" i="25"/>
  <c r="M47" i="25" s="1"/>
  <c r="I47" i="25"/>
  <c r="F84" i="25"/>
  <c r="J84" i="25"/>
  <c r="L84" i="25"/>
  <c r="H84" i="25"/>
  <c r="E84" i="25"/>
  <c r="M84" i="25" s="1"/>
  <c r="G84" i="25"/>
  <c r="I84" i="25"/>
  <c r="K84" i="25"/>
  <c r="F52" i="25"/>
  <c r="H52" i="25"/>
  <c r="I52" i="25"/>
  <c r="L52" i="25"/>
  <c r="E52" i="25"/>
  <c r="M52" i="25" s="1"/>
  <c r="K52" i="25"/>
  <c r="J52" i="25"/>
  <c r="G52" i="25"/>
  <c r="K91" i="25"/>
  <c r="I91" i="25"/>
  <c r="F91" i="25"/>
  <c r="G91" i="25"/>
  <c r="H91" i="25"/>
  <c r="E91" i="25"/>
  <c r="M91" i="25" s="1"/>
  <c r="L91" i="25"/>
  <c r="J91" i="25"/>
  <c r="J133" i="25"/>
  <c r="H133" i="25"/>
  <c r="G133" i="25"/>
  <c r="K133" i="25"/>
  <c r="I133" i="25"/>
  <c r="L133" i="25"/>
  <c r="F133" i="25"/>
  <c r="E133" i="25"/>
  <c r="M133" i="25" s="1"/>
  <c r="E69" i="25"/>
  <c r="M69" i="25" s="1"/>
  <c r="L69" i="25"/>
  <c r="I69" i="25"/>
  <c r="K69" i="25"/>
  <c r="H69" i="25"/>
  <c r="G69" i="25"/>
  <c r="F69" i="25"/>
  <c r="J69" i="25"/>
  <c r="E89" i="25"/>
  <c r="M89" i="25" s="1"/>
  <c r="I89" i="25"/>
  <c r="F89" i="25"/>
  <c r="K89" i="25"/>
  <c r="J89" i="25"/>
  <c r="G89" i="25"/>
  <c r="L89" i="25"/>
  <c r="H89" i="25"/>
  <c r="J146" i="25"/>
  <c r="F146" i="25"/>
  <c r="K146" i="25"/>
  <c r="G146" i="25"/>
  <c r="L146" i="25"/>
  <c r="H146" i="25"/>
  <c r="E146" i="25"/>
  <c r="M146" i="25" s="1"/>
  <c r="I146" i="25"/>
  <c r="F155" i="25"/>
  <c r="L155" i="25"/>
  <c r="K155" i="25"/>
  <c r="J155" i="25"/>
  <c r="G155" i="25"/>
  <c r="H155" i="25"/>
  <c r="E155" i="25"/>
  <c r="M155" i="25" s="1"/>
  <c r="I155" i="25"/>
  <c r="E62" i="25"/>
  <c r="M62" i="25" s="1"/>
  <c r="J62" i="25"/>
  <c r="L62" i="25"/>
  <c r="I62" i="25"/>
  <c r="K62" i="25"/>
  <c r="F62" i="25"/>
  <c r="H62" i="25"/>
  <c r="G62" i="25"/>
  <c r="L152" i="25"/>
  <c r="I152" i="25"/>
  <c r="F152" i="25"/>
  <c r="J152" i="25"/>
  <c r="H152" i="25"/>
  <c r="E152" i="25"/>
  <c r="M152" i="25" s="1"/>
  <c r="G152" i="25"/>
  <c r="K152" i="25"/>
  <c r="F40" i="25"/>
  <c r="I40" i="25"/>
  <c r="L40" i="25"/>
  <c r="K40" i="25"/>
  <c r="J40" i="25"/>
  <c r="E40" i="25"/>
  <c r="M40" i="25" s="1"/>
  <c r="G40" i="25"/>
  <c r="H40" i="25"/>
  <c r="K184" i="25"/>
  <c r="I184" i="25"/>
  <c r="F184" i="25"/>
  <c r="J184" i="25"/>
  <c r="E184" i="25"/>
  <c r="M184" i="25" s="1"/>
  <c r="G184" i="25"/>
  <c r="L184" i="25"/>
  <c r="H184" i="25"/>
  <c r="E189" i="25"/>
  <c r="M189" i="25" s="1"/>
  <c r="H189" i="25"/>
  <c r="F189" i="25"/>
  <c r="L189" i="25"/>
  <c r="J189" i="25"/>
  <c r="G189" i="25"/>
  <c r="K189" i="25"/>
  <c r="I189" i="25"/>
  <c r="H107" i="25"/>
  <c r="G107" i="25"/>
  <c r="K107" i="25"/>
  <c r="L107" i="25"/>
  <c r="I107" i="25"/>
  <c r="F107" i="25"/>
  <c r="E107" i="25"/>
  <c r="M107" i="25" s="1"/>
  <c r="J107" i="25"/>
  <c r="J175" i="25"/>
  <c r="K175" i="25"/>
  <c r="E175" i="25"/>
  <c r="M175" i="25" s="1"/>
  <c r="I175" i="25"/>
  <c r="G175" i="25"/>
  <c r="L175" i="25"/>
  <c r="F175" i="25"/>
  <c r="H175" i="25"/>
  <c r="H178" i="25"/>
  <c r="E178" i="25"/>
  <c r="M178" i="25" s="1"/>
  <c r="L178" i="25"/>
  <c r="K178" i="25"/>
  <c r="J178" i="25"/>
  <c r="G178" i="25"/>
  <c r="F178" i="25"/>
  <c r="I178" i="25"/>
  <c r="J190" i="25"/>
  <c r="I190" i="25"/>
  <c r="H190" i="25"/>
  <c r="L190" i="25"/>
  <c r="K190" i="25"/>
  <c r="F190" i="25"/>
  <c r="G190" i="25"/>
  <c r="E190" i="25"/>
  <c r="M190" i="25" s="1"/>
  <c r="E166" i="12"/>
  <c r="J116" i="25"/>
  <c r="E116" i="25"/>
  <c r="M116" i="25" s="1"/>
  <c r="L116" i="25"/>
  <c r="G116" i="25"/>
  <c r="F116" i="25"/>
  <c r="K116" i="25"/>
  <c r="H116" i="25"/>
  <c r="I116" i="25"/>
  <c r="K41" i="25"/>
  <c r="J41" i="25"/>
  <c r="F41" i="25"/>
  <c r="H41" i="25"/>
  <c r="E41" i="25"/>
  <c r="M41" i="25" s="1"/>
  <c r="L41" i="25"/>
  <c r="G41" i="25"/>
  <c r="I41" i="25"/>
  <c r="G154" i="25"/>
  <c r="L154" i="25"/>
  <c r="F154" i="25"/>
  <c r="H154" i="25"/>
  <c r="I154" i="25"/>
  <c r="E154" i="25"/>
  <c r="M154" i="25" s="1"/>
  <c r="J154" i="25"/>
  <c r="K154" i="25"/>
  <c r="H143" i="25"/>
  <c r="G143" i="25"/>
  <c r="E143" i="25"/>
  <c r="M143" i="25" s="1"/>
  <c r="J143" i="25"/>
  <c r="F143" i="25"/>
  <c r="L143" i="25"/>
  <c r="K143" i="25"/>
  <c r="I143" i="25"/>
  <c r="G157" i="25"/>
  <c r="H157" i="25"/>
  <c r="I157" i="25"/>
  <c r="K157" i="25"/>
  <c r="E157" i="25"/>
  <c r="M157" i="25" s="1"/>
  <c r="L157" i="25"/>
  <c r="J157" i="25"/>
  <c r="F157" i="25"/>
  <c r="K141" i="25"/>
  <c r="I141" i="25"/>
  <c r="H141" i="25"/>
  <c r="F141" i="25"/>
  <c r="E141" i="25"/>
  <c r="M141" i="25" s="1"/>
  <c r="G141" i="25"/>
  <c r="L141" i="25"/>
  <c r="J141" i="25"/>
  <c r="F130" i="25"/>
  <c r="K130" i="25"/>
  <c r="J130" i="25"/>
  <c r="E130" i="25"/>
  <c r="M130" i="25" s="1"/>
  <c r="L130" i="25"/>
  <c r="G130" i="25"/>
  <c r="I130" i="25"/>
  <c r="H130" i="25"/>
  <c r="E164" i="25"/>
  <c r="M164" i="25" s="1"/>
  <c r="H164" i="25"/>
  <c r="J164" i="25"/>
  <c r="G164" i="25"/>
  <c r="I164" i="25"/>
  <c r="K164" i="25"/>
  <c r="F164" i="25"/>
  <c r="L164" i="25"/>
  <c r="E126" i="25"/>
  <c r="M126" i="25" s="1"/>
  <c r="K126" i="25"/>
  <c r="H126" i="25"/>
  <c r="L126" i="25"/>
  <c r="I126" i="25"/>
  <c r="J126" i="25"/>
  <c r="G126" i="25"/>
  <c r="F126" i="25"/>
  <c r="J94" i="25"/>
  <c r="K94" i="25"/>
  <c r="I94" i="25"/>
  <c r="L94" i="25"/>
  <c r="F94" i="25"/>
  <c r="G94" i="25"/>
  <c r="E94" i="25"/>
  <c r="M94" i="25" s="1"/>
  <c r="H94" i="25"/>
  <c r="K168" i="25"/>
  <c r="J168" i="25"/>
  <c r="F168" i="25"/>
  <c r="L168" i="25"/>
  <c r="G168" i="25"/>
  <c r="I168" i="25"/>
  <c r="H168" i="25"/>
  <c r="E168" i="25"/>
  <c r="M168" i="25" s="1"/>
  <c r="K77" i="25"/>
  <c r="J77" i="25"/>
  <c r="F77" i="25"/>
  <c r="E77" i="25"/>
  <c r="M77" i="25" s="1"/>
  <c r="L77" i="25"/>
  <c r="H77" i="25"/>
  <c r="G77" i="25"/>
  <c r="I77" i="25"/>
  <c r="K195" i="25"/>
  <c r="G195" i="25"/>
  <c r="J195" i="25"/>
  <c r="F195" i="25"/>
  <c r="I195" i="25"/>
  <c r="E195" i="25"/>
  <c r="M195" i="25" s="1"/>
  <c r="L195" i="25"/>
  <c r="H195" i="25"/>
  <c r="E105" i="12"/>
  <c r="L120" i="25"/>
  <c r="H120" i="25"/>
  <c r="E120" i="25"/>
  <c r="M120" i="25" s="1"/>
  <c r="F120" i="25"/>
  <c r="I120" i="25"/>
  <c r="K120" i="25"/>
  <c r="J120" i="25"/>
  <c r="G120" i="25"/>
  <c r="G58" i="25"/>
  <c r="J58" i="25"/>
  <c r="K58" i="25"/>
  <c r="I58" i="25"/>
  <c r="L58" i="25"/>
  <c r="H58" i="25"/>
  <c r="F58" i="25"/>
  <c r="E58" i="25"/>
  <c r="M58" i="25" s="1"/>
  <c r="K37" i="25"/>
  <c r="E37" i="25"/>
  <c r="M37" i="25" s="1"/>
  <c r="I37" i="25"/>
  <c r="L37" i="25"/>
  <c r="H37" i="25"/>
  <c r="F37" i="25"/>
  <c r="G37" i="25"/>
  <c r="J37" i="25"/>
  <c r="G97" i="25"/>
  <c r="I97" i="25"/>
  <c r="H97" i="25"/>
  <c r="E97" i="25"/>
  <c r="M97" i="25" s="1"/>
  <c r="F97" i="25"/>
  <c r="J97" i="25"/>
  <c r="L97" i="25"/>
  <c r="K97" i="25"/>
  <c r="F55" i="25"/>
  <c r="H55" i="25"/>
  <c r="G55" i="25"/>
  <c r="E55" i="25"/>
  <c r="M55" i="25" s="1"/>
  <c r="I55" i="25"/>
  <c r="L55" i="25"/>
  <c r="J55" i="25"/>
  <c r="K55" i="25"/>
  <c r="K182" i="25"/>
  <c r="F182" i="25"/>
  <c r="H182" i="25"/>
  <c r="I182" i="25"/>
  <c r="L182" i="25"/>
  <c r="G182" i="25"/>
  <c r="J182" i="25"/>
  <c r="E182" i="25"/>
  <c r="M182" i="25" s="1"/>
  <c r="K151" i="25"/>
  <c r="F151" i="25"/>
  <c r="E151" i="25"/>
  <c r="M151" i="25" s="1"/>
  <c r="I151" i="25"/>
  <c r="L151" i="25"/>
  <c r="H151" i="25"/>
  <c r="G151" i="25"/>
  <c r="J151" i="25"/>
  <c r="H87" i="25"/>
  <c r="K87" i="25"/>
  <c r="E87" i="25"/>
  <c r="M87" i="25" s="1"/>
  <c r="G87" i="25"/>
  <c r="L87" i="25"/>
  <c r="F87" i="25"/>
  <c r="I87" i="25"/>
  <c r="J87" i="25"/>
  <c r="K103" i="25"/>
  <c r="E103" i="25"/>
  <c r="M103" i="25" s="1"/>
  <c r="H103" i="25"/>
  <c r="L103" i="25"/>
  <c r="G103" i="25"/>
  <c r="I103" i="25"/>
  <c r="F103" i="25"/>
  <c r="J103" i="25"/>
  <c r="J196" i="25"/>
  <c r="K196" i="25"/>
  <c r="L196" i="25"/>
  <c r="I196" i="25"/>
  <c r="H196" i="25"/>
  <c r="E196" i="25"/>
  <c r="M196" i="25" s="1"/>
  <c r="F196" i="25"/>
  <c r="G196" i="25"/>
  <c r="J117" i="25"/>
  <c r="H117" i="25"/>
  <c r="G117" i="25"/>
  <c r="L117" i="25"/>
  <c r="K117" i="25"/>
  <c r="E117" i="25"/>
  <c r="M117" i="25" s="1"/>
  <c r="F117" i="25"/>
  <c r="I117" i="25"/>
  <c r="L78" i="25"/>
  <c r="J78" i="25"/>
  <c r="G78" i="25"/>
  <c r="K78" i="25"/>
  <c r="F78" i="25"/>
  <c r="I78" i="25"/>
  <c r="E78" i="25"/>
  <c r="M78" i="25" s="1"/>
  <c r="H78" i="25"/>
  <c r="H56" i="25"/>
  <c r="I56" i="25"/>
  <c r="J56" i="25"/>
  <c r="G56" i="25"/>
  <c r="F56" i="25"/>
  <c r="K56" i="25"/>
  <c r="E56" i="25"/>
  <c r="M56" i="25" s="1"/>
  <c r="L56" i="25"/>
  <c r="K173" i="25"/>
  <c r="F173" i="25"/>
  <c r="L173" i="25"/>
  <c r="I173" i="25"/>
  <c r="G173" i="25"/>
  <c r="H173" i="25"/>
  <c r="J173" i="25"/>
  <c r="E173" i="25"/>
  <c r="M173" i="25" s="1"/>
  <c r="L76" i="25"/>
  <c r="E76" i="25"/>
  <c r="M76" i="25" s="1"/>
  <c r="I76" i="25"/>
  <c r="J76" i="25"/>
  <c r="G76" i="25"/>
  <c r="H76" i="25"/>
  <c r="F76" i="25"/>
  <c r="K76" i="25"/>
  <c r="J180" i="25"/>
  <c r="E180" i="25"/>
  <c r="M180" i="25" s="1"/>
  <c r="K180" i="25"/>
  <c r="G180" i="25"/>
  <c r="L180" i="25"/>
  <c r="F180" i="25"/>
  <c r="I180" i="25"/>
  <c r="H180" i="25"/>
  <c r="J131" i="25"/>
  <c r="L131" i="25"/>
  <c r="H131" i="25"/>
  <c r="K131" i="25"/>
  <c r="I131" i="25"/>
  <c r="G131" i="25"/>
  <c r="E131" i="25"/>
  <c r="M131" i="25" s="1"/>
  <c r="F131" i="25"/>
  <c r="L159" i="25"/>
  <c r="H159" i="25"/>
  <c r="J159" i="25"/>
  <c r="F159" i="25"/>
  <c r="K159" i="25"/>
  <c r="I159" i="25"/>
  <c r="G159" i="25"/>
  <c r="E159" i="25"/>
  <c r="M159" i="25" s="1"/>
  <c r="G114" i="25"/>
  <c r="I114" i="25"/>
  <c r="J114" i="25"/>
  <c r="E114" i="25"/>
  <c r="M114" i="25" s="1"/>
  <c r="K114" i="25"/>
  <c r="L114" i="25"/>
  <c r="F114" i="25"/>
  <c r="H114" i="25"/>
  <c r="E100" i="25"/>
  <c r="M100" i="25" s="1"/>
  <c r="K100" i="25"/>
  <c r="F100" i="25"/>
  <c r="L100" i="25"/>
  <c r="I100" i="25"/>
  <c r="J100" i="25"/>
  <c r="H100" i="25"/>
  <c r="G100" i="25"/>
  <c r="F200" i="25"/>
  <c r="J200" i="25"/>
  <c r="L200" i="25"/>
  <c r="G200" i="25"/>
  <c r="K200" i="25"/>
  <c r="E200" i="25"/>
  <c r="M200" i="25" s="1"/>
  <c r="H200" i="25"/>
  <c r="I200" i="25"/>
  <c r="G45" i="25"/>
  <c r="J45" i="25"/>
  <c r="L45" i="25"/>
  <c r="I45" i="25"/>
  <c r="H45" i="25"/>
  <c r="F45" i="25"/>
  <c r="K45" i="25"/>
  <c r="E45" i="25"/>
  <c r="M45" i="25" s="1"/>
  <c r="G174" i="25"/>
  <c r="J174" i="25"/>
  <c r="E174" i="25"/>
  <c r="M174" i="25" s="1"/>
  <c r="K174" i="25"/>
  <c r="H174" i="25"/>
  <c r="L174" i="25"/>
  <c r="I174" i="25"/>
  <c r="F174" i="25"/>
  <c r="H149" i="25"/>
  <c r="F149" i="25"/>
  <c r="J149" i="25"/>
  <c r="E149" i="25"/>
  <c r="M149" i="25" s="1"/>
  <c r="G149" i="25"/>
  <c r="K149" i="25"/>
  <c r="I149" i="25"/>
  <c r="L149" i="25"/>
  <c r="E124" i="25"/>
  <c r="M124" i="25" s="1"/>
  <c r="H124" i="25"/>
  <c r="G124" i="25"/>
  <c r="I124" i="25"/>
  <c r="K124" i="25"/>
  <c r="J124" i="25"/>
  <c r="F124" i="25"/>
  <c r="L124" i="25"/>
  <c r="G111" i="25"/>
  <c r="J111" i="25"/>
  <c r="L111" i="25"/>
  <c r="K111" i="25"/>
  <c r="F111" i="25"/>
  <c r="I111" i="25"/>
  <c r="H111" i="25"/>
  <c r="E111" i="25"/>
  <c r="M111" i="25" s="1"/>
  <c r="E71" i="25"/>
  <c r="M71" i="25" s="1"/>
  <c r="K71" i="25"/>
  <c r="J71" i="25"/>
  <c r="I71" i="25"/>
  <c r="L71" i="25"/>
  <c r="H71" i="25"/>
  <c r="G71" i="25"/>
  <c r="F71" i="25"/>
  <c r="E198" i="25"/>
  <c r="M198" i="25" s="1"/>
  <c r="G198" i="25"/>
  <c r="J198" i="25"/>
  <c r="L198" i="25"/>
  <c r="K198" i="25"/>
  <c r="H198" i="25"/>
  <c r="F198" i="25"/>
  <c r="I198" i="25"/>
  <c r="H139" i="25"/>
  <c r="G139" i="25"/>
  <c r="L139" i="25"/>
  <c r="K139" i="25"/>
  <c r="E139" i="25"/>
  <c r="M139" i="25" s="1"/>
  <c r="J139" i="25"/>
  <c r="F139" i="25"/>
  <c r="I139" i="25"/>
  <c r="G80" i="25"/>
  <c r="H80" i="25"/>
  <c r="I80" i="25"/>
  <c r="L80" i="25"/>
  <c r="F80" i="25"/>
  <c r="K80" i="25"/>
  <c r="E80" i="25"/>
  <c r="M80" i="25" s="1"/>
  <c r="J80" i="25"/>
  <c r="J165" i="25"/>
  <c r="L165" i="25"/>
  <c r="E165" i="25"/>
  <c r="M165" i="25" s="1"/>
  <c r="G165" i="25"/>
  <c r="H165" i="25"/>
  <c r="K165" i="25"/>
  <c r="F165" i="25"/>
  <c r="I165" i="25"/>
  <c r="E171" i="25"/>
  <c r="M171" i="25" s="1"/>
  <c r="K171" i="25"/>
  <c r="J171" i="25"/>
  <c r="F171" i="25"/>
  <c r="G171" i="25"/>
  <c r="L171" i="25"/>
  <c r="I171" i="25"/>
  <c r="H171" i="25"/>
  <c r="F44" i="25"/>
  <c r="H44" i="25"/>
  <c r="I44" i="25"/>
  <c r="J44" i="25"/>
  <c r="L44" i="25"/>
  <c r="E44" i="25"/>
  <c r="M44" i="25" s="1"/>
  <c r="K44" i="25"/>
  <c r="G44" i="25"/>
  <c r="E193" i="25"/>
  <c r="M193" i="25" s="1"/>
  <c r="I193" i="25"/>
  <c r="J193" i="25"/>
  <c r="K193" i="25"/>
  <c r="H193" i="25"/>
  <c r="L193" i="25"/>
  <c r="G193" i="25"/>
  <c r="F193" i="25"/>
  <c r="I129" i="25"/>
  <c r="G129" i="25"/>
  <c r="L129" i="25"/>
  <c r="F129" i="25"/>
  <c r="E129" i="25"/>
  <c r="M129" i="25" s="1"/>
  <c r="H129" i="25"/>
  <c r="J129" i="25"/>
  <c r="K129" i="25"/>
  <c r="K106" i="25"/>
  <c r="I106" i="25"/>
  <c r="F106" i="25"/>
  <c r="E106" i="25"/>
  <c r="M106" i="25" s="1"/>
  <c r="H106" i="25"/>
  <c r="L106" i="25"/>
  <c r="G106" i="25"/>
  <c r="J106" i="25"/>
  <c r="L172" i="25"/>
  <c r="H172" i="25"/>
  <c r="K172" i="25"/>
  <c r="I172" i="25"/>
  <c r="F172" i="25"/>
  <c r="G172" i="25"/>
  <c r="E172" i="25"/>
  <c r="M172" i="25" s="1"/>
  <c r="J172" i="25"/>
  <c r="E99" i="25"/>
  <c r="M99" i="25" s="1"/>
  <c r="F99" i="25"/>
  <c r="I99" i="25"/>
  <c r="H99" i="25"/>
  <c r="G99" i="25"/>
  <c r="J99" i="25"/>
  <c r="K99" i="25"/>
  <c r="L99" i="25"/>
  <c r="K181" i="25"/>
  <c r="H181" i="25"/>
  <c r="I181" i="25"/>
  <c r="G181" i="25"/>
  <c r="J181" i="25"/>
  <c r="E181" i="25"/>
  <c r="M181" i="25" s="1"/>
  <c r="F181" i="25"/>
  <c r="L181" i="25"/>
  <c r="H138" i="25"/>
  <c r="I138" i="25"/>
  <c r="L138" i="25"/>
  <c r="K138" i="25"/>
  <c r="E138" i="25"/>
  <c r="M138" i="25" s="1"/>
  <c r="J138" i="25"/>
  <c r="G138" i="25"/>
  <c r="F138" i="25"/>
  <c r="H46" i="25"/>
  <c r="E46" i="25"/>
  <c r="M46" i="25" s="1"/>
  <c r="F46" i="25"/>
  <c r="K46" i="25"/>
  <c r="I46" i="25"/>
  <c r="L46" i="25"/>
  <c r="J46" i="25"/>
  <c r="G46" i="25"/>
  <c r="F191" i="25"/>
  <c r="J191" i="25"/>
  <c r="K191" i="25"/>
  <c r="G191" i="25"/>
  <c r="E191" i="25"/>
  <c r="M191" i="25" s="1"/>
  <c r="L191" i="25"/>
  <c r="H191" i="25"/>
  <c r="I191" i="25"/>
  <c r="L38" i="25"/>
  <c r="J38" i="25"/>
  <c r="H38" i="25"/>
  <c r="K38" i="25"/>
  <c r="I38" i="25"/>
  <c r="G38" i="25"/>
  <c r="F38" i="25"/>
  <c r="E38" i="25"/>
  <c r="M38" i="25" s="1"/>
  <c r="K90" i="25"/>
  <c r="L90" i="25"/>
  <c r="J90" i="25"/>
  <c r="H90" i="25"/>
  <c r="G90" i="25"/>
  <c r="F90" i="25"/>
  <c r="E90" i="25"/>
  <c r="M90" i="25" s="1"/>
  <c r="I90" i="25"/>
  <c r="F64" i="25"/>
  <c r="I64" i="25"/>
  <c r="K64" i="25"/>
  <c r="H64" i="25"/>
  <c r="J64" i="25"/>
  <c r="G64" i="25"/>
  <c r="E64" i="25"/>
  <c r="M64" i="25" s="1"/>
  <c r="L64" i="25"/>
  <c r="I49" i="25"/>
  <c r="F49" i="25"/>
  <c r="E49" i="25"/>
  <c r="M49" i="25" s="1"/>
  <c r="G49" i="25"/>
  <c r="J49" i="25"/>
  <c r="L49" i="25"/>
  <c r="H49" i="25"/>
  <c r="K49" i="25"/>
  <c r="E188" i="25"/>
  <c r="M188" i="25" s="1"/>
  <c r="J188" i="25"/>
  <c r="G188" i="25"/>
  <c r="K188" i="25"/>
  <c r="H188" i="25"/>
  <c r="L188" i="25"/>
  <c r="I188" i="25"/>
  <c r="F188" i="25"/>
  <c r="E72" i="25"/>
  <c r="M72" i="25" s="1"/>
  <c r="I72" i="25"/>
  <c r="H72" i="25"/>
  <c r="K72" i="25"/>
  <c r="F72" i="25"/>
  <c r="G72" i="25"/>
  <c r="L72" i="25"/>
  <c r="J72" i="25"/>
  <c r="J135" i="25"/>
  <c r="G135" i="25"/>
  <c r="I135" i="25"/>
  <c r="H135" i="25"/>
  <c r="E135" i="25"/>
  <c r="M135" i="25" s="1"/>
  <c r="K135" i="25"/>
  <c r="L135" i="25"/>
  <c r="F135" i="25"/>
  <c r="E67" i="25"/>
  <c r="M67" i="25" s="1"/>
  <c r="F67" i="25"/>
  <c r="H67" i="25"/>
  <c r="I67" i="25"/>
  <c r="J67" i="25"/>
  <c r="G67" i="25"/>
  <c r="K67" i="25"/>
  <c r="L67" i="25"/>
  <c r="E132" i="25"/>
  <c r="M132" i="25" s="1"/>
  <c r="I132" i="25"/>
  <c r="J132" i="25"/>
  <c r="H132" i="25"/>
  <c r="K132" i="25"/>
  <c r="L132" i="25"/>
  <c r="F132" i="25"/>
  <c r="G132" i="25"/>
  <c r="H192" i="25"/>
  <c r="K192" i="25"/>
  <c r="F192" i="25"/>
  <c r="E192" i="25"/>
  <c r="M192" i="25" s="1"/>
  <c r="G192" i="25"/>
  <c r="I192" i="25"/>
  <c r="L192" i="25"/>
  <c r="J192" i="25"/>
  <c r="L59" i="25"/>
  <c r="G59" i="25"/>
  <c r="H59" i="25"/>
  <c r="K59" i="25"/>
  <c r="E59" i="25"/>
  <c r="M59" i="25" s="1"/>
  <c r="F59" i="25"/>
  <c r="J59" i="25"/>
  <c r="I59" i="25"/>
  <c r="J42" i="25"/>
  <c r="I42" i="25"/>
  <c r="L42" i="25"/>
  <c r="H42" i="25"/>
  <c r="F42" i="25"/>
  <c r="G42" i="25"/>
  <c r="E42" i="25"/>
  <c r="M42" i="25" s="1"/>
  <c r="K42" i="25"/>
  <c r="E115" i="25"/>
  <c r="M115" i="25" s="1"/>
  <c r="F115" i="25"/>
  <c r="H115" i="25"/>
  <c r="I115" i="25"/>
  <c r="G115" i="25"/>
  <c r="K115" i="25"/>
  <c r="L115" i="25"/>
  <c r="J115" i="25"/>
  <c r="I160" i="25"/>
  <c r="F160" i="25"/>
  <c r="L160" i="25"/>
  <c r="E160" i="25"/>
  <c r="M160" i="25" s="1"/>
  <c r="K160" i="25"/>
  <c r="G160" i="25"/>
  <c r="H160" i="25"/>
  <c r="J160" i="25"/>
  <c r="E108" i="12"/>
  <c r="H101" i="25"/>
  <c r="K101" i="25"/>
  <c r="L101" i="25"/>
  <c r="I101" i="25"/>
  <c r="E101" i="25"/>
  <c r="M101" i="25" s="1"/>
  <c r="F101" i="25"/>
  <c r="G101" i="25"/>
  <c r="J101" i="25"/>
  <c r="K170" i="25"/>
  <c r="F170" i="25"/>
  <c r="H170" i="25"/>
  <c r="I170" i="25"/>
  <c r="L170" i="25"/>
  <c r="J170" i="25"/>
  <c r="E170" i="25"/>
  <c r="M170" i="25" s="1"/>
  <c r="G170" i="25"/>
  <c r="L123" i="25"/>
  <c r="I123" i="25"/>
  <c r="H123" i="25"/>
  <c r="E123" i="25"/>
  <c r="M123" i="25" s="1"/>
  <c r="K123" i="25"/>
  <c r="F123" i="25"/>
  <c r="G123" i="25"/>
  <c r="J123" i="25"/>
  <c r="G153" i="25"/>
  <c r="E153" i="25"/>
  <c r="M153" i="25" s="1"/>
  <c r="J153" i="25"/>
  <c r="H153" i="25"/>
  <c r="F153" i="25"/>
  <c r="L153" i="25"/>
  <c r="I153" i="25"/>
  <c r="K153" i="25"/>
  <c r="E158" i="25"/>
  <c r="M158" i="25" s="1"/>
  <c r="J158" i="25"/>
  <c r="L158" i="25"/>
  <c r="G158" i="25"/>
  <c r="F158" i="25"/>
  <c r="H158" i="25"/>
  <c r="I158" i="25"/>
  <c r="K158" i="25"/>
  <c r="E92" i="25"/>
  <c r="M92" i="25" s="1"/>
  <c r="G92" i="25"/>
  <c r="H92" i="25"/>
  <c r="F92" i="25"/>
  <c r="J92" i="25"/>
  <c r="L92" i="25"/>
  <c r="I92" i="25"/>
  <c r="K92" i="25"/>
  <c r="K194" i="25"/>
  <c r="E194" i="25"/>
  <c r="M194" i="25" s="1"/>
  <c r="I194" i="25"/>
  <c r="L194" i="25"/>
  <c r="J194" i="25"/>
  <c r="H194" i="25"/>
  <c r="G194" i="25"/>
  <c r="F194" i="25"/>
  <c r="I125" i="25"/>
  <c r="L125" i="25"/>
  <c r="H125" i="25"/>
  <c r="J125" i="25"/>
  <c r="K125" i="25"/>
  <c r="F125" i="25"/>
  <c r="E125" i="25"/>
  <c r="M125" i="25" s="1"/>
  <c r="G125" i="25"/>
  <c r="K183" i="25"/>
  <c r="J183" i="25"/>
  <c r="L183" i="25"/>
  <c r="G183" i="25"/>
  <c r="E183" i="25"/>
  <c r="M183" i="25" s="1"/>
  <c r="I183" i="25"/>
  <c r="F183" i="25"/>
  <c r="H183" i="25"/>
  <c r="F136" i="25"/>
  <c r="K136" i="25"/>
  <c r="J136" i="25"/>
  <c r="E136" i="25"/>
  <c r="M136" i="25" s="1"/>
  <c r="H136" i="25"/>
  <c r="G136" i="25"/>
  <c r="L136" i="25"/>
  <c r="I136" i="25"/>
  <c r="L96" i="25"/>
  <c r="E96" i="25"/>
  <c r="M96" i="25" s="1"/>
  <c r="K96" i="25"/>
  <c r="J96" i="25"/>
  <c r="I96" i="25"/>
  <c r="F96" i="25"/>
  <c r="H96" i="25"/>
  <c r="G96" i="25"/>
  <c r="L83" i="25"/>
  <c r="J83" i="25"/>
  <c r="I83" i="25"/>
  <c r="G83" i="25"/>
  <c r="F83" i="25"/>
  <c r="H83" i="25"/>
  <c r="E83" i="25"/>
  <c r="M83" i="25" s="1"/>
  <c r="K83" i="25"/>
  <c r="I119" i="25"/>
  <c r="K119" i="25"/>
  <c r="G119" i="25"/>
  <c r="F119" i="25"/>
  <c r="J119" i="25"/>
  <c r="L119" i="25"/>
  <c r="E119" i="25"/>
  <c r="M119" i="25" s="1"/>
  <c r="H119" i="25"/>
  <c r="J82" i="25"/>
  <c r="G82" i="25"/>
  <c r="H82" i="25"/>
  <c r="E82" i="25"/>
  <c r="M82" i="25" s="1"/>
  <c r="L82" i="25"/>
  <c r="K82" i="25"/>
  <c r="F82" i="25"/>
  <c r="I82" i="25"/>
  <c r="E167" i="12"/>
  <c r="J95" i="25"/>
  <c r="G95" i="25"/>
  <c r="L95" i="25"/>
  <c r="F95" i="25"/>
  <c r="K95" i="25"/>
  <c r="I95" i="25"/>
  <c r="H95" i="25"/>
  <c r="E95" i="25"/>
  <c r="M95" i="25" s="1"/>
  <c r="L53" i="25"/>
  <c r="K53" i="25"/>
  <c r="H53" i="25"/>
  <c r="G53" i="25"/>
  <c r="J53" i="25"/>
  <c r="F53" i="25"/>
  <c r="E53" i="25"/>
  <c r="M53" i="25" s="1"/>
  <c r="I53" i="25"/>
  <c r="I75" i="25"/>
  <c r="G75" i="25"/>
  <c r="L75" i="25"/>
  <c r="J75" i="25"/>
  <c r="F75" i="25"/>
  <c r="H75" i="25"/>
  <c r="E75" i="25"/>
  <c r="M75" i="25" s="1"/>
  <c r="K75" i="25"/>
  <c r="J81" i="25"/>
  <c r="L81" i="25"/>
  <c r="K81" i="25"/>
  <c r="F81" i="25"/>
  <c r="E81" i="25"/>
  <c r="M81" i="25" s="1"/>
  <c r="G81" i="25"/>
  <c r="H81" i="25"/>
  <c r="I81" i="25"/>
  <c r="J179" i="25"/>
  <c r="G179" i="25"/>
  <c r="H179" i="25"/>
  <c r="I179" i="25"/>
  <c r="F179" i="25"/>
  <c r="E179" i="25"/>
  <c r="M179" i="25" s="1"/>
  <c r="K179" i="25"/>
  <c r="L179" i="25"/>
  <c r="J186" i="25"/>
  <c r="L186" i="25"/>
  <c r="G186" i="25"/>
  <c r="K186" i="25"/>
  <c r="E186" i="25"/>
  <c r="M186" i="25" s="1"/>
  <c r="F186" i="25"/>
  <c r="H186" i="25"/>
  <c r="I186" i="25"/>
  <c r="E102" i="25"/>
  <c r="M102" i="25" s="1"/>
  <c r="H102" i="25"/>
  <c r="K102" i="25"/>
  <c r="G102" i="25"/>
  <c r="J102" i="25"/>
  <c r="L102" i="25"/>
  <c r="I102" i="25"/>
  <c r="F102" i="25"/>
  <c r="G197" i="25"/>
  <c r="I197" i="25"/>
  <c r="E197" i="25"/>
  <c r="M197" i="25" s="1"/>
  <c r="L197" i="25"/>
  <c r="H197" i="25"/>
  <c r="K197" i="25"/>
  <c r="J197" i="25"/>
  <c r="F197" i="25"/>
  <c r="E61" i="25"/>
  <c r="M61" i="25" s="1"/>
  <c r="F61" i="25"/>
  <c r="K61" i="25"/>
  <c r="G61" i="25"/>
  <c r="I61" i="25"/>
  <c r="L61" i="25"/>
  <c r="H61" i="25"/>
  <c r="J61" i="25"/>
  <c r="K144" i="25"/>
  <c r="L144" i="25"/>
  <c r="E144" i="25"/>
  <c r="M144" i="25" s="1"/>
  <c r="J144" i="25"/>
  <c r="G144" i="25"/>
  <c r="I144" i="25"/>
  <c r="F144" i="25"/>
  <c r="H144" i="25"/>
  <c r="E101" i="12"/>
  <c r="I66" i="25"/>
  <c r="G66" i="25"/>
  <c r="E66" i="25"/>
  <c r="M66" i="25" s="1"/>
  <c r="J66" i="25"/>
  <c r="L66" i="25"/>
  <c r="H66" i="25"/>
  <c r="F66" i="25"/>
  <c r="K66" i="25"/>
  <c r="J177" i="25"/>
  <c r="K177" i="25"/>
  <c r="H177" i="25"/>
  <c r="F177" i="25"/>
  <c r="E177" i="25"/>
  <c r="M177" i="25" s="1"/>
  <c r="G177" i="25"/>
  <c r="I177" i="25"/>
  <c r="L177" i="25"/>
  <c r="I162" i="25"/>
  <c r="J162" i="25"/>
  <c r="K162" i="25"/>
  <c r="H162" i="25"/>
  <c r="G162" i="25"/>
  <c r="L162" i="25"/>
  <c r="F162" i="25"/>
  <c r="E162" i="25"/>
  <c r="M162" i="25" s="1"/>
  <c r="J166" i="25"/>
  <c r="G166" i="25"/>
  <c r="F166" i="25"/>
  <c r="E166" i="25"/>
  <c r="M166" i="25" s="1"/>
  <c r="L166" i="25"/>
  <c r="I166" i="25"/>
  <c r="H166" i="25"/>
  <c r="K166" i="25"/>
  <c r="E140" i="25"/>
  <c r="M140" i="25" s="1"/>
  <c r="K140" i="25"/>
  <c r="L140" i="25"/>
  <c r="I140" i="25"/>
  <c r="H140" i="25"/>
  <c r="J140" i="25"/>
  <c r="F140" i="25"/>
  <c r="G140" i="25"/>
  <c r="F145" i="25"/>
  <c r="J145" i="25"/>
  <c r="G145" i="25"/>
  <c r="E145" i="25"/>
  <c r="M145" i="25" s="1"/>
  <c r="L145" i="25"/>
  <c r="I145" i="25"/>
  <c r="K145" i="25"/>
  <c r="H145" i="25"/>
  <c r="H127" i="25"/>
  <c r="K127" i="25"/>
  <c r="E127" i="25"/>
  <c r="M127" i="25" s="1"/>
  <c r="G127" i="25"/>
  <c r="L127" i="25"/>
  <c r="I127" i="25"/>
  <c r="F127" i="25"/>
  <c r="J127" i="25"/>
  <c r="K108" i="25"/>
  <c r="E108" i="25"/>
  <c r="M108" i="25" s="1"/>
  <c r="L108" i="25"/>
  <c r="I108" i="25"/>
  <c r="G108" i="25"/>
  <c r="F108" i="25"/>
  <c r="J108" i="25"/>
  <c r="H108" i="25"/>
  <c r="K176" i="25"/>
  <c r="H176" i="25"/>
  <c r="E176" i="25"/>
  <c r="M176" i="25" s="1"/>
  <c r="F176" i="25"/>
  <c r="L176" i="25"/>
  <c r="G176" i="25"/>
  <c r="J176" i="25"/>
  <c r="I176" i="25"/>
  <c r="G35" i="25"/>
  <c r="E35" i="25"/>
  <c r="M35" i="25" s="1"/>
  <c r="H35" i="25"/>
  <c r="L35" i="25"/>
  <c r="K35" i="25"/>
  <c r="F35" i="25"/>
  <c r="I35" i="25"/>
  <c r="J35" i="25"/>
  <c r="L43" i="25"/>
  <c r="I43" i="25"/>
  <c r="H43" i="25"/>
  <c r="F43" i="25"/>
  <c r="G43" i="25"/>
  <c r="E43" i="25"/>
  <c r="M43" i="25" s="1"/>
  <c r="K43" i="25"/>
  <c r="J43" i="25"/>
  <c r="E168" i="12"/>
  <c r="H122" i="25"/>
  <c r="K122" i="25"/>
  <c r="J122" i="25"/>
  <c r="G122" i="25"/>
  <c r="F122" i="25"/>
  <c r="L122" i="25"/>
  <c r="E122" i="25"/>
  <c r="M122" i="25" s="1"/>
  <c r="I122" i="25"/>
  <c r="L65" i="25"/>
  <c r="F65" i="25"/>
  <c r="E65" i="25"/>
  <c r="M65" i="25" s="1"/>
  <c r="H65" i="25"/>
  <c r="I65" i="25"/>
  <c r="K65" i="25"/>
  <c r="G65" i="25"/>
  <c r="J65" i="25"/>
  <c r="E104" i="12"/>
  <c r="E103" i="12"/>
  <c r="I85" i="25"/>
  <c r="K85" i="25"/>
  <c r="L85" i="25"/>
  <c r="F85" i="25"/>
  <c r="E85" i="25"/>
  <c r="M85" i="25" s="1"/>
  <c r="J85" i="25"/>
  <c r="H85" i="25"/>
  <c r="G85" i="25"/>
  <c r="K137" i="25"/>
  <c r="G137" i="25"/>
  <c r="L137" i="25"/>
  <c r="F137" i="25"/>
  <c r="E137" i="25"/>
  <c r="M137" i="25" s="1"/>
  <c r="H137" i="25"/>
  <c r="J137" i="25"/>
  <c r="I137" i="25"/>
  <c r="G105" i="25"/>
  <c r="K105" i="25"/>
  <c r="J105" i="25"/>
  <c r="L105" i="25"/>
  <c r="E105" i="25"/>
  <c r="M105" i="25" s="1"/>
  <c r="F105" i="25"/>
  <c r="H105" i="25"/>
  <c r="I105" i="25"/>
  <c r="E156" i="25"/>
  <c r="M156" i="25" s="1"/>
  <c r="J156" i="25"/>
  <c r="K156" i="25"/>
  <c r="L156" i="25"/>
  <c r="I156" i="25"/>
  <c r="G156" i="25"/>
  <c r="H156" i="25"/>
  <c r="F156" i="25"/>
  <c r="G134" i="25"/>
  <c r="H134" i="25"/>
  <c r="K134" i="25"/>
  <c r="F134" i="25"/>
  <c r="E134" i="25"/>
  <c r="M134" i="25" s="1"/>
  <c r="J134" i="25"/>
  <c r="I134" i="25"/>
  <c r="L134" i="25"/>
  <c r="E63" i="25"/>
  <c r="M63" i="25" s="1"/>
  <c r="G63" i="25"/>
  <c r="F63" i="25"/>
  <c r="J63" i="25"/>
  <c r="L63" i="25"/>
  <c r="H63" i="25"/>
  <c r="K63" i="25"/>
  <c r="I63" i="25"/>
  <c r="L79" i="25"/>
  <c r="G79" i="25"/>
  <c r="F79" i="25"/>
  <c r="E79" i="25"/>
  <c r="M79" i="25" s="1"/>
  <c r="I79" i="25"/>
  <c r="J79" i="25"/>
  <c r="K79" i="25"/>
  <c r="H79" i="25"/>
  <c r="F86" i="25"/>
  <c r="E86" i="25"/>
  <c r="M86" i="25" s="1"/>
  <c r="H86" i="25"/>
  <c r="G86" i="25"/>
  <c r="J86" i="25"/>
  <c r="K86" i="25"/>
  <c r="I86" i="25"/>
  <c r="L86" i="25"/>
  <c r="E68" i="25"/>
  <c r="M68" i="25" s="1"/>
  <c r="L68" i="25"/>
  <c r="G68" i="25"/>
  <c r="K68" i="25"/>
  <c r="F68" i="25"/>
  <c r="I68" i="25"/>
  <c r="J68" i="25"/>
  <c r="H68" i="25"/>
  <c r="L39" i="25"/>
  <c r="J39" i="25"/>
  <c r="H39" i="25"/>
  <c r="E39" i="25"/>
  <c r="M39" i="25" s="1"/>
  <c r="I39" i="25"/>
  <c r="G39" i="25"/>
  <c r="K39" i="25"/>
  <c r="F39" i="25"/>
  <c r="G50" i="25"/>
  <c r="F50" i="25"/>
  <c r="E50" i="25"/>
  <c r="M50" i="25" s="1"/>
  <c r="L50" i="25"/>
  <c r="H50" i="25"/>
  <c r="J50" i="25"/>
  <c r="K50" i="25"/>
  <c r="I50" i="25"/>
  <c r="L150" i="25"/>
  <c r="I150" i="25"/>
  <c r="J150" i="25"/>
  <c r="F150" i="25"/>
  <c r="G150" i="25"/>
  <c r="K150" i="25"/>
  <c r="H150" i="25"/>
  <c r="E150" i="25"/>
  <c r="M150" i="25" s="1"/>
  <c r="K51" i="25"/>
  <c r="I51" i="25"/>
  <c r="G51" i="25"/>
  <c r="H51" i="25"/>
  <c r="F51" i="25"/>
  <c r="L51" i="25"/>
  <c r="E51" i="25"/>
  <c r="M51" i="25" s="1"/>
  <c r="J51" i="25"/>
  <c r="I167" i="25"/>
  <c r="K167" i="25"/>
  <c r="F167" i="25"/>
  <c r="E167" i="25"/>
  <c r="M167" i="25" s="1"/>
  <c r="H167" i="25"/>
  <c r="L167" i="25"/>
  <c r="G167" i="25"/>
  <c r="J167" i="25"/>
  <c r="I112" i="25"/>
  <c r="E112" i="25"/>
  <c r="M112" i="25" s="1"/>
  <c r="H112" i="25"/>
  <c r="J112" i="25"/>
  <c r="F112" i="25"/>
  <c r="L112" i="25"/>
  <c r="G112" i="25"/>
  <c r="K112" i="25"/>
  <c r="E107" i="12"/>
  <c r="H169" i="25"/>
  <c r="K169" i="25"/>
  <c r="L169" i="25"/>
  <c r="J169" i="25"/>
  <c r="E169" i="25"/>
  <c r="M169" i="25" s="1"/>
  <c r="G169" i="25"/>
  <c r="I169" i="25"/>
  <c r="F169" i="25"/>
  <c r="F128" i="25"/>
  <c r="E128" i="25"/>
  <c r="M128" i="25" s="1"/>
  <c r="K128" i="25"/>
  <c r="I128" i="25"/>
  <c r="G128" i="25"/>
  <c r="L128" i="25"/>
  <c r="H128" i="25"/>
  <c r="J128" i="25"/>
  <c r="L73" i="25"/>
  <c r="I73" i="25"/>
  <c r="H73" i="25"/>
  <c r="K73" i="25"/>
  <c r="F73" i="25"/>
  <c r="G73" i="25"/>
  <c r="E73" i="25"/>
  <c r="M73" i="25" s="1"/>
  <c r="J73" i="25"/>
  <c r="K104" i="25"/>
  <c r="F104" i="25"/>
  <c r="L104" i="25"/>
  <c r="E104" i="25"/>
  <c r="M104" i="25" s="1"/>
  <c r="I104" i="25"/>
  <c r="J104" i="25"/>
  <c r="G104" i="25"/>
  <c r="H104" i="25"/>
  <c r="L98" i="25"/>
  <c r="E98" i="25"/>
  <c r="M98" i="25" s="1"/>
  <c r="F98" i="25"/>
  <c r="I98" i="25"/>
  <c r="K98" i="25"/>
  <c r="J98" i="25"/>
  <c r="H98" i="25"/>
  <c r="G98" i="25"/>
  <c r="E118" i="25"/>
  <c r="M118" i="25" s="1"/>
  <c r="H118" i="25"/>
  <c r="K118" i="25"/>
  <c r="G118" i="25"/>
  <c r="J118" i="25"/>
  <c r="L118" i="25"/>
  <c r="I118" i="25"/>
  <c r="F118" i="25"/>
  <c r="K113" i="25"/>
  <c r="L113" i="25"/>
  <c r="I113" i="25"/>
  <c r="F113" i="25"/>
  <c r="E113" i="25"/>
  <c r="M113" i="25" s="1"/>
  <c r="G113" i="25"/>
  <c r="H113" i="25"/>
  <c r="J113" i="25"/>
  <c r="F163" i="25"/>
  <c r="E163" i="25"/>
  <c r="M163" i="25" s="1"/>
  <c r="L163" i="25"/>
  <c r="K163" i="25"/>
  <c r="H163" i="25"/>
  <c r="G163" i="25"/>
  <c r="I163" i="25"/>
  <c r="J163" i="25"/>
  <c r="F147" i="25"/>
  <c r="G147" i="25"/>
  <c r="J147" i="25"/>
  <c r="K147" i="25"/>
  <c r="H147" i="25"/>
  <c r="E147" i="25"/>
  <c r="M147" i="25" s="1"/>
  <c r="L147" i="25"/>
  <c r="I147" i="25"/>
  <c r="F109" i="25"/>
  <c r="G109" i="25"/>
  <c r="I109" i="25"/>
  <c r="L109" i="25"/>
  <c r="E109" i="25"/>
  <c r="M109" i="25" s="1"/>
  <c r="K109" i="25"/>
  <c r="J109" i="25"/>
  <c r="H109" i="25"/>
  <c r="E121" i="25"/>
  <c r="M121" i="25" s="1"/>
  <c r="K121" i="25"/>
  <c r="F121" i="25"/>
  <c r="G121" i="25"/>
  <c r="L121" i="25"/>
  <c r="H121" i="25"/>
  <c r="I121" i="25"/>
  <c r="J121" i="25"/>
  <c r="I60" i="25"/>
  <c r="J60" i="25"/>
  <c r="G60" i="25"/>
  <c r="L60" i="25"/>
  <c r="H60" i="25"/>
  <c r="E60" i="25"/>
  <c r="M60" i="25" s="1"/>
  <c r="F60" i="25"/>
  <c r="K60" i="25"/>
  <c r="J17" i="74"/>
  <c r="J26" i="74" s="1"/>
  <c r="L17" i="74"/>
  <c r="L26" i="74" s="1"/>
  <c r="L21" i="74"/>
  <c r="K10" i="74"/>
  <c r="K31" i="74" s="1"/>
  <c r="E24" i="74"/>
  <c r="E21" i="74"/>
  <c r="I21" i="74"/>
  <c r="H10" i="74"/>
  <c r="H31" i="74" s="1"/>
  <c r="E17" i="74"/>
  <c r="E26" i="74" s="1"/>
  <c r="E23" i="74"/>
  <c r="I17" i="74"/>
  <c r="I26" i="74" s="1"/>
  <c r="J21" i="74"/>
  <c r="I10" i="74"/>
  <c r="I31" i="74" s="1"/>
  <c r="K21" i="74"/>
  <c r="J10" i="74"/>
  <c r="J31" i="74" s="1"/>
  <c r="K17" i="74"/>
  <c r="K26" i="74" s="1"/>
  <c r="E25" i="74"/>
  <c r="E22" i="74"/>
  <c r="G189" i="12" a="1"/>
  <c r="E153" i="12" a="1"/>
  <c r="H189" i="12" a="1"/>
  <c r="E152" i="12" a="1"/>
  <c r="E106" i="12" a="1"/>
  <c r="M9" i="25" l="1"/>
  <c r="B4" i="94"/>
  <c r="E152" i="12"/>
  <c r="E153" i="12"/>
  <c r="H189" i="12"/>
  <c r="E106" i="12"/>
  <c r="G368" i="12"/>
  <c r="G312" i="12"/>
  <c r="G269" i="12"/>
  <c r="G293" i="12"/>
  <c r="G407" i="12"/>
  <c r="G365" i="12"/>
  <c r="G212" i="12"/>
  <c r="G405" i="12"/>
  <c r="G414" i="12"/>
  <c r="G406" i="12"/>
  <c r="G299" i="12"/>
  <c r="G274" i="12"/>
  <c r="G383" i="12"/>
  <c r="G332" i="12"/>
  <c r="G236" i="12"/>
  <c r="G210" i="12"/>
  <c r="G220" i="12"/>
  <c r="G354" i="12"/>
  <c r="G408" i="12"/>
  <c r="G435" i="12"/>
  <c r="G211" i="12"/>
  <c r="G279" i="12"/>
  <c r="G417" i="12"/>
  <c r="G432" i="12"/>
  <c r="G363" i="12"/>
  <c r="G230" i="12"/>
  <c r="G238" i="12"/>
  <c r="G398" i="12"/>
  <c r="G412" i="12"/>
  <c r="G286" i="12"/>
  <c r="G259" i="12"/>
  <c r="G248" i="12"/>
  <c r="G442" i="12"/>
  <c r="G240" i="12"/>
  <c r="G254" i="12"/>
  <c r="G260" i="12"/>
  <c r="G290" i="12"/>
  <c r="G284" i="12"/>
  <c r="G438" i="12"/>
  <c r="G194" i="12"/>
  <c r="G337" i="12"/>
  <c r="G207" i="12"/>
  <c r="G404" i="12"/>
  <c r="G421" i="12"/>
  <c r="G191" i="12"/>
  <c r="G204" i="12"/>
  <c r="G246" i="12"/>
  <c r="G378" i="12"/>
  <c r="G333" i="12"/>
  <c r="G237" i="12"/>
  <c r="G276" i="12"/>
  <c r="G399" i="12"/>
  <c r="G278" i="12"/>
  <c r="G271" i="12"/>
  <c r="G247" i="12"/>
  <c r="G376" i="12"/>
  <c r="G425" i="12"/>
  <c r="G292" i="12"/>
  <c r="G233" i="12"/>
  <c r="G272" i="12"/>
  <c r="G241" i="12"/>
  <c r="G374" i="12"/>
  <c r="G384" i="12"/>
  <c r="G244" i="12"/>
  <c r="G306" i="12"/>
  <c r="G268" i="12"/>
  <c r="G334" i="12"/>
  <c r="G297" i="12"/>
  <c r="G287" i="12"/>
  <c r="G323" i="12"/>
  <c r="G329" i="12"/>
  <c r="G436" i="12"/>
  <c r="G440" i="12"/>
  <c r="G349" i="12"/>
  <c r="G416" i="12"/>
  <c r="G424" i="12"/>
  <c r="G419" i="12"/>
  <c r="G251" i="12"/>
  <c r="G319" i="12"/>
  <c r="G301" i="12"/>
  <c r="G433" i="12"/>
  <c r="G285" i="12"/>
  <c r="G370" i="12"/>
  <c r="G252" i="12"/>
  <c r="G377" i="12"/>
  <c r="G235" i="12"/>
  <c r="G288" i="12"/>
  <c r="G318" i="12"/>
  <c r="G393" i="12"/>
  <c r="G360" i="12"/>
  <c r="G395" i="12"/>
  <c r="G257" i="12"/>
  <c r="G426" i="12"/>
  <c r="G352" i="12"/>
  <c r="G392" i="12"/>
  <c r="G353" i="12"/>
  <c r="G270" i="12"/>
  <c r="G227" i="12"/>
  <c r="G304" i="12"/>
  <c r="G336" i="12"/>
  <c r="G275" i="12"/>
  <c r="G303" i="12"/>
  <c r="G351" i="12"/>
  <c r="G295" i="12"/>
  <c r="G300" i="12"/>
  <c r="G202" i="12"/>
  <c r="G375" i="12"/>
  <c r="G357" i="12"/>
  <c r="G394" i="12"/>
  <c r="G322" i="12"/>
  <c r="G281" i="12"/>
  <c r="G437" i="12"/>
  <c r="G342" i="12"/>
  <c r="G328" i="12"/>
  <c r="G361" i="12"/>
  <c r="G243" i="12"/>
  <c r="G390" i="12"/>
  <c r="G196" i="12"/>
  <c r="G266" i="12"/>
  <c r="G410" i="12"/>
  <c r="G320" i="12"/>
  <c r="G265" i="12"/>
  <c r="G283" i="12"/>
  <c r="G431" i="12"/>
  <c r="G403" i="12"/>
  <c r="G388" i="12"/>
  <c r="G218" i="12"/>
  <c r="G413" i="12"/>
  <c r="G324" i="12"/>
  <c r="G343" i="12"/>
  <c r="G277" i="12"/>
  <c r="G253" i="12"/>
  <c r="G203" i="12"/>
  <c r="G308" i="12"/>
  <c r="G402" i="12"/>
  <c r="G350" i="12"/>
  <c r="G264" i="12"/>
  <c r="G294" i="12"/>
  <c r="G262" i="12"/>
  <c r="G309" i="12"/>
  <c r="G346" i="12"/>
  <c r="G310" i="12"/>
  <c r="G389" i="12"/>
  <c r="G359" i="12"/>
  <c r="G409" i="12"/>
  <c r="G311" i="12"/>
  <c r="G280" i="12"/>
  <c r="G305" i="12"/>
  <c r="G206" i="12"/>
  <c r="G201" i="12"/>
  <c r="G298" i="12"/>
  <c r="G234" i="12"/>
  <c r="G229" i="12"/>
  <c r="G321" i="12"/>
  <c r="G427" i="12"/>
  <c r="G256" i="12"/>
  <c r="G195" i="12"/>
  <c r="G190" i="12"/>
  <c r="G400" i="12"/>
  <c r="G261" i="12"/>
  <c r="G214" i="12"/>
  <c r="G291" i="12"/>
  <c r="G245" i="12"/>
  <c r="G193" i="12"/>
  <c r="G199" i="12"/>
  <c r="G348" i="12"/>
  <c r="G373" i="12"/>
  <c r="G341" i="12"/>
  <c r="G219" i="12"/>
  <c r="G289" i="12"/>
  <c r="G250" i="12"/>
  <c r="G222" i="12"/>
  <c r="G439" i="12"/>
  <c r="G415" i="12"/>
  <c r="G345" i="12"/>
  <c r="G372" i="12"/>
  <c r="G317" i="12"/>
  <c r="G213" i="12"/>
  <c r="G296" i="12"/>
  <c r="G396" i="12"/>
  <c r="G315" i="12"/>
  <c r="G302" i="12"/>
  <c r="G386" i="12"/>
  <c r="G197" i="12"/>
  <c r="G423" i="12"/>
  <c r="G338" i="12"/>
  <c r="G263" i="12"/>
  <c r="G216" i="12"/>
  <c r="G225" i="12"/>
  <c r="G340" i="12"/>
  <c r="G430" i="12"/>
  <c r="G401" i="12"/>
  <c r="G255" i="12"/>
  <c r="G331" i="12"/>
  <c r="G441" i="12"/>
  <c r="G385" i="12"/>
  <c r="G224" i="12"/>
  <c r="G339" i="12"/>
  <c r="G192" i="12"/>
  <c r="G232" i="12"/>
  <c r="G367" i="12"/>
  <c r="G316" i="12"/>
  <c r="G228" i="12"/>
  <c r="G397" i="12"/>
  <c r="G369" i="12"/>
  <c r="G358" i="12"/>
  <c r="G387" i="12"/>
  <c r="G344" i="12"/>
  <c r="G231" i="12"/>
  <c r="G221" i="12"/>
  <c r="G422" i="12"/>
  <c r="G189" i="12"/>
  <c r="G208" i="12"/>
  <c r="G327" i="12"/>
  <c r="G418" i="12"/>
  <c r="G356" i="12"/>
  <c r="G273" i="12"/>
  <c r="G347" i="12"/>
  <c r="G434" i="12"/>
  <c r="G226" i="12"/>
  <c r="G411" i="12"/>
  <c r="G371" i="12"/>
  <c r="G223" i="12"/>
  <c r="G313" i="12"/>
  <c r="G200" i="12"/>
  <c r="G215" i="12"/>
  <c r="G267" i="12"/>
  <c r="G335" i="12"/>
  <c r="G330" i="12"/>
  <c r="G198" i="12"/>
  <c r="G326" i="12"/>
  <c r="G381" i="12"/>
  <c r="G205" i="12"/>
  <c r="G380" i="12"/>
  <c r="G355" i="12"/>
  <c r="G209" i="12"/>
  <c r="G314" i="12"/>
  <c r="G258" i="12"/>
  <c r="G242" i="12"/>
  <c r="G239" i="12"/>
  <c r="G325" i="12"/>
  <c r="G379" i="12"/>
  <c r="G362" i="12"/>
  <c r="G282" i="12"/>
  <c r="G420" i="12"/>
  <c r="G382" i="12"/>
  <c r="G366" i="12"/>
  <c r="G307" i="12"/>
  <c r="G429" i="12"/>
  <c r="G249" i="12"/>
  <c r="G428" i="12"/>
  <c r="G217" i="12"/>
  <c r="G364" i="12"/>
  <c r="G391" i="12"/>
  <c r="J27" i="74"/>
  <c r="J33" i="74" s="1"/>
  <c r="J16" i="77" s="1"/>
  <c r="I27" i="74"/>
  <c r="I30" i="74" s="1"/>
  <c r="L27" i="74"/>
  <c r="L30" i="74" s="1"/>
  <c r="K27" i="74"/>
  <c r="K33" i="74" s="1"/>
  <c r="K16" i="77" s="1"/>
  <c r="E27" i="74"/>
  <c r="J30" i="74" l="1"/>
  <c r="J32" i="74" s="1"/>
  <c r="I32" i="74"/>
  <c r="I12" i="86"/>
  <c r="L32" i="74"/>
  <c r="L12" i="86"/>
  <c r="L33" i="74"/>
  <c r="L16" i="77" s="1"/>
  <c r="L29" i="77" s="1"/>
  <c r="J29" i="77"/>
  <c r="K29" i="77"/>
  <c r="I33" i="74"/>
  <c r="I16" i="77" s="1"/>
  <c r="K30" i="74"/>
  <c r="E33" i="74"/>
  <c r="E16" i="77" s="1"/>
  <c r="E30" i="74"/>
  <c r="E12" i="86" s="1"/>
  <c r="J12" i="86" l="1"/>
  <c r="K32" i="74"/>
  <c r="K12" i="86"/>
  <c r="E29" i="77"/>
  <c r="I29" i="77"/>
  <c r="B4" i="73"/>
  <c r="B2" i="73"/>
  <c r="D33" i="73"/>
  <c r="D16" i="76" s="1"/>
  <c r="D29" i="76" s="1"/>
  <c r="D31" i="73"/>
  <c r="D30" i="73"/>
  <c r="D12" i="85" s="1"/>
  <c r="A25" i="73"/>
  <c r="A24" i="73"/>
  <c r="A23" i="73"/>
  <c r="A22" i="73"/>
  <c r="A21" i="73"/>
  <c r="B1" i="73"/>
  <c r="I14" i="73" a="1"/>
  <c r="I13" i="73" a="1"/>
  <c r="E13" i="73" a="1"/>
  <c r="I12" i="73" a="1"/>
  <c r="K13" i="73" a="1"/>
  <c r="I16" i="73" a="1"/>
  <c r="E15" i="73" a="1"/>
  <c r="K11" i="73" a="1"/>
  <c r="K12" i="73" a="1"/>
  <c r="J12" i="73" a="1"/>
  <c r="G12" i="73" a="1"/>
  <c r="O10" i="73" a="1"/>
  <c r="J14" i="73" a="1"/>
  <c r="K16" i="73" a="1"/>
  <c r="I11" i="73" a="1"/>
  <c r="K15" i="73" a="1"/>
  <c r="E14" i="73" a="1"/>
  <c r="E16" i="73" a="1"/>
  <c r="N10" i="73" a="1"/>
  <c r="L11" i="73" a="1"/>
  <c r="J13" i="73" a="1"/>
  <c r="L12" i="73" a="1"/>
  <c r="G14" i="73" a="1"/>
  <c r="L16" i="73" a="1"/>
  <c r="G15" i="73" a="1"/>
  <c r="G16" i="73" a="1"/>
  <c r="E11" i="73" a="1"/>
  <c r="L15" i="73" a="1"/>
  <c r="L10" i="73" a="1"/>
  <c r="L13" i="73" a="1"/>
  <c r="J16" i="73" a="1"/>
  <c r="E12" i="73" a="1"/>
  <c r="K14" i="73" a="1"/>
  <c r="J15" i="73" a="1"/>
  <c r="G11" i="73" a="1"/>
  <c r="G13" i="73" a="1"/>
  <c r="I15" i="73" a="1"/>
  <c r="L14" i="73" a="1"/>
  <c r="J11" i="73" a="1"/>
  <c r="E11" i="73" l="1"/>
  <c r="E12" i="73"/>
  <c r="E13" i="73"/>
  <c r="E14" i="73"/>
  <c r="E15" i="73"/>
  <c r="E16" i="73"/>
  <c r="G11" i="73"/>
  <c r="G12" i="73"/>
  <c r="G13" i="73"/>
  <c r="G14" i="73"/>
  <c r="G15" i="73"/>
  <c r="G16" i="73"/>
  <c r="I11" i="73"/>
  <c r="J11" i="73"/>
  <c r="K11" i="73"/>
  <c r="I12" i="73"/>
  <c r="J12" i="73"/>
  <c r="K12" i="73"/>
  <c r="I13" i="73"/>
  <c r="J13" i="73"/>
  <c r="K13" i="73"/>
  <c r="I14" i="73"/>
  <c r="J14" i="73"/>
  <c r="K14" i="73"/>
  <c r="I15" i="73"/>
  <c r="J15" i="73"/>
  <c r="K15" i="73"/>
  <c r="I16" i="73"/>
  <c r="J16" i="73"/>
  <c r="K16" i="73"/>
  <c r="L10" i="73"/>
  <c r="L31" i="73" s="1"/>
  <c r="L11" i="73"/>
  <c r="L12" i="73"/>
  <c r="L13" i="73"/>
  <c r="L14" i="73"/>
  <c r="L15" i="73"/>
  <c r="L16" i="73"/>
  <c r="N10" i="73"/>
  <c r="O10" i="73"/>
  <c r="D32" i="73"/>
  <c r="F11" i="73" l="1"/>
  <c r="F12" i="73"/>
  <c r="F13" i="73"/>
  <c r="G17" i="73"/>
  <c r="K10" i="73"/>
  <c r="K31" i="73" s="1"/>
  <c r="J17" i="73"/>
  <c r="I10" i="73"/>
  <c r="I31" i="73" s="1"/>
  <c r="F15" i="73"/>
  <c r="F10" i="73"/>
  <c r="F31" i="73" s="1"/>
  <c r="L17" i="73"/>
  <c r="F14" i="73"/>
  <c r="E17" i="73"/>
  <c r="F16" i="73"/>
  <c r="J10" i="73"/>
  <c r="J31" i="73" s="1"/>
  <c r="K17" i="73"/>
  <c r="E10" i="73" l="1"/>
  <c r="E31" i="73" s="1"/>
  <c r="F17" i="73"/>
  <c r="B4" i="72" l="1"/>
  <c r="B2" i="72"/>
  <c r="D33" i="72"/>
  <c r="D16" i="88" s="1"/>
  <c r="D29" i="88" s="1"/>
  <c r="D31" i="72"/>
  <c r="D30" i="72"/>
  <c r="D12" i="84" s="1"/>
  <c r="A25" i="72"/>
  <c r="A24" i="72"/>
  <c r="A23" i="72"/>
  <c r="A22" i="72"/>
  <c r="A21" i="72"/>
  <c r="B1" i="72"/>
  <c r="G12" i="72" a="1"/>
  <c r="J12" i="72" a="1"/>
  <c r="E16" i="72" a="1"/>
  <c r="J16" i="72" a="1"/>
  <c r="L14" i="72" a="1"/>
  <c r="K11" i="72" a="1"/>
  <c r="G15" i="72" a="1"/>
  <c r="G14" i="72" a="1"/>
  <c r="J13" i="72" a="1"/>
  <c r="E13" i="72" a="1"/>
  <c r="L16" i="72" a="1"/>
  <c r="H11" i="72" a="1"/>
  <c r="H16" i="72" a="1"/>
  <c r="E12" i="72" a="1"/>
  <c r="L13" i="72" a="1"/>
  <c r="K14" i="72" a="1"/>
  <c r="G11" i="72" a="1"/>
  <c r="L10" i="72" a="1"/>
  <c r="L15" i="72" a="1"/>
  <c r="E15" i="72" a="1"/>
  <c r="G16" i="72" a="1"/>
  <c r="H14" i="72" a="1"/>
  <c r="J11" i="72" a="1"/>
  <c r="J14" i="72" a="1"/>
  <c r="L11" i="72" a="1"/>
  <c r="H13" i="72" a="1"/>
  <c r="J15" i="72" a="1"/>
  <c r="K15" i="72" a="1"/>
  <c r="E11" i="72" a="1"/>
  <c r="E14" i="72" a="1"/>
  <c r="K13" i="72" a="1"/>
  <c r="K12" i="72" a="1"/>
  <c r="H12" i="72" a="1"/>
  <c r="G13" i="72" a="1"/>
  <c r="K16" i="72" a="1"/>
  <c r="H15" i="72" a="1"/>
  <c r="L12" i="72" a="1"/>
  <c r="E11" i="72" l="1"/>
  <c r="E12" i="72"/>
  <c r="E13" i="72"/>
  <c r="E14" i="72"/>
  <c r="E15" i="72"/>
  <c r="E16" i="72"/>
  <c r="G11" i="72"/>
  <c r="F10" i="72" s="1"/>
  <c r="H11" i="72"/>
  <c r="G12" i="72"/>
  <c r="H12" i="72"/>
  <c r="G13" i="72"/>
  <c r="H13" i="72"/>
  <c r="G14" i="72"/>
  <c r="H14" i="72"/>
  <c r="G15" i="72"/>
  <c r="H15" i="72"/>
  <c r="G16" i="72"/>
  <c r="H16" i="72"/>
  <c r="J11" i="72"/>
  <c r="K11" i="72"/>
  <c r="J12" i="72"/>
  <c r="K12" i="72"/>
  <c r="J13" i="72"/>
  <c r="K13" i="72"/>
  <c r="J14" i="72"/>
  <c r="K14" i="72"/>
  <c r="J15" i="72"/>
  <c r="K15" i="72"/>
  <c r="J16" i="72"/>
  <c r="K16" i="72"/>
  <c r="L10" i="72"/>
  <c r="L31" i="72" s="1"/>
  <c r="L11" i="72"/>
  <c r="L12" i="72"/>
  <c r="L13" i="72"/>
  <c r="L14" i="72"/>
  <c r="L15" i="72"/>
  <c r="L16" i="72"/>
  <c r="D32" i="72"/>
  <c r="B2" i="71"/>
  <c r="B4" i="71"/>
  <c r="E33" i="71"/>
  <c r="E16" i="75" s="1"/>
  <c r="E29" i="75" s="1"/>
  <c r="D33" i="71"/>
  <c r="D16" i="75" s="1"/>
  <c r="D29" i="75" s="1"/>
  <c r="E31" i="71"/>
  <c r="D31" i="71"/>
  <c r="E30" i="71"/>
  <c r="E12" i="83" s="1"/>
  <c r="D30" i="71"/>
  <c r="D12" i="83" s="1"/>
  <c r="A25" i="71"/>
  <c r="A24" i="71"/>
  <c r="A23" i="71"/>
  <c r="A22" i="71"/>
  <c r="A21" i="71"/>
  <c r="B1" i="71"/>
  <c r="H11" i="71" a="1"/>
  <c r="L10" i="71" a="1"/>
  <c r="H12" i="71" a="1"/>
  <c r="H13" i="71" a="1"/>
  <c r="L13" i="71" a="1"/>
  <c r="G16" i="71" a="1"/>
  <c r="K13" i="71" a="1"/>
  <c r="J15" i="71" a="1"/>
  <c r="F13" i="71" a="1"/>
  <c r="J14" i="71" a="1"/>
  <c r="H14" i="71" a="1"/>
  <c r="J12" i="71" a="1"/>
  <c r="K11" i="71" a="1"/>
  <c r="G13" i="71" a="1"/>
  <c r="L16" i="71" a="1"/>
  <c r="F12" i="71" a="1"/>
  <c r="K16" i="71" a="1"/>
  <c r="L15" i="71" a="1"/>
  <c r="G12" i="71" a="1"/>
  <c r="G14" i="71" a="1"/>
  <c r="F15" i="71" a="1"/>
  <c r="G15" i="71" a="1"/>
  <c r="J13" i="71" a="1"/>
  <c r="L14" i="71" a="1"/>
  <c r="G11" i="71" a="1"/>
  <c r="H15" i="71" a="1"/>
  <c r="F11" i="71" a="1"/>
  <c r="L12" i="71" a="1"/>
  <c r="F16" i="71" a="1"/>
  <c r="L11" i="71" a="1"/>
  <c r="J16" i="71" a="1"/>
  <c r="K15" i="71" a="1"/>
  <c r="H16" i="71" a="1"/>
  <c r="J11" i="71" a="1"/>
  <c r="F14" i="71" a="1"/>
  <c r="K14" i="71" a="1"/>
  <c r="K12" i="71" a="1"/>
  <c r="K17" i="72" l="1"/>
  <c r="F11" i="71"/>
  <c r="G11" i="71"/>
  <c r="H11" i="71"/>
  <c r="F12" i="71"/>
  <c r="G12" i="71"/>
  <c r="H12" i="71"/>
  <c r="F13" i="71"/>
  <c r="G13" i="71"/>
  <c r="H13" i="71"/>
  <c r="F14" i="71"/>
  <c r="G14" i="71"/>
  <c r="H14" i="71"/>
  <c r="F15" i="71"/>
  <c r="G15" i="71"/>
  <c r="H15" i="71"/>
  <c r="F16" i="71"/>
  <c r="G16" i="71"/>
  <c r="H16" i="71"/>
  <c r="J11" i="71"/>
  <c r="K11" i="71"/>
  <c r="J12" i="71"/>
  <c r="K12" i="71"/>
  <c r="J13" i="71"/>
  <c r="K13" i="71"/>
  <c r="J14" i="71"/>
  <c r="K14" i="71"/>
  <c r="J15" i="71"/>
  <c r="K15" i="71"/>
  <c r="J16" i="71"/>
  <c r="K16" i="71"/>
  <c r="L10" i="71"/>
  <c r="L31" i="71" s="1"/>
  <c r="L11" i="71"/>
  <c r="L12" i="71"/>
  <c r="L13" i="71"/>
  <c r="L14" i="71"/>
  <c r="L15" i="71"/>
  <c r="L16" i="71"/>
  <c r="L17" i="72"/>
  <c r="F12" i="72"/>
  <c r="E17" i="72"/>
  <c r="F16" i="72"/>
  <c r="F13" i="72"/>
  <c r="F15" i="72"/>
  <c r="F14" i="72"/>
  <c r="F11" i="72"/>
  <c r="I13" i="72"/>
  <c r="F31" i="72"/>
  <c r="H17" i="72"/>
  <c r="I16" i="72"/>
  <c r="I11" i="72"/>
  <c r="G10" i="72"/>
  <c r="G31" i="72" s="1"/>
  <c r="J10" i="72"/>
  <c r="J31" i="72" s="1"/>
  <c r="I14" i="72"/>
  <c r="I10" i="72"/>
  <c r="I31" i="72" s="1"/>
  <c r="J17" i="72"/>
  <c r="K10" i="72"/>
  <c r="K31" i="72" s="1"/>
  <c r="I15" i="72"/>
  <c r="G17" i="72"/>
  <c r="I12" i="72"/>
  <c r="E32" i="71"/>
  <c r="D32" i="71"/>
  <c r="J10" i="71"/>
  <c r="J31" i="71" s="1"/>
  <c r="F17" i="72" l="1"/>
  <c r="E10" i="72"/>
  <c r="E31" i="72" s="1"/>
  <c r="H10" i="72"/>
  <c r="H31" i="72" s="1"/>
  <c r="I17" i="72"/>
  <c r="I11" i="71"/>
  <c r="I16" i="71"/>
  <c r="I13" i="71"/>
  <c r="I12" i="71"/>
  <c r="I15" i="71"/>
  <c r="I14" i="71"/>
  <c r="G17" i="71"/>
  <c r="K17" i="71"/>
  <c r="L17" i="71"/>
  <c r="I10" i="71"/>
  <c r="I31" i="71" s="1"/>
  <c r="K10" i="71"/>
  <c r="K31" i="71" s="1"/>
  <c r="J17" i="71"/>
  <c r="F17" i="71"/>
  <c r="G10" i="71"/>
  <c r="G31" i="71" s="1"/>
  <c r="H17" i="71"/>
  <c r="F10" i="71"/>
  <c r="F31" i="71" s="1"/>
  <c r="H10" i="71" l="1"/>
  <c r="H31" i="71" s="1"/>
  <c r="I17" i="71"/>
  <c r="B4" i="70" l="1"/>
  <c r="B2" i="70" l="1"/>
  <c r="A25" i="70"/>
  <c r="A24" i="70"/>
  <c r="A23" i="70"/>
  <c r="A22" i="70"/>
  <c r="A21" i="70"/>
  <c r="B1" i="70"/>
  <c r="B4" i="15"/>
  <c r="B2" i="69"/>
  <c r="A24" i="69"/>
  <c r="A37" i="69" s="1"/>
  <c r="A23" i="69"/>
  <c r="A12" i="69"/>
  <c r="B12" i="69" s="1"/>
  <c r="B11" i="69"/>
  <c r="B1" i="69"/>
  <c r="F17" i="69" a="1"/>
  <c r="L16" i="70" a="1"/>
  <c r="H16" i="70" a="1"/>
  <c r="H15" i="70" a="1"/>
  <c r="H15" i="69" a="1"/>
  <c r="J13" i="70" a="1"/>
  <c r="K15" i="69" a="1"/>
  <c r="H14" i="70" a="1"/>
  <c r="E11" i="69" a="1"/>
  <c r="E13" i="69" a="1"/>
  <c r="H12" i="69" a="1"/>
  <c r="C15" i="69" a="1"/>
  <c r="J19" i="69" a="1"/>
  <c r="I18" i="69" a="1"/>
  <c r="G13" i="69" a="1"/>
  <c r="J15" i="70" a="1"/>
  <c r="F14" i="70" a="1"/>
  <c r="L12" i="70" a="1"/>
  <c r="J12" i="70" a="1"/>
  <c r="D20" i="69" a="1"/>
  <c r="G17" i="69" a="1"/>
  <c r="H11" i="69" a="1"/>
  <c r="L10" i="70" a="1"/>
  <c r="F14" i="69" a="1"/>
  <c r="F13" i="70" a="1"/>
  <c r="J16" i="69" a="1"/>
  <c r="K11" i="69" a="1"/>
  <c r="L18" i="69" a="1"/>
  <c r="E15" i="69" a="1"/>
  <c r="G14" i="69" a="1"/>
  <c r="L10" i="69" a="1"/>
  <c r="F12" i="69" a="1"/>
  <c r="I19" i="69" a="1"/>
  <c r="I12" i="69" a="1"/>
  <c r="F18" i="69" a="1"/>
  <c r="D16" i="69" a="1"/>
  <c r="J10" i="69" a="1"/>
  <c r="F13" i="69" a="1"/>
  <c r="I14" i="69" a="1"/>
  <c r="L20" i="69" a="1"/>
  <c r="D17" i="69" a="1"/>
  <c r="K19" i="69" a="1"/>
  <c r="K16" i="69" a="1"/>
  <c r="K20" i="69" a="1"/>
  <c r="I17" i="69" a="1"/>
  <c r="D14" i="69" a="1"/>
  <c r="K14" i="69" a="1"/>
  <c r="I16" i="69" a="1"/>
  <c r="G12" i="69" a="1"/>
  <c r="E14" i="69" a="1"/>
  <c r="C18" i="69" a="1"/>
  <c r="H16" i="69" a="1"/>
  <c r="F19" i="69" a="1"/>
  <c r="C13" i="69" a="1"/>
  <c r="E20" i="69" a="1"/>
  <c r="H18" i="69" a="1"/>
  <c r="H13" i="70" a="1"/>
  <c r="F16" i="70" a="1"/>
  <c r="E17" i="69" a="1"/>
  <c r="L14" i="69" a="1"/>
  <c r="F15" i="70" a="1"/>
  <c r="F11" i="69" a="1"/>
  <c r="H11" i="70" a="1"/>
  <c r="C20" i="69" a="1"/>
  <c r="K10" i="69" a="1"/>
  <c r="J20" i="69" a="1"/>
  <c r="G15" i="69" a="1"/>
  <c r="E12" i="69" a="1"/>
  <c r="C14" i="69" a="1"/>
  <c r="G13" i="70" a="1"/>
  <c r="D19" i="69" a="1"/>
  <c r="I20" i="69" a="1"/>
  <c r="D15" i="69" a="1"/>
  <c r="D10" i="69" a="1"/>
  <c r="K17" i="69" a="1"/>
  <c r="E10" i="69" a="1"/>
  <c r="L17" i="69" a="1"/>
  <c r="H14" i="69" a="1"/>
  <c r="F10" i="69" a="1"/>
  <c r="L15" i="70" a="1"/>
  <c r="I15" i="69" a="1"/>
  <c r="G16" i="69" a="1"/>
  <c r="I16" i="70" a="1"/>
  <c r="E16" i="69" a="1"/>
  <c r="C12" i="69" a="1"/>
  <c r="F20" i="69" a="1"/>
  <c r="J13" i="69" a="1"/>
  <c r="H13" i="69" a="1"/>
  <c r="G11" i="70" a="1"/>
  <c r="J11" i="70" a="1"/>
  <c r="F15" i="69" a="1"/>
  <c r="G16" i="70" a="1"/>
  <c r="L13" i="70" a="1"/>
  <c r="J14" i="69" a="1"/>
  <c r="J18" i="69" a="1"/>
  <c r="J16" i="70" a="1"/>
  <c r="F16" i="69" a="1"/>
  <c r="I11" i="70" a="1"/>
  <c r="I13" i="69" a="1"/>
  <c r="L11" i="69" a="1"/>
  <c r="K18" i="69" a="1"/>
  <c r="C16" i="69" a="1"/>
  <c r="H20" i="69" a="1"/>
  <c r="E19" i="69" a="1"/>
  <c r="L13" i="69" a="1"/>
  <c r="G18" i="69" a="1"/>
  <c r="H19" i="69" a="1"/>
  <c r="D18" i="69" a="1"/>
  <c r="J15" i="69" a="1"/>
  <c r="G12" i="70" a="1"/>
  <c r="F12" i="70" a="1"/>
  <c r="C11" i="69" a="1"/>
  <c r="L15" i="69" a="1"/>
  <c r="D12" i="69" a="1"/>
  <c r="H17" i="69" a="1"/>
  <c r="C17" i="69" a="1"/>
  <c r="H12" i="70" a="1"/>
  <c r="D13" i="69" a="1"/>
  <c r="I10" i="69" a="1"/>
  <c r="I11" i="69" a="1"/>
  <c r="G20" i="69" a="1"/>
  <c r="L12" i="69" a="1"/>
  <c r="H10" i="69" a="1"/>
  <c r="L19" i="69" a="1"/>
  <c r="K13" i="69" a="1"/>
  <c r="C10" i="69" a="1"/>
  <c r="L16" i="69" a="1"/>
  <c r="I13" i="70" a="1"/>
  <c r="G10" i="69" a="1"/>
  <c r="F11" i="70" a="1"/>
  <c r="K12" i="69" a="1"/>
  <c r="E18" i="69" a="1"/>
  <c r="G15" i="70" a="1"/>
  <c r="J17" i="69" a="1"/>
  <c r="J14" i="70" a="1"/>
  <c r="L14" i="70" a="1"/>
  <c r="I15" i="70" a="1"/>
  <c r="D11" i="69" a="1"/>
  <c r="I14" i="70" a="1"/>
  <c r="I12" i="70" a="1"/>
  <c r="J12" i="69" a="1"/>
  <c r="J11" i="69" a="1"/>
  <c r="G19" i="69" a="1"/>
  <c r="G14" i="70" a="1"/>
  <c r="L11" i="70" a="1"/>
  <c r="G11" i="69" a="1"/>
  <c r="C19" i="69" a="1"/>
  <c r="F11" i="70" l="1"/>
  <c r="G11" i="70"/>
  <c r="F10" i="70" s="1"/>
  <c r="H11" i="70"/>
  <c r="I11" i="70"/>
  <c r="J11" i="70"/>
  <c r="F12" i="70"/>
  <c r="G12" i="70"/>
  <c r="H12" i="70"/>
  <c r="I12" i="70"/>
  <c r="J12" i="70"/>
  <c r="F13" i="70"/>
  <c r="G13" i="70"/>
  <c r="H13" i="70"/>
  <c r="I13" i="70"/>
  <c r="J13" i="70"/>
  <c r="F14" i="70"/>
  <c r="G14" i="70"/>
  <c r="H14" i="70"/>
  <c r="I14" i="70"/>
  <c r="J14" i="70"/>
  <c r="F15" i="70"/>
  <c r="G15" i="70"/>
  <c r="H15" i="70"/>
  <c r="I15" i="70"/>
  <c r="J15" i="70"/>
  <c r="F16" i="70"/>
  <c r="G16" i="70"/>
  <c r="H16" i="70"/>
  <c r="I16" i="70"/>
  <c r="J16" i="70"/>
  <c r="L10" i="70"/>
  <c r="L31" i="70" s="1"/>
  <c r="L11" i="70"/>
  <c r="K10" i="70" s="1"/>
  <c r="L12" i="70"/>
  <c r="L13" i="70"/>
  <c r="L14" i="70"/>
  <c r="L15" i="70"/>
  <c r="L16" i="70"/>
  <c r="C10" i="69"/>
  <c r="C20" i="86" s="1"/>
  <c r="D10" i="69"/>
  <c r="D20" i="86" s="1"/>
  <c r="E10" i="69"/>
  <c r="F10" i="69"/>
  <c r="G10" i="69"/>
  <c r="H10" i="69"/>
  <c r="I10" i="69"/>
  <c r="J10" i="69"/>
  <c r="K10" i="69"/>
  <c r="L10" i="69"/>
  <c r="L20" i="86" s="1"/>
  <c r="C11" i="69"/>
  <c r="C24" i="69" s="1"/>
  <c r="D11" i="69"/>
  <c r="D24" i="69" s="1"/>
  <c r="E11" i="69"/>
  <c r="E37" i="69" s="1"/>
  <c r="F11" i="69"/>
  <c r="F37" i="69" s="1"/>
  <c r="G11" i="69"/>
  <c r="G37" i="69" s="1"/>
  <c r="H11" i="69"/>
  <c r="H24" i="69" s="1"/>
  <c r="I11" i="69"/>
  <c r="I24" i="69" s="1"/>
  <c r="J11" i="69"/>
  <c r="J37" i="69" s="1"/>
  <c r="K11" i="69"/>
  <c r="K24" i="69" s="1"/>
  <c r="L11" i="69"/>
  <c r="L37" i="69" s="1"/>
  <c r="C12" i="69"/>
  <c r="C25" i="69" s="1"/>
  <c r="D12" i="69"/>
  <c r="D25" i="69" s="1"/>
  <c r="E12" i="69"/>
  <c r="E25" i="69" s="1"/>
  <c r="F12" i="69"/>
  <c r="F25" i="69" s="1"/>
  <c r="G12" i="69"/>
  <c r="G25" i="69" s="1"/>
  <c r="H12" i="69"/>
  <c r="H25" i="69" s="1"/>
  <c r="I12" i="69"/>
  <c r="I25" i="69" s="1"/>
  <c r="J12" i="69"/>
  <c r="J25" i="69" s="1"/>
  <c r="K12" i="69"/>
  <c r="K25" i="69" s="1"/>
  <c r="L12" i="69"/>
  <c r="L25" i="69" s="1"/>
  <c r="C13" i="69"/>
  <c r="D13" i="69"/>
  <c r="E13" i="69"/>
  <c r="F13" i="69"/>
  <c r="G13" i="69"/>
  <c r="H13" i="69"/>
  <c r="I13" i="69"/>
  <c r="J13" i="69"/>
  <c r="K13" i="69"/>
  <c r="L13" i="69"/>
  <c r="C14" i="69"/>
  <c r="D14" i="69"/>
  <c r="E14" i="69"/>
  <c r="F14" i="69"/>
  <c r="G14" i="69"/>
  <c r="H14" i="69"/>
  <c r="I14" i="69"/>
  <c r="J14" i="69"/>
  <c r="K14" i="69"/>
  <c r="L14" i="69"/>
  <c r="C15" i="69"/>
  <c r="D15" i="69"/>
  <c r="E15" i="69"/>
  <c r="F15" i="69"/>
  <c r="G15" i="69"/>
  <c r="H15" i="69"/>
  <c r="I15" i="69"/>
  <c r="J15" i="69"/>
  <c r="K15" i="69"/>
  <c r="L15" i="69"/>
  <c r="C16" i="69"/>
  <c r="D16" i="69"/>
  <c r="E16" i="69"/>
  <c r="F16" i="69"/>
  <c r="G16" i="69"/>
  <c r="H16" i="69"/>
  <c r="I16" i="69"/>
  <c r="J16" i="69"/>
  <c r="K16" i="69"/>
  <c r="L16" i="69"/>
  <c r="C17" i="69"/>
  <c r="D17" i="69"/>
  <c r="E17" i="69"/>
  <c r="F17" i="69"/>
  <c r="G17" i="69"/>
  <c r="H17" i="69"/>
  <c r="I17" i="69"/>
  <c r="J17" i="69"/>
  <c r="K17" i="69"/>
  <c r="L17" i="69"/>
  <c r="C18" i="69"/>
  <c r="D18" i="69"/>
  <c r="E18" i="69"/>
  <c r="F18" i="69"/>
  <c r="G18" i="69"/>
  <c r="H18" i="69"/>
  <c r="I18" i="69"/>
  <c r="J18" i="69"/>
  <c r="K18" i="69"/>
  <c r="L18" i="69"/>
  <c r="C19" i="69"/>
  <c r="D19" i="69"/>
  <c r="E19" i="69"/>
  <c r="F19" i="69"/>
  <c r="G19" i="69"/>
  <c r="H19" i="69"/>
  <c r="I19" i="69"/>
  <c r="J19" i="69"/>
  <c r="K19" i="69"/>
  <c r="L19" i="69"/>
  <c r="C20" i="69"/>
  <c r="D20" i="69"/>
  <c r="E20" i="69"/>
  <c r="F20" i="69"/>
  <c r="G20" i="69"/>
  <c r="H20" i="69"/>
  <c r="I20" i="69"/>
  <c r="J20" i="69"/>
  <c r="K20" i="69"/>
  <c r="L20" i="69"/>
  <c r="D23" i="69"/>
  <c r="A25" i="69"/>
  <c r="A38" i="69" s="1"/>
  <c r="A13" i="69"/>
  <c r="K16" i="70" l="1"/>
  <c r="L23" i="69"/>
  <c r="J23" i="69"/>
  <c r="J20" i="86"/>
  <c r="G23" i="69"/>
  <c r="G20" i="86"/>
  <c r="K23" i="69"/>
  <c r="K20" i="86"/>
  <c r="C23" i="69"/>
  <c r="I23" i="69"/>
  <c r="I20" i="86"/>
  <c r="H23" i="69"/>
  <c r="H20" i="86"/>
  <c r="F23" i="69"/>
  <c r="F20" i="86"/>
  <c r="E23" i="69"/>
  <c r="E20" i="86"/>
  <c r="J24" i="69"/>
  <c r="K13" i="70"/>
  <c r="I10" i="70"/>
  <c r="I31" i="70" s="1"/>
  <c r="K11" i="70"/>
  <c r="K12" i="70"/>
  <c r="K14" i="70"/>
  <c r="K15" i="70"/>
  <c r="C37" i="69"/>
  <c r="D37" i="69"/>
  <c r="H37" i="69"/>
  <c r="I37" i="69"/>
  <c r="F24" i="69"/>
  <c r="L17" i="70"/>
  <c r="K31" i="70"/>
  <c r="I17" i="70"/>
  <c r="G10" i="70"/>
  <c r="G31" i="70" s="1"/>
  <c r="G17" i="70"/>
  <c r="D31" i="70"/>
  <c r="F31" i="70"/>
  <c r="J17" i="70"/>
  <c r="H10" i="70"/>
  <c r="H31" i="70" s="1"/>
  <c r="H17" i="70"/>
  <c r="L24" i="69"/>
  <c r="E24" i="69"/>
  <c r="K37" i="69"/>
  <c r="L38" i="69"/>
  <c r="J38" i="69"/>
  <c r="K38" i="69"/>
  <c r="H38" i="69"/>
  <c r="G38" i="69"/>
  <c r="F38" i="69"/>
  <c r="E38" i="69"/>
  <c r="C38" i="69"/>
  <c r="D38" i="69"/>
  <c r="I38" i="69"/>
  <c r="G24" i="69"/>
  <c r="A14" i="69"/>
  <c r="A26" i="69"/>
  <c r="A39" i="69" s="1"/>
  <c r="B13" i="69"/>
  <c r="K17" i="70" l="1"/>
  <c r="J10" i="70"/>
  <c r="J31" i="70" s="1"/>
  <c r="D33" i="70"/>
  <c r="D16" i="58" s="1"/>
  <c r="D29" i="58" s="1"/>
  <c r="D30" i="70"/>
  <c r="F17" i="70"/>
  <c r="E31" i="70"/>
  <c r="A27" i="69"/>
  <c r="A40" i="69" s="1"/>
  <c r="B14" i="69"/>
  <c r="A15" i="69"/>
  <c r="L39" i="69"/>
  <c r="K39" i="69"/>
  <c r="I39" i="69"/>
  <c r="H39" i="69"/>
  <c r="F39" i="69"/>
  <c r="G39" i="69"/>
  <c r="E39" i="69"/>
  <c r="D39" i="69"/>
  <c r="C39" i="69"/>
  <c r="J39" i="69"/>
  <c r="K26" i="69"/>
  <c r="L26" i="69"/>
  <c r="I26" i="69"/>
  <c r="H26" i="69"/>
  <c r="F26" i="69"/>
  <c r="G26" i="69"/>
  <c r="D26" i="69"/>
  <c r="J26" i="69"/>
  <c r="E26" i="69"/>
  <c r="C26" i="69"/>
  <c r="D32" i="70" l="1"/>
  <c r="D12" i="81"/>
  <c r="E33" i="70"/>
  <c r="E16" i="58" s="1"/>
  <c r="E29" i="58" s="1"/>
  <c r="E30" i="70"/>
  <c r="L40" i="69"/>
  <c r="J40" i="69"/>
  <c r="E40" i="69"/>
  <c r="K40" i="69"/>
  <c r="I40" i="69"/>
  <c r="H40" i="69"/>
  <c r="G40" i="69"/>
  <c r="F40" i="69"/>
  <c r="D40" i="69"/>
  <c r="C40" i="69"/>
  <c r="L27" i="69"/>
  <c r="J27" i="69"/>
  <c r="G27" i="69"/>
  <c r="I27" i="69"/>
  <c r="H27" i="69"/>
  <c r="F27" i="69"/>
  <c r="E27" i="69"/>
  <c r="D27" i="69"/>
  <c r="C27" i="69"/>
  <c r="K27" i="69"/>
  <c r="A28" i="69"/>
  <c r="A41" i="69" s="1"/>
  <c r="B15" i="69"/>
  <c r="A16" i="69"/>
  <c r="E32" i="70" l="1"/>
  <c r="E12" i="81"/>
  <c r="A17" i="69"/>
  <c r="A29" i="69"/>
  <c r="A42" i="69" s="1"/>
  <c r="B16" i="69"/>
  <c r="C28" i="69"/>
  <c r="K28" i="69"/>
  <c r="L28" i="69"/>
  <c r="J28" i="69"/>
  <c r="I28" i="69"/>
  <c r="H28" i="69"/>
  <c r="F28" i="69"/>
  <c r="G28" i="69"/>
  <c r="E28" i="69"/>
  <c r="D28" i="69"/>
  <c r="C41" i="69"/>
  <c r="K41" i="69"/>
  <c r="J41" i="69"/>
  <c r="L41" i="69"/>
  <c r="I41" i="69"/>
  <c r="H41" i="69"/>
  <c r="F41" i="69"/>
  <c r="G41" i="69"/>
  <c r="E41" i="69"/>
  <c r="D41" i="69"/>
  <c r="D42" i="69" l="1"/>
  <c r="C42" i="69"/>
  <c r="L42" i="69"/>
  <c r="I42" i="69"/>
  <c r="G42" i="69"/>
  <c r="K42" i="69"/>
  <c r="J42" i="69"/>
  <c r="H42" i="69"/>
  <c r="F42" i="69"/>
  <c r="E42" i="69"/>
  <c r="D29" i="69"/>
  <c r="C29" i="69"/>
  <c r="L29" i="69"/>
  <c r="G29" i="69"/>
  <c r="K29" i="69"/>
  <c r="I29" i="69"/>
  <c r="J29" i="69"/>
  <c r="H29" i="69"/>
  <c r="F29" i="69"/>
  <c r="E29" i="69"/>
  <c r="A30" i="69"/>
  <c r="A43" i="69" s="1"/>
  <c r="B17" i="69"/>
  <c r="A18" i="69"/>
  <c r="E30" i="69" l="1"/>
  <c r="C30" i="69"/>
  <c r="D30" i="69"/>
  <c r="L30" i="69"/>
  <c r="J30" i="69"/>
  <c r="K30" i="69"/>
  <c r="H30" i="69"/>
  <c r="I30" i="69"/>
  <c r="G30" i="69"/>
  <c r="F30" i="69"/>
  <c r="E43" i="69"/>
  <c r="C43" i="69"/>
  <c r="D43" i="69"/>
  <c r="L43" i="69"/>
  <c r="K43" i="69"/>
  <c r="J43" i="69"/>
  <c r="H43" i="69"/>
  <c r="I43" i="69"/>
  <c r="G43" i="69"/>
  <c r="F43" i="69"/>
  <c r="B18" i="69"/>
  <c r="A31" i="69"/>
  <c r="A44" i="69" s="1"/>
  <c r="A19" i="69"/>
  <c r="F44" i="69" l="1"/>
  <c r="D44" i="69"/>
  <c r="E44" i="69"/>
  <c r="I44" i="69"/>
  <c r="L44" i="69"/>
  <c r="K44" i="69"/>
  <c r="C44" i="69"/>
  <c r="J44" i="69"/>
  <c r="H44" i="69"/>
  <c r="G44" i="69"/>
  <c r="F31" i="69"/>
  <c r="D31" i="69"/>
  <c r="E31" i="69"/>
  <c r="L31" i="69"/>
  <c r="K31" i="69"/>
  <c r="J31" i="69"/>
  <c r="I31" i="69"/>
  <c r="H31" i="69"/>
  <c r="G31" i="69"/>
  <c r="C31" i="69"/>
  <c r="A32" i="69"/>
  <c r="A45" i="69" s="1"/>
  <c r="A20" i="69"/>
  <c r="B19" i="69"/>
  <c r="G45" i="69" l="1"/>
  <c r="E45" i="69"/>
  <c r="F45" i="69"/>
  <c r="C45" i="69"/>
  <c r="D45" i="69"/>
  <c r="L45" i="69"/>
  <c r="K45" i="69"/>
  <c r="J45" i="69"/>
  <c r="I45" i="69"/>
  <c r="H45" i="69"/>
  <c r="G32" i="69"/>
  <c r="F32" i="69"/>
  <c r="E32" i="69"/>
  <c r="C32" i="69"/>
  <c r="L32" i="69"/>
  <c r="J32" i="69"/>
  <c r="D32" i="69"/>
  <c r="K32" i="69"/>
  <c r="I32" i="69"/>
  <c r="H32" i="69"/>
  <c r="B20" i="69"/>
  <c r="A33" i="69"/>
  <c r="A46" i="69" s="1"/>
  <c r="H46" i="69" l="1"/>
  <c r="H47" i="69" s="1"/>
  <c r="F46" i="69"/>
  <c r="F47" i="69" s="1"/>
  <c r="E46" i="69"/>
  <c r="E47" i="69" s="1"/>
  <c r="G46" i="69"/>
  <c r="G47" i="69" s="1"/>
  <c r="D46" i="69"/>
  <c r="D47" i="69" s="1"/>
  <c r="K46" i="69"/>
  <c r="K47" i="69" s="1"/>
  <c r="C46" i="69"/>
  <c r="C47" i="69" s="1"/>
  <c r="L46" i="69"/>
  <c r="L47" i="69" s="1"/>
  <c r="J46" i="69"/>
  <c r="J47" i="69" s="1"/>
  <c r="I46" i="69"/>
  <c r="I47" i="69" s="1"/>
  <c r="H33" i="69"/>
  <c r="H34" i="69" s="1"/>
  <c r="H15" i="77" s="1"/>
  <c r="F33" i="69"/>
  <c r="F34" i="69" s="1"/>
  <c r="F15" i="77" s="1"/>
  <c r="G33" i="69"/>
  <c r="G34" i="69" s="1"/>
  <c r="G15" i="77" s="1"/>
  <c r="D33" i="69"/>
  <c r="D34" i="69" s="1"/>
  <c r="D15" i="77" s="1"/>
  <c r="C33" i="69"/>
  <c r="C34" i="69" s="1"/>
  <c r="C15" i="77" s="1"/>
  <c r="K33" i="69"/>
  <c r="K34" i="69" s="1"/>
  <c r="K15" i="77" s="1"/>
  <c r="L33" i="69"/>
  <c r="L34" i="69" s="1"/>
  <c r="L15" i="77" s="1"/>
  <c r="E33" i="69"/>
  <c r="E34" i="69" s="1"/>
  <c r="E15" i="77" s="1"/>
  <c r="J33" i="69"/>
  <c r="J34" i="69" s="1"/>
  <c r="J15" i="77" s="1"/>
  <c r="I33" i="69"/>
  <c r="I34" i="69" s="1"/>
  <c r="I15" i="77" s="1"/>
  <c r="B2" i="68"/>
  <c r="A24" i="68"/>
  <c r="A37" i="68" s="1"/>
  <c r="A23" i="68"/>
  <c r="A12" i="68"/>
  <c r="B12" i="68" s="1"/>
  <c r="B11" i="68"/>
  <c r="B1" i="68"/>
  <c r="B2" i="67"/>
  <c r="A24" i="67"/>
  <c r="A37" i="67" s="1"/>
  <c r="A23" i="67"/>
  <c r="A12" i="67"/>
  <c r="B12" i="67" s="1"/>
  <c r="B11" i="67"/>
  <c r="B1" i="67"/>
  <c r="B2" i="66"/>
  <c r="A24" i="66"/>
  <c r="A37" i="66" s="1"/>
  <c r="A23" i="66"/>
  <c r="A12" i="66"/>
  <c r="A25" i="66" s="1"/>
  <c r="A38" i="66" s="1"/>
  <c r="B11" i="66"/>
  <c r="B1" i="66"/>
  <c r="L13" i="66" a="1"/>
  <c r="J15" i="68" a="1"/>
  <c r="I19" i="68" a="1"/>
  <c r="F18" i="67" a="1"/>
  <c r="I12" i="68" a="1"/>
  <c r="J10" i="66" a="1"/>
  <c r="G17" i="68" a="1"/>
  <c r="K10" i="67" a="1"/>
  <c r="E18" i="68" a="1"/>
  <c r="D12" i="67" a="1"/>
  <c r="L12" i="66" a="1"/>
  <c r="K11" i="68" a="1"/>
  <c r="L13" i="67" a="1"/>
  <c r="H12" i="68" a="1"/>
  <c r="E14" i="67" a="1"/>
  <c r="L17" i="67" a="1"/>
  <c r="I10" i="66" a="1"/>
  <c r="C11" i="67" a="1"/>
  <c r="H15" i="67" a="1"/>
  <c r="F16" i="66" a="1"/>
  <c r="I12" i="67" a="1"/>
  <c r="H13" i="66" a="1"/>
  <c r="L15" i="67" a="1"/>
  <c r="J18" i="67" a="1"/>
  <c r="K15" i="68" a="1"/>
  <c r="K17" i="67" a="1"/>
  <c r="L14" i="67" a="1"/>
  <c r="I13" i="67" a="1"/>
  <c r="E15" i="67" a="1"/>
  <c r="J14" i="66" a="1"/>
  <c r="J13" i="66" a="1"/>
  <c r="H18" i="66" a="1"/>
  <c r="K13" i="67" a="1"/>
  <c r="K10" i="66" a="1"/>
  <c r="G20" i="66" a="1"/>
  <c r="C14" i="67" a="1"/>
  <c r="C12" i="67" a="1"/>
  <c r="D15" i="66" a="1"/>
  <c r="H14" i="67" a="1"/>
  <c r="F12" i="68" a="1"/>
  <c r="C18" i="67" a="1"/>
  <c r="C16" i="66" a="1"/>
  <c r="H14" i="68" a="1"/>
  <c r="E17" i="66" a="1"/>
  <c r="K13" i="66" a="1"/>
  <c r="I17" i="67" a="1"/>
  <c r="D18" i="68" a="1"/>
  <c r="J16" i="66" a="1"/>
  <c r="D11" i="66" a="1"/>
  <c r="E13" i="66" a="1"/>
  <c r="E18" i="67" a="1"/>
  <c r="G18" i="67" a="1"/>
  <c r="H18" i="67" a="1"/>
  <c r="J17" i="68" a="1"/>
  <c r="L20" i="66" a="1"/>
  <c r="J18" i="68" a="1"/>
  <c r="F10" i="66" a="1"/>
  <c r="E17" i="68" a="1"/>
  <c r="J10" i="68" a="1"/>
  <c r="G12" i="68" a="1"/>
  <c r="C14" i="68" a="1"/>
  <c r="K17" i="66" a="1"/>
  <c r="K19" i="68" a="1"/>
  <c r="D19" i="68" a="1"/>
  <c r="G10" i="67" a="1"/>
  <c r="I20" i="68" a="1"/>
  <c r="C10" i="67" a="1"/>
  <c r="C20" i="67" a="1"/>
  <c r="J17" i="66" a="1"/>
  <c r="F11" i="67" a="1"/>
  <c r="C16" i="68" a="1"/>
  <c r="D20" i="67" a="1"/>
  <c r="L14" i="68" a="1"/>
  <c r="C15" i="66" a="1"/>
  <c r="H20" i="66" a="1"/>
  <c r="J19" i="67" a="1"/>
  <c r="G18" i="68" a="1"/>
  <c r="E19" i="68" a="1"/>
  <c r="G16" i="66" a="1"/>
  <c r="J12" i="68" a="1"/>
  <c r="L16" i="67" a="1"/>
  <c r="J17" i="67" a="1"/>
  <c r="G14" i="67" a="1"/>
  <c r="I16" i="68" a="1"/>
  <c r="F17" i="66" a="1"/>
  <c r="K16" i="68" a="1"/>
  <c r="L16" i="66" a="1"/>
  <c r="I19" i="66" a="1"/>
  <c r="I18" i="68" a="1"/>
  <c r="G16" i="67" a="1"/>
  <c r="H20" i="67" a="1"/>
  <c r="E10" i="67" a="1"/>
  <c r="L13" i="68" a="1"/>
  <c r="E11" i="66" a="1"/>
  <c r="L11" i="67" a="1"/>
  <c r="K16" i="66" a="1"/>
  <c r="H16" i="68" a="1"/>
  <c r="J10" i="67" a="1"/>
  <c r="H16" i="67" a="1"/>
  <c r="E19" i="67" a="1"/>
  <c r="D10" i="68" a="1"/>
  <c r="K18" i="68" a="1"/>
  <c r="D17" i="68" a="1"/>
  <c r="L11" i="66" a="1"/>
  <c r="I20" i="66" a="1"/>
  <c r="I11" i="67" a="1"/>
  <c r="G12" i="67" a="1"/>
  <c r="F19" i="68" a="1"/>
  <c r="C11" i="66" a="1"/>
  <c r="E12" i="67" a="1"/>
  <c r="F14" i="67" a="1"/>
  <c r="I16" i="67" a="1"/>
  <c r="I19" i="67" a="1"/>
  <c r="L19" i="67" a="1"/>
  <c r="L17" i="66" a="1"/>
  <c r="C14" i="66" a="1"/>
  <c r="J15" i="67" a="1"/>
  <c r="E18" i="66" a="1"/>
  <c r="H11" i="67" a="1"/>
  <c r="I12" i="66" a="1"/>
  <c r="G20" i="67" a="1"/>
  <c r="F15" i="68" a="1"/>
  <c r="G13" i="67" a="1"/>
  <c r="L16" i="68" a="1"/>
  <c r="K20" i="67" a="1"/>
  <c r="I18" i="67" a="1"/>
  <c r="J20" i="66" a="1"/>
  <c r="D10" i="66" a="1"/>
  <c r="D14" i="67" a="1"/>
  <c r="L19" i="66" a="1"/>
  <c r="I14" i="68" a="1"/>
  <c r="J16" i="68" a="1"/>
  <c r="K12" i="66" a="1"/>
  <c r="L12" i="68" a="1"/>
  <c r="G16" i="68" a="1"/>
  <c r="C12" i="68" a="1"/>
  <c r="F14" i="68" a="1"/>
  <c r="L10" i="66" a="1"/>
  <c r="H15" i="68" a="1"/>
  <c r="C18" i="66" a="1"/>
  <c r="G10" i="66" a="1"/>
  <c r="G10" i="68" a="1"/>
  <c r="F20" i="67" a="1"/>
  <c r="J20" i="67" a="1"/>
  <c r="D19" i="67" a="1"/>
  <c r="H10" i="67" a="1"/>
  <c r="K18" i="67" a="1"/>
  <c r="G15" i="68" a="1"/>
  <c r="J19" i="68" a="1"/>
  <c r="G15" i="67" a="1"/>
  <c r="E19" i="66" a="1"/>
  <c r="G13" i="68" a="1"/>
  <c r="E12" i="68" a="1"/>
  <c r="E17" i="67" a="1"/>
  <c r="H18" i="68" a="1"/>
  <c r="J14" i="68" a="1"/>
  <c r="G13" i="66" a="1"/>
  <c r="F13" i="66" a="1"/>
  <c r="E13" i="67" a="1"/>
  <c r="I16" i="66" a="1"/>
  <c r="H17" i="68" a="1"/>
  <c r="D13" i="66" a="1"/>
  <c r="F14" i="66" a="1"/>
  <c r="L10" i="68" a="1"/>
  <c r="G11" i="67" a="1"/>
  <c r="G19" i="66" a="1"/>
  <c r="I17" i="66" a="1"/>
  <c r="H13" i="67" a="1"/>
  <c r="F12" i="66" a="1"/>
  <c r="E10" i="66" a="1"/>
  <c r="K13" i="68" a="1"/>
  <c r="F12" i="67" a="1"/>
  <c r="E12" i="66" a="1"/>
  <c r="J16" i="67" a="1"/>
  <c r="F18" i="68" a="1"/>
  <c r="C15" i="67" a="1"/>
  <c r="I14" i="67" a="1"/>
  <c r="K11" i="66" a="1"/>
  <c r="D18" i="66" a="1"/>
  <c r="C19" i="66" a="1"/>
  <c r="F16" i="68" a="1"/>
  <c r="C17" i="67" a="1"/>
  <c r="G17" i="67" a="1"/>
  <c r="C15" i="68" a="1"/>
  <c r="F15" i="66" a="1"/>
  <c r="D14" i="68" a="1"/>
  <c r="D12" i="66" a="1"/>
  <c r="I20" i="67" a="1"/>
  <c r="E20" i="68" a="1"/>
  <c r="D19" i="66" a="1"/>
  <c r="H16" i="66" a="1"/>
  <c r="D20" i="68" a="1"/>
  <c r="J11" i="68" a="1"/>
  <c r="C20" i="68" a="1"/>
  <c r="I10" i="67" a="1"/>
  <c r="I15" i="67" a="1"/>
  <c r="J11" i="66" a="1"/>
  <c r="G20" i="68" a="1"/>
  <c r="L18" i="67" a="1"/>
  <c r="K20" i="68" a="1"/>
  <c r="L11" i="68" a="1"/>
  <c r="K15" i="67" a="1"/>
  <c r="F15" i="67" a="1"/>
  <c r="H13" i="68" a="1"/>
  <c r="I15" i="66" a="1"/>
  <c r="K15" i="66" a="1"/>
  <c r="G11" i="68" a="1"/>
  <c r="D18" i="67" a="1"/>
  <c r="D17" i="66" a="1"/>
  <c r="E13" i="68" a="1"/>
  <c r="F13" i="67" a="1"/>
  <c r="D16" i="66" a="1"/>
  <c r="I14" i="66" a="1"/>
  <c r="D16" i="68" a="1"/>
  <c r="G18" i="66" a="1"/>
  <c r="L15" i="68" a="1"/>
  <c r="F17" i="68" a="1"/>
  <c r="H12" i="67" a="1"/>
  <c r="D14" i="66" a="1"/>
  <c r="F20" i="66" a="1"/>
  <c r="L10" i="67" a="1"/>
  <c r="J12" i="67" a="1"/>
  <c r="K12" i="68" a="1"/>
  <c r="D10" i="67" a="1"/>
  <c r="L12" i="67" a="1"/>
  <c r="C13" i="66" a="1"/>
  <c r="G14" i="68" a="1"/>
  <c r="F16" i="67" a="1"/>
  <c r="C13" i="67" a="1"/>
  <c r="J13" i="68" a="1"/>
  <c r="E14" i="68" a="1"/>
  <c r="C13" i="68" a="1"/>
  <c r="E15" i="66" a="1"/>
  <c r="C18" i="68" a="1"/>
  <c r="K14" i="68" a="1"/>
  <c r="D16" i="67" a="1"/>
  <c r="E10" i="68" a="1"/>
  <c r="F18" i="66" a="1"/>
  <c r="D11" i="67" a="1"/>
  <c r="H19" i="67" a="1"/>
  <c r="C19" i="67" a="1"/>
  <c r="E20" i="67" a="1"/>
  <c r="J19" i="66" a="1"/>
  <c r="I13" i="68" a="1"/>
  <c r="D17" i="67" a="1"/>
  <c r="K19" i="66" a="1"/>
  <c r="G19" i="67" a="1"/>
  <c r="I10" i="68" a="1"/>
  <c r="E16" i="66" a="1"/>
  <c r="D15" i="68" a="1"/>
  <c r="I11" i="68" a="1"/>
  <c r="C10" i="66" a="1"/>
  <c r="G15" i="66" a="1"/>
  <c r="H19" i="66" a="1"/>
  <c r="G19" i="68" a="1"/>
  <c r="H19" i="68" a="1"/>
  <c r="L14" i="66" a="1"/>
  <c r="L20" i="67" a="1"/>
  <c r="G11" i="66" a="1"/>
  <c r="F19" i="66" a="1"/>
  <c r="H10" i="68" a="1"/>
  <c r="J12" i="66" a="1"/>
  <c r="G14" i="66" a="1"/>
  <c r="E11" i="68" a="1"/>
  <c r="F11" i="68" a="1"/>
  <c r="F10" i="67" a="1"/>
  <c r="F20" i="68" a="1"/>
  <c r="K10" i="68" a="1"/>
  <c r="D11" i="68" a="1"/>
  <c r="K14" i="66" a="1"/>
  <c r="I11" i="66" a="1"/>
  <c r="G12" i="66" a="1"/>
  <c r="L18" i="66" a="1"/>
  <c r="H10" i="66" a="1"/>
  <c r="K20" i="66" a="1"/>
  <c r="C11" i="68" a="1"/>
  <c r="F13" i="68" a="1"/>
  <c r="K16" i="67" a="1"/>
  <c r="F17" i="67" a="1"/>
  <c r="C20" i="66" a="1"/>
  <c r="L20" i="68" a="1"/>
  <c r="C10" i="68" a="1"/>
  <c r="D12" i="68" a="1"/>
  <c r="K11" i="67" a="1"/>
  <c r="D15" i="67" a="1"/>
  <c r="L17" i="68" a="1"/>
  <c r="H14" i="66" a="1"/>
  <c r="I15" i="68" a="1"/>
  <c r="F10" i="68" a="1"/>
  <c r="K14" i="67" a="1"/>
  <c r="J15" i="66" a="1"/>
  <c r="G17" i="66" a="1"/>
  <c r="F19" i="67" a="1"/>
  <c r="H11" i="68" a="1"/>
  <c r="D13" i="67" a="1"/>
  <c r="C17" i="68" a="1"/>
  <c r="I13" i="66" a="1"/>
  <c r="L15" i="66" a="1"/>
  <c r="H17" i="66" a="1"/>
  <c r="L18" i="68" a="1"/>
  <c r="C16" i="67" a="1"/>
  <c r="E15" i="68" a="1"/>
  <c r="L19" i="68" a="1"/>
  <c r="H12" i="66" a="1"/>
  <c r="J13" i="67" a="1"/>
  <c r="E20" i="66" a="1"/>
  <c r="E16" i="67" a="1"/>
  <c r="D13" i="68" a="1"/>
  <c r="K12" i="67" a="1"/>
  <c r="H11" i="66" a="1"/>
  <c r="I18" i="66" a="1"/>
  <c r="H17" i="67" a="1"/>
  <c r="K19" i="67" a="1"/>
  <c r="C19" i="68" a="1"/>
  <c r="K17" i="68" a="1"/>
  <c r="F11" i="66" a="1"/>
  <c r="H15" i="66" a="1"/>
  <c r="C17" i="66" a="1"/>
  <c r="E11" i="67" a="1"/>
  <c r="I17" i="68" a="1"/>
  <c r="J11" i="67" a="1"/>
  <c r="J18" i="66" a="1"/>
  <c r="E16" i="68" a="1"/>
  <c r="J20" i="68" a="1"/>
  <c r="C12" i="66" a="1"/>
  <c r="D20" i="66" a="1"/>
  <c r="H20" i="68" a="1"/>
  <c r="J14" i="67" a="1"/>
  <c r="E14" i="66" a="1"/>
  <c r="K18" i="66" a="1"/>
  <c r="H13" i="66" l="1"/>
  <c r="I48" i="69"/>
  <c r="I11" i="86"/>
  <c r="J48" i="69"/>
  <c r="J11" i="86"/>
  <c r="L48" i="69"/>
  <c r="L11" i="86"/>
  <c r="C48" i="69"/>
  <c r="C11" i="86"/>
  <c r="K48" i="69"/>
  <c r="K11" i="86"/>
  <c r="D48" i="69"/>
  <c r="D11" i="86"/>
  <c r="G48" i="69"/>
  <c r="G11" i="86"/>
  <c r="E48" i="69"/>
  <c r="E11" i="86"/>
  <c r="F48" i="69"/>
  <c r="F11" i="86"/>
  <c r="H48" i="69"/>
  <c r="H11" i="86"/>
  <c r="C10" i="66"/>
  <c r="C20" i="83" s="1"/>
  <c r="D10" i="66"/>
  <c r="D20" i="83" s="1"/>
  <c r="E10" i="66"/>
  <c r="E20" i="83" s="1"/>
  <c r="F10" i="66"/>
  <c r="G10" i="66"/>
  <c r="H10" i="66"/>
  <c r="H20" i="83" s="1"/>
  <c r="I10" i="66"/>
  <c r="I20" i="83" s="1"/>
  <c r="J10" i="66"/>
  <c r="J20" i="83" s="1"/>
  <c r="K10" i="66"/>
  <c r="L10" i="66"/>
  <c r="L20" i="83" s="1"/>
  <c r="C11" i="66"/>
  <c r="C37" i="66" s="1"/>
  <c r="D11" i="66"/>
  <c r="D37" i="66" s="1"/>
  <c r="E11" i="66"/>
  <c r="E37" i="66" s="1"/>
  <c r="F11" i="66"/>
  <c r="F37" i="66" s="1"/>
  <c r="G11" i="66"/>
  <c r="G24" i="66" s="1"/>
  <c r="H11" i="66"/>
  <c r="H24" i="66" s="1"/>
  <c r="I11" i="66"/>
  <c r="I24" i="66" s="1"/>
  <c r="J11" i="66"/>
  <c r="J24" i="66" s="1"/>
  <c r="K11" i="66"/>
  <c r="K37" i="66" s="1"/>
  <c r="L11" i="66"/>
  <c r="L37" i="66" s="1"/>
  <c r="C12" i="66"/>
  <c r="C38" i="66" s="1"/>
  <c r="D12" i="66"/>
  <c r="D38" i="66" s="1"/>
  <c r="E12" i="66"/>
  <c r="E38" i="66" s="1"/>
  <c r="F12" i="66"/>
  <c r="F38" i="66" s="1"/>
  <c r="G12" i="66"/>
  <c r="G38" i="66" s="1"/>
  <c r="H12" i="66"/>
  <c r="H38" i="66" s="1"/>
  <c r="I12" i="66"/>
  <c r="I38" i="66" s="1"/>
  <c r="J12" i="66"/>
  <c r="J38" i="66" s="1"/>
  <c r="K12" i="66"/>
  <c r="K38" i="66" s="1"/>
  <c r="L12" i="66"/>
  <c r="L38" i="66" s="1"/>
  <c r="C13" i="66"/>
  <c r="D13" i="66"/>
  <c r="E13" i="66"/>
  <c r="F13" i="66"/>
  <c r="G13" i="66"/>
  <c r="I13" i="66"/>
  <c r="J13" i="66"/>
  <c r="K13" i="66"/>
  <c r="L13" i="66"/>
  <c r="C14" i="66"/>
  <c r="D14" i="66"/>
  <c r="E14" i="66"/>
  <c r="F14" i="66"/>
  <c r="G14" i="66"/>
  <c r="H14" i="66"/>
  <c r="I14" i="66"/>
  <c r="J14" i="66"/>
  <c r="K14" i="66"/>
  <c r="L14" i="66"/>
  <c r="C15" i="66"/>
  <c r="D15" i="66"/>
  <c r="E15" i="66"/>
  <c r="F15" i="66"/>
  <c r="G15" i="66"/>
  <c r="H15" i="66"/>
  <c r="I15" i="66"/>
  <c r="J15" i="66"/>
  <c r="K15" i="66"/>
  <c r="L15" i="66"/>
  <c r="C16" i="66"/>
  <c r="D16" i="66"/>
  <c r="E16" i="66"/>
  <c r="F16" i="66"/>
  <c r="G16" i="66"/>
  <c r="H16" i="66"/>
  <c r="I16" i="66"/>
  <c r="J16" i="66"/>
  <c r="K16" i="66"/>
  <c r="L16" i="66"/>
  <c r="C17" i="66"/>
  <c r="D17" i="66"/>
  <c r="E17" i="66"/>
  <c r="F17" i="66"/>
  <c r="G17" i="66"/>
  <c r="H17" i="66"/>
  <c r="I17" i="66"/>
  <c r="J17" i="66"/>
  <c r="K17" i="66"/>
  <c r="L17" i="66"/>
  <c r="C18" i="66"/>
  <c r="D18" i="66"/>
  <c r="E18" i="66"/>
  <c r="F18" i="66"/>
  <c r="G18" i="66"/>
  <c r="H18" i="66"/>
  <c r="I18" i="66"/>
  <c r="J18" i="66"/>
  <c r="K18" i="66"/>
  <c r="L18" i="66"/>
  <c r="C19" i="66"/>
  <c r="D19" i="66"/>
  <c r="E19" i="66"/>
  <c r="F19" i="66"/>
  <c r="G19" i="66"/>
  <c r="H19" i="66"/>
  <c r="I19" i="66"/>
  <c r="J19" i="66"/>
  <c r="K19" i="66"/>
  <c r="L19" i="66"/>
  <c r="C20" i="66"/>
  <c r="D20" i="66"/>
  <c r="E20" i="66"/>
  <c r="F20" i="66"/>
  <c r="G20" i="66"/>
  <c r="H20" i="66"/>
  <c r="I20" i="66"/>
  <c r="J20" i="66"/>
  <c r="K20" i="66"/>
  <c r="L20" i="66"/>
  <c r="C10" i="68"/>
  <c r="D10" i="68"/>
  <c r="E10" i="68"/>
  <c r="F10" i="68"/>
  <c r="F20" i="85" s="1"/>
  <c r="G10" i="68"/>
  <c r="G20" i="85" s="1"/>
  <c r="H10" i="68"/>
  <c r="I10" i="68"/>
  <c r="J10" i="68"/>
  <c r="K10" i="68"/>
  <c r="L10" i="68"/>
  <c r="L20" i="85" s="1"/>
  <c r="C11" i="68"/>
  <c r="C37" i="68" s="1"/>
  <c r="D11" i="68"/>
  <c r="D24" i="68" s="1"/>
  <c r="E11" i="68"/>
  <c r="E37" i="68" s="1"/>
  <c r="F11" i="68"/>
  <c r="F37" i="68" s="1"/>
  <c r="G11" i="68"/>
  <c r="H11" i="68"/>
  <c r="H24" i="68" s="1"/>
  <c r="I11" i="68"/>
  <c r="J11" i="68"/>
  <c r="J24" i="68" s="1"/>
  <c r="K11" i="68"/>
  <c r="K37" i="68" s="1"/>
  <c r="L11" i="68"/>
  <c r="L37" i="68" s="1"/>
  <c r="C12" i="68"/>
  <c r="C25" i="68" s="1"/>
  <c r="D12" i="68"/>
  <c r="D25" i="68" s="1"/>
  <c r="E12" i="68"/>
  <c r="E25" i="68" s="1"/>
  <c r="F12" i="68"/>
  <c r="F25" i="68" s="1"/>
  <c r="G12" i="68"/>
  <c r="G25" i="68" s="1"/>
  <c r="H12" i="68"/>
  <c r="H25" i="68" s="1"/>
  <c r="I12" i="68"/>
  <c r="I25" i="68" s="1"/>
  <c r="J12" i="68"/>
  <c r="J25" i="68" s="1"/>
  <c r="K12" i="68"/>
  <c r="K25" i="68" s="1"/>
  <c r="L12" i="68"/>
  <c r="C13" i="68"/>
  <c r="D13" i="68"/>
  <c r="E13" i="68"/>
  <c r="F13" i="68"/>
  <c r="G13" i="68"/>
  <c r="H13" i="68"/>
  <c r="I13" i="68"/>
  <c r="J13" i="68"/>
  <c r="K13" i="68"/>
  <c r="L13" i="68"/>
  <c r="C14" i="68"/>
  <c r="D14" i="68"/>
  <c r="E14" i="68"/>
  <c r="F14" i="68"/>
  <c r="G14" i="68"/>
  <c r="H14" i="68"/>
  <c r="I14" i="68"/>
  <c r="J14" i="68"/>
  <c r="K14" i="68"/>
  <c r="L14" i="68"/>
  <c r="C15" i="68"/>
  <c r="D15" i="68"/>
  <c r="E15" i="68"/>
  <c r="F15" i="68"/>
  <c r="G15" i="68"/>
  <c r="H15" i="68"/>
  <c r="I15" i="68"/>
  <c r="J15" i="68"/>
  <c r="K15" i="68"/>
  <c r="L15" i="68"/>
  <c r="C16" i="68"/>
  <c r="D16" i="68"/>
  <c r="E16" i="68"/>
  <c r="F16" i="68"/>
  <c r="G16" i="68"/>
  <c r="H16" i="68"/>
  <c r="I16" i="68"/>
  <c r="J16" i="68"/>
  <c r="K16" i="68"/>
  <c r="L16" i="68"/>
  <c r="C17" i="68"/>
  <c r="D17" i="68"/>
  <c r="E17" i="68"/>
  <c r="F17" i="68"/>
  <c r="G17" i="68"/>
  <c r="H17" i="68"/>
  <c r="I17" i="68"/>
  <c r="J17" i="68"/>
  <c r="K17" i="68"/>
  <c r="L17" i="68"/>
  <c r="C18" i="68"/>
  <c r="D18" i="68"/>
  <c r="E18" i="68"/>
  <c r="F18" i="68"/>
  <c r="G18" i="68"/>
  <c r="H18" i="68"/>
  <c r="I18" i="68"/>
  <c r="J18" i="68"/>
  <c r="K18" i="68"/>
  <c r="L18" i="68"/>
  <c r="C19" i="68"/>
  <c r="D19" i="68"/>
  <c r="E19" i="68"/>
  <c r="F19" i="68"/>
  <c r="G19" i="68"/>
  <c r="H19" i="68"/>
  <c r="I19" i="68"/>
  <c r="J19" i="68"/>
  <c r="K19" i="68"/>
  <c r="L19" i="68"/>
  <c r="C20" i="68"/>
  <c r="D20" i="68"/>
  <c r="E20" i="68"/>
  <c r="F20" i="68"/>
  <c r="G20" i="68"/>
  <c r="H20" i="68"/>
  <c r="I20" i="68"/>
  <c r="J20" i="68"/>
  <c r="K20" i="68"/>
  <c r="L20" i="68"/>
  <c r="C10" i="67"/>
  <c r="D10" i="67"/>
  <c r="D20" i="84" s="1"/>
  <c r="E10" i="67"/>
  <c r="E20" i="84" s="1"/>
  <c r="F10" i="67"/>
  <c r="G10" i="67"/>
  <c r="H10" i="67"/>
  <c r="H20" i="84" s="1"/>
  <c r="I10" i="67"/>
  <c r="J10" i="67"/>
  <c r="J20" i="84" s="1"/>
  <c r="K10" i="67"/>
  <c r="L10" i="67"/>
  <c r="C11" i="67"/>
  <c r="C37" i="67" s="1"/>
  <c r="D11" i="67"/>
  <c r="D37" i="67" s="1"/>
  <c r="E11" i="67"/>
  <c r="E37" i="67" s="1"/>
  <c r="F11" i="67"/>
  <c r="F24" i="67" s="1"/>
  <c r="G11" i="67"/>
  <c r="G24" i="67" s="1"/>
  <c r="H11" i="67"/>
  <c r="H24" i="67" s="1"/>
  <c r="I11" i="67"/>
  <c r="I24" i="67" s="1"/>
  <c r="J11" i="67"/>
  <c r="J24" i="67" s="1"/>
  <c r="K11" i="67"/>
  <c r="K24" i="67" s="1"/>
  <c r="L11" i="67"/>
  <c r="L37" i="67" s="1"/>
  <c r="C12" i="67"/>
  <c r="C25" i="67" s="1"/>
  <c r="D12" i="67"/>
  <c r="D25" i="67" s="1"/>
  <c r="E12" i="67"/>
  <c r="E25" i="67" s="1"/>
  <c r="F12" i="67"/>
  <c r="F25" i="67" s="1"/>
  <c r="G12" i="67"/>
  <c r="G25" i="67" s="1"/>
  <c r="H12" i="67"/>
  <c r="H25" i="67" s="1"/>
  <c r="I12" i="67"/>
  <c r="I25" i="67" s="1"/>
  <c r="J12" i="67"/>
  <c r="J25" i="67" s="1"/>
  <c r="K12" i="67"/>
  <c r="K25" i="67" s="1"/>
  <c r="L12" i="67"/>
  <c r="L25" i="67" s="1"/>
  <c r="C13" i="67"/>
  <c r="D13" i="67"/>
  <c r="E13" i="67"/>
  <c r="F13" i="67"/>
  <c r="G13" i="67"/>
  <c r="H13" i="67"/>
  <c r="I13" i="67"/>
  <c r="J13" i="67"/>
  <c r="K13" i="67"/>
  <c r="L13" i="67"/>
  <c r="C14" i="67"/>
  <c r="D14" i="67"/>
  <c r="E14" i="67"/>
  <c r="F14" i="67"/>
  <c r="G14" i="67"/>
  <c r="H14" i="67"/>
  <c r="I14" i="67"/>
  <c r="J14" i="67"/>
  <c r="K14" i="67"/>
  <c r="L14" i="67"/>
  <c r="C15" i="67"/>
  <c r="D15" i="67"/>
  <c r="E15" i="67"/>
  <c r="F15" i="67"/>
  <c r="G15" i="67"/>
  <c r="H15" i="67"/>
  <c r="I15" i="67"/>
  <c r="J15" i="67"/>
  <c r="K15" i="67"/>
  <c r="L15" i="67"/>
  <c r="C16" i="67"/>
  <c r="D16" i="67"/>
  <c r="E16" i="67"/>
  <c r="F16" i="67"/>
  <c r="G16" i="67"/>
  <c r="H16" i="67"/>
  <c r="I16" i="67"/>
  <c r="J16" i="67"/>
  <c r="K16" i="67"/>
  <c r="L16" i="67"/>
  <c r="C17" i="67"/>
  <c r="D17" i="67"/>
  <c r="E17" i="67"/>
  <c r="F17" i="67"/>
  <c r="G17" i="67"/>
  <c r="H17" i="67"/>
  <c r="I17" i="67"/>
  <c r="J17" i="67"/>
  <c r="K17" i="67"/>
  <c r="L17" i="67"/>
  <c r="C18" i="67"/>
  <c r="D18" i="67"/>
  <c r="E18" i="67"/>
  <c r="F18" i="67"/>
  <c r="G18" i="67"/>
  <c r="H18" i="67"/>
  <c r="I18" i="67"/>
  <c r="J18" i="67"/>
  <c r="K18" i="67"/>
  <c r="L18" i="67"/>
  <c r="C19" i="67"/>
  <c r="D19" i="67"/>
  <c r="E19" i="67"/>
  <c r="F19" i="67"/>
  <c r="G19" i="67"/>
  <c r="H19" i="67"/>
  <c r="I19" i="67"/>
  <c r="J19" i="67"/>
  <c r="K19" i="67"/>
  <c r="L19" i="67"/>
  <c r="C20" i="67"/>
  <c r="D20" i="67"/>
  <c r="E20" i="67"/>
  <c r="F20" i="67"/>
  <c r="G20" i="67"/>
  <c r="H20" i="67"/>
  <c r="I20" i="67"/>
  <c r="J20" i="67"/>
  <c r="K20" i="67"/>
  <c r="L20" i="67"/>
  <c r="A13" i="66"/>
  <c r="B13" i="66" s="1"/>
  <c r="L25" i="68"/>
  <c r="A13" i="67"/>
  <c r="A26" i="67" s="1"/>
  <c r="A39" i="67" s="1"/>
  <c r="A25" i="68"/>
  <c r="A38" i="68" s="1"/>
  <c r="A13" i="68"/>
  <c r="A25" i="67"/>
  <c r="A38" i="67" s="1"/>
  <c r="B12" i="66"/>
  <c r="I23" i="66" l="1"/>
  <c r="C23" i="66"/>
  <c r="J23" i="67"/>
  <c r="J23" i="66"/>
  <c r="C26" i="66"/>
  <c r="D26" i="66"/>
  <c r="L26" i="66"/>
  <c r="A14" i="66"/>
  <c r="B14" i="66" s="1"/>
  <c r="H23" i="66"/>
  <c r="L23" i="68"/>
  <c r="G23" i="68"/>
  <c r="D23" i="67"/>
  <c r="E23" i="67"/>
  <c r="A26" i="66"/>
  <c r="A39" i="66" s="1"/>
  <c r="I39" i="66" s="1"/>
  <c r="F23" i="68"/>
  <c r="D23" i="66"/>
  <c r="H26" i="66"/>
  <c r="D23" i="68"/>
  <c r="D20" i="85"/>
  <c r="E23" i="68"/>
  <c r="E20" i="85"/>
  <c r="L23" i="67"/>
  <c r="L20" i="84"/>
  <c r="J26" i="66"/>
  <c r="C23" i="68"/>
  <c r="C20" i="85"/>
  <c r="K23" i="67"/>
  <c r="K20" i="84"/>
  <c r="H23" i="67"/>
  <c r="I23" i="67"/>
  <c r="I20" i="84"/>
  <c r="K23" i="68"/>
  <c r="K20" i="85"/>
  <c r="F26" i="66"/>
  <c r="F23" i="66"/>
  <c r="F20" i="83"/>
  <c r="G23" i="67"/>
  <c r="G20" i="84"/>
  <c r="I23" i="68"/>
  <c r="I20" i="85"/>
  <c r="C23" i="67"/>
  <c r="C20" i="84"/>
  <c r="F24" i="66"/>
  <c r="F23" i="67"/>
  <c r="F20" i="84"/>
  <c r="H23" i="68"/>
  <c r="H20" i="85"/>
  <c r="J23" i="68"/>
  <c r="J20" i="85"/>
  <c r="K23" i="66"/>
  <c r="K20" i="83"/>
  <c r="G23" i="66"/>
  <c r="G20" i="83"/>
  <c r="D24" i="67"/>
  <c r="L23" i="66"/>
  <c r="E23" i="66"/>
  <c r="E24" i="66"/>
  <c r="C24" i="67"/>
  <c r="I26" i="66"/>
  <c r="F37" i="67"/>
  <c r="H37" i="67"/>
  <c r="G26" i="66"/>
  <c r="K26" i="66"/>
  <c r="E26" i="66"/>
  <c r="A14" i="67"/>
  <c r="A27" i="67" s="1"/>
  <c r="A40" i="67" s="1"/>
  <c r="D24" i="66"/>
  <c r="K24" i="68"/>
  <c r="E24" i="68"/>
  <c r="F24" i="68"/>
  <c r="B13" i="67"/>
  <c r="F26" i="67" s="1"/>
  <c r="J37" i="68"/>
  <c r="L24" i="68"/>
  <c r="H37" i="68"/>
  <c r="A14" i="68"/>
  <c r="B13" i="68"/>
  <c r="A26" i="68"/>
  <c r="A39" i="68" s="1"/>
  <c r="G37" i="68"/>
  <c r="G24" i="68"/>
  <c r="D37" i="68"/>
  <c r="C24" i="68"/>
  <c r="L38" i="68"/>
  <c r="K38" i="68"/>
  <c r="G38" i="68"/>
  <c r="F38" i="68"/>
  <c r="C38" i="68"/>
  <c r="E38" i="68"/>
  <c r="D38" i="68"/>
  <c r="I38" i="68"/>
  <c r="J38" i="68"/>
  <c r="H38" i="68"/>
  <c r="I24" i="68"/>
  <c r="I37" i="68"/>
  <c r="G37" i="67"/>
  <c r="I37" i="67"/>
  <c r="K37" i="67"/>
  <c r="E24" i="67"/>
  <c r="L38" i="67"/>
  <c r="K38" i="67"/>
  <c r="J38" i="67"/>
  <c r="I38" i="67"/>
  <c r="H38" i="67"/>
  <c r="G38" i="67"/>
  <c r="F38" i="67"/>
  <c r="E38" i="67"/>
  <c r="D38" i="67"/>
  <c r="C38" i="67"/>
  <c r="L24" i="67"/>
  <c r="J37" i="67"/>
  <c r="K39" i="67"/>
  <c r="J39" i="67"/>
  <c r="I39" i="67"/>
  <c r="H39" i="67"/>
  <c r="G39" i="67"/>
  <c r="L39" i="67"/>
  <c r="F39" i="67"/>
  <c r="E39" i="67"/>
  <c r="D39" i="67"/>
  <c r="C39" i="67"/>
  <c r="I37" i="66"/>
  <c r="K24" i="66"/>
  <c r="G37" i="66"/>
  <c r="L24" i="66"/>
  <c r="H37" i="66"/>
  <c r="C24" i="66"/>
  <c r="L25" i="66"/>
  <c r="I25" i="66"/>
  <c r="H25" i="66"/>
  <c r="G25" i="66"/>
  <c r="K25" i="66"/>
  <c r="F25" i="66"/>
  <c r="E25" i="66"/>
  <c r="D25" i="66"/>
  <c r="C25" i="66"/>
  <c r="J25" i="66"/>
  <c r="J37" i="66"/>
  <c r="L39" i="66" l="1"/>
  <c r="G39" i="66"/>
  <c r="C39" i="66"/>
  <c r="K39" i="66"/>
  <c r="A27" i="66"/>
  <c r="A40" i="66" s="1"/>
  <c r="I40" i="66" s="1"/>
  <c r="F39" i="66"/>
  <c r="J39" i="66"/>
  <c r="D39" i="66"/>
  <c r="E39" i="66"/>
  <c r="H39" i="66"/>
  <c r="A15" i="66"/>
  <c r="B15" i="66" s="1"/>
  <c r="A15" i="67"/>
  <c r="A28" i="67" s="1"/>
  <c r="A41" i="67" s="1"/>
  <c r="B14" i="67"/>
  <c r="D27" i="67" s="1"/>
  <c r="C26" i="67"/>
  <c r="G26" i="67"/>
  <c r="H26" i="67"/>
  <c r="I26" i="67"/>
  <c r="J26" i="67"/>
  <c r="L26" i="67"/>
  <c r="D26" i="67"/>
  <c r="E26" i="67"/>
  <c r="K26" i="67"/>
  <c r="L26" i="68"/>
  <c r="H26" i="68"/>
  <c r="G26" i="68"/>
  <c r="D26" i="68"/>
  <c r="F26" i="68"/>
  <c r="E26" i="68"/>
  <c r="J26" i="68"/>
  <c r="I26" i="68"/>
  <c r="C26" i="68"/>
  <c r="K26" i="68"/>
  <c r="L39" i="68"/>
  <c r="H39" i="68"/>
  <c r="G39" i="68"/>
  <c r="F39" i="68"/>
  <c r="E39" i="68"/>
  <c r="D39" i="68"/>
  <c r="K39" i="68"/>
  <c r="C39" i="68"/>
  <c r="J39" i="68"/>
  <c r="I39" i="68"/>
  <c r="A27" i="68"/>
  <c r="A40" i="68" s="1"/>
  <c r="B14" i="68"/>
  <c r="A15" i="68"/>
  <c r="L40" i="67"/>
  <c r="K40" i="67"/>
  <c r="J40" i="67"/>
  <c r="I40" i="67"/>
  <c r="H40" i="67"/>
  <c r="G40" i="67"/>
  <c r="F40" i="67"/>
  <c r="E40" i="67"/>
  <c r="D40" i="67"/>
  <c r="C40" i="67"/>
  <c r="K27" i="66"/>
  <c r="J27" i="66"/>
  <c r="I27" i="66"/>
  <c r="H27" i="66"/>
  <c r="G27" i="66"/>
  <c r="F27" i="66"/>
  <c r="C27" i="66"/>
  <c r="L27" i="66"/>
  <c r="E27" i="66"/>
  <c r="D27" i="66"/>
  <c r="K40" i="66"/>
  <c r="J40" i="66"/>
  <c r="H40" i="66"/>
  <c r="L40" i="66"/>
  <c r="G40" i="66"/>
  <c r="F40" i="66"/>
  <c r="E40" i="66"/>
  <c r="D40" i="66"/>
  <c r="C40" i="66" l="1"/>
  <c r="A16" i="66"/>
  <c r="A17" i="66" s="1"/>
  <c r="A28" i="66"/>
  <c r="A41" i="66" s="1"/>
  <c r="I41" i="66" s="1"/>
  <c r="E27" i="67"/>
  <c r="F27" i="67"/>
  <c r="H27" i="67"/>
  <c r="G27" i="67"/>
  <c r="I27" i="67"/>
  <c r="J27" i="67"/>
  <c r="L27" i="67"/>
  <c r="K27" i="67"/>
  <c r="C27" i="67"/>
  <c r="A16" i="67"/>
  <c r="A17" i="67" s="1"/>
  <c r="B15" i="67"/>
  <c r="I28" i="67" s="1"/>
  <c r="A28" i="68"/>
  <c r="A41" i="68" s="1"/>
  <c r="B15" i="68"/>
  <c r="A16" i="68"/>
  <c r="I27" i="68"/>
  <c r="H27" i="68"/>
  <c r="E27" i="68"/>
  <c r="G27" i="68"/>
  <c r="F27" i="68"/>
  <c r="J27" i="68"/>
  <c r="D27" i="68"/>
  <c r="L27" i="68"/>
  <c r="C27" i="68"/>
  <c r="K27" i="68"/>
  <c r="I40" i="68"/>
  <c r="H40" i="68"/>
  <c r="E40" i="68"/>
  <c r="G40" i="68"/>
  <c r="F40" i="68"/>
  <c r="C40" i="68"/>
  <c r="L40" i="68"/>
  <c r="K40" i="68"/>
  <c r="J40" i="68"/>
  <c r="D40" i="68"/>
  <c r="C41" i="67"/>
  <c r="L41" i="67"/>
  <c r="K41" i="67"/>
  <c r="J41" i="67"/>
  <c r="I41" i="67"/>
  <c r="H41" i="67"/>
  <c r="G41" i="67"/>
  <c r="F41" i="67"/>
  <c r="D41" i="67"/>
  <c r="E41" i="67"/>
  <c r="L41" i="66"/>
  <c r="K41" i="66"/>
  <c r="C28" i="66"/>
  <c r="L28" i="66"/>
  <c r="K28" i="66"/>
  <c r="J28" i="66"/>
  <c r="I28" i="66"/>
  <c r="H28" i="66"/>
  <c r="D28" i="66"/>
  <c r="G28" i="66"/>
  <c r="F28" i="66"/>
  <c r="E28" i="66"/>
  <c r="C28" i="67" l="1"/>
  <c r="C41" i="66"/>
  <c r="J41" i="66"/>
  <c r="B16" i="66"/>
  <c r="J29" i="66" s="1"/>
  <c r="A29" i="66"/>
  <c r="A42" i="66" s="1"/>
  <c r="L42" i="66" s="1"/>
  <c r="E41" i="66"/>
  <c r="F41" i="66"/>
  <c r="D41" i="66"/>
  <c r="G41" i="66"/>
  <c r="H41" i="66"/>
  <c r="L28" i="67"/>
  <c r="D28" i="67"/>
  <c r="F28" i="67"/>
  <c r="H28" i="67"/>
  <c r="J28" i="67"/>
  <c r="E28" i="67"/>
  <c r="K28" i="67"/>
  <c r="G28" i="67"/>
  <c r="B16" i="67"/>
  <c r="D29" i="67" s="1"/>
  <c r="A29" i="67"/>
  <c r="A42" i="67" s="1"/>
  <c r="K42" i="67" s="1"/>
  <c r="A17" i="68"/>
  <c r="B16" i="68"/>
  <c r="A29" i="68"/>
  <c r="A42" i="68" s="1"/>
  <c r="C41" i="68"/>
  <c r="J41" i="68"/>
  <c r="I41" i="68"/>
  <c r="F41" i="68"/>
  <c r="H41" i="68"/>
  <c r="G41" i="68"/>
  <c r="L41" i="68"/>
  <c r="K41" i="68"/>
  <c r="E41" i="68"/>
  <c r="D41" i="68"/>
  <c r="C28" i="68"/>
  <c r="J28" i="68"/>
  <c r="I28" i="68"/>
  <c r="H28" i="68"/>
  <c r="G28" i="68"/>
  <c r="F28" i="68"/>
  <c r="K28" i="68"/>
  <c r="E28" i="68"/>
  <c r="D28" i="68"/>
  <c r="L28" i="68"/>
  <c r="A30" i="67"/>
  <c r="A43" i="67" s="1"/>
  <c r="B17" i="67"/>
  <c r="A18" i="67"/>
  <c r="H29" i="66"/>
  <c r="I42" i="66"/>
  <c r="A30" i="66"/>
  <c r="A43" i="66" s="1"/>
  <c r="A18" i="66"/>
  <c r="B17" i="66"/>
  <c r="K29" i="66" l="1"/>
  <c r="L29" i="66"/>
  <c r="C29" i="66"/>
  <c r="D42" i="66"/>
  <c r="E29" i="66"/>
  <c r="F42" i="66"/>
  <c r="C42" i="66"/>
  <c r="G42" i="66"/>
  <c r="J42" i="66"/>
  <c r="F29" i="66"/>
  <c r="I29" i="66"/>
  <c r="D29" i="66"/>
  <c r="H42" i="66"/>
  <c r="K42" i="66"/>
  <c r="G29" i="66"/>
  <c r="E42" i="66"/>
  <c r="L42" i="67"/>
  <c r="E42" i="67"/>
  <c r="F42" i="67"/>
  <c r="G42" i="67"/>
  <c r="D42" i="67"/>
  <c r="C42" i="67"/>
  <c r="J42" i="67"/>
  <c r="H42" i="67"/>
  <c r="I42" i="67"/>
  <c r="F29" i="67"/>
  <c r="G29" i="67"/>
  <c r="H29" i="67"/>
  <c r="I29" i="67"/>
  <c r="C29" i="67"/>
  <c r="J29" i="67"/>
  <c r="E29" i="67"/>
  <c r="K29" i="67"/>
  <c r="L29" i="67"/>
  <c r="D42" i="68"/>
  <c r="C42" i="68"/>
  <c r="K42" i="68"/>
  <c r="J42" i="68"/>
  <c r="G42" i="68"/>
  <c r="I42" i="68"/>
  <c r="H42" i="68"/>
  <c r="L42" i="68"/>
  <c r="F42" i="68"/>
  <c r="E42" i="68"/>
  <c r="D29" i="68"/>
  <c r="C29" i="68"/>
  <c r="K29" i="68"/>
  <c r="J29" i="68"/>
  <c r="G29" i="68"/>
  <c r="I29" i="68"/>
  <c r="H29" i="68"/>
  <c r="L29" i="68"/>
  <c r="E29" i="68"/>
  <c r="F29" i="68"/>
  <c r="A30" i="68"/>
  <c r="A43" i="68" s="1"/>
  <c r="B17" i="68"/>
  <c r="A18" i="68"/>
  <c r="A31" i="67"/>
  <c r="A44" i="67" s="1"/>
  <c r="B18" i="67"/>
  <c r="A19" i="67"/>
  <c r="E30" i="67"/>
  <c r="C30" i="67"/>
  <c r="L30" i="67"/>
  <c r="K30" i="67"/>
  <c r="J30" i="67"/>
  <c r="I30" i="67"/>
  <c r="D30" i="67"/>
  <c r="H30" i="67"/>
  <c r="G30" i="67"/>
  <c r="F30" i="67"/>
  <c r="E43" i="67"/>
  <c r="C43" i="67"/>
  <c r="L43" i="67"/>
  <c r="K43" i="67"/>
  <c r="J43" i="67"/>
  <c r="I43" i="67"/>
  <c r="H43" i="67"/>
  <c r="D43" i="67"/>
  <c r="G43" i="67"/>
  <c r="F43" i="67"/>
  <c r="E30" i="66"/>
  <c r="D30" i="66"/>
  <c r="C30" i="66"/>
  <c r="L30" i="66"/>
  <c r="K30" i="66"/>
  <c r="J30" i="66"/>
  <c r="I30" i="66"/>
  <c r="H30" i="66"/>
  <c r="F30" i="66"/>
  <c r="G30" i="66"/>
  <c r="A31" i="66"/>
  <c r="A44" i="66" s="1"/>
  <c r="A19" i="66"/>
  <c r="B18" i="66"/>
  <c r="E43" i="66"/>
  <c r="D43" i="66"/>
  <c r="C43" i="66"/>
  <c r="L43" i="66"/>
  <c r="K43" i="66"/>
  <c r="J43" i="66"/>
  <c r="F43" i="66"/>
  <c r="I43" i="66"/>
  <c r="H43" i="66"/>
  <c r="G43" i="66"/>
  <c r="E43" i="68" l="1"/>
  <c r="D43" i="68"/>
  <c r="L43" i="68"/>
  <c r="K43" i="68"/>
  <c r="H43" i="68"/>
  <c r="J43" i="68"/>
  <c r="I43" i="68"/>
  <c r="F43" i="68"/>
  <c r="G43" i="68"/>
  <c r="C43" i="68"/>
  <c r="B18" i="68"/>
  <c r="A31" i="68"/>
  <c r="A44" i="68" s="1"/>
  <c r="A19" i="68"/>
  <c r="E30" i="68"/>
  <c r="D30" i="68"/>
  <c r="L30" i="68"/>
  <c r="K30" i="68"/>
  <c r="H30" i="68"/>
  <c r="J30" i="68"/>
  <c r="I30" i="68"/>
  <c r="C30" i="68"/>
  <c r="G30" i="68"/>
  <c r="F30" i="68"/>
  <c r="B19" i="67"/>
  <c r="A32" i="67"/>
  <c r="A45" i="67" s="1"/>
  <c r="A20" i="67"/>
  <c r="F44" i="67"/>
  <c r="D44" i="67"/>
  <c r="C44" i="67"/>
  <c r="L44" i="67"/>
  <c r="K44" i="67"/>
  <c r="J44" i="67"/>
  <c r="E44" i="67"/>
  <c r="I44" i="67"/>
  <c r="G44" i="67"/>
  <c r="H44" i="67"/>
  <c r="F31" i="67"/>
  <c r="D31" i="67"/>
  <c r="C31" i="67"/>
  <c r="E31" i="67"/>
  <c r="L31" i="67"/>
  <c r="K31" i="67"/>
  <c r="J31" i="67"/>
  <c r="I31" i="67"/>
  <c r="G31" i="67"/>
  <c r="H31" i="67"/>
  <c r="F31" i="66"/>
  <c r="C31" i="66"/>
  <c r="L31" i="66"/>
  <c r="E31" i="66"/>
  <c r="D31" i="66"/>
  <c r="K31" i="66"/>
  <c r="G31" i="66"/>
  <c r="J31" i="66"/>
  <c r="I31" i="66"/>
  <c r="H31" i="66"/>
  <c r="B19" i="66"/>
  <c r="A32" i="66"/>
  <c r="A45" i="66" s="1"/>
  <c r="A20" i="66"/>
  <c r="F44" i="66"/>
  <c r="C44" i="66"/>
  <c r="L44" i="66"/>
  <c r="K44" i="66"/>
  <c r="G44" i="66"/>
  <c r="E44" i="66"/>
  <c r="J44" i="66"/>
  <c r="I44" i="66"/>
  <c r="H44" i="66"/>
  <c r="D44" i="66"/>
  <c r="A32" i="68" l="1"/>
  <c r="A45" i="68" s="1"/>
  <c r="A20" i="68"/>
  <c r="B19" i="68"/>
  <c r="F44" i="68"/>
  <c r="E44" i="68"/>
  <c r="L44" i="68"/>
  <c r="I44" i="68"/>
  <c r="K44" i="68"/>
  <c r="J44" i="68"/>
  <c r="H44" i="68"/>
  <c r="G44" i="68"/>
  <c r="D44" i="68"/>
  <c r="C44" i="68"/>
  <c r="F31" i="68"/>
  <c r="E31" i="68"/>
  <c r="L31" i="68"/>
  <c r="I31" i="68"/>
  <c r="K31" i="68"/>
  <c r="J31" i="68"/>
  <c r="H31" i="68"/>
  <c r="D31" i="68"/>
  <c r="G31" i="68"/>
  <c r="C31" i="68"/>
  <c r="B20" i="67"/>
  <c r="A33" i="67"/>
  <c r="A46" i="67" s="1"/>
  <c r="G45" i="67"/>
  <c r="E45" i="67"/>
  <c r="D45" i="67"/>
  <c r="C45" i="67"/>
  <c r="L45" i="67"/>
  <c r="K45" i="67"/>
  <c r="J45" i="67"/>
  <c r="I45" i="67"/>
  <c r="H45" i="67"/>
  <c r="F45" i="67"/>
  <c r="G32" i="67"/>
  <c r="E32" i="67"/>
  <c r="D32" i="67"/>
  <c r="C32" i="67"/>
  <c r="H32" i="67"/>
  <c r="L32" i="67"/>
  <c r="K32" i="67"/>
  <c r="J32" i="67"/>
  <c r="I32" i="67"/>
  <c r="F32" i="67"/>
  <c r="G45" i="66"/>
  <c r="E45" i="66"/>
  <c r="D45" i="66"/>
  <c r="C45" i="66"/>
  <c r="F45" i="66"/>
  <c r="L45" i="66"/>
  <c r="K45" i="66"/>
  <c r="H45" i="66"/>
  <c r="J45" i="66"/>
  <c r="I45" i="66"/>
  <c r="G32" i="66"/>
  <c r="D32" i="66"/>
  <c r="C32" i="66"/>
  <c r="E32" i="66"/>
  <c r="L32" i="66"/>
  <c r="K32" i="66"/>
  <c r="H32" i="66"/>
  <c r="J32" i="66"/>
  <c r="I32" i="66"/>
  <c r="F32" i="66"/>
  <c r="B20" i="66"/>
  <c r="A33" i="66"/>
  <c r="A46" i="66" s="1"/>
  <c r="G32" i="68" l="1"/>
  <c r="F32" i="68"/>
  <c r="L32" i="68"/>
  <c r="K32" i="68"/>
  <c r="J32" i="68"/>
  <c r="I32" i="68"/>
  <c r="H32" i="68"/>
  <c r="D32" i="68"/>
  <c r="C32" i="68"/>
  <c r="E32" i="68"/>
  <c r="B20" i="68"/>
  <c r="A33" i="68"/>
  <c r="A46" i="68" s="1"/>
  <c r="G45" i="68"/>
  <c r="F45" i="68"/>
  <c r="J45" i="68"/>
  <c r="L45" i="68"/>
  <c r="K45" i="68"/>
  <c r="E45" i="68"/>
  <c r="D45" i="68"/>
  <c r="I45" i="68"/>
  <c r="C45" i="68"/>
  <c r="H45" i="68"/>
  <c r="H33" i="67"/>
  <c r="H34" i="67" s="1"/>
  <c r="H15" i="88" s="1"/>
  <c r="G33" i="67"/>
  <c r="G34" i="67" s="1"/>
  <c r="G15" i="88" s="1"/>
  <c r="F33" i="67"/>
  <c r="F34" i="67" s="1"/>
  <c r="F15" i="88" s="1"/>
  <c r="E33" i="67"/>
  <c r="E34" i="67" s="1"/>
  <c r="E15" i="88" s="1"/>
  <c r="D33" i="67"/>
  <c r="D34" i="67" s="1"/>
  <c r="D15" i="88" s="1"/>
  <c r="C33" i="67"/>
  <c r="C34" i="67" s="1"/>
  <c r="C15" i="88" s="1"/>
  <c r="L33" i="67"/>
  <c r="L34" i="67" s="1"/>
  <c r="L15" i="88" s="1"/>
  <c r="K33" i="67"/>
  <c r="K34" i="67" s="1"/>
  <c r="K15" i="88" s="1"/>
  <c r="J33" i="67"/>
  <c r="J34" i="67" s="1"/>
  <c r="J15" i="88" s="1"/>
  <c r="I33" i="67"/>
  <c r="I34" i="67" s="1"/>
  <c r="I15" i="88" s="1"/>
  <c r="H46" i="67"/>
  <c r="H47" i="67" s="1"/>
  <c r="F46" i="67"/>
  <c r="F47" i="67" s="1"/>
  <c r="E46" i="67"/>
  <c r="E47" i="67" s="1"/>
  <c r="D46" i="67"/>
  <c r="D47" i="67" s="1"/>
  <c r="C46" i="67"/>
  <c r="C47" i="67" s="1"/>
  <c r="G46" i="67"/>
  <c r="G47" i="67" s="1"/>
  <c r="L46" i="67"/>
  <c r="L47" i="67" s="1"/>
  <c r="K46" i="67"/>
  <c r="K47" i="67" s="1"/>
  <c r="J46" i="67"/>
  <c r="J47" i="67" s="1"/>
  <c r="I46" i="67"/>
  <c r="I47" i="67" s="1"/>
  <c r="H33" i="66"/>
  <c r="H34" i="66" s="1"/>
  <c r="H15" i="75" s="1"/>
  <c r="E33" i="66"/>
  <c r="E34" i="66" s="1"/>
  <c r="E15" i="75" s="1"/>
  <c r="D33" i="66"/>
  <c r="D34" i="66" s="1"/>
  <c r="D15" i="75" s="1"/>
  <c r="C33" i="66"/>
  <c r="C34" i="66" s="1"/>
  <c r="C15" i="75" s="1"/>
  <c r="I33" i="66"/>
  <c r="I34" i="66" s="1"/>
  <c r="I15" i="75" s="1"/>
  <c r="L33" i="66"/>
  <c r="L34" i="66" s="1"/>
  <c r="L15" i="75" s="1"/>
  <c r="K33" i="66"/>
  <c r="K34" i="66" s="1"/>
  <c r="K15" i="75" s="1"/>
  <c r="G33" i="66"/>
  <c r="G34" i="66" s="1"/>
  <c r="G15" i="75" s="1"/>
  <c r="F33" i="66"/>
  <c r="F34" i="66" s="1"/>
  <c r="F15" i="75" s="1"/>
  <c r="J33" i="66"/>
  <c r="J34" i="66" s="1"/>
  <c r="J15" i="75" s="1"/>
  <c r="H46" i="66"/>
  <c r="H47" i="66" s="1"/>
  <c r="F46" i="66"/>
  <c r="F47" i="66" s="1"/>
  <c r="E46" i="66"/>
  <c r="E47" i="66" s="1"/>
  <c r="D46" i="66"/>
  <c r="D47" i="66" s="1"/>
  <c r="C46" i="66"/>
  <c r="C47" i="66" s="1"/>
  <c r="L46" i="66"/>
  <c r="L47" i="66" s="1"/>
  <c r="K46" i="66"/>
  <c r="K47" i="66" s="1"/>
  <c r="J46" i="66"/>
  <c r="J47" i="66" s="1"/>
  <c r="I46" i="66"/>
  <c r="I47" i="66" s="1"/>
  <c r="G46" i="66"/>
  <c r="G47" i="66" s="1"/>
  <c r="I48" i="66" l="1"/>
  <c r="I11" i="83"/>
  <c r="J48" i="66"/>
  <c r="J11" i="83"/>
  <c r="D48" i="67"/>
  <c r="D11" i="84"/>
  <c r="K48" i="66"/>
  <c r="K11" i="83"/>
  <c r="H48" i="67"/>
  <c r="H11" i="84"/>
  <c r="C48" i="66"/>
  <c r="C11" i="83"/>
  <c r="C48" i="67"/>
  <c r="C11" i="84"/>
  <c r="E48" i="67"/>
  <c r="E11" i="84"/>
  <c r="F48" i="67"/>
  <c r="F11" i="84"/>
  <c r="D48" i="66"/>
  <c r="D11" i="83"/>
  <c r="E48" i="66"/>
  <c r="E11" i="83"/>
  <c r="L48" i="66"/>
  <c r="L11" i="83"/>
  <c r="F48" i="66"/>
  <c r="F11" i="83"/>
  <c r="I48" i="67"/>
  <c r="I11" i="84"/>
  <c r="J48" i="67"/>
  <c r="J11" i="84"/>
  <c r="K48" i="67"/>
  <c r="K11" i="84"/>
  <c r="L48" i="67"/>
  <c r="L11" i="84"/>
  <c r="G48" i="66"/>
  <c r="G11" i="83"/>
  <c r="G48" i="67"/>
  <c r="G11" i="84"/>
  <c r="H48" i="66"/>
  <c r="H11" i="83"/>
  <c r="H33" i="68"/>
  <c r="H34" i="68" s="1"/>
  <c r="H15" i="76" s="1"/>
  <c r="G33" i="68"/>
  <c r="G34" i="68" s="1"/>
  <c r="G15" i="76" s="1"/>
  <c r="C33" i="68"/>
  <c r="C34" i="68" s="1"/>
  <c r="C15" i="76" s="1"/>
  <c r="K33" i="68"/>
  <c r="K34" i="68" s="1"/>
  <c r="K15" i="76" s="1"/>
  <c r="L33" i="68"/>
  <c r="L34" i="68" s="1"/>
  <c r="L15" i="76" s="1"/>
  <c r="J33" i="68"/>
  <c r="J34" i="68" s="1"/>
  <c r="J15" i="76" s="1"/>
  <c r="F33" i="68"/>
  <c r="F34" i="68" s="1"/>
  <c r="F15" i="76" s="1"/>
  <c r="I33" i="68"/>
  <c r="I34" i="68" s="1"/>
  <c r="I15" i="76" s="1"/>
  <c r="E33" i="68"/>
  <c r="E34" i="68" s="1"/>
  <c r="E15" i="76" s="1"/>
  <c r="D33" i="68"/>
  <c r="D34" i="68" s="1"/>
  <c r="D15" i="76" s="1"/>
  <c r="H46" i="68"/>
  <c r="H47" i="68" s="1"/>
  <c r="G46" i="68"/>
  <c r="G47" i="68" s="1"/>
  <c r="F46" i="68"/>
  <c r="F47" i="68" s="1"/>
  <c r="C46" i="68"/>
  <c r="C47" i="68" s="1"/>
  <c r="L46" i="68"/>
  <c r="L47" i="68" s="1"/>
  <c r="K46" i="68"/>
  <c r="K47" i="68" s="1"/>
  <c r="I46" i="68"/>
  <c r="I47" i="68" s="1"/>
  <c r="J46" i="68"/>
  <c r="J47" i="68" s="1"/>
  <c r="E46" i="68"/>
  <c r="E47" i="68" s="1"/>
  <c r="D46" i="68"/>
  <c r="D47" i="68" s="1"/>
  <c r="D48" i="68" l="1"/>
  <c r="D11" i="85"/>
  <c r="E48" i="68"/>
  <c r="E11" i="85"/>
  <c r="L48" i="68"/>
  <c r="L11" i="85"/>
  <c r="J48" i="68"/>
  <c r="J11" i="85"/>
  <c r="K48" i="68"/>
  <c r="K11" i="85"/>
  <c r="I48" i="68"/>
  <c r="I11" i="85"/>
  <c r="C48" i="68"/>
  <c r="C11" i="85"/>
  <c r="F48" i="68"/>
  <c r="F11" i="85"/>
  <c r="G48" i="68"/>
  <c r="G11" i="85"/>
  <c r="H48" i="68"/>
  <c r="H11" i="85"/>
  <c r="B2" i="65"/>
  <c r="A24" i="65"/>
  <c r="A37" i="65" s="1"/>
  <c r="A23" i="65"/>
  <c r="A12" i="65"/>
  <c r="A13" i="65" s="1"/>
  <c r="B11" i="65"/>
  <c r="B1" i="65"/>
  <c r="E42" i="34"/>
  <c r="D42" i="34"/>
  <c r="K19" i="65" a="1"/>
  <c r="D11" i="65" a="1"/>
  <c r="C18" i="65" a="1"/>
  <c r="L12" i="65" a="1"/>
  <c r="E16" i="65" a="1"/>
  <c r="D18" i="65" a="1"/>
  <c r="J15" i="65" a="1"/>
  <c r="G20" i="65" a="1"/>
  <c r="K11" i="65" a="1"/>
  <c r="L10" i="65" a="1"/>
  <c r="H18" i="65" a="1"/>
  <c r="F15" i="65" a="1"/>
  <c r="L13" i="65" a="1"/>
  <c r="I20" i="65" a="1"/>
  <c r="L17" i="65" a="1"/>
  <c r="D17" i="65" a="1"/>
  <c r="K18" i="65" a="1"/>
  <c r="K12" i="65" a="1"/>
  <c r="F17" i="65" a="1"/>
  <c r="L20" i="65" a="1"/>
  <c r="K20" i="65" a="1"/>
  <c r="G12" i="65" a="1"/>
  <c r="L19" i="65" a="1"/>
  <c r="E15" i="65" a="1"/>
  <c r="H17" i="65" a="1"/>
  <c r="J20" i="65" a="1"/>
  <c r="K16" i="65" a="1"/>
  <c r="F19" i="65" a="1"/>
  <c r="I12" i="65" a="1"/>
  <c r="C19" i="65" a="1"/>
  <c r="L16" i="65" a="1"/>
  <c r="C16" i="65" a="1"/>
  <c r="J17" i="65" a="1"/>
  <c r="I16" i="65" a="1"/>
  <c r="J16" i="65" a="1"/>
  <c r="C13" i="65" a="1"/>
  <c r="F18" i="65" a="1"/>
  <c r="I10" i="65" a="1"/>
  <c r="I14" i="65" a="1"/>
  <c r="J18" i="65" a="1"/>
  <c r="I11" i="65" a="1"/>
  <c r="D13" i="65" a="1"/>
  <c r="H11" i="65" a="1"/>
  <c r="K15" i="65" a="1"/>
  <c r="K13" i="65" a="1"/>
  <c r="E11" i="65" a="1"/>
  <c r="E19" i="65" a="1"/>
  <c r="I17" i="65" a="1"/>
  <c r="C20" i="65" a="1"/>
  <c r="D20" i="65" a="1"/>
  <c r="I13" i="65" a="1"/>
  <c r="H12" i="65" a="1"/>
  <c r="D19" i="65" a="1"/>
  <c r="J12" i="65" a="1"/>
  <c r="C10" i="65" a="1"/>
  <c r="C17" i="65" a="1"/>
  <c r="F10" i="65" a="1"/>
  <c r="D15" i="65" a="1"/>
  <c r="K17" i="65" a="1"/>
  <c r="K14" i="65" a="1"/>
  <c r="C12" i="65" a="1"/>
  <c r="I19" i="65" a="1"/>
  <c r="G10" i="65" a="1"/>
  <c r="E17" i="65" a="1"/>
  <c r="I18" i="65" a="1"/>
  <c r="K10" i="65" a="1"/>
  <c r="H15" i="65" a="1"/>
  <c r="H19" i="65" a="1"/>
  <c r="J19" i="65" a="1"/>
  <c r="G17" i="65" a="1"/>
  <c r="I15" i="65" a="1"/>
  <c r="J13" i="65" a="1"/>
  <c r="H10" i="65" a="1"/>
  <c r="C11" i="65" a="1"/>
  <c r="C14" i="65" a="1"/>
  <c r="C15" i="65" a="1"/>
  <c r="H14" i="65" a="1"/>
  <c r="L15" i="65" a="1"/>
  <c r="L14" i="65" a="1"/>
  <c r="J14" i="65" a="1"/>
  <c r="F11" i="65" a="1"/>
  <c r="D16" i="65" a="1"/>
  <c r="E10" i="65" a="1"/>
  <c r="G13" i="65" a="1"/>
  <c r="H16" i="65" a="1"/>
  <c r="E18" i="65" a="1"/>
  <c r="E20" i="65" a="1"/>
  <c r="D14" i="65" a="1"/>
  <c r="J11" i="65" a="1"/>
  <c r="G15" i="65" a="1"/>
  <c r="F20" i="65" a="1"/>
  <c r="G11" i="65" a="1"/>
  <c r="E13" i="65" a="1"/>
  <c r="J10" i="65" a="1"/>
  <c r="F14" i="65" a="1"/>
  <c r="H13" i="65" a="1"/>
  <c r="F12" i="65" a="1"/>
  <c r="G18" i="65" a="1"/>
  <c r="L11" i="65" a="1"/>
  <c r="G16" i="65" a="1"/>
  <c r="D12" i="65" a="1"/>
  <c r="G19" i="65" a="1"/>
  <c r="F16" i="65" a="1"/>
  <c r="L18" i="65" a="1"/>
  <c r="E12" i="65" a="1"/>
  <c r="G14" i="65" a="1"/>
  <c r="D10" i="65" a="1"/>
  <c r="E14" i="65" a="1"/>
  <c r="H20" i="65" a="1"/>
  <c r="F13" i="65" a="1"/>
  <c r="C10" i="65" l="1"/>
  <c r="D10" i="65"/>
  <c r="E10" i="65"/>
  <c r="E20" i="81" s="1"/>
  <c r="F10" i="65"/>
  <c r="G10" i="65"/>
  <c r="H10" i="65"/>
  <c r="H20" i="81" s="1"/>
  <c r="I10" i="65"/>
  <c r="I20" i="81" s="1"/>
  <c r="J10" i="65"/>
  <c r="J20" i="81" s="1"/>
  <c r="K10" i="65"/>
  <c r="L10" i="65"/>
  <c r="L20" i="81" s="1"/>
  <c r="C11" i="65"/>
  <c r="C37" i="65" s="1"/>
  <c r="D11" i="65"/>
  <c r="D37" i="65" s="1"/>
  <c r="E11" i="65"/>
  <c r="E24" i="65" s="1"/>
  <c r="F11" i="65"/>
  <c r="F24" i="65" s="1"/>
  <c r="G11" i="65"/>
  <c r="G24" i="65" s="1"/>
  <c r="H11" i="65"/>
  <c r="H24" i="65" s="1"/>
  <c r="I11" i="65"/>
  <c r="I37" i="65" s="1"/>
  <c r="J11" i="65"/>
  <c r="K11" i="65"/>
  <c r="K24" i="65" s="1"/>
  <c r="L11" i="65"/>
  <c r="L37" i="65" s="1"/>
  <c r="C12" i="65"/>
  <c r="D12" i="65"/>
  <c r="E12" i="65"/>
  <c r="F12" i="65"/>
  <c r="G12" i="65"/>
  <c r="H12" i="65"/>
  <c r="I12" i="65"/>
  <c r="J12" i="65"/>
  <c r="K12" i="65"/>
  <c r="L12" i="65"/>
  <c r="C13" i="65"/>
  <c r="D13" i="65"/>
  <c r="E13" i="65"/>
  <c r="F13" i="65"/>
  <c r="G13" i="65"/>
  <c r="H13" i="65"/>
  <c r="I13" i="65"/>
  <c r="J13" i="65"/>
  <c r="K13" i="65"/>
  <c r="L13" i="65"/>
  <c r="C14" i="65"/>
  <c r="D14" i="65"/>
  <c r="E14" i="65"/>
  <c r="F14" i="65"/>
  <c r="G14" i="65"/>
  <c r="H14" i="65"/>
  <c r="I14" i="65"/>
  <c r="J14" i="65"/>
  <c r="K14" i="65"/>
  <c r="L14" i="65"/>
  <c r="C15" i="65"/>
  <c r="D15" i="65"/>
  <c r="E15" i="65"/>
  <c r="F15" i="65"/>
  <c r="G15" i="65"/>
  <c r="H15" i="65"/>
  <c r="I15" i="65"/>
  <c r="J15" i="65"/>
  <c r="K15" i="65"/>
  <c r="L15" i="65"/>
  <c r="C16" i="65"/>
  <c r="D16" i="65"/>
  <c r="E16" i="65"/>
  <c r="F16" i="65"/>
  <c r="G16" i="65"/>
  <c r="H16" i="65"/>
  <c r="I16" i="65"/>
  <c r="J16" i="65"/>
  <c r="K16" i="65"/>
  <c r="L16" i="65"/>
  <c r="C17" i="65"/>
  <c r="D17" i="65"/>
  <c r="E17" i="65"/>
  <c r="F17" i="65"/>
  <c r="G17" i="65"/>
  <c r="H17" i="65"/>
  <c r="I17" i="65"/>
  <c r="J17" i="65"/>
  <c r="K17" i="65"/>
  <c r="L17" i="65"/>
  <c r="C18" i="65"/>
  <c r="D18" i="65"/>
  <c r="E18" i="65"/>
  <c r="F18" i="65"/>
  <c r="G18" i="65"/>
  <c r="H18" i="65"/>
  <c r="I18" i="65"/>
  <c r="J18" i="65"/>
  <c r="K18" i="65"/>
  <c r="L18" i="65"/>
  <c r="C19" i="65"/>
  <c r="D19" i="65"/>
  <c r="E19" i="65"/>
  <c r="F19" i="65"/>
  <c r="G19" i="65"/>
  <c r="H19" i="65"/>
  <c r="I19" i="65"/>
  <c r="J19" i="65"/>
  <c r="K19" i="65"/>
  <c r="L19" i="65"/>
  <c r="C20" i="65"/>
  <c r="D20" i="65"/>
  <c r="E20" i="65"/>
  <c r="F20" i="65"/>
  <c r="G20" i="65"/>
  <c r="H20" i="65"/>
  <c r="I20" i="65"/>
  <c r="J20" i="65"/>
  <c r="K20" i="65"/>
  <c r="L20" i="65"/>
  <c r="E23" i="65"/>
  <c r="H23" i="65"/>
  <c r="J24" i="65"/>
  <c r="A25" i="65"/>
  <c r="A38" i="65" s="1"/>
  <c r="J37" i="65"/>
  <c r="A14" i="65"/>
  <c r="A26" i="65"/>
  <c r="A39" i="65" s="1"/>
  <c r="B13" i="65"/>
  <c r="B12" i="65"/>
  <c r="L23" i="65" l="1"/>
  <c r="I23" i="65"/>
  <c r="F38" i="65"/>
  <c r="G23" i="65"/>
  <c r="G20" i="81"/>
  <c r="F23" i="65"/>
  <c r="F20" i="81"/>
  <c r="D23" i="65"/>
  <c r="D20" i="81"/>
  <c r="C23" i="65"/>
  <c r="C20" i="81"/>
  <c r="K23" i="65"/>
  <c r="K20" i="81"/>
  <c r="J23" i="65"/>
  <c r="G37" i="65"/>
  <c r="F37" i="65"/>
  <c r="L24" i="65"/>
  <c r="K37" i="65"/>
  <c r="I38" i="65"/>
  <c r="I24" i="65"/>
  <c r="J26" i="65"/>
  <c r="D24" i="65"/>
  <c r="G38" i="65"/>
  <c r="H38" i="65"/>
  <c r="L38" i="65"/>
  <c r="C24" i="65"/>
  <c r="K38" i="65"/>
  <c r="E37" i="65"/>
  <c r="C38" i="65"/>
  <c r="J38" i="65"/>
  <c r="E38" i="65"/>
  <c r="H37" i="65"/>
  <c r="D38" i="65"/>
  <c r="I26" i="65"/>
  <c r="H26" i="65"/>
  <c r="E26" i="65"/>
  <c r="D26" i="65"/>
  <c r="G26" i="65"/>
  <c r="F26" i="65"/>
  <c r="C26" i="65"/>
  <c r="L26" i="65"/>
  <c r="K26" i="65"/>
  <c r="L25" i="65"/>
  <c r="K25" i="65"/>
  <c r="J25" i="65"/>
  <c r="I25" i="65"/>
  <c r="H25" i="65"/>
  <c r="G25" i="65"/>
  <c r="F25" i="65"/>
  <c r="E25" i="65"/>
  <c r="D25" i="65"/>
  <c r="C25" i="65"/>
  <c r="L39" i="65"/>
  <c r="I39" i="65"/>
  <c r="H39" i="65"/>
  <c r="G39" i="65"/>
  <c r="F39" i="65"/>
  <c r="E39" i="65"/>
  <c r="D39" i="65"/>
  <c r="C39" i="65"/>
  <c r="K39" i="65"/>
  <c r="J39" i="65"/>
  <c r="A27" i="65"/>
  <c r="A40" i="65" s="1"/>
  <c r="A15" i="65"/>
  <c r="B14" i="65"/>
  <c r="A28" i="65" l="1"/>
  <c r="A41" i="65" s="1"/>
  <c r="A16" i="65"/>
  <c r="B15" i="65"/>
  <c r="K40" i="65"/>
  <c r="J40" i="65"/>
  <c r="I40" i="65"/>
  <c r="E40" i="65"/>
  <c r="H40" i="65"/>
  <c r="G40" i="65"/>
  <c r="F40" i="65"/>
  <c r="C40" i="65"/>
  <c r="L40" i="65"/>
  <c r="D40" i="65"/>
  <c r="K27" i="65"/>
  <c r="J27" i="65"/>
  <c r="I27" i="65"/>
  <c r="H27" i="65"/>
  <c r="G27" i="65"/>
  <c r="F27" i="65"/>
  <c r="E27" i="65"/>
  <c r="D27" i="65"/>
  <c r="C27" i="65"/>
  <c r="L27" i="65"/>
  <c r="C28" i="65" l="1"/>
  <c r="K28" i="65"/>
  <c r="J28" i="65"/>
  <c r="F28" i="65"/>
  <c r="I28" i="65"/>
  <c r="H28" i="65"/>
  <c r="G28" i="65"/>
  <c r="E28" i="65"/>
  <c r="D28" i="65"/>
  <c r="L28" i="65"/>
  <c r="A17" i="65"/>
  <c r="A29" i="65"/>
  <c r="A42" i="65" s="1"/>
  <c r="B16" i="65"/>
  <c r="L29" i="65" s="1"/>
  <c r="C41" i="65"/>
  <c r="K41" i="65"/>
  <c r="J41" i="65"/>
  <c r="G41" i="65"/>
  <c r="F41" i="65"/>
  <c r="E41" i="65"/>
  <c r="I41" i="65"/>
  <c r="H41" i="65"/>
  <c r="D41" i="65"/>
  <c r="L41" i="65"/>
  <c r="D29" i="65" l="1"/>
  <c r="C29" i="65"/>
  <c r="K29" i="65"/>
  <c r="J29" i="65"/>
  <c r="I29" i="65"/>
  <c r="H29" i="65"/>
  <c r="G29" i="65"/>
  <c r="F29" i="65"/>
  <c r="E29" i="65"/>
  <c r="D42" i="65"/>
  <c r="C42" i="65"/>
  <c r="L42" i="65"/>
  <c r="K42" i="65"/>
  <c r="J42" i="65"/>
  <c r="I42" i="65"/>
  <c r="H42" i="65"/>
  <c r="G42" i="65"/>
  <c r="F42" i="65"/>
  <c r="E42" i="65"/>
  <c r="A18" i="65"/>
  <c r="B17" i="65"/>
  <c r="A30" i="65"/>
  <c r="A43" i="65" s="1"/>
  <c r="A31" i="65" l="1"/>
  <c r="A44" i="65" s="1"/>
  <c r="A19" i="65"/>
  <c r="B18" i="65"/>
  <c r="E43" i="65"/>
  <c r="D43" i="65"/>
  <c r="L43" i="65"/>
  <c r="I43" i="65"/>
  <c r="H43" i="65"/>
  <c r="K43" i="65"/>
  <c r="J43" i="65"/>
  <c r="G43" i="65"/>
  <c r="F43" i="65"/>
  <c r="C43" i="65"/>
  <c r="E30" i="65"/>
  <c r="D30" i="65"/>
  <c r="L30" i="65"/>
  <c r="I30" i="65"/>
  <c r="K30" i="65"/>
  <c r="J30" i="65"/>
  <c r="H30" i="65"/>
  <c r="G30" i="65"/>
  <c r="F30" i="65"/>
  <c r="C30" i="65"/>
  <c r="F31" i="65" l="1"/>
  <c r="E31" i="65"/>
  <c r="C31" i="65"/>
  <c r="I31" i="65"/>
  <c r="H31" i="65"/>
  <c r="L31" i="65"/>
  <c r="K31" i="65"/>
  <c r="J31" i="65"/>
  <c r="G31" i="65"/>
  <c r="D31" i="65"/>
  <c r="A20" i="65"/>
  <c r="B19" i="65"/>
  <c r="A32" i="65"/>
  <c r="A45" i="65" s="1"/>
  <c r="F44" i="65"/>
  <c r="E44" i="65"/>
  <c r="I44" i="65"/>
  <c r="L44" i="65"/>
  <c r="K44" i="65"/>
  <c r="J44" i="65"/>
  <c r="H44" i="65"/>
  <c r="G44" i="65"/>
  <c r="D44" i="65"/>
  <c r="C44" i="65"/>
  <c r="A33" i="65" l="1"/>
  <c r="A46" i="65" s="1"/>
  <c r="B20" i="65"/>
  <c r="G45" i="65"/>
  <c r="F45" i="65"/>
  <c r="D45" i="65"/>
  <c r="C45" i="65"/>
  <c r="L45" i="65"/>
  <c r="K45" i="65"/>
  <c r="J45" i="65"/>
  <c r="I45" i="65"/>
  <c r="H45" i="65"/>
  <c r="E45" i="65"/>
  <c r="G32" i="65"/>
  <c r="E32" i="65"/>
  <c r="C32" i="65"/>
  <c r="K32" i="65"/>
  <c r="L32" i="65"/>
  <c r="J32" i="65"/>
  <c r="I32" i="65"/>
  <c r="H32" i="65"/>
  <c r="F32" i="65"/>
  <c r="D32" i="65"/>
  <c r="H46" i="65" l="1"/>
  <c r="H47" i="65" s="1"/>
  <c r="G46" i="65"/>
  <c r="G47" i="65" s="1"/>
  <c r="D46" i="65"/>
  <c r="D47" i="65" s="1"/>
  <c r="C46" i="65"/>
  <c r="C47" i="65" s="1"/>
  <c r="L46" i="65"/>
  <c r="L47" i="65" s="1"/>
  <c r="J46" i="65"/>
  <c r="J47" i="65" s="1"/>
  <c r="K46" i="65"/>
  <c r="K47" i="65" s="1"/>
  <c r="I46" i="65"/>
  <c r="I47" i="65" s="1"/>
  <c r="F46" i="65"/>
  <c r="F47" i="65" s="1"/>
  <c r="E46" i="65"/>
  <c r="E47" i="65" s="1"/>
  <c r="H33" i="65"/>
  <c r="H34" i="65" s="1"/>
  <c r="H15" i="58" s="1"/>
  <c r="G33" i="65"/>
  <c r="G34" i="65" s="1"/>
  <c r="G15" i="58" s="1"/>
  <c r="E33" i="65"/>
  <c r="E34" i="65" s="1"/>
  <c r="E15" i="58" s="1"/>
  <c r="J33" i="65"/>
  <c r="J34" i="65" s="1"/>
  <c r="J15" i="58" s="1"/>
  <c r="D33" i="65"/>
  <c r="D34" i="65" s="1"/>
  <c r="D15" i="58" s="1"/>
  <c r="C33" i="65"/>
  <c r="C34" i="65" s="1"/>
  <c r="C15" i="58" s="1"/>
  <c r="K33" i="65"/>
  <c r="K34" i="65" s="1"/>
  <c r="K15" i="58" s="1"/>
  <c r="L33" i="65"/>
  <c r="L34" i="65" s="1"/>
  <c r="L15" i="58" s="1"/>
  <c r="I33" i="65"/>
  <c r="I34" i="65" s="1"/>
  <c r="I15" i="58" s="1"/>
  <c r="F33" i="65"/>
  <c r="F34" i="65" s="1"/>
  <c r="F15" i="58" s="1"/>
  <c r="E48" i="65" l="1"/>
  <c r="E11" i="81"/>
  <c r="K48" i="65"/>
  <c r="K11" i="81"/>
  <c r="J48" i="65"/>
  <c r="J11" i="81"/>
  <c r="H48" i="65"/>
  <c r="H11" i="81"/>
  <c r="F48" i="65"/>
  <c r="F11" i="81"/>
  <c r="I48" i="65"/>
  <c r="I11" i="81"/>
  <c r="L48" i="65"/>
  <c r="L11" i="81"/>
  <c r="C48" i="65"/>
  <c r="C11" i="81"/>
  <c r="D48" i="65"/>
  <c r="D11" i="81"/>
  <c r="G48" i="65"/>
  <c r="G11" i="81"/>
  <c r="A24" i="64"/>
  <c r="A21" i="64"/>
  <c r="A16" i="64"/>
  <c r="A15" i="64"/>
  <c r="A13" i="64"/>
  <c r="A12" i="64"/>
  <c r="A11" i="64"/>
  <c r="A10" i="64"/>
  <c r="A9" i="64"/>
  <c r="A8" i="64"/>
  <c r="A7" i="64"/>
  <c r="A2" i="64"/>
  <c r="B2" i="58" l="1"/>
  <c r="A35" i="58" l="1"/>
  <c r="A34" i="58"/>
  <c r="A33" i="58"/>
  <c r="A32" i="58"/>
  <c r="A31" i="58"/>
  <c r="A30" i="58"/>
  <c r="A29" i="58"/>
  <c r="A28" i="58"/>
  <c r="A27" i="58"/>
  <c r="A26" i="58"/>
  <c r="A46" i="58" s="1"/>
  <c r="A25" i="58"/>
  <c r="A45" i="58" s="1"/>
  <c r="A24" i="58"/>
  <c r="A44" i="58" s="1"/>
  <c r="A23" i="58"/>
  <c r="A22" i="58"/>
  <c r="A21" i="58"/>
  <c r="A20" i="58"/>
  <c r="A19" i="58"/>
  <c r="A18" i="58"/>
  <c r="A17" i="58"/>
  <c r="A14" i="58"/>
  <c r="A13" i="58"/>
  <c r="A12" i="58"/>
  <c r="A40" i="58" s="1"/>
  <c r="A11" i="58"/>
  <c r="A39" i="58" s="1"/>
  <c r="A10" i="58"/>
  <c r="A38" i="58" s="1"/>
  <c r="A9" i="58"/>
  <c r="A8" i="58"/>
  <c r="A7" i="58"/>
  <c r="A2" i="58"/>
  <c r="A1" i="58"/>
  <c r="E27" i="3" l="1"/>
  <c r="F27" i="3"/>
  <c r="G27" i="3"/>
  <c r="C27" i="3" l="1"/>
  <c r="B27" i="3"/>
  <c r="B26" i="3"/>
  <c r="B28" i="3" s="1"/>
  <c r="C26" i="3"/>
  <c r="C28" i="3" s="1"/>
  <c r="D2" i="5" l="1"/>
  <c r="B4" i="5"/>
  <c r="C4" i="3" l="1"/>
  <c r="C8" i="3" a="1"/>
  <c r="K8" i="3" a="1"/>
  <c r="K11" i="3" a="1"/>
  <c r="K9" i="3" a="1"/>
  <c r="K5" i="3" a="1"/>
  <c r="C15" i="3" a="1"/>
  <c r="C6" i="3" a="1"/>
  <c r="C11" i="3" a="1"/>
  <c r="C7" i="3" a="1"/>
  <c r="K10" i="3" a="1"/>
  <c r="C9" i="3" a="1"/>
  <c r="C10" i="3" a="1"/>
  <c r="C15" i="3" l="1"/>
  <c r="C6" i="3"/>
  <c r="C16" i="3" s="1"/>
  <c r="C7" i="3"/>
  <c r="C8" i="3"/>
  <c r="C9" i="3"/>
  <c r="C10" i="3"/>
  <c r="C11" i="3"/>
  <c r="K5" i="3"/>
  <c r="K8" i="3"/>
  <c r="K9" i="3"/>
  <c r="K10" i="3"/>
  <c r="K11" i="3"/>
  <c r="C25" i="3"/>
  <c r="C17" i="3" l="1"/>
  <c r="B5" i="71"/>
  <c r="B5" i="70"/>
  <c r="C5" i="3"/>
  <c r="C12" i="3"/>
  <c r="H23" i="70" l="1"/>
  <c r="I25" i="70"/>
  <c r="L25" i="70"/>
  <c r="H25" i="70"/>
  <c r="G23" i="70"/>
  <c r="L24" i="70"/>
  <c r="I24" i="70"/>
  <c r="L22" i="70"/>
  <c r="J21" i="70"/>
  <c r="F24" i="70"/>
  <c r="L21" i="70"/>
  <c r="G24" i="70"/>
  <c r="G25" i="70"/>
  <c r="J22" i="70"/>
  <c r="F23" i="70"/>
  <c r="J24" i="70"/>
  <c r="I21" i="70"/>
  <c r="J25" i="70"/>
  <c r="L23" i="70"/>
  <c r="I22" i="70"/>
  <c r="F22" i="70"/>
  <c r="H22" i="70"/>
  <c r="I23" i="70"/>
  <c r="H24" i="70"/>
  <c r="G21" i="70"/>
  <c r="G22" i="70"/>
  <c r="H21" i="70"/>
  <c r="J23" i="70"/>
  <c r="F25" i="70"/>
  <c r="K23" i="70"/>
  <c r="K21" i="70"/>
  <c r="I26" i="70"/>
  <c r="K24" i="70"/>
  <c r="F21" i="70"/>
  <c r="K25" i="70"/>
  <c r="G26" i="70"/>
  <c r="K22" i="70"/>
  <c r="L26" i="70"/>
  <c r="H26" i="70"/>
  <c r="J26" i="70"/>
  <c r="F26" i="70"/>
  <c r="K26" i="70"/>
  <c r="L25" i="71"/>
  <c r="J25" i="71"/>
  <c r="K21" i="71"/>
  <c r="F25" i="71"/>
  <c r="K25" i="71"/>
  <c r="K23" i="71"/>
  <c r="J21" i="71"/>
  <c r="J22" i="71"/>
  <c r="L22" i="71"/>
  <c r="J24" i="71"/>
  <c r="G23" i="71"/>
  <c r="F21" i="71"/>
  <c r="G25" i="71"/>
  <c r="F23" i="71"/>
  <c r="K24" i="71"/>
  <c r="H23" i="71"/>
  <c r="L21" i="71"/>
  <c r="J23" i="71"/>
  <c r="L23" i="71"/>
  <c r="H22" i="71"/>
  <c r="G21" i="71"/>
  <c r="F22" i="71"/>
  <c r="G24" i="71"/>
  <c r="F24" i="71"/>
  <c r="L24" i="71"/>
  <c r="H21" i="71"/>
  <c r="H24" i="71"/>
  <c r="K22" i="71"/>
  <c r="H25" i="71"/>
  <c r="G22" i="71"/>
  <c r="G26" i="71"/>
  <c r="I25" i="71"/>
  <c r="J26" i="71"/>
  <c r="H26" i="71"/>
  <c r="I21" i="71"/>
  <c r="L26" i="71"/>
  <c r="I22" i="71"/>
  <c r="I23" i="71"/>
  <c r="I24" i="71"/>
  <c r="F26" i="71"/>
  <c r="K26" i="71"/>
  <c r="I26" i="71"/>
  <c r="D5" i="1"/>
  <c r="C38" i="1"/>
  <c r="I27" i="70" l="1"/>
  <c r="I33" i="70" s="1"/>
  <c r="I16" i="58" s="1"/>
  <c r="I29" i="58" s="1"/>
  <c r="H27" i="70"/>
  <c r="G27" i="70"/>
  <c r="I27" i="71"/>
  <c r="K27" i="71"/>
  <c r="L27" i="71"/>
  <c r="L27" i="70"/>
  <c r="G27" i="71"/>
  <c r="F27" i="71"/>
  <c r="J27" i="70"/>
  <c r="H27" i="71"/>
  <c r="J27" i="71"/>
  <c r="F27" i="70"/>
  <c r="K27" i="70"/>
  <c r="B2" i="14"/>
  <c r="J10" i="14" a="1"/>
  <c r="D15" i="14" a="1"/>
  <c r="J12" i="14" a="1"/>
  <c r="F10" i="14" a="1"/>
  <c r="G16" i="14" a="1"/>
  <c r="K11" i="14" a="1"/>
  <c r="E16" i="14" a="1"/>
  <c r="I20" i="14" a="1"/>
  <c r="L13" i="14" a="1"/>
  <c r="I13" i="14" a="1"/>
  <c r="H19" i="14" a="1"/>
  <c r="K13" i="14" a="1"/>
  <c r="E17" i="14" a="1"/>
  <c r="K14" i="14" a="1"/>
  <c r="K12" i="14" a="1"/>
  <c r="L19" i="14" a="1"/>
  <c r="F12" i="14" a="1"/>
  <c r="L17" i="14" a="1"/>
  <c r="K19" i="14" a="1"/>
  <c r="C15" i="14" a="1"/>
  <c r="F18" i="14" a="1"/>
  <c r="I19" i="14" a="1"/>
  <c r="G17" i="14" a="1"/>
  <c r="G20" i="14" a="1"/>
  <c r="F16" i="14" a="1"/>
  <c r="G19" i="14" a="1"/>
  <c r="I11" i="14" a="1"/>
  <c r="I17" i="14" a="1"/>
  <c r="E15" i="14" a="1"/>
  <c r="J13" i="14" a="1"/>
  <c r="E20" i="14" a="1"/>
  <c r="I14" i="14" a="1"/>
  <c r="L12" i="14" a="1"/>
  <c r="F14" i="14" a="1"/>
  <c r="F15" i="14" a="1"/>
  <c r="C10" i="14" a="1"/>
  <c r="J18" i="14" a="1"/>
  <c r="C20" i="14" a="1"/>
  <c r="L16" i="14" a="1"/>
  <c r="D11" i="14" a="1"/>
  <c r="C14" i="14" a="1"/>
  <c r="E18" i="14" a="1"/>
  <c r="L20" i="14" a="1"/>
  <c r="F19" i="14" a="1"/>
  <c r="D17" i="14" a="1"/>
  <c r="K20" i="14" a="1"/>
  <c r="E10" i="14" a="1"/>
  <c r="H17" i="14" a="1"/>
  <c r="C17" i="14" a="1"/>
  <c r="G15" i="14" a="1"/>
  <c r="H14" i="14" a="1"/>
  <c r="K15" i="14" a="1"/>
  <c r="L18" i="14" a="1"/>
  <c r="C12" i="14" a="1"/>
  <c r="L14" i="14" a="1"/>
  <c r="J16" i="14" a="1"/>
  <c r="D12" i="14" a="1"/>
  <c r="J14" i="14" a="1"/>
  <c r="E13" i="14" a="1"/>
  <c r="J11" i="14" a="1"/>
  <c r="H18" i="14" a="1"/>
  <c r="D20" i="14" a="1"/>
  <c r="C19" i="14" a="1"/>
  <c r="I12" i="14" a="1"/>
  <c r="H10" i="14" a="1"/>
  <c r="L11" i="14" a="1"/>
  <c r="G14" i="14" a="1"/>
  <c r="I10" i="14" a="1"/>
  <c r="C11" i="14" a="1"/>
  <c r="E12" i="14" a="1"/>
  <c r="K18" i="14" a="1"/>
  <c r="C13" i="14" a="1"/>
  <c r="H15" i="14" a="1"/>
  <c r="H13" i="14" a="1"/>
  <c r="F17" i="14" a="1"/>
  <c r="F20" i="14" a="1"/>
  <c r="I15" i="14" a="1"/>
  <c r="D16" i="14" a="1"/>
  <c r="H20" i="14" a="1"/>
  <c r="G10" i="14" a="1"/>
  <c r="K16" i="14" a="1"/>
  <c r="D19" i="14" a="1"/>
  <c r="E19" i="14" a="1"/>
  <c r="J20" i="14" a="1"/>
  <c r="G13" i="14" a="1"/>
  <c r="J19" i="14" a="1"/>
  <c r="K10" i="14" a="1"/>
  <c r="I18" i="14" a="1"/>
  <c r="G18" i="14" a="1"/>
  <c r="G12" i="14" a="1"/>
  <c r="H12" i="14" a="1"/>
  <c r="D10" i="14" a="1"/>
  <c r="D14" i="14" a="1"/>
  <c r="F13" i="14" a="1"/>
  <c r="C16" i="14" a="1"/>
  <c r="F11" i="14" a="1"/>
  <c r="L15" i="14" a="1"/>
  <c r="C18" i="14" a="1"/>
  <c r="H11" i="14" a="1"/>
  <c r="J17" i="14" a="1"/>
  <c r="D18" i="14" a="1"/>
  <c r="E14" i="14" a="1"/>
  <c r="J15" i="14" a="1"/>
  <c r="I16" i="14" a="1"/>
  <c r="K17" i="14" a="1"/>
  <c r="E11" i="14" a="1"/>
  <c r="G11" i="14" a="1"/>
  <c r="D13" i="14" a="1"/>
  <c r="L10" i="14" a="1"/>
  <c r="H16" i="14" a="1"/>
  <c r="I30" i="70" l="1"/>
  <c r="I32" i="70" s="1"/>
  <c r="I12" i="81"/>
  <c r="G33" i="70"/>
  <c r="G16" i="58" s="1"/>
  <c r="G29" i="58" s="1"/>
  <c r="G30" i="70"/>
  <c r="F33" i="70"/>
  <c r="F16" i="58" s="1"/>
  <c r="F29" i="58" s="1"/>
  <c r="F30" i="70"/>
  <c r="J30" i="71"/>
  <c r="J33" i="71"/>
  <c r="J16" i="75" s="1"/>
  <c r="J29" i="75" s="1"/>
  <c r="J33" i="70"/>
  <c r="J16" i="58" s="1"/>
  <c r="J29" i="58" s="1"/>
  <c r="J30" i="70"/>
  <c r="I33" i="71"/>
  <c r="I16" i="75" s="1"/>
  <c r="I29" i="75" s="1"/>
  <c r="I30" i="71"/>
  <c r="K33" i="70"/>
  <c r="K16" i="58" s="1"/>
  <c r="K29" i="58" s="1"/>
  <c r="K30" i="70"/>
  <c r="H30" i="70"/>
  <c r="H33" i="70"/>
  <c r="H16" i="58" s="1"/>
  <c r="H29" i="58" s="1"/>
  <c r="H30" i="71"/>
  <c r="H33" i="71"/>
  <c r="H16" i="75" s="1"/>
  <c r="H29" i="75" s="1"/>
  <c r="F33" i="71"/>
  <c r="F16" i="75" s="1"/>
  <c r="F29" i="75" s="1"/>
  <c r="F30" i="71"/>
  <c r="G33" i="71"/>
  <c r="G16" i="75" s="1"/>
  <c r="G29" i="75" s="1"/>
  <c r="G30" i="71"/>
  <c r="L33" i="70"/>
  <c r="L16" i="58" s="1"/>
  <c r="L29" i="58" s="1"/>
  <c r="L30" i="70"/>
  <c r="L33" i="71"/>
  <c r="L16" i="75" s="1"/>
  <c r="L29" i="75" s="1"/>
  <c r="L30" i="71"/>
  <c r="K33" i="71"/>
  <c r="K16" i="75" s="1"/>
  <c r="K29" i="75" s="1"/>
  <c r="K30" i="71"/>
  <c r="C10" i="14"/>
  <c r="D10" i="14"/>
  <c r="E10" i="14"/>
  <c r="F10" i="14"/>
  <c r="G10" i="14"/>
  <c r="H10" i="14"/>
  <c r="I10" i="14"/>
  <c r="J10" i="14"/>
  <c r="K10" i="14"/>
  <c r="L10" i="14"/>
  <c r="C11" i="14"/>
  <c r="D11" i="14"/>
  <c r="E11" i="14"/>
  <c r="F11" i="14"/>
  <c r="G11" i="14"/>
  <c r="H11" i="14"/>
  <c r="I11" i="14"/>
  <c r="J11" i="14"/>
  <c r="K11" i="14"/>
  <c r="L11" i="14"/>
  <c r="C12" i="14"/>
  <c r="D12" i="14"/>
  <c r="E12" i="14"/>
  <c r="F12" i="14"/>
  <c r="G12" i="14"/>
  <c r="H12" i="14"/>
  <c r="I12" i="14"/>
  <c r="J12" i="14"/>
  <c r="K12" i="14"/>
  <c r="L12" i="14"/>
  <c r="C13" i="14"/>
  <c r="D13" i="14"/>
  <c r="E13" i="14"/>
  <c r="F13" i="14"/>
  <c r="G13" i="14"/>
  <c r="H13" i="14"/>
  <c r="I13" i="14"/>
  <c r="J13" i="14"/>
  <c r="K13" i="14"/>
  <c r="L13" i="14"/>
  <c r="C14" i="14"/>
  <c r="D14" i="14"/>
  <c r="E14" i="14"/>
  <c r="F14" i="14"/>
  <c r="G14" i="14"/>
  <c r="H14" i="14"/>
  <c r="I14" i="14"/>
  <c r="J14" i="14"/>
  <c r="K14" i="14"/>
  <c r="L14" i="14"/>
  <c r="C15" i="14"/>
  <c r="D15" i="14"/>
  <c r="E15" i="14"/>
  <c r="F15" i="14"/>
  <c r="G15" i="14"/>
  <c r="H15" i="14"/>
  <c r="I15" i="14"/>
  <c r="J15" i="14"/>
  <c r="K15" i="14"/>
  <c r="L15" i="14"/>
  <c r="C16" i="14"/>
  <c r="D16" i="14"/>
  <c r="E16" i="14"/>
  <c r="F16" i="14"/>
  <c r="G16" i="14"/>
  <c r="H16" i="14"/>
  <c r="I16" i="14"/>
  <c r="J16" i="14"/>
  <c r="K16" i="14"/>
  <c r="L16" i="14"/>
  <c r="C17" i="14"/>
  <c r="D17" i="14"/>
  <c r="E17" i="14"/>
  <c r="F17" i="14"/>
  <c r="G17" i="14"/>
  <c r="H17" i="14"/>
  <c r="I17" i="14"/>
  <c r="J17" i="14"/>
  <c r="K17" i="14"/>
  <c r="L17" i="14"/>
  <c r="C18" i="14"/>
  <c r="D18" i="14"/>
  <c r="E18" i="14"/>
  <c r="F18" i="14"/>
  <c r="G18" i="14"/>
  <c r="H18" i="14"/>
  <c r="I18" i="14"/>
  <c r="J18" i="14"/>
  <c r="K18" i="14"/>
  <c r="L18" i="14"/>
  <c r="C19" i="14"/>
  <c r="D19" i="14"/>
  <c r="E19" i="14"/>
  <c r="F19" i="14"/>
  <c r="G19" i="14"/>
  <c r="H19" i="14"/>
  <c r="I19" i="14"/>
  <c r="J19" i="14"/>
  <c r="K19" i="14"/>
  <c r="L19" i="14"/>
  <c r="C20" i="14"/>
  <c r="D20" i="14"/>
  <c r="E20" i="14"/>
  <c r="F20" i="14"/>
  <c r="G20" i="14"/>
  <c r="H20" i="14"/>
  <c r="I20" i="14"/>
  <c r="J20" i="14"/>
  <c r="K20" i="14"/>
  <c r="L20" i="14"/>
  <c r="B8" i="18"/>
  <c r="C45" i="18" a="1"/>
  <c r="C50" i="18" a="1"/>
  <c r="C23" i="18" a="1"/>
  <c r="C37" i="18" a="1"/>
  <c r="B35" i="18" a="1"/>
  <c r="C25" i="18" a="1"/>
  <c r="C19" i="18" a="1"/>
  <c r="B16" i="18" a="1"/>
  <c r="C46" i="18" a="1"/>
  <c r="B6" i="18" a="1"/>
  <c r="B22" i="18" a="1"/>
  <c r="B39" i="18" a="1"/>
  <c r="B24" i="18" a="1"/>
  <c r="C24" i="18" a="1"/>
  <c r="B21" i="18" a="1"/>
  <c r="C40" i="18" a="1"/>
  <c r="C54" i="18" a="1"/>
  <c r="B40" i="18" a="1"/>
  <c r="B43" i="18" a="1"/>
  <c r="B53" i="18" a="1"/>
  <c r="B59" i="18" a="1"/>
  <c r="B15" i="18" a="1"/>
  <c r="B36" i="18" a="1"/>
  <c r="B42" i="18" a="1"/>
  <c r="B30" i="18" a="1"/>
  <c r="B28" i="18" a="1"/>
  <c r="B37" i="18" a="1"/>
  <c r="B48" i="18" a="1"/>
  <c r="C59" i="18" a="1"/>
  <c r="C56" i="18" a="1"/>
  <c r="C14" i="18" a="1"/>
  <c r="B56" i="18" a="1"/>
  <c r="C27" i="18" a="1"/>
  <c r="B45" i="18" a="1"/>
  <c r="B46" i="18" a="1"/>
  <c r="B19" i="18" a="1"/>
  <c r="C15" i="18" a="1"/>
  <c r="C18" i="18" a="1"/>
  <c r="C43" i="18" a="1"/>
  <c r="C20" i="18" a="1"/>
  <c r="C16" i="18" a="1"/>
  <c r="B58" i="18" a="1"/>
  <c r="B47" i="18" a="1"/>
  <c r="C52" i="18" a="1"/>
  <c r="B29" i="18" a="1"/>
  <c r="C39" i="18" a="1"/>
  <c r="B25" i="18" a="1"/>
  <c r="C36" i="18" a="1"/>
  <c r="B27" i="18" a="1"/>
  <c r="B5" i="18" a="1"/>
  <c r="B20" i="18" a="1"/>
  <c r="C11" i="18" a="1"/>
  <c r="B18" i="18" a="1"/>
  <c r="B49" i="18" a="1"/>
  <c r="C22" i="18" a="1"/>
  <c r="C48" i="18" a="1"/>
  <c r="C49" i="18" a="1"/>
  <c r="C21" i="18" a="1"/>
  <c r="B23" i="18" a="1"/>
  <c r="C28" i="18" a="1"/>
  <c r="C47" i="18" a="1"/>
  <c r="B54" i="18" a="1"/>
  <c r="B32" i="18" a="1"/>
  <c r="B44" i="18" a="1"/>
  <c r="C41" i="18" a="1"/>
  <c r="C32" i="18" a="1"/>
  <c r="C17" i="18" a="1"/>
  <c r="C44" i="18" a="1"/>
  <c r="B17" i="18" a="1"/>
  <c r="C29" i="18" a="1"/>
  <c r="B50" i="18" a="1"/>
  <c r="C53" i="18" a="1"/>
  <c r="C12" i="18" a="1"/>
  <c r="C35" i="18" a="1"/>
  <c r="B41" i="18" a="1"/>
  <c r="B52" i="18" a="1"/>
  <c r="C58" i="18" a="1"/>
  <c r="C30" i="18" a="1"/>
  <c r="C42" i="18" a="1"/>
  <c r="B14" i="18" a="1"/>
  <c r="K32" i="71" l="1"/>
  <c r="K12" i="83"/>
  <c r="L32" i="71"/>
  <c r="L12" i="83"/>
  <c r="I32" i="71"/>
  <c r="I12" i="83"/>
  <c r="G32" i="71"/>
  <c r="G12" i="83"/>
  <c r="F32" i="71"/>
  <c r="F12" i="83"/>
  <c r="J32" i="71"/>
  <c r="J12" i="83"/>
  <c r="H32" i="71"/>
  <c r="H12" i="83"/>
  <c r="J32" i="70"/>
  <c r="J12" i="81"/>
  <c r="F32" i="70"/>
  <c r="F12" i="81"/>
  <c r="L32" i="70"/>
  <c r="L12" i="81"/>
  <c r="G32" i="70"/>
  <c r="G12" i="81"/>
  <c r="H32" i="70"/>
  <c r="H12" i="81"/>
  <c r="K32" i="70"/>
  <c r="K12" i="81"/>
  <c r="B5" i="18"/>
  <c r="B6" i="18"/>
  <c r="C11" i="18"/>
  <c r="C5" i="86" s="1"/>
  <c r="D11" i="18"/>
  <c r="E11" i="18"/>
  <c r="F11" i="18"/>
  <c r="G11" i="18"/>
  <c r="H11" i="18"/>
  <c r="I11" i="18"/>
  <c r="J11" i="18"/>
  <c r="K11" i="18"/>
  <c r="L11" i="18"/>
  <c r="C12" i="18"/>
  <c r="D12" i="18"/>
  <c r="E12" i="18"/>
  <c r="F12" i="18"/>
  <c r="G12" i="18"/>
  <c r="H12" i="18"/>
  <c r="I12" i="18"/>
  <c r="J12" i="18"/>
  <c r="K12" i="18"/>
  <c r="L12" i="18"/>
  <c r="B14" i="18"/>
  <c r="C14" i="18"/>
  <c r="E6" i="33" s="1"/>
  <c r="F6" i="33" s="1"/>
  <c r="F12" i="33" s="1"/>
  <c r="D14" i="18"/>
  <c r="E7" i="33" s="1"/>
  <c r="E14" i="18"/>
  <c r="F14" i="18"/>
  <c r="G14" i="18"/>
  <c r="H14" i="18"/>
  <c r="I14" i="18"/>
  <c r="J14" i="18"/>
  <c r="L14" i="18"/>
  <c r="K14" i="18"/>
  <c r="B15" i="18"/>
  <c r="C15" i="18"/>
  <c r="D15" i="18"/>
  <c r="E15" i="18"/>
  <c r="F15" i="18"/>
  <c r="G15" i="18"/>
  <c r="H15" i="18"/>
  <c r="I15" i="18"/>
  <c r="J15" i="18"/>
  <c r="K15" i="18"/>
  <c r="L15" i="18"/>
  <c r="B16" i="18"/>
  <c r="C16" i="18"/>
  <c r="D16" i="18"/>
  <c r="E16" i="18"/>
  <c r="F16" i="18"/>
  <c r="G16" i="18"/>
  <c r="H16" i="18"/>
  <c r="I16" i="18"/>
  <c r="J16" i="18"/>
  <c r="K16" i="18"/>
  <c r="L16" i="18"/>
  <c r="B17" i="18"/>
  <c r="C17" i="18"/>
  <c r="C10" i="21" s="1"/>
  <c r="D17" i="18"/>
  <c r="E17" i="18"/>
  <c r="F17" i="18"/>
  <c r="G17" i="18"/>
  <c r="H17" i="18"/>
  <c r="I17" i="18"/>
  <c r="J17" i="18"/>
  <c r="K17" i="18"/>
  <c r="L17" i="18"/>
  <c r="B18" i="18"/>
  <c r="C18" i="18"/>
  <c r="D18" i="18"/>
  <c r="E18" i="18"/>
  <c r="F18" i="18"/>
  <c r="G18" i="18"/>
  <c r="H18" i="18"/>
  <c r="I18" i="18"/>
  <c r="J18" i="18"/>
  <c r="K18" i="18"/>
  <c r="L18" i="18"/>
  <c r="B19" i="18"/>
  <c r="C19" i="18"/>
  <c r="D19" i="18"/>
  <c r="E19" i="18"/>
  <c r="F19" i="18"/>
  <c r="G19" i="18"/>
  <c r="H19" i="18"/>
  <c r="I19" i="18"/>
  <c r="J19" i="18"/>
  <c r="K19" i="18"/>
  <c r="L19" i="18"/>
  <c r="B20" i="18"/>
  <c r="C20" i="18"/>
  <c r="D20" i="18"/>
  <c r="E20" i="18"/>
  <c r="F20" i="18"/>
  <c r="G20" i="18"/>
  <c r="H20" i="18"/>
  <c r="I20" i="18"/>
  <c r="J20" i="18"/>
  <c r="K20" i="18"/>
  <c r="L20" i="18"/>
  <c r="B21" i="18"/>
  <c r="C21" i="18"/>
  <c r="D21" i="18"/>
  <c r="E21" i="18"/>
  <c r="F21" i="18"/>
  <c r="G21" i="18"/>
  <c r="H21" i="18"/>
  <c r="I21" i="18"/>
  <c r="J21" i="18"/>
  <c r="K21" i="18"/>
  <c r="L21" i="18"/>
  <c r="B22" i="18"/>
  <c r="C22" i="18"/>
  <c r="D22" i="18"/>
  <c r="E22" i="18"/>
  <c r="F22" i="18"/>
  <c r="G22" i="18"/>
  <c r="H22" i="18"/>
  <c r="I22" i="18"/>
  <c r="J22" i="18"/>
  <c r="K22" i="18"/>
  <c r="L22" i="18"/>
  <c r="B23" i="18"/>
  <c r="C23" i="18"/>
  <c r="D23" i="18"/>
  <c r="E23" i="18"/>
  <c r="F23" i="18"/>
  <c r="G23" i="18"/>
  <c r="H23" i="18"/>
  <c r="I23" i="18"/>
  <c r="J23" i="18"/>
  <c r="K23" i="18"/>
  <c r="L23" i="18"/>
  <c r="B24" i="18"/>
  <c r="C24" i="18"/>
  <c r="D24" i="18"/>
  <c r="E24" i="18"/>
  <c r="F24" i="18"/>
  <c r="G24" i="18"/>
  <c r="H24" i="18"/>
  <c r="I24" i="18"/>
  <c r="J24" i="18"/>
  <c r="K24" i="18"/>
  <c r="L24" i="18"/>
  <c r="B25" i="18"/>
  <c r="C25" i="18"/>
  <c r="D25" i="18"/>
  <c r="E25" i="18"/>
  <c r="F25" i="18"/>
  <c r="G25" i="18"/>
  <c r="H25" i="18"/>
  <c r="I25" i="18"/>
  <c r="J25" i="18"/>
  <c r="K25" i="18"/>
  <c r="L25" i="18"/>
  <c r="B27" i="18"/>
  <c r="C27" i="18"/>
  <c r="D27" i="18"/>
  <c r="E27" i="18"/>
  <c r="F27" i="18"/>
  <c r="G27" i="18"/>
  <c r="H27" i="18"/>
  <c r="I27" i="18"/>
  <c r="K27" i="18"/>
  <c r="L27" i="18"/>
  <c r="J27" i="18"/>
  <c r="B28" i="18"/>
  <c r="C28" i="18"/>
  <c r="D28" i="18"/>
  <c r="E28" i="18"/>
  <c r="F28" i="18"/>
  <c r="G28" i="18"/>
  <c r="H28" i="18"/>
  <c r="I28" i="18"/>
  <c r="J28" i="18"/>
  <c r="K28" i="18"/>
  <c r="L28" i="18"/>
  <c r="B29" i="18"/>
  <c r="C29" i="18"/>
  <c r="D29" i="18"/>
  <c r="E29" i="18"/>
  <c r="F29" i="18"/>
  <c r="G29" i="18"/>
  <c r="H29" i="18"/>
  <c r="I29" i="18"/>
  <c r="J29" i="18"/>
  <c r="K29" i="18"/>
  <c r="L29" i="18"/>
  <c r="B30" i="18"/>
  <c r="C30" i="18"/>
  <c r="D30" i="18"/>
  <c r="E30" i="18"/>
  <c r="F30" i="18"/>
  <c r="G30" i="18"/>
  <c r="H30" i="18"/>
  <c r="I30" i="18"/>
  <c r="J30" i="18"/>
  <c r="K30" i="18"/>
  <c r="L30" i="18"/>
  <c r="B32" i="18"/>
  <c r="C32" i="18"/>
  <c r="D32" i="18"/>
  <c r="E32" i="18"/>
  <c r="F32" i="18"/>
  <c r="G32" i="18"/>
  <c r="H32" i="18"/>
  <c r="I32" i="18"/>
  <c r="J32" i="18"/>
  <c r="K32" i="18"/>
  <c r="L32" i="18"/>
  <c r="B35" i="18"/>
  <c r="C35" i="18"/>
  <c r="D35" i="18"/>
  <c r="E35" i="18"/>
  <c r="F35" i="18"/>
  <c r="G35" i="18"/>
  <c r="H35" i="18"/>
  <c r="I35" i="18"/>
  <c r="J35" i="18"/>
  <c r="K35" i="18"/>
  <c r="L35" i="18"/>
  <c r="B36" i="18"/>
  <c r="C36" i="18"/>
  <c r="D36" i="18"/>
  <c r="E36" i="18"/>
  <c r="F36" i="18"/>
  <c r="G36" i="18"/>
  <c r="H36" i="18"/>
  <c r="I36" i="18"/>
  <c r="J36" i="18"/>
  <c r="K36" i="18"/>
  <c r="L36" i="18"/>
  <c r="B37" i="18"/>
  <c r="C37" i="18"/>
  <c r="D37" i="18"/>
  <c r="E37" i="18"/>
  <c r="F37" i="18"/>
  <c r="G37" i="18"/>
  <c r="H37" i="18"/>
  <c r="I37" i="18"/>
  <c r="J37" i="18"/>
  <c r="K37" i="18"/>
  <c r="L37" i="18"/>
  <c r="B39" i="18"/>
  <c r="C39" i="18"/>
  <c r="D39" i="18"/>
  <c r="E39" i="18"/>
  <c r="F39" i="18"/>
  <c r="G39" i="18"/>
  <c r="H39" i="18"/>
  <c r="I39" i="18"/>
  <c r="J39" i="18"/>
  <c r="K39" i="18"/>
  <c r="L39" i="18"/>
  <c r="B40" i="18"/>
  <c r="C40" i="18"/>
  <c r="D40" i="18"/>
  <c r="E40" i="18"/>
  <c r="F40" i="18"/>
  <c r="G40" i="18"/>
  <c r="H40" i="18"/>
  <c r="I40" i="18"/>
  <c r="J40" i="18"/>
  <c r="K40" i="18"/>
  <c r="L40" i="18"/>
  <c r="B41" i="18"/>
  <c r="C41" i="18"/>
  <c r="D41" i="18"/>
  <c r="E41" i="18"/>
  <c r="F41" i="18"/>
  <c r="G41" i="18"/>
  <c r="H41" i="18"/>
  <c r="I41" i="18"/>
  <c r="J41" i="18"/>
  <c r="K41" i="18"/>
  <c r="L41" i="18"/>
  <c r="B42" i="18"/>
  <c r="C42" i="18"/>
  <c r="D42" i="18"/>
  <c r="E42" i="18"/>
  <c r="F42" i="18"/>
  <c r="G42" i="18"/>
  <c r="H42" i="18"/>
  <c r="I42" i="18"/>
  <c r="J42" i="18"/>
  <c r="K42" i="18"/>
  <c r="L42" i="18"/>
  <c r="B43" i="18"/>
  <c r="C43" i="18"/>
  <c r="D43" i="18"/>
  <c r="E43" i="18"/>
  <c r="F43" i="18"/>
  <c r="G43" i="18"/>
  <c r="H43" i="18"/>
  <c r="I43" i="18"/>
  <c r="J43" i="18"/>
  <c r="K43" i="18"/>
  <c r="L43" i="18"/>
  <c r="B44" i="18"/>
  <c r="C44" i="18"/>
  <c r="D44" i="18"/>
  <c r="E44" i="18"/>
  <c r="F44" i="18"/>
  <c r="G44" i="18"/>
  <c r="H44" i="18"/>
  <c r="I44" i="18"/>
  <c r="J44" i="18"/>
  <c r="K44" i="18"/>
  <c r="L44" i="18"/>
  <c r="B45" i="18"/>
  <c r="C45" i="18"/>
  <c r="D45" i="18"/>
  <c r="E45" i="18"/>
  <c r="F45" i="18"/>
  <c r="G45" i="18"/>
  <c r="H45" i="18"/>
  <c r="I45" i="18"/>
  <c r="J45" i="18"/>
  <c r="K45" i="18"/>
  <c r="L45" i="18"/>
  <c r="B46" i="18"/>
  <c r="C46" i="18"/>
  <c r="D46" i="18"/>
  <c r="E46" i="18"/>
  <c r="F46" i="18"/>
  <c r="G46" i="18"/>
  <c r="H46" i="18"/>
  <c r="I46" i="18"/>
  <c r="J46" i="18"/>
  <c r="K46" i="18"/>
  <c r="L46" i="18"/>
  <c r="B47" i="18"/>
  <c r="C47" i="18"/>
  <c r="D47" i="18"/>
  <c r="E47" i="18"/>
  <c r="F47" i="18"/>
  <c r="G47" i="18"/>
  <c r="H47" i="18"/>
  <c r="I47" i="18"/>
  <c r="J47" i="18"/>
  <c r="K47" i="18"/>
  <c r="L47" i="18"/>
  <c r="B48" i="18"/>
  <c r="C48" i="18"/>
  <c r="D48" i="18"/>
  <c r="E48" i="18"/>
  <c r="F48" i="18"/>
  <c r="G48" i="18"/>
  <c r="H48" i="18"/>
  <c r="I48" i="18"/>
  <c r="J48" i="18"/>
  <c r="K48" i="18"/>
  <c r="L48" i="18"/>
  <c r="B49" i="18"/>
  <c r="C49" i="18"/>
  <c r="D49" i="18"/>
  <c r="E49" i="18"/>
  <c r="F49" i="18"/>
  <c r="G49" i="18"/>
  <c r="H49" i="18"/>
  <c r="I49" i="18"/>
  <c r="J49" i="18"/>
  <c r="K49" i="18"/>
  <c r="L49" i="18"/>
  <c r="B50" i="18"/>
  <c r="C50" i="18"/>
  <c r="D50" i="18"/>
  <c r="E50" i="18"/>
  <c r="F50" i="18"/>
  <c r="G50" i="18"/>
  <c r="H50" i="18"/>
  <c r="I50" i="18"/>
  <c r="J50" i="18"/>
  <c r="K50" i="18"/>
  <c r="L50" i="18"/>
  <c r="B52" i="18"/>
  <c r="C52" i="18"/>
  <c r="D52" i="18"/>
  <c r="E52" i="18"/>
  <c r="F52" i="18"/>
  <c r="G52" i="18"/>
  <c r="H52" i="18"/>
  <c r="I52" i="18"/>
  <c r="J52" i="18"/>
  <c r="K52" i="18"/>
  <c r="L52" i="18"/>
  <c r="B53" i="18"/>
  <c r="C53" i="18"/>
  <c r="D53" i="18"/>
  <c r="E53" i="18"/>
  <c r="F53" i="18"/>
  <c r="G53" i="18"/>
  <c r="H53" i="18"/>
  <c r="I53" i="18"/>
  <c r="J53" i="18"/>
  <c r="K53" i="18"/>
  <c r="L53" i="18"/>
  <c r="B54" i="18"/>
  <c r="C54" i="18"/>
  <c r="D54" i="18"/>
  <c r="E54" i="18"/>
  <c r="F54" i="18"/>
  <c r="G54" i="18"/>
  <c r="H54" i="18"/>
  <c r="I54" i="18"/>
  <c r="J54" i="18"/>
  <c r="K54" i="18"/>
  <c r="L54" i="18"/>
  <c r="B56" i="18"/>
  <c r="C56" i="18"/>
  <c r="D56" i="18"/>
  <c r="E56" i="18"/>
  <c r="F56" i="18"/>
  <c r="G56" i="18"/>
  <c r="H56" i="18"/>
  <c r="I56" i="18"/>
  <c r="J56" i="18"/>
  <c r="L56" i="18"/>
  <c r="K56" i="18"/>
  <c r="B58" i="18"/>
  <c r="C58" i="18"/>
  <c r="L27" i="34" s="1"/>
  <c r="M27" i="34" s="1"/>
  <c r="D58" i="18"/>
  <c r="E58" i="18"/>
  <c r="J27" i="34" s="1"/>
  <c r="F58" i="18"/>
  <c r="G58" i="18"/>
  <c r="H27" i="34" s="1"/>
  <c r="H58" i="18"/>
  <c r="I58" i="18"/>
  <c r="J58" i="18"/>
  <c r="K58" i="18"/>
  <c r="L58" i="18"/>
  <c r="B59" i="18"/>
  <c r="C59" i="18"/>
  <c r="D59" i="18"/>
  <c r="E59" i="18"/>
  <c r="F59" i="18"/>
  <c r="G59" i="18"/>
  <c r="H59" i="18"/>
  <c r="I59" i="18"/>
  <c r="J59" i="18"/>
  <c r="K59" i="18"/>
  <c r="L59" i="18"/>
  <c r="B2" i="21"/>
  <c r="B2" i="20"/>
  <c r="G39" i="28"/>
  <c r="B39" i="27" l="1"/>
  <c r="B14" i="27"/>
  <c r="G6" i="33"/>
  <c r="D6" i="86"/>
  <c r="D6" i="88"/>
  <c r="K5" i="86"/>
  <c r="K5" i="88"/>
  <c r="L6" i="86"/>
  <c r="L6" i="88"/>
  <c r="J5" i="86"/>
  <c r="J5" i="88"/>
  <c r="J6" i="86"/>
  <c r="J6" i="88"/>
  <c r="H5" i="86"/>
  <c r="H5" i="88"/>
  <c r="I6" i="86"/>
  <c r="I6" i="88"/>
  <c r="G5" i="86"/>
  <c r="G5" i="88"/>
  <c r="E6" i="86"/>
  <c r="E6" i="88"/>
  <c r="I5" i="86"/>
  <c r="I5" i="88"/>
  <c r="G6" i="86"/>
  <c r="G6" i="88"/>
  <c r="E5" i="86"/>
  <c r="E5" i="88"/>
  <c r="C5" i="88"/>
  <c r="C5" i="64"/>
  <c r="C6" i="86"/>
  <c r="C6" i="88"/>
  <c r="L5" i="86"/>
  <c r="L5" i="88"/>
  <c r="K6" i="86"/>
  <c r="K6" i="88"/>
  <c r="H6" i="86"/>
  <c r="H6" i="88"/>
  <c r="F5" i="86"/>
  <c r="F5" i="88"/>
  <c r="F6" i="86"/>
  <c r="F6" i="88"/>
  <c r="D5" i="86"/>
  <c r="D5" i="88"/>
  <c r="L6" i="84"/>
  <c r="L6" i="85"/>
  <c r="J5" i="84"/>
  <c r="J5" i="85"/>
  <c r="K6" i="84"/>
  <c r="K6" i="85"/>
  <c r="J6" i="84"/>
  <c r="J6" i="85"/>
  <c r="G5" i="84"/>
  <c r="G5" i="85"/>
  <c r="H6" i="84"/>
  <c r="H6" i="85"/>
  <c r="G6" i="84"/>
  <c r="G6" i="85"/>
  <c r="D5" i="84"/>
  <c r="D5" i="85"/>
  <c r="E6" i="84"/>
  <c r="E6" i="85"/>
  <c r="D6" i="84"/>
  <c r="D6" i="85"/>
  <c r="C6" i="84"/>
  <c r="C6" i="85"/>
  <c r="L5" i="84"/>
  <c r="L5" i="85"/>
  <c r="I5" i="84"/>
  <c r="I5" i="85"/>
  <c r="H5" i="84"/>
  <c r="H5" i="85"/>
  <c r="I6" i="84"/>
  <c r="I6" i="85"/>
  <c r="F5" i="84"/>
  <c r="F5" i="85"/>
  <c r="E5" i="84"/>
  <c r="E5" i="85"/>
  <c r="F6" i="84"/>
  <c r="F6" i="85"/>
  <c r="C5" i="84"/>
  <c r="C5" i="85"/>
  <c r="K5" i="84"/>
  <c r="K5" i="85"/>
  <c r="I6" i="82"/>
  <c r="I6" i="83"/>
  <c r="C6" i="82"/>
  <c r="C6" i="83"/>
  <c r="L5" i="82"/>
  <c r="L5" i="83"/>
  <c r="G5" i="82"/>
  <c r="G5" i="83"/>
  <c r="K5" i="82"/>
  <c r="K5" i="83"/>
  <c r="L6" i="82"/>
  <c r="L6" i="83"/>
  <c r="J5" i="82"/>
  <c r="J5" i="83"/>
  <c r="K6" i="82"/>
  <c r="K6" i="83"/>
  <c r="I5" i="82"/>
  <c r="I5" i="83"/>
  <c r="J6" i="82"/>
  <c r="J6" i="83"/>
  <c r="H5" i="82"/>
  <c r="H5" i="83"/>
  <c r="H6" i="82"/>
  <c r="H6" i="83"/>
  <c r="F5" i="82"/>
  <c r="F5" i="83"/>
  <c r="G6" i="82"/>
  <c r="G6" i="83"/>
  <c r="E5" i="82"/>
  <c r="E5" i="83"/>
  <c r="F6" i="82"/>
  <c r="F6" i="83"/>
  <c r="D5" i="82"/>
  <c r="D5" i="83"/>
  <c r="E6" i="82"/>
  <c r="E6" i="83"/>
  <c r="C5" i="82"/>
  <c r="C5" i="83"/>
  <c r="D6" i="82"/>
  <c r="D6" i="83"/>
  <c r="G6" i="80"/>
  <c r="G6" i="81"/>
  <c r="E5" i="80"/>
  <c r="E5" i="81"/>
  <c r="F6" i="80"/>
  <c r="F6" i="81"/>
  <c r="D5" i="80"/>
  <c r="D5" i="81"/>
  <c r="E6" i="80"/>
  <c r="E6" i="81"/>
  <c r="C5" i="80"/>
  <c r="C5" i="81"/>
  <c r="D6" i="80"/>
  <c r="D6" i="81"/>
  <c r="C6" i="80"/>
  <c r="C6" i="81"/>
  <c r="L5" i="80"/>
  <c r="L5" i="81"/>
  <c r="K5" i="80"/>
  <c r="K5" i="81"/>
  <c r="L6" i="80"/>
  <c r="L6" i="81"/>
  <c r="J5" i="80"/>
  <c r="J5" i="81"/>
  <c r="K6" i="80"/>
  <c r="K6" i="81"/>
  <c r="I5" i="80"/>
  <c r="I5" i="81"/>
  <c r="J6" i="80"/>
  <c r="J6" i="81"/>
  <c r="H5" i="80"/>
  <c r="H5" i="81"/>
  <c r="I6" i="80"/>
  <c r="I6" i="81"/>
  <c r="G5" i="80"/>
  <c r="G5" i="81"/>
  <c r="H6" i="80"/>
  <c r="H6" i="81"/>
  <c r="F5" i="80"/>
  <c r="F5" i="81"/>
  <c r="K5" i="78"/>
  <c r="K5" i="79"/>
  <c r="G6" i="78"/>
  <c r="G6" i="79"/>
  <c r="E5" i="78"/>
  <c r="E5" i="79"/>
  <c r="F6" i="78"/>
  <c r="F6" i="79"/>
  <c r="D5" i="78"/>
  <c r="D5" i="79"/>
  <c r="E6" i="78"/>
  <c r="E6" i="79"/>
  <c r="C5" i="78"/>
  <c r="C5" i="79"/>
  <c r="D6" i="78"/>
  <c r="D6" i="79"/>
  <c r="C6" i="78"/>
  <c r="C6" i="79"/>
  <c r="L5" i="78"/>
  <c r="L5" i="79"/>
  <c r="L6" i="78"/>
  <c r="L6" i="79"/>
  <c r="J5" i="78"/>
  <c r="J5" i="79"/>
  <c r="K6" i="78"/>
  <c r="K6" i="79"/>
  <c r="I5" i="78"/>
  <c r="I5" i="79"/>
  <c r="J6" i="78"/>
  <c r="J6" i="79"/>
  <c r="H5" i="78"/>
  <c r="H5" i="79"/>
  <c r="I6" i="78"/>
  <c r="I6" i="79"/>
  <c r="G5" i="78"/>
  <c r="G5" i="79"/>
  <c r="H6" i="78"/>
  <c r="H6" i="79"/>
  <c r="F5" i="78"/>
  <c r="F5" i="79"/>
  <c r="J19" i="21"/>
  <c r="C19" i="21"/>
  <c r="B11" i="14"/>
  <c r="A12" i="14"/>
  <c r="B12" i="14" s="1"/>
  <c r="A24" i="14"/>
  <c r="A37" i="14" s="1"/>
  <c r="B8" i="13"/>
  <c r="L48" i="38"/>
  <c r="Q50" i="38" s="1"/>
  <c r="L49" i="38"/>
  <c r="J48" i="39"/>
  <c r="C12" i="22"/>
  <c r="D92" i="39"/>
  <c r="C92" i="39" s="1"/>
  <c r="B92" i="39" s="1"/>
  <c r="J45" i="39"/>
  <c r="J44" i="39"/>
  <c r="C29" i="20"/>
  <c r="N59" i="34"/>
  <c r="E8" i="91" s="1"/>
  <c r="E25" i="91" s="1"/>
  <c r="B8" i="17"/>
  <c r="K4" i="17" s="1"/>
  <c r="B7" i="25"/>
  <c r="A13" i="25" s="1"/>
  <c r="B9" i="13"/>
  <c r="F25" i="39"/>
  <c r="B8" i="19"/>
  <c r="B2" i="15"/>
  <c r="A21" i="15"/>
  <c r="A22" i="15"/>
  <c r="A23" i="15"/>
  <c r="A24" i="15"/>
  <c r="A25" i="15"/>
  <c r="Y26" i="43"/>
  <c r="M2" i="23"/>
  <c r="AG3" i="41"/>
  <c r="A3" i="1"/>
  <c r="D2" i="6"/>
  <c r="E2" i="6"/>
  <c r="F2" i="6"/>
  <c r="G2" i="6"/>
  <c r="H2" i="6"/>
  <c r="A21" i="5"/>
  <c r="A34" i="5" s="1"/>
  <c r="K18" i="3"/>
  <c r="K19" i="3"/>
  <c r="K20" i="3"/>
  <c r="K12" i="3"/>
  <c r="M20" i="5"/>
  <c r="P20" i="5"/>
  <c r="E20" i="5"/>
  <c r="H20" i="5"/>
  <c r="F2" i="5"/>
  <c r="B145" i="13"/>
  <c r="B206" i="13" s="1"/>
  <c r="C45" i="7"/>
  <c r="C25" i="39"/>
  <c r="D25" i="39"/>
  <c r="E25" i="39"/>
  <c r="P4" i="30"/>
  <c r="O4" i="30"/>
  <c r="X36" i="30"/>
  <c r="W36" i="30"/>
  <c r="X24" i="30"/>
  <c r="W24" i="30"/>
  <c r="AB23" i="30"/>
  <c r="AA23" i="30"/>
  <c r="P24" i="30"/>
  <c r="J36" i="28" s="1"/>
  <c r="O24" i="30"/>
  <c r="I36" i="28" s="1"/>
  <c r="T21" i="30"/>
  <c r="J37" i="28" s="1"/>
  <c r="J44" i="28" s="1"/>
  <c r="S21" i="30"/>
  <c r="I37" i="28" s="1"/>
  <c r="I44" i="28" s="1"/>
  <c r="T31" i="30"/>
  <c r="S31" i="30"/>
  <c r="N15" i="27"/>
  <c r="B68" i="7"/>
  <c r="D45" i="7"/>
  <c r="B67" i="7"/>
  <c r="H37" i="7"/>
  <c r="G37" i="7"/>
  <c r="F37" i="7"/>
  <c r="E37" i="7"/>
  <c r="D37" i="7"/>
  <c r="B66" i="7"/>
  <c r="B65" i="7"/>
  <c r="C37" i="7"/>
  <c r="B64" i="7"/>
  <c r="B63" i="7"/>
  <c r="B102" i="13"/>
  <c r="D45" i="6"/>
  <c r="C45" i="6"/>
  <c r="B143" i="13"/>
  <c r="F50" i="1"/>
  <c r="G50" i="1"/>
  <c r="H50" i="1"/>
  <c r="I50" i="1"/>
  <c r="E50" i="1"/>
  <c r="B139" i="13"/>
  <c r="E35" i="6"/>
  <c r="H35" i="6"/>
  <c r="A138" i="13"/>
  <c r="A142" i="13"/>
  <c r="A143" i="13"/>
  <c r="C139" i="13"/>
  <c r="D139" i="13"/>
  <c r="E139" i="13"/>
  <c r="F139" i="13"/>
  <c r="G139" i="13"/>
  <c r="H139" i="13"/>
  <c r="I139" i="13"/>
  <c r="E30" i="6"/>
  <c r="H30" i="6"/>
  <c r="A29" i="22"/>
  <c r="A60" i="34" s="1"/>
  <c r="B4" i="32"/>
  <c r="E2" i="5"/>
  <c r="G2" i="5"/>
  <c r="H2" i="5"/>
  <c r="P2" i="5" s="1"/>
  <c r="AA30" i="43"/>
  <c r="R49" i="43"/>
  <c r="R50" i="43"/>
  <c r="R51" i="43"/>
  <c r="R52" i="43"/>
  <c r="R53" i="43"/>
  <c r="R54" i="43"/>
  <c r="R55" i="43"/>
  <c r="R56" i="43"/>
  <c r="R57" i="43"/>
  <c r="R58" i="43"/>
  <c r="R59" i="43"/>
  <c r="R44" i="43"/>
  <c r="R45" i="43"/>
  <c r="R46" i="43"/>
  <c r="R47" i="43"/>
  <c r="R48" i="43"/>
  <c r="R41" i="43"/>
  <c r="R42" i="43"/>
  <c r="R43" i="43"/>
  <c r="R37" i="43"/>
  <c r="R38" i="43"/>
  <c r="R39" i="43"/>
  <c r="R40" i="43"/>
  <c r="R31" i="43"/>
  <c r="R32" i="43"/>
  <c r="R33" i="43"/>
  <c r="R34" i="43"/>
  <c r="R35" i="43"/>
  <c r="R36" i="43"/>
  <c r="R30" i="43"/>
  <c r="R29" i="43"/>
  <c r="R28" i="43"/>
  <c r="R27" i="43"/>
  <c r="R26" i="43"/>
  <c r="R25" i="43"/>
  <c r="R22" i="43"/>
  <c r="R21" i="43"/>
  <c r="R20" i="43"/>
  <c r="Y27" i="43"/>
  <c r="Y28" i="43"/>
  <c r="Y29" i="43"/>
  <c r="Y30" i="43"/>
  <c r="Y31" i="43"/>
  <c r="F10" i="33"/>
  <c r="G10" i="33"/>
  <c r="H10" i="33"/>
  <c r="I10" i="33"/>
  <c r="J10" i="33"/>
  <c r="A28" i="39"/>
  <c r="I95" i="39"/>
  <c r="I94" i="39" s="1"/>
  <c r="I93" i="39" s="1"/>
  <c r="U8" i="41"/>
  <c r="Z27" i="41" s="1"/>
  <c r="S8" i="41"/>
  <c r="X27" i="41" s="1"/>
  <c r="Q8" i="41"/>
  <c r="Z26" i="41" s="1"/>
  <c r="O8" i="41"/>
  <c r="X26" i="41" s="1"/>
  <c r="I97" i="39"/>
  <c r="I98" i="39" s="1"/>
  <c r="I99" i="39" s="1"/>
  <c r="A54" i="39"/>
  <c r="I38" i="39"/>
  <c r="C31" i="39"/>
  <c r="W35" i="41"/>
  <c r="C36" i="41"/>
  <c r="W34" i="41"/>
  <c r="W33" i="41"/>
  <c r="W32" i="41"/>
  <c r="W31" i="41"/>
  <c r="W10" i="41"/>
  <c r="P8" i="41"/>
  <c r="T8" i="41" s="1"/>
  <c r="I6" i="41"/>
  <c r="M6" i="41" s="1"/>
  <c r="Q6" i="41" s="1"/>
  <c r="U6" i="41" s="1"/>
  <c r="H6" i="41"/>
  <c r="L6" i="41" s="1"/>
  <c r="P6" i="41" s="1"/>
  <c r="T6" i="41" s="1"/>
  <c r="G6" i="41"/>
  <c r="K6" i="41" s="1"/>
  <c r="O6" i="41" s="1"/>
  <c r="S6" i="41" s="1"/>
  <c r="A38" i="39"/>
  <c r="M78" i="38"/>
  <c r="N63" i="38"/>
  <c r="O63" i="38" s="1"/>
  <c r="P63" i="38" s="1"/>
  <c r="Q63" i="38" s="1"/>
  <c r="A45" i="38"/>
  <c r="A48" i="34"/>
  <c r="B87" i="34"/>
  <c r="A15" i="38"/>
  <c r="A8" i="38"/>
  <c r="A28" i="34"/>
  <c r="A71" i="34"/>
  <c r="A72" i="34"/>
  <c r="A73" i="34"/>
  <c r="A5" i="38" s="1"/>
  <c r="A75" i="34"/>
  <c r="A6" i="38" s="1"/>
  <c r="A77" i="34"/>
  <c r="A7" i="38" s="1"/>
  <c r="A81" i="34"/>
  <c r="A83" i="34"/>
  <c r="A84" i="34"/>
  <c r="A85" i="34"/>
  <c r="A86" i="34"/>
  <c r="A87" i="34"/>
  <c r="A88" i="34"/>
  <c r="A90" i="34"/>
  <c r="A91" i="34"/>
  <c r="A12" i="38" s="1"/>
  <c r="A93" i="34"/>
  <c r="A13" i="38" s="1"/>
  <c r="A94" i="34"/>
  <c r="A14" i="38" s="1"/>
  <c r="A98" i="34"/>
  <c r="A100" i="34"/>
  <c r="A101" i="34"/>
  <c r="A102" i="34"/>
  <c r="A103" i="34"/>
  <c r="A104" i="34"/>
  <c r="A105" i="34"/>
  <c r="B65" i="34"/>
  <c r="B57" i="34"/>
  <c r="B45" i="34"/>
  <c r="B44" i="34"/>
  <c r="B39" i="34"/>
  <c r="A27" i="34"/>
  <c r="A18" i="34"/>
  <c r="A17" i="34"/>
  <c r="A15" i="34"/>
  <c r="A14" i="34"/>
  <c r="A12" i="34"/>
  <c r="A10" i="34"/>
  <c r="A5" i="34"/>
  <c r="A2" i="34"/>
  <c r="B4" i="34"/>
  <c r="B3" i="34"/>
  <c r="A62" i="26"/>
  <c r="B62" i="32"/>
  <c r="J38" i="28"/>
  <c r="J45" i="28" s="1"/>
  <c r="I38" i="28"/>
  <c r="I45" i="28" s="1"/>
  <c r="AA3" i="30"/>
  <c r="AB3" i="30"/>
  <c r="AA4" i="30"/>
  <c r="AB4" i="30"/>
  <c r="AA5" i="30"/>
  <c r="AB5" i="30"/>
  <c r="AA6" i="30"/>
  <c r="AB6" i="30"/>
  <c r="AA7" i="30"/>
  <c r="AB7" i="30"/>
  <c r="AA8" i="30"/>
  <c r="AB8" i="30"/>
  <c r="AA9" i="30"/>
  <c r="AB9" i="30"/>
  <c r="AA10" i="30"/>
  <c r="AB10" i="30"/>
  <c r="AA11" i="30"/>
  <c r="AB11" i="30"/>
  <c r="AA12" i="30"/>
  <c r="AB12" i="30"/>
  <c r="AA13" i="30"/>
  <c r="AB13" i="30"/>
  <c r="AA14" i="30"/>
  <c r="AB14" i="30"/>
  <c r="AA15" i="30"/>
  <c r="AB15" i="30"/>
  <c r="AA16" i="30"/>
  <c r="AB16" i="30"/>
  <c r="AA17" i="30"/>
  <c r="AB17" i="30"/>
  <c r="AA18" i="30"/>
  <c r="AB18" i="30"/>
  <c r="AA19" i="30"/>
  <c r="AB19" i="30"/>
  <c r="AA20" i="30"/>
  <c r="AB20" i="30"/>
  <c r="AA21" i="30"/>
  <c r="AB21" i="30"/>
  <c r="AA22" i="30"/>
  <c r="AB22" i="30"/>
  <c r="AA25" i="30"/>
  <c r="AB25" i="30"/>
  <c r="AA26" i="30"/>
  <c r="AB26" i="30"/>
  <c r="AB2" i="30"/>
  <c r="AA2" i="30"/>
  <c r="X35" i="30"/>
  <c r="W35" i="30"/>
  <c r="X34" i="30"/>
  <c r="W34" i="30"/>
  <c r="X33" i="30"/>
  <c r="W33" i="30"/>
  <c r="X32" i="30"/>
  <c r="W32" i="30"/>
  <c r="X31" i="30"/>
  <c r="W31" i="30"/>
  <c r="X30" i="30"/>
  <c r="W30" i="30"/>
  <c r="X29" i="30"/>
  <c r="W29" i="30"/>
  <c r="X28" i="30"/>
  <c r="W28" i="30"/>
  <c r="X27" i="30"/>
  <c r="W27" i="30"/>
  <c r="X26" i="30"/>
  <c r="W26" i="30"/>
  <c r="X23" i="30"/>
  <c r="W23" i="30"/>
  <c r="X22" i="30"/>
  <c r="W22" i="30"/>
  <c r="X21" i="30"/>
  <c r="W21" i="30"/>
  <c r="X20" i="30"/>
  <c r="W20" i="30"/>
  <c r="X19" i="30"/>
  <c r="W19" i="30"/>
  <c r="X18" i="30"/>
  <c r="W18" i="30"/>
  <c r="X17" i="30"/>
  <c r="W17" i="30"/>
  <c r="X16" i="30"/>
  <c r="W16" i="30"/>
  <c r="X15" i="30"/>
  <c r="W15" i="30"/>
  <c r="X14" i="30"/>
  <c r="W14" i="30"/>
  <c r="X13" i="30"/>
  <c r="W13" i="30"/>
  <c r="X12" i="30"/>
  <c r="W12" i="30"/>
  <c r="X11" i="30"/>
  <c r="W11" i="30"/>
  <c r="X10" i="30"/>
  <c r="W10" i="30"/>
  <c r="X9" i="30"/>
  <c r="W9" i="30"/>
  <c r="X8" i="30"/>
  <c r="W8" i="30"/>
  <c r="X7" i="30"/>
  <c r="W7" i="30"/>
  <c r="X6" i="30"/>
  <c r="W6" i="30"/>
  <c r="X5" i="30"/>
  <c r="W5" i="30"/>
  <c r="X4" i="30"/>
  <c r="W4" i="30"/>
  <c r="X3" i="30"/>
  <c r="W3" i="30"/>
  <c r="X2" i="30"/>
  <c r="W2" i="30"/>
  <c r="T30" i="30"/>
  <c r="S30" i="30"/>
  <c r="T29" i="30"/>
  <c r="S29" i="30"/>
  <c r="T28" i="30"/>
  <c r="S28" i="30"/>
  <c r="T27" i="30"/>
  <c r="S27" i="30"/>
  <c r="T26" i="30"/>
  <c r="S26" i="30"/>
  <c r="T25" i="30"/>
  <c r="S25" i="30"/>
  <c r="T24" i="30"/>
  <c r="S24" i="30"/>
  <c r="T23" i="30"/>
  <c r="S23" i="30"/>
  <c r="T20" i="30"/>
  <c r="S20" i="30"/>
  <c r="T19" i="30"/>
  <c r="S19" i="30"/>
  <c r="T18" i="30"/>
  <c r="S18" i="30"/>
  <c r="T17" i="30"/>
  <c r="S17" i="30"/>
  <c r="T16" i="30"/>
  <c r="S16" i="30"/>
  <c r="T15" i="30"/>
  <c r="S15" i="30"/>
  <c r="T14" i="30"/>
  <c r="S14" i="30"/>
  <c r="T13" i="30"/>
  <c r="S13" i="30"/>
  <c r="T12" i="30"/>
  <c r="S12" i="30"/>
  <c r="T11" i="30"/>
  <c r="S11" i="30"/>
  <c r="T10" i="30"/>
  <c r="S10" i="30"/>
  <c r="T9" i="30"/>
  <c r="S9" i="30"/>
  <c r="T8" i="30"/>
  <c r="S8" i="30"/>
  <c r="T7" i="30"/>
  <c r="S7" i="30"/>
  <c r="T6" i="30"/>
  <c r="S6" i="30"/>
  <c r="T5" i="30"/>
  <c r="S5" i="30"/>
  <c r="T4" i="30"/>
  <c r="S4" i="30"/>
  <c r="T3" i="30"/>
  <c r="S3" i="30"/>
  <c r="T2" i="30"/>
  <c r="S2" i="30"/>
  <c r="P23" i="30"/>
  <c r="O23" i="30"/>
  <c r="P22" i="30"/>
  <c r="O22" i="30"/>
  <c r="P21" i="30"/>
  <c r="O21" i="30"/>
  <c r="P20" i="30"/>
  <c r="O20" i="30"/>
  <c r="P19" i="30"/>
  <c r="O19" i="30"/>
  <c r="P18" i="30"/>
  <c r="O18" i="30"/>
  <c r="P17" i="30"/>
  <c r="O17" i="30"/>
  <c r="P16" i="30"/>
  <c r="O16" i="30"/>
  <c r="P15" i="30"/>
  <c r="O15" i="30"/>
  <c r="P14" i="30"/>
  <c r="O14" i="30"/>
  <c r="P13" i="30"/>
  <c r="O13" i="30"/>
  <c r="P12" i="30"/>
  <c r="O12" i="30"/>
  <c r="P11" i="30"/>
  <c r="O11" i="30"/>
  <c r="P10" i="30"/>
  <c r="O10" i="30"/>
  <c r="P9" i="30"/>
  <c r="O9" i="30"/>
  <c r="P8" i="30"/>
  <c r="O8" i="30"/>
  <c r="P7" i="30"/>
  <c r="O7" i="30"/>
  <c r="P6" i="30"/>
  <c r="O6" i="30"/>
  <c r="O3" i="30"/>
  <c r="P3" i="30"/>
  <c r="P2" i="30"/>
  <c r="O2" i="30"/>
  <c r="A249" i="13"/>
  <c r="B6" i="23"/>
  <c r="Q268" i="24"/>
  <c r="M265" i="23" s="1"/>
  <c r="Q267" i="24"/>
  <c r="M264" i="23" s="1"/>
  <c r="Q266" i="24"/>
  <c r="M263" i="23" s="1"/>
  <c r="Q265" i="24"/>
  <c r="M262" i="23" s="1"/>
  <c r="Q264" i="24"/>
  <c r="Q263" i="24"/>
  <c r="M260" i="23" s="1"/>
  <c r="Q262" i="24"/>
  <c r="M259" i="23" s="1"/>
  <c r="Q261" i="24"/>
  <c r="M258" i="23" s="1"/>
  <c r="O268" i="24"/>
  <c r="O267" i="24"/>
  <c r="O266" i="24"/>
  <c r="O265" i="24"/>
  <c r="L262" i="23" s="1"/>
  <c r="O264" i="24"/>
  <c r="L261" i="23" s="1"/>
  <c r="O263" i="24"/>
  <c r="L260" i="23" s="1"/>
  <c r="O262" i="24"/>
  <c r="L259" i="23" s="1"/>
  <c r="O261" i="24"/>
  <c r="L258" i="23" s="1"/>
  <c r="M769" i="24"/>
  <c r="M768" i="24"/>
  <c r="M767" i="24"/>
  <c r="M766" i="24"/>
  <c r="K769" i="24"/>
  <c r="K768" i="24"/>
  <c r="K767" i="24"/>
  <c r="K766" i="24"/>
  <c r="I1274" i="24"/>
  <c r="I1273" i="24"/>
  <c r="I1272" i="24"/>
  <c r="I1271" i="24"/>
  <c r="I1270" i="24"/>
  <c r="I1269" i="24"/>
  <c r="G1274" i="24"/>
  <c r="G1273" i="24"/>
  <c r="G1272" i="24"/>
  <c r="G1271" i="24"/>
  <c r="G1270" i="24"/>
  <c r="G1269" i="24"/>
  <c r="E2531" i="24"/>
  <c r="E2530" i="24"/>
  <c r="E2529" i="24"/>
  <c r="E2528" i="24"/>
  <c r="C2528" i="24"/>
  <c r="C2529" i="24"/>
  <c r="C2530" i="24"/>
  <c r="C2531" i="24"/>
  <c r="C15" i="27"/>
  <c r="C22" i="27"/>
  <c r="Y5" i="27"/>
  <c r="M5" i="27"/>
  <c r="Y5" i="26"/>
  <c r="M7" i="26"/>
  <c r="M6" i="26"/>
  <c r="M5" i="26"/>
  <c r="B12" i="25"/>
  <c r="B6" i="25"/>
  <c r="M2613" i="23"/>
  <c r="L2613" i="23"/>
  <c r="M2612" i="23"/>
  <c r="L2612" i="23"/>
  <c r="M2611" i="23"/>
  <c r="L2611" i="23"/>
  <c r="M2610" i="23"/>
  <c r="L2610" i="23"/>
  <c r="M2609" i="23"/>
  <c r="L2609" i="23"/>
  <c r="M2608" i="23"/>
  <c r="L2608" i="23"/>
  <c r="M2607" i="23"/>
  <c r="L2607" i="23"/>
  <c r="M2606" i="23"/>
  <c r="L2606" i="23"/>
  <c r="M2605" i="23"/>
  <c r="L2605" i="23"/>
  <c r="M2604" i="23"/>
  <c r="L2604" i="23"/>
  <c r="M2603" i="23"/>
  <c r="L2603" i="23"/>
  <c r="M2602" i="23"/>
  <c r="L2602" i="23"/>
  <c r="M2601" i="23"/>
  <c r="L2601" i="23"/>
  <c r="M2600" i="23"/>
  <c r="L2600" i="23"/>
  <c r="M2599" i="23"/>
  <c r="L2599" i="23"/>
  <c r="M2598" i="23"/>
  <c r="L2598" i="23"/>
  <c r="M2597" i="23"/>
  <c r="L2597" i="23"/>
  <c r="M2596" i="23"/>
  <c r="L2596" i="23"/>
  <c r="M2595" i="23"/>
  <c r="L2595" i="23"/>
  <c r="M2594" i="23"/>
  <c r="L2594" i="23"/>
  <c r="M2593" i="23"/>
  <c r="L2593" i="23"/>
  <c r="M2592" i="23"/>
  <c r="L2592" i="23"/>
  <c r="M2591" i="23"/>
  <c r="L2591" i="23"/>
  <c r="M2590" i="23"/>
  <c r="L2590" i="23"/>
  <c r="M2589" i="23"/>
  <c r="L2589" i="23"/>
  <c r="M2588" i="23"/>
  <c r="L2588" i="23"/>
  <c r="M2587" i="23"/>
  <c r="L2587" i="23"/>
  <c r="M2586" i="23"/>
  <c r="L2586" i="23"/>
  <c r="M2585" i="23"/>
  <c r="L2585" i="23"/>
  <c r="M2584" i="23"/>
  <c r="L2584" i="23"/>
  <c r="M2583" i="23"/>
  <c r="L2583" i="23"/>
  <c r="M2582" i="23"/>
  <c r="L2582" i="23"/>
  <c r="M2581" i="23"/>
  <c r="L2581" i="23"/>
  <c r="M2580" i="23"/>
  <c r="L2580" i="23"/>
  <c r="M2579" i="23"/>
  <c r="L2579" i="23"/>
  <c r="M2578" i="23"/>
  <c r="L2578" i="23"/>
  <c r="M2577" i="23"/>
  <c r="L2577" i="23"/>
  <c r="M2576" i="23"/>
  <c r="L2576" i="23"/>
  <c r="M2575" i="23"/>
  <c r="L2575" i="23"/>
  <c r="M2574" i="23"/>
  <c r="L2574" i="23"/>
  <c r="M2573" i="23"/>
  <c r="L2573" i="23"/>
  <c r="M2572" i="23"/>
  <c r="L2572" i="23"/>
  <c r="M2571" i="23"/>
  <c r="L2571" i="23"/>
  <c r="M2570" i="23"/>
  <c r="L2570" i="23"/>
  <c r="M2569" i="23"/>
  <c r="L2569" i="23"/>
  <c r="M2568" i="23"/>
  <c r="L2568" i="23"/>
  <c r="M2567" i="23"/>
  <c r="L2567" i="23"/>
  <c r="M2566" i="23"/>
  <c r="L2566" i="23"/>
  <c r="M2565" i="23"/>
  <c r="L2565" i="23"/>
  <c r="M2564" i="23"/>
  <c r="L2564" i="23"/>
  <c r="M2563" i="23"/>
  <c r="L2563" i="23"/>
  <c r="M2562" i="23"/>
  <c r="L2562" i="23"/>
  <c r="M2561" i="23"/>
  <c r="L2561" i="23"/>
  <c r="M2560" i="23"/>
  <c r="L2560" i="23"/>
  <c r="M2559" i="23"/>
  <c r="L2559" i="23"/>
  <c r="M2558" i="23"/>
  <c r="L2558" i="23"/>
  <c r="M2557" i="23"/>
  <c r="L2557" i="23"/>
  <c r="M2556" i="23"/>
  <c r="L2556" i="23"/>
  <c r="M2555" i="23"/>
  <c r="L2555" i="23"/>
  <c r="M2554" i="23"/>
  <c r="L2554" i="23"/>
  <c r="M2553" i="23"/>
  <c r="L2553" i="23"/>
  <c r="M2552" i="23"/>
  <c r="L2552" i="23"/>
  <c r="M2551" i="23"/>
  <c r="L2551" i="23"/>
  <c r="M2550" i="23"/>
  <c r="L2550" i="23"/>
  <c r="M2549" i="23"/>
  <c r="L2549" i="23"/>
  <c r="M2548" i="23"/>
  <c r="L2548" i="23"/>
  <c r="M2547" i="23"/>
  <c r="L2547" i="23"/>
  <c r="M2546" i="23"/>
  <c r="L2546" i="23"/>
  <c r="M2545" i="23"/>
  <c r="L2545" i="23"/>
  <c r="M2544" i="23"/>
  <c r="L2544" i="23"/>
  <c r="M2543" i="23"/>
  <c r="L2543" i="23"/>
  <c r="M2542" i="23"/>
  <c r="L2542" i="23"/>
  <c r="M2541" i="23"/>
  <c r="L2541" i="23"/>
  <c r="M2540" i="23"/>
  <c r="L2540" i="23"/>
  <c r="M2539" i="23"/>
  <c r="L2539" i="23"/>
  <c r="M2538" i="23"/>
  <c r="L2538" i="23"/>
  <c r="M2537" i="23"/>
  <c r="L2537" i="23"/>
  <c r="M2536" i="23"/>
  <c r="L2536" i="23"/>
  <c r="M2535" i="23"/>
  <c r="L2535" i="23"/>
  <c r="M2534" i="23"/>
  <c r="L2534" i="23"/>
  <c r="M2533" i="23"/>
  <c r="L2533" i="23"/>
  <c r="M2532" i="23"/>
  <c r="L2532" i="23"/>
  <c r="M2531" i="23"/>
  <c r="L2531" i="23"/>
  <c r="M2530" i="23"/>
  <c r="L2530" i="23"/>
  <c r="M2529" i="23"/>
  <c r="L2529" i="23"/>
  <c r="M2528" i="23"/>
  <c r="L2528" i="23"/>
  <c r="M2527" i="23"/>
  <c r="L2527" i="23"/>
  <c r="M2526" i="23"/>
  <c r="L2526" i="23"/>
  <c r="M2525" i="23"/>
  <c r="L2525" i="23"/>
  <c r="B7" i="23"/>
  <c r="E35" i="40"/>
  <c r="G6" i="40" s="1"/>
  <c r="A29" i="20"/>
  <c r="A32" i="22"/>
  <c r="A30" i="22"/>
  <c r="A63" i="34" s="1"/>
  <c r="A28" i="22"/>
  <c r="A59" i="34" s="1"/>
  <c r="A27" i="22"/>
  <c r="A58" i="34" s="1"/>
  <c r="A26" i="22"/>
  <c r="A57" i="34" s="1"/>
  <c r="B25" i="22"/>
  <c r="A25" i="22"/>
  <c r="A55" i="34" s="1"/>
  <c r="A24" i="22"/>
  <c r="A54" i="34" s="1"/>
  <c r="A23" i="22"/>
  <c r="A53" i="34" s="1"/>
  <c r="A22" i="22"/>
  <c r="A52" i="34" s="1"/>
  <c r="A21" i="22"/>
  <c r="A49" i="34" s="1"/>
  <c r="A19" i="22"/>
  <c r="A47" i="34" s="1"/>
  <c r="A18" i="22"/>
  <c r="A46" i="34" s="1"/>
  <c r="A17" i="22"/>
  <c r="A45" i="34" s="1"/>
  <c r="A16" i="22"/>
  <c r="A44" i="34" s="1"/>
  <c r="A15" i="22"/>
  <c r="A43" i="34" s="1"/>
  <c r="A14" i="22"/>
  <c r="A13" i="22"/>
  <c r="M24" i="26" s="1"/>
  <c r="A10" i="22"/>
  <c r="A9" i="22"/>
  <c r="A37" i="34" s="1"/>
  <c r="A8" i="22"/>
  <c r="A35" i="34" s="1"/>
  <c r="A7" i="22"/>
  <c r="B6" i="22"/>
  <c r="B5" i="22"/>
  <c r="B2" i="22"/>
  <c r="A2" i="22"/>
  <c r="A24" i="21"/>
  <c r="A21" i="21"/>
  <c r="A16" i="21"/>
  <c r="A15" i="21"/>
  <c r="A13" i="21"/>
  <c r="A12" i="21"/>
  <c r="A11" i="21"/>
  <c r="A10" i="21"/>
  <c r="A9" i="21"/>
  <c r="A8" i="21"/>
  <c r="A7" i="21"/>
  <c r="B6" i="21"/>
  <c r="B5" i="21"/>
  <c r="A2" i="21"/>
  <c r="A35" i="20"/>
  <c r="A34" i="20"/>
  <c r="A33" i="20"/>
  <c r="A32" i="20"/>
  <c r="A31" i="20"/>
  <c r="A30" i="20"/>
  <c r="A28" i="20"/>
  <c r="A27" i="20"/>
  <c r="A26" i="20"/>
  <c r="A46" i="20" s="1"/>
  <c r="A25" i="20"/>
  <c r="A45" i="20" s="1"/>
  <c r="A24" i="20"/>
  <c r="A44" i="20" s="1"/>
  <c r="A23" i="20"/>
  <c r="A22" i="20"/>
  <c r="A21" i="20"/>
  <c r="A20" i="20"/>
  <c r="A19" i="20"/>
  <c r="A18" i="20"/>
  <c r="A17" i="20"/>
  <c r="A14" i="20"/>
  <c r="A13" i="20"/>
  <c r="A12" i="20"/>
  <c r="A40" i="20" s="1"/>
  <c r="A11" i="20"/>
  <c r="A39" i="20" s="1"/>
  <c r="A10" i="20"/>
  <c r="A38" i="20" s="1"/>
  <c r="A9" i="20"/>
  <c r="A8" i="20"/>
  <c r="A7" i="20"/>
  <c r="A2" i="20"/>
  <c r="A1" i="20"/>
  <c r="D9" i="18"/>
  <c r="K4" i="18"/>
  <c r="D15" i="27"/>
  <c r="P15" i="27" s="1"/>
  <c r="A23" i="14"/>
  <c r="A232" i="13"/>
  <c r="A145" i="13"/>
  <c r="A206" i="13" s="1"/>
  <c r="A144" i="13"/>
  <c r="A205" i="13" s="1"/>
  <c r="A230" i="13" s="1"/>
  <c r="A139" i="13"/>
  <c r="A103" i="13"/>
  <c r="A102" i="13"/>
  <c r="A101" i="13"/>
  <c r="H188" i="12"/>
  <c r="C180" i="12"/>
  <c r="C179" i="12"/>
  <c r="P20" i="12" s="1"/>
  <c r="C178" i="12"/>
  <c r="C177" i="12"/>
  <c r="D159" i="12"/>
  <c r="D145" i="12"/>
  <c r="D144" i="12"/>
  <c r="D141" i="12"/>
  <c r="D140" i="12"/>
  <c r="D139" i="12"/>
  <c r="D138" i="12"/>
  <c r="D137" i="12"/>
  <c r="D136" i="12"/>
  <c r="D135" i="12"/>
  <c r="D134" i="12"/>
  <c r="D133" i="12"/>
  <c r="D132" i="12"/>
  <c r="D131" i="12"/>
  <c r="D130" i="12"/>
  <c r="D129" i="12"/>
  <c r="D128" i="12"/>
  <c r="D126" i="12"/>
  <c r="D125" i="12"/>
  <c r="D124" i="12"/>
  <c r="D123" i="12"/>
  <c r="D122" i="12"/>
  <c r="D121" i="12"/>
  <c r="D120" i="12"/>
  <c r="D119" i="12"/>
  <c r="D118" i="12"/>
  <c r="D117" i="12"/>
  <c r="D116" i="12"/>
  <c r="D115" i="12"/>
  <c r="D112" i="12" s="1"/>
  <c r="D111" i="12"/>
  <c r="D108" i="12"/>
  <c r="D107" i="12"/>
  <c r="D106" i="12"/>
  <c r="D105" i="12"/>
  <c r="D104" i="12"/>
  <c r="D103" i="12"/>
  <c r="D102" i="12"/>
  <c r="D101" i="12"/>
  <c r="D100" i="12" s="1"/>
  <c r="C88" i="12"/>
  <c r="C87" i="12"/>
  <c r="C86" i="12"/>
  <c r="C80" i="12"/>
  <c r="C76" i="12"/>
  <c r="C75" i="12"/>
  <c r="C58" i="12"/>
  <c r="C57" i="12"/>
  <c r="C56" i="12"/>
  <c r="C52" i="12"/>
  <c r="C49" i="12"/>
  <c r="C46" i="12"/>
  <c r="C45" i="12"/>
  <c r="C42" i="12"/>
  <c r="C39" i="12"/>
  <c r="R14" i="12"/>
  <c r="B27" i="7"/>
  <c r="A7" i="7"/>
  <c r="A6" i="7"/>
  <c r="A31" i="3"/>
  <c r="A50" i="1"/>
  <c r="L2" i="5"/>
  <c r="M2" i="5"/>
  <c r="A44" i="6"/>
  <c r="A45" i="6"/>
  <c r="J8" i="5"/>
  <c r="J21" i="5" s="1"/>
  <c r="J34" i="5" s="1"/>
  <c r="J7" i="5"/>
  <c r="J20" i="5" s="1"/>
  <c r="A20" i="5"/>
  <c r="D10" i="1"/>
  <c r="D41" i="1" s="1"/>
  <c r="C10" i="1"/>
  <c r="C41" i="1" s="1"/>
  <c r="E15" i="27"/>
  <c r="E55" i="27" s="1"/>
  <c r="K4" i="3"/>
  <c r="E22" i="27"/>
  <c r="I44" i="32"/>
  <c r="J44" i="32"/>
  <c r="F44" i="32"/>
  <c r="L44" i="32"/>
  <c r="J45" i="32"/>
  <c r="J39" i="32"/>
  <c r="G37" i="32"/>
  <c r="G38" i="32" s="1"/>
  <c r="H39" i="32"/>
  <c r="F37" i="32"/>
  <c r="F38" i="32" s="1"/>
  <c r="J43" i="32"/>
  <c r="E43" i="32"/>
  <c r="G46" i="32"/>
  <c r="M1965" i="23"/>
  <c r="M613" i="23"/>
  <c r="M2500" i="23"/>
  <c r="M1900" i="23"/>
  <c r="M999" i="23"/>
  <c r="M1191" i="23"/>
  <c r="M518" i="23"/>
  <c r="M624" i="23"/>
  <c r="M608" i="23"/>
  <c r="M2269" i="23"/>
  <c r="M1249" i="23"/>
  <c r="M959" i="23"/>
  <c r="M898" i="23"/>
  <c r="M1261" i="23"/>
  <c r="M2397" i="23"/>
  <c r="M1371" i="23"/>
  <c r="M1094" i="23"/>
  <c r="M319" i="23"/>
  <c r="M607" i="23"/>
  <c r="M670" i="23"/>
  <c r="M2025" i="23"/>
  <c r="M1271" i="23"/>
  <c r="M1169" i="23"/>
  <c r="M952" i="23"/>
  <c r="M505" i="23"/>
  <c r="M601" i="23"/>
  <c r="M761" i="23"/>
  <c r="M1054" i="23"/>
  <c r="M960" i="23"/>
  <c r="M1804" i="23"/>
  <c r="M2453" i="23"/>
  <c r="M2201" i="23"/>
  <c r="M766" i="23"/>
  <c r="M862" i="23"/>
  <c r="M890" i="23"/>
  <c r="M1015" i="23"/>
  <c r="M1970" i="23"/>
  <c r="M297" i="23"/>
  <c r="M528" i="23"/>
  <c r="M1584" i="23"/>
  <c r="M985" i="23"/>
  <c r="M1444" i="23"/>
  <c r="M389" i="23"/>
  <c r="M437" i="23"/>
  <c r="M485" i="23"/>
  <c r="M1385" i="23"/>
  <c r="M581" i="23"/>
  <c r="M888" i="23"/>
  <c r="M464" i="23"/>
  <c r="M861" i="23"/>
  <c r="M1498" i="23"/>
  <c r="M757" i="23"/>
  <c r="M513" i="23"/>
  <c r="M1782" i="23"/>
  <c r="M1500" i="23"/>
  <c r="M773" i="23"/>
  <c r="M821" i="23"/>
  <c r="M463" i="23"/>
  <c r="M869" i="23"/>
  <c r="M917" i="23"/>
  <c r="M326" i="23"/>
  <c r="M504" i="23"/>
  <c r="M374" i="23"/>
  <c r="M600" i="23"/>
  <c r="M422" i="23"/>
  <c r="M696" i="23"/>
  <c r="M566" i="23"/>
  <c r="M574" i="23"/>
  <c r="M1079" i="23"/>
  <c r="M1073" i="23"/>
  <c r="M1441" i="23"/>
  <c r="M1053" i="23"/>
  <c r="M1594" i="23"/>
  <c r="M1101" i="23"/>
  <c r="M405" i="23"/>
  <c r="M1561" i="23"/>
  <c r="M806" i="23"/>
  <c r="M902" i="23"/>
  <c r="M998" i="23"/>
  <c r="M561" i="23"/>
  <c r="M1708" i="23"/>
  <c r="M2292" i="23"/>
  <c r="M2445" i="23"/>
  <c r="M894" i="23"/>
  <c r="M1020" i="23"/>
  <c r="M965" i="23"/>
  <c r="M1109" i="23"/>
  <c r="M1135" i="23"/>
  <c r="M2162" i="23"/>
  <c r="M605" i="23"/>
  <c r="M577" i="23"/>
  <c r="M1008" i="23"/>
  <c r="M1848" i="23"/>
  <c r="M992" i="23"/>
  <c r="M1924" i="23"/>
  <c r="M737" i="23"/>
  <c r="M1969" i="23"/>
  <c r="M580" i="23"/>
  <c r="M1305" i="23"/>
  <c r="M800" i="23"/>
  <c r="M1187" i="23"/>
  <c r="M368" i="23"/>
  <c r="M1940" i="23"/>
  <c r="M2133" i="23"/>
  <c r="M1733" i="23"/>
  <c r="M887" i="23"/>
  <c r="M511" i="23"/>
  <c r="M1128" i="23"/>
  <c r="M2227" i="23"/>
  <c r="M618" i="23"/>
  <c r="M1512" i="23"/>
  <c r="M1516" i="23"/>
  <c r="M2065" i="23"/>
  <c r="M2309" i="23"/>
  <c r="M669" i="23"/>
  <c r="M325" i="23"/>
  <c r="M840" i="23"/>
  <c r="M482" i="23"/>
  <c r="M1230" i="23"/>
  <c r="M2017" i="23"/>
  <c r="M1404" i="23"/>
  <c r="M392" i="23"/>
  <c r="M702" i="23"/>
  <c r="M1182" i="23"/>
  <c r="M401" i="23"/>
  <c r="M893" i="23"/>
  <c r="M381" i="23"/>
  <c r="M1200" i="23"/>
  <c r="M2452" i="23"/>
  <c r="M1917" i="23"/>
  <c r="M1435" i="23"/>
  <c r="M752" i="23"/>
  <c r="M963" i="23"/>
  <c r="M962" i="23"/>
  <c r="M2024" i="23"/>
  <c r="M510" i="23"/>
  <c r="M1480" i="23"/>
  <c r="M1817" i="23"/>
  <c r="M886" i="23"/>
  <c r="M1412" i="23"/>
  <c r="M1116" i="23"/>
  <c r="M2458" i="23"/>
  <c r="M341" i="23"/>
  <c r="M751" i="23"/>
  <c r="M1061" i="23"/>
  <c r="M2066" i="23"/>
  <c r="M2092" i="23"/>
  <c r="M1824" i="23"/>
  <c r="M1143" i="23"/>
  <c r="M2410" i="23"/>
  <c r="M414" i="23"/>
  <c r="M1002" i="23"/>
  <c r="M2174" i="23"/>
  <c r="M876" i="23"/>
  <c r="M1257" i="23"/>
  <c r="M441" i="23"/>
  <c r="M1017" i="23"/>
  <c r="M636" i="23"/>
  <c r="M1205" i="23"/>
  <c r="M462" i="23"/>
  <c r="M772" i="23"/>
  <c r="M1396" i="23"/>
  <c r="M633" i="23"/>
  <c r="M1222" i="23"/>
  <c r="M2261" i="23"/>
  <c r="M277" i="23"/>
  <c r="M280" i="23"/>
  <c r="M1685" i="23"/>
  <c r="M977" i="23"/>
  <c r="M1375" i="23"/>
  <c r="M585" i="23"/>
  <c r="M1304" i="23"/>
  <c r="M896" i="23"/>
  <c r="M565" i="23"/>
  <c r="M1171" i="23"/>
  <c r="M2219" i="23"/>
  <c r="M1693" i="23"/>
  <c r="M1869" i="23"/>
  <c r="M2205" i="23"/>
  <c r="M781" i="23"/>
  <c r="M503" i="23"/>
  <c r="M1497" i="23"/>
  <c r="M736" i="23"/>
  <c r="M1808" i="23"/>
  <c r="M1863" i="23"/>
  <c r="M1093" i="23"/>
  <c r="M2234" i="23"/>
  <c r="M2268" i="23"/>
  <c r="M1098" i="23"/>
  <c r="M1427" i="23"/>
  <c r="M954" i="23"/>
  <c r="M1309" i="23"/>
  <c r="M1111" i="23"/>
  <c r="M2074" i="23"/>
  <c r="M2358" i="23"/>
  <c r="M489" i="23"/>
  <c r="M1489" i="23"/>
  <c r="M1149" i="23"/>
  <c r="M426" i="23"/>
  <c r="M1642" i="23"/>
  <c r="M1285" i="23"/>
  <c r="M907" i="23"/>
  <c r="M1242" i="23"/>
  <c r="M884" i="23"/>
  <c r="M875" i="23"/>
  <c r="M440" i="23"/>
  <c r="M1127" i="23"/>
  <c r="M309" i="23"/>
  <c r="M2301" i="23"/>
  <c r="M2267" i="23"/>
  <c r="M1144" i="23"/>
  <c r="M1576" i="23"/>
  <c r="M1835" i="23"/>
  <c r="M1732" i="23"/>
  <c r="M1048" i="23"/>
  <c r="M664" i="23"/>
  <c r="M2138" i="23"/>
  <c r="M2351" i="23"/>
  <c r="M1252" i="23"/>
  <c r="M348" i="23"/>
  <c r="M2392" i="23"/>
  <c r="M517" i="23"/>
  <c r="M788" i="23"/>
  <c r="M2121" i="23"/>
  <c r="M2289" i="23"/>
  <c r="M545" i="23"/>
  <c r="M1019" i="23"/>
  <c r="M769" i="23"/>
  <c r="M1605" i="23"/>
  <c r="M322" i="23"/>
  <c r="M711" i="23"/>
  <c r="M990" i="23"/>
  <c r="M527" i="23"/>
  <c r="M2218" i="23"/>
  <c r="M2462" i="23"/>
  <c r="M1215" i="23"/>
  <c r="M2258" i="23"/>
  <c r="M797" i="23"/>
  <c r="M285" i="23"/>
  <c r="M873" i="23"/>
  <c r="M1104" i="23"/>
  <c r="M909" i="23"/>
  <c r="M296" i="23"/>
  <c r="M1797" i="23"/>
  <c r="M712" i="23"/>
  <c r="M1548" i="23"/>
  <c r="M2226" i="23"/>
  <c r="M1402" i="23"/>
  <c r="M318" i="23"/>
  <c r="M1641" i="23"/>
  <c r="M2514" i="23"/>
  <c r="M444" i="23"/>
  <c r="M340" i="23"/>
  <c r="M1414" i="23"/>
  <c r="M1152" i="23"/>
  <c r="M838" i="23"/>
  <c r="M922" i="23"/>
  <c r="M293" i="23"/>
  <c r="M1066" i="23"/>
  <c r="M1013" i="23"/>
  <c r="M1157" i="23"/>
  <c r="M1485" i="23"/>
  <c r="M2013" i="23"/>
  <c r="M1251" i="23"/>
  <c r="M2515" i="23"/>
  <c r="M629" i="23"/>
  <c r="M714" i="23"/>
  <c r="M458" i="23"/>
  <c r="M930" i="23"/>
  <c r="M1280" i="23"/>
  <c r="M1590" i="23"/>
  <c r="M2212" i="23"/>
  <c r="M1229" i="23"/>
  <c r="M648" i="23"/>
  <c r="M1819" i="23"/>
  <c r="M584" i="23"/>
  <c r="M1680" i="23"/>
  <c r="M666" i="23"/>
  <c r="M1184" i="23"/>
  <c r="M472" i="23"/>
  <c r="M1411" i="23"/>
  <c r="M544" i="23"/>
  <c r="M1723" i="23"/>
  <c r="M2180" i="23"/>
  <c r="M1430" i="23"/>
  <c r="M461" i="23"/>
  <c r="M846" i="23"/>
  <c r="M1975" i="23"/>
  <c r="M306" i="23"/>
  <c r="M1070" i="23"/>
  <c r="M311" i="23"/>
  <c r="M2230" i="23"/>
  <c r="M2041" i="23"/>
  <c r="M1303" i="23"/>
  <c r="M687" i="23"/>
  <c r="M2197" i="23"/>
  <c r="M2437" i="23"/>
  <c r="M704" i="23"/>
  <c r="M1636" i="23"/>
  <c r="M2091" i="23"/>
  <c r="M1773" i="23"/>
  <c r="M2157" i="23"/>
  <c r="M1237" i="23"/>
  <c r="M656" i="23"/>
  <c r="M467" i="23"/>
  <c r="M830" i="23"/>
  <c r="M1554" i="23"/>
  <c r="M548" i="23"/>
  <c r="M2389" i="23"/>
  <c r="M689" i="23"/>
  <c r="M848" i="23"/>
  <c r="M494" i="23"/>
  <c r="M488" i="23"/>
  <c r="M864" i="23"/>
  <c r="M1725" i="23"/>
  <c r="M1632" i="23"/>
  <c r="M906" i="23"/>
  <c r="M699" i="23"/>
  <c r="M502" i="23"/>
  <c r="M1613" i="23"/>
  <c r="M1784" i="23"/>
  <c r="M333" i="23"/>
  <c r="M2313" i="23"/>
  <c r="M1086" i="23"/>
  <c r="M1936" i="23"/>
  <c r="M1953" i="23"/>
  <c r="M2330" i="23"/>
  <c r="M1123" i="23"/>
  <c r="M2004" i="23"/>
  <c r="M1684" i="23"/>
  <c r="M2150" i="23"/>
  <c r="M2012" i="23"/>
  <c r="M721" i="23"/>
  <c r="M750" i="23"/>
  <c r="M1089" i="23"/>
  <c r="M1586" i="23"/>
  <c r="M934" i="23"/>
  <c r="M1470" i="23"/>
  <c r="M2441" i="23"/>
  <c r="M1204" i="23"/>
  <c r="M351" i="23"/>
  <c r="M2518" i="23"/>
  <c r="M851" i="23"/>
  <c r="M1667" i="23"/>
  <c r="M530" i="23"/>
  <c r="M1124" i="23"/>
  <c r="M1644" i="23"/>
  <c r="M1449" i="23"/>
  <c r="M2058" i="23"/>
  <c r="M1821" i="23"/>
  <c r="M1488" i="23"/>
  <c r="M1245" i="23"/>
  <c r="M732" i="23"/>
  <c r="M1469" i="23"/>
  <c r="M1542" i="23"/>
  <c r="M2050" i="23"/>
  <c r="M932" i="23"/>
  <c r="M1374" i="23"/>
  <c r="M646" i="23"/>
  <c r="M1558" i="23"/>
  <c r="M856" i="23"/>
  <c r="M2011" i="23"/>
  <c r="M1401" i="23"/>
  <c r="M1437" i="23"/>
  <c r="M775" i="23"/>
  <c r="M2391" i="23"/>
  <c r="M1041" i="23"/>
  <c r="M1803" i="23"/>
  <c r="M1834" i="23"/>
  <c r="M1354" i="23"/>
  <c r="M644" i="23"/>
  <c r="M1421" i="23"/>
  <c r="M1614" i="23"/>
  <c r="M916" i="23"/>
  <c r="M661" i="23"/>
  <c r="M380" i="23"/>
  <c r="M623" i="23"/>
  <c r="M1712" i="23"/>
  <c r="M1025" i="23"/>
  <c r="M469" i="23"/>
  <c r="M1896" i="23"/>
  <c r="M2394" i="23"/>
  <c r="M2396" i="23"/>
  <c r="M2276" i="23"/>
  <c r="M941" i="23"/>
  <c r="M360" i="23"/>
  <c r="M2436" i="23"/>
  <c r="M477" i="23"/>
  <c r="M1847" i="23"/>
  <c r="M1722" i="23"/>
  <c r="M983" i="23"/>
  <c r="M1950" i="23"/>
  <c r="M709" i="23"/>
  <c r="M1209" i="23"/>
  <c r="M2229" i="23"/>
  <c r="M1388" i="23"/>
  <c r="M1985" i="23"/>
  <c r="M724" i="23"/>
  <c r="M1823" i="23"/>
  <c r="M2137" i="23"/>
  <c r="M366" i="23"/>
  <c r="M347" i="23"/>
  <c r="M2098" i="23"/>
  <c r="M1038" i="23"/>
  <c r="M780" i="23"/>
  <c r="M1264" i="23"/>
  <c r="M1564" i="23"/>
  <c r="M1760" i="23"/>
  <c r="M1248" i="23"/>
  <c r="M2044" i="23"/>
  <c r="M525" i="23"/>
  <c r="M1768" i="23"/>
  <c r="M1100" i="23"/>
  <c r="M1392" i="23"/>
  <c r="M1495" i="23"/>
  <c r="M1484" i="23"/>
  <c r="M339" i="23"/>
  <c r="M989" i="23"/>
  <c r="M1625" i="23"/>
  <c r="M2308" i="23"/>
  <c r="M756" i="23"/>
  <c r="M2357" i="23"/>
  <c r="M825" i="23"/>
  <c r="M744" i="23"/>
  <c r="M1788" i="23"/>
  <c r="M1410" i="23"/>
  <c r="M1146" i="23"/>
  <c r="M1578" i="23"/>
  <c r="M1056" i="23"/>
  <c r="M2253" i="23"/>
  <c r="M1679" i="23"/>
  <c r="M837" i="23"/>
  <c r="M599" i="23"/>
  <c r="M1814" i="23"/>
  <c r="M748" i="23"/>
  <c r="M452" i="23"/>
  <c r="M1267" i="23"/>
  <c r="M1364" i="23"/>
  <c r="M928" i="23"/>
  <c r="M300" i="23"/>
  <c r="M2496" i="23"/>
  <c r="M1596" i="23"/>
  <c r="M912" i="23"/>
  <c r="M787" i="23"/>
  <c r="M1514" i="23"/>
  <c r="M1884" i="23"/>
  <c r="M353" i="23"/>
  <c r="M729" i="23"/>
  <c r="M1240" i="23"/>
  <c r="M1719" i="23"/>
  <c r="M1892" i="23"/>
  <c r="M1588" i="23"/>
  <c r="M1831" i="23"/>
  <c r="M568" i="23"/>
  <c r="M1384" i="23"/>
  <c r="M811" i="23"/>
  <c r="M1217" i="23"/>
  <c r="M2426" i="23"/>
  <c r="M1758" i="23"/>
  <c r="M2152" i="23"/>
  <c r="M1650" i="23"/>
  <c r="M1097" i="23"/>
  <c r="M1466" i="23"/>
  <c r="M2078" i="23"/>
  <c r="M1399" i="23"/>
  <c r="M1083" i="23"/>
  <c r="M1107" i="23"/>
  <c r="M391" i="23"/>
  <c r="M1581" i="23"/>
  <c r="M921" i="23"/>
  <c r="M2217" i="23"/>
  <c r="M2083" i="23"/>
  <c r="M1963" i="23"/>
  <c r="M1888" i="23"/>
  <c r="M492" i="23"/>
  <c r="M792" i="23"/>
  <c r="M288" i="23"/>
  <c r="M813" i="23"/>
  <c r="M858" i="23"/>
  <c r="M1571" i="23"/>
  <c r="M868" i="23"/>
  <c r="M324" i="23"/>
  <c r="M980" i="23"/>
  <c r="M2319" i="23"/>
  <c r="M1611" i="23"/>
  <c r="M2019" i="23"/>
  <c r="M1923" i="23"/>
  <c r="M2252" i="23"/>
  <c r="M362" i="23"/>
  <c r="M576" i="23"/>
  <c r="M1575" i="23"/>
  <c r="M1011" i="23"/>
  <c r="M373" i="23"/>
  <c r="M1323" i="23"/>
  <c r="M2278" i="23"/>
  <c r="M1800" i="23"/>
  <c r="M1545" i="23"/>
  <c r="M997" i="23"/>
  <c r="M1464" i="23"/>
  <c r="M1424" i="23"/>
  <c r="M1463" i="23"/>
  <c r="M500" i="23"/>
  <c r="M2090" i="23"/>
  <c r="M2283" i="23"/>
  <c r="M365" i="23"/>
  <c r="M466" i="23"/>
  <c r="M564" i="23"/>
  <c r="M919" i="23"/>
  <c r="M480" i="23"/>
  <c r="M292" i="23"/>
  <c r="M2176" i="23"/>
  <c r="M1268" i="23"/>
  <c r="M1539" i="23"/>
  <c r="M411" i="23"/>
  <c r="M2312" i="23"/>
  <c r="M1612" i="23"/>
  <c r="M532" i="23"/>
  <c r="M1322" i="23"/>
  <c r="M1510" i="23"/>
  <c r="M1776" i="23"/>
  <c r="M491" i="23"/>
  <c r="M2208" i="23"/>
  <c r="M1972" i="23"/>
  <c r="M2326" i="23"/>
  <c r="M2260" i="23"/>
  <c r="M2288" i="23"/>
  <c r="M2036" i="23"/>
  <c r="M1683" i="23"/>
  <c r="M1293" i="23"/>
  <c r="M1568" i="23"/>
  <c r="M2049" i="23"/>
  <c r="M2304" i="23"/>
  <c r="M2057" i="23"/>
  <c r="M590" i="23"/>
  <c r="M2373" i="23"/>
  <c r="M2317" i="23"/>
  <c r="M616" i="23"/>
  <c r="M968" i="23"/>
  <c r="M1967" i="23"/>
  <c r="M2183" i="23"/>
  <c r="M272" i="23"/>
  <c r="M764" i="23"/>
  <c r="M345" i="23"/>
  <c r="M2160" i="23"/>
  <c r="M1203" i="23"/>
  <c r="M2307" i="23"/>
  <c r="M516" i="23"/>
  <c r="M1791" i="23"/>
  <c r="M1472" i="23"/>
  <c r="M853" i="23"/>
  <c r="M2409" i="23"/>
  <c r="M400" i="23"/>
  <c r="M2483" i="23"/>
  <c r="M2295" i="23"/>
  <c r="M1180" i="23"/>
  <c r="M947" i="23"/>
  <c r="M1226" i="23"/>
  <c r="M2482" i="23"/>
  <c r="M2329" i="23"/>
  <c r="M460" i="23"/>
  <c r="M396" i="23"/>
  <c r="M583" i="23"/>
  <c r="M1076" i="23"/>
  <c r="M1211" i="23"/>
  <c r="M1533" i="23"/>
  <c r="M1635" i="23"/>
  <c r="M1816" i="23"/>
  <c r="M1023" i="23"/>
  <c r="M2472" i="23"/>
  <c r="M479" i="23"/>
  <c r="M1757" i="23"/>
  <c r="M1958" i="23"/>
  <c r="M1977" i="23"/>
  <c r="M1134" i="23"/>
  <c r="M976" i="23"/>
  <c r="M1827" i="23"/>
  <c r="M695" i="23"/>
  <c r="M1228" i="23"/>
  <c r="M2298" i="23"/>
  <c r="M2129" i="23"/>
  <c r="M1795" i="23"/>
  <c r="M1525" i="23"/>
  <c r="M2061" i="23"/>
  <c r="M2029" i="23"/>
  <c r="M1583" i="23"/>
  <c r="M2003" i="23"/>
  <c r="M1833" i="23"/>
  <c r="M1664" i="23"/>
  <c r="M1085" i="23"/>
  <c r="M1616" i="23"/>
  <c r="M2502" i="23"/>
  <c r="M550" i="23"/>
  <c r="M2403" i="23"/>
  <c r="M1506" i="23"/>
  <c r="M404" i="23"/>
  <c r="M1935" i="23"/>
  <c r="M755" i="23"/>
  <c r="M1532" i="23"/>
  <c r="M1068" i="23"/>
  <c r="M2372" i="23"/>
  <c r="M2056" i="23"/>
  <c r="M1547" i="23"/>
  <c r="M815" i="23"/>
  <c r="M2315" i="23"/>
  <c r="M2338" i="23"/>
  <c r="M1711" i="23"/>
  <c r="M1553" i="23"/>
  <c r="M652" i="23"/>
  <c r="M302" i="23"/>
  <c r="M2184" i="23"/>
  <c r="M1319" i="23"/>
  <c r="M542" i="23"/>
  <c r="M1627" i="23"/>
  <c r="M371" i="23"/>
  <c r="M1981" i="23"/>
  <c r="M2207" i="23"/>
  <c r="M2505" i="23"/>
  <c r="M1993" i="23"/>
  <c r="M2148" i="23"/>
  <c r="M1448" i="23"/>
  <c r="M2173" i="23"/>
  <c r="M2428" i="23"/>
  <c r="M355" i="23"/>
  <c r="M2215" i="23"/>
  <c r="M2102" i="23"/>
  <c r="M681" i="23"/>
  <c r="M2250" i="23"/>
  <c r="M435" i="23"/>
  <c r="M1689" i="23"/>
  <c r="M1524" i="23"/>
  <c r="M1677" i="23"/>
  <c r="M275" i="23"/>
  <c r="M677" i="23"/>
  <c r="M1212" i="23"/>
  <c r="M279" i="23"/>
  <c r="M2046" i="23"/>
  <c r="M1987" i="23"/>
  <c r="M1168" i="23"/>
  <c r="M2194" i="23"/>
  <c r="M1504" i="23"/>
  <c r="M2368" i="23"/>
  <c r="M632" i="23"/>
  <c r="M805" i="23"/>
  <c r="M1141" i="23"/>
  <c r="M2172" i="23"/>
  <c r="M1426" i="23"/>
  <c r="M316" i="23"/>
  <c r="M2236" i="23"/>
  <c r="E2527" i="24"/>
  <c r="M2524" i="23"/>
  <c r="M1164" i="23"/>
  <c r="M1296" i="23"/>
  <c r="M1752" i="23"/>
  <c r="M1887" i="23"/>
  <c r="M537" i="23"/>
  <c r="M571" i="23"/>
  <c r="M1997" i="23"/>
  <c r="M558" i="23"/>
  <c r="M2200" i="23"/>
  <c r="M988" i="23"/>
  <c r="M443" i="23"/>
  <c r="M2336" i="23"/>
  <c r="M2106" i="23"/>
  <c r="M1115" i="23"/>
  <c r="M742" i="23"/>
  <c r="M2470" i="23"/>
  <c r="M1189" i="23"/>
  <c r="M1047" i="23"/>
  <c r="M1647" i="23"/>
  <c r="M484" i="23"/>
  <c r="M2048" i="23"/>
  <c r="M1535" i="23"/>
  <c r="M2016" i="23"/>
  <c r="M1995" i="23"/>
  <c r="M1766" i="23"/>
  <c r="M419" i="23"/>
  <c r="M872" i="23"/>
  <c r="M2461" i="23"/>
  <c r="M901" i="23"/>
  <c r="M1656" i="23"/>
  <c r="M1772" i="23"/>
  <c r="M1736" i="23"/>
  <c r="M1574" i="23"/>
  <c r="M1781" i="23"/>
  <c r="M2435" i="23"/>
  <c r="M1278" i="23"/>
  <c r="M383" i="23"/>
  <c r="M1676" i="23"/>
  <c r="M1381" i="23"/>
  <c r="M2256" i="23"/>
  <c r="M2408" i="23"/>
  <c r="M654" i="23"/>
  <c r="M1032" i="23"/>
  <c r="M2196" i="23"/>
  <c r="M1844" i="23"/>
  <c r="M2238" i="23"/>
  <c r="M1520" i="23"/>
  <c r="M1756" i="23"/>
  <c r="M1179" i="23"/>
  <c r="M2416" i="23"/>
  <c r="M1503" i="23"/>
  <c r="M588" i="23"/>
  <c r="M2171" i="23"/>
  <c r="M1007" i="23"/>
  <c r="M2112" i="23"/>
  <c r="M2467" i="23"/>
  <c r="M2349" i="23"/>
  <c r="M304" i="23"/>
  <c r="M1775" i="23"/>
  <c r="M2291" i="23"/>
  <c r="M2241" i="23"/>
  <c r="M612" i="23"/>
  <c r="M1856" i="23"/>
  <c r="M428" i="23"/>
  <c r="M508" i="23"/>
  <c r="M1527" i="23"/>
  <c r="M771" i="23"/>
  <c r="M1300" i="23"/>
  <c r="M2381" i="23"/>
  <c r="M2417" i="23"/>
  <c r="M1702" i="23"/>
  <c r="M1629" i="23"/>
  <c r="M892" i="23"/>
  <c r="M1911" i="23"/>
  <c r="M385" i="23"/>
  <c r="M768" i="23"/>
  <c r="M2415" i="23"/>
  <c r="M1858" i="23"/>
  <c r="M2323" i="23"/>
  <c r="M1419" i="23"/>
  <c r="M1224" i="23"/>
  <c r="M1904" i="23"/>
  <c r="M979" i="23"/>
  <c r="M2385" i="23"/>
  <c r="M2356" i="23"/>
  <c r="M604" i="23"/>
  <c r="M1739" i="23"/>
  <c r="M1850" i="23"/>
  <c r="M817" i="23"/>
  <c r="M291" i="23"/>
  <c r="M2109" i="23"/>
  <c r="M1379" i="23"/>
  <c r="M573" i="23"/>
  <c r="M1899" i="23"/>
  <c r="M2347" i="23"/>
  <c r="M987" i="23"/>
  <c r="M1328" i="23"/>
  <c r="M1593" i="23"/>
  <c r="M1929" i="23"/>
  <c r="M1487" i="23"/>
  <c r="M1373" i="23"/>
  <c r="M2439" i="23"/>
  <c r="M1121" i="23"/>
  <c r="M1052" i="23"/>
  <c r="M1536" i="23"/>
  <c r="M2509" i="23"/>
  <c r="M2365" i="23"/>
  <c r="M641" i="23"/>
  <c r="M398" i="23"/>
  <c r="M1807" i="23"/>
  <c r="M785" i="23"/>
  <c r="M596" i="23"/>
  <c r="M2272" i="23"/>
  <c r="M2132" i="23"/>
  <c r="M1260" i="23"/>
  <c r="M1030" i="23"/>
  <c r="M926" i="23"/>
  <c r="M1560" i="23"/>
  <c r="M1813" i="23"/>
  <c r="M2360" i="23"/>
  <c r="M1483" i="23"/>
  <c r="M783" i="23"/>
  <c r="M2399" i="23"/>
  <c r="M2499" i="23"/>
  <c r="M1439" i="23"/>
  <c r="M1347" i="23"/>
  <c r="M1608" i="23"/>
  <c r="M1992" i="23"/>
  <c r="M708" i="23"/>
  <c r="M332" i="23"/>
  <c r="M407" i="23"/>
  <c r="M451" i="23"/>
  <c r="M1358" i="23"/>
  <c r="M1707" i="23"/>
  <c r="M2434" i="23"/>
  <c r="M1036" i="23"/>
  <c r="M1060" i="23"/>
  <c r="M2111" i="23"/>
  <c r="M2199" i="23"/>
  <c r="M660" i="23"/>
  <c r="M836" i="23"/>
  <c r="M995" i="23"/>
  <c r="M1674" i="23"/>
  <c r="M845" i="23"/>
  <c r="M1341" i="23"/>
  <c r="M2486" i="23"/>
  <c r="M2038" i="23"/>
  <c r="M1509" i="23"/>
  <c r="M957" i="23"/>
  <c r="M1395" i="23"/>
  <c r="M810" i="23"/>
  <c r="M1161" i="23"/>
  <c r="M1350" i="23"/>
  <c r="M268" i="23"/>
  <c r="M2444" i="23"/>
  <c r="M1946" i="23"/>
  <c r="M2113" i="23"/>
  <c r="M939" i="23"/>
  <c r="M2032" i="23"/>
  <c r="M1407" i="23"/>
  <c r="M2072" i="23"/>
  <c r="M1692" i="23"/>
  <c r="M760" i="23"/>
  <c r="M621" i="23"/>
  <c r="M1001" i="23"/>
  <c r="M1916" i="23"/>
  <c r="M1072" i="23"/>
  <c r="M1961" i="23"/>
  <c r="M270" i="23"/>
  <c r="M2466" i="23"/>
  <c r="M2285" i="23"/>
  <c r="M403" i="23"/>
  <c r="M2085" i="23"/>
  <c r="M860" i="23"/>
  <c r="M1952" i="23"/>
  <c r="M2233" i="23"/>
  <c r="M1749" i="23"/>
  <c r="M1452" i="23"/>
  <c r="M1239" i="23"/>
  <c r="M1990" i="23"/>
  <c r="M1649" i="23"/>
  <c r="M1460" i="23"/>
  <c r="M832" i="23"/>
  <c r="M2052" i="23"/>
  <c r="M2141" i="23"/>
  <c r="M1492" i="23"/>
  <c r="M1631" i="23"/>
  <c r="M1362" i="23"/>
  <c r="M521" i="23"/>
  <c r="M2064" i="23"/>
  <c r="M1284" i="23"/>
  <c r="M1872" i="23"/>
  <c r="M820" i="23"/>
  <c r="M2203" i="23"/>
  <c r="M2060" i="23"/>
  <c r="M570" i="23"/>
  <c r="M448" i="23"/>
  <c r="M1764" i="23"/>
  <c r="M1308" i="23"/>
  <c r="M2432" i="23"/>
  <c r="M1704" i="23"/>
  <c r="M1852" i="23"/>
  <c r="M1731" i="23"/>
  <c r="M803" i="23"/>
  <c r="M2300" i="23"/>
  <c r="M1236" i="23"/>
  <c r="M541" i="23"/>
  <c r="M1790" i="23"/>
  <c r="M628" i="23"/>
  <c r="M951" i="23"/>
  <c r="M2362" i="23"/>
  <c r="M497" i="23"/>
  <c r="M2166" i="23"/>
  <c r="M2040" i="23"/>
  <c r="M425" i="23"/>
  <c r="M388" i="23"/>
  <c r="M2475" i="23"/>
  <c r="M1880" i="23"/>
  <c r="M2469" i="23"/>
  <c r="M2343" i="23"/>
  <c r="M949" i="23"/>
  <c r="M284" i="23"/>
  <c r="M1353" i="23"/>
  <c r="M823" i="23"/>
  <c r="M1787" i="23"/>
  <c r="M1270" i="23"/>
  <c r="M1658" i="23"/>
  <c r="M663" i="23"/>
  <c r="M1344" i="23"/>
  <c r="M2179" i="23"/>
  <c r="M2402" i="23"/>
  <c r="M1155" i="23"/>
  <c r="M2275" i="23"/>
  <c r="M1418" i="23"/>
  <c r="M1743" i="23"/>
  <c r="M1277" i="23"/>
  <c r="M2000" i="23"/>
  <c r="M1944" i="23"/>
  <c r="M878" i="23"/>
  <c r="M659" i="23"/>
  <c r="M1622" i="23"/>
  <c r="M1133" i="23"/>
  <c r="M552" i="23"/>
  <c r="M679" i="23"/>
  <c r="M2383" i="23"/>
  <c r="M1871" i="23"/>
  <c r="M1728" i="23"/>
  <c r="M456" i="23"/>
  <c r="M2334" i="23"/>
  <c r="M2520" i="23"/>
  <c r="M2456" i="23"/>
  <c r="M1907" i="23"/>
  <c r="M795" i="23"/>
  <c r="M740" i="23"/>
  <c r="M1846" i="23"/>
  <c r="M2287" i="23"/>
  <c r="M1698" i="23"/>
  <c r="M1159" i="23"/>
  <c r="M1747" i="23"/>
  <c r="M967" i="23"/>
  <c r="M1639" i="23"/>
  <c r="M2225" i="23"/>
  <c r="M1458" i="23"/>
  <c r="M956" i="23"/>
  <c r="M2223" i="23"/>
  <c r="M2464" i="23"/>
  <c r="M2164" i="23"/>
  <c r="M1618" i="23"/>
  <c r="M1938" i="23"/>
  <c r="M2413" i="23"/>
  <c r="M1307" i="23"/>
  <c r="M1197" i="23"/>
  <c r="M378" i="23"/>
  <c r="M2387" i="23"/>
  <c r="M1919" i="23"/>
  <c r="M1931" i="23"/>
  <c r="M2377" i="23"/>
  <c r="M1688" i="23"/>
  <c r="M1566" i="23"/>
  <c r="M2088" i="23"/>
  <c r="M2104" i="23"/>
  <c r="M1244" i="23"/>
  <c r="M1604" i="23"/>
  <c r="M833" i="23"/>
  <c r="M1920" i="23"/>
  <c r="M594" i="23"/>
  <c r="M1874" i="23"/>
  <c r="M1334" i="23"/>
  <c r="M1984" i="23"/>
  <c r="M2096" i="23"/>
  <c r="M2424" i="23"/>
  <c r="M1289" i="23"/>
  <c r="M2430" i="23"/>
  <c r="M1331" i="23"/>
  <c r="M1075" i="23"/>
  <c r="M1254" i="23"/>
  <c r="M731" i="23"/>
  <c r="M972" i="23"/>
  <c r="M1175" i="23"/>
  <c r="M1890" i="23"/>
  <c r="M1005" i="23"/>
  <c r="M2443" i="23"/>
  <c r="M1599" i="23"/>
  <c r="M295" i="23"/>
  <c r="M2492" i="23"/>
  <c r="M1519" i="23"/>
  <c r="M1416" i="23"/>
  <c r="M717" i="23"/>
  <c r="M2477" i="23"/>
  <c r="M1654" i="23"/>
  <c r="M1862" i="23"/>
  <c r="M421" i="23"/>
  <c r="M726" i="23"/>
  <c r="M2008" i="23"/>
  <c r="M1377" i="23"/>
  <c r="M1423" i="23"/>
  <c r="M1551" i="23"/>
  <c r="M2488" i="23"/>
  <c r="M1754" i="23"/>
  <c r="M387" i="23"/>
  <c r="M1050" i="23"/>
  <c r="M2420" i="23"/>
  <c r="M674" i="23"/>
  <c r="M1876" i="23"/>
  <c r="M2023" i="23"/>
  <c r="M1840" i="23"/>
  <c r="M692" i="23"/>
  <c r="M2355" i="23"/>
  <c r="M1045" i="23"/>
  <c r="M1370" i="23"/>
  <c r="M358" i="23"/>
  <c r="M2035" i="23"/>
  <c r="M1193" i="23"/>
  <c r="M1338" i="23"/>
  <c r="M560" i="23"/>
  <c r="M1443" i="23"/>
  <c r="M1718" i="23"/>
  <c r="M2146" i="23"/>
  <c r="M1429" i="23"/>
  <c r="M2210" i="23"/>
  <c r="M2422" i="23"/>
  <c r="M2244" i="23"/>
  <c r="M1602" i="23"/>
  <c r="M507" i="23"/>
  <c r="M1672" i="23"/>
  <c r="M2451" i="23"/>
  <c r="M2211" i="23"/>
  <c r="M668" i="23"/>
  <c r="M1522" i="23"/>
  <c r="M2303" i="23"/>
  <c r="M2274" i="23"/>
  <c r="M1298" i="23"/>
  <c r="M1531" i="23"/>
  <c r="M701" i="23"/>
  <c r="M844" i="23"/>
  <c r="M2508" i="23"/>
  <c r="M827" i="23"/>
  <c r="M1336" i="23"/>
  <c r="M2481" i="23"/>
  <c r="M1113" i="23"/>
  <c r="M1092" i="23"/>
  <c r="M2495" i="23"/>
  <c r="M2120" i="23"/>
  <c r="M2340" i="23"/>
  <c r="M1220" i="23"/>
  <c r="M2189" i="23"/>
  <c r="M2522" i="23"/>
  <c r="M475" i="23"/>
  <c r="M2264" i="23"/>
  <c r="M557" i="23"/>
  <c r="M1256" i="23"/>
  <c r="M1339" i="23"/>
  <c r="M2321" i="23"/>
  <c r="M376" i="23"/>
  <c r="M2345" i="23"/>
  <c r="M539" i="23"/>
  <c r="M1292" i="23"/>
  <c r="M1544" i="23"/>
  <c r="M329" i="23"/>
  <c r="M2115" i="23"/>
  <c r="M1367" i="23"/>
  <c r="M1065" i="23"/>
  <c r="M1035" i="23"/>
  <c r="M2094" i="23"/>
  <c r="M431" i="23"/>
  <c r="M1989" i="23"/>
  <c r="M1854" i="23"/>
  <c r="M936" i="23"/>
  <c r="M2354" i="23"/>
  <c r="M1700" i="23"/>
  <c r="M975" i="23"/>
  <c r="M1478" i="23"/>
  <c r="M1479" i="23"/>
  <c r="M1550" i="23"/>
  <c r="M2192" i="23"/>
  <c r="M880" i="23"/>
  <c r="M1167" i="23"/>
  <c r="M1316" i="23"/>
  <c r="M686" i="23"/>
  <c r="M640" i="23"/>
  <c r="M1434" i="23"/>
  <c r="M1103" i="23"/>
  <c r="M1028" i="23"/>
  <c r="M1118" i="23"/>
  <c r="M672" i="23"/>
  <c r="M2144" i="23"/>
  <c r="M2006" i="23"/>
  <c r="M944" i="23"/>
  <c r="M2169" i="23"/>
  <c r="M746" i="23"/>
  <c r="M924" i="23"/>
  <c r="M779" i="23"/>
  <c r="M2186" i="23"/>
  <c r="M2156" i="23"/>
  <c r="M1148" i="23"/>
  <c r="M1914" i="23"/>
  <c r="M2332" i="23"/>
  <c r="M1447" i="23"/>
  <c r="M1666" i="23"/>
  <c r="M1232" i="23"/>
  <c r="M336" i="23"/>
  <c r="M1696" i="23"/>
  <c r="F43" i="32"/>
  <c r="H37" i="32"/>
  <c r="H38" i="32" s="1"/>
  <c r="I45" i="32"/>
  <c r="I37" i="32"/>
  <c r="I38" i="32" s="1"/>
  <c r="C61" i="32"/>
  <c r="I46" i="32"/>
  <c r="M44" i="32"/>
  <c r="G45" i="32"/>
  <c r="H44" i="32"/>
  <c r="K44" i="32"/>
  <c r="K37" i="32"/>
  <c r="K38" i="32" s="1"/>
  <c r="E45" i="32"/>
  <c r="K43" i="32"/>
  <c r="H46" i="32"/>
  <c r="L43" i="32"/>
  <c r="I1268" i="24"/>
  <c r="F45" i="32"/>
  <c r="G39" i="32"/>
  <c r="J37" i="32"/>
  <c r="J38" i="32" s="1"/>
  <c r="F39" i="32"/>
  <c r="M765" i="24"/>
  <c r="K46" i="32"/>
  <c r="M43" i="32"/>
  <c r="L45" i="32"/>
  <c r="K45" i="32"/>
  <c r="M46" i="32"/>
  <c r="K765" i="24"/>
  <c r="H43" i="32"/>
  <c r="K39" i="32"/>
  <c r="E46" i="32"/>
  <c r="G43" i="32"/>
  <c r="G1268" i="24"/>
  <c r="G1267" i="24"/>
  <c r="L1154" i="23"/>
  <c r="L2381" i="23"/>
  <c r="L1217" i="23"/>
  <c r="L1126" i="23"/>
  <c r="L468" i="23"/>
  <c r="L2195" i="23"/>
  <c r="L929" i="23"/>
  <c r="L1377" i="23"/>
  <c r="L808" i="23"/>
  <c r="L2402" i="23"/>
  <c r="L1967" i="23"/>
  <c r="L1055" i="23"/>
  <c r="L2401" i="23"/>
  <c r="L461" i="23"/>
  <c r="L480" i="23"/>
  <c r="L1812" i="23"/>
  <c r="L501" i="23"/>
  <c r="L355" i="23"/>
  <c r="L1979" i="23"/>
  <c r="L1333" i="23"/>
  <c r="L414" i="23"/>
  <c r="L1565" i="23"/>
  <c r="L1759" i="23"/>
  <c r="L1237" i="23"/>
  <c r="L1966" i="23"/>
  <c r="L307" i="23"/>
  <c r="L1045" i="23"/>
  <c r="L1939" i="23"/>
  <c r="L1063" i="23"/>
  <c r="L2261" i="23"/>
  <c r="L626" i="23"/>
  <c r="L2319" i="23"/>
  <c r="L331" i="23"/>
  <c r="L404" i="23"/>
  <c r="L1244" i="23"/>
  <c r="L327" i="23"/>
  <c r="L542" i="23"/>
  <c r="L1246" i="23"/>
  <c r="L1505" i="23"/>
  <c r="L406" i="23"/>
  <c r="L2449" i="23"/>
  <c r="L2174" i="23"/>
  <c r="L880" i="23"/>
  <c r="L907" i="23"/>
  <c r="L794" i="23"/>
  <c r="L2070" i="23"/>
  <c r="L1702" i="23"/>
  <c r="L1168" i="23"/>
  <c r="L659" i="23"/>
  <c r="L1471" i="23"/>
  <c r="L434" i="23"/>
  <c r="L2220" i="23"/>
  <c r="L876" i="23"/>
  <c r="L566" i="23"/>
  <c r="L2471" i="23"/>
  <c r="L1470" i="23"/>
  <c r="L2501" i="23"/>
  <c r="L1460" i="23"/>
  <c r="L312" i="23"/>
  <c r="L1148" i="23"/>
  <c r="L921" i="23"/>
  <c r="L1938" i="23"/>
  <c r="L1828" i="23"/>
  <c r="L1914" i="23"/>
  <c r="L590" i="23"/>
  <c r="L1423" i="23"/>
  <c r="L430" i="23"/>
  <c r="L942" i="23"/>
  <c r="L269" i="23"/>
  <c r="L2475" i="23"/>
  <c r="L350" i="23"/>
  <c r="L271" i="23"/>
  <c r="L1137" i="23"/>
  <c r="L1795" i="23"/>
  <c r="L2279" i="23"/>
  <c r="L295" i="23"/>
  <c r="L1597" i="23"/>
  <c r="L835" i="23"/>
  <c r="L1306" i="23"/>
  <c r="L774" i="23"/>
  <c r="L2439" i="23"/>
  <c r="L1580" i="23"/>
  <c r="L1609" i="23"/>
  <c r="L1868" i="23"/>
  <c r="L981" i="23"/>
  <c r="L1513" i="23"/>
  <c r="L1647" i="23"/>
  <c r="L2266" i="23"/>
  <c r="L483" i="23"/>
  <c r="L1007" i="23"/>
  <c r="L1732" i="23"/>
  <c r="L535" i="23"/>
  <c r="L2001" i="23"/>
  <c r="L302" i="23"/>
  <c r="L2066" i="23"/>
  <c r="L347" i="23"/>
  <c r="L1737" i="23"/>
  <c r="L1929" i="23"/>
  <c r="L1453" i="23"/>
  <c r="L2271" i="23"/>
  <c r="L325" i="23"/>
  <c r="L1533" i="23"/>
  <c r="L970" i="23"/>
  <c r="L752" i="23"/>
  <c r="L1936" i="23"/>
  <c r="L1933" i="23"/>
  <c r="L2384" i="23"/>
  <c r="L1167" i="23"/>
  <c r="L610" i="23"/>
  <c r="L622" i="23"/>
  <c r="L1062" i="23"/>
  <c r="L2515" i="23"/>
  <c r="L2008" i="23"/>
  <c r="L2024" i="23"/>
  <c r="L756" i="23"/>
  <c r="L1359" i="23"/>
  <c r="L618" i="23"/>
  <c r="L2255" i="23"/>
  <c r="L1932" i="23"/>
  <c r="L1179" i="23"/>
  <c r="L647" i="23"/>
  <c r="L1271" i="23"/>
  <c r="L2409" i="23"/>
  <c r="L2365" i="23"/>
  <c r="L2389" i="23"/>
  <c r="L1551" i="23"/>
  <c r="L949" i="23"/>
  <c r="L2445" i="23"/>
  <c r="L702" i="23"/>
  <c r="L2296" i="23"/>
  <c r="L438" i="23"/>
  <c r="L677" i="23"/>
  <c r="L953" i="23"/>
  <c r="L2238" i="23"/>
  <c r="L2219" i="23"/>
  <c r="L487" i="23"/>
  <c r="L2330" i="23"/>
  <c r="L2344" i="23"/>
  <c r="L1817" i="23"/>
  <c r="L1523" i="23"/>
  <c r="L384" i="23"/>
  <c r="L2069" i="23"/>
  <c r="L1254" i="23"/>
  <c r="L744" i="23"/>
  <c r="L995" i="23"/>
  <c r="L1448" i="23"/>
  <c r="L975" i="23"/>
  <c r="L2496" i="23"/>
  <c r="L1050" i="23"/>
  <c r="L813" i="23"/>
  <c r="L1258" i="23"/>
  <c r="L1987" i="23"/>
  <c r="L2374" i="23"/>
  <c r="L1387" i="23"/>
  <c r="L868" i="23"/>
  <c r="L2435" i="23"/>
  <c r="L1754" i="23"/>
  <c r="L2233" i="23"/>
  <c r="L420" i="23"/>
  <c r="L1665" i="23"/>
  <c r="L848" i="23"/>
  <c r="L437" i="23"/>
  <c r="L2015" i="23"/>
  <c r="L2393" i="23"/>
  <c r="L2048" i="23"/>
  <c r="L1531" i="23"/>
  <c r="L2155" i="23"/>
  <c r="L842" i="23"/>
  <c r="L579" i="23"/>
  <c r="L1625" i="23"/>
  <c r="L2012" i="23"/>
  <c r="L997" i="23"/>
  <c r="L1076" i="23"/>
  <c r="L1634" i="23"/>
  <c r="L2262" i="23"/>
  <c r="L2165" i="23"/>
  <c r="L421" i="23"/>
  <c r="L541" i="23"/>
  <c r="L742" i="23"/>
  <c r="L1917" i="23"/>
  <c r="L509" i="23"/>
  <c r="L1543" i="23"/>
  <c r="L1266" i="23"/>
  <c r="C2527" i="24"/>
  <c r="L2524" i="23"/>
  <c r="L915" i="23"/>
  <c r="L1993" i="23"/>
  <c r="L569" i="23"/>
  <c r="L1496" i="23"/>
  <c r="L362" i="23"/>
  <c r="L1173" i="23"/>
  <c r="L1996" i="23"/>
  <c r="L1066" i="23"/>
  <c r="L2135" i="23"/>
  <c r="L2456" i="23"/>
  <c r="L1175" i="23"/>
  <c r="L2208" i="23"/>
  <c r="L896" i="23"/>
  <c r="L891" i="23"/>
  <c r="L1406" i="23"/>
  <c r="L2443" i="23"/>
  <c r="L956" i="23"/>
  <c r="L2263" i="23"/>
  <c r="L1371" i="23"/>
  <c r="L505" i="23"/>
  <c r="L2215" i="23"/>
  <c r="L1821" i="23"/>
  <c r="L1142" i="23"/>
  <c r="L1532" i="23"/>
  <c r="L1085" i="23"/>
  <c r="L689" i="23"/>
  <c r="L408" i="23"/>
  <c r="L796" i="23"/>
  <c r="L2278" i="23"/>
  <c r="L2347" i="23"/>
  <c r="L298" i="23"/>
  <c r="L1236" i="23"/>
  <c r="L1364" i="23"/>
  <c r="L2023" i="23"/>
  <c r="L550" i="23"/>
  <c r="L2074" i="23"/>
  <c r="L1518" i="23"/>
  <c r="L557" i="23"/>
  <c r="L413" i="23"/>
  <c r="L2466" i="23"/>
  <c r="L358" i="23"/>
  <c r="L716" i="23"/>
  <c r="L2421" i="23"/>
  <c r="L1265" i="23"/>
  <c r="L1954" i="23"/>
  <c r="L2301" i="23"/>
  <c r="L338" i="23"/>
  <c r="L1110" i="23"/>
  <c r="L1802" i="23"/>
  <c r="L578" i="23"/>
  <c r="L2370" i="23"/>
  <c r="L986" i="23"/>
  <c r="L2089" i="23"/>
  <c r="L1512" i="23"/>
  <c r="L603" i="23"/>
  <c r="L2399" i="23"/>
  <c r="L1019" i="23"/>
  <c r="L2454" i="23"/>
  <c r="L1522" i="23"/>
  <c r="L381" i="23"/>
  <c r="L1646" i="23"/>
  <c r="L2300" i="23"/>
  <c r="L1462" i="23"/>
  <c r="L2013" i="23"/>
  <c r="L387" i="23"/>
  <c r="L1622" i="23"/>
  <c r="L291" i="23"/>
  <c r="L2076" i="23"/>
  <c r="L830" i="23"/>
  <c r="L508" i="23"/>
  <c r="L1958" i="23"/>
  <c r="L486" i="23"/>
  <c r="L2481" i="23"/>
  <c r="L1720" i="23"/>
  <c r="L575" i="23"/>
  <c r="L632" i="23"/>
  <c r="L289" i="23"/>
  <c r="L2018" i="23"/>
  <c r="L2150" i="23"/>
  <c r="L585" i="23"/>
  <c r="L2489" i="23"/>
  <c r="L518" i="23"/>
  <c r="L1547" i="23"/>
  <c r="L1963" i="23"/>
  <c r="L607" i="23"/>
  <c r="L287" i="23"/>
  <c r="L322" i="23"/>
  <c r="L2355" i="23"/>
  <c r="L1746" i="23"/>
  <c r="L1916" i="23"/>
  <c r="L1044" i="23"/>
  <c r="L2190" i="23"/>
  <c r="L800" i="23"/>
  <c r="L326" i="23"/>
  <c r="L383" i="23"/>
  <c r="L2223" i="23"/>
  <c r="L858" i="23"/>
  <c r="L1309" i="23"/>
  <c r="L694" i="23"/>
  <c r="L883" i="23"/>
  <c r="L1433" i="23"/>
  <c r="L329" i="23"/>
  <c r="L2510" i="23"/>
  <c r="L827" i="23"/>
  <c r="L1694" i="23"/>
  <c r="L918" i="23"/>
  <c r="L1444" i="23"/>
  <c r="L938" i="23"/>
  <c r="L1166" i="23"/>
  <c r="L595" i="23"/>
  <c r="L377" i="23"/>
  <c r="L1203" i="23"/>
  <c r="L1955" i="23"/>
  <c r="L1011" i="23"/>
  <c r="L1596" i="23"/>
  <c r="L653" i="23"/>
  <c r="L710" i="23"/>
  <c r="L286" i="23"/>
  <c r="L2281" i="23"/>
  <c r="L2112" i="23"/>
  <c r="L561" i="23"/>
  <c r="L946" i="23"/>
  <c r="L2141" i="23"/>
  <c r="L592" i="23"/>
  <c r="L2314" i="23"/>
  <c r="L467" i="23"/>
  <c r="L1558" i="23"/>
  <c r="L635" i="23"/>
  <c r="L1060" i="23"/>
  <c r="L2240" i="23"/>
  <c r="L1013" i="23"/>
  <c r="L1727" i="23"/>
  <c r="L453" i="23"/>
  <c r="L901" i="23"/>
  <c r="L345" i="23"/>
  <c r="L2388" i="23"/>
  <c r="L528" i="23"/>
  <c r="L1663" i="23"/>
  <c r="L1716" i="23"/>
  <c r="L2430" i="23"/>
  <c r="L563" i="23"/>
  <c r="L2082" i="23"/>
  <c r="L1425" i="23"/>
  <c r="L1863" i="23"/>
  <c r="L1815" i="23"/>
  <c r="L1134" i="23"/>
  <c r="L884" i="23"/>
  <c r="L1528" i="23"/>
  <c r="L1695" i="23"/>
  <c r="L1172" i="23"/>
  <c r="L1200" i="23"/>
  <c r="L2397" i="23"/>
  <c r="L1832" i="23"/>
  <c r="L511" i="23"/>
  <c r="L2288" i="23"/>
  <c r="L1742" i="23"/>
  <c r="L2437" i="23"/>
  <c r="L321" i="23"/>
  <c r="L1791" i="23"/>
  <c r="L1284" i="23"/>
  <c r="L2459" i="23"/>
  <c r="L2237" i="23"/>
  <c r="L482" i="23"/>
  <c r="L2201" i="23"/>
  <c r="L1474" i="23"/>
  <c r="L268" i="23"/>
  <c r="L2043" i="23"/>
  <c r="L755" i="23"/>
  <c r="L1119" i="23"/>
  <c r="L2102" i="23"/>
  <c r="L721" i="23"/>
  <c r="L1567" i="23"/>
  <c r="L1786" i="23"/>
  <c r="L1651" i="23"/>
  <c r="L597" i="23"/>
  <c r="L1593" i="23"/>
  <c r="L1037" i="23"/>
  <c r="L445" i="23"/>
  <c r="L1228" i="23"/>
  <c r="L1099" i="23"/>
  <c r="L2199" i="23"/>
  <c r="L2369" i="23"/>
  <c r="L1086" i="23"/>
  <c r="L277" i="23"/>
  <c r="L665" i="23"/>
  <c r="L1792" i="23"/>
  <c r="L2204" i="23"/>
  <c r="L2005" i="23"/>
  <c r="L920" i="23"/>
  <c r="L2123" i="23"/>
  <c r="L1320" i="23"/>
  <c r="L2251" i="23"/>
  <c r="L2290" i="23"/>
  <c r="L2191" i="23"/>
  <c r="L2468" i="23"/>
  <c r="L1511" i="23"/>
  <c r="L719" i="23"/>
  <c r="L1858" i="23"/>
  <c r="L1550" i="23"/>
  <c r="L2164" i="23"/>
  <c r="L448" i="23"/>
  <c r="L2147" i="23"/>
  <c r="L1902" i="23"/>
  <c r="L769" i="23"/>
  <c r="L867" i="23"/>
  <c r="L1645" i="23"/>
  <c r="L1807" i="23"/>
  <c r="L2428" i="23"/>
  <c r="L1261" i="23"/>
  <c r="L1999" i="23"/>
  <c r="L1613" i="23"/>
  <c r="L1124" i="23"/>
  <c r="L683" i="23"/>
  <c r="L2391" i="23"/>
  <c r="L1783" i="23"/>
  <c r="L2419" i="23"/>
  <c r="L1537" i="23"/>
  <c r="L2224" i="23"/>
  <c r="L2045" i="23"/>
  <c r="L1711" i="23"/>
  <c r="L748" i="23"/>
  <c r="L1290" i="23"/>
  <c r="L874" i="23"/>
  <c r="L2480" i="23"/>
  <c r="L526" i="23"/>
  <c r="L2310" i="23"/>
  <c r="L2188" i="23"/>
  <c r="L1924" i="23"/>
  <c r="L1639" i="23"/>
  <c r="L1177" i="23"/>
  <c r="L365" i="23"/>
  <c r="L733" i="23"/>
  <c r="L463" i="23"/>
  <c r="L1476" i="23"/>
  <c r="L1473" i="23"/>
  <c r="L1185" i="23"/>
  <c r="L2491" i="23"/>
  <c r="L1564" i="23"/>
  <c r="L554" i="23"/>
  <c r="L605" i="23"/>
  <c r="L544" i="23"/>
  <c r="L1159" i="23"/>
  <c r="L1184" i="23"/>
  <c r="L1040" i="23"/>
  <c r="L349" i="23"/>
  <c r="L1357" i="23"/>
  <c r="L2350" i="23"/>
  <c r="L655" i="23"/>
  <c r="L2500" i="23"/>
  <c r="L2286" i="23"/>
  <c r="L2212" i="23"/>
  <c r="L336" i="23"/>
  <c r="L1034" i="23"/>
  <c r="L1541" i="23"/>
  <c r="L281" i="23"/>
  <c r="L2059" i="23"/>
  <c r="L810" i="23"/>
  <c r="L1308" i="23"/>
  <c r="L1057" i="23"/>
  <c r="L2309" i="23"/>
  <c r="L1346" i="23"/>
  <c r="L1139" i="23"/>
  <c r="L926" i="23"/>
  <c r="L1389" i="23"/>
  <c r="L1574" i="23"/>
  <c r="L2210" i="23"/>
  <c r="L1367" i="23"/>
  <c r="L2346" i="23"/>
  <c r="L803" i="23"/>
  <c r="L821" i="23"/>
  <c r="L826" i="23"/>
  <c r="L1027" i="23"/>
  <c r="L1778" i="23"/>
  <c r="L1263" i="23"/>
  <c r="L2275" i="23"/>
  <c r="L574" i="23"/>
  <c r="L1830" i="23"/>
  <c r="L506" i="23"/>
  <c r="L902" i="23"/>
  <c r="L948" i="23"/>
  <c r="L2007" i="23"/>
  <c r="L476" i="23"/>
  <c r="L533" i="23"/>
  <c r="L1313" i="23"/>
  <c r="L1824" i="23"/>
  <c r="L1680" i="23"/>
  <c r="L1608" i="23"/>
  <c r="L1270" i="23"/>
  <c r="L624" i="23"/>
  <c r="L1689" i="23"/>
  <c r="L2063" i="23"/>
  <c r="L1697" i="23"/>
  <c r="L855" i="23"/>
  <c r="L833" i="23"/>
  <c r="L266" i="23"/>
  <c r="L2091" i="23"/>
  <c r="L697" i="23"/>
  <c r="L760" i="23"/>
  <c r="L978" i="23"/>
  <c r="L2039" i="23"/>
  <c r="L1770" i="23"/>
  <c r="L392" i="23"/>
  <c r="L771" i="23"/>
  <c r="L2478" i="23"/>
  <c r="L1628" i="23"/>
  <c r="L913" i="23"/>
  <c r="L2305" i="23"/>
  <c r="L1215" i="23"/>
  <c r="L1451" i="23"/>
  <c r="L1691" i="23"/>
  <c r="L928" i="23"/>
  <c r="L1188" i="23"/>
  <c r="L304" i="23"/>
  <c r="L1798" i="23"/>
  <c r="L1478" i="23"/>
  <c r="L337" i="23"/>
  <c r="L1397" i="23"/>
  <c r="L1005" i="23"/>
  <c r="L638" i="23"/>
  <c r="L600" i="23"/>
  <c r="L441" i="23"/>
  <c r="L1624" i="23"/>
  <c r="L531" i="23"/>
  <c r="L1638" i="23"/>
  <c r="L389" i="23"/>
  <c r="L1120" i="23"/>
  <c r="L2227" i="23"/>
  <c r="L2499" i="23"/>
  <c r="L460" i="23"/>
  <c r="L2406" i="23"/>
  <c r="L1633" i="23"/>
  <c r="L898" i="23"/>
  <c r="L1316" i="23"/>
  <c r="L1101" i="23"/>
  <c r="L2128" i="23"/>
  <c r="L2358" i="23"/>
  <c r="L1898" i="23"/>
  <c r="L620" i="23"/>
  <c r="L2072" i="23"/>
  <c r="L1800" i="23"/>
  <c r="L2332" i="23"/>
  <c r="L2360" i="23"/>
  <c r="L1571" i="23"/>
  <c r="L360" i="23"/>
  <c r="L530" i="23"/>
  <c r="L703" i="23"/>
  <c r="L589" i="23"/>
  <c r="L2133" i="23"/>
  <c r="L969" i="23"/>
  <c r="L375" i="23"/>
  <c r="L2448" i="23"/>
  <c r="L400" i="23"/>
  <c r="L1919" i="23"/>
  <c r="L2364" i="23"/>
  <c r="L1232" i="23"/>
  <c r="L1437" i="23"/>
  <c r="L2248" i="23"/>
  <c r="L728" i="23"/>
  <c r="L2116" i="23"/>
  <c r="L2244" i="23"/>
  <c r="L1962" i="23"/>
  <c r="L1133" i="23"/>
  <c r="L616" i="23"/>
  <c r="L1650" i="23"/>
  <c r="L2106" i="23"/>
  <c r="L284" i="23"/>
  <c r="L1729" i="23"/>
  <c r="L2226" i="23"/>
  <c r="L736" i="23"/>
  <c r="L1775" i="23"/>
  <c r="L402" i="23"/>
  <c r="L640" i="23"/>
  <c r="L1970" i="23"/>
  <c r="L2050" i="23"/>
  <c r="L1182" i="23"/>
  <c r="L1701" i="23"/>
  <c r="L927" i="23"/>
  <c r="L1240" i="23"/>
  <c r="L807" i="23"/>
  <c r="L1117" i="23"/>
  <c r="L650" i="23"/>
  <c r="L1774" i="23"/>
  <c r="L1664" i="23"/>
  <c r="L2254" i="23"/>
  <c r="L1713" i="23"/>
  <c r="L522" i="23"/>
  <c r="L793" i="23"/>
  <c r="L1276" i="23"/>
  <c r="L1862" i="23"/>
  <c r="L1852" i="23"/>
  <c r="L1382" i="23"/>
  <c r="L1820" i="23"/>
  <c r="L2285" i="23"/>
  <c r="L636" i="23"/>
  <c r="L2084" i="23"/>
  <c r="L1997" i="23"/>
  <c r="L1942" i="23"/>
  <c r="L1654" i="23"/>
  <c r="L1490" i="23"/>
  <c r="L1141" i="23"/>
  <c r="L2243" i="23"/>
  <c r="L678" i="23"/>
  <c r="L1715" i="23"/>
  <c r="L906" i="23"/>
  <c r="L1876" i="23"/>
  <c r="L1879" i="23"/>
  <c r="L646" i="23"/>
  <c r="L524" i="23"/>
  <c r="L1015" i="23"/>
  <c r="L1576" i="23"/>
  <c r="L568" i="23"/>
  <c r="L708" i="23"/>
  <c r="L1072" i="23"/>
  <c r="L829" i="23"/>
  <c r="L2038" i="23"/>
  <c r="L1620" i="23"/>
  <c r="L2380" i="23"/>
  <c r="L1748" i="23"/>
  <c r="L1032" i="23"/>
  <c r="L2062" i="23"/>
  <c r="L279" i="23"/>
  <c r="L1311" i="23"/>
  <c r="L572" i="23"/>
  <c r="L1986" i="23"/>
  <c r="L285" i="23"/>
  <c r="L1763" i="23"/>
  <c r="L1147" i="23"/>
  <c r="L2058" i="23"/>
  <c r="L2318" i="23"/>
  <c r="L2270" i="23"/>
  <c r="L352" i="23"/>
  <c r="L1324" i="23"/>
  <c r="L669" i="23"/>
  <c r="L344" i="23"/>
  <c r="L1945" i="23"/>
  <c r="L1788" i="23"/>
  <c r="L857" i="23"/>
  <c r="L961" i="23"/>
  <c r="L1070" i="23"/>
  <c r="L471" i="23"/>
  <c r="L1029" i="23"/>
  <c r="L773" i="23"/>
  <c r="L1191" i="23"/>
  <c r="L2114" i="23"/>
  <c r="L2352" i="23"/>
  <c r="L2173" i="23"/>
  <c r="L1910" i="23"/>
  <c r="L2121" i="23"/>
  <c r="L617" i="23"/>
  <c r="L2341" i="23"/>
  <c r="L1043" i="23"/>
  <c r="L556" i="23"/>
  <c r="L2143" i="23"/>
  <c r="L1221" i="23"/>
  <c r="L1563" i="23"/>
  <c r="L783" i="23"/>
  <c r="L594" i="23"/>
  <c r="L1931" i="23"/>
  <c r="L2032" i="23"/>
  <c r="L2053" i="23"/>
  <c r="L485" i="23"/>
  <c r="L2461" i="23"/>
  <c r="L1504" i="23"/>
  <c r="L2246" i="23"/>
  <c r="L1409" i="23"/>
  <c r="L2079" i="23"/>
  <c r="L494" i="23"/>
  <c r="L1811" i="23"/>
  <c r="L698" i="23"/>
  <c r="L1327" i="23"/>
  <c r="L2483" i="23"/>
  <c r="L1319" i="23"/>
  <c r="L1129" i="23"/>
  <c r="L2425" i="23"/>
  <c r="L1769" i="23"/>
  <c r="L455" i="23"/>
  <c r="L1487" i="23"/>
  <c r="L1661" i="23"/>
  <c r="L2323" i="23"/>
  <c r="L1545" i="23"/>
  <c r="L1674" i="23"/>
  <c r="L1971" i="23"/>
  <c r="L294" i="23"/>
  <c r="L1825" i="23"/>
  <c r="L1767" i="23"/>
  <c r="L958" i="23"/>
  <c r="L417" i="23"/>
  <c r="L935" i="23"/>
  <c r="L2507" i="23"/>
  <c r="L672" i="23"/>
  <c r="L273" i="23"/>
  <c r="L780" i="23"/>
  <c r="L2073" i="23"/>
  <c r="L2003" i="23"/>
  <c r="L1122" i="23"/>
  <c r="L2214" i="23"/>
  <c r="L649" i="23"/>
  <c r="L1850" i="23"/>
  <c r="L2375" i="23"/>
  <c r="L805" i="23"/>
  <c r="L785" i="23"/>
  <c r="L1994" i="23"/>
  <c r="L990" i="23"/>
  <c r="L1887" i="23"/>
  <c r="L450" i="23"/>
  <c r="L1207" i="23"/>
  <c r="L1756" i="23"/>
  <c r="L1569" i="23"/>
  <c r="L1088" i="23"/>
  <c r="L779" i="23"/>
  <c r="L1323" i="23"/>
  <c r="L2041" i="23"/>
  <c r="L2235" i="23"/>
  <c r="L1315" i="23"/>
  <c r="L1855" i="23"/>
  <c r="L1612" i="23"/>
  <c r="L2372" i="23"/>
  <c r="L397" i="23"/>
  <c r="L844" i="23"/>
  <c r="L686" i="23"/>
  <c r="L664" i="23"/>
  <c r="L1810" i="23"/>
  <c r="L1146" i="23"/>
  <c r="L2131" i="23"/>
  <c r="L766" i="23"/>
  <c r="L1446" i="23"/>
  <c r="L317" i="23"/>
  <c r="L1329" i="23"/>
  <c r="L1467" i="23"/>
  <c r="L851" i="23"/>
  <c r="L2343" i="23"/>
  <c r="L1165" i="23"/>
  <c r="L2517" i="23"/>
  <c r="L1350" i="23"/>
  <c r="L1809" i="23"/>
  <c r="L1024" i="23"/>
  <c r="L1210" i="23"/>
  <c r="L1150" i="23"/>
  <c r="L2198" i="23"/>
  <c r="L754" i="23"/>
  <c r="L1391" i="23"/>
  <c r="L1806" i="23"/>
  <c r="L886" i="23"/>
  <c r="L2019" i="23"/>
  <c r="L2494" i="23"/>
  <c r="L609" i="23"/>
  <c r="L917" i="23"/>
  <c r="L2474" i="23"/>
  <c r="L1199" i="23"/>
  <c r="L1279" i="23"/>
  <c r="L1366" i="23"/>
  <c r="L860" i="23"/>
  <c r="L2307" i="23"/>
  <c r="L577" i="23"/>
  <c r="L2469" i="23"/>
  <c r="L1870" i="23"/>
  <c r="L1494" i="23"/>
  <c r="L341" i="23"/>
  <c r="L1415" i="23"/>
  <c r="L547" i="23"/>
  <c r="L940" i="23"/>
  <c r="L1659" i="23"/>
  <c r="L1656" i="23"/>
  <c r="L1555" i="23"/>
  <c r="L373" i="23"/>
  <c r="L1337" i="23"/>
  <c r="L2385" i="23"/>
  <c r="L1269" i="23"/>
  <c r="L475" i="23"/>
  <c r="L1153" i="23"/>
  <c r="L1904" i="23"/>
  <c r="L1503" i="23"/>
  <c r="L1103" i="23"/>
  <c r="L2207" i="23"/>
  <c r="L864" i="23"/>
  <c r="L496" i="23"/>
  <c r="L1912" i="23"/>
  <c r="L2108" i="23"/>
  <c r="L1677" i="23"/>
  <c r="L1369" i="23"/>
  <c r="L675" i="23"/>
  <c r="L1206" i="23"/>
  <c r="L1439" i="23"/>
  <c r="L1093" i="23"/>
  <c r="L1873" i="23"/>
  <c r="L2338" i="23"/>
  <c r="L912" i="23"/>
  <c r="L1349" i="23"/>
  <c r="L2433" i="23"/>
  <c r="L314" i="23"/>
  <c r="L1081" i="23"/>
  <c r="L1922" i="23"/>
  <c r="L715" i="23"/>
  <c r="L1017" i="23"/>
  <c r="L2057" i="23"/>
  <c r="L873" i="23"/>
  <c r="L972" i="23"/>
  <c r="L1670" i="23"/>
  <c r="L2088" i="23"/>
  <c r="L1906" i="23"/>
  <c r="L1078" i="23"/>
  <c r="L1682" i="23"/>
  <c r="L2105" i="23"/>
  <c r="L1561" i="23"/>
  <c r="L1642" i="23"/>
  <c r="L1047" i="23"/>
  <c r="L354" i="23"/>
  <c r="L2178" i="23"/>
  <c r="L1396" i="23"/>
  <c r="L847" i="23"/>
  <c r="L2101" i="23"/>
  <c r="L1517" i="23"/>
  <c r="L878" i="23"/>
  <c r="L952" i="23"/>
  <c r="L1841" i="23"/>
  <c r="L1449" i="23"/>
  <c r="L2231" i="23"/>
  <c r="L1586" i="23"/>
  <c r="L1588" i="23"/>
  <c r="L2011" i="23"/>
  <c r="L1705" i="23"/>
  <c r="L560" i="23"/>
  <c r="L2194" i="23"/>
  <c r="L424" i="23"/>
  <c r="L643" i="23"/>
  <c r="L1557" i="23"/>
  <c r="L1499" i="23"/>
  <c r="L2145" i="23"/>
  <c r="L2137" i="23"/>
  <c r="L992" i="23"/>
  <c r="L1949" i="23"/>
  <c r="L2184" i="23"/>
  <c r="L588" i="23"/>
  <c r="L466" i="23"/>
  <c r="L657" i="23"/>
  <c r="L1328" i="23"/>
  <c r="L2427" i="23"/>
  <c r="L1885" i="23"/>
  <c r="L1352" i="23"/>
  <c r="L1442" i="23"/>
  <c r="L1275" i="23"/>
  <c r="L1318" i="23"/>
  <c r="L1225" i="23"/>
  <c r="L2168" i="23"/>
  <c r="L1281" i="23"/>
  <c r="L1739" i="23"/>
  <c r="L1866" i="23"/>
  <c r="L2022" i="23"/>
  <c r="L762" i="23"/>
  <c r="L1484" i="23"/>
  <c r="L726" i="23"/>
  <c r="L681" i="23"/>
  <c r="L1579" i="23"/>
  <c r="L1042" i="23"/>
  <c r="L2312" i="23"/>
  <c r="L966" i="23"/>
  <c r="L1293" i="23"/>
  <c r="L661" i="23"/>
  <c r="L433" i="23"/>
  <c r="L1268" i="23"/>
  <c r="L712" i="23"/>
  <c r="L1447" i="23"/>
  <c r="L1611" i="23"/>
  <c r="L2065" i="23"/>
  <c r="L2513" i="23"/>
  <c r="L2139" i="23"/>
  <c r="L1888" i="23"/>
  <c r="L1539" i="23"/>
  <c r="L1250" i="23"/>
  <c r="L1758" i="23"/>
  <c r="L1223" i="23"/>
  <c r="L1212" i="23"/>
  <c r="L1112" i="23"/>
  <c r="L514" i="23"/>
  <c r="L1411" i="23"/>
  <c r="L1069" i="23"/>
  <c r="L1288" i="23"/>
  <c r="L1632" i="23"/>
  <c r="L1975" i="23"/>
  <c r="L1836" i="23"/>
  <c r="L732" i="23"/>
  <c r="L1618" i="23"/>
  <c r="L838" i="23"/>
  <c r="L963" i="23"/>
  <c r="L1751" i="23"/>
  <c r="L1961" i="23"/>
  <c r="L631" i="23"/>
  <c r="L1872" i="23"/>
  <c r="L614" i="23"/>
  <c r="L2250" i="23"/>
  <c r="L924" i="23"/>
  <c r="L1417" i="23"/>
  <c r="L1590" i="23"/>
  <c r="L1782" i="23"/>
  <c r="L1834" i="23"/>
  <c r="L412" i="23"/>
  <c r="L1305" i="23"/>
  <c r="L789" i="23"/>
  <c r="L1573" i="23"/>
  <c r="L1844" i="23"/>
  <c r="L1736" i="23"/>
  <c r="L973" i="23"/>
  <c r="L368" i="23"/>
  <c r="L371" i="23"/>
  <c r="L2028" i="23"/>
  <c r="L2159" i="23"/>
  <c r="L968" i="23"/>
  <c r="L1434" i="23"/>
  <c r="L2363" i="23"/>
  <c r="L2162" i="23"/>
  <c r="L983" i="23"/>
  <c r="L1003" i="23"/>
  <c r="L700" i="23"/>
  <c r="L1082" i="23"/>
  <c r="L2277" i="23"/>
  <c r="L1421" i="23"/>
  <c r="L2259" i="23"/>
  <c r="L1469" i="23"/>
  <c r="L1194" i="23"/>
  <c r="L551" i="23"/>
  <c r="L2465" i="23"/>
  <c r="L1231" i="23"/>
  <c r="L1745" i="23"/>
  <c r="L1339" i="23"/>
  <c r="L498" i="23"/>
  <c r="L1957" i="23"/>
  <c r="L2322" i="23"/>
  <c r="L1374" i="23"/>
  <c r="L1342" i="23"/>
  <c r="L474" i="23"/>
  <c r="L379" i="23"/>
  <c r="L792" i="23"/>
  <c r="L2519" i="23"/>
  <c r="L2327" i="23"/>
  <c r="L1162" i="23"/>
  <c r="L910" i="23"/>
  <c r="L811" i="23"/>
  <c r="L2120" i="23"/>
  <c r="L820" i="23"/>
  <c r="L1282" i="23"/>
  <c r="L2183" i="23"/>
  <c r="L2125" i="23"/>
  <c r="L980" i="23"/>
  <c r="L479" i="23"/>
  <c r="L1386" i="23"/>
  <c r="L1846" i="23"/>
  <c r="L427" i="23"/>
  <c r="L1953" i="23"/>
  <c r="L691" i="23"/>
  <c r="L310" i="23"/>
  <c r="L1600" i="23"/>
  <c r="L1582" i="23"/>
  <c r="L297" i="23"/>
  <c r="C2525" i="24"/>
  <c r="L2522" i="23"/>
  <c r="L1719" i="23"/>
  <c r="L1684" i="23"/>
  <c r="L1935" i="23"/>
  <c r="L1091" i="23"/>
  <c r="L443" i="23"/>
  <c r="L357" i="23"/>
  <c r="L895" i="23"/>
  <c r="L2453" i="23"/>
  <c r="L1482" i="23"/>
  <c r="L1105" i="23"/>
  <c r="L1106" i="23"/>
  <c r="L459" i="23"/>
  <c r="L1525" i="23"/>
  <c r="L1991" i="23"/>
  <c r="L426" i="23"/>
  <c r="L2156" i="23"/>
  <c r="L2444" i="23"/>
  <c r="L2416" i="23"/>
  <c r="L2036" i="23"/>
  <c r="L1376" i="23"/>
  <c r="L394" i="23"/>
  <c r="L1707" i="23"/>
  <c r="L890" i="23"/>
  <c r="L1000" i="23"/>
  <c r="L817" i="23"/>
  <c r="L1009" i="23"/>
  <c r="L491" i="23"/>
  <c r="L1520" i="23"/>
  <c r="L1731" i="23"/>
  <c r="L1709" i="23"/>
  <c r="L1900" i="23"/>
  <c r="L1195" i="23"/>
  <c r="L841" i="23"/>
  <c r="L2031" i="23"/>
  <c r="L1332" i="23"/>
  <c r="L583" i="23"/>
  <c r="L1158" i="23"/>
  <c r="L517" i="23"/>
  <c r="L1777" i="23"/>
  <c r="L283" i="23"/>
  <c r="L777" i="23"/>
  <c r="L1672" i="23"/>
  <c r="L1197" i="23"/>
  <c r="L2110" i="23"/>
  <c r="L1108" i="23"/>
  <c r="L2335" i="23"/>
  <c r="L2396" i="23"/>
  <c r="L1602" i="23"/>
  <c r="L1286" i="23"/>
  <c r="L1908" i="23"/>
  <c r="L680" i="23"/>
  <c r="L1025" i="23"/>
  <c r="L1881" i="23"/>
  <c r="L1094" i="23"/>
  <c r="L1926" i="23"/>
  <c r="L559" i="23"/>
  <c r="L1209" i="23"/>
  <c r="L1457" i="23"/>
  <c r="L2512" i="23"/>
  <c r="L740" i="23"/>
  <c r="G44" i="32"/>
  <c r="F46" i="32"/>
  <c r="M45" i="32"/>
  <c r="I43" i="32"/>
  <c r="E39" i="32"/>
  <c r="E44" i="32"/>
  <c r="E37" i="32"/>
  <c r="E38" i="32" s="1"/>
  <c r="H45" i="32"/>
  <c r="L46" i="32"/>
  <c r="J46" i="32"/>
  <c r="L1348" i="23"/>
  <c r="L837" i="23"/>
  <c r="L2504" i="23"/>
  <c r="L1869" i="23"/>
  <c r="L1373" i="23"/>
  <c r="L1686" i="23"/>
  <c r="L645" i="23"/>
  <c r="L1438" i="23"/>
  <c r="L885" i="23"/>
  <c r="L939" i="23"/>
  <c r="L446" i="23"/>
  <c r="L899" i="23"/>
  <c r="L1314" i="23"/>
  <c r="L1899" i="23"/>
  <c r="L2060" i="23"/>
  <c r="L586" i="23"/>
  <c r="L1001" i="23"/>
  <c r="L2216" i="23"/>
  <c r="L1974" i="23"/>
  <c r="L2171" i="23"/>
  <c r="L2477" i="23"/>
  <c r="L1678" i="23"/>
  <c r="L1896" i="23"/>
  <c r="L1977" i="23"/>
  <c r="L1002" i="23"/>
  <c r="L606" i="23"/>
  <c r="L2242" i="23"/>
  <c r="L1274" i="23"/>
  <c r="L2149" i="23"/>
  <c r="L513" i="23"/>
  <c r="L663" i="23"/>
  <c r="L1292" i="23"/>
  <c r="L630" i="23"/>
  <c r="L904" i="23"/>
  <c r="L1219" i="23"/>
  <c r="L264" i="23"/>
  <c r="L2413" i="23"/>
  <c r="L587" i="23"/>
  <c r="L1157" i="23"/>
  <c r="L472" i="23"/>
  <c r="L1405" i="23"/>
  <c r="L2462" i="23"/>
  <c r="L2126" i="23"/>
  <c r="L791" i="23"/>
  <c r="L1515" i="23"/>
  <c r="L1658" i="23"/>
  <c r="L1743" i="23"/>
  <c r="L2321" i="23"/>
  <c r="L1211" i="23"/>
  <c r="L730" i="23"/>
  <c r="L1368" i="23"/>
  <c r="L746" i="23"/>
  <c r="L2412" i="23"/>
  <c r="L2085" i="23"/>
  <c r="L1152" i="23"/>
  <c r="L1965" i="23"/>
  <c r="L2387" i="23"/>
  <c r="L1170" i="23"/>
  <c r="L1604" i="23"/>
  <c r="L2027" i="23"/>
  <c r="L1890" i="23"/>
  <c r="L852" i="23"/>
  <c r="L696" i="23"/>
  <c r="L1189" i="23"/>
  <c r="L2000" i="23"/>
  <c r="L2042" i="23"/>
  <c r="M2328" i="23"/>
  <c r="M1455" i="23"/>
  <c r="M603" i="23"/>
  <c r="M1706" i="23"/>
  <c r="M364" i="23"/>
  <c r="M1132" i="23"/>
  <c r="M1875" i="23"/>
  <c r="M2371" i="23"/>
  <c r="M1555" i="23"/>
  <c r="M2237" i="23"/>
  <c r="M819" i="23"/>
  <c r="M2331" i="23"/>
  <c r="M1783" i="23"/>
  <c r="M386" i="23"/>
  <c r="M2187" i="23"/>
  <c r="M1436" i="23"/>
  <c r="M2182" i="23"/>
  <c r="M1333" i="23"/>
  <c r="M2204" i="23"/>
  <c r="M882" i="23"/>
  <c r="M282" i="23"/>
  <c r="M1408" i="23"/>
  <c r="M615" i="23"/>
  <c r="M1796" i="23"/>
  <c r="M2042" i="23"/>
  <c r="M1474" i="23"/>
  <c r="M2161" i="23"/>
  <c r="M417" i="23"/>
  <c r="M321" i="23"/>
  <c r="M273" i="23"/>
  <c r="M529" i="23"/>
  <c r="L679" i="23"/>
  <c r="L1527" i="23"/>
  <c r="L798" i="23"/>
  <c r="L1054" i="23"/>
  <c r="L977" i="23"/>
  <c r="L1849" i="23"/>
  <c r="L2152" i="23"/>
  <c r="L1554" i="23"/>
  <c r="L504" i="23"/>
  <c r="L985" i="23"/>
  <c r="L2267" i="23"/>
  <c r="L2411" i="23"/>
  <c r="L2313" i="23"/>
  <c r="L2426" i="23"/>
  <c r="L2161" i="23"/>
  <c r="L1021" i="23"/>
  <c r="L1822" i="23"/>
  <c r="L1440" i="23"/>
  <c r="L1262" i="23"/>
  <c r="L1135" i="23"/>
  <c r="L465" i="23"/>
  <c r="M1669" i="23"/>
  <c r="M370" i="23"/>
  <c r="M2136" i="23"/>
  <c r="M1695" i="23"/>
  <c r="M2342" i="23"/>
  <c r="M2214" i="23"/>
  <c r="M2002" i="23"/>
  <c r="M1572" i="23"/>
  <c r="M1849" i="23"/>
  <c r="M2344" i="23"/>
  <c r="M1120" i="23"/>
  <c r="M1798" i="23"/>
  <c r="M1043" i="23"/>
  <c r="M776" i="23"/>
  <c r="M2361" i="23"/>
  <c r="M1139" i="23"/>
  <c r="M984" i="23"/>
  <c r="M408" i="23"/>
  <c r="M312" i="23"/>
  <c r="L1750" i="23"/>
  <c r="L1205" i="23"/>
  <c r="L301" i="23"/>
  <c r="L2055" i="23"/>
  <c r="L1735" i="23"/>
  <c r="L994" i="23"/>
  <c r="L520" i="23"/>
  <c r="L1355" i="23"/>
  <c r="L546" i="23"/>
  <c r="L974" i="23"/>
  <c r="L306" i="23"/>
  <c r="L1699" i="23"/>
  <c r="L2186" i="23"/>
  <c r="L1703" i="23"/>
  <c r="L1877" i="23"/>
  <c r="L440" i="23"/>
  <c r="L2336" i="23"/>
  <c r="L750" i="23"/>
  <c r="L2176" i="23"/>
  <c r="L2492" i="23"/>
  <c r="L497" i="23"/>
  <c r="L998" i="23"/>
  <c r="M2504" i="23"/>
  <c r="M1166" i="23"/>
  <c r="M1909" i="23"/>
  <c r="M2341" i="23"/>
  <c r="M1721" i="23"/>
  <c r="M476" i="23"/>
  <c r="M1843" i="23"/>
  <c r="M1927" i="23"/>
  <c r="M982" i="23"/>
  <c r="M2222" i="23"/>
  <c r="M470" i="23"/>
  <c r="M2346" i="23"/>
  <c r="M2086" i="23"/>
  <c r="M361" i="23"/>
  <c r="M1199" i="23"/>
  <c r="M1031" i="23"/>
  <c r="M2449" i="23"/>
  <c r="M308" i="23"/>
  <c r="M2352" i="23"/>
  <c r="M413" i="23"/>
  <c r="M2248" i="23"/>
  <c r="M1046" i="23"/>
  <c r="L1257" i="23"/>
  <c r="L778" i="23"/>
  <c r="L1465" i="23"/>
  <c r="L540" i="23"/>
  <c r="L2016" i="23"/>
  <c r="L454" i="23"/>
  <c r="L1883" i="23"/>
  <c r="L2378" i="23"/>
  <c r="L870" i="23"/>
  <c r="L429" i="23"/>
  <c r="L2269" i="23"/>
  <c r="L1402" i="23"/>
  <c r="L1856" i="23"/>
  <c r="L1740" i="23"/>
  <c r="L1458" i="23"/>
  <c r="L1803" i="23"/>
  <c r="K764" i="24"/>
  <c r="M2412" i="23"/>
  <c r="M1903" i="23"/>
  <c r="M1027" i="23"/>
  <c r="M524" i="23"/>
  <c r="M1476" i="23"/>
  <c r="M1352" i="23"/>
  <c r="M1991" i="23"/>
  <c r="M261" i="23"/>
  <c r="M2401" i="23"/>
  <c r="M2335" i="23"/>
  <c r="M2190" i="23"/>
  <c r="M1646" i="23"/>
  <c r="M946" i="23"/>
  <c r="M1181" i="23"/>
  <c r="M2117" i="23"/>
  <c r="M2305" i="23"/>
  <c r="M415" i="23"/>
  <c r="M533" i="23"/>
  <c r="L367" i="23"/>
  <c r="L1489" i="23"/>
  <c r="L1430" i="23"/>
  <c r="L1326" i="23"/>
  <c r="L1956" i="23"/>
  <c r="L1544" i="23"/>
  <c r="L1435" i="23"/>
  <c r="L1514" i="23"/>
  <c r="L503" i="23"/>
  <c r="L1814" i="23"/>
  <c r="L2142" i="23"/>
  <c r="L1067" i="23"/>
  <c r="L1143" i="23"/>
  <c r="L693" i="23"/>
  <c r="L1530" i="23"/>
  <c r="L1722" i="23"/>
  <c r="L2232" i="23"/>
  <c r="L1061" i="23"/>
  <c r="M1058" i="23"/>
  <c r="M2370" i="23"/>
  <c r="M1922" i="23"/>
  <c r="M1530" i="23"/>
  <c r="M1580" i="23"/>
  <c r="M2028" i="23"/>
  <c r="M778" i="23"/>
  <c r="M1973" i="23"/>
  <c r="M512" i="23"/>
  <c r="M1964" i="23"/>
  <c r="M2134" i="23"/>
  <c r="L1937" i="23"/>
  <c r="L1486" i="23"/>
  <c r="L1630" i="23"/>
  <c r="L2503" i="23"/>
  <c r="L1380" i="23"/>
  <c r="L745" i="23"/>
  <c r="L629" i="23"/>
  <c r="L1718" i="23"/>
  <c r="L2394" i="23"/>
  <c r="L1201" i="23"/>
  <c r="L523" i="23"/>
  <c r="L488" i="23"/>
  <c r="L2476" i="23"/>
  <c r="L1463" i="23"/>
  <c r="L510" i="23"/>
  <c r="L1340" i="23"/>
  <c r="L1455" i="23"/>
  <c r="L1226" i="23"/>
  <c r="L1163" i="23"/>
  <c r="L340" i="23"/>
  <c r="L1793" i="23"/>
  <c r="L806" i="23"/>
  <c r="L1696" i="23"/>
  <c r="L1928" i="23"/>
  <c r="L1568" i="23"/>
  <c r="L515" i="23"/>
  <c r="L2495" i="23"/>
  <c r="L313" i="23"/>
  <c r="L431" i="23"/>
  <c r="L2287" i="23"/>
  <c r="L648" i="23"/>
  <c r="L2209" i="23"/>
  <c r="L1354" i="23"/>
  <c r="L1752" i="23"/>
  <c r="M1799" i="23"/>
  <c r="M2418" i="23"/>
  <c r="M1543" i="23"/>
  <c r="M650" i="23"/>
  <c r="M996" i="23"/>
  <c r="M1378" i="23"/>
  <c r="M1562" i="23"/>
  <c r="M1078" i="23"/>
  <c r="M2493" i="23"/>
  <c r="M2209" i="23"/>
  <c r="M2388" i="23"/>
  <c r="L816" i="23"/>
  <c r="L290" i="23"/>
  <c r="L1336" i="23"/>
  <c r="L2298" i="23"/>
  <c r="L570" i="23"/>
  <c r="L1259" i="23"/>
  <c r="L2362" i="23"/>
  <c r="L1988" i="23"/>
  <c r="L1598" i="23"/>
  <c r="L892" i="23"/>
  <c r="L1253" i="23"/>
  <c r="L2282" i="23"/>
  <c r="L988" i="23"/>
  <c r="L1104" i="23"/>
  <c r="L2424" i="23"/>
  <c r="L1479" i="23"/>
  <c r="L2273" i="23"/>
  <c r="L2221" i="23"/>
  <c r="L933" i="23"/>
  <c r="L1307" i="23"/>
  <c r="L532" i="23"/>
  <c r="L2371" i="23"/>
  <c r="L706" i="23"/>
  <c r="L943" i="23"/>
  <c r="L950" i="23"/>
  <c r="L1398" i="23"/>
  <c r="L599" i="23"/>
  <c r="L1816" i="23"/>
  <c r="L1079" i="23"/>
  <c r="L1837" i="23"/>
  <c r="L500" i="23"/>
  <c r="L2359" i="23"/>
  <c r="L2418" i="23"/>
  <c r="L637" i="23"/>
  <c r="L795" i="23"/>
  <c r="M1839" i="23"/>
  <c r="M691" i="23"/>
  <c r="M592" i="23"/>
  <c r="M700" i="23"/>
  <c r="M1154" i="23"/>
  <c r="M927" i="23"/>
  <c r="M1841" i="23"/>
  <c r="M2246" i="23"/>
  <c r="M905" i="23"/>
  <c r="M1496" i="23"/>
  <c r="M1105" i="23"/>
  <c r="M2265" i="23"/>
  <c r="M2099" i="23"/>
  <c r="M350" i="23"/>
  <c r="M2206" i="23"/>
  <c r="M1355" i="23"/>
  <c r="L1302" i="23"/>
  <c r="L1610" i="23"/>
  <c r="L2177" i="23"/>
  <c r="L2146" i="23"/>
  <c r="L403" i="23"/>
  <c r="L1497" i="23"/>
  <c r="L2138" i="23"/>
  <c r="L1018" i="23"/>
  <c r="L1130" i="23"/>
  <c r="L1461" i="23"/>
  <c r="L2241" i="23"/>
  <c r="L1051" i="23"/>
  <c r="L2376" i="23"/>
  <c r="L2451" i="23"/>
  <c r="L1400" i="23"/>
  <c r="L651" i="23"/>
  <c r="L456" i="23"/>
  <c r="L1534" i="23"/>
  <c r="L1208" i="23"/>
  <c r="L2236" i="23"/>
  <c r="L1796" i="23"/>
  <c r="L2046" i="23"/>
  <c r="L1383" i="23"/>
  <c r="L2067" i="23"/>
  <c r="M1638" i="23"/>
  <c r="M2400" i="23"/>
  <c r="M310" i="23"/>
  <c r="M1640" i="23"/>
  <c r="M1529" i="23"/>
  <c r="M2516" i="23"/>
  <c r="M2068" i="23"/>
  <c r="M2378" i="23"/>
  <c r="M1241" i="23"/>
  <c r="M1310" i="23"/>
  <c r="M1386" i="23"/>
  <c r="L982" i="23"/>
  <c r="L558" i="23"/>
  <c r="L2009" i="23"/>
  <c r="L2320" i="23"/>
  <c r="L914" i="23"/>
  <c r="L1983" i="23"/>
  <c r="L1779" i="23"/>
  <c r="L2398" i="23"/>
  <c r="L1186" i="23"/>
  <c r="L1587" i="23"/>
  <c r="L1426" i="23"/>
  <c r="L1399" i="23"/>
  <c r="L2068" i="23"/>
  <c r="L364" i="23"/>
  <c r="L2497" i="23"/>
  <c r="L936" i="23"/>
  <c r="L749" i="23"/>
  <c r="L1981" i="23"/>
  <c r="L1538" i="23"/>
  <c r="L1198" i="23"/>
  <c r="L308" i="23"/>
  <c r="M2282" i="23"/>
  <c r="M2490" i="23"/>
  <c r="M2015" i="23"/>
  <c r="M1999" i="23"/>
  <c r="M2433" i="23"/>
  <c r="M1853" i="23"/>
  <c r="M2386" i="23"/>
  <c r="M1570" i="23"/>
  <c r="M1231" i="23"/>
  <c r="M2279" i="23"/>
  <c r="M1318" i="23"/>
  <c r="M808" i="23"/>
  <c r="M1432" i="23"/>
  <c r="M929" i="23"/>
  <c r="M1811" i="23"/>
  <c r="M1630" i="23"/>
  <c r="L2302" i="23"/>
  <c r="L324" i="23"/>
  <c r="L1913" i="23"/>
  <c r="L2422" i="23"/>
  <c r="L1260" i="23"/>
  <c r="L1149" i="23"/>
  <c r="L1416" i="23"/>
  <c r="L984" i="23"/>
  <c r="L802" i="23"/>
  <c r="L1755" i="23"/>
  <c r="L656" i="23"/>
  <c r="L356" i="23"/>
  <c r="L292" i="23"/>
  <c r="L380" i="23"/>
  <c r="L1428" i="23"/>
  <c r="L2366" i="23"/>
  <c r="L576" i="23"/>
  <c r="L562" i="23"/>
  <c r="L469" i="23"/>
  <c r="L887" i="23"/>
  <c r="L1847" i="23"/>
  <c r="L2090" i="23"/>
  <c r="L919" i="23"/>
  <c r="L722" i="23"/>
  <c r="L1529" i="23"/>
  <c r="L704" i="23"/>
  <c r="L484" i="23"/>
  <c r="L1842" i="23"/>
  <c r="M384" i="23"/>
  <c r="M611" i="23"/>
  <c r="M1337" i="23"/>
  <c r="M2363" i="23"/>
  <c r="M1628" i="23"/>
  <c r="M2457" i="23"/>
  <c r="M468" i="23"/>
  <c r="M923" i="23"/>
  <c r="M1960" i="23"/>
  <c r="M1400" i="23"/>
  <c r="M2353" i="23"/>
  <c r="M307" i="23"/>
  <c r="M1968" i="23"/>
  <c r="M1737" i="23"/>
  <c r="M317" i="23"/>
  <c r="M1281" i="23"/>
  <c r="M918" i="23"/>
  <c r="M1233" i="23"/>
  <c r="M1185" i="23"/>
  <c r="L1840" i="23"/>
  <c r="L1584" i="23"/>
  <c r="L274" i="23"/>
  <c r="L845" i="23"/>
  <c r="L790" i="23"/>
  <c r="L955" i="23"/>
  <c r="L1948" i="23"/>
  <c r="L2094" i="23"/>
  <c r="L1615" i="23"/>
  <c r="L735" i="23"/>
  <c r="L1300" i="23"/>
  <c r="L334" i="23"/>
  <c r="L1073" i="23"/>
  <c r="L1692" i="23"/>
  <c r="L2294" i="23"/>
  <c r="L2432" i="23"/>
  <c r="L1030" i="23"/>
  <c r="L1839" i="23"/>
  <c r="L1393" i="23"/>
  <c r="L718" i="23"/>
  <c r="L720" i="23"/>
  <c r="M1462" i="23"/>
  <c r="M1610" i="23"/>
  <c r="M1615" i="23"/>
  <c r="M2465" i="23"/>
  <c r="M2128" i="23"/>
  <c r="M1867" i="23"/>
  <c r="M680" i="23"/>
  <c r="M784" i="23"/>
  <c r="M1346" i="23"/>
  <c r="M2081" i="23"/>
  <c r="M2125" i="23"/>
  <c r="M1064" i="23"/>
  <c r="M2511" i="23"/>
  <c r="M1750" i="23"/>
  <c r="M1380" i="23"/>
  <c r="M1763" i="23"/>
  <c r="M269" i="23"/>
  <c r="M734" i="23"/>
  <c r="M2021" i="23"/>
  <c r="M1250" i="23"/>
  <c r="M678" i="23"/>
  <c r="M796" i="23"/>
  <c r="M2257" i="23"/>
  <c r="M1136" i="23"/>
  <c r="M617" i="23"/>
  <c r="M1014" i="23"/>
  <c r="M753" i="23"/>
  <c r="M705" i="23"/>
  <c r="M342" i="23"/>
  <c r="M657" i="23"/>
  <c r="M609" i="23"/>
  <c r="M1190" i="23"/>
  <c r="L1495" i="23"/>
  <c r="L1065" i="23"/>
  <c r="L366" i="23"/>
  <c r="L1894" i="23"/>
  <c r="L1251" i="23"/>
  <c r="L1096" i="23"/>
  <c r="L1960" i="23"/>
  <c r="L1723" i="23"/>
  <c r="L300" i="23"/>
  <c r="L1725" i="23"/>
  <c r="L1222" i="23"/>
  <c r="L1508" i="23"/>
  <c r="L1947" i="23"/>
  <c r="L372" i="23"/>
  <c r="L538" i="23"/>
  <c r="L601" i="23"/>
  <c r="L1038" i="23"/>
  <c r="L1243" i="23"/>
  <c r="L2470" i="23"/>
  <c r="L1892" i="23"/>
  <c r="L1296" i="23"/>
  <c r="M499" i="23"/>
  <c r="M1457" i="23"/>
  <c r="M2294" i="23"/>
  <c r="M1366" i="23"/>
  <c r="M1003" i="23"/>
  <c r="M1577" i="23"/>
  <c r="M1621" i="23"/>
  <c r="M1084" i="23"/>
  <c r="L2354" i="23"/>
  <c r="L1331" i="23"/>
  <c r="L425" i="23"/>
  <c r="L2304" i="23"/>
  <c r="L2357" i="23"/>
  <c r="L2093" i="23"/>
  <c r="L1909" i="23"/>
  <c r="L1607" i="23"/>
  <c r="L2293" i="23"/>
  <c r="L553" i="23"/>
  <c r="L2154" i="23"/>
  <c r="L1116" i="23"/>
  <c r="L1049" i="23"/>
  <c r="L1944" i="23"/>
  <c r="L846" i="23"/>
  <c r="L1278" i="23"/>
  <c r="L1092" i="23"/>
  <c r="L1524" i="23"/>
  <c r="L1995" i="23"/>
  <c r="L854" i="23"/>
  <c r="L1010" i="23"/>
  <c r="L2326" i="23"/>
  <c r="L2373" i="23"/>
  <c r="L819" i="23"/>
  <c r="L1673" i="23"/>
  <c r="L2118" i="23"/>
  <c r="L458" i="23"/>
  <c r="L2035" i="23"/>
  <c r="L714" i="23"/>
  <c r="L1140" i="23"/>
  <c r="L1952" i="23"/>
  <c r="L411" i="23"/>
  <c r="L1304" i="23"/>
  <c r="L1410" i="23"/>
  <c r="L2405" i="23"/>
  <c r="L2130" i="23"/>
  <c r="L1578" i="23"/>
  <c r="L2317" i="23"/>
  <c r="L2197" i="23"/>
  <c r="L1432" i="23"/>
  <c r="L1623" i="23"/>
  <c r="L263" i="23"/>
  <c r="L1414" i="23"/>
  <c r="L2119" i="23"/>
  <c r="L2306" i="23"/>
  <c r="L1845" i="23"/>
  <c r="L668" i="23"/>
  <c r="L1644" i="23"/>
  <c r="L909" i="23"/>
  <c r="L1289" i="23"/>
  <c r="L739" i="23"/>
  <c r="L320" i="23"/>
  <c r="L1111" i="23"/>
  <c r="L2258" i="23"/>
  <c r="L447" i="23"/>
  <c r="L2010" i="23"/>
  <c r="L1884" i="23"/>
  <c r="L2100" i="23"/>
  <c r="L1700" i="23"/>
  <c r="L2153" i="23"/>
  <c r="L2167" i="23"/>
  <c r="L2325" i="23"/>
  <c r="L432" i="23"/>
  <c r="L738" i="23"/>
  <c r="L1322" i="23"/>
  <c r="L613" i="23"/>
  <c r="L2206" i="23"/>
  <c r="L1706" i="23"/>
  <c r="L2429" i="23"/>
  <c r="L2516" i="23"/>
  <c r="L900" i="23"/>
  <c r="L1516" i="23"/>
  <c r="L2395" i="23"/>
  <c r="L2203" i="23"/>
  <c r="L2356" i="23"/>
  <c r="L1871" i="23"/>
  <c r="L1068" i="23"/>
  <c r="L1766" i="23"/>
  <c r="L1925" i="23"/>
  <c r="L1617" i="23"/>
  <c r="L2030" i="23"/>
  <c r="L353" i="23"/>
  <c r="L478" i="23"/>
  <c r="L1502" i="23"/>
  <c r="L1303" i="23"/>
  <c r="L1287" i="23"/>
  <c r="L1637" i="23"/>
  <c r="L862" i="23"/>
  <c r="L2111" i="23"/>
  <c r="L934" i="23"/>
  <c r="L1450" i="23"/>
  <c r="L2052" i="23"/>
  <c r="L2442" i="23"/>
  <c r="L2182" i="23"/>
  <c r="L1708" i="23"/>
  <c r="L521" i="23"/>
  <c r="L1501" i="23"/>
  <c r="L1973" i="23"/>
  <c r="L960" i="23"/>
  <c r="L391" i="23"/>
  <c r="L1854" i="23"/>
  <c r="L549" i="23"/>
  <c r="L2099" i="23"/>
  <c r="L701" i="23"/>
  <c r="L863" i="23"/>
  <c r="L2202" i="23"/>
  <c r="L2218" i="23"/>
  <c r="L1075" i="23"/>
  <c r="L1053" i="23"/>
  <c r="L1299" i="23"/>
  <c r="L369" i="23"/>
  <c r="L2081" i="23"/>
  <c r="L399" i="23"/>
  <c r="L1592" i="23"/>
  <c r="L2329" i="23"/>
  <c r="L685" i="23"/>
  <c r="L2225" i="23"/>
  <c r="L1853" i="23"/>
  <c r="L872" i="23"/>
  <c r="L772" i="23"/>
  <c r="L1483" i="23"/>
  <c r="L951" i="23"/>
  <c r="L1905" i="23"/>
  <c r="L1358" i="23"/>
  <c r="L1347" i="23"/>
  <c r="L1123" i="23"/>
  <c r="L1071" i="23"/>
  <c r="L1589" i="23"/>
  <c r="L1921" i="23"/>
  <c r="L2134" i="23"/>
  <c r="L1712" i="23"/>
  <c r="L2051" i="23"/>
  <c r="L1144" i="23"/>
  <c r="L2077" i="23"/>
  <c r="L1020" i="23"/>
  <c r="L1972" i="23"/>
  <c r="L2075" i="23"/>
  <c r="L422" i="23"/>
  <c r="L776" i="23"/>
  <c r="L2180" i="23"/>
  <c r="L1220" i="23"/>
  <c r="L1553" i="23"/>
  <c r="L442" i="23"/>
  <c r="L1726" i="23"/>
  <c r="L1178" i="23"/>
  <c r="L1827" i="23"/>
  <c r="L1345" i="23"/>
  <c r="L539" i="23"/>
  <c r="L2455" i="23"/>
  <c r="L1838" i="23"/>
  <c r="L1507" i="23"/>
  <c r="L418" i="23"/>
  <c r="L1401" i="23"/>
  <c r="L2086" i="23"/>
  <c r="L2274" i="23"/>
  <c r="L1984" i="23"/>
  <c r="L462" i="23"/>
  <c r="L316" i="23"/>
  <c r="L2486" i="23"/>
  <c r="L628" i="23"/>
  <c r="L1100" i="23"/>
  <c r="L580" i="23"/>
  <c r="L1546" i="23"/>
  <c r="L439" i="23"/>
  <c r="L815" i="23"/>
  <c r="L303" i="23"/>
  <c r="L1418" i="23"/>
  <c r="L2002" i="23"/>
  <c r="L1341" i="23"/>
  <c r="L1022" i="23"/>
  <c r="L2256" i="23"/>
  <c r="L658" i="23"/>
  <c r="L1536" i="23"/>
  <c r="L2163" i="23"/>
  <c r="L2390" i="23"/>
  <c r="L1392" i="23"/>
  <c r="L2407" i="23"/>
  <c r="L2295" i="23"/>
  <c r="L1889" i="23"/>
  <c r="L1083" i="23"/>
  <c r="L435" i="23"/>
  <c r="L2353" i="23"/>
  <c r="L619" i="23"/>
  <c r="L409" i="23"/>
  <c r="L2377" i="23"/>
  <c r="L834" i="23"/>
  <c r="L529" i="23"/>
  <c r="L2144" i="23"/>
  <c r="L1183" i="23"/>
  <c r="L1648" i="23"/>
  <c r="L727" i="23"/>
  <c r="L1635" i="23"/>
  <c r="L1277" i="23"/>
  <c r="L1204" i="23"/>
  <c r="L741" i="23"/>
  <c r="L947" i="23"/>
  <c r="L1378" i="23"/>
  <c r="L481" i="23"/>
  <c r="L1959" i="23"/>
  <c r="L2205" i="23"/>
  <c r="L495" i="23"/>
  <c r="L2193" i="23"/>
  <c r="L2230" i="23"/>
  <c r="L1493" i="23"/>
  <c r="L2104" i="23"/>
  <c r="L825" i="23"/>
  <c r="L376" i="23"/>
  <c r="L1911" i="23"/>
  <c r="L1951" i="23"/>
  <c r="L1028" i="23"/>
  <c r="L2368" i="23"/>
  <c r="L293" i="23"/>
  <c r="L2004" i="23"/>
  <c r="L410" i="23"/>
  <c r="L1363" i="23"/>
  <c r="L1857" i="23"/>
  <c r="L967" i="23"/>
  <c r="L1016" i="23"/>
  <c r="L1688" i="23"/>
  <c r="L1291" i="23"/>
  <c r="L1606" i="23"/>
  <c r="L1668" i="23"/>
  <c r="L763" i="23"/>
  <c r="L932" i="23"/>
  <c r="L824" i="23"/>
  <c r="L1614" i="23"/>
  <c r="L361" i="23"/>
  <c r="L2467" i="23"/>
  <c r="L1395" i="23"/>
  <c r="L1559" i="23"/>
  <c r="L2026" i="23"/>
  <c r="L871" i="23"/>
  <c r="L903" i="23"/>
  <c r="L1419" i="23"/>
  <c r="L1781" i="23"/>
  <c r="L2160" i="23"/>
  <c r="L2092" i="23"/>
  <c r="L1861" i="23"/>
  <c r="L1084" i="23"/>
  <c r="L1753" i="23"/>
  <c r="L1690" i="23"/>
  <c r="L2054" i="23"/>
  <c r="C2526" i="24"/>
  <c r="L2523" i="23"/>
  <c r="L1552" i="23"/>
  <c r="L2506" i="23"/>
  <c r="L1102" i="23"/>
  <c r="L1901" i="23"/>
  <c r="L346" i="23"/>
  <c r="L1131" i="23"/>
  <c r="L743" i="23"/>
  <c r="L1169" i="23"/>
  <c r="L282" i="23"/>
  <c r="L1394" i="23"/>
  <c r="L1113" i="23"/>
  <c r="L1301" i="23"/>
  <c r="L405" i="23"/>
  <c r="L1813" i="23"/>
  <c r="L1164" i="23"/>
  <c r="L2283" i="23"/>
  <c r="L1671" i="23"/>
  <c r="L818" i="23"/>
  <c r="L1459" i="23"/>
  <c r="L1239" i="23"/>
  <c r="L1273" i="23"/>
  <c r="L2440" i="23"/>
  <c r="L332" i="23"/>
  <c r="L1360" i="23"/>
  <c r="L1196" i="23"/>
  <c r="L767" i="23"/>
  <c r="L1445" i="23"/>
  <c r="L660" i="23"/>
  <c r="L1412" i="23"/>
  <c r="L1768" i="23"/>
  <c r="L1267" i="23"/>
  <c r="L1023" i="23"/>
  <c r="L1992" i="23"/>
  <c r="L309" i="23"/>
  <c r="L945" i="23"/>
  <c r="L2410" i="23"/>
  <c r="L1492" i="23"/>
  <c r="L2257" i="23"/>
  <c r="L1151" i="23"/>
  <c r="L464" i="23"/>
  <c r="L319" i="23"/>
  <c r="L2034" i="23"/>
  <c r="L1575" i="23"/>
  <c r="L2170" i="23"/>
  <c r="L1583" i="23"/>
  <c r="L753" i="23"/>
  <c r="L959" i="23"/>
  <c r="L419" i="23"/>
  <c r="L2095" i="23"/>
  <c r="L1004" i="23"/>
  <c r="L1218" i="23"/>
  <c r="L398" i="23"/>
  <c r="L1519" i="23"/>
  <c r="L652" i="23"/>
  <c r="L2260" i="23"/>
  <c r="L2148" i="23"/>
  <c r="L2367" i="23"/>
  <c r="L2115" i="23"/>
  <c r="L1464" i="23"/>
  <c r="L1526" i="23"/>
  <c r="L625" i="23"/>
  <c r="L1248" i="23"/>
  <c r="L2252" i="23"/>
  <c r="L734" i="23"/>
  <c r="L2464" i="23"/>
  <c r="L1920" i="23"/>
  <c r="L676" i="23"/>
  <c r="L1256" i="23"/>
  <c r="L1657" i="23"/>
  <c r="L1233" i="23"/>
  <c r="L684" i="23"/>
  <c r="L2196" i="23"/>
  <c r="L1761" i="23"/>
  <c r="L2132" i="23"/>
  <c r="L1864" i="23"/>
  <c r="L267" i="23"/>
  <c r="L893" i="23"/>
  <c r="L1675" i="23"/>
  <c r="L1918" i="23"/>
  <c r="L849" i="23"/>
  <c r="L339" i="23"/>
  <c r="L1283" i="23"/>
  <c r="L666" i="23"/>
  <c r="L280" i="23"/>
  <c r="L1805" i="23"/>
  <c r="L1214" i="23"/>
  <c r="L2124" i="23"/>
  <c r="L582" i="23"/>
  <c r="L889" i="23"/>
  <c r="L911" i="23"/>
  <c r="L1375" i="23"/>
  <c r="L2017" i="23"/>
  <c r="L1549" i="23"/>
  <c r="L751" i="23"/>
  <c r="L1640" i="23"/>
  <c r="L784" i="23"/>
  <c r="L758" i="23"/>
  <c r="L452" i="23"/>
  <c r="L1087" i="23"/>
  <c r="L1776" i="23"/>
  <c r="L1893" i="23"/>
  <c r="L1193" i="23"/>
  <c r="L1978" i="23"/>
  <c r="L1764" i="23"/>
  <c r="L633" i="23"/>
  <c r="L2508" i="23"/>
  <c r="L1773" i="23"/>
  <c r="L2276" i="23"/>
  <c r="L512" i="23"/>
  <c r="L2289" i="23"/>
  <c r="L1562" i="23"/>
  <c r="L1224" i="23"/>
  <c r="L1014" i="23"/>
  <c r="L1229" i="23"/>
  <c r="L1174" i="23"/>
  <c r="L386" i="23"/>
  <c r="L2408" i="23"/>
  <c r="L823" i="23"/>
  <c r="L1361" i="23"/>
  <c r="L596" i="23"/>
  <c r="L1585" i="23"/>
  <c r="L971" i="23"/>
  <c r="L888" i="23"/>
  <c r="L787" i="23"/>
  <c r="L2324" i="23"/>
  <c r="L843" i="23"/>
  <c r="L1080" i="23"/>
  <c r="L537" i="23"/>
  <c r="L2337" i="23"/>
  <c r="L545" i="23"/>
  <c r="L2071" i="23"/>
  <c r="L2245" i="23"/>
  <c r="L1843" i="23"/>
  <c r="L2189" i="23"/>
  <c r="L2044" i="23"/>
  <c r="L507" i="23"/>
  <c r="L1626" i="23"/>
  <c r="L457" i="23"/>
  <c r="L1819" i="23"/>
  <c r="L724" i="23"/>
  <c r="L2064" i="23"/>
  <c r="L747" i="23"/>
  <c r="L1343" i="23"/>
  <c r="L2083" i="23"/>
  <c r="L1422" i="23"/>
  <c r="L2272" i="23"/>
  <c r="L1540" i="23"/>
  <c r="L2348" i="23"/>
  <c r="L954" i="23"/>
  <c r="L2382" i="23"/>
  <c r="L644" i="23"/>
  <c r="L1860" i="23"/>
  <c r="L2264" i="23"/>
  <c r="L2400" i="23"/>
  <c r="L877" i="23"/>
  <c r="L1089" i="23"/>
  <c r="L1662" i="23"/>
  <c r="L690" i="23"/>
  <c r="L272" i="23"/>
  <c r="L1833" i="23"/>
  <c r="L2403" i="23"/>
  <c r="L401" i="23"/>
  <c r="L957" i="23"/>
  <c r="L370" i="23"/>
  <c r="L2185" i="23"/>
  <c r="L1006" i="23"/>
  <c r="L2078" i="23"/>
  <c r="L759" i="23"/>
  <c r="L2383" i="23"/>
  <c r="L2460" i="23"/>
  <c r="L1351" i="23"/>
  <c r="L2229" i="23"/>
  <c r="L2316" i="23"/>
  <c r="L839" i="23"/>
  <c r="L662" i="23"/>
  <c r="L1865" i="23"/>
  <c r="L493" i="23"/>
  <c r="L1891" i="23"/>
  <c r="L861" i="23"/>
  <c r="L1704" i="23"/>
  <c r="L2234" i="23"/>
  <c r="L1880" i="23"/>
  <c r="L2473" i="23"/>
  <c r="L1202" i="23"/>
  <c r="L1895" i="23"/>
  <c r="L1666" i="23"/>
  <c r="L428" i="23"/>
  <c r="L1747" i="23"/>
  <c r="L1161" i="23"/>
  <c r="L1431" i="23"/>
  <c r="L388" i="23"/>
  <c r="L2122" i="23"/>
  <c r="L1216" i="23"/>
  <c r="L1934" i="23"/>
  <c r="L1058" i="23"/>
  <c r="L615" i="23"/>
  <c r="L1312" i="23"/>
  <c r="L1413" i="23"/>
  <c r="L1631" i="23"/>
  <c r="L315" i="23"/>
  <c r="L996" i="23"/>
  <c r="L1213" i="23"/>
  <c r="L359" i="23"/>
  <c r="L1738" i="23"/>
  <c r="L536" i="23"/>
  <c r="L761" i="23"/>
  <c r="L2431" i="23"/>
  <c r="L641" i="23"/>
  <c r="L692" i="23"/>
  <c r="L2484" i="23"/>
  <c r="L881" i="23"/>
  <c r="L1851" i="23"/>
  <c r="L1566" i="23"/>
  <c r="L1452" i="23"/>
  <c r="L634" i="23"/>
  <c r="L444" i="23"/>
  <c r="L725" i="23"/>
  <c r="L979" i="23"/>
  <c r="L1408" i="23"/>
  <c r="L2117" i="23"/>
  <c r="L449" i="23"/>
  <c r="L1710" i="23"/>
  <c r="L1156" i="23"/>
  <c r="L2222" i="23"/>
  <c r="L765" i="23"/>
  <c r="L548" i="23"/>
  <c r="L2181" i="23"/>
  <c r="L1338" i="23"/>
  <c r="L2136" i="23"/>
  <c r="L713" i="23"/>
  <c r="L1136" i="23"/>
  <c r="L1649" i="23"/>
  <c r="L1012" i="23"/>
  <c r="L492" i="23"/>
  <c r="L1187" i="23"/>
  <c r="L1155" i="23"/>
  <c r="L288" i="23"/>
  <c r="L2487" i="23"/>
  <c r="L1109" i="23"/>
  <c r="L1379" i="23"/>
  <c r="L275" i="23"/>
  <c r="L299" i="23"/>
  <c r="L1603" i="23"/>
  <c r="L2253" i="23"/>
  <c r="L1230" i="23"/>
  <c r="L781" i="23"/>
  <c r="L2342" i="23"/>
  <c r="L2457" i="23"/>
  <c r="L1485" i="23"/>
  <c r="L1721" i="23"/>
  <c r="L1667" i="23"/>
  <c r="L1882" i="23"/>
  <c r="L1808" i="23"/>
  <c r="L2040" i="23"/>
  <c r="L2166" i="23"/>
  <c r="L1035" i="23"/>
  <c r="L2192" i="23"/>
  <c r="L1325" i="23"/>
  <c r="L1789" i="23"/>
  <c r="L1407" i="23"/>
  <c r="L976" i="23"/>
  <c r="L1521" i="23"/>
  <c r="L1114" i="23"/>
  <c r="L737" i="23"/>
  <c r="L1915" i="23"/>
  <c r="L1943" i="23"/>
  <c r="L1801" i="23"/>
  <c r="L687" i="23"/>
  <c r="L1787" i="23"/>
  <c r="L1488" i="23"/>
  <c r="L525" i="23"/>
  <c r="L828" i="23"/>
  <c r="L1629" i="23"/>
  <c r="L2080" i="23"/>
  <c r="L2113" i="23"/>
  <c r="L1594" i="23"/>
  <c r="L591" i="23"/>
  <c r="L1052" i="23"/>
  <c r="L1429" i="23"/>
  <c r="L1344" i="23"/>
  <c r="L1310" i="23"/>
  <c r="L1927" i="23"/>
  <c r="L1744" i="23"/>
  <c r="L1982" i="23"/>
  <c r="L1454" i="23"/>
  <c r="L2333" i="23"/>
  <c r="L875" i="23"/>
  <c r="L1760" i="23"/>
  <c r="L519" i="23"/>
  <c r="L1506" i="23"/>
  <c r="L2485" i="23"/>
  <c r="L1733" i="23"/>
  <c r="L2351" i="23"/>
  <c r="L328" i="23"/>
  <c r="L1998" i="23"/>
  <c r="L415" i="23"/>
  <c r="L1577" i="23"/>
  <c r="L991" i="23"/>
  <c r="L571" i="23"/>
  <c r="L1907" i="23"/>
  <c r="L1481" i="23"/>
  <c r="L1804" i="23"/>
  <c r="L965" i="23"/>
  <c r="L1941" i="23"/>
  <c r="L2292" i="23"/>
  <c r="L604" i="23"/>
  <c r="L573" i="23"/>
  <c r="L1897" i="23"/>
  <c r="L1655" i="23"/>
  <c r="L395" i="23"/>
  <c r="L1235" i="23"/>
  <c r="L2029" i="23"/>
  <c r="L1946" i="23"/>
  <c r="L2386" i="23"/>
  <c r="L1420" i="23"/>
  <c r="L416" i="23"/>
  <c r="L944" i="23"/>
  <c r="L390" i="23"/>
  <c r="L490" i="23"/>
  <c r="L2172" i="23"/>
  <c r="L642" i="23"/>
  <c r="L565" i="23"/>
  <c r="L804" i="23"/>
  <c r="L1362" i="23"/>
  <c r="L2047" i="23"/>
  <c r="L1427" i="23"/>
  <c r="L1772" i="23"/>
  <c r="L2265" i="23"/>
  <c r="L879" i="23"/>
  <c r="L1176" i="23"/>
  <c r="L611" i="23"/>
  <c r="L2056" i="23"/>
  <c r="L2037" i="23"/>
  <c r="L1077" i="23"/>
  <c r="L2392" i="23"/>
  <c r="L2438" i="23"/>
  <c r="L1160" i="23"/>
  <c r="L1581" i="23"/>
  <c r="L1252" i="23"/>
  <c r="L705" i="23"/>
  <c r="L865" i="23"/>
  <c r="L1046" i="23"/>
  <c r="L1272" i="23"/>
  <c r="L2157" i="23"/>
  <c r="L323" i="23"/>
  <c r="L1968" i="23"/>
  <c r="L363" i="23"/>
  <c r="L673" i="23"/>
  <c r="L1334" i="23"/>
  <c r="L348" i="23"/>
  <c r="L473" i="23"/>
  <c r="L1669" i="23"/>
  <c r="L2308" i="23"/>
  <c r="L1969" i="23"/>
  <c r="L1734" i="23"/>
  <c r="L1875" i="23"/>
  <c r="L278" i="23"/>
  <c r="L717" i="23"/>
  <c r="L2249" i="23"/>
  <c r="L1436" i="23"/>
  <c r="L1641" i="23"/>
  <c r="L856" i="23"/>
  <c r="L1636" i="23"/>
  <c r="L1560" i="23"/>
  <c r="L1039" i="23"/>
  <c r="L1728" i="23"/>
  <c r="L1385" i="23"/>
  <c r="L2217" i="23"/>
  <c r="L1441" i="23"/>
  <c r="L1724" i="23"/>
  <c r="L1831" i="23"/>
  <c r="L2331" i="23"/>
  <c r="L612" i="23"/>
  <c r="L1685" i="23"/>
  <c r="L999" i="23"/>
  <c r="L1730" i="23"/>
  <c r="L1295" i="23"/>
  <c r="L1477" i="23"/>
  <c r="L1714" i="23"/>
  <c r="L318" i="23"/>
  <c r="L941" i="23"/>
  <c r="L2096" i="23"/>
  <c r="L1480" i="23"/>
  <c r="L1823" i="23"/>
  <c r="L1757" i="23"/>
  <c r="L1098" i="23"/>
  <c r="L1388" i="23"/>
  <c r="L1785" i="23"/>
  <c r="L2490" i="23"/>
  <c r="L682" i="23"/>
  <c r="L1381" i="23"/>
  <c r="L1616" i="23"/>
  <c r="L1679" i="23"/>
  <c r="L782" i="23"/>
  <c r="L882" i="23"/>
  <c r="L1475" i="23"/>
  <c r="L1762" i="23"/>
  <c r="L993" i="23"/>
  <c r="L1867" i="23"/>
  <c r="L2179" i="23"/>
  <c r="L1097" i="23"/>
  <c r="L1138" i="23"/>
  <c r="L2339" i="23"/>
  <c r="L2284" i="23"/>
  <c r="L797" i="23"/>
  <c r="L1771" i="23"/>
  <c r="L1790" i="23"/>
  <c r="L1059" i="23"/>
  <c r="L1171" i="23"/>
  <c r="L709" i="23"/>
  <c r="L1500" i="23"/>
  <c r="L2107" i="23"/>
  <c r="L1353" i="23"/>
  <c r="L2291" i="23"/>
  <c r="L1780" i="23"/>
  <c r="L1794" i="23"/>
  <c r="L786" i="23"/>
  <c r="L937" i="23"/>
  <c r="L671" i="23"/>
  <c r="L869" i="23"/>
  <c r="L342" i="23"/>
  <c r="L2303" i="23"/>
  <c r="L905" i="23"/>
  <c r="L270" i="23"/>
  <c r="L1074" i="23"/>
  <c r="L2315" i="23"/>
  <c r="L1599" i="23"/>
  <c r="L1247" i="23"/>
  <c r="L621" i="23"/>
  <c r="L330" i="23"/>
  <c r="L1940" i="23"/>
  <c r="L1741" i="23"/>
  <c r="L801" i="23"/>
  <c r="L552" i="23"/>
  <c r="L2417" i="23"/>
  <c r="L2436" i="23"/>
  <c r="L1238" i="23"/>
  <c r="L1064" i="23"/>
  <c r="L1542" i="23"/>
  <c r="L627" i="23"/>
  <c r="L1008" i="23"/>
  <c r="L2049" i="23"/>
  <c r="L598" i="23"/>
  <c r="L2297" i="23"/>
  <c r="L908" i="23"/>
  <c r="L311" i="23"/>
  <c r="L2521" i="23"/>
  <c r="L2299" i="23"/>
  <c r="L1132" i="23"/>
  <c r="L1797" i="23"/>
  <c r="L1121" i="23"/>
  <c r="L423" i="23"/>
  <c r="L1601" i="23"/>
  <c r="L1181" i="23"/>
  <c r="L1090" i="23"/>
  <c r="L1033" i="23"/>
  <c r="L1297" i="23"/>
  <c r="L1591" i="23"/>
  <c r="L436" i="23"/>
  <c r="L989" i="23"/>
  <c r="L853" i="23"/>
  <c r="L1115" i="23"/>
  <c r="L2127" i="23"/>
  <c r="L764" i="23"/>
  <c r="L516" i="23"/>
  <c r="L1404" i="23"/>
  <c r="L1264" i="23"/>
  <c r="L623" i="23"/>
  <c r="L1107" i="23"/>
  <c r="L2493" i="23"/>
  <c r="L1456" i="23"/>
  <c r="L962" i="23"/>
  <c r="L1874" i="23"/>
  <c r="L1621" i="23"/>
  <c r="L2488" i="23"/>
  <c r="L757" i="23"/>
  <c r="L2518" i="23"/>
  <c r="L1403" i="23"/>
  <c r="L335" i="23"/>
  <c r="L1466" i="23"/>
  <c r="L1321" i="23"/>
  <c r="L502" i="23"/>
  <c r="L2345" i="23"/>
  <c r="L1698" i="23"/>
  <c r="L470" i="23"/>
  <c r="L608" i="23"/>
  <c r="L1280" i="23"/>
  <c r="L2458" i="23"/>
  <c r="L1234" i="23"/>
  <c r="L866" i="23"/>
  <c r="L2087" i="23"/>
  <c r="L2441" i="23"/>
  <c r="L1180" i="23"/>
  <c r="L836" i="23"/>
  <c r="L2434" i="23"/>
  <c r="L1693" i="23"/>
  <c r="L451" i="23"/>
  <c r="L1472" i="23"/>
  <c r="L1653" i="23"/>
  <c r="L2446" i="23"/>
  <c r="L2452" i="23"/>
  <c r="L799" i="23"/>
  <c r="L2479" i="23"/>
  <c r="L931" i="23"/>
  <c r="L2311" i="23"/>
  <c r="L1365" i="23"/>
  <c r="L1370" i="23"/>
  <c r="L477" i="23"/>
  <c r="L2505" i="23"/>
  <c r="L1372" i="23"/>
  <c r="L2349" i="23"/>
  <c r="L1652" i="23"/>
  <c r="L1989" i="23"/>
  <c r="L1190" i="23"/>
  <c r="L922" i="23"/>
  <c r="L695" i="23"/>
  <c r="L1255" i="23"/>
  <c r="L930" i="23"/>
  <c r="L1799" i="23"/>
  <c r="L1717" i="23"/>
  <c r="L1491" i="23"/>
  <c r="L1245" i="23"/>
  <c r="L1424" i="23"/>
  <c r="L2520" i="23"/>
  <c r="L305" i="23"/>
  <c r="L1127" i="23"/>
  <c r="L1930" i="23"/>
  <c r="L385" i="23"/>
  <c r="L2014" i="23"/>
  <c r="L1859" i="23"/>
  <c r="L1572" i="23"/>
  <c r="L396" i="23"/>
  <c r="L2061" i="23"/>
  <c r="L555" i="23"/>
  <c r="L1118" i="23"/>
  <c r="L1643" i="23"/>
  <c r="L1048" i="23"/>
  <c r="L1298" i="23"/>
  <c r="L923" i="23"/>
  <c r="L1627" i="23"/>
  <c r="L1128" i="23"/>
  <c r="L850" i="23"/>
  <c r="L2509" i="23"/>
  <c r="L1498" i="23"/>
  <c r="L894" i="23"/>
  <c r="L2511" i="23"/>
  <c r="L639" i="23"/>
  <c r="L2404" i="23"/>
  <c r="L2169" i="23"/>
  <c r="L2334" i="23"/>
  <c r="L731" i="23"/>
  <c r="L1294" i="23"/>
  <c r="L2328" i="23"/>
  <c r="L2103" i="23"/>
  <c r="L1227" i="23"/>
  <c r="L1192" i="23"/>
  <c r="L1848" i="23"/>
  <c r="L1384" i="23"/>
  <c r="L382" i="23"/>
  <c r="L2447" i="23"/>
  <c r="L564" i="23"/>
  <c r="L788" i="23"/>
  <c r="L2140" i="23"/>
  <c r="L688" i="23"/>
  <c r="L1595" i="23"/>
  <c r="L1687" i="23"/>
  <c r="L729" i="23"/>
  <c r="L1510" i="23"/>
  <c r="L2239" i="23"/>
  <c r="L1784" i="23"/>
  <c r="L1886" i="23"/>
  <c r="L2033" i="23"/>
  <c r="L296" i="23"/>
  <c r="L832" i="23"/>
  <c r="L2211" i="23"/>
  <c r="L1509" i="23"/>
  <c r="L2129" i="23"/>
  <c r="L593" i="23"/>
  <c r="L1950" i="23"/>
  <c r="L768" i="23"/>
  <c r="L1443" i="23"/>
  <c r="L1031" i="23"/>
  <c r="L2200" i="23"/>
  <c r="L1878" i="23"/>
  <c r="L2414" i="23"/>
  <c r="L1818" i="23"/>
  <c r="L1335" i="23"/>
  <c r="L2502" i="23"/>
  <c r="L2175" i="23"/>
  <c r="L1980" i="23"/>
  <c r="L1749" i="23"/>
  <c r="L1241" i="23"/>
  <c r="L723" i="23"/>
  <c r="L584" i="23"/>
  <c r="L822" i="23"/>
  <c r="L1056" i="23"/>
  <c r="L499" i="23"/>
  <c r="L809" i="23"/>
  <c r="L711" i="23"/>
  <c r="L831" i="23"/>
  <c r="L1356" i="23"/>
  <c r="L2340" i="23"/>
  <c r="L667" i="23"/>
  <c r="L840" i="23"/>
  <c r="L2415" i="23"/>
  <c r="L1242" i="23"/>
  <c r="L2097" i="23"/>
  <c r="L1548" i="23"/>
  <c r="L2379" i="23"/>
  <c r="L567" i="23"/>
  <c r="L654" i="23"/>
  <c r="L2361" i="23"/>
  <c r="L1249" i="23"/>
  <c r="L1036" i="23"/>
  <c r="L925" i="23"/>
  <c r="L2514" i="23"/>
  <c r="L2098" i="23"/>
  <c r="L707" i="23"/>
  <c r="L1923" i="23"/>
  <c r="L1765" i="23"/>
  <c r="L1990" i="23"/>
  <c r="L374" i="23"/>
  <c r="L1026" i="23"/>
  <c r="L1681" i="23"/>
  <c r="L1145" i="23"/>
  <c r="L2021" i="23"/>
  <c r="L527" i="23"/>
  <c r="L2247" i="23"/>
  <c r="L2158" i="23"/>
  <c r="L2423" i="23"/>
  <c r="L770" i="23"/>
  <c r="L2109" i="23"/>
  <c r="L2228" i="23"/>
  <c r="L2213" i="23"/>
  <c r="L581" i="23"/>
  <c r="L987" i="23"/>
  <c r="L602" i="23"/>
  <c r="L343" i="23"/>
  <c r="L1676" i="23"/>
  <c r="L1468" i="23"/>
  <c r="L333" i="23"/>
  <c r="L276" i="23"/>
  <c r="L265" i="23"/>
  <c r="L1556" i="23"/>
  <c r="L1826" i="23"/>
  <c r="L1985" i="23"/>
  <c r="L1835" i="23"/>
  <c r="L859" i="23"/>
  <c r="L2268" i="23"/>
  <c r="L2498" i="23"/>
  <c r="L1976" i="23"/>
  <c r="L964" i="23"/>
  <c r="L1041" i="23"/>
  <c r="L407" i="23"/>
  <c r="L1964" i="23"/>
  <c r="L1605" i="23"/>
  <c r="L1390" i="23"/>
  <c r="L1683" i="23"/>
  <c r="L393" i="23"/>
  <c r="L1619" i="23"/>
  <c r="L812" i="23"/>
  <c r="L897" i="23"/>
  <c r="L2482" i="23"/>
  <c r="L543" i="23"/>
  <c r="L699" i="23"/>
  <c r="L351" i="23"/>
  <c r="L1125" i="23"/>
  <c r="L534" i="23"/>
  <c r="L378" i="23"/>
  <c r="L2020" i="23"/>
  <c r="L674" i="23"/>
  <c r="L1570" i="23"/>
  <c r="L670" i="23"/>
  <c r="L775" i="23"/>
  <c r="L2187" i="23"/>
  <c r="L489" i="23"/>
  <c r="L1829" i="23"/>
  <c r="L1317" i="23"/>
  <c r="L1535" i="23"/>
  <c r="L2025" i="23"/>
  <c r="L2472" i="23"/>
  <c r="L2151" i="23"/>
  <c r="L2463" i="23"/>
  <c r="L1903" i="23"/>
  <c r="L2280" i="23"/>
  <c r="L916" i="23"/>
  <c r="L1330" i="23"/>
  <c r="L2420" i="23"/>
  <c r="L2450" i="23"/>
  <c r="L1285" i="23"/>
  <c r="L1095" i="23"/>
  <c r="L1660" i="23"/>
  <c r="L2006" i="23"/>
  <c r="L814" i="23"/>
  <c r="M2027" i="23"/>
  <c r="M1059" i="23"/>
  <c r="M2384" i="23"/>
  <c r="M1860" i="23"/>
  <c r="M2297" i="23"/>
  <c r="M2124" i="23"/>
  <c r="M593" i="23"/>
  <c r="M1130" i="23"/>
  <c r="M399" i="23"/>
  <c r="M449" i="23"/>
  <c r="M2374" i="23"/>
  <c r="M1276" i="23"/>
  <c r="M363" i="23"/>
  <c r="M1557" i="23"/>
  <c r="M1755" i="23"/>
  <c r="M2450" i="23"/>
  <c r="M2390" i="23"/>
  <c r="M1321" i="23"/>
  <c r="M782" i="23"/>
  <c r="M2069" i="23"/>
  <c r="M1356" i="23"/>
  <c r="M1626" i="23"/>
  <c r="M715" i="23"/>
  <c r="M1765" i="23"/>
  <c r="M356" i="23"/>
  <c r="M2075" i="23"/>
  <c r="M2513" i="23"/>
  <c r="M828" i="23"/>
  <c r="M2266" i="23"/>
  <c r="M643" i="23"/>
  <c r="M531" i="23"/>
  <c r="M855" i="23"/>
  <c r="M1619" i="23"/>
  <c r="M1926" i="23"/>
  <c r="M1004" i="23"/>
  <c r="M1502" i="23"/>
  <c r="M2320" i="23"/>
  <c r="M719" i="23"/>
  <c r="M1959" i="23"/>
  <c r="M536" i="23"/>
  <c r="M1382" i="23"/>
  <c r="M543" i="23"/>
  <c r="M352" i="23"/>
  <c r="M1406" i="23"/>
  <c r="M2290" i="23"/>
  <c r="M2414" i="23"/>
  <c r="M938" i="23"/>
  <c r="M1726" i="23"/>
  <c r="M1486" i="23"/>
  <c r="M2485" i="23"/>
  <c r="M1939" i="23"/>
  <c r="M1801" i="23"/>
  <c r="M1657" i="23"/>
  <c r="M559" i="23"/>
  <c r="M1440" i="23"/>
  <c r="M1549" i="23"/>
  <c r="M1405" i="23"/>
  <c r="M859" i="23"/>
  <c r="M986" i="23"/>
  <c r="M698" i="23"/>
  <c r="M569" i="23"/>
  <c r="M1956" i="23"/>
  <c r="M1394" i="23"/>
  <c r="M910" i="23"/>
  <c r="M2429" i="23"/>
  <c r="E2526" i="24"/>
  <c r="M2523" i="23"/>
  <c r="M1905" i="23"/>
  <c r="M1761" i="23"/>
  <c r="M767" i="23"/>
  <c r="M2105" i="23"/>
  <c r="M1213" i="23"/>
  <c r="M1069" i="23"/>
  <c r="M349" i="23"/>
  <c r="M834" i="23"/>
  <c r="M690" i="23"/>
  <c r="M2251" i="23"/>
  <c r="M765" i="23"/>
  <c r="M1445" i="23"/>
  <c r="M1287" i="23"/>
  <c r="M1238" i="23"/>
  <c r="M1150" i="23"/>
  <c r="M416" i="23"/>
  <c r="M2158" i="23"/>
  <c r="M2014" i="23"/>
  <c r="M1272" i="23"/>
  <c r="M2494" i="23"/>
  <c r="M1687" i="23"/>
  <c r="M2034" i="23"/>
  <c r="M1842" i="23"/>
  <c r="M2364" i="23"/>
  <c r="M1663" i="23"/>
  <c r="M1592" i="23"/>
  <c r="M2316" i="23"/>
  <c r="M1259" i="23"/>
  <c r="M1883" i="23"/>
  <c r="M424" i="23"/>
  <c r="M523" i="23"/>
  <c r="M1275" i="23"/>
  <c r="M1288" i="23"/>
  <c r="M2033" i="23"/>
  <c r="M1802" i="23"/>
  <c r="M2510" i="23"/>
  <c r="M1986" i="23"/>
  <c r="M1983" i="23"/>
  <c r="M420" i="23"/>
  <c r="M1603" i="23"/>
  <c r="M2007" i="23"/>
  <c r="M2063" i="23"/>
  <c r="M1587" i="23"/>
  <c r="M1538" i="23"/>
  <c r="M2126" i="23"/>
  <c r="M1012" i="23"/>
  <c r="M1243" i="23"/>
  <c r="M2359" i="23"/>
  <c r="M2116" i="23"/>
  <c r="M931" i="23"/>
  <c r="M2228" i="23"/>
  <c r="M1320" i="23"/>
  <c r="M1882" i="23"/>
  <c r="M1810" i="23"/>
  <c r="M1982" i="23"/>
  <c r="M1600" i="23"/>
  <c r="M908" i="23"/>
  <c r="M1908" i="23"/>
  <c r="M2170" i="23"/>
  <c r="M1417" i="23"/>
  <c r="M1163" i="23"/>
  <c r="M789" i="23"/>
  <c r="M645" i="23"/>
  <c r="M1885" i="23"/>
  <c r="M1633" i="23"/>
  <c r="M2181" i="23"/>
  <c r="M730" i="23"/>
  <c r="M586" i="23"/>
  <c r="M1177" i="23"/>
  <c r="M2130" i="23"/>
  <c r="M1897" i="23"/>
  <c r="M1345" i="23"/>
  <c r="M1087" i="23"/>
  <c r="M1138" i="23"/>
  <c r="M429" i="23"/>
  <c r="M2382" i="23"/>
  <c r="M889" i="23"/>
  <c r="M745" i="23"/>
  <c r="M2001" i="23"/>
  <c r="M1668" i="23"/>
  <c r="M885" i="23"/>
  <c r="M850" i="23"/>
  <c r="M706" i="23"/>
  <c r="M1297" i="23"/>
  <c r="M891" i="23"/>
  <c r="M1262" i="23"/>
  <c r="M935" i="23"/>
  <c r="M647" i="23"/>
  <c r="M436" i="23"/>
  <c r="M994" i="23"/>
  <c r="M1918" i="23"/>
  <c r="M1774" i="23"/>
  <c r="M1471" i="23"/>
  <c r="M937" i="23"/>
  <c r="M993" i="23"/>
  <c r="M849" i="23"/>
  <c r="B1" i="15"/>
  <c r="B1" i="14"/>
  <c r="M1456" i="23"/>
  <c r="M1861" i="23"/>
  <c r="M1283" i="23"/>
  <c r="M555" i="23"/>
  <c r="M971" i="23"/>
  <c r="M1675" i="23"/>
  <c r="M450" i="23"/>
  <c r="M2071" i="23"/>
  <c r="M1670" i="23"/>
  <c r="M684" i="23"/>
  <c r="M2010" i="23"/>
  <c r="M331" i="23"/>
  <c r="M2168" i="23"/>
  <c r="M2471" i="23"/>
  <c r="M1748" i="23"/>
  <c r="M1878" i="23"/>
  <c r="M359" i="23"/>
  <c r="M2142" i="23"/>
  <c r="M1219" i="23"/>
  <c r="M1335" i="23"/>
  <c r="M1645" i="23"/>
  <c r="M1196" i="23"/>
  <c r="M487" i="23"/>
  <c r="M1198" i="23"/>
  <c r="M1541" i="23"/>
  <c r="M1912" i="23"/>
  <c r="M2020" i="23"/>
  <c r="M1830" i="23"/>
  <c r="M1606" i="23"/>
  <c r="M2139" i="23"/>
  <c r="M1820" i="23"/>
  <c r="M520" i="23"/>
  <c r="M2311" i="23"/>
  <c r="M866" i="23"/>
  <c r="M1828" i="23"/>
  <c r="M1340" i="23"/>
  <c r="M812" i="23"/>
  <c r="M1295" i="23"/>
  <c r="M471" i="23"/>
  <c r="M547" i="23"/>
  <c r="M1623" i="23"/>
  <c r="M969" i="23"/>
  <c r="M2314" i="23"/>
  <c r="M2512" i="23"/>
  <c r="M2039" i="23"/>
  <c r="M1067" i="23"/>
  <c r="M1738" i="23"/>
  <c r="M1324" i="23"/>
  <c r="M777" i="23"/>
  <c r="M335" i="23"/>
  <c r="M2067" i="23"/>
  <c r="M1269" i="23"/>
  <c r="M549" i="23"/>
  <c r="M278" i="23"/>
  <c r="M2231" i="23"/>
  <c r="M1769" i="23"/>
  <c r="M1263" i="23"/>
  <c r="M506" i="23"/>
  <c r="M1932" i="23"/>
  <c r="M727" i="23"/>
  <c r="M439" i="23"/>
  <c r="M814" i="23"/>
  <c r="M375" i="23"/>
  <c r="M1108" i="23"/>
  <c r="M953" i="23"/>
  <c r="M1665" i="23"/>
  <c r="M1521" i="23"/>
  <c r="M1499" i="23"/>
  <c r="M526" i="23"/>
  <c r="M382" i="23"/>
  <c r="M973" i="23"/>
  <c r="M509" i="23"/>
  <c r="M1954" i="23"/>
  <c r="M1473" i="23"/>
  <c r="M1151" i="23"/>
  <c r="M1170" i="23"/>
  <c r="M1026" i="23"/>
  <c r="M1112" i="23"/>
  <c r="M1864" i="23"/>
  <c r="M1925" i="23"/>
  <c r="M1095" i="23"/>
  <c r="M2259" i="23"/>
  <c r="M406" i="23"/>
  <c r="M402" i="23"/>
  <c r="M1515" i="23"/>
  <c r="M630" i="23"/>
  <c r="M486" i="23"/>
  <c r="M1077" i="23"/>
  <c r="M2191" i="23"/>
  <c r="M2145" i="23"/>
  <c r="M2455" i="23"/>
  <c r="M2375" i="23"/>
  <c r="M1523" i="23"/>
  <c r="M639" i="23"/>
  <c r="M1653" i="23"/>
  <c r="M2195" i="23"/>
  <c r="M1826" i="23"/>
  <c r="M1314" i="23"/>
  <c r="M1034" i="23"/>
  <c r="M1313" i="23"/>
  <c r="M1699" i="23"/>
  <c r="M1855" i="23"/>
  <c r="M791" i="23"/>
  <c r="M1291" i="23"/>
  <c r="M720" i="23"/>
  <c r="M1767" i="23"/>
  <c r="M1494" i="23"/>
  <c r="M1546" i="23"/>
  <c r="M2448" i="23"/>
  <c r="M626" i="23"/>
  <c r="M2489" i="23"/>
  <c r="M1974" i="23"/>
  <c r="M1415" i="23"/>
  <c r="M1591" i="23"/>
  <c r="M1398" i="23"/>
  <c r="M653" i="23"/>
  <c r="M1724" i="23"/>
  <c r="M2123" i="23"/>
  <c r="M328" i="23"/>
  <c r="M1290" i="23"/>
  <c r="M2463" i="23"/>
  <c r="M2242" i="23"/>
  <c r="M911" i="23"/>
  <c r="M1227" i="23"/>
  <c r="M1216" i="23"/>
  <c r="M1376" i="23"/>
  <c r="M2476" i="23"/>
  <c r="M2322" i="23"/>
  <c r="M1579" i="23"/>
  <c r="M635" i="23"/>
  <c r="M1387" i="23"/>
  <c r="M1235" i="23"/>
  <c r="M1142" i="23"/>
  <c r="M1709" i="23"/>
  <c r="M1957" i="23"/>
  <c r="M1742" i="23"/>
  <c r="M271" i="23"/>
  <c r="M1210" i="23"/>
  <c r="M490" i="23"/>
  <c r="M346" i="23"/>
  <c r="M1565" i="23"/>
  <c r="M1825" i="23"/>
  <c r="M895" i="23"/>
  <c r="M1010" i="23"/>
  <c r="M298" i="23"/>
  <c r="M649" i="23"/>
  <c r="M707" i="23"/>
  <c r="M1740" i="23"/>
  <c r="M610" i="23"/>
  <c r="M457" i="23"/>
  <c r="M1461" i="23"/>
  <c r="M1317" i="23"/>
  <c r="M2270" i="23"/>
  <c r="M1057" i="23"/>
  <c r="M913" i="23"/>
  <c r="M2398" i="23"/>
  <c r="M1110" i="23"/>
  <c r="M390" i="23"/>
  <c r="M1901" i="23"/>
  <c r="M379" i="23"/>
  <c r="M519" i="23"/>
  <c r="M710" i="23"/>
  <c r="M1717" i="23"/>
  <c r="M685" i="23"/>
  <c r="M540" i="23"/>
  <c r="M474" i="23"/>
  <c r="M1780" i="23"/>
  <c r="M2263" i="23"/>
  <c r="M1794" i="23"/>
  <c r="M2498" i="23"/>
  <c r="M1906" i="23"/>
  <c r="M2407" i="23"/>
  <c r="M673" i="23"/>
  <c r="M2103" i="23"/>
  <c r="M2473" i="23"/>
  <c r="M1697" i="23"/>
  <c r="M1879" i="23"/>
  <c r="M2087" i="23"/>
  <c r="M2127" i="23"/>
  <c r="M2255" i="23"/>
  <c r="M1468" i="23"/>
  <c r="M598" i="23"/>
  <c r="M1208" i="23"/>
  <c r="M1507" i="23"/>
  <c r="M2240" i="23"/>
  <c r="M2070" i="23"/>
  <c r="M638" i="23"/>
  <c r="M1422" i="23"/>
  <c r="M1744" i="23"/>
  <c r="M1088" i="23"/>
  <c r="M305" i="23"/>
  <c r="M1682" i="23"/>
  <c r="M1214" i="23"/>
  <c r="M1482" i="23"/>
  <c r="M2097" i="23"/>
  <c r="M323" i="23"/>
  <c r="M2369" i="23"/>
  <c r="M1994" i="23"/>
  <c r="M942" i="23"/>
  <c r="M2393" i="23"/>
  <c r="M722" i="23"/>
  <c r="M809" i="23"/>
  <c r="M2280" i="23"/>
  <c r="M1153" i="23"/>
  <c r="M1859" i="23"/>
  <c r="M1648" i="23"/>
  <c r="M2239" i="23"/>
  <c r="M1172" i="23"/>
  <c r="M883" i="23"/>
  <c r="M1937" i="23"/>
  <c r="M563" i="23"/>
  <c r="M2153" i="23"/>
  <c r="M1582" i="23"/>
  <c r="M1438" i="23"/>
  <c r="M483" i="23"/>
  <c r="M1119" i="23"/>
  <c r="M1753" i="23"/>
  <c r="M1609" i="23"/>
  <c r="M1741" i="23"/>
  <c r="M1501" i="23"/>
  <c r="M1294" i="23"/>
  <c r="M1096" i="23"/>
  <c r="M602" i="23"/>
  <c r="M473" i="23"/>
  <c r="M2147" i="23"/>
  <c r="M1246" i="23"/>
  <c r="M1006" i="23"/>
  <c r="M286" i="23"/>
  <c r="M1881" i="23"/>
  <c r="M1188" i="23"/>
  <c r="M1857" i="23"/>
  <c r="M1713" i="23"/>
  <c r="M671" i="23"/>
  <c r="M2114" i="23"/>
  <c r="M818" i="23"/>
  <c r="M1165" i="23"/>
  <c r="M445" i="23"/>
  <c r="M301" i="23"/>
  <c r="M393" i="23"/>
  <c r="M2026" i="23"/>
  <c r="M786" i="23"/>
  <c r="M642" i="23"/>
  <c r="M2249" i="23"/>
  <c r="M1734" i="23"/>
  <c r="M1637" i="23"/>
  <c r="M1397" i="23"/>
  <c r="M1409" i="23"/>
  <c r="M920" i="23"/>
  <c r="M2110" i="23"/>
  <c r="M1966" i="23"/>
  <c r="M1176" i="23"/>
  <c r="M2155" i="23"/>
  <c r="M1703" i="23"/>
  <c r="M1327" i="23"/>
  <c r="M1746" i="23"/>
  <c r="M2140" i="23"/>
  <c r="M1343" i="23"/>
  <c r="M1063" i="23"/>
  <c r="M1727" i="23"/>
  <c r="M1131" i="23"/>
  <c r="M2216" i="23"/>
  <c r="M2419" i="23"/>
  <c r="M1634" i="23"/>
  <c r="M1325" i="23"/>
  <c r="M1948" i="23"/>
  <c r="M338" i="23"/>
  <c r="M1913" i="23"/>
  <c r="M2406" i="23"/>
  <c r="M1778" i="23"/>
  <c r="M2318" i="23"/>
  <c r="M747" i="23"/>
  <c r="M2059" i="23"/>
  <c r="M1299" i="23"/>
  <c r="M454" i="23"/>
  <c r="M940" i="23"/>
  <c r="M354" i="23"/>
  <c r="M357" i="23"/>
  <c r="M955" i="23"/>
  <c r="M2079" i="23"/>
  <c r="M1368" i="23"/>
  <c r="M1951" i="23"/>
  <c r="M826" i="23"/>
  <c r="M829" i="23"/>
  <c r="M2460" i="23"/>
  <c r="M1302" i="23"/>
  <c r="M1301" i="23"/>
  <c r="M2247" i="23"/>
  <c r="M2054" i="23"/>
  <c r="M579" i="23"/>
  <c r="M1589" i="23"/>
  <c r="M2293" i="23"/>
  <c r="M651" i="23"/>
  <c r="M1818" i="23"/>
  <c r="M276" i="23"/>
  <c r="M1714" i="23"/>
  <c r="M2118" i="23"/>
  <c r="M1517" i="23"/>
  <c r="M2442" i="23"/>
  <c r="M1513" i="23"/>
  <c r="M1678" i="23"/>
  <c r="M964" i="23"/>
  <c r="M741" i="23"/>
  <c r="M597" i="23"/>
  <c r="M1837" i="23"/>
  <c r="M1996" i="23"/>
  <c r="M725" i="23"/>
  <c r="M1729" i="23"/>
  <c r="M1585" i="23"/>
  <c r="M2262" i="23"/>
  <c r="M682" i="23"/>
  <c r="M538" i="23"/>
  <c r="M1129" i="23"/>
  <c r="M1563" i="23"/>
  <c r="M1537" i="23"/>
  <c r="M1279" i="23"/>
  <c r="M1234" i="23"/>
  <c r="M1090" i="23"/>
  <c r="M904" i="23"/>
  <c r="M841" i="23"/>
  <c r="M697" i="23"/>
  <c r="M1941" i="23"/>
  <c r="M1955" i="23"/>
  <c r="M1042" i="23"/>
  <c r="M802" i="23"/>
  <c r="M1051" i="23"/>
  <c r="M1194" i="23"/>
  <c r="M839" i="23"/>
  <c r="M551" i="23"/>
  <c r="M870" i="23"/>
  <c r="M1442" i="23"/>
  <c r="M625" i="23"/>
  <c r="M1870" i="23"/>
  <c r="M1332" i="23"/>
  <c r="M432" i="23"/>
  <c r="M945" i="23"/>
  <c r="M801" i="23"/>
  <c r="M1330" i="23"/>
  <c r="M2487" i="23"/>
  <c r="M1673" i="23"/>
  <c r="M1671" i="23"/>
  <c r="M2299" i="23"/>
  <c r="M418" i="23"/>
  <c r="M1771" i="23"/>
  <c r="M587" i="23"/>
  <c r="M1624" i="23"/>
  <c r="M2521" i="23"/>
  <c r="M395" i="23"/>
  <c r="M2224" i="23"/>
  <c r="M2491" i="23"/>
  <c r="M1942" i="23"/>
  <c r="M824" i="23"/>
  <c r="M2277" i="23"/>
  <c r="M739" i="23"/>
  <c r="M344" i="23"/>
  <c r="M2327" i="23"/>
  <c r="M1475" i="23"/>
  <c r="M1793" i="23"/>
  <c r="M2271" i="23"/>
  <c r="M1866" i="23"/>
  <c r="M2296" i="23"/>
  <c r="M1745" i="23"/>
  <c r="M1178" i="23"/>
  <c r="M1845" i="23"/>
  <c r="M831" i="23"/>
  <c r="M790" i="23"/>
  <c r="M2245" i="23"/>
  <c r="M723" i="23"/>
  <c r="M770" i="23"/>
  <c r="M915" i="23"/>
  <c r="M2438" i="23"/>
  <c r="M1039" i="23"/>
  <c r="M427" i="23"/>
  <c r="M728" i="23"/>
  <c r="M2333" i="23"/>
  <c r="M2076" i="23"/>
  <c r="M900" i="23"/>
  <c r="M637" i="23"/>
  <c r="M1832" i="23"/>
  <c r="M2425" i="23"/>
  <c r="M735" i="23"/>
  <c r="M2089" i="23"/>
  <c r="M847" i="23"/>
  <c r="M2431" i="23"/>
  <c r="M1221" i="23"/>
  <c r="M501" i="23"/>
  <c r="M2423" i="23"/>
  <c r="M2427" i="23"/>
  <c r="M2395" i="23"/>
  <c r="M1481" i="23"/>
  <c r="M1071" i="23"/>
  <c r="M410" i="23"/>
  <c r="M1567" i="23"/>
  <c r="M631" i="23"/>
  <c r="M343" i="23"/>
  <c r="M1145" i="23"/>
  <c r="M857" i="23"/>
  <c r="M1617" i="23"/>
  <c r="M622" i="23"/>
  <c r="M320" i="23"/>
  <c r="M478" i="23"/>
  <c r="M334" i="23"/>
  <c r="M925" i="23"/>
  <c r="M591" i="23"/>
  <c r="M1329" i="23"/>
  <c r="M1055" i="23"/>
  <c r="M1122" i="23"/>
  <c r="M2084" i="23"/>
  <c r="M606" i="23"/>
  <c r="M1877" i="23"/>
  <c r="M465" i="23"/>
  <c r="M2517" i="23"/>
  <c r="M582" i="23"/>
  <c r="M438" i="23"/>
  <c r="M1029" i="23"/>
  <c r="M2376" i="23"/>
  <c r="M1915" i="23"/>
  <c r="M1518" i="23"/>
  <c r="M2480" i="23"/>
  <c r="M676" i="23"/>
  <c r="M447" i="23"/>
  <c r="M2159" i="23"/>
  <c r="M1451" i="23"/>
  <c r="M2077" i="23"/>
  <c r="M2188" i="23"/>
  <c r="M2177" i="23"/>
  <c r="M1607" i="23"/>
  <c r="M1716" i="23"/>
  <c r="M1508" i="23"/>
  <c r="M1369" i="23"/>
  <c r="M2507" i="23"/>
  <c r="M2037" i="23"/>
  <c r="M1655" i="23"/>
  <c r="M287" i="23"/>
  <c r="M1779" i="23"/>
  <c r="M2519" i="23"/>
  <c r="M733" i="23"/>
  <c r="M2506" i="23"/>
  <c r="M2165" i="23"/>
  <c r="M1351" i="23"/>
  <c r="M589" i="23"/>
  <c r="M2167" i="23"/>
  <c r="M2348" i="23"/>
  <c r="M1930" i="23"/>
  <c r="M1660" i="23"/>
  <c r="M1770" i="23"/>
  <c r="M2198" i="23"/>
  <c r="M2149" i="23"/>
  <c r="M2220" i="23"/>
  <c r="M1099" i="23"/>
  <c r="M1266" i="23"/>
  <c r="M1868" i="23"/>
  <c r="M2411" i="23"/>
  <c r="M1446" i="23"/>
  <c r="M852" i="23"/>
  <c r="M854" i="23"/>
  <c r="M1838" i="23"/>
  <c r="M2053" i="23"/>
  <c r="M1865" i="23"/>
  <c r="M1312" i="23"/>
  <c r="M1306" i="23"/>
  <c r="M1162" i="23"/>
  <c r="M442" i="23"/>
  <c r="M1643" i="23"/>
  <c r="M1425" i="23"/>
  <c r="M1921" i="23"/>
  <c r="M1777" i="23"/>
  <c r="M799" i="23"/>
  <c r="M2107" i="23"/>
  <c r="M1359" i="23"/>
  <c r="M409" i="23"/>
  <c r="M1282" i="23"/>
  <c r="M562" i="23"/>
  <c r="M313" i="23"/>
  <c r="M1413" i="23"/>
  <c r="M2202" i="23"/>
  <c r="M1009" i="23"/>
  <c r="M865" i="23"/>
  <c r="M2350" i="23"/>
  <c r="M1372" i="23"/>
  <c r="M1206" i="23"/>
  <c r="M1062" i="23"/>
  <c r="M2454" i="23"/>
  <c r="M667" i="23"/>
  <c r="M423" i="23"/>
  <c r="M662" i="23"/>
  <c r="M2095" i="23"/>
  <c r="M496" i="23"/>
  <c r="M627" i="23"/>
  <c r="M1255" i="23"/>
  <c r="M2478" i="23"/>
  <c r="M835" i="23"/>
  <c r="M1526" i="23"/>
  <c r="M2232" i="23"/>
  <c r="M1662" i="23"/>
  <c r="M1891" i="23"/>
  <c r="M1661" i="23"/>
  <c r="M1895" i="23"/>
  <c r="M1949" i="23"/>
  <c r="M620" i="23"/>
  <c r="M1910" i="23"/>
  <c r="M716" i="23"/>
  <c r="M1082" i="23"/>
  <c r="M1806" i="23"/>
  <c r="M1715" i="23"/>
  <c r="M2043" i="23"/>
  <c r="M683" i="23"/>
  <c r="M2273" i="23"/>
  <c r="M2193" i="23"/>
  <c r="M1363" i="23"/>
  <c r="M948" i="23"/>
  <c r="M1720" i="23"/>
  <c r="M2055" i="23"/>
  <c r="M1024" i="23"/>
  <c r="M1792" i="23"/>
  <c r="M1420" i="23"/>
  <c r="M1976" i="23"/>
  <c r="M804" i="23"/>
  <c r="M1454" i="23"/>
  <c r="M1552" i="23"/>
  <c r="M2497" i="23"/>
  <c r="M1886" i="23"/>
  <c r="M2101" i="23"/>
  <c r="M1762" i="23"/>
  <c r="M1690" i="23"/>
  <c r="M1889" i="23"/>
  <c r="M1218" i="23"/>
  <c r="M1202" i="23"/>
  <c r="M522" i="23"/>
  <c r="M567" i="23"/>
  <c r="M1511" i="23"/>
  <c r="M2339" i="23"/>
  <c r="M2100" i="23"/>
  <c r="M2022" i="23"/>
  <c r="M446" i="23"/>
  <c r="M493" i="23"/>
  <c r="M2082" i="23"/>
  <c r="M1360" i="23"/>
  <c r="M412" i="23"/>
  <c r="M2235" i="23"/>
  <c r="M1018" i="23"/>
  <c r="M914" i="23"/>
  <c r="M2405" i="23"/>
  <c r="M1534" i="23"/>
  <c r="M1390" i="23"/>
  <c r="M1403" i="23"/>
  <c r="M1945" i="23"/>
  <c r="M1705" i="23"/>
  <c r="M655" i="23"/>
  <c r="M367" i="23"/>
  <c r="M578" i="23"/>
  <c r="M1651" i="23"/>
  <c r="M1597" i="23"/>
  <c r="M1453" i="23"/>
  <c r="M619" i="23"/>
  <c r="M1274" i="23"/>
  <c r="M794" i="23"/>
  <c r="M665" i="23"/>
  <c r="M377" i="23"/>
  <c r="M1102" i="23"/>
  <c r="M958" i="23"/>
  <c r="M281" i="23"/>
  <c r="M1809" i="23"/>
  <c r="M863" i="23"/>
  <c r="M575" i="23"/>
  <c r="M2366" i="23"/>
  <c r="M762" i="23"/>
  <c r="M1117" i="23"/>
  <c r="M397" i="23"/>
  <c r="M1540" i="23"/>
  <c r="M978" i="23"/>
  <c r="M738" i="23"/>
  <c r="M2501" i="23"/>
  <c r="M2135" i="23"/>
  <c r="M1493" i="23"/>
  <c r="M1349" i="23"/>
  <c r="M1286" i="23"/>
  <c r="M1595" i="23"/>
  <c r="M2093" i="23"/>
  <c r="M2302" i="23"/>
  <c r="M2062" i="23"/>
  <c r="M1342" i="23"/>
  <c r="M1080" i="23"/>
  <c r="M2421" i="23"/>
  <c r="M843" i="23"/>
  <c r="M556" i="23"/>
  <c r="M1601" i="23"/>
  <c r="M1980" i="23"/>
  <c r="M1459" i="23"/>
  <c r="M434" i="23"/>
  <c r="M267" i="23"/>
  <c r="M1044" i="23"/>
  <c r="M694" i="23"/>
  <c r="M1943" i="23"/>
  <c r="M1988" i="23"/>
  <c r="M2503" i="23"/>
  <c r="M1598" i="23"/>
  <c r="M1477" i="23"/>
  <c r="M2131" i="23"/>
  <c r="M2324" i="23"/>
  <c r="M1383" i="23"/>
  <c r="M1326" i="23"/>
  <c r="M1962" i="23"/>
  <c r="M2284" i="23"/>
  <c r="M2143" i="23"/>
  <c r="M595" i="23"/>
  <c r="M1978" i="23"/>
  <c r="M290" i="23"/>
  <c r="M2030" i="23"/>
  <c r="M749" i="23"/>
  <c r="M943" i="23"/>
  <c r="M2119" i="23"/>
  <c r="M554" i="23"/>
  <c r="M759" i="23"/>
  <c r="M2073" i="23"/>
  <c r="M2009" i="23"/>
  <c r="M1357" i="23"/>
  <c r="M572" i="23"/>
  <c r="M1812" i="23"/>
  <c r="M816" i="23"/>
  <c r="M1829" i="23"/>
  <c r="M2367" i="23"/>
  <c r="M1735" i="23"/>
  <c r="M1431" i="23"/>
  <c r="M283" i="23"/>
  <c r="M2306" i="23"/>
  <c r="M1106" i="23"/>
  <c r="M495" i="23"/>
  <c r="M1037" i="23"/>
  <c r="M1730" i="23"/>
  <c r="M1265" i="23"/>
  <c r="M546" i="23"/>
  <c r="M1556" i="23"/>
  <c r="M459" i="23"/>
  <c r="M1361" i="23"/>
  <c r="M2047" i="23"/>
  <c r="M2051" i="23"/>
  <c r="M369" i="23"/>
  <c r="M1465" i="23"/>
  <c r="M330" i="23"/>
  <c r="M515" i="23"/>
  <c r="M933" i="23"/>
  <c r="M693" i="23"/>
  <c r="M1933" i="23"/>
  <c r="M1789" i="23"/>
  <c r="M1681" i="23"/>
  <c r="M1505" i="23"/>
  <c r="M1016" i="23"/>
  <c r="M874" i="23"/>
  <c r="M634" i="23"/>
  <c r="M1225" i="23"/>
  <c r="M1081" i="23"/>
  <c r="M2163" i="23"/>
  <c r="M266" i="23"/>
  <c r="M1393" i="23"/>
  <c r="M1183" i="23"/>
  <c r="M1186" i="23"/>
  <c r="M1805" i="23"/>
  <c r="M1033" i="23"/>
  <c r="M793" i="23"/>
  <c r="M1893" i="23"/>
  <c r="M2122" i="23"/>
  <c r="M2459" i="23"/>
  <c r="M754" i="23"/>
  <c r="M1192" i="23"/>
  <c r="M1223" i="23"/>
  <c r="M743" i="23"/>
  <c r="M966" i="23"/>
  <c r="M822" i="23"/>
  <c r="M1694" i="23"/>
  <c r="M337" i="23"/>
  <c r="M1822" i="23"/>
  <c r="M899" i="23"/>
  <c r="M1836" i="23"/>
  <c r="M1137" i="23"/>
  <c r="M897" i="23"/>
  <c r="M1315" i="23"/>
  <c r="M2080" i="23"/>
  <c r="M315" i="23"/>
  <c r="M2031" i="23"/>
  <c r="M1573" i="23"/>
  <c r="M1902" i="23"/>
  <c r="M2325" i="23"/>
  <c r="M2178" i="23"/>
  <c r="M1710" i="23"/>
  <c r="M1701" i="23"/>
  <c r="M1979" i="23"/>
  <c r="M2337" i="23"/>
  <c r="M1934" i="23"/>
  <c r="M1786" i="23"/>
  <c r="M1691" i="23"/>
  <c r="M455" i="23"/>
  <c r="M2281" i="23"/>
  <c r="M1040" i="23"/>
  <c r="M2380" i="23"/>
  <c r="M303" i="23"/>
  <c r="M2045" i="23"/>
  <c r="M1140" i="23"/>
  <c r="M498" i="23"/>
  <c r="M842" i="23"/>
  <c r="M1253" i="23"/>
  <c r="M1947" i="23"/>
  <c r="M299" i="23"/>
  <c r="M970" i="23"/>
  <c r="M2447" i="23"/>
  <c r="M1652" i="23"/>
  <c r="M1528" i="23"/>
  <c r="M2243" i="23"/>
  <c r="M1207" i="23"/>
  <c r="M1195" i="23"/>
  <c r="M2175" i="23"/>
  <c r="M867" i="23"/>
  <c r="M1759" i="23"/>
  <c r="M688" i="23"/>
  <c r="M2379" i="23"/>
  <c r="M871" i="23"/>
  <c r="M1467" i="23"/>
  <c r="M1173" i="23"/>
  <c r="M453" i="23"/>
  <c r="M1785" i="23"/>
  <c r="M879" i="23"/>
  <c r="M314" i="23"/>
  <c r="M1428" i="23"/>
  <c r="M535" i="23"/>
  <c r="M718" i="23"/>
  <c r="M2404" i="23"/>
  <c r="M1049" i="23"/>
  <c r="M1569" i="23"/>
  <c r="M675" i="23"/>
  <c r="M1311" i="23"/>
  <c r="M430" i="23"/>
  <c r="M1021" i="23"/>
  <c r="M877" i="23"/>
  <c r="M1971" i="23"/>
  <c r="M1247" i="23"/>
  <c r="M1074" i="23"/>
  <c r="M2310" i="23"/>
  <c r="M903" i="23"/>
  <c r="M2484" i="23"/>
  <c r="M1450" i="23"/>
  <c r="M1348" i="23"/>
  <c r="M774" i="23"/>
  <c r="M534" i="23"/>
  <c r="M1125" i="23"/>
  <c r="M981" i="23"/>
  <c r="M1174" i="23"/>
  <c r="M2474" i="23"/>
  <c r="M1851" i="23"/>
  <c r="M974" i="23"/>
  <c r="M2479" i="23"/>
  <c r="M2185" i="23"/>
  <c r="M2108" i="23"/>
  <c r="M1898" i="23"/>
  <c r="M1022" i="23"/>
  <c r="M274" i="23"/>
  <c r="M1815" i="23"/>
  <c r="M2286" i="23"/>
  <c r="M1491" i="23"/>
  <c r="M2221" i="23"/>
  <c r="M1091" i="23"/>
  <c r="M2154" i="23"/>
  <c r="M1391" i="23"/>
  <c r="M2440" i="23"/>
  <c r="M1433" i="23"/>
  <c r="M1928" i="23"/>
  <c r="M2151" i="23"/>
  <c r="M1160" i="23"/>
  <c r="M763" i="23"/>
  <c r="M1894" i="23"/>
  <c r="M1751" i="23"/>
  <c r="M1659" i="23"/>
  <c r="M433" i="23"/>
  <c r="M1126" i="23"/>
  <c r="M1998" i="23"/>
  <c r="M2254" i="23"/>
  <c r="M713" i="23"/>
  <c r="M1620" i="23"/>
  <c r="M2468" i="23"/>
  <c r="M2213" i="23"/>
  <c r="M1559" i="23"/>
  <c r="M1147" i="23"/>
  <c r="M950" i="23"/>
  <c r="M2005" i="23"/>
  <c r="M481" i="23"/>
  <c r="M1490" i="23"/>
  <c r="M881" i="23"/>
  <c r="M1258" i="23"/>
  <c r="M1114" i="23"/>
  <c r="M394" i="23"/>
  <c r="M372" i="23"/>
  <c r="M1873" i="23"/>
  <c r="M991" i="23"/>
  <c r="M703" i="23"/>
  <c r="M1686" i="23"/>
  <c r="M1273" i="23"/>
  <c r="M553" i="23"/>
  <c r="M1156" i="23"/>
  <c r="M658" i="23"/>
  <c r="M514" i="23"/>
  <c r="M798" i="23"/>
  <c r="M1365" i="23"/>
  <c r="M2018" i="23"/>
  <c r="M1201" i="23"/>
  <c r="M961" i="23"/>
  <c r="M2446" i="23"/>
  <c r="M289" i="23"/>
  <c r="M1158" i="23"/>
  <c r="M294" i="23"/>
  <c r="M1389" i="23"/>
  <c r="M1000" i="23"/>
  <c r="M807" i="23"/>
  <c r="M327" i="23"/>
  <c r="M758" i="23"/>
  <c r="M614" i="23"/>
  <c r="AA25" i="43" l="1"/>
  <c r="E37" i="88"/>
  <c r="I37" i="88"/>
  <c r="J37" i="88"/>
  <c r="L37" i="88"/>
  <c r="D37" i="88"/>
  <c r="G37" i="88"/>
  <c r="K37" i="88"/>
  <c r="C37" i="88"/>
  <c r="H37" i="88"/>
  <c r="F37" i="88"/>
  <c r="K4" i="19"/>
  <c r="A2" i="74"/>
  <c r="A2" i="73"/>
  <c r="A2" i="72"/>
  <c r="A2" i="71"/>
  <c r="A2" i="69"/>
  <c r="A2" i="70"/>
  <c r="A2" i="66"/>
  <c r="A2" i="68"/>
  <c r="A2" i="67"/>
  <c r="A2" i="6"/>
  <c r="A2" i="65"/>
  <c r="K21" i="3"/>
  <c r="C29" i="3"/>
  <c r="G4" i="3"/>
  <c r="E4" i="3"/>
  <c r="M4" i="3" s="1"/>
  <c r="F4" i="3"/>
  <c r="D4" i="3"/>
  <c r="C55" i="27"/>
  <c r="O15" i="27"/>
  <c r="B63" i="32"/>
  <c r="B64" i="32" s="1"/>
  <c r="C62" i="32"/>
  <c r="O59" i="34"/>
  <c r="F8" i="91" s="1"/>
  <c r="F25" i="91" s="1"/>
  <c r="N78" i="38"/>
  <c r="E92" i="39"/>
  <c r="F92" i="39" s="1"/>
  <c r="J40" i="32"/>
  <c r="N2" i="5"/>
  <c r="C49" i="1"/>
  <c r="C35" i="1" s="1"/>
  <c r="C63" i="1" s="1"/>
  <c r="C79" i="1" s="1"/>
  <c r="C27" i="1" s="1"/>
  <c r="A2" i="15"/>
  <c r="F3" i="7"/>
  <c r="C2" i="5"/>
  <c r="A2" i="5"/>
  <c r="M35" i="40"/>
  <c r="A9" i="5"/>
  <c r="J9" i="5" s="1"/>
  <c r="J22" i="5" s="1"/>
  <c r="J35" i="5" s="1"/>
  <c r="G35" i="40"/>
  <c r="G3" i="7"/>
  <c r="H40" i="32"/>
  <c r="O2" i="5"/>
  <c r="A2" i="14"/>
  <c r="M25" i="26"/>
  <c r="M22" i="27"/>
  <c r="A39" i="34"/>
  <c r="K35" i="40"/>
  <c r="M6" i="40" s="1"/>
  <c r="D49" i="1"/>
  <c r="D35" i="1" s="1"/>
  <c r="D63" i="1" s="1"/>
  <c r="D79" i="1" s="1"/>
  <c r="D93" i="1" s="1"/>
  <c r="D23" i="14"/>
  <c r="P34" i="5"/>
  <c r="M34" i="5"/>
  <c r="D55" i="27"/>
  <c r="D3" i="7"/>
  <c r="B1" i="39"/>
  <c r="G40" i="32"/>
  <c r="AA33" i="43"/>
  <c r="H3" i="7"/>
  <c r="AA26" i="43"/>
  <c r="AA27" i="43"/>
  <c r="E3" i="7"/>
  <c r="C2" i="6"/>
  <c r="A8" i="40"/>
  <c r="J2" i="25"/>
  <c r="H18" i="1"/>
  <c r="H19" i="1" s="1"/>
  <c r="I10" i="1"/>
  <c r="I41" i="1" s="1"/>
  <c r="G18" i="1"/>
  <c r="G19" i="1" s="1"/>
  <c r="H10" i="1"/>
  <c r="H49" i="1" s="1"/>
  <c r="H35" i="1" s="1"/>
  <c r="H63" i="1" s="1"/>
  <c r="H79" i="1" s="1"/>
  <c r="H27" i="1" s="1"/>
  <c r="E10" i="1"/>
  <c r="E41" i="1" s="1"/>
  <c r="G38" i="28"/>
  <c r="G69" i="1"/>
  <c r="G70" i="1" s="1"/>
  <c r="F18" i="1"/>
  <c r="F19" i="1" s="1"/>
  <c r="G10" i="1"/>
  <c r="G49" i="1" s="1"/>
  <c r="G35" i="1" s="1"/>
  <c r="G63" i="1" s="1"/>
  <c r="G79" i="1" s="1"/>
  <c r="G93" i="1" s="1"/>
  <c r="I18" i="1"/>
  <c r="I19" i="1" s="1"/>
  <c r="F10" i="1"/>
  <c r="G45" i="28"/>
  <c r="G2" i="28"/>
  <c r="F40" i="32"/>
  <c r="K40" i="32"/>
  <c r="I40" i="32"/>
  <c r="AA31" i="43"/>
  <c r="AA28" i="43"/>
  <c r="AA29" i="43"/>
  <c r="AA32" i="43"/>
  <c r="J165" i="12"/>
  <c r="D21" i="1"/>
  <c r="J155" i="12"/>
  <c r="H69" i="1"/>
  <c r="H70" i="1" s="1"/>
  <c r="I69" i="1"/>
  <c r="I70" i="1" s="1"/>
  <c r="D42" i="1"/>
  <c r="C42" i="1"/>
  <c r="C23" i="1"/>
  <c r="D23" i="1"/>
  <c r="H110" i="12"/>
  <c r="H143" i="12"/>
  <c r="F69" i="1"/>
  <c r="F70" i="1" s="1"/>
  <c r="Y27" i="41"/>
  <c r="D25" i="1"/>
  <c r="D14" i="1"/>
  <c r="F36" i="28"/>
  <c r="F43" i="28"/>
  <c r="D62" i="34"/>
  <c r="C62" i="34"/>
  <c r="M62" i="34" s="1"/>
  <c r="K736" i="24"/>
  <c r="K725" i="24"/>
  <c r="K673" i="24"/>
  <c r="K617" i="24"/>
  <c r="K672" i="24"/>
  <c r="K693" i="24"/>
  <c r="K657" i="24"/>
  <c r="K737" i="24"/>
  <c r="K601" i="24"/>
  <c r="K644" i="24"/>
  <c r="K664" i="24"/>
  <c r="K685" i="24"/>
  <c r="K700" i="24"/>
  <c r="K745" i="24"/>
  <c r="K761" i="24"/>
  <c r="AI56" i="41"/>
  <c r="C1533" i="24"/>
  <c r="C2089" i="24"/>
  <c r="C2501" i="24"/>
  <c r="C2461" i="24"/>
  <c r="C2405" i="24"/>
  <c r="C2365" i="24"/>
  <c r="C1945" i="24"/>
  <c r="C2437" i="24"/>
  <c r="C2429" i="24"/>
  <c r="C1469" i="24"/>
  <c r="C1270" i="24"/>
  <c r="G35" i="28"/>
  <c r="G36" i="28"/>
  <c r="G37" i="28"/>
  <c r="F35" i="28"/>
  <c r="F45" i="28"/>
  <c r="K425" i="24"/>
  <c r="K418" i="24"/>
  <c r="K409" i="24"/>
  <c r="K402" i="24"/>
  <c r="K393" i="24"/>
  <c r="K381" i="24"/>
  <c r="K374" i="24"/>
  <c r="K358" i="24"/>
  <c r="K353" i="24"/>
  <c r="K322" i="24"/>
  <c r="K317" i="24"/>
  <c r="K310" i="24"/>
  <c r="K294" i="24"/>
  <c r="K258" i="24"/>
  <c r="K246" i="24"/>
  <c r="K206" i="24"/>
  <c r="K166" i="24"/>
  <c r="K165" i="24"/>
  <c r="K193" i="24"/>
  <c r="K217" i="24"/>
  <c r="K245" i="24"/>
  <c r="K261" i="24"/>
  <c r="K282" i="24"/>
  <c r="K309" i="24"/>
  <c r="K314" i="24"/>
  <c r="K318" i="24"/>
  <c r="K325" i="24"/>
  <c r="K350" i="24"/>
  <c r="K357" i="24"/>
  <c r="K373" i="24"/>
  <c r="K378" i="24"/>
  <c r="K382" i="24"/>
  <c r="K433" i="24"/>
  <c r="K426" i="24"/>
  <c r="K417" i="24"/>
  <c r="K410" i="24"/>
  <c r="K401" i="24"/>
  <c r="K394" i="24"/>
  <c r="K377" i="24"/>
  <c r="K349" i="24"/>
  <c r="K321" i="24"/>
  <c r="K313" i="24"/>
  <c r="K278" i="24"/>
  <c r="K262" i="24"/>
  <c r="K257" i="24"/>
  <c r="K249" i="24"/>
  <c r="K218" i="24"/>
  <c r="K186" i="24"/>
  <c r="K150" i="24"/>
  <c r="Y26" i="41"/>
  <c r="C2517" i="24"/>
  <c r="C2485" i="24"/>
  <c r="C2477" i="24"/>
  <c r="C2389" i="24"/>
  <c r="C2381" i="24"/>
  <c r="C2349" i="24"/>
  <c r="C2265" i="24"/>
  <c r="C2233" i="24"/>
  <c r="C2185" i="24"/>
  <c r="C2105" i="24"/>
  <c r="C2057" i="24"/>
  <c r="C1853" i="24"/>
  <c r="C1597" i="24"/>
  <c r="C1405" i="24"/>
  <c r="C1341" i="24"/>
  <c r="C1014" i="24"/>
  <c r="C758" i="24"/>
  <c r="K114" i="24"/>
  <c r="K74" i="24"/>
  <c r="N42" i="34"/>
  <c r="O42" i="34" s="1"/>
  <c r="P42" i="34" s="1"/>
  <c r="Q42" i="34" s="1"/>
  <c r="K106" i="24"/>
  <c r="I143" i="12"/>
  <c r="I165" i="12"/>
  <c r="I110" i="12"/>
  <c r="I155" i="12"/>
  <c r="I99" i="12"/>
  <c r="J115" i="12"/>
  <c r="J112" i="12" s="1"/>
  <c r="E110" i="12"/>
  <c r="E155" i="12"/>
  <c r="E165" i="12"/>
  <c r="E99" i="12"/>
  <c r="E143" i="12"/>
  <c r="G1264" i="24"/>
  <c r="G1256" i="24"/>
  <c r="G1232" i="24"/>
  <c r="G1224" i="24"/>
  <c r="G1216" i="24"/>
  <c r="G1208" i="24"/>
  <c r="G1200" i="24"/>
  <c r="G1192" i="24"/>
  <c r="G1168" i="24"/>
  <c r="G1152" i="24"/>
  <c r="G1144" i="24"/>
  <c r="G1088" i="24"/>
  <c r="G1080" i="24"/>
  <c r="G1064" i="24"/>
  <c r="G1040" i="24"/>
  <c r="G1032" i="24"/>
  <c r="G1024" i="24"/>
  <c r="G1016" i="24"/>
  <c r="G1008" i="24"/>
  <c r="G1000" i="24"/>
  <c r="G972" i="24"/>
  <c r="G940" i="24"/>
  <c r="G844" i="24"/>
  <c r="G780" i="24"/>
  <c r="G748" i="24"/>
  <c r="G716" i="24"/>
  <c r="G684" i="24"/>
  <c r="G620" i="24"/>
  <c r="G588" i="24"/>
  <c r="G524" i="24"/>
  <c r="G980" i="24"/>
  <c r="G852" i="24"/>
  <c r="G724" i="24"/>
  <c r="G596" i="24"/>
  <c r="G464" i="24"/>
  <c r="G964" i="24"/>
  <c r="G932" i="24"/>
  <c r="G868" i="24"/>
  <c r="G772" i="24"/>
  <c r="G708" i="24"/>
  <c r="G676" i="24"/>
  <c r="G612" i="24"/>
  <c r="G516" i="24"/>
  <c r="G536" i="24"/>
  <c r="G600" i="24"/>
  <c r="G632" i="24"/>
  <c r="G664" i="24"/>
  <c r="G696" i="24"/>
  <c r="G760" i="24"/>
  <c r="G856" i="24"/>
  <c r="G888" i="24"/>
  <c r="G920" i="24"/>
  <c r="G952" i="24"/>
  <c r="C2521" i="24"/>
  <c r="C2481" i="24"/>
  <c r="C2473" i="24"/>
  <c r="C2465" i="24"/>
  <c r="C2457" i="24"/>
  <c r="C2449" i="24"/>
  <c r="C2441" i="24"/>
  <c r="C2425" i="24"/>
  <c r="C2409" i="24"/>
  <c r="C2401" i="24"/>
  <c r="C2393" i="24"/>
  <c r="C2385" i="24"/>
  <c r="C2377" i="24"/>
  <c r="C2361" i="24"/>
  <c r="C2353" i="24"/>
  <c r="C2313" i="24"/>
  <c r="C2305" i="24"/>
  <c r="C2281" i="24"/>
  <c r="C2273" i="24"/>
  <c r="C2249" i="24"/>
  <c r="C2241" i="24"/>
  <c r="C2209" i="24"/>
  <c r="C2161" i="24"/>
  <c r="C2129" i="24"/>
  <c r="C2113" i="24"/>
  <c r="C2097" i="24"/>
  <c r="C2081" i="24"/>
  <c r="C2065" i="24"/>
  <c r="C2049" i="24"/>
  <c r="C2033" i="24"/>
  <c r="C2001" i="24"/>
  <c r="C1985" i="24"/>
  <c r="C1953" i="24"/>
  <c r="C1937" i="24"/>
  <c r="C1905" i="24"/>
  <c r="C1821" i="24"/>
  <c r="C1757" i="24"/>
  <c r="C1693" i="24"/>
  <c r="C1629" i="24"/>
  <c r="C1501" i="24"/>
  <c r="C1437" i="24"/>
  <c r="C1227" i="24"/>
  <c r="C971" i="24"/>
  <c r="C886" i="24"/>
  <c r="C587" i="24"/>
  <c r="C27" i="24"/>
  <c r="C38" i="24"/>
  <c r="C59" i="24"/>
  <c r="C198" i="24"/>
  <c r="C379" i="24"/>
  <c r="C550" i="24"/>
  <c r="C603" i="24"/>
  <c r="C150" i="24"/>
  <c r="C235" i="24"/>
  <c r="C118" i="24"/>
  <c r="C203" i="24"/>
  <c r="C299" i="24"/>
  <c r="C342" i="24"/>
  <c r="C438" i="24"/>
  <c r="C539" i="24"/>
  <c r="C710" i="24"/>
  <c r="C854" i="24"/>
  <c r="C902" i="24"/>
  <c r="C955" i="24"/>
  <c r="C987" i="24"/>
  <c r="C1030" i="24"/>
  <c r="C1083" i="24"/>
  <c r="C1115" i="24"/>
  <c r="C1211" i="24"/>
  <c r="C1286" i="24"/>
  <c r="C1321" i="24"/>
  <c r="C1353" i="24"/>
  <c r="C1361" i="24"/>
  <c r="C1393" i="24"/>
  <c r="C1417" i="24"/>
  <c r="C1425" i="24"/>
  <c r="C1489" i="24"/>
  <c r="C1513" i="24"/>
  <c r="C1609" i="24"/>
  <c r="C1617" i="24"/>
  <c r="C1641" i="24"/>
  <c r="C1649" i="24"/>
  <c r="C1673" i="24"/>
  <c r="C1681" i="24"/>
  <c r="C1705" i="24"/>
  <c r="C1737" i="24"/>
  <c r="C1745" i="24"/>
  <c r="C1801" i="24"/>
  <c r="C1809" i="24"/>
  <c r="C1865" i="24"/>
  <c r="C1897" i="24"/>
  <c r="C107" i="24"/>
  <c r="C219" i="24"/>
  <c r="C294" i="24"/>
  <c r="C374" i="24"/>
  <c r="C390" i="24"/>
  <c r="C486" i="24"/>
  <c r="C619" i="24"/>
  <c r="C715" i="24"/>
  <c r="C790" i="24"/>
  <c r="C939" i="24"/>
  <c r="C982" i="24"/>
  <c r="C1067" i="24"/>
  <c r="C1238" i="24"/>
  <c r="C1349" i="24"/>
  <c r="C1381" i="24"/>
  <c r="C1445" i="24"/>
  <c r="C1541" i="24"/>
  <c r="C1573" i="24"/>
  <c r="C1605" i="24"/>
  <c r="C1701" i="24"/>
  <c r="C1765" i="24"/>
  <c r="C1797" i="24"/>
  <c r="C1829" i="24"/>
  <c r="C1861" i="24"/>
  <c r="C1893" i="24"/>
  <c r="C2269" i="24"/>
  <c r="C2277" i="24"/>
  <c r="C2285" i="24"/>
  <c r="C2309" i="24"/>
  <c r="C2317" i="24"/>
  <c r="C2333" i="24"/>
  <c r="C43" i="24"/>
  <c r="C70" i="24"/>
  <c r="C630" i="24"/>
  <c r="C763" i="24"/>
  <c r="C822" i="24"/>
  <c r="C859" i="24"/>
  <c r="C918" i="24"/>
  <c r="C1046" i="24"/>
  <c r="C1131" i="24"/>
  <c r="C1365" i="24"/>
  <c r="C1397" i="24"/>
  <c r="C1461" i="24"/>
  <c r="C1493" i="24"/>
  <c r="C1525" i="24"/>
  <c r="C1557" i="24"/>
  <c r="C1621" i="24"/>
  <c r="C1653" i="24"/>
  <c r="C1685" i="24"/>
  <c r="C1749" i="24"/>
  <c r="C1781" i="24"/>
  <c r="C1813" i="24"/>
  <c r="C1845" i="24"/>
  <c r="C1877" i="24"/>
  <c r="G44" i="28"/>
  <c r="G46" i="28"/>
  <c r="G43" i="28"/>
  <c r="E62" i="34"/>
  <c r="AH56" i="41"/>
  <c r="K221" i="24"/>
  <c r="K214" i="24"/>
  <c r="K177" i="24"/>
  <c r="K170" i="24"/>
  <c r="K149" i="24"/>
  <c r="K122" i="24"/>
  <c r="K98" i="24"/>
  <c r="Q15" i="27"/>
  <c r="B55" i="27"/>
  <c r="H34" i="5"/>
  <c r="E34" i="5"/>
  <c r="O260" i="24"/>
  <c r="L257" i="23" s="1"/>
  <c r="O9" i="24"/>
  <c r="L6" i="23" s="1"/>
  <c r="O13" i="24"/>
  <c r="L10" i="23" s="1"/>
  <c r="O21" i="24"/>
  <c r="L18" i="23" s="1"/>
  <c r="O29" i="24"/>
  <c r="L26" i="23" s="1"/>
  <c r="O45" i="24"/>
  <c r="L42" i="23" s="1"/>
  <c r="O57" i="24"/>
  <c r="L54" i="23" s="1"/>
  <c r="O61" i="24"/>
  <c r="L58" i="23" s="1"/>
  <c r="O69" i="24"/>
  <c r="L66" i="23" s="1"/>
  <c r="O73" i="24"/>
  <c r="L70" i="23" s="1"/>
  <c r="O77" i="24"/>
  <c r="L74" i="23" s="1"/>
  <c r="O85" i="24"/>
  <c r="L82" i="23" s="1"/>
  <c r="O93" i="24"/>
  <c r="L90" i="23" s="1"/>
  <c r="O109" i="24"/>
  <c r="L106" i="23" s="1"/>
  <c r="O121" i="24"/>
  <c r="L118" i="23" s="1"/>
  <c r="O125" i="24"/>
  <c r="L122" i="23" s="1"/>
  <c r="O133" i="24"/>
  <c r="L130" i="23" s="1"/>
  <c r="O137" i="24"/>
  <c r="L134" i="23" s="1"/>
  <c r="O141" i="24"/>
  <c r="L138" i="23" s="1"/>
  <c r="O149" i="24"/>
  <c r="L146" i="23" s="1"/>
  <c r="O157" i="24"/>
  <c r="L154" i="23" s="1"/>
  <c r="O165" i="24"/>
  <c r="L162" i="23" s="1"/>
  <c r="O173" i="24"/>
  <c r="L170" i="23" s="1"/>
  <c r="O185" i="24"/>
  <c r="L182" i="23" s="1"/>
  <c r="O189" i="24"/>
  <c r="L186" i="23" s="1"/>
  <c r="O197" i="24"/>
  <c r="L194" i="23" s="1"/>
  <c r="O201" i="24"/>
  <c r="L198" i="23" s="1"/>
  <c r="O205" i="24"/>
  <c r="L202" i="23" s="1"/>
  <c r="O213" i="24"/>
  <c r="L210" i="23" s="1"/>
  <c r="O221" i="24"/>
  <c r="L218" i="23" s="1"/>
  <c r="O229" i="24"/>
  <c r="L226" i="23" s="1"/>
  <c r="O237" i="24"/>
  <c r="L234" i="23" s="1"/>
  <c r="O249" i="24"/>
  <c r="L246" i="23" s="1"/>
  <c r="O253" i="24"/>
  <c r="L250" i="23" s="1"/>
  <c r="O242" i="24"/>
  <c r="L239" i="23" s="1"/>
  <c r="O226" i="24"/>
  <c r="L223" i="23" s="1"/>
  <c r="O178" i="24"/>
  <c r="L175" i="23" s="1"/>
  <c r="O162" i="24"/>
  <c r="L159" i="23" s="1"/>
  <c r="O114" i="24"/>
  <c r="L111" i="23" s="1"/>
  <c r="O98" i="24"/>
  <c r="L95" i="23" s="1"/>
  <c r="O50" i="24"/>
  <c r="L47" i="23" s="1"/>
  <c r="O34" i="24"/>
  <c r="L31" i="23" s="1"/>
  <c r="G1251" i="24"/>
  <c r="G1239" i="24"/>
  <c r="G1219" i="24"/>
  <c r="G1207" i="24"/>
  <c r="G1187" i="24"/>
  <c r="G1175" i="24"/>
  <c r="G1155" i="24"/>
  <c r="G1143" i="24"/>
  <c r="G1123" i="24"/>
  <c r="G1111" i="24"/>
  <c r="G1091" i="24"/>
  <c r="G1079" i="24"/>
  <c r="G1059" i="24"/>
  <c r="G1047" i="24"/>
  <c r="G1027" i="24"/>
  <c r="G1015" i="24"/>
  <c r="G995" i="24"/>
  <c r="G979" i="24"/>
  <c r="G963" i="24"/>
  <c r="G955" i="24"/>
  <c r="G951" i="24"/>
  <c r="G947" i="24"/>
  <c r="G939" i="24"/>
  <c r="G931" i="24"/>
  <c r="G919" i="24"/>
  <c r="G915" i="24"/>
  <c r="G911" i="24"/>
  <c r="G903" i="24"/>
  <c r="G899" i="24"/>
  <c r="G895" i="24"/>
  <c r="G891" i="24"/>
  <c r="G875" i="24"/>
  <c r="G867" i="24"/>
  <c r="G855" i="24"/>
  <c r="G851" i="24"/>
  <c r="G835" i="24"/>
  <c r="G827" i="24"/>
  <c r="G819" i="24"/>
  <c r="G811" i="24"/>
  <c r="G803" i="24"/>
  <c r="G787" i="24"/>
  <c r="G783" i="24"/>
  <c r="G775" i="24"/>
  <c r="G771" i="24"/>
  <c r="G767" i="24"/>
  <c r="G763" i="24"/>
  <c r="G759" i="24"/>
  <c r="G747" i="24"/>
  <c r="G723" i="24"/>
  <c r="G707" i="24"/>
  <c r="G699" i="24"/>
  <c r="G695" i="24"/>
  <c r="G691" i="24"/>
  <c r="G683" i="24"/>
  <c r="G675" i="24"/>
  <c r="G663" i="24"/>
  <c r="G659" i="24"/>
  <c r="G655" i="24"/>
  <c r="G647" i="24"/>
  <c r="G639" i="24"/>
  <c r="G635" i="24"/>
  <c r="G631" i="24"/>
  <c r="G619" i="24"/>
  <c r="G611" i="24"/>
  <c r="G599" i="24"/>
  <c r="G595" i="24"/>
  <c r="G579" i="24"/>
  <c r="G571" i="24"/>
  <c r="G563" i="24"/>
  <c r="G555" i="24"/>
  <c r="G547" i="24"/>
  <c r="G531" i="24"/>
  <c r="G527" i="24"/>
  <c r="G519" i="24"/>
  <c r="G515" i="24"/>
  <c r="G511" i="24"/>
  <c r="G507" i="24"/>
  <c r="G491" i="24"/>
  <c r="G483" i="24"/>
  <c r="B8" i="5"/>
  <c r="G11" i="24"/>
  <c r="G19" i="24"/>
  <c r="G27" i="24"/>
  <c r="G35" i="24"/>
  <c r="G43" i="24"/>
  <c r="G51" i="24"/>
  <c r="G59" i="24"/>
  <c r="G75" i="24"/>
  <c r="G91" i="24"/>
  <c r="G107" i="24"/>
  <c r="G115" i="24"/>
  <c r="G123" i="24"/>
  <c r="G131" i="24"/>
  <c r="G139" i="24"/>
  <c r="G147" i="24"/>
  <c r="G155" i="24"/>
  <c r="G163" i="24"/>
  <c r="G179" i="24"/>
  <c r="G219" i="24"/>
  <c r="G235" i="24"/>
  <c r="G243" i="24"/>
  <c r="G251" i="24"/>
  <c r="G259" i="24"/>
  <c r="G267" i="24"/>
  <c r="G275" i="24"/>
  <c r="G283" i="24"/>
  <c r="G291" i="24"/>
  <c r="G299" i="24"/>
  <c r="G315" i="24"/>
  <c r="G331" i="24"/>
  <c r="G347" i="24"/>
  <c r="G363" i="24"/>
  <c r="G379" i="24"/>
  <c r="G387" i="24"/>
  <c r="G395" i="24"/>
  <c r="G403" i="24"/>
  <c r="G411" i="24"/>
  <c r="G419" i="24"/>
  <c r="G17" i="24"/>
  <c r="G49" i="24"/>
  <c r="G81" i="24"/>
  <c r="G113" i="24"/>
  <c r="G145" i="24"/>
  <c r="G177" i="24"/>
  <c r="G209" i="24"/>
  <c r="G241" i="24"/>
  <c r="G273" i="24"/>
  <c r="G305" i="24"/>
  <c r="G337" i="24"/>
  <c r="G369" i="24"/>
  <c r="G401" i="24"/>
  <c r="G433" i="24"/>
  <c r="C37" i="24"/>
  <c r="C69" i="24"/>
  <c r="C85" i="24"/>
  <c r="C101" i="24"/>
  <c r="C117" i="24"/>
  <c r="C149" i="24"/>
  <c r="C165" i="24"/>
  <c r="C181" i="24"/>
  <c r="C197" i="24"/>
  <c r="C213" i="24"/>
  <c r="C245" i="24"/>
  <c r="C261" i="24"/>
  <c r="C277" i="24"/>
  <c r="C293" i="24"/>
  <c r="C309" i="24"/>
  <c r="C325" i="24"/>
  <c r="C341" i="24"/>
  <c r="C357" i="24"/>
  <c r="C373" i="24"/>
  <c r="C389" i="24"/>
  <c r="C405" i="24"/>
  <c r="C437" i="24"/>
  <c r="C453" i="24"/>
  <c r="C517" i="24"/>
  <c r="C533" i="24"/>
  <c r="C549" i="24"/>
  <c r="C597" i="24"/>
  <c r="C613" i="24"/>
  <c r="C629" i="24"/>
  <c r="C645" i="24"/>
  <c r="C661" i="24"/>
  <c r="C677" i="24"/>
  <c r="C693" i="24"/>
  <c r="C709" i="24"/>
  <c r="C725" i="24"/>
  <c r="C741" i="24"/>
  <c r="C757" i="24"/>
  <c r="C773" i="24"/>
  <c r="C805" i="24"/>
  <c r="C821" i="24"/>
  <c r="C837" i="24"/>
  <c r="C853" i="24"/>
  <c r="C869" i="24"/>
  <c r="C885" i="24"/>
  <c r="C901" i="24"/>
  <c r="C917" i="24"/>
  <c r="C933" i="24"/>
  <c r="C949" i="24"/>
  <c r="C965" i="24"/>
  <c r="C1013" i="24"/>
  <c r="C1029" i="24"/>
  <c r="C1045" i="24"/>
  <c r="C1061" i="24"/>
  <c r="C1077" i="24"/>
  <c r="C1093" i="24"/>
  <c r="C1109" i="24"/>
  <c r="C1141" i="24"/>
  <c r="C1157" i="24"/>
  <c r="C1173" i="24"/>
  <c r="C1189" i="24"/>
  <c r="C1205" i="24"/>
  <c r="C1221" i="24"/>
  <c r="C1237" i="24"/>
  <c r="C1269" i="24"/>
  <c r="C1285" i="24"/>
  <c r="C2524" i="24"/>
  <c r="C2520" i="24"/>
  <c r="C2516" i="24"/>
  <c r="C2512" i="24"/>
  <c r="C2508" i="24"/>
  <c r="C2500" i="24"/>
  <c r="C2492" i="24"/>
  <c r="C2484" i="24"/>
  <c r="C2480" i="24"/>
  <c r="C2476" i="24"/>
  <c r="C2472" i="24"/>
  <c r="C2468" i="24"/>
  <c r="C2464" i="24"/>
  <c r="C2460" i="24"/>
  <c r="C2456" i="24"/>
  <c r="C2448" i="24"/>
  <c r="C2444" i="24"/>
  <c r="C2440" i="24"/>
  <c r="C2436" i="24"/>
  <c r="C2428" i="24"/>
  <c r="C2424" i="24"/>
  <c r="C2420" i="24"/>
  <c r="C2412" i="24"/>
  <c r="C2408" i="24"/>
  <c r="C2404" i="24"/>
  <c r="C2400" i="24"/>
  <c r="C2396" i="24"/>
  <c r="C2392" i="24"/>
  <c r="C2384" i="24"/>
  <c r="C2380" i="24"/>
  <c r="C2376" i="24"/>
  <c r="C2372" i="24"/>
  <c r="C2364" i="24"/>
  <c r="C2356" i="24"/>
  <c r="C2352" i="24"/>
  <c r="C2348" i="24"/>
  <c r="C2340" i="24"/>
  <c r="C2336" i="24"/>
  <c r="C2332" i="24"/>
  <c r="C2324" i="24"/>
  <c r="C2316" i="24"/>
  <c r="C2312" i="24"/>
  <c r="C2308" i="24"/>
  <c r="C2300" i="24"/>
  <c r="C2296" i="24"/>
  <c r="C2292" i="24"/>
  <c r="C2288" i="24"/>
  <c r="C2284" i="24"/>
  <c r="C2280" i="24"/>
  <c r="C2276" i="24"/>
  <c r="C2268" i="24"/>
  <c r="C2260" i="24"/>
  <c r="C2256" i="24"/>
  <c r="C2252" i="24"/>
  <c r="C2248" i="24"/>
  <c r="C2244" i="24"/>
  <c r="C2236" i="24"/>
  <c r="C2228" i="24"/>
  <c r="C2220" i="24"/>
  <c r="C2216" i="24"/>
  <c r="C2212" i="24"/>
  <c r="C2204" i="24"/>
  <c r="C2200" i="24"/>
  <c r="C2196" i="24"/>
  <c r="C2192" i="24"/>
  <c r="C2188" i="24"/>
  <c r="C2184" i="24"/>
  <c r="C2180" i="24"/>
  <c r="C2172" i="24"/>
  <c r="C2168" i="24"/>
  <c r="C2164" i="24"/>
  <c r="C2156" i="24"/>
  <c r="C2152" i="24"/>
  <c r="C2148" i="24"/>
  <c r="C2140" i="24"/>
  <c r="C2136" i="24"/>
  <c r="C2132" i="24"/>
  <c r="C2128" i="24"/>
  <c r="C2124" i="24"/>
  <c r="C2116" i="24"/>
  <c r="C2108" i="24"/>
  <c r="C2100" i="24"/>
  <c r="C2092" i="24"/>
  <c r="C2088" i="24"/>
  <c r="C2084" i="24"/>
  <c r="C2076" i="24"/>
  <c r="C2072" i="24"/>
  <c r="C2068" i="24"/>
  <c r="C2064" i="24"/>
  <c r="C2060" i="24"/>
  <c r="C2052" i="24"/>
  <c r="C2044" i="24"/>
  <c r="C2040" i="24"/>
  <c r="C2036" i="24"/>
  <c r="C2028" i="24"/>
  <c r="C2024" i="24"/>
  <c r="C2020" i="24"/>
  <c r="C2012" i="24"/>
  <c r="C2008" i="24"/>
  <c r="C2004" i="24"/>
  <c r="C2000" i="24"/>
  <c r="C1996" i="24"/>
  <c r="C1988" i="24"/>
  <c r="C1980" i="24"/>
  <c r="C1972" i="24"/>
  <c r="C1964" i="24"/>
  <c r="C1960" i="24"/>
  <c r="C1956" i="24"/>
  <c r="C1948" i="24"/>
  <c r="C1940" i="24"/>
  <c r="C1936" i="24"/>
  <c r="C1932" i="24"/>
  <c r="C1924" i="24"/>
  <c r="C1916" i="24"/>
  <c r="C1912" i="24"/>
  <c r="C1908" i="24"/>
  <c r="C1900" i="24"/>
  <c r="C1892" i="24"/>
  <c r="C1888" i="24"/>
  <c r="C1884" i="24"/>
  <c r="C1876" i="24"/>
  <c r="C1868" i="24"/>
  <c r="C1860" i="24"/>
  <c r="C1856" i="24"/>
  <c r="C1852" i="24"/>
  <c r="C1844" i="24"/>
  <c r="C1836" i="24"/>
  <c r="C1824" i="24"/>
  <c r="C1820" i="24"/>
  <c r="C1812" i="24"/>
  <c r="C1804" i="24"/>
  <c r="C1796" i="24"/>
  <c r="C1792" i="24"/>
  <c r="C1788" i="24"/>
  <c r="C1780" i="24"/>
  <c r="C1772" i="24"/>
  <c r="C1764" i="24"/>
  <c r="C1760" i="24"/>
  <c r="C1756" i="24"/>
  <c r="C1748" i="24"/>
  <c r="C1740" i="24"/>
  <c r="C1732" i="24"/>
  <c r="C1728" i="24"/>
  <c r="C1724" i="24"/>
  <c r="C1708" i="24"/>
  <c r="C1696" i="24"/>
  <c r="C1692" i="24"/>
  <c r="C1684" i="24"/>
  <c r="C1676" i="24"/>
  <c r="C1668" i="24"/>
  <c r="C1664" i="24"/>
  <c r="C1660" i="24"/>
  <c r="C1652" i="24"/>
  <c r="C1644" i="24"/>
  <c r="C1636" i="24"/>
  <c r="C1632" i="24"/>
  <c r="C1628" i="24"/>
  <c r="C1620" i="24"/>
  <c r="C1612" i="24"/>
  <c r="C1604" i="24"/>
  <c r="C1600" i="24"/>
  <c r="C1596" i="24"/>
  <c r="C1580" i="24"/>
  <c r="C1568" i="24"/>
  <c r="C1564" i="24"/>
  <c r="C1556" i="24"/>
  <c r="C1548" i="24"/>
  <c r="C1540" i="24"/>
  <c r="C1536" i="24"/>
  <c r="C1532" i="24"/>
  <c r="C1524" i="24"/>
  <c r="C1516" i="24"/>
  <c r="C1508" i="24"/>
  <c r="C1504" i="24"/>
  <c r="C1500" i="24"/>
  <c r="C1492" i="24"/>
  <c r="C1484" i="24"/>
  <c r="C1476" i="24"/>
  <c r="C1472" i="24"/>
  <c r="C1468" i="24"/>
  <c r="C1460" i="24"/>
  <c r="C1452" i="24"/>
  <c r="C1440" i="24"/>
  <c r="C1436" i="24"/>
  <c r="C1420" i="24"/>
  <c r="C1412" i="24"/>
  <c r="C1408" i="24"/>
  <c r="C1404" i="24"/>
  <c r="C1396" i="24"/>
  <c r="C1388" i="24"/>
  <c r="C1380" i="24"/>
  <c r="C1376" i="24"/>
  <c r="C1372" i="24"/>
  <c r="C1364" i="24"/>
  <c r="C1356" i="24"/>
  <c r="C1348" i="24"/>
  <c r="C1344" i="24"/>
  <c r="C1340" i="24"/>
  <c r="C1324" i="24"/>
  <c r="C1312" i="24"/>
  <c r="C1308" i="24"/>
  <c r="C1290" i="24"/>
  <c r="C1279" i="24"/>
  <c r="C1274" i="24"/>
  <c r="C1268" i="24"/>
  <c r="C1247" i="24"/>
  <c r="C1231" i="24"/>
  <c r="C1226" i="24"/>
  <c r="C1215" i="24"/>
  <c r="C1204" i="24"/>
  <c r="C1194" i="24"/>
  <c r="C1183" i="24"/>
  <c r="C1162" i="24"/>
  <c r="C1146" i="24"/>
  <c r="C1140" i="24"/>
  <c r="C1130" i="24"/>
  <c r="C1119" i="24"/>
  <c r="C1103" i="24"/>
  <c r="C1098" i="24"/>
  <c r="C1087" i="24"/>
  <c r="C1076" i="24"/>
  <c r="C1066" i="24"/>
  <c r="C1055" i="24"/>
  <c r="C1034" i="24"/>
  <c r="C1023" i="24"/>
  <c r="C1018" i="24"/>
  <c r="C1012" i="24"/>
  <c r="C1002" i="24"/>
  <c r="C991" i="24"/>
  <c r="C975" i="24"/>
  <c r="C970" i="24"/>
  <c r="C959" i="24"/>
  <c r="C948" i="24"/>
  <c r="C938" i="24"/>
  <c r="C927" i="24"/>
  <c r="C906" i="24"/>
  <c r="C895" i="24"/>
  <c r="C890" i="24"/>
  <c r="C884" i="24"/>
  <c r="C863" i="24"/>
  <c r="C842" i="24"/>
  <c r="C831" i="24"/>
  <c r="C826" i="24"/>
  <c r="C820" i="24"/>
  <c r="C815" i="24"/>
  <c r="C799" i="24"/>
  <c r="C778" i="24"/>
  <c r="C767" i="24"/>
  <c r="C762" i="24"/>
  <c r="C756" i="24"/>
  <c r="C746" i="24"/>
  <c r="C735" i="24"/>
  <c r="C719" i="24"/>
  <c r="C714" i="24"/>
  <c r="C703" i="24"/>
  <c r="C692" i="24"/>
  <c r="C687" i="24"/>
  <c r="C682" i="24"/>
  <c r="C671" i="24"/>
  <c r="C666" i="24"/>
  <c r="C655" i="24"/>
  <c r="C650" i="24"/>
  <c r="C628" i="24"/>
  <c r="C618" i="24"/>
  <c r="C607" i="24"/>
  <c r="C602" i="24"/>
  <c r="C586" i="24"/>
  <c r="C564" i="24"/>
  <c r="C554" i="24"/>
  <c r="C543" i="24"/>
  <c r="C522" i="24"/>
  <c r="C511" i="24"/>
  <c r="C506" i="24"/>
  <c r="C500" i="24"/>
  <c r="C495" i="24"/>
  <c r="C490" i="24"/>
  <c r="C479" i="24"/>
  <c r="C458" i="24"/>
  <c r="C447" i="24"/>
  <c r="C436" i="24"/>
  <c r="C426" i="24"/>
  <c r="C415" i="24"/>
  <c r="C399" i="24"/>
  <c r="C394" i="24"/>
  <c r="C383" i="24"/>
  <c r="C378" i="24"/>
  <c r="C372" i="24"/>
  <c r="C351" i="24"/>
  <c r="C335" i="24"/>
  <c r="C330" i="24"/>
  <c r="C319" i="24"/>
  <c r="C308" i="24"/>
  <c r="C303" i="24"/>
  <c r="C287" i="24"/>
  <c r="C266" i="24"/>
  <c r="C244" i="24"/>
  <c r="C234" i="24"/>
  <c r="C223" i="24"/>
  <c r="C207" i="24"/>
  <c r="C202" i="24"/>
  <c r="C191" i="24"/>
  <c r="C186" i="24"/>
  <c r="C180" i="24"/>
  <c r="C175" i="24"/>
  <c r="C170" i="24"/>
  <c r="C159" i="24"/>
  <c r="C143" i="24"/>
  <c r="C138" i="24"/>
  <c r="C127" i="24"/>
  <c r="C116" i="24"/>
  <c r="C111" i="24"/>
  <c r="C106" i="24"/>
  <c r="C95" i="24"/>
  <c r="C79" i="24"/>
  <c r="C74" i="24"/>
  <c r="C63" i="24"/>
  <c r="C58" i="24"/>
  <c r="C52" i="24"/>
  <c r="C31" i="24"/>
  <c r="C26" i="24"/>
  <c r="C10" i="24"/>
  <c r="C1262" i="24"/>
  <c r="C1198" i="24"/>
  <c r="C1134" i="24"/>
  <c r="C1070" i="24"/>
  <c r="C1006" i="24"/>
  <c r="C942" i="24"/>
  <c r="C878" i="24"/>
  <c r="C814" i="24"/>
  <c r="C750" i="24"/>
  <c r="C686" i="24"/>
  <c r="C622" i="24"/>
  <c r="C558" i="24"/>
  <c r="C494" i="24"/>
  <c r="C430" i="24"/>
  <c r="C366" i="24"/>
  <c r="C302" i="24"/>
  <c r="C238" i="24"/>
  <c r="C174" i="24"/>
  <c r="C110" i="24"/>
  <c r="C46" i="24"/>
  <c r="F62" i="34"/>
  <c r="K201" i="24"/>
  <c r="K185" i="24"/>
  <c r="K153" i="24"/>
  <c r="K164" i="24"/>
  <c r="K180" i="24"/>
  <c r="K196" i="24"/>
  <c r="K9" i="24"/>
  <c r="K13" i="24"/>
  <c r="K17" i="24"/>
  <c r="K25" i="24"/>
  <c r="K29" i="24"/>
  <c r="K37" i="24"/>
  <c r="K41" i="24"/>
  <c r="K45" i="24"/>
  <c r="K53" i="24"/>
  <c r="K57" i="24"/>
  <c r="K61" i="24"/>
  <c r="K69" i="24"/>
  <c r="K73" i="24"/>
  <c r="K77" i="24"/>
  <c r="K81" i="24"/>
  <c r="K89" i="24"/>
  <c r="K97" i="24"/>
  <c r="K101" i="24"/>
  <c r="K105" i="24"/>
  <c r="K109" i="24"/>
  <c r="K113" i="24"/>
  <c r="K117" i="24"/>
  <c r="K121" i="24"/>
  <c r="K125" i="24"/>
  <c r="K129" i="24"/>
  <c r="K133" i="24"/>
  <c r="A13" i="14"/>
  <c r="A25" i="14"/>
  <c r="A38" i="14" s="1"/>
  <c r="B9" i="5" l="1"/>
  <c r="F22" i="5" s="1"/>
  <c r="F21" i="34"/>
  <c r="E21" i="34" s="1"/>
  <c r="D21" i="34" s="1"/>
  <c r="C21" i="34" s="1"/>
  <c r="E40" i="32"/>
  <c r="H6" i="33"/>
  <c r="F25" i="3"/>
  <c r="E25" i="3"/>
  <c r="O4" i="3"/>
  <c r="AD3" i="41"/>
  <c r="D25" i="3"/>
  <c r="L4" i="3"/>
  <c r="A22" i="5"/>
  <c r="A35" i="5" s="1"/>
  <c r="N30" i="34"/>
  <c r="C37" i="14"/>
  <c r="C25" i="14"/>
  <c r="A10" i="5"/>
  <c r="C93" i="1"/>
  <c r="K2" i="5"/>
  <c r="B4" i="3"/>
  <c r="C64" i="32"/>
  <c r="B65" i="32"/>
  <c r="E31" i="15"/>
  <c r="C63" i="32"/>
  <c r="F20" i="22"/>
  <c r="L25" i="14"/>
  <c r="F25" i="14"/>
  <c r="E25" i="14"/>
  <c r="H25" i="14"/>
  <c r="C19" i="3"/>
  <c r="C20" i="3"/>
  <c r="D25" i="14"/>
  <c r="D24" i="14"/>
  <c r="I25" i="14"/>
  <c r="L31" i="15"/>
  <c r="J25" i="14"/>
  <c r="G20" i="22"/>
  <c r="C18" i="3"/>
  <c r="K25" i="14"/>
  <c r="J37" i="14"/>
  <c r="F31" i="15"/>
  <c r="G25" i="14"/>
  <c r="D27" i="1"/>
  <c r="M23" i="27"/>
  <c r="A40" i="34"/>
  <c r="P59" i="34"/>
  <c r="G8" i="91" s="1"/>
  <c r="G25" i="91" s="1"/>
  <c r="D31" i="39"/>
  <c r="O78" i="38"/>
  <c r="D34" i="5"/>
  <c r="L34" i="5"/>
  <c r="O20" i="5"/>
  <c r="G34" i="5"/>
  <c r="F34" i="5"/>
  <c r="I6" i="40"/>
  <c r="I35" i="40"/>
  <c r="K6" i="40" s="1"/>
  <c r="C20" i="22"/>
  <c r="B107" i="13" s="1"/>
  <c r="J24" i="14"/>
  <c r="D20" i="22"/>
  <c r="K48" i="34" s="1"/>
  <c r="C23" i="14"/>
  <c r="G31" i="15"/>
  <c r="H31" i="15"/>
  <c r="H93" i="1"/>
  <c r="D37" i="14"/>
  <c r="C24" i="14"/>
  <c r="J31" i="15"/>
  <c r="E49" i="1"/>
  <c r="E35" i="1" s="1"/>
  <c r="E63" i="1" s="1"/>
  <c r="E79" i="1" s="1"/>
  <c r="E93" i="1" s="1"/>
  <c r="I49" i="1"/>
  <c r="I35" i="1" s="1"/>
  <c r="I63" i="1" s="1"/>
  <c r="I79" i="1" s="1"/>
  <c r="I93" i="1" s="1"/>
  <c r="K31" i="15"/>
  <c r="G41" i="1"/>
  <c r="G27" i="1"/>
  <c r="H41" i="1"/>
  <c r="C34" i="5"/>
  <c r="L20" i="5"/>
  <c r="D22" i="5"/>
  <c r="K34" i="5"/>
  <c r="N34" i="5"/>
  <c r="O22" i="5"/>
  <c r="K20" i="5"/>
  <c r="N20" i="5"/>
  <c r="O34" i="5"/>
  <c r="O58" i="34"/>
  <c r="O30" i="34"/>
  <c r="C3" i="7"/>
  <c r="F23" i="14"/>
  <c r="F37" i="14"/>
  <c r="F24" i="14"/>
  <c r="J20" i="22"/>
  <c r="J23" i="14"/>
  <c r="C5" i="1"/>
  <c r="D65" i="1"/>
  <c r="C65" i="1"/>
  <c r="C12" i="1"/>
  <c r="D12" i="1"/>
  <c r="D81" i="1"/>
  <c r="C81" i="1"/>
  <c r="D46" i="1"/>
  <c r="C46" i="1"/>
  <c r="C8" i="1"/>
  <c r="D8" i="1"/>
  <c r="C25" i="1"/>
  <c r="K20" i="22"/>
  <c r="D48" i="34" s="1"/>
  <c r="K23" i="14"/>
  <c r="I20" i="22"/>
  <c r="I23" i="14"/>
  <c r="E37" i="14"/>
  <c r="E24" i="14"/>
  <c r="C11" i="1"/>
  <c r="E18" i="1"/>
  <c r="D11" i="1"/>
  <c r="C80" i="1"/>
  <c r="D80" i="1"/>
  <c r="D36" i="1"/>
  <c r="C36" i="1"/>
  <c r="C67" i="1"/>
  <c r="D67" i="1"/>
  <c r="E115" i="12"/>
  <c r="E112" i="12" s="1"/>
  <c r="G37" i="14"/>
  <c r="G24" i="14"/>
  <c r="E20" i="22"/>
  <c r="E23" i="14"/>
  <c r="I37" i="14"/>
  <c r="I24" i="14"/>
  <c r="C21" i="1"/>
  <c r="D16" i="1"/>
  <c r="C16" i="1"/>
  <c r="C68" i="1"/>
  <c r="D68" i="1"/>
  <c r="F99" i="12"/>
  <c r="F165" i="12"/>
  <c r="F155" i="12"/>
  <c r="F143" i="12"/>
  <c r="F110" i="12"/>
  <c r="K37" i="14"/>
  <c r="K24" i="14"/>
  <c r="H20" i="22"/>
  <c r="H23" i="14"/>
  <c r="H37" i="14"/>
  <c r="H24" i="14"/>
  <c r="F49" i="1"/>
  <c r="F35" i="1" s="1"/>
  <c r="F63" i="1" s="1"/>
  <c r="F79" i="1" s="1"/>
  <c r="F93" i="1" s="1"/>
  <c r="F41" i="1"/>
  <c r="F27" i="1" s="1"/>
  <c r="D38" i="1"/>
  <c r="C6" i="1"/>
  <c r="D6" i="1"/>
  <c r="E69" i="1"/>
  <c r="D66" i="1"/>
  <c r="C66" i="1"/>
  <c r="C64" i="1"/>
  <c r="D64" i="1"/>
  <c r="C14" i="1"/>
  <c r="C7" i="1"/>
  <c r="D7" i="1"/>
  <c r="J110" i="12"/>
  <c r="J99" i="12"/>
  <c r="J143" i="12"/>
  <c r="G165" i="12"/>
  <c r="G110" i="12"/>
  <c r="G155" i="12"/>
  <c r="G99" i="12"/>
  <c r="G143" i="12"/>
  <c r="H99" i="12"/>
  <c r="H155" i="12"/>
  <c r="H165" i="12"/>
  <c r="C218" i="24"/>
  <c r="C239" i="24"/>
  <c r="C282" i="24"/>
  <c r="C431" i="24"/>
  <c r="C623" i="24"/>
  <c r="C794" i="24"/>
  <c r="C858" i="24"/>
  <c r="C943" i="24"/>
  <c r="C986" i="24"/>
  <c r="C1071" i="24"/>
  <c r="C1114" i="24"/>
  <c r="C1199" i="24"/>
  <c r="C1242" i="24"/>
  <c r="C1320" i="24"/>
  <c r="C1352" i="24"/>
  <c r="C1384" i="24"/>
  <c r="C1416" i="24"/>
  <c r="C1448" i="24"/>
  <c r="C1480" i="24"/>
  <c r="C1512" i="24"/>
  <c r="C1544" i="24"/>
  <c r="C1576" i="24"/>
  <c r="C1608" i="24"/>
  <c r="C1640" i="24"/>
  <c r="C1672" i="24"/>
  <c r="C1704" i="24"/>
  <c r="C1736" i="24"/>
  <c r="K49" i="24"/>
  <c r="K169" i="24"/>
  <c r="C15" i="24"/>
  <c r="C314" i="24"/>
  <c r="C463" i="24"/>
  <c r="C783" i="24"/>
  <c r="C1920" i="24"/>
  <c r="C1984" i="24"/>
  <c r="C2048" i="24"/>
  <c r="C2112" i="24"/>
  <c r="C2176" i="24"/>
  <c r="C2240" i="24"/>
  <c r="G535" i="24"/>
  <c r="G551" i="24"/>
  <c r="G679" i="24"/>
  <c r="G807" i="24"/>
  <c r="G887" i="24"/>
  <c r="G935" i="24"/>
  <c r="K205" i="24"/>
  <c r="C2245" i="24"/>
  <c r="C779" i="24"/>
  <c r="C678" i="24"/>
  <c r="K226" i="24"/>
  <c r="K213" i="24"/>
  <c r="K386" i="24"/>
  <c r="C1725" i="24"/>
  <c r="C2373" i="24"/>
  <c r="K688" i="24"/>
  <c r="G451" i="24"/>
  <c r="G227" i="24"/>
  <c r="G211" i="24"/>
  <c r="G195" i="24"/>
  <c r="G473" i="24"/>
  <c r="G587" i="24"/>
  <c r="G603" i="24"/>
  <c r="G715" i="24"/>
  <c r="G731" i="24"/>
  <c r="G843" i="24"/>
  <c r="G859" i="24"/>
  <c r="G971" i="24"/>
  <c r="G987" i="24"/>
  <c r="G1019" i="24"/>
  <c r="G1051" i="24"/>
  <c r="G1083" i="24"/>
  <c r="G1115" i="24"/>
  <c r="G1147" i="24"/>
  <c r="G1179" i="24"/>
  <c r="G1211" i="24"/>
  <c r="G1243" i="24"/>
  <c r="O101" i="24"/>
  <c r="L98" i="23" s="1"/>
  <c r="K182" i="24"/>
  <c r="C1003" i="24"/>
  <c r="C2345" i="24"/>
  <c r="C2505" i="24"/>
  <c r="G580" i="24"/>
  <c r="K293" i="24"/>
  <c r="K202" i="24"/>
  <c r="K225" i="24"/>
  <c r="C1768" i="24"/>
  <c r="C1800" i="24"/>
  <c r="C1832" i="24"/>
  <c r="C1864" i="24"/>
  <c r="C1896" i="24"/>
  <c r="C1944" i="24"/>
  <c r="C1992" i="24"/>
  <c r="C2328" i="24"/>
  <c r="C2344" i="24"/>
  <c r="C2360" i="24"/>
  <c r="C2504" i="24"/>
  <c r="G463" i="24"/>
  <c r="G543" i="24"/>
  <c r="G559" i="24"/>
  <c r="G671" i="24"/>
  <c r="G687" i="24"/>
  <c r="G799" i="24"/>
  <c r="G815" i="24"/>
  <c r="G927" i="24"/>
  <c r="G943" i="24"/>
  <c r="G1007" i="24"/>
  <c r="G1039" i="24"/>
  <c r="G1071" i="24"/>
  <c r="G1103" i="24"/>
  <c r="G1135" i="24"/>
  <c r="G1167" i="24"/>
  <c r="G1199" i="24"/>
  <c r="G1231" i="24"/>
  <c r="G1263" i="24"/>
  <c r="K90" i="24"/>
  <c r="K130" i="24"/>
  <c r="C1126" i="24"/>
  <c r="C742" i="24"/>
  <c r="C1309" i="24"/>
  <c r="C2513" i="24"/>
  <c r="G548" i="24"/>
  <c r="G876" i="24"/>
  <c r="G1128" i="24"/>
  <c r="G1160" i="24"/>
  <c r="K82" i="24"/>
  <c r="K326" i="24"/>
  <c r="K354" i="24"/>
  <c r="K385" i="24"/>
  <c r="K222" i="24"/>
  <c r="C2329" i="24"/>
  <c r="C2493" i="24"/>
  <c r="K692" i="24"/>
  <c r="K689" i="24"/>
  <c r="K593" i="24"/>
  <c r="K757" i="24"/>
  <c r="K724" i="24"/>
  <c r="K637" i="24"/>
  <c r="F42" i="34"/>
  <c r="C2025" i="24"/>
  <c r="K740" i="24"/>
  <c r="K636" i="24"/>
  <c r="K605" i="24"/>
  <c r="K729" i="24"/>
  <c r="K604" i="24"/>
  <c r="K741" i="24"/>
  <c r="K616" i="24"/>
  <c r="K580" i="24"/>
  <c r="G441" i="24"/>
  <c r="G409" i="24"/>
  <c r="G377" i="24"/>
  <c r="G345" i="24"/>
  <c r="G313" i="24"/>
  <c r="G281" i="24"/>
  <c r="G249" i="24"/>
  <c r="G217" i="24"/>
  <c r="G185" i="24"/>
  <c r="G153" i="24"/>
  <c r="G121" i="24"/>
  <c r="G89" i="24"/>
  <c r="G57" i="24"/>
  <c r="G25" i="24"/>
  <c r="G467" i="24"/>
  <c r="C2421" i="24"/>
  <c r="K625" i="24"/>
  <c r="K665" i="24"/>
  <c r="C1993" i="24"/>
  <c r="C2357" i="24"/>
  <c r="K701" i="24"/>
  <c r="H37" i="28"/>
  <c r="G425" i="24"/>
  <c r="G393" i="24"/>
  <c r="G361" i="24"/>
  <c r="G329" i="24"/>
  <c r="G297" i="24"/>
  <c r="G265" i="24"/>
  <c r="G233" i="24"/>
  <c r="G201" i="24"/>
  <c r="G169" i="24"/>
  <c r="G137" i="24"/>
  <c r="G105" i="24"/>
  <c r="G73" i="24"/>
  <c r="G41" i="24"/>
  <c r="K677" i="24"/>
  <c r="K668" i="24"/>
  <c r="O217" i="24"/>
  <c r="L214" i="23" s="1"/>
  <c r="O153" i="24"/>
  <c r="L150" i="23" s="1"/>
  <c r="O89" i="24"/>
  <c r="L86" i="23" s="1"/>
  <c r="K760" i="24"/>
  <c r="K717" i="24"/>
  <c r="K716" i="24"/>
  <c r="K621" i="24"/>
  <c r="K656" i="24"/>
  <c r="K613" i="24"/>
  <c r="K592" i="24"/>
  <c r="K585" i="24"/>
  <c r="K584" i="24"/>
  <c r="K721" i="24"/>
  <c r="K720" i="24"/>
  <c r="K137" i="24"/>
  <c r="K148" i="24"/>
  <c r="C122" i="24"/>
  <c r="C442" i="24"/>
  <c r="C527" i="24"/>
  <c r="C570" i="24"/>
  <c r="C591" i="24"/>
  <c r="C255" i="24"/>
  <c r="C874" i="24"/>
  <c r="C1258" i="24"/>
  <c r="C1300" i="24"/>
  <c r="C1332" i="24"/>
  <c r="C1428" i="24"/>
  <c r="C1588" i="24"/>
  <c r="C2388" i="24"/>
  <c r="C2452" i="24"/>
  <c r="C1589" i="24"/>
  <c r="C1333" i="24"/>
  <c r="C1174" i="24"/>
  <c r="C2301" i="24"/>
  <c r="C662" i="24"/>
  <c r="C1885" i="24"/>
  <c r="C2145" i="24"/>
  <c r="G836" i="24"/>
  <c r="G652" i="24"/>
  <c r="G992" i="24"/>
  <c r="G1120" i="24"/>
  <c r="G1248" i="24"/>
  <c r="K286" i="24"/>
  <c r="K138" i="24"/>
  <c r="K230" i="24"/>
  <c r="K289" i="24"/>
  <c r="K65" i="24"/>
  <c r="AH55" i="41"/>
  <c r="AH54" i="41" s="1"/>
  <c r="AH53" i="41" s="1"/>
  <c r="AH52" i="41" s="1"/>
  <c r="AH51" i="41" s="1"/>
  <c r="AH50" i="41" s="1"/>
  <c r="AH49" i="41" s="1"/>
  <c r="AH48" i="41" s="1"/>
  <c r="AH47" i="41" s="1"/>
  <c r="AH46" i="41" s="1"/>
  <c r="AH45" i="41" s="1"/>
  <c r="AH44" i="41" s="1"/>
  <c r="AH43" i="41" s="1"/>
  <c r="AH42" i="41" s="1"/>
  <c r="AH41" i="41" s="1"/>
  <c r="AH40" i="41" s="1"/>
  <c r="AH39" i="41" s="1"/>
  <c r="AH38" i="41" s="1"/>
  <c r="AH37" i="41" s="1"/>
  <c r="AH36" i="41" s="1"/>
  <c r="AH35" i="41" s="1"/>
  <c r="AH34" i="41" s="1"/>
  <c r="AH33" i="41" s="1"/>
  <c r="AH32" i="41" s="1"/>
  <c r="AH31" i="41" s="1"/>
  <c r="AH30" i="41" s="1"/>
  <c r="AH29" i="41" s="1"/>
  <c r="AH28" i="41" s="1"/>
  <c r="AH27" i="41" s="1"/>
  <c r="AH26" i="41" s="1"/>
  <c r="AH25" i="41" s="1"/>
  <c r="AH24" i="41" s="1"/>
  <c r="AH23" i="41" s="1"/>
  <c r="AH22" i="41" s="1"/>
  <c r="AH21" i="41" s="1"/>
  <c r="AH20" i="41" s="1"/>
  <c r="AH19" i="41" s="1"/>
  <c r="AH18" i="41" s="1"/>
  <c r="AH17" i="41" s="1"/>
  <c r="AH16" i="41" s="1"/>
  <c r="AH15" i="41" s="1"/>
  <c r="AH14" i="41" s="1"/>
  <c r="AH13" i="41" s="1"/>
  <c r="AH12" i="41" s="1"/>
  <c r="AH11" i="41" s="1"/>
  <c r="AH10" i="41" s="1"/>
  <c r="AH9" i="41" s="1"/>
  <c r="AH8" i="41" s="1"/>
  <c r="AH7" i="41" s="1"/>
  <c r="AH6" i="41" s="1"/>
  <c r="AH5" i="41" s="1"/>
  <c r="C1952" i="24"/>
  <c r="C2016" i="24"/>
  <c r="C2080" i="24"/>
  <c r="C2144" i="24"/>
  <c r="C2208" i="24"/>
  <c r="C2304" i="24"/>
  <c r="C2416" i="24"/>
  <c r="C2432" i="24"/>
  <c r="G7" i="24"/>
  <c r="G487" i="24"/>
  <c r="G503" i="24"/>
  <c r="G615" i="24"/>
  <c r="G727" i="24"/>
  <c r="G743" i="24"/>
  <c r="G791" i="24"/>
  <c r="G823" i="24"/>
  <c r="G871" i="24"/>
  <c r="K154" i="24"/>
  <c r="C875" i="24"/>
  <c r="C1317" i="24"/>
  <c r="C1873" i="24"/>
  <c r="C1553" i="24"/>
  <c r="C86" i="24"/>
  <c r="C870" i="24"/>
  <c r="C571" i="24"/>
  <c r="C1565" i="24"/>
  <c r="C1969" i="24"/>
  <c r="C2225" i="24"/>
  <c r="C2417" i="24"/>
  <c r="G804" i="24"/>
  <c r="G492" i="24"/>
  <c r="G1096" i="24"/>
  <c r="C1913" i="24"/>
  <c r="C2169" i="24"/>
  <c r="C2445" i="24"/>
  <c r="K346" i="24"/>
  <c r="K145" i="24"/>
  <c r="H36" i="28"/>
  <c r="C2257" i="24"/>
  <c r="K756" i="24"/>
  <c r="K713" i="24"/>
  <c r="K612" i="24"/>
  <c r="K733" i="24"/>
  <c r="K712" i="24"/>
  <c r="K684" i="24"/>
  <c r="K653" i="24"/>
  <c r="K652" i="24"/>
  <c r="K609" i="24"/>
  <c r="K588" i="24"/>
  <c r="K629" i="24"/>
  <c r="K608" i="24"/>
  <c r="K681" i="24"/>
  <c r="K680" i="24"/>
  <c r="K732" i="24"/>
  <c r="G435" i="24"/>
  <c r="G371" i="24"/>
  <c r="G355" i="24"/>
  <c r="G339" i="24"/>
  <c r="G323" i="24"/>
  <c r="G307" i="24"/>
  <c r="G99" i="24"/>
  <c r="G83" i="24"/>
  <c r="G67" i="24"/>
  <c r="G523" i="24"/>
  <c r="G539" i="24"/>
  <c r="G651" i="24"/>
  <c r="G667" i="24"/>
  <c r="G779" i="24"/>
  <c r="G795" i="24"/>
  <c r="G907" i="24"/>
  <c r="G923" i="24"/>
  <c r="G1003" i="24"/>
  <c r="G1035" i="24"/>
  <c r="G1067" i="24"/>
  <c r="G1099" i="24"/>
  <c r="G1131" i="24"/>
  <c r="G1163" i="24"/>
  <c r="G1195" i="24"/>
  <c r="G1227" i="24"/>
  <c r="G1259" i="24"/>
  <c r="O181" i="24"/>
  <c r="L178" i="23" s="1"/>
  <c r="O53" i="24"/>
  <c r="L50" i="23" s="1"/>
  <c r="O37" i="24"/>
  <c r="L34" i="23" s="1"/>
  <c r="K161" i="24"/>
  <c r="C1259" i="24"/>
  <c r="C2253" i="24"/>
  <c r="C1833" i="24"/>
  <c r="C1769" i="24"/>
  <c r="C1577" i="24"/>
  <c r="C1545" i="24"/>
  <c r="C1481" i="24"/>
  <c r="C1449" i="24"/>
  <c r="C1385" i="24"/>
  <c r="C1158" i="24"/>
  <c r="C683" i="24"/>
  <c r="C646" i="24"/>
  <c r="C475" i="24"/>
  <c r="C262" i="24"/>
  <c r="C1921" i="24"/>
  <c r="C2177" i="24"/>
  <c r="C2489" i="24"/>
  <c r="G824" i="24"/>
  <c r="G792" i="24"/>
  <c r="G728" i="24"/>
  <c r="G504" i="24"/>
  <c r="G900" i="24"/>
  <c r="G1072" i="24"/>
  <c r="G1104" i="24"/>
  <c r="G1136" i="24"/>
  <c r="C1099" i="24"/>
  <c r="C1929" i="24"/>
  <c r="C2321" i="24"/>
  <c r="C2413" i="24"/>
  <c r="C2453" i="24"/>
  <c r="K285" i="24"/>
  <c r="K342" i="24"/>
  <c r="K254" i="24"/>
  <c r="K749" i="24"/>
  <c r="K748" i="24"/>
  <c r="K728" i="24"/>
  <c r="K705" i="24"/>
  <c r="K676" i="24"/>
  <c r="K600" i="24"/>
  <c r="K708" i="24"/>
  <c r="K709" i="24"/>
  <c r="K645" i="24"/>
  <c r="K624" i="24"/>
  <c r="K581" i="24"/>
  <c r="K628" i="24"/>
  <c r="K696" i="24"/>
  <c r="C47" i="24"/>
  <c r="C367" i="24"/>
  <c r="C474" i="24"/>
  <c r="C538" i="24"/>
  <c r="C730" i="24"/>
  <c r="C879" i="24"/>
  <c r="C922" i="24"/>
  <c r="C1007" i="24"/>
  <c r="C1050" i="24"/>
  <c r="C1135" i="24"/>
  <c r="C1178" i="24"/>
  <c r="C1263" i="24"/>
  <c r="C1304" i="24"/>
  <c r="C1336" i="24"/>
  <c r="C1368" i="24"/>
  <c r="C1400" i="24"/>
  <c r="C1432" i="24"/>
  <c r="C1464" i="24"/>
  <c r="C1496" i="24"/>
  <c r="C1528" i="24"/>
  <c r="C1560" i="24"/>
  <c r="C1592" i="24"/>
  <c r="C1624" i="24"/>
  <c r="C1656" i="24"/>
  <c r="C1688" i="24"/>
  <c r="C1720" i="24"/>
  <c r="C1752" i="24"/>
  <c r="C1784" i="24"/>
  <c r="C1816" i="24"/>
  <c r="C1848" i="24"/>
  <c r="C1880" i="24"/>
  <c r="C1928" i="24"/>
  <c r="C1976" i="24"/>
  <c r="C2056" i="24"/>
  <c r="C2120" i="24"/>
  <c r="C2232" i="24"/>
  <c r="C2488" i="24"/>
  <c r="G479" i="24"/>
  <c r="G495" i="24"/>
  <c r="G607" i="24"/>
  <c r="G623" i="24"/>
  <c r="G735" i="24"/>
  <c r="G751" i="24"/>
  <c r="G863" i="24"/>
  <c r="G879" i="24"/>
  <c r="G991" i="24"/>
  <c r="G1023" i="24"/>
  <c r="G1055" i="24"/>
  <c r="G1087" i="24"/>
  <c r="G1119" i="24"/>
  <c r="G1151" i="24"/>
  <c r="G1183" i="24"/>
  <c r="G1215" i="24"/>
  <c r="G1247" i="24"/>
  <c r="C1429" i="24"/>
  <c r="C1301" i="24"/>
  <c r="C534" i="24"/>
  <c r="C459" i="24"/>
  <c r="C2341" i="24"/>
  <c r="C1637" i="24"/>
  <c r="C1509" i="24"/>
  <c r="C123" i="24"/>
  <c r="C1142" i="24"/>
  <c r="C2193" i="24"/>
  <c r="C2337" i="24"/>
  <c r="C2433" i="24"/>
  <c r="G484" i="24"/>
  <c r="G556" i="24"/>
  <c r="G1048" i="24"/>
  <c r="G1176" i="24"/>
  <c r="C2041" i="24"/>
  <c r="C2121" i="24"/>
  <c r="C2509" i="24"/>
  <c r="K290" i="24"/>
  <c r="K250" i="24"/>
  <c r="K229" i="24"/>
  <c r="K253" i="24"/>
  <c r="C1961" i="24"/>
  <c r="K633" i="24"/>
  <c r="K744" i="24"/>
  <c r="K697" i="24"/>
  <c r="K669" i="24"/>
  <c r="K632" i="24"/>
  <c r="K589" i="24"/>
  <c r="K641" i="24"/>
  <c r="K620" i="24"/>
  <c r="K704" i="24"/>
  <c r="K661" i="24"/>
  <c r="K640" i="24"/>
  <c r="K597" i="24"/>
  <c r="K596" i="24"/>
  <c r="K649" i="24"/>
  <c r="K648" i="24"/>
  <c r="K753" i="24"/>
  <c r="K752" i="24"/>
  <c r="K660" i="24"/>
  <c r="C20" i="24"/>
  <c r="C84" i="24"/>
  <c r="C148" i="24"/>
  <c r="C212" i="24"/>
  <c r="C276" i="24"/>
  <c r="C340" i="24"/>
  <c r="C404" i="24"/>
  <c r="C468" i="24"/>
  <c r="C532" i="24"/>
  <c r="C596" i="24"/>
  <c r="C660" i="24"/>
  <c r="C724" i="24"/>
  <c r="C788" i="24"/>
  <c r="C852" i="24"/>
  <c r="C916" i="24"/>
  <c r="C980" i="24"/>
  <c r="C1044" i="24"/>
  <c r="C1108" i="24"/>
  <c r="C1172" i="24"/>
  <c r="C1236" i="24"/>
  <c r="C68" i="24"/>
  <c r="C132" i="24"/>
  <c r="C196" i="24"/>
  <c r="C260" i="24"/>
  <c r="C324" i="24"/>
  <c r="C388" i="24"/>
  <c r="O66" i="24"/>
  <c r="L63" i="23" s="1"/>
  <c r="O130" i="24"/>
  <c r="L127" i="23" s="1"/>
  <c r="C2221" i="24"/>
  <c r="C2189" i="24"/>
  <c r="C2157" i="24"/>
  <c r="C2125" i="24"/>
  <c r="C2093" i="24"/>
  <c r="C2061" i="24"/>
  <c r="C2029" i="24"/>
  <c r="C1997" i="24"/>
  <c r="C1965" i="24"/>
  <c r="C1933" i="24"/>
  <c r="C1901" i="24"/>
  <c r="C1773" i="24"/>
  <c r="C1645" i="24"/>
  <c r="C1517" i="24"/>
  <c r="C2397" i="24"/>
  <c r="C36" i="24"/>
  <c r="C100" i="24"/>
  <c r="C164" i="24"/>
  <c r="C228" i="24"/>
  <c r="C292" i="24"/>
  <c r="C356" i="24"/>
  <c r="C420" i="24"/>
  <c r="C484" i="24"/>
  <c r="C548" i="24"/>
  <c r="C612" i="24"/>
  <c r="C676" i="24"/>
  <c r="C740" i="24"/>
  <c r="C804" i="24"/>
  <c r="C868" i="24"/>
  <c r="C932" i="24"/>
  <c r="C996" i="24"/>
  <c r="C1060" i="24"/>
  <c r="C1124" i="24"/>
  <c r="K60" i="24"/>
  <c r="K44" i="24"/>
  <c r="K28" i="24"/>
  <c r="K12" i="24"/>
  <c r="K242" i="24"/>
  <c r="K241" i="24"/>
  <c r="K270" i="24"/>
  <c r="K269" i="24"/>
  <c r="K406" i="24"/>
  <c r="K405" i="24"/>
  <c r="K444" i="24"/>
  <c r="K445" i="24"/>
  <c r="K460" i="24"/>
  <c r="K461" i="24"/>
  <c r="K476" i="24"/>
  <c r="K477" i="24"/>
  <c r="K492" i="24"/>
  <c r="K493" i="24"/>
  <c r="K508" i="24"/>
  <c r="K509" i="24"/>
  <c r="K524" i="24"/>
  <c r="K525" i="24"/>
  <c r="K540" i="24"/>
  <c r="K541" i="24"/>
  <c r="K556" i="24"/>
  <c r="K557" i="24"/>
  <c r="K572" i="24"/>
  <c r="K573" i="24"/>
  <c r="K330" i="24"/>
  <c r="K329" i="24"/>
  <c r="K266" i="24"/>
  <c r="K265" i="24"/>
  <c r="K345" i="24"/>
  <c r="K398" i="24"/>
  <c r="K397" i="24"/>
  <c r="K438" i="24"/>
  <c r="K439" i="24"/>
  <c r="K454" i="24"/>
  <c r="K455" i="24"/>
  <c r="K470" i="24"/>
  <c r="K471" i="24"/>
  <c r="K486" i="24"/>
  <c r="K487" i="24"/>
  <c r="K502" i="24"/>
  <c r="K503" i="24"/>
  <c r="K518" i="24"/>
  <c r="K519" i="24"/>
  <c r="K534" i="24"/>
  <c r="K535" i="24"/>
  <c r="K550" i="24"/>
  <c r="K551" i="24"/>
  <c r="K566" i="24"/>
  <c r="K567" i="24"/>
  <c r="K582" i="24"/>
  <c r="K583" i="24"/>
  <c r="K598" i="24"/>
  <c r="K599" i="24"/>
  <c r="K614" i="24"/>
  <c r="K615" i="24"/>
  <c r="K630" i="24"/>
  <c r="K631" i="24"/>
  <c r="K646" i="24"/>
  <c r="K647" i="24"/>
  <c r="K662" i="24"/>
  <c r="K663" i="24"/>
  <c r="K678" i="24"/>
  <c r="K679" i="24"/>
  <c r="K694" i="24"/>
  <c r="K695" i="24"/>
  <c r="K710" i="24"/>
  <c r="K711" i="24"/>
  <c r="K726" i="24"/>
  <c r="K727" i="24"/>
  <c r="K742" i="24"/>
  <c r="K743" i="24"/>
  <c r="K758" i="24"/>
  <c r="K759" i="24"/>
  <c r="F39" i="28"/>
  <c r="F46" i="28"/>
  <c r="C1789" i="24"/>
  <c r="C1389" i="24"/>
  <c r="C1078" i="24"/>
  <c r="C907" i="24"/>
  <c r="C843" i="24"/>
  <c r="K306" i="24"/>
  <c r="K305" i="24"/>
  <c r="K334" i="24"/>
  <c r="K333" i="24"/>
  <c r="K390" i="24"/>
  <c r="K389" i="24"/>
  <c r="K448" i="24"/>
  <c r="K449" i="24"/>
  <c r="K464" i="24"/>
  <c r="K465" i="24"/>
  <c r="K480" i="24"/>
  <c r="K481" i="24"/>
  <c r="K496" i="24"/>
  <c r="K497" i="24"/>
  <c r="K512" i="24"/>
  <c r="K513" i="24"/>
  <c r="K528" i="24"/>
  <c r="K529" i="24"/>
  <c r="K544" i="24"/>
  <c r="K545" i="24"/>
  <c r="K560" i="24"/>
  <c r="K561" i="24"/>
  <c r="K576" i="24"/>
  <c r="K577" i="24"/>
  <c r="K238" i="24"/>
  <c r="K237" i="24"/>
  <c r="K442" i="24"/>
  <c r="K443" i="24"/>
  <c r="K458" i="24"/>
  <c r="K459" i="24"/>
  <c r="K474" i="24"/>
  <c r="K475" i="24"/>
  <c r="K490" i="24"/>
  <c r="K491" i="24"/>
  <c r="K506" i="24"/>
  <c r="K507" i="24"/>
  <c r="K522" i="24"/>
  <c r="K523" i="24"/>
  <c r="K538" i="24"/>
  <c r="K539" i="24"/>
  <c r="K554" i="24"/>
  <c r="K555" i="24"/>
  <c r="K570" i="24"/>
  <c r="K571" i="24"/>
  <c r="K586" i="24"/>
  <c r="K587" i="24"/>
  <c r="K602" i="24"/>
  <c r="K603" i="24"/>
  <c r="K618" i="24"/>
  <c r="K619" i="24"/>
  <c r="K634" i="24"/>
  <c r="K635" i="24"/>
  <c r="K650" i="24"/>
  <c r="K651" i="24"/>
  <c r="K666" i="24"/>
  <c r="K667" i="24"/>
  <c r="K682" i="24"/>
  <c r="K683" i="24"/>
  <c r="K698" i="24"/>
  <c r="K699" i="24"/>
  <c r="K714" i="24"/>
  <c r="K715" i="24"/>
  <c r="K730" i="24"/>
  <c r="K731" i="24"/>
  <c r="K746" i="24"/>
  <c r="K747" i="24"/>
  <c r="K762" i="24"/>
  <c r="K763" i="24"/>
  <c r="I35" i="28"/>
  <c r="I43" i="28" s="1"/>
  <c r="J35" i="28"/>
  <c r="J43" i="28" s="1"/>
  <c r="O194" i="24"/>
  <c r="L191" i="23" s="1"/>
  <c r="O258" i="24"/>
  <c r="L255" i="23" s="1"/>
  <c r="C2213" i="24"/>
  <c r="C2181" i="24"/>
  <c r="C2149" i="24"/>
  <c r="C2117" i="24"/>
  <c r="C2085" i="24"/>
  <c r="C2053" i="24"/>
  <c r="C2021" i="24"/>
  <c r="C1989" i="24"/>
  <c r="C1957" i="24"/>
  <c r="C1925" i="24"/>
  <c r="C1805" i="24"/>
  <c r="C1677" i="24"/>
  <c r="C1549" i="24"/>
  <c r="C1421" i="24"/>
  <c r="C1291" i="24"/>
  <c r="C950" i="24"/>
  <c r="C747" i="24"/>
  <c r="C518" i="24"/>
  <c r="C1669" i="24"/>
  <c r="C1413" i="24"/>
  <c r="C1110" i="24"/>
  <c r="C806" i="24"/>
  <c r="C731" i="24"/>
  <c r="C278" i="24"/>
  <c r="C166" i="24"/>
  <c r="C246" i="24"/>
  <c r="C75" i="24"/>
  <c r="G496" i="24"/>
  <c r="G624" i="24"/>
  <c r="K370" i="24"/>
  <c r="K369" i="24"/>
  <c r="K436" i="24"/>
  <c r="K437" i="24"/>
  <c r="K452" i="24"/>
  <c r="K453" i="24"/>
  <c r="K468" i="24"/>
  <c r="K469" i="24"/>
  <c r="K484" i="24"/>
  <c r="K485" i="24"/>
  <c r="K500" i="24"/>
  <c r="K501" i="24"/>
  <c r="K516" i="24"/>
  <c r="K517" i="24"/>
  <c r="K532" i="24"/>
  <c r="K533" i="24"/>
  <c r="K548" i="24"/>
  <c r="K549" i="24"/>
  <c r="K564" i="24"/>
  <c r="K565" i="24"/>
  <c r="K362" i="24"/>
  <c r="K361" i="24"/>
  <c r="K341" i="24"/>
  <c r="K298" i="24"/>
  <c r="K297" i="24"/>
  <c r="K277" i="24"/>
  <c r="K234" i="24"/>
  <c r="K233" i="24"/>
  <c r="K274" i="24"/>
  <c r="K273" i="24"/>
  <c r="K302" i="24"/>
  <c r="K301" i="24"/>
  <c r="K430" i="24"/>
  <c r="K429" i="24"/>
  <c r="K446" i="24"/>
  <c r="K447" i="24"/>
  <c r="K462" i="24"/>
  <c r="K463" i="24"/>
  <c r="K478" i="24"/>
  <c r="K479" i="24"/>
  <c r="K494" i="24"/>
  <c r="K495" i="24"/>
  <c r="K510" i="24"/>
  <c r="K511" i="24"/>
  <c r="K526" i="24"/>
  <c r="K527" i="24"/>
  <c r="K542" i="24"/>
  <c r="K543" i="24"/>
  <c r="K558" i="24"/>
  <c r="K559" i="24"/>
  <c r="K574" i="24"/>
  <c r="K575" i="24"/>
  <c r="K590" i="24"/>
  <c r="K591" i="24"/>
  <c r="K606" i="24"/>
  <c r="K607" i="24"/>
  <c r="K622" i="24"/>
  <c r="K623" i="24"/>
  <c r="K638" i="24"/>
  <c r="K639" i="24"/>
  <c r="K654" i="24"/>
  <c r="K655" i="24"/>
  <c r="K670" i="24"/>
  <c r="K671" i="24"/>
  <c r="K686" i="24"/>
  <c r="K687" i="24"/>
  <c r="K702" i="24"/>
  <c r="K703" i="24"/>
  <c r="K718" i="24"/>
  <c r="K719" i="24"/>
  <c r="K734" i="24"/>
  <c r="K735" i="24"/>
  <c r="K750" i="24"/>
  <c r="K751" i="24"/>
  <c r="C2153" i="24"/>
  <c r="C2201" i="24"/>
  <c r="C2217" i="24"/>
  <c r="H115" i="12"/>
  <c r="H112" i="12" s="1"/>
  <c r="O18" i="24"/>
  <c r="L15" i="23" s="1"/>
  <c r="O82" i="24"/>
  <c r="L79" i="23" s="1"/>
  <c r="O146" i="24"/>
  <c r="L143" i="23" s="1"/>
  <c r="O210" i="24"/>
  <c r="L207" i="23" s="1"/>
  <c r="C651" i="24"/>
  <c r="C422" i="24"/>
  <c r="C347" i="24"/>
  <c r="C155" i="24"/>
  <c r="C635" i="24"/>
  <c r="C251" i="24"/>
  <c r="C134" i="24"/>
  <c r="C22" i="24"/>
  <c r="C1841" i="24"/>
  <c r="C1777" i="24"/>
  <c r="C1713" i="24"/>
  <c r="C1585" i="24"/>
  <c r="C1521" i="24"/>
  <c r="C1329" i="24"/>
  <c r="C1254" i="24"/>
  <c r="C998" i="24"/>
  <c r="C470" i="24"/>
  <c r="C395" i="24"/>
  <c r="G508" i="24"/>
  <c r="G592" i="24"/>
  <c r="G636" i="24"/>
  <c r="G720" i="24"/>
  <c r="G764" i="24"/>
  <c r="G848" i="24"/>
  <c r="G892" i="24"/>
  <c r="G976" i="24"/>
  <c r="G1012" i="24"/>
  <c r="G1044" i="24"/>
  <c r="G1076" i="24"/>
  <c r="G1108" i="24"/>
  <c r="G1140" i="24"/>
  <c r="G1172" i="24"/>
  <c r="G1204" i="24"/>
  <c r="G1236" i="24"/>
  <c r="G500" i="24"/>
  <c r="G628" i="24"/>
  <c r="G756" i="24"/>
  <c r="G884" i="24"/>
  <c r="C1661" i="24"/>
  <c r="C1977" i="24"/>
  <c r="C2289" i="24"/>
  <c r="K422" i="24"/>
  <c r="K421" i="24"/>
  <c r="K440" i="24"/>
  <c r="K441" i="24"/>
  <c r="K456" i="24"/>
  <c r="K457" i="24"/>
  <c r="K472" i="24"/>
  <c r="K473" i="24"/>
  <c r="K488" i="24"/>
  <c r="K489" i="24"/>
  <c r="K504" i="24"/>
  <c r="K505" i="24"/>
  <c r="K520" i="24"/>
  <c r="K521" i="24"/>
  <c r="K536" i="24"/>
  <c r="K537" i="24"/>
  <c r="K552" i="24"/>
  <c r="K553" i="24"/>
  <c r="K568" i="24"/>
  <c r="K569" i="24"/>
  <c r="K181" i="24"/>
  <c r="K281" i="24"/>
  <c r="K338" i="24"/>
  <c r="K337" i="24"/>
  <c r="K366" i="24"/>
  <c r="K365" i="24"/>
  <c r="K414" i="24"/>
  <c r="K413" i="24"/>
  <c r="K434" i="24"/>
  <c r="K435" i="24"/>
  <c r="K450" i="24"/>
  <c r="K451" i="24"/>
  <c r="K466" i="24"/>
  <c r="K467" i="24"/>
  <c r="K482" i="24"/>
  <c r="K483" i="24"/>
  <c r="K498" i="24"/>
  <c r="K499" i="24"/>
  <c r="K514" i="24"/>
  <c r="K515" i="24"/>
  <c r="K530" i="24"/>
  <c r="K531" i="24"/>
  <c r="K546" i="24"/>
  <c r="K547" i="24"/>
  <c r="K562" i="24"/>
  <c r="K563" i="24"/>
  <c r="K578" i="24"/>
  <c r="K579" i="24"/>
  <c r="K594" i="24"/>
  <c r="K595" i="24"/>
  <c r="K610" i="24"/>
  <c r="K611" i="24"/>
  <c r="K626" i="24"/>
  <c r="K627" i="24"/>
  <c r="K642" i="24"/>
  <c r="K643" i="24"/>
  <c r="K658" i="24"/>
  <c r="K659" i="24"/>
  <c r="K674" i="24"/>
  <c r="K675" i="24"/>
  <c r="K690" i="24"/>
  <c r="K691" i="24"/>
  <c r="K706" i="24"/>
  <c r="K707" i="24"/>
  <c r="K722" i="24"/>
  <c r="K723" i="24"/>
  <c r="K738" i="24"/>
  <c r="K739" i="24"/>
  <c r="K754" i="24"/>
  <c r="K755" i="24"/>
  <c r="F37" i="28"/>
  <c r="F44" i="28"/>
  <c r="H35" i="28"/>
  <c r="H38" i="28"/>
  <c r="C2137" i="24"/>
  <c r="C2297" i="24"/>
  <c r="C2469" i="24"/>
  <c r="C2009" i="24"/>
  <c r="C2073" i="24"/>
  <c r="C491" i="24"/>
  <c r="K85" i="24"/>
  <c r="K21" i="24"/>
  <c r="C250" i="24"/>
  <c r="C271" i="24"/>
  <c r="C634" i="24"/>
  <c r="C698" i="24"/>
  <c r="C847" i="24"/>
  <c r="C911" i="24"/>
  <c r="C954" i="24"/>
  <c r="C1039" i="24"/>
  <c r="C1082" i="24"/>
  <c r="C1167" i="24"/>
  <c r="C1188" i="24"/>
  <c r="C1210" i="24"/>
  <c r="C1252" i="24"/>
  <c r="C1295" i="24"/>
  <c r="C1328" i="24"/>
  <c r="C1360" i="24"/>
  <c r="C1392" i="24"/>
  <c r="C1424" i="24"/>
  <c r="C1456" i="24"/>
  <c r="C1488" i="24"/>
  <c r="C1520" i="24"/>
  <c r="C1552" i="24"/>
  <c r="C1584" i="24"/>
  <c r="C1616" i="24"/>
  <c r="C1648" i="24"/>
  <c r="C1680" i="24"/>
  <c r="C1712" i="24"/>
  <c r="C1744" i="24"/>
  <c r="C1776" i="24"/>
  <c r="C1808" i="24"/>
  <c r="C1840" i="24"/>
  <c r="C1872" i="24"/>
  <c r="C1904" i="24"/>
  <c r="C1968" i="24"/>
  <c r="C2032" i="24"/>
  <c r="C2096" i="24"/>
  <c r="C2160" i="24"/>
  <c r="C2224" i="24"/>
  <c r="C2272" i="24"/>
  <c r="C2320" i="24"/>
  <c r="C2368" i="24"/>
  <c r="C2496" i="24"/>
  <c r="C1241" i="24"/>
  <c r="C1177" i="24"/>
  <c r="G457" i="24"/>
  <c r="G575" i="24"/>
  <c r="G591" i="24"/>
  <c r="G703" i="24"/>
  <c r="G719" i="24"/>
  <c r="G831" i="24"/>
  <c r="G847" i="24"/>
  <c r="G959" i="24"/>
  <c r="G975" i="24"/>
  <c r="O25" i="24"/>
  <c r="L22" i="23" s="1"/>
  <c r="C2229" i="24"/>
  <c r="C2197" i="24"/>
  <c r="C2165" i="24"/>
  <c r="C2133" i="24"/>
  <c r="C2101" i="24"/>
  <c r="C2069" i="24"/>
  <c r="C2037" i="24"/>
  <c r="C2005" i="24"/>
  <c r="C1973" i="24"/>
  <c r="C1941" i="24"/>
  <c r="C1909" i="24"/>
  <c r="C1869" i="24"/>
  <c r="C1741" i="24"/>
  <c r="C1613" i="24"/>
  <c r="C1485" i="24"/>
  <c r="C1357" i="24"/>
  <c r="C1206" i="24"/>
  <c r="C1035" i="24"/>
  <c r="C406" i="24"/>
  <c r="C331" i="24"/>
  <c r="C1733" i="24"/>
  <c r="C1477" i="24"/>
  <c r="C1195" i="24"/>
  <c r="C694" i="24"/>
  <c r="C315" i="24"/>
  <c r="C1243" i="24"/>
  <c r="C566" i="24"/>
  <c r="C91" i="24"/>
  <c r="G984" i="24"/>
  <c r="G568" i="24"/>
  <c r="G469" i="24"/>
  <c r="G644" i="24"/>
  <c r="K33" i="24"/>
  <c r="N62" i="34"/>
  <c r="O62" i="34" s="1"/>
  <c r="P62" i="34" s="1"/>
  <c r="Q62" i="34" s="1"/>
  <c r="C42" i="24"/>
  <c r="C298" i="24"/>
  <c r="C362" i="24"/>
  <c r="C575" i="24"/>
  <c r="C639" i="24"/>
  <c r="C810" i="24"/>
  <c r="C1151" i="24"/>
  <c r="C1316" i="24"/>
  <c r="C1444" i="24"/>
  <c r="C1572" i="24"/>
  <c r="C1700" i="24"/>
  <c r="C1716" i="24"/>
  <c r="C1828" i="24"/>
  <c r="C1253" i="24"/>
  <c r="C1125" i="24"/>
  <c r="C997" i="24"/>
  <c r="C981" i="24"/>
  <c r="C789" i="24"/>
  <c r="C581" i="24"/>
  <c r="C565" i="24"/>
  <c r="C501" i="24"/>
  <c r="C485" i="24"/>
  <c r="C469" i="24"/>
  <c r="C421" i="24"/>
  <c r="C229" i="24"/>
  <c r="C133" i="24"/>
  <c r="C53" i="24"/>
  <c r="C21" i="24"/>
  <c r="G449" i="24"/>
  <c r="G417" i="24"/>
  <c r="G385" i="24"/>
  <c r="G353" i="24"/>
  <c r="G321" i="24"/>
  <c r="G289" i="24"/>
  <c r="G257" i="24"/>
  <c r="G225" i="24"/>
  <c r="G193" i="24"/>
  <c r="G161" i="24"/>
  <c r="G129" i="24"/>
  <c r="G97" i="24"/>
  <c r="G65" i="24"/>
  <c r="G33" i="24"/>
  <c r="G443" i="24"/>
  <c r="G427" i="24"/>
  <c r="G203" i="24"/>
  <c r="G187" i="24"/>
  <c r="G171" i="24"/>
  <c r="G499" i="24"/>
  <c r="G627" i="24"/>
  <c r="G643" i="24"/>
  <c r="G739" i="24"/>
  <c r="G755" i="24"/>
  <c r="G883" i="24"/>
  <c r="G1011" i="24"/>
  <c r="G1043" i="24"/>
  <c r="G1075" i="24"/>
  <c r="G1107" i="24"/>
  <c r="G1139" i="24"/>
  <c r="G1171" i="24"/>
  <c r="G1203" i="24"/>
  <c r="G1235" i="24"/>
  <c r="O245" i="24"/>
  <c r="L242" i="23" s="1"/>
  <c r="O117" i="24"/>
  <c r="L114" i="23" s="1"/>
  <c r="C614" i="24"/>
  <c r="C214" i="24"/>
  <c r="C102" i="24"/>
  <c r="C827" i="24"/>
  <c r="C523" i="24"/>
  <c r="C2369" i="24"/>
  <c r="C2497" i="24"/>
  <c r="G740" i="24"/>
  <c r="G812" i="24"/>
  <c r="G1112" i="24"/>
  <c r="G1240" i="24"/>
  <c r="K93" i="24"/>
  <c r="C90" i="24"/>
  <c r="C154" i="24"/>
  <c r="C346" i="24"/>
  <c r="C410" i="24"/>
  <c r="C559" i="24"/>
  <c r="C751" i="24"/>
  <c r="C2104" i="24"/>
  <c r="C2264" i="24"/>
  <c r="G468" i="24"/>
  <c r="G567" i="24"/>
  <c r="G583" i="24"/>
  <c r="G711" i="24"/>
  <c r="G839" i="24"/>
  <c r="G967" i="24"/>
  <c r="G983" i="24"/>
  <c r="G999" i="24"/>
  <c r="G1031" i="24"/>
  <c r="G1063" i="24"/>
  <c r="G1095" i="24"/>
  <c r="G1127" i="24"/>
  <c r="G1159" i="24"/>
  <c r="G1191" i="24"/>
  <c r="G1223" i="24"/>
  <c r="G1255" i="24"/>
  <c r="C1717" i="24"/>
  <c r="C443" i="24"/>
  <c r="C363" i="24"/>
  <c r="C187" i="24"/>
  <c r="C1849" i="24"/>
  <c r="C1817" i="24"/>
  <c r="C1785" i="24"/>
  <c r="C1721" i="24"/>
  <c r="C1689" i="24"/>
  <c r="C1657" i="24"/>
  <c r="C1593" i="24"/>
  <c r="C1561" i="24"/>
  <c r="C1529" i="24"/>
  <c r="C1465" i="24"/>
  <c r="C1433" i="24"/>
  <c r="C1401" i="24"/>
  <c r="C1337" i="24"/>
  <c r="C1305" i="24"/>
  <c r="C1179" i="24"/>
  <c r="C1094" i="24"/>
  <c r="C966" i="24"/>
  <c r="C923" i="24"/>
  <c r="C598" i="24"/>
  <c r="C171" i="24"/>
  <c r="C358" i="24"/>
  <c r="C507" i="24"/>
  <c r="C1373" i="24"/>
  <c r="C2017" i="24"/>
  <c r="G540" i="24"/>
  <c r="G668" i="24"/>
  <c r="G752" i="24"/>
  <c r="G796" i="24"/>
  <c r="G880" i="24"/>
  <c r="G924" i="24"/>
  <c r="G1004" i="24"/>
  <c r="G1036" i="24"/>
  <c r="G1068" i="24"/>
  <c r="G1100" i="24"/>
  <c r="G1132" i="24"/>
  <c r="G1164" i="24"/>
  <c r="G1196" i="24"/>
  <c r="G1228" i="24"/>
  <c r="G1260" i="24"/>
  <c r="G532" i="24"/>
  <c r="G660" i="24"/>
  <c r="G788" i="24"/>
  <c r="G916" i="24"/>
  <c r="G908" i="24"/>
  <c r="G1056" i="24"/>
  <c r="G1184" i="24"/>
  <c r="C62" i="24"/>
  <c r="C126" i="24"/>
  <c r="C190" i="24"/>
  <c r="C254" i="24"/>
  <c r="C318" i="24"/>
  <c r="C382" i="24"/>
  <c r="C446" i="24"/>
  <c r="C510" i="24"/>
  <c r="C574" i="24"/>
  <c r="C638" i="24"/>
  <c r="C702" i="24"/>
  <c r="C766" i="24"/>
  <c r="C830" i="24"/>
  <c r="C894" i="24"/>
  <c r="C958" i="24"/>
  <c r="C1022" i="24"/>
  <c r="C1086" i="24"/>
  <c r="C1150" i="24"/>
  <c r="C1214" i="24"/>
  <c r="C1278" i="24"/>
  <c r="C1289" i="24"/>
  <c r="C1225" i="24"/>
  <c r="C1113" i="24"/>
  <c r="C1049" i="24"/>
  <c r="C985" i="24"/>
  <c r="C921" i="24"/>
  <c r="C857" i="24"/>
  <c r="C793" i="24"/>
  <c r="G16" i="24"/>
  <c r="G48" i="24"/>
  <c r="G80" i="24"/>
  <c r="G112" i="24"/>
  <c r="G144" i="24"/>
  <c r="G176" i="24"/>
  <c r="G208" i="24"/>
  <c r="G240" i="24"/>
  <c r="G272" i="24"/>
  <c r="G304" i="24"/>
  <c r="G336" i="24"/>
  <c r="G368" i="24"/>
  <c r="G400" i="24"/>
  <c r="G432" i="24"/>
  <c r="G10" i="24"/>
  <c r="G42" i="24"/>
  <c r="G74" i="24"/>
  <c r="G106" i="24"/>
  <c r="G138" i="24"/>
  <c r="O233" i="24"/>
  <c r="L230" i="23" s="1"/>
  <c r="O169" i="24"/>
  <c r="L166" i="23" s="1"/>
  <c r="O105" i="24"/>
  <c r="L102" i="23" s="1"/>
  <c r="O41" i="24"/>
  <c r="L38" i="23" s="1"/>
  <c r="C2237" i="24"/>
  <c r="C2205" i="24"/>
  <c r="C2173" i="24"/>
  <c r="C2141" i="24"/>
  <c r="C2109" i="24"/>
  <c r="C2077" i="24"/>
  <c r="C2045" i="24"/>
  <c r="C2013" i="24"/>
  <c r="C1981" i="24"/>
  <c r="C1949" i="24"/>
  <c r="C1917" i="24"/>
  <c r="C1837" i="24"/>
  <c r="C1709" i="24"/>
  <c r="C1581" i="24"/>
  <c r="C1453" i="24"/>
  <c r="C1325" i="24"/>
  <c r="C1163" i="24"/>
  <c r="C502" i="24"/>
  <c r="C1457" i="24"/>
  <c r="C811" i="24"/>
  <c r="C582" i="24"/>
  <c r="C411" i="24"/>
  <c r="C139" i="24"/>
  <c r="C54" i="24"/>
  <c r="C230" i="24"/>
  <c r="C699" i="24"/>
  <c r="G584" i="24"/>
  <c r="G712" i="24"/>
  <c r="G840" i="24"/>
  <c r="G968" i="24"/>
  <c r="G576" i="24"/>
  <c r="G704" i="24"/>
  <c r="G832" i="24"/>
  <c r="G960" i="24"/>
  <c r="K197" i="24"/>
  <c r="K198" i="24"/>
  <c r="C795" i="24"/>
  <c r="C454" i="24"/>
  <c r="C283" i="24"/>
  <c r="C2325" i="24"/>
  <c r="G560" i="24"/>
  <c r="G604" i="24"/>
  <c r="G688" i="24"/>
  <c r="G732" i="24"/>
  <c r="G816" i="24"/>
  <c r="G860" i="24"/>
  <c r="G944" i="24"/>
  <c r="G988" i="24"/>
  <c r="G1020" i="24"/>
  <c r="G1052" i="24"/>
  <c r="G1084" i="24"/>
  <c r="G1116" i="24"/>
  <c r="G1148" i="24"/>
  <c r="G1180" i="24"/>
  <c r="G1212" i="24"/>
  <c r="G1244" i="24"/>
  <c r="G552" i="24"/>
  <c r="G680" i="24"/>
  <c r="G808" i="24"/>
  <c r="G936" i="24"/>
  <c r="G544" i="24"/>
  <c r="G672" i="24"/>
  <c r="G800" i="24"/>
  <c r="G928" i="24"/>
  <c r="K136" i="24"/>
  <c r="K120" i="24"/>
  <c r="K104" i="24"/>
  <c r="K88" i="24"/>
  <c r="K72" i="24"/>
  <c r="K56" i="24"/>
  <c r="K40" i="24"/>
  <c r="K24" i="24"/>
  <c r="C94" i="24"/>
  <c r="C158" i="24"/>
  <c r="C222" i="24"/>
  <c r="C286" i="24"/>
  <c r="C350" i="24"/>
  <c r="C414" i="24"/>
  <c r="C478" i="24"/>
  <c r="C542" i="24"/>
  <c r="C606" i="24"/>
  <c r="C670" i="24"/>
  <c r="C734" i="24"/>
  <c r="C798" i="24"/>
  <c r="C862" i="24"/>
  <c r="C926" i="24"/>
  <c r="C990" i="24"/>
  <c r="C1054" i="24"/>
  <c r="C1118" i="24"/>
  <c r="C1182" i="24"/>
  <c r="C1246" i="24"/>
  <c r="C452" i="24"/>
  <c r="C516" i="24"/>
  <c r="C580" i="24"/>
  <c r="C644" i="24"/>
  <c r="C708" i="24"/>
  <c r="C772" i="24"/>
  <c r="C836" i="24"/>
  <c r="C900" i="24"/>
  <c r="C964" i="24"/>
  <c r="C1028" i="24"/>
  <c r="C1092" i="24"/>
  <c r="C1156" i="24"/>
  <c r="C1220" i="24"/>
  <c r="C1284" i="24"/>
  <c r="G472" i="24"/>
  <c r="C310" i="24"/>
  <c r="C1889" i="24"/>
  <c r="C1857" i="24"/>
  <c r="C1825" i="24"/>
  <c r="C1793" i="24"/>
  <c r="C1761" i="24"/>
  <c r="C1729" i="24"/>
  <c r="C1697" i="24"/>
  <c r="C1665" i="24"/>
  <c r="C1633" i="24"/>
  <c r="C1601" i="24"/>
  <c r="C1569" i="24"/>
  <c r="C1537" i="24"/>
  <c r="C1505" i="24"/>
  <c r="C1473" i="24"/>
  <c r="C1441" i="24"/>
  <c r="C1409" i="24"/>
  <c r="C1377" i="24"/>
  <c r="C1345" i="24"/>
  <c r="C1313" i="24"/>
  <c r="C1275" i="24"/>
  <c r="C1190" i="24"/>
  <c r="C1147" i="24"/>
  <c r="C1062" i="24"/>
  <c r="C1019" i="24"/>
  <c r="C934" i="24"/>
  <c r="C891" i="24"/>
  <c r="C838" i="24"/>
  <c r="C726" i="24"/>
  <c r="C667" i="24"/>
  <c r="C555" i="24"/>
  <c r="C326" i="24"/>
  <c r="C267" i="24"/>
  <c r="C182" i="24"/>
  <c r="C11" i="24"/>
  <c r="C774" i="24"/>
  <c r="C2293" i="24"/>
  <c r="G528" i="24"/>
  <c r="G572" i="24"/>
  <c r="G656" i="24"/>
  <c r="G700" i="24"/>
  <c r="G784" i="24"/>
  <c r="G828" i="24"/>
  <c r="G912" i="24"/>
  <c r="G956" i="24"/>
  <c r="G996" i="24"/>
  <c r="G1028" i="24"/>
  <c r="G1060" i="24"/>
  <c r="G1092" i="24"/>
  <c r="G1124" i="24"/>
  <c r="G1156" i="24"/>
  <c r="G1188" i="24"/>
  <c r="G1220" i="24"/>
  <c r="G1252" i="24"/>
  <c r="G520" i="24"/>
  <c r="G564" i="24"/>
  <c r="G648" i="24"/>
  <c r="G692" i="24"/>
  <c r="G776" i="24"/>
  <c r="G820" i="24"/>
  <c r="G904" i="24"/>
  <c r="G948" i="24"/>
  <c r="G512" i="24"/>
  <c r="G640" i="24"/>
  <c r="G768" i="24"/>
  <c r="G896" i="24"/>
  <c r="O42" i="24"/>
  <c r="L39" i="23" s="1"/>
  <c r="O106" i="24"/>
  <c r="L103" i="23" s="1"/>
  <c r="O170" i="24"/>
  <c r="L167" i="23" s="1"/>
  <c r="O234" i="24"/>
  <c r="L231" i="23" s="1"/>
  <c r="K209" i="24"/>
  <c r="K210" i="24"/>
  <c r="C1881" i="24"/>
  <c r="C1753" i="24"/>
  <c r="C1625" i="24"/>
  <c r="C1497" i="24"/>
  <c r="C1369" i="24"/>
  <c r="C1222" i="24"/>
  <c r="C1051" i="24"/>
  <c r="C427" i="24"/>
  <c r="C2261" i="24"/>
  <c r="G488" i="24"/>
  <c r="G616" i="24"/>
  <c r="G744" i="24"/>
  <c r="G872" i="24"/>
  <c r="G480" i="24"/>
  <c r="G608" i="24"/>
  <c r="G736" i="24"/>
  <c r="G864" i="24"/>
  <c r="K10" i="24"/>
  <c r="K11" i="24"/>
  <c r="K43" i="24"/>
  <c r="K42" i="24"/>
  <c r="K427" i="24"/>
  <c r="K428" i="24"/>
  <c r="K411" i="24"/>
  <c r="K412" i="24"/>
  <c r="K395" i="24"/>
  <c r="K396" i="24"/>
  <c r="K379" i="24"/>
  <c r="K380" i="24"/>
  <c r="K363" i="24"/>
  <c r="K364" i="24"/>
  <c r="K347" i="24"/>
  <c r="K348" i="24"/>
  <c r="K331" i="24"/>
  <c r="K332" i="24"/>
  <c r="K315" i="24"/>
  <c r="K316" i="24"/>
  <c r="K299" i="24"/>
  <c r="K300" i="24"/>
  <c r="K283" i="24"/>
  <c r="K284" i="24"/>
  <c r="K267" i="24"/>
  <c r="K268" i="24"/>
  <c r="K251" i="24"/>
  <c r="K252" i="24"/>
  <c r="K235" i="24"/>
  <c r="K236" i="24"/>
  <c r="K219" i="24"/>
  <c r="K220" i="24"/>
  <c r="K203" i="24"/>
  <c r="K204" i="24"/>
  <c r="K187" i="24"/>
  <c r="K188" i="24"/>
  <c r="K171" i="24"/>
  <c r="K172" i="24"/>
  <c r="K155" i="24"/>
  <c r="K156" i="24"/>
  <c r="K139" i="24"/>
  <c r="K140" i="24"/>
  <c r="K123" i="24"/>
  <c r="K124" i="24"/>
  <c r="K107" i="24"/>
  <c r="K108" i="24"/>
  <c r="K91" i="24"/>
  <c r="K92" i="24"/>
  <c r="K75" i="24"/>
  <c r="K76" i="24"/>
  <c r="K31" i="24"/>
  <c r="K30" i="24"/>
  <c r="K63" i="24"/>
  <c r="K62" i="24"/>
  <c r="K95" i="24"/>
  <c r="K94" i="24"/>
  <c r="K127" i="24"/>
  <c r="K126" i="24"/>
  <c r="K173" i="24"/>
  <c r="K174" i="24"/>
  <c r="K195" i="24"/>
  <c r="K194" i="24"/>
  <c r="C19" i="24"/>
  <c r="C18" i="24"/>
  <c r="C39" i="24"/>
  <c r="C40" i="24"/>
  <c r="C83" i="24"/>
  <c r="C82" i="24"/>
  <c r="C103" i="24"/>
  <c r="C104" i="24"/>
  <c r="C147" i="24"/>
  <c r="C146" i="24"/>
  <c r="C167" i="24"/>
  <c r="C168" i="24"/>
  <c r="C211" i="24"/>
  <c r="C210" i="24"/>
  <c r="C231" i="24"/>
  <c r="C232" i="24"/>
  <c r="C275" i="24"/>
  <c r="C274" i="24"/>
  <c r="C295" i="24"/>
  <c r="C296" i="24"/>
  <c r="C339" i="24"/>
  <c r="C338" i="24"/>
  <c r="C359" i="24"/>
  <c r="C360" i="24"/>
  <c r="C403" i="24"/>
  <c r="C402" i="24"/>
  <c r="C423" i="24"/>
  <c r="C424" i="24"/>
  <c r="C467" i="24"/>
  <c r="C466" i="24"/>
  <c r="C487" i="24"/>
  <c r="C488" i="24"/>
  <c r="C531" i="24"/>
  <c r="C530" i="24"/>
  <c r="C551" i="24"/>
  <c r="C552" i="24"/>
  <c r="C595" i="24"/>
  <c r="C594" i="24"/>
  <c r="C615" i="24"/>
  <c r="C616" i="24"/>
  <c r="C659" i="24"/>
  <c r="C658" i="24"/>
  <c r="C679" i="24"/>
  <c r="C680" i="24"/>
  <c r="C723" i="24"/>
  <c r="C722" i="24"/>
  <c r="C743" i="24"/>
  <c r="C744" i="24"/>
  <c r="C787" i="24"/>
  <c r="C786" i="24"/>
  <c r="C807" i="24"/>
  <c r="C808" i="24"/>
  <c r="C851" i="24"/>
  <c r="C850" i="24"/>
  <c r="C871" i="24"/>
  <c r="C872" i="24"/>
  <c r="C915" i="24"/>
  <c r="C914" i="24"/>
  <c r="C935" i="24"/>
  <c r="C936" i="24"/>
  <c r="C979" i="24"/>
  <c r="C978" i="24"/>
  <c r="C999" i="24"/>
  <c r="C1000" i="24"/>
  <c r="C1043" i="24"/>
  <c r="C1042" i="24"/>
  <c r="C1063" i="24"/>
  <c r="C1064" i="24"/>
  <c r="C1107" i="24"/>
  <c r="C1106" i="24"/>
  <c r="C1127" i="24"/>
  <c r="C1128" i="24"/>
  <c r="C1171" i="24"/>
  <c r="C1170" i="24"/>
  <c r="C1191" i="24"/>
  <c r="C1192" i="24"/>
  <c r="C1235" i="24"/>
  <c r="C1234" i="24"/>
  <c r="C1255" i="24"/>
  <c r="C1256" i="24"/>
  <c r="C1299" i="24"/>
  <c r="C1298" i="24"/>
  <c r="C1315" i="24"/>
  <c r="C1314" i="24"/>
  <c r="C1331" i="24"/>
  <c r="C1330" i="24"/>
  <c r="C1347" i="24"/>
  <c r="C1346" i="24"/>
  <c r="C1363" i="24"/>
  <c r="C1362" i="24"/>
  <c r="C1379" i="24"/>
  <c r="C1378" i="24"/>
  <c r="C1395" i="24"/>
  <c r="C1394" i="24"/>
  <c r="C1411" i="24"/>
  <c r="C1410" i="24"/>
  <c r="C1427" i="24"/>
  <c r="C1426" i="24"/>
  <c r="C1443" i="24"/>
  <c r="C1442" i="24"/>
  <c r="C1459" i="24"/>
  <c r="C1458" i="24"/>
  <c r="C1475" i="24"/>
  <c r="C1474" i="24"/>
  <c r="C1491" i="24"/>
  <c r="C1490" i="24"/>
  <c r="C1507" i="24"/>
  <c r="C1506" i="24"/>
  <c r="C1523" i="24"/>
  <c r="C1522" i="24"/>
  <c r="C1539" i="24"/>
  <c r="C1538" i="24"/>
  <c r="C1555" i="24"/>
  <c r="C1554" i="24"/>
  <c r="C1571" i="24"/>
  <c r="C1570" i="24"/>
  <c r="C1587" i="24"/>
  <c r="C1586" i="24"/>
  <c r="C1603" i="24"/>
  <c r="C1602" i="24"/>
  <c r="C1619" i="24"/>
  <c r="C1618" i="24"/>
  <c r="C1635" i="24"/>
  <c r="C1634" i="24"/>
  <c r="C1651" i="24"/>
  <c r="C1650" i="24"/>
  <c r="C1667" i="24"/>
  <c r="C1666" i="24"/>
  <c r="C1683" i="24"/>
  <c r="C1682" i="24"/>
  <c r="C1699" i="24"/>
  <c r="C1698" i="24"/>
  <c r="C1715" i="24"/>
  <c r="C1714" i="24"/>
  <c r="C1731" i="24"/>
  <c r="C1730" i="24"/>
  <c r="C1747" i="24"/>
  <c r="C1746" i="24"/>
  <c r="C1763" i="24"/>
  <c r="C1762" i="24"/>
  <c r="C1779" i="24"/>
  <c r="C1778" i="24"/>
  <c r="C1795" i="24"/>
  <c r="C1794" i="24"/>
  <c r="C1811" i="24"/>
  <c r="C1810" i="24"/>
  <c r="C1827" i="24"/>
  <c r="C1826" i="24"/>
  <c r="C1843" i="24"/>
  <c r="C1842" i="24"/>
  <c r="C1859" i="24"/>
  <c r="C1858" i="24"/>
  <c r="C1875" i="24"/>
  <c r="C1874" i="24"/>
  <c r="C1891" i="24"/>
  <c r="C1890" i="24"/>
  <c r="C1907" i="24"/>
  <c r="C1906" i="24"/>
  <c r="C1923" i="24"/>
  <c r="C1922" i="24"/>
  <c r="C1939" i="24"/>
  <c r="C1938" i="24"/>
  <c r="C1955" i="24"/>
  <c r="C1954" i="24"/>
  <c r="C1971" i="24"/>
  <c r="C1970" i="24"/>
  <c r="C1987" i="24"/>
  <c r="C1986" i="24"/>
  <c r="C2003" i="24"/>
  <c r="C2002" i="24"/>
  <c r="C2019" i="24"/>
  <c r="C2018" i="24"/>
  <c r="C2035" i="24"/>
  <c r="C2034" i="24"/>
  <c r="C2051" i="24"/>
  <c r="C2050" i="24"/>
  <c r="C2067" i="24"/>
  <c r="C2066" i="24"/>
  <c r="C2083" i="24"/>
  <c r="C2082" i="24"/>
  <c r="C2099" i="24"/>
  <c r="C2098" i="24"/>
  <c r="C2115" i="24"/>
  <c r="C2114" i="24"/>
  <c r="C2131" i="24"/>
  <c r="C2130" i="24"/>
  <c r="C2147" i="24"/>
  <c r="C2146" i="24"/>
  <c r="C2163" i="24"/>
  <c r="C2162" i="24"/>
  <c r="C2179" i="24"/>
  <c r="C2178" i="24"/>
  <c r="C2195" i="24"/>
  <c r="C2194" i="24"/>
  <c r="C2211" i="24"/>
  <c r="C2210" i="24"/>
  <c r="C2227" i="24"/>
  <c r="C2226" i="24"/>
  <c r="C2243" i="24"/>
  <c r="C2242" i="24"/>
  <c r="C2259" i="24"/>
  <c r="C2258" i="24"/>
  <c r="C2275" i="24"/>
  <c r="C2274" i="24"/>
  <c r="C2291" i="24"/>
  <c r="C2290" i="24"/>
  <c r="C2307" i="24"/>
  <c r="C2306" i="24"/>
  <c r="C2323" i="24"/>
  <c r="C2322" i="24"/>
  <c r="C2339" i="24"/>
  <c r="C2338" i="24"/>
  <c r="C2355" i="24"/>
  <c r="C2354" i="24"/>
  <c r="C2371" i="24"/>
  <c r="C2370" i="24"/>
  <c r="C2387" i="24"/>
  <c r="C2386" i="24"/>
  <c r="C2403" i="24"/>
  <c r="C2402" i="24"/>
  <c r="C2419" i="24"/>
  <c r="C2418" i="24"/>
  <c r="C2435" i="24"/>
  <c r="C2434" i="24"/>
  <c r="C2451" i="24"/>
  <c r="C2450" i="24"/>
  <c r="C2467" i="24"/>
  <c r="C2466" i="24"/>
  <c r="C2483" i="24"/>
  <c r="C2482" i="24"/>
  <c r="C2499" i="24"/>
  <c r="C2498" i="24"/>
  <c r="C2515" i="24"/>
  <c r="C2514" i="24"/>
  <c r="C1273" i="24"/>
  <c r="C1257" i="24"/>
  <c r="C1209" i="24"/>
  <c r="C1193" i="24"/>
  <c r="C1161" i="24"/>
  <c r="C1145" i="24"/>
  <c r="C1129" i="24"/>
  <c r="C1097" i="24"/>
  <c r="C1081" i="24"/>
  <c r="C1065" i="24"/>
  <c r="C1033" i="24"/>
  <c r="C1017" i="24"/>
  <c r="C1001" i="24"/>
  <c r="C969" i="24"/>
  <c r="C953" i="24"/>
  <c r="C937" i="24"/>
  <c r="C905" i="24"/>
  <c r="C889" i="24"/>
  <c r="C873" i="24"/>
  <c r="C841" i="24"/>
  <c r="C825" i="24"/>
  <c r="C809" i="24"/>
  <c r="C777" i="24"/>
  <c r="C761" i="24"/>
  <c r="C745" i="24"/>
  <c r="C729" i="24"/>
  <c r="C713" i="24"/>
  <c r="C697" i="24"/>
  <c r="C681" i="24"/>
  <c r="C665" i="24"/>
  <c r="C649" i="24"/>
  <c r="C633" i="24"/>
  <c r="C617" i="24"/>
  <c r="C601" i="24"/>
  <c r="C585" i="24"/>
  <c r="C569" i="24"/>
  <c r="C553" i="24"/>
  <c r="C537" i="24"/>
  <c r="C521" i="24"/>
  <c r="C505" i="24"/>
  <c r="C489" i="24"/>
  <c r="C473" i="24"/>
  <c r="C457" i="24"/>
  <c r="C441" i="24"/>
  <c r="C425" i="24"/>
  <c r="C409" i="24"/>
  <c r="C393" i="24"/>
  <c r="C377" i="24"/>
  <c r="C361" i="24"/>
  <c r="C345" i="24"/>
  <c r="C329" i="24"/>
  <c r="C313" i="24"/>
  <c r="C297" i="24"/>
  <c r="C281" i="24"/>
  <c r="C265" i="24"/>
  <c r="C249" i="24"/>
  <c r="C233" i="24"/>
  <c r="C217" i="24"/>
  <c r="C201" i="24"/>
  <c r="C185" i="24"/>
  <c r="C169" i="24"/>
  <c r="C153" i="24"/>
  <c r="C137" i="24"/>
  <c r="C121" i="24"/>
  <c r="C105" i="24"/>
  <c r="C89" i="24"/>
  <c r="C73" i="24"/>
  <c r="C57" i="24"/>
  <c r="C41" i="24"/>
  <c r="C25" i="24"/>
  <c r="C9" i="24"/>
  <c r="G452" i="24"/>
  <c r="G453" i="24"/>
  <c r="G436" i="24"/>
  <c r="G437" i="24"/>
  <c r="G420" i="24"/>
  <c r="G421" i="24"/>
  <c r="G404" i="24"/>
  <c r="G405" i="24"/>
  <c r="G388" i="24"/>
  <c r="G389" i="24"/>
  <c r="G372" i="24"/>
  <c r="G373" i="24"/>
  <c r="G356" i="24"/>
  <c r="G357" i="24"/>
  <c r="G340" i="24"/>
  <c r="G341" i="24"/>
  <c r="G324" i="24"/>
  <c r="G325" i="24"/>
  <c r="G308" i="24"/>
  <c r="G309" i="24"/>
  <c r="G292" i="24"/>
  <c r="G293" i="24"/>
  <c r="G276" i="24"/>
  <c r="G277" i="24"/>
  <c r="G260" i="24"/>
  <c r="G261" i="24"/>
  <c r="G244" i="24"/>
  <c r="G245" i="24"/>
  <c r="G228" i="24"/>
  <c r="G229" i="24"/>
  <c r="G212" i="24"/>
  <c r="G213" i="24"/>
  <c r="G196" i="24"/>
  <c r="G197" i="24"/>
  <c r="G180" i="24"/>
  <c r="G181" i="24"/>
  <c r="G164" i="24"/>
  <c r="G165" i="24"/>
  <c r="G148" i="24"/>
  <c r="G149" i="24"/>
  <c r="G132" i="24"/>
  <c r="G133" i="24"/>
  <c r="G116" i="24"/>
  <c r="G117" i="24"/>
  <c r="G100" i="24"/>
  <c r="G101" i="24"/>
  <c r="G84" i="24"/>
  <c r="G85" i="24"/>
  <c r="G68" i="24"/>
  <c r="G69" i="24"/>
  <c r="G52" i="24"/>
  <c r="G53" i="24"/>
  <c r="G36" i="24"/>
  <c r="G37" i="24"/>
  <c r="G20" i="24"/>
  <c r="G21" i="24"/>
  <c r="G446" i="24"/>
  <c r="G447" i="24"/>
  <c r="G430" i="24"/>
  <c r="G431" i="24"/>
  <c r="G414" i="24"/>
  <c r="G415" i="24"/>
  <c r="G398" i="24"/>
  <c r="G399" i="24"/>
  <c r="G382" i="24"/>
  <c r="G383" i="24"/>
  <c r="G366" i="24"/>
  <c r="G367" i="24"/>
  <c r="G350" i="24"/>
  <c r="G351" i="24"/>
  <c r="G334" i="24"/>
  <c r="G335" i="24"/>
  <c r="G318" i="24"/>
  <c r="G319" i="24"/>
  <c r="G302" i="24"/>
  <c r="G303" i="24"/>
  <c r="G286" i="24"/>
  <c r="G287" i="24"/>
  <c r="G270" i="24"/>
  <c r="G271" i="24"/>
  <c r="G254" i="24"/>
  <c r="G255" i="24"/>
  <c r="G238" i="24"/>
  <c r="G239" i="24"/>
  <c r="G222" i="24"/>
  <c r="G223" i="24"/>
  <c r="G206" i="24"/>
  <c r="G207" i="24"/>
  <c r="G190" i="24"/>
  <c r="G191" i="24"/>
  <c r="G174" i="24"/>
  <c r="G175" i="24"/>
  <c r="G158" i="24"/>
  <c r="G159" i="24"/>
  <c r="G142" i="24"/>
  <c r="G143" i="24"/>
  <c r="G126" i="24"/>
  <c r="G127" i="24"/>
  <c r="G110" i="24"/>
  <c r="G111" i="24"/>
  <c r="G94" i="24"/>
  <c r="G95" i="24"/>
  <c r="G78" i="24"/>
  <c r="G79" i="24"/>
  <c r="G62" i="24"/>
  <c r="G63" i="24"/>
  <c r="G46" i="24"/>
  <c r="G47" i="24"/>
  <c r="G30" i="24"/>
  <c r="G31" i="24"/>
  <c r="G14" i="24"/>
  <c r="G15" i="24"/>
  <c r="G460" i="24"/>
  <c r="G461" i="24"/>
  <c r="G481" i="24"/>
  <c r="G482" i="24"/>
  <c r="G497" i="24"/>
  <c r="G498" i="24"/>
  <c r="G513" i="24"/>
  <c r="G514" i="24"/>
  <c r="G529" i="24"/>
  <c r="G530" i="24"/>
  <c r="G545" i="24"/>
  <c r="G546" i="24"/>
  <c r="G561" i="24"/>
  <c r="G562" i="24"/>
  <c r="G577" i="24"/>
  <c r="G578" i="24"/>
  <c r="G593" i="24"/>
  <c r="G594" i="24"/>
  <c r="G609" i="24"/>
  <c r="G610" i="24"/>
  <c r="G625" i="24"/>
  <c r="G626" i="24"/>
  <c r="G641" i="24"/>
  <c r="G642" i="24"/>
  <c r="G657" i="24"/>
  <c r="G658" i="24"/>
  <c r="G673" i="24"/>
  <c r="G674" i="24"/>
  <c r="G689" i="24"/>
  <c r="G690" i="24"/>
  <c r="G705" i="24"/>
  <c r="G706" i="24"/>
  <c r="G721" i="24"/>
  <c r="G722" i="24"/>
  <c r="G737" i="24"/>
  <c r="G738" i="24"/>
  <c r="G753" i="24"/>
  <c r="G754" i="24"/>
  <c r="G769" i="24"/>
  <c r="G770" i="24"/>
  <c r="G785" i="24"/>
  <c r="G786" i="24"/>
  <c r="G801" i="24"/>
  <c r="G802" i="24"/>
  <c r="G817" i="24"/>
  <c r="G818" i="24"/>
  <c r="G833" i="24"/>
  <c r="G834" i="24"/>
  <c r="G849" i="24"/>
  <c r="G850" i="24"/>
  <c r="G865" i="24"/>
  <c r="G866" i="24"/>
  <c r="G881" i="24"/>
  <c r="G882" i="24"/>
  <c r="G897" i="24"/>
  <c r="G898" i="24"/>
  <c r="G913" i="24"/>
  <c r="G914" i="24"/>
  <c r="G929" i="24"/>
  <c r="G930" i="24"/>
  <c r="G945" i="24"/>
  <c r="G946" i="24"/>
  <c r="G961" i="24"/>
  <c r="G962" i="24"/>
  <c r="G977" i="24"/>
  <c r="G978" i="24"/>
  <c r="G993" i="24"/>
  <c r="G994" i="24"/>
  <c r="G1009" i="24"/>
  <c r="G1010" i="24"/>
  <c r="G1025" i="24"/>
  <c r="G1026" i="24"/>
  <c r="G1041" i="24"/>
  <c r="G1042" i="24"/>
  <c r="G1057" i="24"/>
  <c r="G1058" i="24"/>
  <c r="G1073" i="24"/>
  <c r="G1074" i="24"/>
  <c r="G1089" i="24"/>
  <c r="G1090" i="24"/>
  <c r="G1105" i="24"/>
  <c r="G1106" i="24"/>
  <c r="G1121" i="24"/>
  <c r="G1122" i="24"/>
  <c r="G1137" i="24"/>
  <c r="G1138" i="24"/>
  <c r="G1153" i="24"/>
  <c r="G1154" i="24"/>
  <c r="G1169" i="24"/>
  <c r="G1170" i="24"/>
  <c r="G1185" i="24"/>
  <c r="G1186" i="24"/>
  <c r="G1201" i="24"/>
  <c r="G1202" i="24"/>
  <c r="G1217" i="24"/>
  <c r="G1218" i="24"/>
  <c r="G1233" i="24"/>
  <c r="G1234" i="24"/>
  <c r="G1249" i="24"/>
  <c r="G1250" i="24"/>
  <c r="G1265" i="24"/>
  <c r="G1266" i="24"/>
  <c r="P21" i="5"/>
  <c r="M21" i="5"/>
  <c r="H21" i="5"/>
  <c r="G21" i="5"/>
  <c r="E21" i="5"/>
  <c r="G170" i="24"/>
  <c r="G202" i="24"/>
  <c r="G234" i="24"/>
  <c r="G266" i="24"/>
  <c r="G298" i="24"/>
  <c r="G330" i="24"/>
  <c r="G362" i="24"/>
  <c r="G394" i="24"/>
  <c r="G426" i="24"/>
  <c r="G478" i="24"/>
  <c r="O248" i="24"/>
  <c r="L245" i="23" s="1"/>
  <c r="O232" i="24"/>
  <c r="L229" i="23" s="1"/>
  <c r="O216" i="24"/>
  <c r="L213" i="23" s="1"/>
  <c r="O200" i="24"/>
  <c r="L197" i="23" s="1"/>
  <c r="O184" i="24"/>
  <c r="L181" i="23" s="1"/>
  <c r="O168" i="24"/>
  <c r="L165" i="23" s="1"/>
  <c r="O152" i="24"/>
  <c r="L149" i="23" s="1"/>
  <c r="O136" i="24"/>
  <c r="L133" i="23" s="1"/>
  <c r="O120" i="24"/>
  <c r="L117" i="23" s="1"/>
  <c r="O104" i="24"/>
  <c r="L101" i="23" s="1"/>
  <c r="O88" i="24"/>
  <c r="L85" i="23" s="1"/>
  <c r="O72" i="24"/>
  <c r="L69" i="23" s="1"/>
  <c r="O56" i="24"/>
  <c r="L53" i="23" s="1"/>
  <c r="O40" i="24"/>
  <c r="L37" i="23" s="1"/>
  <c r="O24" i="24"/>
  <c r="L21" i="23" s="1"/>
  <c r="O8" i="24"/>
  <c r="L5" i="23" s="1"/>
  <c r="O246" i="24"/>
  <c r="L243" i="23" s="1"/>
  <c r="O247" i="24"/>
  <c r="L244" i="23" s="1"/>
  <c r="O230" i="24"/>
  <c r="L227" i="23" s="1"/>
  <c r="O231" i="24"/>
  <c r="L228" i="23" s="1"/>
  <c r="O214" i="24"/>
  <c r="L211" i="23" s="1"/>
  <c r="O215" i="24"/>
  <c r="L212" i="23" s="1"/>
  <c r="O199" i="24"/>
  <c r="L196" i="23" s="1"/>
  <c r="O198" i="24"/>
  <c r="L195" i="23" s="1"/>
  <c r="O182" i="24"/>
  <c r="L179" i="23" s="1"/>
  <c r="O183" i="24"/>
  <c r="L180" i="23" s="1"/>
  <c r="O166" i="24"/>
  <c r="L163" i="23" s="1"/>
  <c r="O167" i="24"/>
  <c r="L164" i="23" s="1"/>
  <c r="O150" i="24"/>
  <c r="L147" i="23" s="1"/>
  <c r="O151" i="24"/>
  <c r="L148" i="23" s="1"/>
  <c r="O134" i="24"/>
  <c r="L131" i="23" s="1"/>
  <c r="O135" i="24"/>
  <c r="L132" i="23" s="1"/>
  <c r="O118" i="24"/>
  <c r="L115" i="23" s="1"/>
  <c r="O119" i="24"/>
  <c r="L116" i="23" s="1"/>
  <c r="O102" i="24"/>
  <c r="L99" i="23" s="1"/>
  <c r="O103" i="24"/>
  <c r="L100" i="23" s="1"/>
  <c r="O87" i="24"/>
  <c r="L84" i="23" s="1"/>
  <c r="O86" i="24"/>
  <c r="L83" i="23" s="1"/>
  <c r="O71" i="24"/>
  <c r="L68" i="23" s="1"/>
  <c r="O70" i="24"/>
  <c r="L67" i="23" s="1"/>
  <c r="O55" i="24"/>
  <c r="L52" i="23" s="1"/>
  <c r="O54" i="24"/>
  <c r="L51" i="23" s="1"/>
  <c r="O38" i="24"/>
  <c r="L35" i="23" s="1"/>
  <c r="O39" i="24"/>
  <c r="L36" i="23" s="1"/>
  <c r="O22" i="24"/>
  <c r="L19" i="23" s="1"/>
  <c r="O23" i="24"/>
  <c r="L20" i="23" s="1"/>
  <c r="O7" i="24"/>
  <c r="F101" i="12"/>
  <c r="F115" i="12"/>
  <c r="F112" i="12" s="1"/>
  <c r="M35" i="5"/>
  <c r="G101" i="12"/>
  <c r="G115" i="12"/>
  <c r="G112" i="12" s="1"/>
  <c r="H101" i="12"/>
  <c r="K19" i="24"/>
  <c r="K18" i="24"/>
  <c r="K51" i="24"/>
  <c r="K50" i="24"/>
  <c r="K423" i="24"/>
  <c r="K424" i="24"/>
  <c r="K407" i="24"/>
  <c r="K408" i="24"/>
  <c r="K391" i="24"/>
  <c r="K392" i="24"/>
  <c r="K375" i="24"/>
  <c r="K376" i="24"/>
  <c r="K359" i="24"/>
  <c r="K360" i="24"/>
  <c r="K343" i="24"/>
  <c r="K344" i="24"/>
  <c r="K327" i="24"/>
  <c r="K328" i="24"/>
  <c r="K311" i="24"/>
  <c r="K312" i="24"/>
  <c r="K295" i="24"/>
  <c r="K296" i="24"/>
  <c r="K279" i="24"/>
  <c r="K280" i="24"/>
  <c r="K263" i="24"/>
  <c r="K264" i="24"/>
  <c r="K247" i="24"/>
  <c r="K248" i="24"/>
  <c r="K231" i="24"/>
  <c r="K232" i="24"/>
  <c r="K215" i="24"/>
  <c r="K216" i="24"/>
  <c r="K199" i="24"/>
  <c r="K200" i="24"/>
  <c r="K183" i="24"/>
  <c r="K184" i="24"/>
  <c r="K167" i="24"/>
  <c r="K168" i="24"/>
  <c r="K151" i="24"/>
  <c r="K152" i="24"/>
  <c r="K8" i="24"/>
  <c r="K7" i="24"/>
  <c r="K39" i="24"/>
  <c r="K38" i="24"/>
  <c r="K71" i="24"/>
  <c r="K70" i="24"/>
  <c r="K103" i="24"/>
  <c r="K102" i="24"/>
  <c r="K135" i="24"/>
  <c r="K134" i="24"/>
  <c r="K157" i="24"/>
  <c r="K158" i="24"/>
  <c r="K179" i="24"/>
  <c r="K178" i="24"/>
  <c r="AI55" i="41"/>
  <c r="AI54" i="41" s="1"/>
  <c r="AI53" i="41" s="1"/>
  <c r="AI52" i="41" s="1"/>
  <c r="AI51" i="41" s="1"/>
  <c r="AI50" i="41" s="1"/>
  <c r="AI49" i="41" s="1"/>
  <c r="AI48" i="41" s="1"/>
  <c r="AI47" i="41" s="1"/>
  <c r="AI46" i="41" s="1"/>
  <c r="AI45" i="41" s="1"/>
  <c r="AI44" i="41" s="1"/>
  <c r="AI43" i="41" s="1"/>
  <c r="AI42" i="41" s="1"/>
  <c r="AI41" i="41" s="1"/>
  <c r="AI40" i="41" s="1"/>
  <c r="AI39" i="41" s="1"/>
  <c r="AI38" i="41" s="1"/>
  <c r="AI37" i="41" s="1"/>
  <c r="AI36" i="41" s="1"/>
  <c r="AI35" i="41" s="1"/>
  <c r="AI34" i="41" s="1"/>
  <c r="AI33" i="41" s="1"/>
  <c r="AI32" i="41" s="1"/>
  <c r="AI31" i="41" s="1"/>
  <c r="AI30" i="41" s="1"/>
  <c r="AI29" i="41" s="1"/>
  <c r="AI28" i="41" s="1"/>
  <c r="AI27" i="41" s="1"/>
  <c r="AI26" i="41" s="1"/>
  <c r="AI25" i="41" s="1"/>
  <c r="AI24" i="41" s="1"/>
  <c r="AI23" i="41" s="1"/>
  <c r="AI22" i="41" s="1"/>
  <c r="AI21" i="41" s="1"/>
  <c r="AI20" i="41" s="1"/>
  <c r="AI19" i="41" s="1"/>
  <c r="AI18" i="41" s="1"/>
  <c r="AI17" i="41" s="1"/>
  <c r="AI16" i="41" s="1"/>
  <c r="AI15" i="41" s="1"/>
  <c r="AI14" i="41" s="1"/>
  <c r="AI13" i="41" s="1"/>
  <c r="AI12" i="41" s="1"/>
  <c r="AI11" i="41" s="1"/>
  <c r="AI10" i="41" s="1"/>
  <c r="AI9" i="41" s="1"/>
  <c r="AI8" i="41" s="1"/>
  <c r="AI7" i="41" s="1"/>
  <c r="AI6" i="41" s="1"/>
  <c r="AI5" i="41" s="1"/>
  <c r="C23" i="24"/>
  <c r="C24" i="24"/>
  <c r="C67" i="24"/>
  <c r="C66" i="24"/>
  <c r="C87" i="24"/>
  <c r="C88" i="24"/>
  <c r="C131" i="24"/>
  <c r="C130" i="24"/>
  <c r="C151" i="24"/>
  <c r="C152" i="24"/>
  <c r="C195" i="24"/>
  <c r="C194" i="24"/>
  <c r="C215" i="24"/>
  <c r="C216" i="24"/>
  <c r="C259" i="24"/>
  <c r="C258" i="24"/>
  <c r="C279" i="24"/>
  <c r="C280" i="24"/>
  <c r="C323" i="24"/>
  <c r="C322" i="24"/>
  <c r="C343" i="24"/>
  <c r="C344" i="24"/>
  <c r="C387" i="24"/>
  <c r="C386" i="24"/>
  <c r="C407" i="24"/>
  <c r="C408" i="24"/>
  <c r="C451" i="24"/>
  <c r="C450" i="24"/>
  <c r="C471" i="24"/>
  <c r="C472" i="24"/>
  <c r="C515" i="24"/>
  <c r="C514" i="24"/>
  <c r="C535" i="24"/>
  <c r="C536" i="24"/>
  <c r="C579" i="24"/>
  <c r="C578" i="24"/>
  <c r="C599" i="24"/>
  <c r="C600" i="24"/>
  <c r="C643" i="24"/>
  <c r="C642" i="24"/>
  <c r="C663" i="24"/>
  <c r="C664" i="24"/>
  <c r="C707" i="24"/>
  <c r="C706" i="24"/>
  <c r="C727" i="24"/>
  <c r="C728" i="24"/>
  <c r="C771" i="24"/>
  <c r="C770" i="24"/>
  <c r="C791" i="24"/>
  <c r="C792" i="24"/>
  <c r="C835" i="24"/>
  <c r="C834" i="24"/>
  <c r="C855" i="24"/>
  <c r="C856" i="24"/>
  <c r="C899" i="24"/>
  <c r="C898" i="24"/>
  <c r="C919" i="24"/>
  <c r="C920" i="24"/>
  <c r="C963" i="24"/>
  <c r="C962" i="24"/>
  <c r="C983" i="24"/>
  <c r="C984" i="24"/>
  <c r="C1027" i="24"/>
  <c r="C1026" i="24"/>
  <c r="C1047" i="24"/>
  <c r="C1048" i="24"/>
  <c r="C1091" i="24"/>
  <c r="C1090" i="24"/>
  <c r="C1111" i="24"/>
  <c r="C1112" i="24"/>
  <c r="C1155" i="24"/>
  <c r="C1154" i="24"/>
  <c r="C1175" i="24"/>
  <c r="C1176" i="24"/>
  <c r="C1219" i="24"/>
  <c r="C1218" i="24"/>
  <c r="C1239" i="24"/>
  <c r="C1240" i="24"/>
  <c r="C1283" i="24"/>
  <c r="C1282" i="24"/>
  <c r="C1303" i="24"/>
  <c r="C1302" i="24"/>
  <c r="C1319" i="24"/>
  <c r="C1318" i="24"/>
  <c r="C1335" i="24"/>
  <c r="C1334" i="24"/>
  <c r="C1351" i="24"/>
  <c r="C1350" i="24"/>
  <c r="C1367" i="24"/>
  <c r="C1366" i="24"/>
  <c r="C1383" i="24"/>
  <c r="C1382" i="24"/>
  <c r="C1399" i="24"/>
  <c r="C1398" i="24"/>
  <c r="C1415" i="24"/>
  <c r="C1414" i="24"/>
  <c r="C1431" i="24"/>
  <c r="C1430" i="24"/>
  <c r="C1447" i="24"/>
  <c r="C1446" i="24"/>
  <c r="C1463" i="24"/>
  <c r="C1462" i="24"/>
  <c r="C1479" i="24"/>
  <c r="C1478" i="24"/>
  <c r="C1495" i="24"/>
  <c r="C1494" i="24"/>
  <c r="C1511" i="24"/>
  <c r="C1510" i="24"/>
  <c r="C1527" i="24"/>
  <c r="C1526" i="24"/>
  <c r="C1543" i="24"/>
  <c r="C1542" i="24"/>
  <c r="C1559" i="24"/>
  <c r="C1558" i="24"/>
  <c r="C1575" i="24"/>
  <c r="C1574" i="24"/>
  <c r="C1591" i="24"/>
  <c r="C1590" i="24"/>
  <c r="C1607" i="24"/>
  <c r="C1606" i="24"/>
  <c r="C1623" i="24"/>
  <c r="C1622" i="24"/>
  <c r="C1639" i="24"/>
  <c r="C1638" i="24"/>
  <c r="C1655" i="24"/>
  <c r="C1654" i="24"/>
  <c r="C1671" i="24"/>
  <c r="C1670" i="24"/>
  <c r="C1687" i="24"/>
  <c r="C1686" i="24"/>
  <c r="C1703" i="24"/>
  <c r="C1702" i="24"/>
  <c r="C1719" i="24"/>
  <c r="C1718" i="24"/>
  <c r="C1735" i="24"/>
  <c r="C1734" i="24"/>
  <c r="C1751" i="24"/>
  <c r="C1750" i="24"/>
  <c r="C1767" i="24"/>
  <c r="C1766" i="24"/>
  <c r="C1783" i="24"/>
  <c r="C1782" i="24"/>
  <c r="C1799" i="24"/>
  <c r="C1798" i="24"/>
  <c r="C1815" i="24"/>
  <c r="C1814" i="24"/>
  <c r="C1831" i="24"/>
  <c r="C1830" i="24"/>
  <c r="C1847" i="24"/>
  <c r="C1846" i="24"/>
  <c r="C1863" i="24"/>
  <c r="C1862" i="24"/>
  <c r="C1879" i="24"/>
  <c r="C1878" i="24"/>
  <c r="C1895" i="24"/>
  <c r="C1894" i="24"/>
  <c r="C1911" i="24"/>
  <c r="C1910" i="24"/>
  <c r="C1927" i="24"/>
  <c r="C1926" i="24"/>
  <c r="C1943" i="24"/>
  <c r="C1942" i="24"/>
  <c r="C1959" i="24"/>
  <c r="C1958" i="24"/>
  <c r="C1975" i="24"/>
  <c r="C1974" i="24"/>
  <c r="C1991" i="24"/>
  <c r="C1990" i="24"/>
  <c r="C2007" i="24"/>
  <c r="C2006" i="24"/>
  <c r="C2023" i="24"/>
  <c r="C2022" i="24"/>
  <c r="C2039" i="24"/>
  <c r="C2038" i="24"/>
  <c r="C2055" i="24"/>
  <c r="C2054" i="24"/>
  <c r="C2071" i="24"/>
  <c r="C2070" i="24"/>
  <c r="C2087" i="24"/>
  <c r="C2086" i="24"/>
  <c r="C2103" i="24"/>
  <c r="C2102" i="24"/>
  <c r="C2119" i="24"/>
  <c r="C2118" i="24"/>
  <c r="C2135" i="24"/>
  <c r="C2134" i="24"/>
  <c r="C2151" i="24"/>
  <c r="C2150" i="24"/>
  <c r="C2167" i="24"/>
  <c r="C2166" i="24"/>
  <c r="C2183" i="24"/>
  <c r="C2182" i="24"/>
  <c r="C2199" i="24"/>
  <c r="C2198" i="24"/>
  <c r="C2215" i="24"/>
  <c r="C2214" i="24"/>
  <c r="C2231" i="24"/>
  <c r="C2230" i="24"/>
  <c r="C2247" i="24"/>
  <c r="C2246" i="24"/>
  <c r="C2263" i="24"/>
  <c r="C2262" i="24"/>
  <c r="C2279" i="24"/>
  <c r="C2278" i="24"/>
  <c r="C2295" i="24"/>
  <c r="C2294" i="24"/>
  <c r="C2311" i="24"/>
  <c r="C2310" i="24"/>
  <c r="C2327" i="24"/>
  <c r="C2326" i="24"/>
  <c r="C2343" i="24"/>
  <c r="C2342" i="24"/>
  <c r="C2359" i="24"/>
  <c r="C2358" i="24"/>
  <c r="C2375" i="24"/>
  <c r="C2374" i="24"/>
  <c r="C2391" i="24"/>
  <c r="C2390" i="24"/>
  <c r="C2407" i="24"/>
  <c r="C2406" i="24"/>
  <c r="C2423" i="24"/>
  <c r="C2422" i="24"/>
  <c r="C2439" i="24"/>
  <c r="C2438" i="24"/>
  <c r="C2455" i="24"/>
  <c r="C2454" i="24"/>
  <c r="C2471" i="24"/>
  <c r="C2470" i="24"/>
  <c r="C2487" i="24"/>
  <c r="C2486" i="24"/>
  <c r="C2503" i="24"/>
  <c r="C2502" i="24"/>
  <c r="C2519" i="24"/>
  <c r="C2518" i="24"/>
  <c r="G474" i="24"/>
  <c r="G475" i="24"/>
  <c r="G458" i="24"/>
  <c r="G459" i="24"/>
  <c r="G24" i="24"/>
  <c r="G56" i="24"/>
  <c r="G88" i="24"/>
  <c r="G120" i="24"/>
  <c r="G152" i="24"/>
  <c r="G184" i="24"/>
  <c r="G216" i="24"/>
  <c r="G248" i="24"/>
  <c r="G280" i="24"/>
  <c r="G312" i="24"/>
  <c r="G344" i="24"/>
  <c r="G376" i="24"/>
  <c r="G408" i="24"/>
  <c r="G440" i="24"/>
  <c r="G465" i="24"/>
  <c r="G466" i="24"/>
  <c r="G485" i="24"/>
  <c r="G486" i="24"/>
  <c r="G501" i="24"/>
  <c r="G502" i="24"/>
  <c r="G517" i="24"/>
  <c r="G518" i="24"/>
  <c r="G533" i="24"/>
  <c r="G534" i="24"/>
  <c r="G549" i="24"/>
  <c r="G550" i="24"/>
  <c r="G565" i="24"/>
  <c r="G566" i="24"/>
  <c r="G581" i="24"/>
  <c r="G582" i="24"/>
  <c r="G597" i="24"/>
  <c r="G598" i="24"/>
  <c r="G613" i="24"/>
  <c r="G614" i="24"/>
  <c r="G629" i="24"/>
  <c r="G630" i="24"/>
  <c r="G645" i="24"/>
  <c r="G646" i="24"/>
  <c r="G661" i="24"/>
  <c r="G662" i="24"/>
  <c r="G677" i="24"/>
  <c r="G678" i="24"/>
  <c r="G693" i="24"/>
  <c r="G694" i="24"/>
  <c r="G709" i="24"/>
  <c r="G710" i="24"/>
  <c r="G725" i="24"/>
  <c r="G726" i="24"/>
  <c r="G741" i="24"/>
  <c r="G742" i="24"/>
  <c r="G757" i="24"/>
  <c r="G758" i="24"/>
  <c r="G773" i="24"/>
  <c r="G774" i="24"/>
  <c r="G789" i="24"/>
  <c r="G790" i="24"/>
  <c r="G805" i="24"/>
  <c r="G806" i="24"/>
  <c r="G821" i="24"/>
  <c r="G822" i="24"/>
  <c r="G837" i="24"/>
  <c r="G838" i="24"/>
  <c r="G853" i="24"/>
  <c r="G854" i="24"/>
  <c r="G869" i="24"/>
  <c r="G870" i="24"/>
  <c r="G885" i="24"/>
  <c r="G886" i="24"/>
  <c r="G901" i="24"/>
  <c r="G902" i="24"/>
  <c r="G917" i="24"/>
  <c r="G918" i="24"/>
  <c r="G933" i="24"/>
  <c r="G934" i="24"/>
  <c r="G949" i="24"/>
  <c r="G950" i="24"/>
  <c r="G965" i="24"/>
  <c r="G966" i="24"/>
  <c r="G981" i="24"/>
  <c r="G982" i="24"/>
  <c r="G997" i="24"/>
  <c r="G998" i="24"/>
  <c r="G1013" i="24"/>
  <c r="G1014" i="24"/>
  <c r="G1029" i="24"/>
  <c r="G1030" i="24"/>
  <c r="G1045" i="24"/>
  <c r="G1046" i="24"/>
  <c r="G1061" i="24"/>
  <c r="G1062" i="24"/>
  <c r="G1077" i="24"/>
  <c r="G1078" i="24"/>
  <c r="G1093" i="24"/>
  <c r="G1094" i="24"/>
  <c r="G1109" i="24"/>
  <c r="G1110" i="24"/>
  <c r="G1125" i="24"/>
  <c r="G1126" i="24"/>
  <c r="G1141" i="24"/>
  <c r="G1142" i="24"/>
  <c r="G1157" i="24"/>
  <c r="G1158" i="24"/>
  <c r="G1173" i="24"/>
  <c r="G1174" i="24"/>
  <c r="G1189" i="24"/>
  <c r="G1190" i="24"/>
  <c r="G1205" i="24"/>
  <c r="G1206" i="24"/>
  <c r="G1221" i="24"/>
  <c r="G1222" i="24"/>
  <c r="G1237" i="24"/>
  <c r="G1238" i="24"/>
  <c r="G1253" i="24"/>
  <c r="G1254" i="24"/>
  <c r="G18" i="24"/>
  <c r="G50" i="24"/>
  <c r="G82" i="24"/>
  <c r="G114" i="24"/>
  <c r="G146" i="24"/>
  <c r="G178" i="24"/>
  <c r="G210" i="24"/>
  <c r="G242" i="24"/>
  <c r="G274" i="24"/>
  <c r="G306" i="24"/>
  <c r="G338" i="24"/>
  <c r="G370" i="24"/>
  <c r="G402" i="24"/>
  <c r="G434" i="24"/>
  <c r="G462" i="24"/>
  <c r="O244" i="24"/>
  <c r="L241" i="23" s="1"/>
  <c r="O228" i="24"/>
  <c r="L225" i="23" s="1"/>
  <c r="O212" i="24"/>
  <c r="L209" i="23" s="1"/>
  <c r="O196" i="24"/>
  <c r="L193" i="23" s="1"/>
  <c r="O180" i="24"/>
  <c r="L177" i="23" s="1"/>
  <c r="O164" i="24"/>
  <c r="L161" i="23" s="1"/>
  <c r="O148" i="24"/>
  <c r="L145" i="23" s="1"/>
  <c r="O132" i="24"/>
  <c r="L129" i="23" s="1"/>
  <c r="O116" i="24"/>
  <c r="L113" i="23" s="1"/>
  <c r="O100" i="24"/>
  <c r="L97" i="23" s="1"/>
  <c r="O84" i="24"/>
  <c r="L81" i="23" s="1"/>
  <c r="O68" i="24"/>
  <c r="L65" i="23" s="1"/>
  <c r="O52" i="24"/>
  <c r="L49" i="23" s="1"/>
  <c r="O36" i="24"/>
  <c r="L33" i="23" s="1"/>
  <c r="O20" i="24"/>
  <c r="L17" i="23" s="1"/>
  <c r="O259" i="24"/>
  <c r="L256" i="23" s="1"/>
  <c r="O243" i="24"/>
  <c r="L240" i="23" s="1"/>
  <c r="O227" i="24"/>
  <c r="L224" i="23" s="1"/>
  <c r="O211" i="24"/>
  <c r="L208" i="23" s="1"/>
  <c r="O195" i="24"/>
  <c r="L192" i="23" s="1"/>
  <c r="O179" i="24"/>
  <c r="L176" i="23" s="1"/>
  <c r="O163" i="24"/>
  <c r="L160" i="23" s="1"/>
  <c r="O147" i="24"/>
  <c r="L144" i="23" s="1"/>
  <c r="O131" i="24"/>
  <c r="L128" i="23" s="1"/>
  <c r="O115" i="24"/>
  <c r="L112" i="23" s="1"/>
  <c r="O99" i="24"/>
  <c r="L96" i="23" s="1"/>
  <c r="O83" i="24"/>
  <c r="L80" i="23" s="1"/>
  <c r="O67" i="24"/>
  <c r="L64" i="23" s="1"/>
  <c r="O51" i="24"/>
  <c r="L48" i="23" s="1"/>
  <c r="O35" i="24"/>
  <c r="L32" i="23" s="1"/>
  <c r="O19" i="24"/>
  <c r="L16" i="23" s="1"/>
  <c r="D44" i="6"/>
  <c r="O58" i="24"/>
  <c r="L55" i="23" s="1"/>
  <c r="O122" i="24"/>
  <c r="L119" i="23" s="1"/>
  <c r="O186" i="24"/>
  <c r="L183" i="23" s="1"/>
  <c r="O250" i="24"/>
  <c r="L247" i="23" s="1"/>
  <c r="B13" i="14"/>
  <c r="A26" i="14"/>
  <c r="A39" i="14" s="1"/>
  <c r="A14" i="14"/>
  <c r="K27" i="24"/>
  <c r="K26" i="24"/>
  <c r="K59" i="24"/>
  <c r="K58" i="24"/>
  <c r="K419" i="24"/>
  <c r="K420" i="24"/>
  <c r="K403" i="24"/>
  <c r="K404" i="24"/>
  <c r="K387" i="24"/>
  <c r="K388" i="24"/>
  <c r="K371" i="24"/>
  <c r="K372" i="24"/>
  <c r="K355" i="24"/>
  <c r="K356" i="24"/>
  <c r="K339" i="24"/>
  <c r="K340" i="24"/>
  <c r="K323" i="24"/>
  <c r="K324" i="24"/>
  <c r="K307" i="24"/>
  <c r="K308" i="24"/>
  <c r="K291" i="24"/>
  <c r="K292" i="24"/>
  <c r="K275" i="24"/>
  <c r="K276" i="24"/>
  <c r="K259" i="24"/>
  <c r="K260" i="24"/>
  <c r="K243" i="24"/>
  <c r="K244" i="24"/>
  <c r="K227" i="24"/>
  <c r="K228" i="24"/>
  <c r="K211" i="24"/>
  <c r="K212" i="24"/>
  <c r="K131" i="24"/>
  <c r="K132" i="24"/>
  <c r="K115" i="24"/>
  <c r="K116" i="24"/>
  <c r="K99" i="24"/>
  <c r="K100" i="24"/>
  <c r="K83" i="24"/>
  <c r="K84" i="24"/>
  <c r="K68" i="24"/>
  <c r="K52" i="24"/>
  <c r="K36" i="24"/>
  <c r="K20" i="24"/>
  <c r="K15" i="24"/>
  <c r="K14" i="24"/>
  <c r="K47" i="24"/>
  <c r="K46" i="24"/>
  <c r="K79" i="24"/>
  <c r="K78" i="24"/>
  <c r="K111" i="24"/>
  <c r="K110" i="24"/>
  <c r="K141" i="24"/>
  <c r="K142" i="24"/>
  <c r="K163" i="24"/>
  <c r="K162" i="24"/>
  <c r="C8" i="24"/>
  <c r="C7" i="24"/>
  <c r="C30" i="24"/>
  <c r="C51" i="24"/>
  <c r="C50" i="24"/>
  <c r="C71" i="24"/>
  <c r="C72" i="24"/>
  <c r="C115" i="24"/>
  <c r="C114" i="24"/>
  <c r="C135" i="24"/>
  <c r="C136" i="24"/>
  <c r="C179" i="24"/>
  <c r="C178" i="24"/>
  <c r="C199" i="24"/>
  <c r="C200" i="24"/>
  <c r="C243" i="24"/>
  <c r="C242" i="24"/>
  <c r="C263" i="24"/>
  <c r="C264" i="24"/>
  <c r="C307" i="24"/>
  <c r="C306" i="24"/>
  <c r="C327" i="24"/>
  <c r="C328" i="24"/>
  <c r="C371" i="24"/>
  <c r="C370" i="24"/>
  <c r="C391" i="24"/>
  <c r="C392" i="24"/>
  <c r="C435" i="24"/>
  <c r="C434" i="24"/>
  <c r="C455" i="24"/>
  <c r="C456" i="24"/>
  <c r="C499" i="24"/>
  <c r="C498" i="24"/>
  <c r="C519" i="24"/>
  <c r="C520" i="24"/>
  <c r="C563" i="24"/>
  <c r="C562" i="24"/>
  <c r="C583" i="24"/>
  <c r="C584" i="24"/>
  <c r="C627" i="24"/>
  <c r="C626" i="24"/>
  <c r="C647" i="24"/>
  <c r="C648" i="24"/>
  <c r="C691" i="24"/>
  <c r="C690" i="24"/>
  <c r="C711" i="24"/>
  <c r="C712" i="24"/>
  <c r="C755" i="24"/>
  <c r="C754" i="24"/>
  <c r="C775" i="24"/>
  <c r="C776" i="24"/>
  <c r="C819" i="24"/>
  <c r="C818" i="24"/>
  <c r="C839" i="24"/>
  <c r="C840" i="24"/>
  <c r="C883" i="24"/>
  <c r="C882" i="24"/>
  <c r="C903" i="24"/>
  <c r="C904" i="24"/>
  <c r="C947" i="24"/>
  <c r="C946" i="24"/>
  <c r="C967" i="24"/>
  <c r="C968" i="24"/>
  <c r="C1011" i="24"/>
  <c r="C1010" i="24"/>
  <c r="C1031" i="24"/>
  <c r="C1032" i="24"/>
  <c r="C1075" i="24"/>
  <c r="C1074" i="24"/>
  <c r="C1095" i="24"/>
  <c r="C1096" i="24"/>
  <c r="C1139" i="24"/>
  <c r="C1138" i="24"/>
  <c r="C1159" i="24"/>
  <c r="C1160" i="24"/>
  <c r="C1203" i="24"/>
  <c r="C1202" i="24"/>
  <c r="C1223" i="24"/>
  <c r="C1224" i="24"/>
  <c r="C1267" i="24"/>
  <c r="C1266" i="24"/>
  <c r="C1287" i="24"/>
  <c r="C1288" i="24"/>
  <c r="C1307" i="24"/>
  <c r="C1306" i="24"/>
  <c r="C1323" i="24"/>
  <c r="C1322" i="24"/>
  <c r="C1339" i="24"/>
  <c r="C1338" i="24"/>
  <c r="C1355" i="24"/>
  <c r="C1354" i="24"/>
  <c r="C1371" i="24"/>
  <c r="C1370" i="24"/>
  <c r="C1387" i="24"/>
  <c r="C1386" i="24"/>
  <c r="C1403" i="24"/>
  <c r="C1402" i="24"/>
  <c r="C1419" i="24"/>
  <c r="C1418" i="24"/>
  <c r="C1435" i="24"/>
  <c r="C1434" i="24"/>
  <c r="C1451" i="24"/>
  <c r="C1450" i="24"/>
  <c r="C1467" i="24"/>
  <c r="C1466" i="24"/>
  <c r="C1483" i="24"/>
  <c r="C1482" i="24"/>
  <c r="C1499" i="24"/>
  <c r="C1498" i="24"/>
  <c r="C1515" i="24"/>
  <c r="C1514" i="24"/>
  <c r="C1531" i="24"/>
  <c r="C1530" i="24"/>
  <c r="C1547" i="24"/>
  <c r="C1546" i="24"/>
  <c r="C1563" i="24"/>
  <c r="C1562" i="24"/>
  <c r="C1579" i="24"/>
  <c r="C1578" i="24"/>
  <c r="C1595" i="24"/>
  <c r="C1594" i="24"/>
  <c r="C1611" i="24"/>
  <c r="C1610" i="24"/>
  <c r="C1627" i="24"/>
  <c r="C1626" i="24"/>
  <c r="C1643" i="24"/>
  <c r="C1642" i="24"/>
  <c r="C1659" i="24"/>
  <c r="C1658" i="24"/>
  <c r="C1675" i="24"/>
  <c r="C1674" i="24"/>
  <c r="C1691" i="24"/>
  <c r="C1690" i="24"/>
  <c r="C1707" i="24"/>
  <c r="C1706" i="24"/>
  <c r="C1723" i="24"/>
  <c r="C1722" i="24"/>
  <c r="C1739" i="24"/>
  <c r="C1738" i="24"/>
  <c r="C1755" i="24"/>
  <c r="C1754" i="24"/>
  <c r="C1771" i="24"/>
  <c r="C1770" i="24"/>
  <c r="C1787" i="24"/>
  <c r="C1786" i="24"/>
  <c r="C1803" i="24"/>
  <c r="C1802" i="24"/>
  <c r="C1819" i="24"/>
  <c r="C1818" i="24"/>
  <c r="C1835" i="24"/>
  <c r="C1834" i="24"/>
  <c r="C1851" i="24"/>
  <c r="C1850" i="24"/>
  <c r="C1867" i="24"/>
  <c r="C1866" i="24"/>
  <c r="C1883" i="24"/>
  <c r="C1882" i="24"/>
  <c r="C1899" i="24"/>
  <c r="C1898" i="24"/>
  <c r="C1915" i="24"/>
  <c r="C1914" i="24"/>
  <c r="C1931" i="24"/>
  <c r="C1930" i="24"/>
  <c r="C1947" i="24"/>
  <c r="C1946" i="24"/>
  <c r="C1963" i="24"/>
  <c r="C1962" i="24"/>
  <c r="C1979" i="24"/>
  <c r="C1978" i="24"/>
  <c r="C1995" i="24"/>
  <c r="C1994" i="24"/>
  <c r="C2011" i="24"/>
  <c r="C2010" i="24"/>
  <c r="C2027" i="24"/>
  <c r="C2026" i="24"/>
  <c r="C2043" i="24"/>
  <c r="C2042" i="24"/>
  <c r="C2059" i="24"/>
  <c r="C2058" i="24"/>
  <c r="C2075" i="24"/>
  <c r="C2074" i="24"/>
  <c r="C2091" i="24"/>
  <c r="C2090" i="24"/>
  <c r="C2107" i="24"/>
  <c r="C2106" i="24"/>
  <c r="C2123" i="24"/>
  <c r="C2122" i="24"/>
  <c r="C2139" i="24"/>
  <c r="C2138" i="24"/>
  <c r="C2155" i="24"/>
  <c r="C2154" i="24"/>
  <c r="C2171" i="24"/>
  <c r="C2170" i="24"/>
  <c r="C2187" i="24"/>
  <c r="C2186" i="24"/>
  <c r="C2203" i="24"/>
  <c r="C2202" i="24"/>
  <c r="C2219" i="24"/>
  <c r="C2218" i="24"/>
  <c r="C2235" i="24"/>
  <c r="C2234" i="24"/>
  <c r="C2251" i="24"/>
  <c r="C2250" i="24"/>
  <c r="C2267" i="24"/>
  <c r="C2266" i="24"/>
  <c r="C2283" i="24"/>
  <c r="C2282" i="24"/>
  <c r="C2299" i="24"/>
  <c r="C2298" i="24"/>
  <c r="C2315" i="24"/>
  <c r="C2314" i="24"/>
  <c r="C2331" i="24"/>
  <c r="C2330" i="24"/>
  <c r="C2347" i="24"/>
  <c r="C2346" i="24"/>
  <c r="C2363" i="24"/>
  <c r="C2362" i="24"/>
  <c r="C2379" i="24"/>
  <c r="C2378" i="24"/>
  <c r="C2395" i="24"/>
  <c r="C2394" i="24"/>
  <c r="C2411" i="24"/>
  <c r="C2410" i="24"/>
  <c r="C2427" i="24"/>
  <c r="C2426" i="24"/>
  <c r="C2443" i="24"/>
  <c r="C2442" i="24"/>
  <c r="C2459" i="24"/>
  <c r="C2458" i="24"/>
  <c r="C2475" i="24"/>
  <c r="C2474" i="24"/>
  <c r="C2491" i="24"/>
  <c r="C2490" i="24"/>
  <c r="C2507" i="24"/>
  <c r="C2506" i="24"/>
  <c r="C2523" i="24"/>
  <c r="C2522" i="24"/>
  <c r="C1296" i="24"/>
  <c r="C1297" i="24"/>
  <c r="C1280" i="24"/>
  <c r="C1281" i="24"/>
  <c r="C1264" i="24"/>
  <c r="C1265" i="24"/>
  <c r="C1248" i="24"/>
  <c r="C1249" i="24"/>
  <c r="C1232" i="24"/>
  <c r="C1233" i="24"/>
  <c r="C1216" i="24"/>
  <c r="C1217" i="24"/>
  <c r="C1200" i="24"/>
  <c r="C1201" i="24"/>
  <c r="C1184" i="24"/>
  <c r="C1185" i="24"/>
  <c r="C1168" i="24"/>
  <c r="C1169" i="24"/>
  <c r="C1152" i="24"/>
  <c r="C1153" i="24"/>
  <c r="C1136" i="24"/>
  <c r="C1137" i="24"/>
  <c r="C1120" i="24"/>
  <c r="C1121" i="24"/>
  <c r="C1104" i="24"/>
  <c r="C1105" i="24"/>
  <c r="C1088" i="24"/>
  <c r="C1089" i="24"/>
  <c r="C1072" i="24"/>
  <c r="C1073" i="24"/>
  <c r="C1056" i="24"/>
  <c r="C1057" i="24"/>
  <c r="C1040" i="24"/>
  <c r="C1041" i="24"/>
  <c r="C1024" i="24"/>
  <c r="C1025" i="24"/>
  <c r="C1008" i="24"/>
  <c r="C1009" i="24"/>
  <c r="C992" i="24"/>
  <c r="C993" i="24"/>
  <c r="C976" i="24"/>
  <c r="C977" i="24"/>
  <c r="C960" i="24"/>
  <c r="C961" i="24"/>
  <c r="C944" i="24"/>
  <c r="C945" i="24"/>
  <c r="C928" i="24"/>
  <c r="C929" i="24"/>
  <c r="C912" i="24"/>
  <c r="C913" i="24"/>
  <c r="C896" i="24"/>
  <c r="C897" i="24"/>
  <c r="C880" i="24"/>
  <c r="C881" i="24"/>
  <c r="C864" i="24"/>
  <c r="C865" i="24"/>
  <c r="C848" i="24"/>
  <c r="C849" i="24"/>
  <c r="C832" i="24"/>
  <c r="C833" i="24"/>
  <c r="C816" i="24"/>
  <c r="C817" i="24"/>
  <c r="C800" i="24"/>
  <c r="C801" i="24"/>
  <c r="C784" i="24"/>
  <c r="C785" i="24"/>
  <c r="C768" i="24"/>
  <c r="C769" i="24"/>
  <c r="C752" i="24"/>
  <c r="C753" i="24"/>
  <c r="C736" i="24"/>
  <c r="C737" i="24"/>
  <c r="C720" i="24"/>
  <c r="C721" i="24"/>
  <c r="C704" i="24"/>
  <c r="C705" i="24"/>
  <c r="C688" i="24"/>
  <c r="C689" i="24"/>
  <c r="C672" i="24"/>
  <c r="C673" i="24"/>
  <c r="C656" i="24"/>
  <c r="C657" i="24"/>
  <c r="C640" i="24"/>
  <c r="C641" i="24"/>
  <c r="C624" i="24"/>
  <c r="C625" i="24"/>
  <c r="C608" i="24"/>
  <c r="C609" i="24"/>
  <c r="C592" i="24"/>
  <c r="C593" i="24"/>
  <c r="C576" i="24"/>
  <c r="C577" i="24"/>
  <c r="C560" i="24"/>
  <c r="C561" i="24"/>
  <c r="C544" i="24"/>
  <c r="C545" i="24"/>
  <c r="C528" i="24"/>
  <c r="C529" i="24"/>
  <c r="C512" i="24"/>
  <c r="C513" i="24"/>
  <c r="C496" i="24"/>
  <c r="C497" i="24"/>
  <c r="C480" i="24"/>
  <c r="C481" i="24"/>
  <c r="C464" i="24"/>
  <c r="C465" i="24"/>
  <c r="C448" i="24"/>
  <c r="C449" i="24"/>
  <c r="C432" i="24"/>
  <c r="C433" i="24"/>
  <c r="C416" i="24"/>
  <c r="C417" i="24"/>
  <c r="C400" i="24"/>
  <c r="C401" i="24"/>
  <c r="C384" i="24"/>
  <c r="C385" i="24"/>
  <c r="C368" i="24"/>
  <c r="C369" i="24"/>
  <c r="C352" i="24"/>
  <c r="C353" i="24"/>
  <c r="C336" i="24"/>
  <c r="C337" i="24"/>
  <c r="C320" i="24"/>
  <c r="C321" i="24"/>
  <c r="C304" i="24"/>
  <c r="C305" i="24"/>
  <c r="C288" i="24"/>
  <c r="C289" i="24"/>
  <c r="C272" i="24"/>
  <c r="C273" i="24"/>
  <c r="C256" i="24"/>
  <c r="C257" i="24"/>
  <c r="C240" i="24"/>
  <c r="C241" i="24"/>
  <c r="C224" i="24"/>
  <c r="C225" i="24"/>
  <c r="C208" i="24"/>
  <c r="C209" i="24"/>
  <c r="C192" i="24"/>
  <c r="C193" i="24"/>
  <c r="C176" i="24"/>
  <c r="C177" i="24"/>
  <c r="C160" i="24"/>
  <c r="C161" i="24"/>
  <c r="C144" i="24"/>
  <c r="C145" i="24"/>
  <c r="C128" i="24"/>
  <c r="C129" i="24"/>
  <c r="C112" i="24"/>
  <c r="C113" i="24"/>
  <c r="C96" i="24"/>
  <c r="C97" i="24"/>
  <c r="C80" i="24"/>
  <c r="C81" i="24"/>
  <c r="C64" i="24"/>
  <c r="C65" i="24"/>
  <c r="C48" i="24"/>
  <c r="C49" i="24"/>
  <c r="C32" i="24"/>
  <c r="C33" i="24"/>
  <c r="C16" i="24"/>
  <c r="C17" i="24"/>
  <c r="G444" i="24"/>
  <c r="G445" i="24"/>
  <c r="G428" i="24"/>
  <c r="G429" i="24"/>
  <c r="G412" i="24"/>
  <c r="G413" i="24"/>
  <c r="G396" i="24"/>
  <c r="G397" i="24"/>
  <c r="G380" i="24"/>
  <c r="G381" i="24"/>
  <c r="G364" i="24"/>
  <c r="G365" i="24"/>
  <c r="G348" i="24"/>
  <c r="G349" i="24"/>
  <c r="G332" i="24"/>
  <c r="G333" i="24"/>
  <c r="G316" i="24"/>
  <c r="G317" i="24"/>
  <c r="G300" i="24"/>
  <c r="G301" i="24"/>
  <c r="G284" i="24"/>
  <c r="G285" i="24"/>
  <c r="G268" i="24"/>
  <c r="G269" i="24"/>
  <c r="G252" i="24"/>
  <c r="G253" i="24"/>
  <c r="G236" i="24"/>
  <c r="G237" i="24"/>
  <c r="G220" i="24"/>
  <c r="G221" i="24"/>
  <c r="G204" i="24"/>
  <c r="G205" i="24"/>
  <c r="G188" i="24"/>
  <c r="G189" i="24"/>
  <c r="G172" i="24"/>
  <c r="G173" i="24"/>
  <c r="G156" i="24"/>
  <c r="G157" i="24"/>
  <c r="G140" i="24"/>
  <c r="G141" i="24"/>
  <c r="G124" i="24"/>
  <c r="G125" i="24"/>
  <c r="G108" i="24"/>
  <c r="G109" i="24"/>
  <c r="G92" i="24"/>
  <c r="G93" i="24"/>
  <c r="G76" i="24"/>
  <c r="G77" i="24"/>
  <c r="G60" i="24"/>
  <c r="G61" i="24"/>
  <c r="G44" i="24"/>
  <c r="G45" i="24"/>
  <c r="G28" i="24"/>
  <c r="G29" i="24"/>
  <c r="G12" i="24"/>
  <c r="G13" i="24"/>
  <c r="G470" i="24"/>
  <c r="G471" i="24"/>
  <c r="G454" i="24"/>
  <c r="G455" i="24"/>
  <c r="G438" i="24"/>
  <c r="G439" i="24"/>
  <c r="G422" i="24"/>
  <c r="G423" i="24"/>
  <c r="G406" i="24"/>
  <c r="G407" i="24"/>
  <c r="G390" i="24"/>
  <c r="G391" i="24"/>
  <c r="G374" i="24"/>
  <c r="G375" i="24"/>
  <c r="G358" i="24"/>
  <c r="G359" i="24"/>
  <c r="G342" i="24"/>
  <c r="G343" i="24"/>
  <c r="G326" i="24"/>
  <c r="G327" i="24"/>
  <c r="G310" i="24"/>
  <c r="G311" i="24"/>
  <c r="G294" i="24"/>
  <c r="G295" i="24"/>
  <c r="G278" i="24"/>
  <c r="G279" i="24"/>
  <c r="G262" i="24"/>
  <c r="G263" i="24"/>
  <c r="G246" i="24"/>
  <c r="G247" i="24"/>
  <c r="G230" i="24"/>
  <c r="G231" i="24"/>
  <c r="G214" i="24"/>
  <c r="G215" i="24"/>
  <c r="G198" i="24"/>
  <c r="G199" i="24"/>
  <c r="G182" i="24"/>
  <c r="G183" i="24"/>
  <c r="G166" i="24"/>
  <c r="G167" i="24"/>
  <c r="G150" i="24"/>
  <c r="G151" i="24"/>
  <c r="G134" i="24"/>
  <c r="G135" i="24"/>
  <c r="G118" i="24"/>
  <c r="G119" i="24"/>
  <c r="G102" i="24"/>
  <c r="G103" i="24"/>
  <c r="G86" i="24"/>
  <c r="G87" i="24"/>
  <c r="G70" i="24"/>
  <c r="G71" i="24"/>
  <c r="G54" i="24"/>
  <c r="G55" i="24"/>
  <c r="G38" i="24"/>
  <c r="G39" i="24"/>
  <c r="G22" i="24"/>
  <c r="G23" i="24"/>
  <c r="G32" i="24"/>
  <c r="G64" i="24"/>
  <c r="G96" i="24"/>
  <c r="G128" i="24"/>
  <c r="G160" i="24"/>
  <c r="G192" i="24"/>
  <c r="G224" i="24"/>
  <c r="G256" i="24"/>
  <c r="G288" i="24"/>
  <c r="G320" i="24"/>
  <c r="G352" i="24"/>
  <c r="G384" i="24"/>
  <c r="G416" i="24"/>
  <c r="G448" i="24"/>
  <c r="G489" i="24"/>
  <c r="G490" i="24"/>
  <c r="G505" i="24"/>
  <c r="G506" i="24"/>
  <c r="G521" i="24"/>
  <c r="G522" i="24"/>
  <c r="G537" i="24"/>
  <c r="G538" i="24"/>
  <c r="G553" i="24"/>
  <c r="G554" i="24"/>
  <c r="G569" i="24"/>
  <c r="G570" i="24"/>
  <c r="G585" i="24"/>
  <c r="G586" i="24"/>
  <c r="G601" i="24"/>
  <c r="G602" i="24"/>
  <c r="G617" i="24"/>
  <c r="G618" i="24"/>
  <c r="G633" i="24"/>
  <c r="G634" i="24"/>
  <c r="G649" i="24"/>
  <c r="G650" i="24"/>
  <c r="G665" i="24"/>
  <c r="G666" i="24"/>
  <c r="G681" i="24"/>
  <c r="G682" i="24"/>
  <c r="G697" i="24"/>
  <c r="G698" i="24"/>
  <c r="G713" i="24"/>
  <c r="G714" i="24"/>
  <c r="G729" i="24"/>
  <c r="G730" i="24"/>
  <c r="G745" i="24"/>
  <c r="G746" i="24"/>
  <c r="G761" i="24"/>
  <c r="G762" i="24"/>
  <c r="G777" i="24"/>
  <c r="G778" i="24"/>
  <c r="G793" i="24"/>
  <c r="G794" i="24"/>
  <c r="G809" i="24"/>
  <c r="G810" i="24"/>
  <c r="G825" i="24"/>
  <c r="G826" i="24"/>
  <c r="G841" i="24"/>
  <c r="G842" i="24"/>
  <c r="G857" i="24"/>
  <c r="G858" i="24"/>
  <c r="G873" i="24"/>
  <c r="G874" i="24"/>
  <c r="G889" i="24"/>
  <c r="G890" i="24"/>
  <c r="G905" i="24"/>
  <c r="G906" i="24"/>
  <c r="G921" i="24"/>
  <c r="G922" i="24"/>
  <c r="G937" i="24"/>
  <c r="G938" i="24"/>
  <c r="G953" i="24"/>
  <c r="G954" i="24"/>
  <c r="G969" i="24"/>
  <c r="G970" i="24"/>
  <c r="G985" i="24"/>
  <c r="G986" i="24"/>
  <c r="G1001" i="24"/>
  <c r="G1002" i="24"/>
  <c r="G1017" i="24"/>
  <c r="G1018" i="24"/>
  <c r="G1033" i="24"/>
  <c r="G1034" i="24"/>
  <c r="G1049" i="24"/>
  <c r="G1050" i="24"/>
  <c r="G1065" i="24"/>
  <c r="G1066" i="24"/>
  <c r="G1081" i="24"/>
  <c r="G1082" i="24"/>
  <c r="G1097" i="24"/>
  <c r="G1098" i="24"/>
  <c r="G1113" i="24"/>
  <c r="G1114" i="24"/>
  <c r="G1129" i="24"/>
  <c r="G1130" i="24"/>
  <c r="G1145" i="24"/>
  <c r="G1146" i="24"/>
  <c r="G1161" i="24"/>
  <c r="G1162" i="24"/>
  <c r="G1177" i="24"/>
  <c r="G1178" i="24"/>
  <c r="G1193" i="24"/>
  <c r="G1194" i="24"/>
  <c r="G1209" i="24"/>
  <c r="G1210" i="24"/>
  <c r="G1225" i="24"/>
  <c r="G1226" i="24"/>
  <c r="G1241" i="24"/>
  <c r="G1242" i="24"/>
  <c r="G1257" i="24"/>
  <c r="G1258" i="24"/>
  <c r="G26" i="24"/>
  <c r="G58" i="24"/>
  <c r="G90" i="24"/>
  <c r="G122" i="24"/>
  <c r="G154" i="24"/>
  <c r="G186" i="24"/>
  <c r="G218" i="24"/>
  <c r="G250" i="24"/>
  <c r="G282" i="24"/>
  <c r="G314" i="24"/>
  <c r="G346" i="24"/>
  <c r="G378" i="24"/>
  <c r="G410" i="24"/>
  <c r="G442" i="24"/>
  <c r="O257" i="24"/>
  <c r="L254" i="23" s="1"/>
  <c r="O241" i="24"/>
  <c r="L238" i="23" s="1"/>
  <c r="O225" i="24"/>
  <c r="L222" i="23" s="1"/>
  <c r="O209" i="24"/>
  <c r="L206" i="23" s="1"/>
  <c r="O193" i="24"/>
  <c r="L190" i="23" s="1"/>
  <c r="O177" i="24"/>
  <c r="L174" i="23" s="1"/>
  <c r="O161" i="24"/>
  <c r="L158" i="23" s="1"/>
  <c r="O145" i="24"/>
  <c r="L142" i="23" s="1"/>
  <c r="O129" i="24"/>
  <c r="L126" i="23" s="1"/>
  <c r="O113" i="24"/>
  <c r="L110" i="23" s="1"/>
  <c r="O97" i="24"/>
  <c r="L94" i="23" s="1"/>
  <c r="O81" i="24"/>
  <c r="L78" i="23" s="1"/>
  <c r="O65" i="24"/>
  <c r="L62" i="23" s="1"/>
  <c r="O49" i="24"/>
  <c r="L46" i="23" s="1"/>
  <c r="O33" i="24"/>
  <c r="L30" i="23" s="1"/>
  <c r="O17" i="24"/>
  <c r="L14" i="23" s="1"/>
  <c r="O256" i="24"/>
  <c r="L253" i="23" s="1"/>
  <c r="O240" i="24"/>
  <c r="L237" i="23" s="1"/>
  <c r="O224" i="24"/>
  <c r="L221" i="23" s="1"/>
  <c r="O208" i="24"/>
  <c r="L205" i="23" s="1"/>
  <c r="O192" i="24"/>
  <c r="L189" i="23" s="1"/>
  <c r="O176" i="24"/>
  <c r="L173" i="23" s="1"/>
  <c r="O160" i="24"/>
  <c r="L157" i="23" s="1"/>
  <c r="O144" i="24"/>
  <c r="L141" i="23" s="1"/>
  <c r="O128" i="24"/>
  <c r="L125" i="23" s="1"/>
  <c r="O112" i="24"/>
  <c r="L109" i="23" s="1"/>
  <c r="O96" i="24"/>
  <c r="L93" i="23" s="1"/>
  <c r="O80" i="24"/>
  <c r="L77" i="23" s="1"/>
  <c r="O64" i="24"/>
  <c r="L61" i="23" s="1"/>
  <c r="O48" i="24"/>
  <c r="L45" i="23" s="1"/>
  <c r="O32" i="24"/>
  <c r="L29" i="23" s="1"/>
  <c r="O16" i="24"/>
  <c r="L13" i="23" s="1"/>
  <c r="O255" i="24"/>
  <c r="L252" i="23" s="1"/>
  <c r="O254" i="24"/>
  <c r="L251" i="23" s="1"/>
  <c r="O239" i="24"/>
  <c r="L236" i="23" s="1"/>
  <c r="O238" i="24"/>
  <c r="L235" i="23" s="1"/>
  <c r="O223" i="24"/>
  <c r="L220" i="23" s="1"/>
  <c r="O222" i="24"/>
  <c r="L219" i="23" s="1"/>
  <c r="O207" i="24"/>
  <c r="L204" i="23" s="1"/>
  <c r="O206" i="24"/>
  <c r="L203" i="23" s="1"/>
  <c r="O191" i="24"/>
  <c r="L188" i="23" s="1"/>
  <c r="O190" i="24"/>
  <c r="L187" i="23" s="1"/>
  <c r="O175" i="24"/>
  <c r="L172" i="23" s="1"/>
  <c r="O174" i="24"/>
  <c r="L171" i="23" s="1"/>
  <c r="O158" i="24"/>
  <c r="L155" i="23" s="1"/>
  <c r="O159" i="24"/>
  <c r="L156" i="23" s="1"/>
  <c r="O142" i="24"/>
  <c r="L139" i="23" s="1"/>
  <c r="O143" i="24"/>
  <c r="L140" i="23" s="1"/>
  <c r="O126" i="24"/>
  <c r="L123" i="23" s="1"/>
  <c r="O127" i="24"/>
  <c r="L124" i="23" s="1"/>
  <c r="O110" i="24"/>
  <c r="L107" i="23" s="1"/>
  <c r="O111" i="24"/>
  <c r="L108" i="23" s="1"/>
  <c r="O95" i="24"/>
  <c r="L92" i="23" s="1"/>
  <c r="O94" i="24"/>
  <c r="L91" i="23" s="1"/>
  <c r="O78" i="24"/>
  <c r="L75" i="23" s="1"/>
  <c r="O79" i="24"/>
  <c r="L76" i="23" s="1"/>
  <c r="O63" i="24"/>
  <c r="L60" i="23" s="1"/>
  <c r="O62" i="24"/>
  <c r="L59" i="23" s="1"/>
  <c r="O47" i="24"/>
  <c r="L44" i="23" s="1"/>
  <c r="O46" i="24"/>
  <c r="L43" i="23" s="1"/>
  <c r="O30" i="24"/>
  <c r="L27" i="23" s="1"/>
  <c r="O31" i="24"/>
  <c r="L28" i="23" s="1"/>
  <c r="O15" i="24"/>
  <c r="L12" i="23" s="1"/>
  <c r="O14" i="24"/>
  <c r="L11" i="23" s="1"/>
  <c r="O74" i="24"/>
  <c r="L71" i="23" s="1"/>
  <c r="O138" i="24"/>
  <c r="L135" i="23" s="1"/>
  <c r="O202" i="24"/>
  <c r="L199" i="23" s="1"/>
  <c r="N22" i="5"/>
  <c r="P22" i="5"/>
  <c r="M22" i="5"/>
  <c r="K22" i="5"/>
  <c r="L22" i="5"/>
  <c r="C22" i="5"/>
  <c r="E22" i="5"/>
  <c r="H22" i="5"/>
  <c r="B66" i="32"/>
  <c r="C65" i="32"/>
  <c r="C38" i="14"/>
  <c r="H38" i="14"/>
  <c r="G38" i="14"/>
  <c r="D38" i="14"/>
  <c r="L38" i="14"/>
  <c r="F15" i="27"/>
  <c r="F22" i="27"/>
  <c r="K35" i="24"/>
  <c r="K34" i="24"/>
  <c r="K67" i="24"/>
  <c r="K66" i="24"/>
  <c r="K431" i="24"/>
  <c r="K432" i="24"/>
  <c r="K415" i="24"/>
  <c r="K416" i="24"/>
  <c r="K399" i="24"/>
  <c r="K400" i="24"/>
  <c r="K383" i="24"/>
  <c r="K384" i="24"/>
  <c r="K367" i="24"/>
  <c r="K368" i="24"/>
  <c r="K351" i="24"/>
  <c r="K352" i="24"/>
  <c r="K335" i="24"/>
  <c r="K336" i="24"/>
  <c r="K319" i="24"/>
  <c r="K320" i="24"/>
  <c r="K303" i="24"/>
  <c r="K304" i="24"/>
  <c r="K287" i="24"/>
  <c r="K288" i="24"/>
  <c r="K271" i="24"/>
  <c r="K272" i="24"/>
  <c r="K255" i="24"/>
  <c r="K256" i="24"/>
  <c r="K239" i="24"/>
  <c r="K240" i="24"/>
  <c r="K223" i="24"/>
  <c r="K224" i="24"/>
  <c r="K207" i="24"/>
  <c r="K208" i="24"/>
  <c r="K191" i="24"/>
  <c r="K192" i="24"/>
  <c r="K175" i="24"/>
  <c r="K176" i="24"/>
  <c r="K159" i="24"/>
  <c r="K160" i="24"/>
  <c r="K143" i="24"/>
  <c r="K144" i="24"/>
  <c r="K128" i="24"/>
  <c r="K112" i="24"/>
  <c r="K96" i="24"/>
  <c r="K80" i="24"/>
  <c r="K64" i="24"/>
  <c r="K48" i="24"/>
  <c r="K32" i="24"/>
  <c r="K16" i="24"/>
  <c r="K23" i="24"/>
  <c r="K22" i="24"/>
  <c r="K55" i="24"/>
  <c r="K54" i="24"/>
  <c r="K87" i="24"/>
  <c r="K86" i="24"/>
  <c r="K119" i="24"/>
  <c r="K118" i="24"/>
  <c r="K147" i="24"/>
  <c r="K146" i="24"/>
  <c r="K189" i="24"/>
  <c r="K190" i="24"/>
  <c r="C14" i="24"/>
  <c r="C35" i="24"/>
  <c r="C34" i="24"/>
  <c r="C55" i="24"/>
  <c r="C56" i="24"/>
  <c r="C78" i="24"/>
  <c r="C99" i="24"/>
  <c r="C98" i="24"/>
  <c r="C119" i="24"/>
  <c r="C120" i="24"/>
  <c r="C142" i="24"/>
  <c r="C163" i="24"/>
  <c r="C162" i="24"/>
  <c r="C183" i="24"/>
  <c r="C184" i="24"/>
  <c r="C206" i="24"/>
  <c r="C227" i="24"/>
  <c r="C226" i="24"/>
  <c r="C247" i="24"/>
  <c r="C248" i="24"/>
  <c r="C270" i="24"/>
  <c r="C291" i="24"/>
  <c r="C290" i="24"/>
  <c r="C311" i="24"/>
  <c r="C312" i="24"/>
  <c r="C334" i="24"/>
  <c r="C355" i="24"/>
  <c r="C354" i="24"/>
  <c r="C375" i="24"/>
  <c r="C376" i="24"/>
  <c r="C398" i="24"/>
  <c r="C419" i="24"/>
  <c r="C418" i="24"/>
  <c r="C439" i="24"/>
  <c r="C440" i="24"/>
  <c r="C462" i="24"/>
  <c r="C483" i="24"/>
  <c r="C482" i="24"/>
  <c r="C503" i="24"/>
  <c r="C504" i="24"/>
  <c r="C526" i="24"/>
  <c r="C547" i="24"/>
  <c r="C546" i="24"/>
  <c r="C567" i="24"/>
  <c r="C568" i="24"/>
  <c r="C590" i="24"/>
  <c r="C611" i="24"/>
  <c r="C610" i="24"/>
  <c r="C631" i="24"/>
  <c r="C632" i="24"/>
  <c r="C654" i="24"/>
  <c r="C675" i="24"/>
  <c r="C674" i="24"/>
  <c r="C695" i="24"/>
  <c r="C696" i="24"/>
  <c r="C718" i="24"/>
  <c r="C739" i="24"/>
  <c r="C738" i="24"/>
  <c r="C759" i="24"/>
  <c r="C760" i="24"/>
  <c r="C782" i="24"/>
  <c r="C803" i="24"/>
  <c r="C802" i="24"/>
  <c r="C823" i="24"/>
  <c r="C824" i="24"/>
  <c r="C846" i="24"/>
  <c r="C867" i="24"/>
  <c r="C866" i="24"/>
  <c r="C887" i="24"/>
  <c r="C888" i="24"/>
  <c r="C910" i="24"/>
  <c r="C931" i="24"/>
  <c r="C930" i="24"/>
  <c r="C951" i="24"/>
  <c r="C952" i="24"/>
  <c r="C974" i="24"/>
  <c r="C995" i="24"/>
  <c r="C994" i="24"/>
  <c r="C1015" i="24"/>
  <c r="C1016" i="24"/>
  <c r="C1038" i="24"/>
  <c r="C1059" i="24"/>
  <c r="C1058" i="24"/>
  <c r="C1079" i="24"/>
  <c r="C1080" i="24"/>
  <c r="C1102" i="24"/>
  <c r="C1123" i="24"/>
  <c r="C1122" i="24"/>
  <c r="C1143" i="24"/>
  <c r="C1144" i="24"/>
  <c r="C1166" i="24"/>
  <c r="C1187" i="24"/>
  <c r="C1186" i="24"/>
  <c r="C1207" i="24"/>
  <c r="C1208" i="24"/>
  <c r="C1230" i="24"/>
  <c r="C1251" i="24"/>
  <c r="C1250" i="24"/>
  <c r="C1271" i="24"/>
  <c r="C1272" i="24"/>
  <c r="C1294" i="24"/>
  <c r="C1311" i="24"/>
  <c r="C1310" i="24"/>
  <c r="C1327" i="24"/>
  <c r="C1326" i="24"/>
  <c r="C1343" i="24"/>
  <c r="C1342" i="24"/>
  <c r="C1359" i="24"/>
  <c r="C1358" i="24"/>
  <c r="C1375" i="24"/>
  <c r="C1374" i="24"/>
  <c r="C1391" i="24"/>
  <c r="C1390" i="24"/>
  <c r="C1407" i="24"/>
  <c r="C1406" i="24"/>
  <c r="C1423" i="24"/>
  <c r="C1422" i="24"/>
  <c r="C1439" i="24"/>
  <c r="C1438" i="24"/>
  <c r="C1455" i="24"/>
  <c r="C1454" i="24"/>
  <c r="C1471" i="24"/>
  <c r="C1470" i="24"/>
  <c r="C1487" i="24"/>
  <c r="C1486" i="24"/>
  <c r="C1503" i="24"/>
  <c r="C1502" i="24"/>
  <c r="C1519" i="24"/>
  <c r="C1518" i="24"/>
  <c r="C1535" i="24"/>
  <c r="C1534" i="24"/>
  <c r="C1551" i="24"/>
  <c r="C1550" i="24"/>
  <c r="C1567" i="24"/>
  <c r="C1566" i="24"/>
  <c r="C1583" i="24"/>
  <c r="C1582" i="24"/>
  <c r="C1599" i="24"/>
  <c r="C1598" i="24"/>
  <c r="C1615" i="24"/>
  <c r="C1614" i="24"/>
  <c r="C1631" i="24"/>
  <c r="C1630" i="24"/>
  <c r="C1647" i="24"/>
  <c r="C1646" i="24"/>
  <c r="C1663" i="24"/>
  <c r="C1662" i="24"/>
  <c r="C1679" i="24"/>
  <c r="C1678" i="24"/>
  <c r="C1695" i="24"/>
  <c r="C1694" i="24"/>
  <c r="C1711" i="24"/>
  <c r="C1710" i="24"/>
  <c r="C1727" i="24"/>
  <c r="C1726" i="24"/>
  <c r="C1743" i="24"/>
  <c r="C1742" i="24"/>
  <c r="C1759" i="24"/>
  <c r="C1758" i="24"/>
  <c r="C1775" i="24"/>
  <c r="C1774" i="24"/>
  <c r="C1791" i="24"/>
  <c r="C1790" i="24"/>
  <c r="C1807" i="24"/>
  <c r="C1806" i="24"/>
  <c r="C1823" i="24"/>
  <c r="C1822" i="24"/>
  <c r="C1839" i="24"/>
  <c r="C1838" i="24"/>
  <c r="C1855" i="24"/>
  <c r="C1854" i="24"/>
  <c r="C1871" i="24"/>
  <c r="C1870" i="24"/>
  <c r="C1887" i="24"/>
  <c r="C1886" i="24"/>
  <c r="C1903" i="24"/>
  <c r="C1902" i="24"/>
  <c r="C1919" i="24"/>
  <c r="C1918" i="24"/>
  <c r="C1935" i="24"/>
  <c r="C1934" i="24"/>
  <c r="C1951" i="24"/>
  <c r="C1950" i="24"/>
  <c r="C1967" i="24"/>
  <c r="C1966" i="24"/>
  <c r="C1983" i="24"/>
  <c r="C1982" i="24"/>
  <c r="C1999" i="24"/>
  <c r="C1998" i="24"/>
  <c r="C2015" i="24"/>
  <c r="C2014" i="24"/>
  <c r="C2031" i="24"/>
  <c r="C2030" i="24"/>
  <c r="C2047" i="24"/>
  <c r="C2046" i="24"/>
  <c r="C2063" i="24"/>
  <c r="C2062" i="24"/>
  <c r="C2079" i="24"/>
  <c r="C2078" i="24"/>
  <c r="C2095" i="24"/>
  <c r="C2094" i="24"/>
  <c r="C2111" i="24"/>
  <c r="C2110" i="24"/>
  <c r="C2127" i="24"/>
  <c r="C2126" i="24"/>
  <c r="C2143" i="24"/>
  <c r="C2142" i="24"/>
  <c r="C2159" i="24"/>
  <c r="C2158" i="24"/>
  <c r="C2175" i="24"/>
  <c r="C2174" i="24"/>
  <c r="C2191" i="24"/>
  <c r="C2190" i="24"/>
  <c r="C2207" i="24"/>
  <c r="C2206" i="24"/>
  <c r="C2223" i="24"/>
  <c r="C2222" i="24"/>
  <c r="C2239" i="24"/>
  <c r="C2238" i="24"/>
  <c r="C2255" i="24"/>
  <c r="C2254" i="24"/>
  <c r="C2271" i="24"/>
  <c r="C2270" i="24"/>
  <c r="C2287" i="24"/>
  <c r="C2286" i="24"/>
  <c r="C2303" i="24"/>
  <c r="C2302" i="24"/>
  <c r="C2319" i="24"/>
  <c r="C2318" i="24"/>
  <c r="C2335" i="24"/>
  <c r="C2334" i="24"/>
  <c r="C2351" i="24"/>
  <c r="C2350" i="24"/>
  <c r="C2367" i="24"/>
  <c r="C2366" i="24"/>
  <c r="C2383" i="24"/>
  <c r="C2382" i="24"/>
  <c r="C2399" i="24"/>
  <c r="C2398" i="24"/>
  <c r="C2415" i="24"/>
  <c r="C2414" i="24"/>
  <c r="C2431" i="24"/>
  <c r="C2430" i="24"/>
  <c r="C2447" i="24"/>
  <c r="C2446" i="24"/>
  <c r="C2463" i="24"/>
  <c r="C2462" i="24"/>
  <c r="C2479" i="24"/>
  <c r="C2478" i="24"/>
  <c r="C2495" i="24"/>
  <c r="C2494" i="24"/>
  <c r="C2511" i="24"/>
  <c r="C2510" i="24"/>
  <c r="C1292" i="24"/>
  <c r="C1293" i="24"/>
  <c r="C1276" i="24"/>
  <c r="C1277" i="24"/>
  <c r="C1260" i="24"/>
  <c r="C1261" i="24"/>
  <c r="C1244" i="24"/>
  <c r="C1245" i="24"/>
  <c r="C1228" i="24"/>
  <c r="C1229" i="24"/>
  <c r="C1212" i="24"/>
  <c r="C1213" i="24"/>
  <c r="C1196" i="24"/>
  <c r="C1197" i="24"/>
  <c r="C1180" i="24"/>
  <c r="C1181" i="24"/>
  <c r="C1164" i="24"/>
  <c r="C1165" i="24"/>
  <c r="C1148" i="24"/>
  <c r="C1149" i="24"/>
  <c r="C1132" i="24"/>
  <c r="C1133" i="24"/>
  <c r="C1116" i="24"/>
  <c r="C1117" i="24"/>
  <c r="C1100" i="24"/>
  <c r="C1101" i="24"/>
  <c r="C1084" i="24"/>
  <c r="C1085" i="24"/>
  <c r="C1068" i="24"/>
  <c r="C1069" i="24"/>
  <c r="C1052" i="24"/>
  <c r="C1053" i="24"/>
  <c r="C1036" i="24"/>
  <c r="C1037" i="24"/>
  <c r="C1020" i="24"/>
  <c r="C1021" i="24"/>
  <c r="C1004" i="24"/>
  <c r="C1005" i="24"/>
  <c r="C988" i="24"/>
  <c r="C989" i="24"/>
  <c r="C972" i="24"/>
  <c r="C973" i="24"/>
  <c r="C956" i="24"/>
  <c r="C957" i="24"/>
  <c r="C940" i="24"/>
  <c r="C941" i="24"/>
  <c r="C924" i="24"/>
  <c r="C925" i="24"/>
  <c r="C908" i="24"/>
  <c r="C909" i="24"/>
  <c r="C892" i="24"/>
  <c r="C893" i="24"/>
  <c r="C876" i="24"/>
  <c r="C877" i="24"/>
  <c r="C860" i="24"/>
  <c r="C861" i="24"/>
  <c r="C844" i="24"/>
  <c r="C845" i="24"/>
  <c r="C828" i="24"/>
  <c r="C829" i="24"/>
  <c r="C812" i="24"/>
  <c r="C813" i="24"/>
  <c r="C796" i="24"/>
  <c r="C797" i="24"/>
  <c r="C780" i="24"/>
  <c r="C781" i="24"/>
  <c r="C764" i="24"/>
  <c r="C765" i="24"/>
  <c r="C748" i="24"/>
  <c r="C749" i="24"/>
  <c r="C732" i="24"/>
  <c r="C733" i="24"/>
  <c r="C716" i="24"/>
  <c r="C717" i="24"/>
  <c r="C700" i="24"/>
  <c r="C701" i="24"/>
  <c r="C684" i="24"/>
  <c r="C685" i="24"/>
  <c r="C668" i="24"/>
  <c r="C669" i="24"/>
  <c r="C652" i="24"/>
  <c r="C653" i="24"/>
  <c r="C636" i="24"/>
  <c r="C637" i="24"/>
  <c r="C620" i="24"/>
  <c r="C621" i="24"/>
  <c r="C604" i="24"/>
  <c r="C605" i="24"/>
  <c r="C588" i="24"/>
  <c r="C589" i="24"/>
  <c r="C572" i="24"/>
  <c r="C573" i="24"/>
  <c r="C556" i="24"/>
  <c r="C557" i="24"/>
  <c r="C540" i="24"/>
  <c r="C541" i="24"/>
  <c r="C524" i="24"/>
  <c r="C525" i="24"/>
  <c r="C508" i="24"/>
  <c r="C509" i="24"/>
  <c r="C492" i="24"/>
  <c r="C493" i="24"/>
  <c r="C476" i="24"/>
  <c r="C477" i="24"/>
  <c r="C460" i="24"/>
  <c r="C461" i="24"/>
  <c r="C444" i="24"/>
  <c r="C445" i="24"/>
  <c r="C428" i="24"/>
  <c r="C429" i="24"/>
  <c r="C412" i="24"/>
  <c r="C413" i="24"/>
  <c r="C396" i="24"/>
  <c r="C397" i="24"/>
  <c r="C380" i="24"/>
  <c r="C381" i="24"/>
  <c r="C364" i="24"/>
  <c r="C365" i="24"/>
  <c r="C348" i="24"/>
  <c r="C349" i="24"/>
  <c r="C332" i="24"/>
  <c r="C333" i="24"/>
  <c r="C316" i="24"/>
  <c r="C317" i="24"/>
  <c r="C300" i="24"/>
  <c r="C301" i="24"/>
  <c r="C284" i="24"/>
  <c r="C285" i="24"/>
  <c r="C268" i="24"/>
  <c r="C269" i="24"/>
  <c r="C252" i="24"/>
  <c r="C253" i="24"/>
  <c r="C236" i="24"/>
  <c r="C237" i="24"/>
  <c r="C220" i="24"/>
  <c r="C221" i="24"/>
  <c r="C204" i="24"/>
  <c r="C205" i="24"/>
  <c r="C188" i="24"/>
  <c r="C189" i="24"/>
  <c r="C172" i="24"/>
  <c r="C173" i="24"/>
  <c r="C156" i="24"/>
  <c r="C157" i="24"/>
  <c r="C140" i="24"/>
  <c r="C141" i="24"/>
  <c r="C124" i="24"/>
  <c r="C125" i="24"/>
  <c r="C108" i="24"/>
  <c r="C109" i="24"/>
  <c r="C92" i="24"/>
  <c r="C93" i="24"/>
  <c r="C76" i="24"/>
  <c r="C77" i="24"/>
  <c r="C60" i="24"/>
  <c r="C61" i="24"/>
  <c r="C44" i="24"/>
  <c r="C45" i="24"/>
  <c r="C28" i="24"/>
  <c r="C29" i="24"/>
  <c r="C12" i="24"/>
  <c r="C13" i="24"/>
  <c r="G9" i="24"/>
  <c r="G8" i="24"/>
  <c r="G40" i="24"/>
  <c r="G72" i="24"/>
  <c r="G104" i="24"/>
  <c r="G136" i="24"/>
  <c r="G168" i="24"/>
  <c r="G200" i="24"/>
  <c r="G232" i="24"/>
  <c r="G264" i="24"/>
  <c r="G296" i="24"/>
  <c r="G328" i="24"/>
  <c r="G360" i="24"/>
  <c r="G392" i="24"/>
  <c r="G424" i="24"/>
  <c r="G456" i="24"/>
  <c r="G476" i="24"/>
  <c r="G477" i="24"/>
  <c r="G493" i="24"/>
  <c r="G494" i="24"/>
  <c r="G509" i="24"/>
  <c r="G510" i="24"/>
  <c r="G525" i="24"/>
  <c r="G526" i="24"/>
  <c r="G541" i="24"/>
  <c r="G542" i="24"/>
  <c r="G557" i="24"/>
  <c r="G558" i="24"/>
  <c r="G573" i="24"/>
  <c r="G574" i="24"/>
  <c r="G589" i="24"/>
  <c r="G590" i="24"/>
  <c r="G605" i="24"/>
  <c r="G606" i="24"/>
  <c r="G621" i="24"/>
  <c r="G622" i="24"/>
  <c r="G637" i="24"/>
  <c r="G638" i="24"/>
  <c r="G653" i="24"/>
  <c r="G654" i="24"/>
  <c r="G669" i="24"/>
  <c r="G670" i="24"/>
  <c r="G685" i="24"/>
  <c r="G686" i="24"/>
  <c r="G701" i="24"/>
  <c r="G702" i="24"/>
  <c r="G717" i="24"/>
  <c r="G718" i="24"/>
  <c r="G733" i="24"/>
  <c r="G734" i="24"/>
  <c r="G749" i="24"/>
  <c r="G750" i="24"/>
  <c r="G765" i="24"/>
  <c r="G766" i="24"/>
  <c r="G781" i="24"/>
  <c r="G782" i="24"/>
  <c r="G797" i="24"/>
  <c r="G798" i="24"/>
  <c r="G813" i="24"/>
  <c r="G814" i="24"/>
  <c r="G829" i="24"/>
  <c r="G830" i="24"/>
  <c r="G845" i="24"/>
  <c r="G846" i="24"/>
  <c r="G861" i="24"/>
  <c r="G862" i="24"/>
  <c r="G877" i="24"/>
  <c r="G878" i="24"/>
  <c r="G893" i="24"/>
  <c r="G894" i="24"/>
  <c r="G909" i="24"/>
  <c r="G910" i="24"/>
  <c r="G925" i="24"/>
  <c r="G926" i="24"/>
  <c r="G941" i="24"/>
  <c r="G942" i="24"/>
  <c r="G957" i="24"/>
  <c r="G958" i="24"/>
  <c r="G973" i="24"/>
  <c r="G974" i="24"/>
  <c r="G989" i="24"/>
  <c r="G990" i="24"/>
  <c r="G1005" i="24"/>
  <c r="G1006" i="24"/>
  <c r="G1021" i="24"/>
  <c r="G1022" i="24"/>
  <c r="G1037" i="24"/>
  <c r="G1038" i="24"/>
  <c r="G1053" i="24"/>
  <c r="G1054" i="24"/>
  <c r="G1069" i="24"/>
  <c r="G1070" i="24"/>
  <c r="G1085" i="24"/>
  <c r="G1086" i="24"/>
  <c r="G1101" i="24"/>
  <c r="G1102" i="24"/>
  <c r="G1117" i="24"/>
  <c r="G1118" i="24"/>
  <c r="G1133" i="24"/>
  <c r="G1134" i="24"/>
  <c r="G1149" i="24"/>
  <c r="G1150" i="24"/>
  <c r="G1165" i="24"/>
  <c r="G1166" i="24"/>
  <c r="G1181" i="24"/>
  <c r="G1182" i="24"/>
  <c r="G1197" i="24"/>
  <c r="G1198" i="24"/>
  <c r="G1213" i="24"/>
  <c r="G1214" i="24"/>
  <c r="G1229" i="24"/>
  <c r="G1230" i="24"/>
  <c r="G1245" i="24"/>
  <c r="G1246" i="24"/>
  <c r="G1261" i="24"/>
  <c r="G1262" i="24"/>
  <c r="G34" i="24"/>
  <c r="G66" i="24"/>
  <c r="G98" i="24"/>
  <c r="G130" i="24"/>
  <c r="G162" i="24"/>
  <c r="G194" i="24"/>
  <c r="G226" i="24"/>
  <c r="G258" i="24"/>
  <c r="G290" i="24"/>
  <c r="G322" i="24"/>
  <c r="G354" i="24"/>
  <c r="G386" i="24"/>
  <c r="G418" i="24"/>
  <c r="G450" i="24"/>
  <c r="I101" i="12"/>
  <c r="J101" i="12"/>
  <c r="J35" i="12" s="1"/>
  <c r="I115" i="12"/>
  <c r="I112" i="12" s="1"/>
  <c r="O252" i="24"/>
  <c r="L249" i="23" s="1"/>
  <c r="O236" i="24"/>
  <c r="L233" i="23" s="1"/>
  <c r="O220" i="24"/>
  <c r="L217" i="23" s="1"/>
  <c r="O204" i="24"/>
  <c r="L201" i="23" s="1"/>
  <c r="O188" i="24"/>
  <c r="L185" i="23" s="1"/>
  <c r="O172" i="24"/>
  <c r="L169" i="23" s="1"/>
  <c r="O156" i="24"/>
  <c r="L153" i="23" s="1"/>
  <c r="O140" i="24"/>
  <c r="L137" i="23" s="1"/>
  <c r="O124" i="24"/>
  <c r="L121" i="23" s="1"/>
  <c r="O108" i="24"/>
  <c r="L105" i="23" s="1"/>
  <c r="O92" i="24"/>
  <c r="L89" i="23" s="1"/>
  <c r="O76" i="24"/>
  <c r="L73" i="23" s="1"/>
  <c r="O60" i="24"/>
  <c r="L57" i="23" s="1"/>
  <c r="O44" i="24"/>
  <c r="L41" i="23" s="1"/>
  <c r="O28" i="24"/>
  <c r="L25" i="23" s="1"/>
  <c r="O12" i="24"/>
  <c r="L9" i="23" s="1"/>
  <c r="O251" i="24"/>
  <c r="L248" i="23" s="1"/>
  <c r="O235" i="24"/>
  <c r="L232" i="23" s="1"/>
  <c r="O219" i="24"/>
  <c r="L216" i="23" s="1"/>
  <c r="O203" i="24"/>
  <c r="L200" i="23" s="1"/>
  <c r="O187" i="24"/>
  <c r="L184" i="23" s="1"/>
  <c r="O171" i="24"/>
  <c r="L168" i="23" s="1"/>
  <c r="O155" i="24"/>
  <c r="L152" i="23" s="1"/>
  <c r="O139" i="24"/>
  <c r="L136" i="23" s="1"/>
  <c r="O123" i="24"/>
  <c r="L120" i="23" s="1"/>
  <c r="O107" i="24"/>
  <c r="L104" i="23" s="1"/>
  <c r="O91" i="24"/>
  <c r="L88" i="23" s="1"/>
  <c r="O75" i="24"/>
  <c r="L72" i="23" s="1"/>
  <c r="O59" i="24"/>
  <c r="L56" i="23" s="1"/>
  <c r="O43" i="24"/>
  <c r="L40" i="23" s="1"/>
  <c r="O27" i="24"/>
  <c r="L24" i="23" s="1"/>
  <c r="O11" i="24"/>
  <c r="L8" i="23" s="1"/>
  <c r="O10" i="24"/>
  <c r="L7" i="23" s="1"/>
  <c r="O26" i="24"/>
  <c r="L23" i="23" s="1"/>
  <c r="O90" i="24"/>
  <c r="L87" i="23" s="1"/>
  <c r="O154" i="24"/>
  <c r="L151" i="23" s="1"/>
  <c r="O218" i="24"/>
  <c r="L215" i="23" s="1"/>
  <c r="B10" i="5"/>
  <c r="J10" i="5"/>
  <c r="J23" i="5" s="1"/>
  <c r="J36" i="5" s="1"/>
  <c r="K35" i="5" l="1"/>
  <c r="G35" i="5"/>
  <c r="C35" i="5"/>
  <c r="L35" i="5"/>
  <c r="E35" i="5"/>
  <c r="P35" i="5"/>
  <c r="H35" i="5"/>
  <c r="N35" i="5"/>
  <c r="I6" i="33"/>
  <c r="J4" i="3"/>
  <c r="B252" i="13"/>
  <c r="I121" i="12"/>
  <c r="B1" i="20"/>
  <c r="H130" i="12"/>
  <c r="H125" i="12"/>
  <c r="B8" i="21"/>
  <c r="J121" i="12"/>
  <c r="P18" i="12"/>
  <c r="J134" i="12"/>
  <c r="I130" i="12"/>
  <c r="I129" i="12"/>
  <c r="F116" i="12"/>
  <c r="C120" i="13"/>
  <c r="F120" i="13"/>
  <c r="D120" i="13"/>
  <c r="I120" i="13"/>
  <c r="H120" i="13"/>
  <c r="G120" i="13"/>
  <c r="I132" i="12"/>
  <c r="G132" i="12"/>
  <c r="F132" i="12"/>
  <c r="E132" i="12"/>
  <c r="H132" i="12"/>
  <c r="C8" i="21"/>
  <c r="L8" i="21"/>
  <c r="C5" i="34" s="1"/>
  <c r="I8" i="21"/>
  <c r="H8" i="21"/>
  <c r="F8" i="21"/>
  <c r="E8" i="21"/>
  <c r="D254" i="13" s="1"/>
  <c r="K8" i="21"/>
  <c r="B10" i="21"/>
  <c r="H121" i="12"/>
  <c r="P12" i="12"/>
  <c r="E134" i="12"/>
  <c r="F134" i="12"/>
  <c r="G134" i="12"/>
  <c r="I134" i="12"/>
  <c r="H134" i="12"/>
  <c r="J126" i="12"/>
  <c r="I131" i="12"/>
  <c r="J125" i="12"/>
  <c r="H141" i="12"/>
  <c r="I141" i="12"/>
  <c r="E141" i="12"/>
  <c r="G141" i="12"/>
  <c r="F141" i="12"/>
  <c r="P15" i="12"/>
  <c r="P21" i="12" s="1"/>
  <c r="J128" i="12"/>
  <c r="F125" i="12"/>
  <c r="I125" i="12"/>
  <c r="J141" i="12"/>
  <c r="C28" i="34"/>
  <c r="D28" i="34"/>
  <c r="F28" i="34"/>
  <c r="J136" i="12"/>
  <c r="D119" i="13"/>
  <c r="F119" i="13"/>
  <c r="E119" i="13"/>
  <c r="C119" i="13"/>
  <c r="I119" i="13"/>
  <c r="H119" i="13"/>
  <c r="B119" i="13"/>
  <c r="G119" i="13"/>
  <c r="L16" i="21"/>
  <c r="C18" i="34" s="1"/>
  <c r="I16" i="21"/>
  <c r="F18" i="34" s="1"/>
  <c r="K16" i="21"/>
  <c r="D18" i="34" s="1"/>
  <c r="H16" i="21"/>
  <c r="G18" i="34" s="1"/>
  <c r="F130" i="12"/>
  <c r="N9" i="12"/>
  <c r="P9" i="12" s="1"/>
  <c r="Q2" i="12"/>
  <c r="C27" i="34"/>
  <c r="C24" i="21"/>
  <c r="G138" i="12"/>
  <c r="H138" i="12"/>
  <c r="E138" i="12"/>
  <c r="F138" i="12"/>
  <c r="I138" i="12"/>
  <c r="E46" i="26"/>
  <c r="C25" i="34"/>
  <c r="D25" i="34"/>
  <c r="G125" i="12"/>
  <c r="F5" i="77"/>
  <c r="K5" i="77"/>
  <c r="L5" i="77"/>
  <c r="I5" i="77"/>
  <c r="J5" i="77"/>
  <c r="D5" i="77"/>
  <c r="H5" i="77"/>
  <c r="E5" i="77"/>
  <c r="C5" i="77"/>
  <c r="B9" i="21"/>
  <c r="J132" i="12"/>
  <c r="F139" i="12"/>
  <c r="G139" i="12"/>
  <c r="E139" i="12"/>
  <c r="I139" i="12"/>
  <c r="H139" i="12"/>
  <c r="F23" i="26"/>
  <c r="K15" i="21"/>
  <c r="D17" i="34" s="1"/>
  <c r="D15" i="21"/>
  <c r="K17" i="34" s="1"/>
  <c r="L15" i="21"/>
  <c r="C17" i="34" s="1"/>
  <c r="G121" i="12"/>
  <c r="H136" i="12"/>
  <c r="E136" i="12"/>
  <c r="G136" i="12"/>
  <c r="F136" i="12"/>
  <c r="B5" i="26"/>
  <c r="H5" i="26"/>
  <c r="AF5" i="26" s="1"/>
  <c r="G5" i="26"/>
  <c r="G59" i="26" s="1"/>
  <c r="F5" i="26"/>
  <c r="F59" i="26" s="1"/>
  <c r="D5" i="26"/>
  <c r="C5" i="26"/>
  <c r="I5" i="26"/>
  <c r="E5" i="26"/>
  <c r="E59" i="26" s="1"/>
  <c r="F121" i="12"/>
  <c r="G135" i="12"/>
  <c r="J104" i="12"/>
  <c r="J44" i="12" s="1"/>
  <c r="I140" i="12"/>
  <c r="H140" i="12"/>
  <c r="G140" i="12"/>
  <c r="F140" i="12"/>
  <c r="E140" i="12"/>
  <c r="E121" i="12"/>
  <c r="J6" i="77"/>
  <c r="L6" i="77"/>
  <c r="H6" i="77"/>
  <c r="D6" i="77"/>
  <c r="G6" i="77"/>
  <c r="I6" i="77"/>
  <c r="C6" i="77"/>
  <c r="E6" i="77"/>
  <c r="K6" i="77"/>
  <c r="F6" i="77"/>
  <c r="J105" i="12"/>
  <c r="J48" i="12" s="1"/>
  <c r="K12" i="21"/>
  <c r="D14" i="34" s="1"/>
  <c r="L12" i="21"/>
  <c r="C14" i="34" s="1"/>
  <c r="E47" i="26"/>
  <c r="I47" i="26"/>
  <c r="B47" i="26"/>
  <c r="D47" i="26"/>
  <c r="C47" i="26"/>
  <c r="F47" i="26"/>
  <c r="H47" i="26"/>
  <c r="G47" i="26"/>
  <c r="E125" i="12"/>
  <c r="T18" i="12"/>
  <c r="G126" i="12"/>
  <c r="I126" i="12"/>
  <c r="H126" i="12"/>
  <c r="E126" i="12"/>
  <c r="F126" i="12"/>
  <c r="H16" i="26"/>
  <c r="C15" i="26"/>
  <c r="F15" i="26"/>
  <c r="K19" i="21"/>
  <c r="E15" i="26"/>
  <c r="Q15" i="26" s="1"/>
  <c r="J139" i="12"/>
  <c r="J138" i="12"/>
  <c r="E128" i="12"/>
  <c r="I128" i="12"/>
  <c r="G128" i="12"/>
  <c r="F128" i="12"/>
  <c r="H128" i="12"/>
  <c r="H10" i="21"/>
  <c r="G118" i="13" s="1"/>
  <c r="L10" i="21"/>
  <c r="C10" i="34" s="1"/>
  <c r="E10" i="21"/>
  <c r="K10" i="21"/>
  <c r="D10" i="34" s="1"/>
  <c r="N4" i="3"/>
  <c r="G25" i="3"/>
  <c r="H15" i="26"/>
  <c r="T15" i="26" s="1"/>
  <c r="G27" i="34"/>
  <c r="H60" i="18"/>
  <c r="H24" i="21"/>
  <c r="F19" i="21"/>
  <c r="F15" i="21"/>
  <c r="I17" i="34" s="1"/>
  <c r="E38" i="26"/>
  <c r="I136" i="12"/>
  <c r="I25" i="34"/>
  <c r="E39" i="27"/>
  <c r="I61" i="18"/>
  <c r="E28" i="34"/>
  <c r="F6" i="64"/>
  <c r="F6" i="20"/>
  <c r="I4" i="34"/>
  <c r="F6" i="22"/>
  <c r="F6" i="21"/>
  <c r="F9" i="14" s="1"/>
  <c r="F6" i="58"/>
  <c r="G5" i="64"/>
  <c r="G5" i="20"/>
  <c r="G37" i="20" s="1"/>
  <c r="G5" i="21"/>
  <c r="G8" i="69" s="1"/>
  <c r="H3" i="34"/>
  <c r="G5" i="58"/>
  <c r="F4" i="26"/>
  <c r="G5" i="22"/>
  <c r="AC5" i="26"/>
  <c r="A23" i="5"/>
  <c r="A36" i="5" s="1"/>
  <c r="A11" i="5"/>
  <c r="J11" i="5" s="1"/>
  <c r="J24" i="5" s="1"/>
  <c r="J37" i="5" s="1"/>
  <c r="J10" i="21"/>
  <c r="E10" i="34" s="1"/>
  <c r="G19" i="21"/>
  <c r="K5" i="64"/>
  <c r="G252" i="13"/>
  <c r="G8" i="21"/>
  <c r="H6" i="58"/>
  <c r="I5" i="64"/>
  <c r="K5" i="58"/>
  <c r="I5" i="58"/>
  <c r="G6" i="64"/>
  <c r="J8" i="21"/>
  <c r="AE5" i="26"/>
  <c r="B25" i="3"/>
  <c r="E48" i="26"/>
  <c r="I5" i="34"/>
  <c r="H59" i="26"/>
  <c r="G5" i="34"/>
  <c r="G84" i="13"/>
  <c r="J129" i="12"/>
  <c r="J166" i="12"/>
  <c r="J71" i="12" s="1"/>
  <c r="L37" i="14"/>
  <c r="L24" i="14"/>
  <c r="J33" i="15"/>
  <c r="J16" i="20" s="1"/>
  <c r="I31" i="15"/>
  <c r="I10" i="21" s="1"/>
  <c r="AD5" i="26"/>
  <c r="E38" i="14"/>
  <c r="I38" i="14"/>
  <c r="G53" i="12"/>
  <c r="F150" i="12"/>
  <c r="F52" i="12" s="1"/>
  <c r="I167" i="12"/>
  <c r="I73" i="12" s="1"/>
  <c r="H167" i="12"/>
  <c r="H73" i="12" s="1"/>
  <c r="F30" i="34"/>
  <c r="C38" i="26"/>
  <c r="F16" i="26"/>
  <c r="R16" i="26" s="1"/>
  <c r="G4" i="34"/>
  <c r="K6" i="22"/>
  <c r="H163" i="12"/>
  <c r="H76" i="12" s="1"/>
  <c r="C6" i="21"/>
  <c r="F103" i="12"/>
  <c r="F41" i="12" s="1"/>
  <c r="G103" i="12"/>
  <c r="G41" i="12" s="1"/>
  <c r="D252" i="13"/>
  <c r="F108" i="12"/>
  <c r="F79" i="12" s="1"/>
  <c r="G105" i="12"/>
  <c r="G48" i="12" s="1"/>
  <c r="G123" i="12"/>
  <c r="I153" i="12"/>
  <c r="I58" i="12" s="1"/>
  <c r="I3" i="34"/>
  <c r="I4" i="38" s="1"/>
  <c r="I41" i="38" s="1"/>
  <c r="H104" i="12"/>
  <c r="H44" i="12" s="1"/>
  <c r="I5" i="22"/>
  <c r="I5" i="21"/>
  <c r="I8" i="74" s="1"/>
  <c r="I20" i="74" s="1"/>
  <c r="H133" i="12"/>
  <c r="E149" i="12"/>
  <c r="E49" i="12" s="1"/>
  <c r="F167" i="12"/>
  <c r="F73" i="12" s="1"/>
  <c r="C39" i="27"/>
  <c r="K60" i="18"/>
  <c r="G60" i="18"/>
  <c r="D46" i="26"/>
  <c r="D48" i="26" s="1"/>
  <c r="F145" i="13"/>
  <c r="F206" i="13" s="1"/>
  <c r="B1" i="22"/>
  <c r="D5" i="20"/>
  <c r="D37" i="20" s="1"/>
  <c r="J122" i="12"/>
  <c r="J150" i="12"/>
  <c r="J52" i="12" s="1"/>
  <c r="J53" i="12"/>
  <c r="E130" i="12"/>
  <c r="D31" i="15"/>
  <c r="E162" i="12"/>
  <c r="E75" i="12" s="1"/>
  <c r="E131" i="12"/>
  <c r="E163" i="12"/>
  <c r="E76" i="12" s="1"/>
  <c r="J161" i="12"/>
  <c r="I46" i="12" s="1"/>
  <c r="J148" i="12"/>
  <c r="J45" i="12" s="1"/>
  <c r="J119" i="12"/>
  <c r="E116" i="12"/>
  <c r="E37" i="12"/>
  <c r="C107" i="13"/>
  <c r="F38" i="14"/>
  <c r="J38" i="14"/>
  <c r="G163" i="12"/>
  <c r="G76" i="12" s="1"/>
  <c r="G151" i="12"/>
  <c r="G56" i="12" s="1"/>
  <c r="F160" i="12"/>
  <c r="F159" i="12" s="1"/>
  <c r="F37" i="12"/>
  <c r="F146" i="12" s="1"/>
  <c r="K61" i="18"/>
  <c r="H6" i="20"/>
  <c r="K6" i="20"/>
  <c r="L4" i="34"/>
  <c r="D19" i="21"/>
  <c r="H103" i="12"/>
  <c r="H41" i="12" s="1"/>
  <c r="C23" i="26"/>
  <c r="H108" i="12"/>
  <c r="H79" i="12" s="1"/>
  <c r="F152" i="12"/>
  <c r="F57" i="12" s="1"/>
  <c r="H39" i="26"/>
  <c r="H148" i="12"/>
  <c r="H45" i="12" s="1"/>
  <c r="H169" i="12"/>
  <c r="H80" i="12" s="1"/>
  <c r="G106" i="12"/>
  <c r="G55" i="12" s="1"/>
  <c r="F5" i="22"/>
  <c r="F3" i="34"/>
  <c r="F4" i="38" s="1"/>
  <c r="F41" i="38" s="1"/>
  <c r="I108" i="12"/>
  <c r="I79" i="12" s="1"/>
  <c r="E120" i="12"/>
  <c r="B14" i="26"/>
  <c r="N14" i="26" s="1"/>
  <c r="H153" i="12"/>
  <c r="H58" i="12" s="1"/>
  <c r="G24" i="21"/>
  <c r="E148" i="12"/>
  <c r="E45" i="12" s="1"/>
  <c r="L24" i="21"/>
  <c r="K30" i="15"/>
  <c r="G23" i="14"/>
  <c r="G39" i="26"/>
  <c r="C60" i="18"/>
  <c r="L30" i="15"/>
  <c r="J124" i="12"/>
  <c r="D5" i="22"/>
  <c r="B254" i="13"/>
  <c r="H147" i="12"/>
  <c r="H42" i="12" s="1"/>
  <c r="H118" i="12"/>
  <c r="L23" i="14"/>
  <c r="L20" i="22"/>
  <c r="J116" i="12"/>
  <c r="J37" i="12"/>
  <c r="J118" i="12"/>
  <c r="J147" i="12"/>
  <c r="J42" i="12" s="1"/>
  <c r="I166" i="12"/>
  <c r="I71" i="12" s="1"/>
  <c r="K38" i="14"/>
  <c r="G10" i="21"/>
  <c r="H10" i="34" s="1"/>
  <c r="F162" i="12"/>
  <c r="F75" i="12" s="1"/>
  <c r="I19" i="21"/>
  <c r="G168" i="12"/>
  <c r="G83" i="12" s="1"/>
  <c r="H160" i="12"/>
  <c r="F104" i="12"/>
  <c r="F44" i="12" s="1"/>
  <c r="J107" i="12"/>
  <c r="J60" i="12" s="1"/>
  <c r="E147" i="12"/>
  <c r="E42" i="12" s="1"/>
  <c r="J61" i="18"/>
  <c r="E4" i="26"/>
  <c r="E161" i="12"/>
  <c r="J46" i="12" s="1"/>
  <c r="H145" i="13"/>
  <c r="H206" i="13" s="1"/>
  <c r="E169" i="12"/>
  <c r="E80" i="12" s="1"/>
  <c r="D5" i="21"/>
  <c r="C21" i="3"/>
  <c r="C22" i="3" s="1"/>
  <c r="E135" i="12"/>
  <c r="J133" i="12"/>
  <c r="J169" i="12"/>
  <c r="J80" i="12" s="1"/>
  <c r="J120" i="12"/>
  <c r="J149" i="12"/>
  <c r="R9" i="12"/>
  <c r="R15" i="12"/>
  <c r="J140" i="12"/>
  <c r="J167" i="12"/>
  <c r="J73" i="12" s="1"/>
  <c r="J130" i="12"/>
  <c r="J131" i="12"/>
  <c r="J162" i="12"/>
  <c r="J75" i="12" s="1"/>
  <c r="J163" i="12"/>
  <c r="J76" i="12" s="1"/>
  <c r="J160" i="12"/>
  <c r="G4" i="26"/>
  <c r="H5" i="21"/>
  <c r="Q59" i="34"/>
  <c r="H8" i="91" s="1"/>
  <c r="H25" i="91" s="1"/>
  <c r="E31" i="39"/>
  <c r="P78" i="38"/>
  <c r="L48" i="34"/>
  <c r="K21" i="5"/>
  <c r="E27" i="1"/>
  <c r="F35" i="5"/>
  <c r="O35" i="5"/>
  <c r="F21" i="5"/>
  <c r="O21" i="5"/>
  <c r="G22" i="5"/>
  <c r="D21" i="5"/>
  <c r="D35" i="5"/>
  <c r="L21" i="5"/>
  <c r="N21" i="5"/>
  <c r="I27" i="1"/>
  <c r="I118" i="13"/>
  <c r="G20" i="5"/>
  <c r="G35" i="6"/>
  <c r="G30" i="6"/>
  <c r="P30" i="34"/>
  <c r="P58" i="34"/>
  <c r="G145" i="13"/>
  <c r="G206" i="13" s="1"/>
  <c r="H33" i="15"/>
  <c r="C21" i="5"/>
  <c r="H48" i="34"/>
  <c r="F107" i="13"/>
  <c r="J48" i="34"/>
  <c r="D107" i="13"/>
  <c r="D35" i="6"/>
  <c r="D20" i="5"/>
  <c r="D30" i="6"/>
  <c r="D18" i="1"/>
  <c r="C18" i="1"/>
  <c r="E19" i="1"/>
  <c r="D33" i="15"/>
  <c r="C145" i="13"/>
  <c r="C206" i="13" s="1"/>
  <c r="D30" i="15"/>
  <c r="C84" i="13"/>
  <c r="F35" i="6"/>
  <c r="F20" i="5"/>
  <c r="F30" i="6"/>
  <c r="T21" i="12"/>
  <c r="D8" i="15"/>
  <c r="D20" i="15" s="1"/>
  <c r="D8" i="14"/>
  <c r="E48" i="34"/>
  <c r="I107" i="13"/>
  <c r="I48" i="34"/>
  <c r="E107" i="13"/>
  <c r="D69" i="1"/>
  <c r="E70" i="1"/>
  <c r="C69" i="1"/>
  <c r="G48" i="34"/>
  <c r="G107" i="13"/>
  <c r="F48" i="34"/>
  <c r="H107" i="13"/>
  <c r="C35" i="6"/>
  <c r="C20" i="5"/>
  <c r="C30" i="6"/>
  <c r="I8" i="15"/>
  <c r="I20" i="15" s="1"/>
  <c r="H34" i="34"/>
  <c r="H4" i="38"/>
  <c r="H41" i="38" s="1"/>
  <c r="I46" i="28"/>
  <c r="I47" i="28" s="1"/>
  <c r="J46" i="28"/>
  <c r="J47" i="28" s="1"/>
  <c r="R15" i="26"/>
  <c r="O15" i="26"/>
  <c r="C66" i="32"/>
  <c r="B67" i="32"/>
  <c r="L23" i="5"/>
  <c r="O23" i="5"/>
  <c r="K23" i="5"/>
  <c r="P23" i="5"/>
  <c r="M23" i="5"/>
  <c r="N23" i="5"/>
  <c r="E23" i="5"/>
  <c r="H23" i="5"/>
  <c r="D23" i="5"/>
  <c r="F23" i="5"/>
  <c r="G23" i="5"/>
  <c r="C23" i="5"/>
  <c r="D1" i="24"/>
  <c r="C39" i="14"/>
  <c r="J39" i="14"/>
  <c r="I39" i="14"/>
  <c r="H39" i="14"/>
  <c r="G39" i="14"/>
  <c r="F39" i="14"/>
  <c r="E39" i="14"/>
  <c r="D39" i="14"/>
  <c r="K39" i="14"/>
  <c r="L39" i="14"/>
  <c r="C36" i="5"/>
  <c r="G36" i="5"/>
  <c r="D36" i="5"/>
  <c r="F36" i="5"/>
  <c r="H36" i="5"/>
  <c r="E36" i="5"/>
  <c r="P36" i="5"/>
  <c r="M36" i="5"/>
  <c r="L36" i="5"/>
  <c r="O36" i="5"/>
  <c r="K36" i="5"/>
  <c r="N36" i="5"/>
  <c r="F55" i="27"/>
  <c r="R15" i="27"/>
  <c r="B14" i="14"/>
  <c r="A27" i="14"/>
  <c r="A40" i="14" s="1"/>
  <c r="A15" i="14"/>
  <c r="I100" i="12"/>
  <c r="I35" i="12"/>
  <c r="J10" i="34"/>
  <c r="D118" i="13"/>
  <c r="G22" i="27"/>
  <c r="G15" i="27"/>
  <c r="C26" i="14"/>
  <c r="L26" i="14"/>
  <c r="D26" i="14"/>
  <c r="H26" i="14"/>
  <c r="K26" i="14"/>
  <c r="E26" i="14"/>
  <c r="I26" i="14"/>
  <c r="F26" i="14"/>
  <c r="J26" i="14"/>
  <c r="G26" i="14"/>
  <c r="G100" i="12"/>
  <c r="G35" i="12"/>
  <c r="B11" i="5"/>
  <c r="L4" i="23"/>
  <c r="H100" i="12"/>
  <c r="H35" i="12"/>
  <c r="F88" i="12"/>
  <c r="F35" i="12"/>
  <c r="F100" i="12"/>
  <c r="F14" i="88" a="1"/>
  <c r="B176" i="13" a="1"/>
  <c r="B37" i="19" a="1"/>
  <c r="E48" i="7" a="1"/>
  <c r="D22" i="6" a="1"/>
  <c r="H15" i="6" a="1"/>
  <c r="J17" i="88" a="1"/>
  <c r="D8" i="40" a="1"/>
  <c r="L8" i="78" a="1"/>
  <c r="F14" i="6" a="1"/>
  <c r="G7" i="3" a="1"/>
  <c r="I8" i="79" a="1"/>
  <c r="L12" i="82" a="1"/>
  <c r="E8" i="78" a="1"/>
  <c r="I14" i="88" a="1"/>
  <c r="J10" i="39" a="1"/>
  <c r="C20" i="19" a="1"/>
  <c r="B11" i="13" a="1"/>
  <c r="F33" i="7" a="1"/>
  <c r="C23" i="7" a="1"/>
  <c r="E19" i="85" a="1"/>
  <c r="H18" i="88" a="1"/>
  <c r="C29" i="19" a="1"/>
  <c r="G15" i="82" a="1"/>
  <c r="B178" i="13" a="1"/>
  <c r="G8" i="80" a="1"/>
  <c r="D24" i="80" a="1"/>
  <c r="I25" i="88" a="1"/>
  <c r="C12" i="79" a="1"/>
  <c r="F4" i="7" a="1"/>
  <c r="F6" i="3" a="1"/>
  <c r="B76" i="17" a="1"/>
  <c r="G29" i="6" a="1"/>
  <c r="H14" i="88" a="1"/>
  <c r="B146" i="13" a="1"/>
  <c r="B203" i="13" a="1"/>
  <c r="F51" i="6" a="1"/>
  <c r="M7" i="3" a="1"/>
  <c r="E15" i="78" a="1"/>
  <c r="D9" i="6" a="1"/>
  <c r="H24" i="78" a="1"/>
  <c r="H11" i="88" a="1"/>
  <c r="E19" i="81" a="1"/>
  <c r="C45" i="19" a="1"/>
  <c r="C8" i="82" a="1"/>
  <c r="J8" i="80" a="1"/>
  <c r="D51" i="6" a="1"/>
  <c r="C55" i="6" a="1"/>
  <c r="E24" i="79" a="1"/>
  <c r="E21" i="82" a="1"/>
  <c r="J10" i="80" a="1"/>
  <c r="B66" i="13" a="1"/>
  <c r="D55" i="6" a="1"/>
  <c r="B95" i="17" a="1"/>
  <c r="C25" i="7" a="1"/>
  <c r="I32" i="88" a="1"/>
  <c r="B23" i="19" a="1"/>
  <c r="D28" i="6" a="1"/>
  <c r="C10" i="80" a="1"/>
  <c r="A176" i="13" a="1"/>
  <c r="F7" i="7" a="1"/>
  <c r="F20" i="6" a="1"/>
  <c r="K6" i="3" a="1"/>
  <c r="G6" i="3" a="1"/>
  <c r="A136" i="13" a="1"/>
  <c r="B66" i="17" a="1"/>
  <c r="G22" i="6" a="1"/>
  <c r="K10" i="79" a="1"/>
  <c r="E21" i="80" a="1"/>
  <c r="C16" i="80" a="1"/>
  <c r="E6" i="3" a="1"/>
  <c r="H58" i="6" a="1"/>
  <c r="F9" i="88" a="1"/>
  <c r="C7" i="7" a="1"/>
  <c r="E20" i="88" a="1"/>
  <c r="E29" i="6" a="1"/>
  <c r="C61" i="6" a="1"/>
  <c r="B21" i="19" a="1"/>
  <c r="D19" i="86" a="1"/>
  <c r="H33" i="7" a="1"/>
  <c r="A178" i="13" a="1"/>
  <c r="C12" i="6" a="1"/>
  <c r="O6" i="3" a="1"/>
  <c r="H21" i="79" a="1"/>
  <c r="L5" i="3" a="1"/>
  <c r="J16" i="82" a="1"/>
  <c r="F26" i="6" a="1"/>
  <c r="C46" i="6" a="1"/>
  <c r="I15" i="79" a="1"/>
  <c r="G19" i="83" a="1"/>
  <c r="B68" i="13" a="1"/>
  <c r="D21" i="78" a="1"/>
  <c r="K16" i="78" a="1"/>
  <c r="I19" i="85" a="1"/>
  <c r="D52" i="6" a="1"/>
  <c r="K20" i="88" a="1"/>
  <c r="F7" i="3" a="1"/>
  <c r="A65" i="1" a="1"/>
  <c r="B36" i="17" a="1"/>
  <c r="J18" i="88" a="1"/>
  <c r="I23" i="88" a="1"/>
  <c r="D24" i="6" a="1"/>
  <c r="J10" i="3" a="1"/>
  <c r="E41" i="6" a="1"/>
  <c r="D7" i="3" a="1"/>
  <c r="A175" i="13" a="1"/>
  <c r="K15" i="80" a="1"/>
  <c r="C12" i="82" a="1"/>
  <c r="E46" i="6" a="1"/>
  <c r="G9" i="88" a="1"/>
  <c r="H23" i="7" a="1"/>
  <c r="A166" i="13" a="1"/>
  <c r="C48" i="7" a="1"/>
  <c r="C51" i="19" a="1"/>
  <c r="C15" i="19" a="1"/>
  <c r="H43" i="7" a="1"/>
  <c r="B32" i="17" a="1"/>
  <c r="G21" i="80" a="1"/>
  <c r="O7" i="3" a="1"/>
  <c r="B15" i="19" a="1"/>
  <c r="E15" i="79" a="1"/>
  <c r="B104" i="13" a="1"/>
  <c r="G37" i="6" a="1"/>
  <c r="C13" i="6" a="1"/>
  <c r="E37" i="6" a="1"/>
  <c r="A202" i="13" a="1"/>
  <c r="I12" i="80" a="1"/>
  <c r="F34" i="6" a="1"/>
  <c r="L26" i="88" a="1"/>
  <c r="E27" i="88" a="1"/>
  <c r="C39" i="19" a="1"/>
  <c r="E51" i="6" a="1"/>
  <c r="J32" i="88" a="1"/>
  <c r="B25" i="13" a="1"/>
  <c r="M10" i="3" a="1"/>
  <c r="M3" i="23" a="1"/>
  <c r="B61" i="19" a="1"/>
  <c r="C27" i="19" a="1"/>
  <c r="H47" i="6" a="1"/>
  <c r="G15" i="78" a="1"/>
  <c r="B30" i="19" a="1"/>
  <c r="H27" i="6" a="1"/>
  <c r="F14" i="7" a="1"/>
  <c r="F43" i="6" a="1"/>
  <c r="C38" i="19" a="1"/>
  <c r="H19" i="85" a="1"/>
  <c r="I24" i="78" a="1"/>
  <c r="L13" i="88" a="1"/>
  <c r="B31" i="13" a="1"/>
  <c r="H55" i="6" a="1"/>
  <c r="F25" i="6" a="1"/>
  <c r="C19" i="83" a="1"/>
  <c r="G9" i="6" a="1"/>
  <c r="C12" i="78" a="1"/>
  <c r="B85" i="17" a="1"/>
  <c r="G15" i="6" a="1"/>
  <c r="F8" i="78" a="1"/>
  <c r="J15" i="79" a="1"/>
  <c r="B96" i="17" a="1"/>
  <c r="D43" i="6" a="1"/>
  <c r="I19" i="88" a="1"/>
  <c r="F37" i="6" a="1"/>
  <c r="K17" i="88" a="1"/>
  <c r="B201" i="13" a="1"/>
  <c r="D19" i="85" a="1"/>
  <c r="B18" i="17" a="1"/>
  <c r="C20" i="6" a="1"/>
  <c r="C21" i="78" a="1"/>
  <c r="F24" i="82" a="1"/>
  <c r="M8" i="3" a="1"/>
  <c r="B25" i="19" a="1"/>
  <c r="B18" i="19" a="1"/>
  <c r="B50" i="19" a="1"/>
  <c r="B175" i="13" a="1"/>
  <c r="E12" i="79" a="1"/>
  <c r="C21" i="19" a="1"/>
  <c r="G19" i="88" a="1"/>
  <c r="I21" i="79" a="1"/>
  <c r="E17" i="88" a="1"/>
  <c r="J12" i="78" a="1"/>
  <c r="C17" i="88" a="1"/>
  <c r="C10" i="88" a="1"/>
  <c r="B63" i="17" a="1"/>
  <c r="F52" i="6" a="1"/>
  <c r="J9" i="39" a="1"/>
  <c r="H21" i="82" a="1"/>
  <c r="E61" i="6" a="1"/>
  <c r="H19" i="88" a="1"/>
  <c r="K24" i="82" a="1"/>
  <c r="E9" i="88" a="1"/>
  <c r="I17" i="88" a="1"/>
  <c r="F40" i="6" a="1"/>
  <c r="E8" i="7" a="1"/>
  <c r="D18" i="88" a="1"/>
  <c r="G16" i="7" a="1"/>
  <c r="H12" i="79" a="1"/>
  <c r="A148" i="13" a="1"/>
  <c r="A17" i="13" a="1"/>
  <c r="F12" i="78" a="1"/>
  <c r="B22" i="17" a="1"/>
  <c r="H8" i="82" a="1"/>
  <c r="C24" i="19" a="1"/>
  <c r="H5" i="6" a="1"/>
  <c r="B226" i="13" a="1"/>
  <c r="B32" i="19" a="1"/>
  <c r="B136" i="13" a="1"/>
  <c r="F24" i="79" a="1"/>
  <c r="G10" i="82" a="1"/>
  <c r="K21" i="79" a="1"/>
  <c r="J10" i="82" a="1"/>
  <c r="H40" i="6" a="1"/>
  <c r="D15" i="78" a="1"/>
  <c r="C4" i="7" a="1"/>
  <c r="G20" i="88" a="1"/>
  <c r="G31" i="88" a="1"/>
  <c r="H42" i="7" a="1"/>
  <c r="K27" i="88" a="1"/>
  <c r="C10" i="78" a="1"/>
  <c r="D46" i="6" a="1"/>
  <c r="B73" i="17" a="1"/>
  <c r="J10" i="78" a="1"/>
  <c r="F9" i="6" a="1"/>
  <c r="B47" i="19" a="1"/>
  <c r="G52" i="6" a="1"/>
  <c r="K12" i="79" a="1"/>
  <c r="F44" i="7" a="1"/>
  <c r="B17" i="17" a="1"/>
  <c r="G12" i="80" a="1"/>
  <c r="H30" i="88" a="1"/>
  <c r="B60" i="17" a="1"/>
  <c r="C40" i="6" a="1"/>
  <c r="D21" i="88" a="1"/>
  <c r="B223" i="13" a="1"/>
  <c r="B49" i="19" a="1"/>
  <c r="C12" i="19" a="1"/>
  <c r="I16" i="82" a="1"/>
  <c r="C52" i="6" a="1"/>
  <c r="A21" i="1" a="1"/>
  <c r="C21" i="82" a="1"/>
  <c r="H22" i="6" a="1"/>
  <c r="F21" i="80" a="1"/>
  <c r="F12" i="82" a="1"/>
  <c r="C61" i="19" a="1"/>
  <c r="B92" i="17" a="1"/>
  <c r="C42" i="7" a="1"/>
  <c r="H44" i="7" a="1"/>
  <c r="J11" i="88" a="1"/>
  <c r="F19" i="86" a="1"/>
  <c r="C11" i="88" a="1"/>
  <c r="C15" i="6" a="1"/>
  <c r="A71" i="13" a="1"/>
  <c r="L19" i="86" a="1"/>
  <c r="B164" i="13" a="1"/>
  <c r="B37" i="13" a="1"/>
  <c r="B72" i="17" a="1"/>
  <c r="L19" i="88" a="1"/>
  <c r="D29" i="6" a="1"/>
  <c r="J24" i="88" a="1"/>
  <c r="H37" i="6" a="1"/>
  <c r="G54" i="6" a="1"/>
  <c r="C32" i="88" a="1"/>
  <c r="B97" i="17" a="1"/>
  <c r="B2" i="32"/>
  <c r="F21" i="78" a="1"/>
  <c r="E7" i="7" a="1"/>
  <c r="K19" i="88" a="1"/>
  <c r="B33" i="19" a="1"/>
  <c r="B122" i="13" a="1"/>
  <c r="C9" i="6" a="1"/>
  <c r="D19" i="88" a="1"/>
  <c r="E40" i="6" a="1"/>
  <c r="A11" i="1" a="1"/>
  <c r="E9" i="6" a="1"/>
  <c r="H20" i="6" a="1"/>
  <c r="B56" i="17" a="1"/>
  <c r="G19" i="85" a="1"/>
  <c r="G25" i="88" a="1"/>
  <c r="L16" i="80" a="1"/>
  <c r="D84" i="7" a="1"/>
  <c r="I10" i="79" a="1"/>
  <c r="B20" i="19" a="1"/>
  <c r="H48" i="7" a="1"/>
  <c r="A4" i="1" a="1"/>
  <c r="F15" i="6" a="1"/>
  <c r="B12" i="13" a="1"/>
  <c r="B27" i="19" a="1"/>
  <c r="D14" i="7" a="1"/>
  <c r="B69" i="13" a="1"/>
  <c r="B11" i="17" a="1"/>
  <c r="F42" i="7" a="1"/>
  <c r="C24" i="82" a="1"/>
  <c r="H8" i="80" a="1"/>
  <c r="C16" i="79" a="1"/>
  <c r="J23" i="88" a="1"/>
  <c r="G48" i="7" a="1"/>
  <c r="B43" i="17" a="1"/>
  <c r="L5" i="32" a="1"/>
  <c r="D10" i="80" a="1"/>
  <c r="H10" i="79" a="1"/>
  <c r="J16" i="79" a="1"/>
  <c r="C37" i="6" a="1"/>
  <c r="G15" i="80" a="1"/>
  <c r="E10" i="88" a="1"/>
  <c r="B64" i="17" a="1"/>
  <c r="H32" i="88" a="1"/>
  <c r="F8" i="82" a="1"/>
  <c r="C62" i="19" a="1"/>
  <c r="D19" i="81" a="1"/>
  <c r="G15" i="79" a="1"/>
  <c r="C16" i="19" a="1"/>
  <c r="I19" i="83" a="1"/>
  <c r="I15" i="80" a="1"/>
  <c r="G11" i="88" a="1"/>
  <c r="C31" i="19" a="1"/>
  <c r="G10" i="78" a="1"/>
  <c r="B16" i="17" a="1"/>
  <c r="E16" i="7" a="1"/>
  <c r="K26" i="88" a="1"/>
  <c r="J24" i="82" a="1"/>
  <c r="G21" i="79" a="1"/>
  <c r="B113" i="13" a="1"/>
  <c r="I10" i="88" a="1"/>
  <c r="A70" i="13" a="1"/>
  <c r="H19" i="86" a="1"/>
  <c r="D24" i="88" a="1"/>
  <c r="B51" i="19" a="1"/>
  <c r="F20" i="88" a="1"/>
  <c r="D16" i="80" a="1"/>
  <c r="I30" i="88" a="1"/>
  <c r="G21" i="78" a="1"/>
  <c r="F10" i="78" a="1"/>
  <c r="K14" i="88" a="1"/>
  <c r="B228" i="13" a="1"/>
  <c r="A106" i="13" a="1"/>
  <c r="E16" i="80" a="1"/>
  <c r="F22" i="6" a="1"/>
  <c r="I12" i="78" a="1"/>
  <c r="C13" i="88" a="1"/>
  <c r="J28" i="88" a="1"/>
  <c r="H5" i="32" a="1"/>
  <c r="L24" i="82" a="1"/>
  <c r="H12" i="88" a="1"/>
  <c r="AG4" i="41" a="1"/>
  <c r="C30" i="19" a="1"/>
  <c r="H14" i="6" a="1"/>
  <c r="L28" i="88" a="1"/>
  <c r="H14" i="7" a="1"/>
  <c r="G18" i="88" a="1"/>
  <c r="E8" i="3" a="1"/>
  <c r="G17" i="88" a="1"/>
  <c r="C8" i="7" a="1"/>
  <c r="B26" i="19" a="1"/>
  <c r="C46" i="19" a="1"/>
  <c r="B82" i="17" a="1"/>
  <c r="I16" i="80" a="1"/>
  <c r="B54" i="19" a="1"/>
  <c r="B56" i="19" a="1"/>
  <c r="I26" i="88" a="1"/>
  <c r="C57" i="19" a="1"/>
  <c r="G8" i="78" a="1"/>
  <c r="B72" i="13" a="1"/>
  <c r="B149" i="13" a="1"/>
  <c r="B13" i="25" a="1"/>
  <c r="G30" i="88" a="1"/>
  <c r="N11" i="3" a="1"/>
  <c r="B204" i="13" a="1"/>
  <c r="B49" i="17" a="1"/>
  <c r="B19" i="19" a="1"/>
  <c r="E15" i="82" a="1"/>
  <c r="F12" i="80" a="1"/>
  <c r="D44" i="7" a="1"/>
  <c r="J8" i="3" a="1"/>
  <c r="A189" i="13" a="1"/>
  <c r="H20" i="88" a="1"/>
  <c r="D16" i="79" a="1"/>
  <c r="F10" i="88" a="1"/>
  <c r="D24" i="7" a="1"/>
  <c r="D40" i="6" a="1"/>
  <c r="C27" i="88" a="1"/>
  <c r="K5" i="32" a="1"/>
  <c r="I28" i="88" a="1"/>
  <c r="A201" i="13" a="1"/>
  <c r="B67" i="13" a="1"/>
  <c r="J15" i="78" a="1"/>
  <c r="G42" i="7" a="1"/>
  <c r="F41" i="6" a="1"/>
  <c r="J24" i="78" a="1"/>
  <c r="C43" i="6" a="1"/>
  <c r="N9" i="3" a="1"/>
  <c r="C59" i="6" a="1"/>
  <c r="C31" i="6" a="1"/>
  <c r="B147" i="13" a="1"/>
  <c r="C19" i="81" a="1"/>
  <c r="C12" i="80" a="1"/>
  <c r="F8" i="79" a="1"/>
  <c r="I8" i="82" a="1"/>
  <c r="B89" i="17" a="1"/>
  <c r="L12" i="80" a="1"/>
  <c r="C22" i="6" a="1"/>
  <c r="J10" i="79" a="1"/>
  <c r="J5" i="32" a="1"/>
  <c r="E4" i="7" a="1"/>
  <c r="E14" i="88" a="1"/>
  <c r="H8" i="6" a="1"/>
  <c r="F57" i="6" a="1"/>
  <c r="C26" i="19" a="1"/>
  <c r="D8" i="78" a="1"/>
  <c r="C51" i="6" a="1"/>
  <c r="F19" i="81" a="1"/>
  <c r="B27" i="13" a="1"/>
  <c r="G21" i="82" a="1"/>
  <c r="H19" i="83" a="1"/>
  <c r="C48" i="6" a="1"/>
  <c r="B16" i="13" a="1"/>
  <c r="B98" i="17" a="1"/>
  <c r="F13" i="6" a="1"/>
  <c r="J16" i="78" a="1"/>
  <c r="G25" i="7" a="1"/>
  <c r="F10" i="3" a="1"/>
  <c r="F48" i="6" a="1"/>
  <c r="J21" i="80" a="1"/>
  <c r="A68" i="13" a="1"/>
  <c r="B77" i="17" a="1"/>
  <c r="G12" i="88" a="1"/>
  <c r="D60" i="6" a="1"/>
  <c r="B90" i="17" a="1"/>
  <c r="B9" i="3" a="1"/>
  <c r="K7" i="3" a="1"/>
  <c r="H7" i="24" a="1"/>
  <c r="D11" i="88" a="1"/>
  <c r="B41" i="19" a="1"/>
  <c r="B30" i="17" a="1"/>
  <c r="B173" i="13" a="1"/>
  <c r="D12" i="6" a="1"/>
  <c r="F60" i="6" a="1"/>
  <c r="A169" i="13" a="1"/>
  <c r="A15" i="13" a="1"/>
  <c r="L19" i="84" a="1"/>
  <c r="B48" i="19" a="1"/>
  <c r="A203" i="13" a="1"/>
  <c r="B31" i="19" a="1"/>
  <c r="F19" i="85" a="1"/>
  <c r="D10" i="88" a="1"/>
  <c r="B65" i="17" a="1"/>
  <c r="A25" i="1" a="1"/>
  <c r="L10" i="3" a="1"/>
  <c r="H16" i="79" a="1"/>
  <c r="D24" i="82" a="1"/>
  <c r="F26" i="88" a="1"/>
  <c r="G8" i="7" a="1"/>
  <c r="L15" i="82" a="1"/>
  <c r="B133" i="13" a="1"/>
  <c r="D21" i="82" a="1"/>
  <c r="C18" i="88" a="1"/>
  <c r="K21" i="78" a="1"/>
  <c r="G48" i="6" a="1"/>
  <c r="C41" i="6" a="1"/>
  <c r="B202" i="13" a="1"/>
  <c r="H24" i="6" a="1"/>
  <c r="I5" i="32" a="1"/>
  <c r="D21" i="80" a="1"/>
  <c r="A67" i="1" a="1"/>
  <c r="D9" i="88" a="1"/>
  <c r="E20" i="6" a="1"/>
  <c r="K24" i="80" a="1"/>
  <c r="E8" i="82" a="1"/>
  <c r="E22" i="6" a="1"/>
  <c r="H46" i="6" a="1"/>
  <c r="B59" i="17" a="1"/>
  <c r="B32" i="13" a="1"/>
  <c r="G13" i="6" a="1"/>
  <c r="G12" i="6" a="1"/>
  <c r="J19" i="88" a="1"/>
  <c r="D27" i="88" a="1"/>
  <c r="K8" i="79" a="1"/>
  <c r="L14" i="88" a="1"/>
  <c r="A104" i="13" a="1"/>
  <c r="H10" i="80" a="1"/>
  <c r="D61" i="6" a="1"/>
  <c r="H29" i="6" a="1"/>
  <c r="H16" i="82" a="1"/>
  <c r="B62" i="17" a="1"/>
  <c r="A12" i="1" a="1"/>
  <c r="C84" i="7" a="1"/>
  <c r="J15" i="80" a="1"/>
  <c r="A64" i="18" a="1"/>
  <c r="I10" i="80" a="1"/>
  <c r="K21" i="80" a="1"/>
  <c r="I19" i="84" a="1"/>
  <c r="A36" i="1" a="1"/>
  <c r="E84" i="7" a="1"/>
  <c r="B150" i="13" a="1"/>
  <c r="D8" i="79" a="1"/>
  <c r="C21" i="79" a="1"/>
  <c r="I31" i="88" a="1"/>
  <c r="C63" i="19" a="1"/>
  <c r="D6" i="3" a="1"/>
  <c r="J10" i="88" a="1"/>
  <c r="I12" i="79" a="1"/>
  <c r="L24" i="88" a="1"/>
  <c r="C27" i="6" a="1"/>
  <c r="B166" i="13" a="1"/>
  <c r="C37" i="40" a="1"/>
  <c r="H41" i="6" a="1"/>
  <c r="F8" i="3" a="1"/>
  <c r="D7" i="24" a="1"/>
  <c r="J13" i="88" a="1"/>
  <c r="K8" i="80" a="1"/>
  <c r="G55" i="6" a="1"/>
  <c r="J15" i="82" a="1"/>
  <c r="F19" i="84" a="1"/>
  <c r="E27" i="6" a="1"/>
  <c r="E59" i="6" a="1"/>
  <c r="C53" i="6" a="1"/>
  <c r="B6" i="3" a="1"/>
  <c r="G24" i="88" a="1"/>
  <c r="E10" i="79" a="1"/>
  <c r="C54" i="6" a="1"/>
  <c r="E13" i="88" a="1"/>
  <c r="B169" i="13" a="1"/>
  <c r="C60" i="6" a="1"/>
  <c r="G8" i="82" a="1"/>
  <c r="D33" i="88" a="1"/>
  <c r="I37" i="40" a="1"/>
  <c r="B189" i="13" a="1"/>
  <c r="L18" i="88" a="1"/>
  <c r="I16" i="79" a="1"/>
  <c r="A42" i="1" a="1"/>
  <c r="C26" i="6" a="1"/>
  <c r="B227" i="13" a="1"/>
  <c r="K12" i="80" a="1"/>
  <c r="D41" i="6" a="1"/>
  <c r="D12" i="82" a="1"/>
  <c r="A34" i="13" a="1"/>
  <c r="E12" i="88" a="1"/>
  <c r="F16" i="79" a="1"/>
  <c r="O5" i="3" a="1"/>
  <c r="B65" i="19" a="1"/>
  <c r="J9" i="3" a="1"/>
  <c r="O10" i="3" a="1"/>
  <c r="J19" i="85" a="1"/>
  <c r="B53" i="17" a="1"/>
  <c r="E7" i="3" a="1"/>
  <c r="B20" i="17" a="1"/>
  <c r="G12" i="79" a="1"/>
  <c r="H8" i="78" a="1"/>
  <c r="G24" i="80" a="1"/>
  <c r="L15" i="78" a="1"/>
  <c r="E18" i="88" a="1"/>
  <c r="E10" i="3" a="1"/>
  <c r="A18" i="13" a="1"/>
  <c r="D10" i="79" a="1"/>
  <c r="A173" i="13" a="1"/>
  <c r="E24" i="80" a="1"/>
  <c r="J24" i="79" a="1"/>
  <c r="E19" i="84" a="1"/>
  <c r="E48" i="6" a="1"/>
  <c r="B88" i="17" a="1"/>
  <c r="J8" i="79" a="1"/>
  <c r="L31" i="88" a="1"/>
  <c r="H13" i="88" a="1"/>
  <c r="J19" i="81" a="1"/>
  <c r="B57" i="19" a="1"/>
  <c r="F17" i="88" a="1"/>
  <c r="B29" i="19" a="1"/>
  <c r="L12" i="88" a="1"/>
  <c r="G25" i="6" a="1"/>
  <c r="AC5" i="41" a="1"/>
  <c r="I10" i="82" a="1"/>
  <c r="B12" i="17" a="1"/>
  <c r="C47" i="6" a="1"/>
  <c r="D24" i="79" a="1"/>
  <c r="D11" i="3" a="1"/>
  <c r="F24" i="78" a="1"/>
  <c r="D26" i="88" a="1"/>
  <c r="H16" i="78" a="1"/>
  <c r="C14" i="6" a="1"/>
  <c r="L16" i="78" a="1"/>
  <c r="C50" i="19" a="1"/>
  <c r="H24" i="82" a="1"/>
  <c r="L12" i="79" a="1"/>
  <c r="F5" i="6" a="1"/>
  <c r="B39" i="13" a="1"/>
  <c r="F27" i="6" a="1"/>
  <c r="C50" i="6" a="1"/>
  <c r="B163" i="13" a="1"/>
  <c r="G4" i="7" a="1"/>
  <c r="E7" i="6" a="1"/>
  <c r="D20" i="6" a="1"/>
  <c r="H24" i="7" a="1"/>
  <c r="B54" i="17" a="1"/>
  <c r="I24" i="79" a="1"/>
  <c r="C64" i="18" a="1"/>
  <c r="B35" i="19" a="1"/>
  <c r="I16" i="78" a="1"/>
  <c r="E58" i="6" a="1"/>
  <c r="C67" i="19" a="1"/>
  <c r="L7" i="3" a="1"/>
  <c r="G59" i="6" a="1"/>
  <c r="A222" i="13" a="1"/>
  <c r="L21" i="82" a="1"/>
  <c r="C14" i="88" a="1"/>
  <c r="H7" i="6" a="1"/>
  <c r="C7" i="6" a="1"/>
  <c r="B63" i="19" a="1"/>
  <c r="H15" i="78" a="1"/>
  <c r="G16" i="80" a="1"/>
  <c r="F47" i="6" a="1"/>
  <c r="C15" i="80" a="1"/>
  <c r="G27" i="6" a="1"/>
  <c r="D15" i="82" a="1"/>
  <c r="G24" i="78" a="1"/>
  <c r="F19" i="83" a="1"/>
  <c r="C12" i="88" a="1"/>
  <c r="B148" i="13" a="1"/>
  <c r="K25" i="88" a="1"/>
  <c r="C42" i="19" a="1"/>
  <c r="B79" i="17" a="1"/>
  <c r="C24" i="7" a="1"/>
  <c r="L19" i="85" a="1"/>
  <c r="A19" i="13" a="1"/>
  <c r="C65" i="19" a="1"/>
  <c r="B45" i="19" a="1"/>
  <c r="G44" i="7" a="1"/>
  <c r="A16" i="13" a="1"/>
  <c r="G37" i="40" a="1"/>
  <c r="F16" i="7" a="1"/>
  <c r="AD4" i="41" a="1"/>
  <c r="H50" i="6" a="1"/>
  <c r="L9" i="3" a="1"/>
  <c r="C41" i="19" a="1"/>
  <c r="C19" i="19" a="1"/>
  <c r="B70" i="13" a="1"/>
  <c r="H61" i="6" a="1"/>
  <c r="C37" i="19" a="1"/>
  <c r="D5" i="6" a="1"/>
  <c r="A164" i="13" a="1"/>
  <c r="C8" i="40" a="1"/>
  <c r="A80" i="1" a="1"/>
  <c r="K10" i="82" a="1"/>
  <c r="K8" i="78" a="1"/>
  <c r="I19" i="86" a="1"/>
  <c r="C32" i="19" a="1"/>
  <c r="G13" i="88" a="1"/>
  <c r="G14" i="6" a="1"/>
  <c r="B19" i="13" a="1"/>
  <c r="E24" i="88" a="1"/>
  <c r="C57" i="6" a="1"/>
  <c r="B39" i="19" a="1"/>
  <c r="B71" i="13" a="1"/>
  <c r="D25" i="7" a="1"/>
  <c r="E42" i="7" a="1"/>
  <c r="B15" i="3" a="1"/>
  <c r="A23" i="1" a="1"/>
  <c r="B28" i="17" a="1"/>
  <c r="C58" i="6" a="1"/>
  <c r="H25" i="6" a="1"/>
  <c r="A64" i="1" a="1"/>
  <c r="B57" i="17" a="1"/>
  <c r="B67" i="19" a="1"/>
  <c r="B38" i="17" a="1"/>
  <c r="G19" i="84" a="1"/>
  <c r="A46" i="1" a="1"/>
  <c r="B50" i="17" a="1"/>
  <c r="J12" i="79" a="1"/>
  <c r="C23" i="88" a="1"/>
  <c r="L25" i="88" a="1"/>
  <c r="C10" i="79" a="1"/>
  <c r="F84" i="7" a="1"/>
  <c r="F28" i="6" a="1"/>
  <c r="C15" i="82" a="1"/>
  <c r="H9" i="6" a="1"/>
  <c r="C63" i="18" a="1"/>
  <c r="B15" i="13" a="1"/>
  <c r="E21" i="79" a="1"/>
  <c r="J12" i="88" a="1"/>
  <c r="I24" i="80" a="1"/>
  <c r="F10" i="82" a="1"/>
  <c r="D8" i="82" a="1"/>
  <c r="G24" i="79" a="1"/>
  <c r="C55" i="19" a="1"/>
  <c r="K9" i="88" a="1"/>
  <c r="E14" i="6" a="1"/>
  <c r="F32" i="88" a="1"/>
  <c r="H54" i="6" a="1"/>
  <c r="D58" i="6" a="1"/>
  <c r="K15" i="82" a="1"/>
  <c r="G16" i="79" a="1"/>
  <c r="M5" i="32" a="1"/>
  <c r="C33" i="7" a="1"/>
  <c r="H57" i="6" a="1"/>
  <c r="B16" i="19" a="1"/>
  <c r="H49" i="6" a="1"/>
  <c r="E54" i="6" a="1"/>
  <c r="J20" i="88" a="1"/>
  <c r="L12" i="78" a="1"/>
  <c r="C29" i="6" a="1"/>
  <c r="K15" i="78" a="1"/>
  <c r="D20" i="88" a="1"/>
  <c r="F11" i="3" a="1"/>
  <c r="G24" i="7" a="1"/>
  <c r="G53" i="6" a="1"/>
  <c r="D4" i="6" a="1"/>
  <c r="G11" i="3" a="1"/>
  <c r="I24" i="82" a="1"/>
  <c r="L16" i="82" a="1"/>
  <c r="H8" i="79" a="1"/>
  <c r="H60" i="6" a="1"/>
  <c r="H48" i="6" a="1"/>
  <c r="B38" i="19" a="1"/>
  <c r="E53" i="6" a="1"/>
  <c r="L24" i="80" a="1"/>
  <c r="C23" i="19" a="1"/>
  <c r="B24" i="17" a="1"/>
  <c r="B94" i="17" a="1"/>
  <c r="J8" i="39" a="1"/>
  <c r="L21" i="80" a="1"/>
  <c r="P7" i="24" a="1"/>
  <c r="C24" i="79" a="1"/>
  <c r="B27" i="17" a="1"/>
  <c r="B84" i="17" a="1"/>
  <c r="E12" i="82" a="1"/>
  <c r="B70" i="17" a="1"/>
  <c r="G14" i="88" a="1"/>
  <c r="D8" i="80" a="1"/>
  <c r="J21" i="82" a="1"/>
  <c r="K8" i="82" a="1"/>
  <c r="H9" i="88" a="1"/>
  <c r="D14" i="6" a="1"/>
  <c r="L27" i="88" a="1"/>
  <c r="L8" i="3" a="1"/>
  <c r="D28" i="88" a="1"/>
  <c r="C5" i="6" a="1"/>
  <c r="F7" i="6" a="1"/>
  <c r="E5" i="6" a="1"/>
  <c r="C44" i="7" a="1"/>
  <c r="E44" i="7" a="1"/>
  <c r="K31" i="88" a="1"/>
  <c r="L19" i="83" a="1"/>
  <c r="E16" i="79" a="1"/>
  <c r="K12" i="88" a="1"/>
  <c r="L20" i="88" a="1"/>
  <c r="B80" i="17" a="1"/>
  <c r="G24" i="6" a="1"/>
  <c r="H12" i="78" a="1"/>
  <c r="G4" i="6" a="1"/>
  <c r="H21" i="80" a="1"/>
  <c r="J30" i="88" a="1"/>
  <c r="B17" i="19" a="1"/>
  <c r="D15" i="3" a="1"/>
  <c r="E24" i="82" a="1"/>
  <c r="K12" i="78" a="1"/>
  <c r="L15" i="79" a="1"/>
  <c r="J8" i="78" a="1"/>
  <c r="E8" i="6" a="1"/>
  <c r="AD5" i="41" a="1"/>
  <c r="F10" i="79" a="1"/>
  <c r="H8" i="7" a="1"/>
  <c r="E50" i="6" a="1"/>
  <c r="L10" i="79" a="1"/>
  <c r="C13" i="86" a="1"/>
  <c r="K21" i="82" a="1"/>
  <c r="H4" i="7" a="1"/>
  <c r="E19" i="86" a="1"/>
  <c r="A146" i="13" a="1"/>
  <c r="G24" i="82" a="1"/>
  <c r="A165" i="13" a="1"/>
  <c r="I13" i="88" a="1"/>
  <c r="F15" i="80" a="1"/>
  <c r="G12" i="82" a="1"/>
  <c r="C49" i="6" a="1"/>
  <c r="F61" i="6" a="1"/>
  <c r="D33" i="7" a="1"/>
  <c r="K10" i="78" a="1"/>
  <c r="K24" i="88" a="1"/>
  <c r="H53" i="6" a="1"/>
  <c r="D34" i="6" a="1"/>
  <c r="A66" i="13" a="1"/>
  <c r="B46" i="19" a="1"/>
  <c r="B55" i="17" a="1"/>
  <c r="F53" i="6" a="1"/>
  <c r="H19" i="84" a="1"/>
  <c r="C24" i="78" a="1"/>
  <c r="F46" i="6" a="1"/>
  <c r="J14" i="88" a="1"/>
  <c r="D30" i="88" a="1"/>
  <c r="C9" i="88" a="1"/>
  <c r="B25" i="17" a="1"/>
  <c r="C19" i="84" a="1"/>
  <c r="G10" i="79" a="1"/>
  <c r="H13" i="6" a="1"/>
  <c r="E24" i="7" a="1"/>
  <c r="A39" i="13" a="1"/>
  <c r="B40" i="17" a="1"/>
  <c r="L8" i="82" a="1"/>
  <c r="A16" i="1" a="1"/>
  <c r="D25" i="88" a="1"/>
  <c r="A66" i="1" a="1"/>
  <c r="L8" i="80" a="1"/>
  <c r="C19" i="86" a="1"/>
  <c r="K19" i="85" a="1"/>
  <c r="G49" i="6" a="1"/>
  <c r="D27" i="6" a="1"/>
  <c r="D12" i="79" a="1"/>
  <c r="B69" i="17" a="1"/>
  <c r="H12" i="6" a="1"/>
  <c r="E24" i="6" a="1"/>
  <c r="B11" i="3" a="1"/>
  <c r="I12" i="88" a="1"/>
  <c r="E15" i="80" a="1"/>
  <c r="D10" i="78" a="1"/>
  <c r="C11" i="19" a="1"/>
  <c r="B165" i="13" a="1"/>
  <c r="G23" i="7" a="1"/>
  <c r="C35" i="19" a="1"/>
  <c r="E25" i="7" a="1"/>
  <c r="D19" i="83" a="1"/>
  <c r="G27" i="88" a="1"/>
  <c r="H26" i="6" a="1"/>
  <c r="O11" i="3" a="1"/>
  <c r="A45" i="13" a="1"/>
  <c r="B6" i="17" a="1"/>
  <c r="A14" i="1" a="1"/>
  <c r="F24" i="7" a="1"/>
  <c r="E15" i="3" a="1"/>
  <c r="B53" i="19" a="1"/>
  <c r="D42" i="7" a="1"/>
  <c r="B17" i="13" a="1"/>
  <c r="H10" i="78" a="1"/>
  <c r="G10" i="88" a="1"/>
  <c r="C17" i="19" a="1"/>
  <c r="A81" i="1" a="1"/>
  <c r="G8" i="6" a="1"/>
  <c r="B190" i="13" a="1"/>
  <c r="K18" i="88" a="1"/>
  <c r="F29" i="6" a="1"/>
  <c r="C8" i="79" a="1"/>
  <c r="D23" i="7" a="1"/>
  <c r="C25" i="19" a="1"/>
  <c r="D12" i="88" a="1"/>
  <c r="D7" i="7" a="1"/>
  <c r="B19" i="39" a="1"/>
  <c r="E43" i="6" a="1"/>
  <c r="L17" i="88" a="1"/>
  <c r="H12" i="80" a="1"/>
  <c r="F43" i="7" a="1"/>
  <c r="F4" i="6" a="1"/>
  <c r="E30" i="88" a="1"/>
  <c r="F15" i="78" a="1"/>
  <c r="E10" i="82" a="1"/>
  <c r="C10" i="82" a="1"/>
  <c r="F25" i="7" a="1"/>
  <c r="H21" i="78" a="1"/>
  <c r="B207" i="13" a="1"/>
  <c r="E28" i="6" a="1"/>
  <c r="B19" i="17" a="1"/>
  <c r="B41" i="34" a="1"/>
  <c r="G40" i="6" a="1"/>
  <c r="B23" i="17" a="1"/>
  <c r="E55" i="6" a="1"/>
  <c r="G20" i="6" a="1"/>
  <c r="M9" i="3" a="1"/>
  <c r="J5" i="3" a="1"/>
  <c r="E16" i="78" a="1"/>
  <c r="C24" i="80" a="1"/>
  <c r="G10" i="3" a="1"/>
  <c r="B31" i="17" a="1"/>
  <c r="K19" i="84" a="1"/>
  <c r="F48" i="7" a="1"/>
  <c r="H52" i="6" a="1"/>
  <c r="G33" i="7" a="1"/>
  <c r="A31" i="13" a="1"/>
  <c r="C15" i="78" a="1"/>
  <c r="B222" i="13" a="1"/>
  <c r="H12" i="82" a="1"/>
  <c r="D10" i="3" a="1"/>
  <c r="E21" i="78" a="1"/>
  <c r="G5" i="6" a="1"/>
  <c r="E19" i="88" a="1"/>
  <c r="D24" i="78" a="1"/>
  <c r="N10" i="3" a="1"/>
  <c r="J19" i="83" a="1"/>
  <c r="C24" i="88" a="1"/>
  <c r="B5" i="17" a="1"/>
  <c r="E47" i="6" a="1"/>
  <c r="E60" i="6" a="1"/>
  <c r="G46" i="6" a="1"/>
  <c r="F49" i="6" a="1"/>
  <c r="E26" i="6" a="1"/>
  <c r="E43" i="7" a="1"/>
  <c r="H51" i="6" a="1"/>
  <c r="H10" i="82" a="1"/>
  <c r="L16" i="79" a="1"/>
  <c r="H27" i="88" a="1"/>
  <c r="I21" i="78" a="1"/>
  <c r="A140" i="13" a="1"/>
  <c r="L8" i="79" a="1"/>
  <c r="H84" i="7" a="1"/>
  <c r="E12" i="80" a="1"/>
  <c r="H15" i="79" a="1"/>
  <c r="H25" i="88" a="1"/>
  <c r="M37" i="40" a="1"/>
  <c r="D12" i="80" a="1"/>
  <c r="D15" i="80" a="1"/>
  <c r="L15" i="80" a="1"/>
  <c r="B106" i="13" a="1"/>
  <c r="E31" i="88" a="1"/>
  <c r="L9" i="88" a="1"/>
  <c r="I15" i="78" a="1"/>
  <c r="B39" i="17" a="1"/>
  <c r="E19" i="83" a="1"/>
  <c r="K19" i="86" a="1"/>
  <c r="B132" i="13" a="1"/>
  <c r="A67" i="13" a="1"/>
  <c r="A147" i="13" a="1"/>
  <c r="E10" i="78" a="1"/>
  <c r="C31" i="88" a="1"/>
  <c r="B75" i="17" a="1"/>
  <c r="G47" i="6" a="1"/>
  <c r="D16" i="82" a="1"/>
  <c r="C53" i="19" a="1"/>
  <c r="F28" i="88" a="1"/>
  <c r="G60" i="6" a="1"/>
  <c r="C49" i="19" a="1"/>
  <c r="C48" i="19" a="1"/>
  <c r="C25" i="88" a="1"/>
  <c r="A163" i="13" a="1"/>
  <c r="E33" i="7" a="1"/>
  <c r="F15" i="79" a="1"/>
  <c r="J11" i="3" a="1"/>
  <c r="C43" i="7" a="1"/>
  <c r="G5" i="32" a="1"/>
  <c r="F21" i="79" a="1"/>
  <c r="G19" i="86" a="1"/>
  <c r="F8" i="80" a="1"/>
  <c r="G10" i="80" a="1"/>
  <c r="D49" i="6" a="1"/>
  <c r="M6" i="3" a="1"/>
  <c r="D15" i="6" a="1"/>
  <c r="I12" i="82" a="1"/>
  <c r="L11" i="88" a="1"/>
  <c r="J9" i="88" a="1"/>
  <c r="A27" i="13" a="1"/>
  <c r="J26" i="88" a="1"/>
  <c r="K11" i="88" a="1"/>
  <c r="D13" i="6" a="1"/>
  <c r="H15" i="80" a="1"/>
  <c r="D21" i="79" a="1"/>
  <c r="F15" i="82" a="1"/>
  <c r="C33" i="88" a="1"/>
  <c r="D8" i="7" a="1"/>
  <c r="B91" i="17" a="1"/>
  <c r="K13" i="88" a="1"/>
  <c r="B5" i="19" a="1"/>
  <c r="F8" i="6" a="1"/>
  <c r="H43" i="6" a="1"/>
  <c r="L30" i="88" a="1"/>
  <c r="A38" i="1" a="1"/>
  <c r="B51" i="17" a="1"/>
  <c r="E57" i="6" a="1"/>
  <c r="J8" i="82" a="1"/>
  <c r="G84" i="7" a="1"/>
  <c r="B46" i="17" a="1"/>
  <c r="B83" i="17" a="1"/>
  <c r="J24" i="80" a="1"/>
  <c r="F18" i="88" a="1"/>
  <c r="C16" i="82" a="1"/>
  <c r="B61" i="17" a="1"/>
  <c r="K19" i="83" a="1"/>
  <c r="E8" i="80" a="1"/>
  <c r="B8" i="40" a="1"/>
  <c r="J19" i="86" a="1"/>
  <c r="B62" i="19" a="1"/>
  <c r="I19" i="81" a="1"/>
  <c r="D13" i="88" a="1"/>
  <c r="G32" i="88" a="1"/>
  <c r="I24" i="88" a="1"/>
  <c r="D50" i="6" a="1"/>
  <c r="B52" i="17" a="1"/>
  <c r="F54" i="6" a="1"/>
  <c r="E49" i="6" a="1"/>
  <c r="E8" i="40" a="1"/>
  <c r="C34" i="6" a="1"/>
  <c r="N5" i="3" a="1"/>
  <c r="C14" i="7" a="1"/>
  <c r="E25" i="6" a="1"/>
  <c r="H31" i="88" a="1"/>
  <c r="C59" i="19" a="1"/>
  <c r="I8" i="80" a="1"/>
  <c r="D57" i="6" a="1"/>
  <c r="C28" i="88" a="1"/>
  <c r="E10" i="80" a="1"/>
  <c r="B33" i="17" a="1"/>
  <c r="K37" i="40" a="1"/>
  <c r="B76" i="13" a="1"/>
  <c r="D37" i="6" a="1"/>
  <c r="E12" i="6" a="1"/>
  <c r="K16" i="82" a="1"/>
  <c r="F23" i="7" a="1"/>
  <c r="J19" i="84" a="1"/>
  <c r="C25" i="6" a="1"/>
  <c r="E24" i="78" a="1"/>
  <c r="C16" i="78" a="1"/>
  <c r="F9" i="3" a="1"/>
  <c r="B71" i="17" a="1"/>
  <c r="E15" i="6" a="1"/>
  <c r="H24" i="80" a="1"/>
  <c r="C10" i="86" a="1"/>
  <c r="B42" i="19" a="1"/>
  <c r="G23" i="88" a="1"/>
  <c r="H7" i="7" a="1"/>
  <c r="I10" i="78" a="1"/>
  <c r="L10" i="82" a="1"/>
  <c r="I15" i="82" a="1"/>
  <c r="B18" i="13" a="1"/>
  <c r="B29" i="17" a="1"/>
  <c r="F50" i="6" a="1"/>
  <c r="D10" i="82" a="1"/>
  <c r="C4" i="6" a="1"/>
  <c r="F13" i="88" a="1"/>
  <c r="F21" i="82" a="1"/>
  <c r="G26" i="6" a="1"/>
  <c r="H10" i="88" a="1"/>
  <c r="H24" i="88" a="1"/>
  <c r="F11" i="88" a="1"/>
  <c r="E11" i="88" a="1"/>
  <c r="C47" i="19" a="1"/>
  <c r="E34" i="6" a="1"/>
  <c r="I20" i="88" a="1"/>
  <c r="I21" i="80" a="1"/>
  <c r="B34" i="17" a="1"/>
  <c r="F19" i="88" a="1"/>
  <c r="G7" i="7" a="1"/>
  <c r="H25" i="7" a="1"/>
  <c r="G19" i="81" a="1"/>
  <c r="I8" i="78" a="1"/>
  <c r="E4" i="6" a="1"/>
  <c r="L19" i="81" a="1"/>
  <c r="K24" i="79" a="1"/>
  <c r="F59" i="6" a="1"/>
  <c r="M11" i="3" a="1"/>
  <c r="J27" i="88" a="1"/>
  <c r="B11" i="19" a="1"/>
  <c r="K19" i="81" a="1"/>
  <c r="G61" i="6" a="1"/>
  <c r="D53" i="6" a="1"/>
  <c r="K16" i="79" a="1"/>
  <c r="B60" i="19" a="1"/>
  <c r="C8" i="78" a="1"/>
  <c r="F58" i="6" a="1"/>
  <c r="D4" i="7" a="1"/>
  <c r="J21" i="78" a="1"/>
  <c r="D43" i="7" a="1"/>
  <c r="E25" i="88" a="1"/>
  <c r="B7" i="3" a="1"/>
  <c r="I11" i="88" a="1"/>
  <c r="C20" i="88" a="1"/>
  <c r="L7" i="24" a="1"/>
  <c r="C28" i="6" a="1"/>
  <c r="K30" i="88" a="1"/>
  <c r="G57" i="6" a="1"/>
  <c r="F16" i="78" a="1"/>
  <c r="L10" i="78" a="1"/>
  <c r="C21" i="80" a="1"/>
  <c r="A69" i="13" a="1"/>
  <c r="C19" i="85" a="1"/>
  <c r="F12" i="6" a="1"/>
  <c r="L11" i="3" a="1"/>
  <c r="G58" i="6" a="1"/>
  <c r="E52" i="6" a="1"/>
  <c r="G16" i="82" a="1"/>
  <c r="C15" i="79" a="1"/>
  <c r="B59" i="19" a="1"/>
  <c r="K16" i="80" a="1"/>
  <c r="H17" i="88" a="1"/>
  <c r="H23" i="88" a="1"/>
  <c r="E11" i="3" a="1"/>
  <c r="G12" i="78" a="1"/>
  <c r="B55" i="19" a="1"/>
  <c r="B41" i="17" a="1"/>
  <c r="D32" i="88" a="1"/>
  <c r="L21" i="78" a="1"/>
  <c r="B65" i="13" a="1"/>
  <c r="D16" i="78" a="1"/>
  <c r="B34" i="13" a="1"/>
  <c r="E23" i="88" a="1"/>
  <c r="B6" i="19" a="1"/>
  <c r="B26" i="13" a="1"/>
  <c r="L21" i="79" a="1"/>
  <c r="J16" i="80" a="1"/>
  <c r="G43" i="6" a="1"/>
  <c r="F27" i="88" a="1"/>
  <c r="D15" i="79" a="1"/>
  <c r="C56" i="19" a="1"/>
  <c r="G26" i="88" a="1"/>
  <c r="G7" i="6" a="1"/>
  <c r="B171" i="13" a="1"/>
  <c r="B61" i="34" a="1"/>
  <c r="B74" i="17" a="1"/>
  <c r="J7" i="39" a="1"/>
  <c r="F12" i="79" a="1"/>
  <c r="G43" i="7" a="1"/>
  <c r="F24" i="80" a="1"/>
  <c r="C19" i="88" a="1"/>
  <c r="C26" i="88" a="1"/>
  <c r="D54" i="6" a="1"/>
  <c r="F30" i="88" a="1"/>
  <c r="F24" i="88" a="1"/>
  <c r="B10" i="3" a="1"/>
  <c r="L24" i="79" a="1"/>
  <c r="G50" i="6" a="1"/>
  <c r="O9" i="3" a="1"/>
  <c r="C54" i="19" a="1"/>
  <c r="D14" i="88" a="1"/>
  <c r="C8" i="6" a="1"/>
  <c r="C8" i="80" a="1"/>
  <c r="B48" i="17" a="1"/>
  <c r="C30" i="88" a="1"/>
  <c r="H34" i="6" a="1"/>
  <c r="B78" i="17" a="1"/>
  <c r="H16" i="7" a="1"/>
  <c r="D7" i="6" a="1"/>
  <c r="C21" i="88" a="1"/>
  <c r="D48" i="6" a="1"/>
  <c r="L32" i="88" a="1"/>
  <c r="A150" i="13" a="1"/>
  <c r="H15" i="82" a="1"/>
  <c r="B58" i="17" a="1"/>
  <c r="K32" i="88" a="1"/>
  <c r="H59" i="6" a="1"/>
  <c r="L24" i="78" a="1"/>
  <c r="E37" i="40" a="1"/>
  <c r="B44" i="17" a="1"/>
  <c r="G41" i="6" a="1"/>
  <c r="D37" i="40" a="1"/>
  <c r="J6" i="39" a="1"/>
  <c r="L10" i="88" a="1"/>
  <c r="B8" i="3" a="1"/>
  <c r="C18" i="19" a="1"/>
  <c r="I21" i="82" a="1"/>
  <c r="K28" i="88" a="1"/>
  <c r="K23" i="88" a="1"/>
  <c r="I18" i="88" a="1"/>
  <c r="E14" i="7" a="1"/>
  <c r="F25" i="88" a="1"/>
  <c r="D31" i="88" a="1"/>
  <c r="F23" i="88" a="1"/>
  <c r="F12" i="88" a="1"/>
  <c r="B140" i="13" a="1"/>
  <c r="D25" i="6" a="1"/>
  <c r="D26" i="6" a="1"/>
  <c r="G28" i="6" a="1"/>
  <c r="K10" i="88" a="1"/>
  <c r="H16" i="80" a="1"/>
  <c r="A65" i="13" a="1"/>
  <c r="D9" i="3" a="1"/>
  <c r="B47" i="17" a="1"/>
  <c r="G9" i="3" a="1"/>
  <c r="M5" i="3" a="1"/>
  <c r="L6" i="3" a="1"/>
  <c r="D17" i="88" a="1"/>
  <c r="J12" i="82" a="1"/>
  <c r="J25" i="88" a="1"/>
  <c r="E32" i="88" a="1"/>
  <c r="B121" i="13" a="1"/>
  <c r="C60" i="19" a="1"/>
  <c r="H24" i="79" a="1"/>
  <c r="C33" i="19" a="1"/>
  <c r="J12" i="80" a="1"/>
  <c r="A207" i="13" a="1"/>
  <c r="E13" i="6" a="1"/>
  <c r="G51" i="6" a="1"/>
  <c r="E26" i="88" a="1"/>
  <c r="I9" i="88" a="1"/>
  <c r="E12" i="78" a="1"/>
  <c r="F31" i="88" a="1"/>
  <c r="B97" i="13" a="1"/>
  <c r="F24" i="6" a="1"/>
  <c r="H26" i="88" a="1"/>
  <c r="K15" i="79" a="1"/>
  <c r="E9" i="3" a="1"/>
  <c r="H4" i="6" a="1"/>
  <c r="D8" i="6" a="1"/>
  <c r="B45" i="13" a="1"/>
  <c r="B24" i="19" a="1"/>
  <c r="K24" i="78" a="1"/>
  <c r="D8" i="3" a="1"/>
  <c r="G28" i="88" a="1"/>
  <c r="J31" i="88" a="1"/>
  <c r="E28" i="88" a="1"/>
  <c r="F55" i="6" a="1"/>
  <c r="F16" i="82" a="1"/>
  <c r="H28" i="88" a="1"/>
  <c r="D19" i="84" a="1"/>
  <c r="A68" i="1" a="1"/>
  <c r="B15" i="17" a="1"/>
  <c r="K12" i="82" a="1"/>
  <c r="L23" i="88" a="1"/>
  <c r="F16" i="80" a="1"/>
  <c r="A5" i="1" a="1"/>
  <c r="B35" i="17" a="1"/>
  <c r="F10" i="80" a="1"/>
  <c r="A7" i="1" a="1"/>
  <c r="E23" i="7" a="1"/>
  <c r="D23" i="88" a="1"/>
  <c r="A26" i="13" a="1"/>
  <c r="D59" i="6" a="1"/>
  <c r="G34" i="6" a="1"/>
  <c r="G14" i="7" a="1"/>
  <c r="E16" i="82" a="1"/>
  <c r="J21" i="79" a="1"/>
  <c r="E8" i="79" a="1"/>
  <c r="D12" i="78" a="1"/>
  <c r="D47" i="6" a="1"/>
  <c r="A204" i="13" a="1"/>
  <c r="A8" i="1" a="1"/>
  <c r="N8" i="3" a="1"/>
  <c r="I27" i="88" a="1"/>
  <c r="H28" i="6" a="1"/>
  <c r="G8" i="3" a="1"/>
  <c r="O8" i="3" a="1"/>
  <c r="H19" i="81" a="1"/>
  <c r="F8" i="7" a="1"/>
  <c r="B80" i="13" a="1"/>
  <c r="G8" i="79" a="1"/>
  <c r="D48" i="7" a="1"/>
  <c r="B21" i="17" a="1"/>
  <c r="B86" i="17" a="1"/>
  <c r="A6" i="1" a="1"/>
  <c r="A149" i="13" a="1"/>
  <c r="E31" i="77" a="1"/>
  <c r="K10" i="84" a="1"/>
  <c r="D25" i="77" a="1"/>
  <c r="E21" i="77" a="1"/>
  <c r="K12" i="58" a="1"/>
  <c r="D32" i="77" a="1"/>
  <c r="J12" i="77" a="1"/>
  <c r="D18" i="77" a="1"/>
  <c r="I20" i="77" a="1"/>
  <c r="H18" i="77" a="1"/>
  <c r="F32" i="77" a="1"/>
  <c r="I13" i="83" a="1"/>
  <c r="I32" i="58" a="1"/>
  <c r="G10" i="58" a="1"/>
  <c r="H114" i="12" a="1"/>
  <c r="I18" i="58" a="1"/>
  <c r="D19" i="77" a="1"/>
  <c r="J13" i="77" a="1"/>
  <c r="H11" i="77" a="1"/>
  <c r="D21" i="77" a="1"/>
  <c r="J9" i="77" a="1"/>
  <c r="D30" i="77" a="1"/>
  <c r="L27" i="77" a="1"/>
  <c r="F18" i="77" a="1"/>
  <c r="G13" i="83" a="1"/>
  <c r="I26" i="77" a="1"/>
  <c r="K13" i="81" a="1"/>
  <c r="G10" i="81" a="1"/>
  <c r="I33" i="77" a="1"/>
  <c r="K13" i="77" a="1"/>
  <c r="K25" i="58" a="1"/>
  <c r="C13" i="77" a="1"/>
  <c r="E19" i="77" a="1"/>
  <c r="L17" i="77" a="1"/>
  <c r="K21" i="77" a="1"/>
  <c r="E10" i="77" a="1"/>
  <c r="L9" i="77" a="1"/>
  <c r="I28" i="58" a="1"/>
  <c r="I12" i="58" a="1"/>
  <c r="E33" i="77" a="1"/>
  <c r="E114" i="12" a="1"/>
  <c r="I25" i="58" a="1"/>
  <c r="K13" i="58" a="1"/>
  <c r="K10" i="81" a="1"/>
  <c r="I14" i="58" a="1"/>
  <c r="I25" i="77" a="1"/>
  <c r="I14" i="77" a="1"/>
  <c r="F26" i="77" a="1"/>
  <c r="H9" i="77" a="1"/>
  <c r="E24" i="77" a="1"/>
  <c r="F12" i="77" a="1"/>
  <c r="D31" i="77" a="1"/>
  <c r="J114" i="12" a="1"/>
  <c r="H28" i="77" a="1"/>
  <c r="I31" i="77" a="1"/>
  <c r="K21" i="21" a="1"/>
  <c r="K20" i="58" a="1"/>
  <c r="K10" i="83" a="1"/>
  <c r="K13" i="85" a="1"/>
  <c r="I17" i="58" a="1"/>
  <c r="C12" i="77" a="1"/>
  <c r="C26" i="77" a="1"/>
  <c r="K28" i="58" a="1"/>
  <c r="C33" i="77" a="1"/>
  <c r="H23" i="77" a="1"/>
  <c r="D11" i="77" a="1"/>
  <c r="G12" i="58" a="1"/>
  <c r="J32" i="77" a="1"/>
  <c r="F31" i="77" a="1"/>
  <c r="F30" i="77" a="1"/>
  <c r="E14" i="77" a="1"/>
  <c r="L26" i="77" a="1"/>
  <c r="I11" i="58" a="1"/>
  <c r="E9" i="77" a="1"/>
  <c r="F20" i="77" a="1"/>
  <c r="K23" i="58" a="1"/>
  <c r="J26" i="77" a="1"/>
  <c r="K32" i="77" a="1"/>
  <c r="I20" i="58" a="1"/>
  <c r="I10" i="58" a="1"/>
  <c r="F9" i="77" a="1"/>
  <c r="H30" i="77" a="1"/>
  <c r="I27" i="58" a="1"/>
  <c r="K10" i="77" a="1"/>
  <c r="D26" i="77" a="1"/>
  <c r="K13" i="83" a="1"/>
  <c r="F14" i="77" a="1"/>
  <c r="H17" i="77" a="1"/>
  <c r="K9" i="58" a="1"/>
  <c r="I21" i="58" a="1"/>
  <c r="I11" i="77" a="1"/>
  <c r="C11" i="77" a="1"/>
  <c r="E23" i="77" a="1"/>
  <c r="I18" i="77" a="1"/>
  <c r="F17" i="77" a="1"/>
  <c r="D23" i="77" a="1"/>
  <c r="C31" i="77" a="1"/>
  <c r="K21" i="58" a="1"/>
  <c r="L31" i="77" a="1"/>
  <c r="I30" i="58" a="1"/>
  <c r="L13" i="77" a="1"/>
  <c r="J18" i="77" a="1"/>
  <c r="G114" i="12" a="1"/>
  <c r="I12" i="77" a="1"/>
  <c r="K11" i="58" a="1"/>
  <c r="C9" i="77" a="1"/>
  <c r="K28" i="77" a="1"/>
  <c r="D27" i="77" a="1"/>
  <c r="D12" i="77" a="1"/>
  <c r="L23" i="77" a="1"/>
  <c r="C24" i="77" a="1"/>
  <c r="D13" i="77" a="1"/>
  <c r="H32" i="77" a="1"/>
  <c r="K10" i="64" a="1"/>
  <c r="J20" i="77" a="1"/>
  <c r="H31" i="77" a="1"/>
  <c r="K33" i="77" a="1"/>
  <c r="K24" i="58" a="1"/>
  <c r="K25" i="77" a="1"/>
  <c r="K26" i="77" a="1"/>
  <c r="I17" i="77" a="1"/>
  <c r="K10" i="58" a="1"/>
  <c r="E11" i="77" a="1"/>
  <c r="G158" i="12"/>
  <c r="L11" i="77" a="1"/>
  <c r="D24" i="77" a="1"/>
  <c r="F23" i="77" a="1"/>
  <c r="E158" i="12"/>
  <c r="J6" i="3" a="1"/>
  <c r="L25" i="77" a="1"/>
  <c r="D17" i="77" a="1"/>
  <c r="K31" i="58" a="1"/>
  <c r="L32" i="77" a="1"/>
  <c r="I158" i="12"/>
  <c r="I31" i="58" a="1"/>
  <c r="K21" i="64" a="1"/>
  <c r="G10" i="64" a="1"/>
  <c r="I10" i="81" a="1"/>
  <c r="K27" i="58" a="1"/>
  <c r="E32" i="77" a="1"/>
  <c r="F28" i="77" a="1"/>
  <c r="F24" i="77" a="1"/>
  <c r="H10" i="77" a="1"/>
  <c r="I9" i="77" a="1"/>
  <c r="I32" i="77" a="1"/>
  <c r="C10" i="77" a="1"/>
  <c r="K26" i="58" a="1"/>
  <c r="K10" i="85" a="1"/>
  <c r="J28" i="77" a="1"/>
  <c r="K18" i="77" a="1"/>
  <c r="I26" i="58" a="1"/>
  <c r="H14" i="77" a="1"/>
  <c r="J10" i="77" a="1"/>
  <c r="E17" i="77" a="1"/>
  <c r="H27" i="77" a="1"/>
  <c r="I28" i="77" a="1"/>
  <c r="C27" i="77" a="1"/>
  <c r="J27" i="77" a="1"/>
  <c r="K30" i="77" a="1"/>
  <c r="L12" i="77" a="1"/>
  <c r="K19" i="58" a="1"/>
  <c r="G13" i="58" a="1"/>
  <c r="K12" i="77" a="1"/>
  <c r="C25" i="77" a="1"/>
  <c r="K9" i="77" a="1"/>
  <c r="K32" i="58" a="1"/>
  <c r="K17" i="58" a="1"/>
  <c r="D9" i="77" a="1"/>
  <c r="F19" i="77" a="1"/>
  <c r="E13" i="77" a="1"/>
  <c r="J14" i="77" a="1"/>
  <c r="J11" i="77" a="1"/>
  <c r="L30" i="77" a="1"/>
  <c r="E28" i="77" a="1"/>
  <c r="K23" i="77" a="1"/>
  <c r="J19" i="77" a="1"/>
  <c r="I23" i="58" a="1"/>
  <c r="E20" i="77" a="1"/>
  <c r="F11" i="77" a="1"/>
  <c r="I10" i="77" a="1"/>
  <c r="J30" i="77" a="1"/>
  <c r="D33" i="77" a="1"/>
  <c r="C18" i="77" a="1"/>
  <c r="K14" i="77" a="1"/>
  <c r="E26" i="77" a="1"/>
  <c r="I24" i="77" a="1"/>
  <c r="E12" i="77" a="1"/>
  <c r="C21" i="77" a="1"/>
  <c r="C28" i="77" a="1"/>
  <c r="N6" i="3" a="1"/>
  <c r="H12" i="77" a="1"/>
  <c r="C14" i="77" a="1"/>
  <c r="D10" i="77" a="1"/>
  <c r="J7" i="3" a="1"/>
  <c r="C20" i="77" a="1"/>
  <c r="F25" i="77" a="1"/>
  <c r="L24" i="77" a="1"/>
  <c r="H20" i="77" a="1"/>
  <c r="D14" i="77" a="1"/>
  <c r="I21" i="77" a="1"/>
  <c r="L18" i="77" a="1"/>
  <c r="H26" i="77" a="1"/>
  <c r="K10" i="86" a="1"/>
  <c r="L14" i="77" a="1"/>
  <c r="K16" i="64" a="1"/>
  <c r="L19" i="77" a="1"/>
  <c r="K13" i="86" a="1"/>
  <c r="C17" i="77" a="1"/>
  <c r="L21" i="77" a="1"/>
  <c r="K18" i="58" a="1"/>
  <c r="J25" i="77" a="1"/>
  <c r="J17" i="77" a="1"/>
  <c r="E27" i="77" a="1"/>
  <c r="C30" i="77" a="1"/>
  <c r="K24" i="77" a="1"/>
  <c r="G21" i="58" a="1"/>
  <c r="I13" i="81" a="1"/>
  <c r="J23" i="77" a="1"/>
  <c r="F158" i="12"/>
  <c r="F114" i="12" a="1"/>
  <c r="J33" i="77" a="1"/>
  <c r="I13" i="77" a="1"/>
  <c r="K8" i="64" a="1"/>
  <c r="I23" i="77" a="1"/>
  <c r="J24" i="77" a="1"/>
  <c r="J21" i="77" a="1"/>
  <c r="K14" i="58" a="1"/>
  <c r="I9" i="58" a="1"/>
  <c r="K17" i="77" a="1"/>
  <c r="E25" i="77" a="1"/>
  <c r="L10" i="77" a="1"/>
  <c r="C32" i="77" a="1"/>
  <c r="I13" i="58" a="1"/>
  <c r="K31" i="77" a="1"/>
  <c r="C19" i="77" a="1"/>
  <c r="C23" i="77" a="1"/>
  <c r="I27" i="77" a="1"/>
  <c r="J158" i="12"/>
  <c r="I19" i="77" a="1"/>
  <c r="H158" i="12"/>
  <c r="H25" i="77" a="1"/>
  <c r="I114" i="12" a="1"/>
  <c r="H19" i="77" a="1"/>
  <c r="K19" i="77" a="1"/>
  <c r="K11" i="77" a="1"/>
  <c r="H13" i="77" a="1"/>
  <c r="G15" i="64" a="1"/>
  <c r="L28" i="77" a="1"/>
  <c r="F13" i="77" a="1"/>
  <c r="L33" i="77" a="1"/>
  <c r="K33" i="58" a="1"/>
  <c r="K13" i="84" a="1"/>
  <c r="J31" i="77" a="1"/>
  <c r="I24" i="58" a="1"/>
  <c r="R21" i="12"/>
  <c r="L20" i="77" a="1"/>
  <c r="I33" i="58" a="1"/>
  <c r="K12" i="64" a="1"/>
  <c r="K27" i="77" a="1"/>
  <c r="K24" i="64" a="1"/>
  <c r="I10" i="83" a="1"/>
  <c r="K15" i="64" a="1"/>
  <c r="I19" i="58" a="1"/>
  <c r="G16" i="64" a="1"/>
  <c r="I30" i="77" a="1"/>
  <c r="E30" i="77" a="1"/>
  <c r="H24" i="77" a="1"/>
  <c r="F27" i="77" a="1"/>
  <c r="D28" i="77" a="1"/>
  <c r="K30" i="58" a="1"/>
  <c r="E18" i="77" a="1"/>
  <c r="H156" i="12"/>
  <c r="D20" i="77" a="1"/>
  <c r="F10" i="77" a="1"/>
  <c r="K20" i="77" a="1"/>
  <c r="N7" i="3" a="1"/>
  <c r="E102" i="12" a="1"/>
  <c r="A149" i="13" l="1"/>
  <c r="A6" i="1"/>
  <c r="F86" i="17"/>
  <c r="J86" i="17"/>
  <c r="K86" i="17"/>
  <c r="C86" i="17"/>
  <c r="H86" i="17"/>
  <c r="B86" i="17"/>
  <c r="I86" i="17"/>
  <c r="E86" i="17"/>
  <c r="G86" i="17"/>
  <c r="D86" i="17"/>
  <c r="E21" i="17"/>
  <c r="B21" i="17"/>
  <c r="H21" i="17"/>
  <c r="I21" i="17"/>
  <c r="D21" i="17"/>
  <c r="C21" i="17"/>
  <c r="J21" i="17"/>
  <c r="G21" i="17"/>
  <c r="K21" i="17"/>
  <c r="F21" i="17"/>
  <c r="D48" i="7"/>
  <c r="G8" i="79"/>
  <c r="H80" i="13"/>
  <c r="B80" i="13"/>
  <c r="B81" i="13" s="1"/>
  <c r="G80" i="13"/>
  <c r="G81" i="13" s="1"/>
  <c r="I80" i="13"/>
  <c r="I81" i="13" s="1"/>
  <c r="E80" i="13"/>
  <c r="J80" i="13"/>
  <c r="C80" i="13"/>
  <c r="D80" i="13"/>
  <c r="D81" i="13" s="1"/>
  <c r="F80" i="13"/>
  <c r="F81" i="13" s="1"/>
  <c r="F8" i="7"/>
  <c r="H19" i="81"/>
  <c r="H24" i="81" s="1"/>
  <c r="O8" i="3"/>
  <c r="O18" i="3" s="1"/>
  <c r="G8" i="3"/>
  <c r="G18" i="3" s="1"/>
  <c r="H28" i="6"/>
  <c r="I27" i="88"/>
  <c r="N8" i="3"/>
  <c r="N18" i="3" s="1"/>
  <c r="A8" i="1"/>
  <c r="A204" i="13"/>
  <c r="A229" i="13" s="1"/>
  <c r="D47" i="6"/>
  <c r="D12" i="78"/>
  <c r="E8" i="79"/>
  <c r="J21" i="79"/>
  <c r="E16" i="82"/>
  <c r="G14" i="7"/>
  <c r="G15" i="7" s="1"/>
  <c r="G18" i="7" s="1"/>
  <c r="G34" i="6"/>
  <c r="D59" i="6"/>
  <c r="A26" i="13"/>
  <c r="D23" i="88"/>
  <c r="E23" i="7"/>
  <c r="A7" i="1"/>
  <c r="F10" i="80"/>
  <c r="C35" i="17"/>
  <c r="E35" i="17"/>
  <c r="I35" i="17"/>
  <c r="G35" i="17"/>
  <c r="H35" i="17"/>
  <c r="D35" i="17"/>
  <c r="B35" i="17"/>
  <c r="K35" i="17"/>
  <c r="F35" i="17"/>
  <c r="J35" i="17"/>
  <c r="A5" i="1"/>
  <c r="F16" i="80"/>
  <c r="L23" i="88"/>
  <c r="K12" i="82"/>
  <c r="F15" i="17"/>
  <c r="B15" i="17"/>
  <c r="I15" i="17"/>
  <c r="K15" i="17"/>
  <c r="G15" i="17"/>
  <c r="C15" i="17"/>
  <c r="E15" i="17"/>
  <c r="H15" i="17"/>
  <c r="D15" i="17"/>
  <c r="J15" i="17"/>
  <c r="A68" i="1"/>
  <c r="D19" i="84"/>
  <c r="D24" i="84" s="1"/>
  <c r="H28" i="88"/>
  <c r="F16" i="82"/>
  <c r="F55" i="6"/>
  <c r="E28" i="88"/>
  <c r="J31" i="88"/>
  <c r="G28" i="88"/>
  <c r="D8" i="3"/>
  <c r="K24" i="78"/>
  <c r="B24" i="19"/>
  <c r="B21" i="22" s="1"/>
  <c r="D45" i="13"/>
  <c r="C45" i="13"/>
  <c r="B46" i="13" s="1"/>
  <c r="F45" i="13"/>
  <c r="G45" i="13"/>
  <c r="J45" i="13"/>
  <c r="I46" i="13" s="1"/>
  <c r="B45" i="13"/>
  <c r="B47" i="13" s="1"/>
  <c r="E45" i="13"/>
  <c r="H45" i="13"/>
  <c r="I45" i="13"/>
  <c r="D8" i="6"/>
  <c r="H4" i="6"/>
  <c r="E9" i="3"/>
  <c r="K15" i="79"/>
  <c r="H26" i="88"/>
  <c r="H46" i="88" s="1"/>
  <c r="F24" i="6"/>
  <c r="H97" i="13"/>
  <c r="E97" i="13"/>
  <c r="D97" i="13"/>
  <c r="I97" i="13"/>
  <c r="B97" i="13"/>
  <c r="J97" i="13"/>
  <c r="C97" i="13"/>
  <c r="F97" i="13"/>
  <c r="G97" i="13"/>
  <c r="F31" i="88"/>
  <c r="E12" i="78"/>
  <c r="I9" i="88"/>
  <c r="I47" i="87" s="1"/>
  <c r="E26" i="88"/>
  <c r="E46" i="88" s="1"/>
  <c r="G51" i="6"/>
  <c r="E13" i="6"/>
  <c r="A207" i="13"/>
  <c r="J12" i="80"/>
  <c r="D33" i="19"/>
  <c r="C33" i="19"/>
  <c r="H33" i="19"/>
  <c r="K33" i="19"/>
  <c r="J33" i="19"/>
  <c r="L33" i="19"/>
  <c r="E33" i="19"/>
  <c r="I33" i="19"/>
  <c r="F33" i="19"/>
  <c r="G33" i="19"/>
  <c r="H24" i="79"/>
  <c r="J60" i="19"/>
  <c r="L60" i="19"/>
  <c r="C60" i="19"/>
  <c r="I60" i="19"/>
  <c r="F60" i="19"/>
  <c r="D60" i="19"/>
  <c r="E60" i="19"/>
  <c r="H60" i="19"/>
  <c r="G60" i="19"/>
  <c r="K60" i="19"/>
  <c r="I121" i="13"/>
  <c r="C121" i="13"/>
  <c r="J121" i="13"/>
  <c r="H121" i="13"/>
  <c r="E121" i="13"/>
  <c r="G121" i="13"/>
  <c r="F121" i="13"/>
  <c r="B121" i="13"/>
  <c r="D121" i="13"/>
  <c r="E32" i="88"/>
  <c r="J25" i="88"/>
  <c r="J45" i="88" s="1"/>
  <c r="J12" i="82"/>
  <c r="D17" i="88"/>
  <c r="L6" i="3"/>
  <c r="M5" i="3"/>
  <c r="G9" i="3"/>
  <c r="G19" i="3" s="1"/>
  <c r="G47" i="17"/>
  <c r="K47" i="17"/>
  <c r="I47" i="17"/>
  <c r="H47" i="17"/>
  <c r="B47" i="17"/>
  <c r="F47" i="17"/>
  <c r="D47" i="17"/>
  <c r="J47" i="17"/>
  <c r="C47" i="17"/>
  <c r="E47" i="17"/>
  <c r="D9" i="3"/>
  <c r="A65" i="13"/>
  <c r="H16" i="80"/>
  <c r="K10" i="88"/>
  <c r="K38" i="88" s="1"/>
  <c r="G28" i="6"/>
  <c r="D26" i="6"/>
  <c r="D25" i="6"/>
  <c r="C140" i="13"/>
  <c r="H140" i="13"/>
  <c r="D140" i="13"/>
  <c r="E140" i="13"/>
  <c r="E154" i="13" s="1"/>
  <c r="F140" i="13"/>
  <c r="G140" i="13"/>
  <c r="J140" i="13"/>
  <c r="I140" i="13"/>
  <c r="B140" i="13"/>
  <c r="F12" i="88"/>
  <c r="F40" i="88" s="1"/>
  <c r="F23" i="88"/>
  <c r="D31" i="88"/>
  <c r="F25" i="88"/>
  <c r="F45" i="88" s="1"/>
  <c r="E14" i="7"/>
  <c r="E15" i="7" s="1"/>
  <c r="I18" i="88"/>
  <c r="K23" i="88"/>
  <c r="K28" i="88"/>
  <c r="I21" i="82"/>
  <c r="H18" i="19"/>
  <c r="C18" i="19"/>
  <c r="L40" i="34" s="1"/>
  <c r="E18" i="19"/>
  <c r="I18" i="19"/>
  <c r="J18" i="19"/>
  <c r="G18" i="19"/>
  <c r="F18" i="19"/>
  <c r="K18" i="19"/>
  <c r="D18" i="19"/>
  <c r="O7" i="26" s="1"/>
  <c r="L18" i="19"/>
  <c r="B8" i="3"/>
  <c r="L10" i="88"/>
  <c r="L38" i="88" s="1"/>
  <c r="J6" i="39"/>
  <c r="K6" i="39" s="1"/>
  <c r="D37" i="40"/>
  <c r="G41" i="6"/>
  <c r="E44" i="17"/>
  <c r="F44" i="17"/>
  <c r="D44" i="17"/>
  <c r="B44" i="17"/>
  <c r="K44" i="17"/>
  <c r="I44" i="17"/>
  <c r="J44" i="17"/>
  <c r="C44" i="17"/>
  <c r="G44" i="17"/>
  <c r="H44" i="17"/>
  <c r="E37" i="40"/>
  <c r="L24" i="78"/>
  <c r="H59" i="6"/>
  <c r="K32" i="88"/>
  <c r="K58" i="17"/>
  <c r="I58" i="17"/>
  <c r="H58" i="17"/>
  <c r="C58" i="17"/>
  <c r="F58" i="17"/>
  <c r="B58" i="17"/>
  <c r="G58" i="17"/>
  <c r="D58" i="17"/>
  <c r="E58" i="17"/>
  <c r="J58" i="17"/>
  <c r="H15" i="82"/>
  <c r="A150" i="13"/>
  <c r="A88" i="13" s="1"/>
  <c r="L32" i="88"/>
  <c r="D48" i="6"/>
  <c r="C21" i="88"/>
  <c r="D7" i="6"/>
  <c r="H16" i="7"/>
  <c r="G78" i="17"/>
  <c r="E78" i="17"/>
  <c r="K78" i="17"/>
  <c r="C78" i="17"/>
  <c r="I78" i="17"/>
  <c r="J78" i="17"/>
  <c r="F78" i="17"/>
  <c r="D78" i="17"/>
  <c r="H78" i="17"/>
  <c r="B78" i="17"/>
  <c r="H34" i="6"/>
  <c r="H36" i="6" s="1"/>
  <c r="C30" i="88"/>
  <c r="D48" i="17"/>
  <c r="I48" i="17"/>
  <c r="C48" i="17"/>
  <c r="H48" i="17"/>
  <c r="G48" i="17"/>
  <c r="F48" i="17"/>
  <c r="J48" i="17"/>
  <c r="B48" i="17"/>
  <c r="E48" i="17"/>
  <c r="K48" i="17"/>
  <c r="C8" i="80"/>
  <c r="C8" i="6"/>
  <c r="D14" i="88"/>
  <c r="H54" i="19"/>
  <c r="F54" i="19"/>
  <c r="L54" i="19"/>
  <c r="G54" i="19"/>
  <c r="J54" i="19"/>
  <c r="C54" i="19"/>
  <c r="D54" i="19"/>
  <c r="E54" i="19"/>
  <c r="K54" i="19"/>
  <c r="I54" i="19"/>
  <c r="O9" i="3"/>
  <c r="O19" i="3" s="1"/>
  <c r="G50" i="6"/>
  <c r="L24" i="79"/>
  <c r="B10" i="3"/>
  <c r="F24" i="88"/>
  <c r="F44" i="88" s="1"/>
  <c r="F30" i="88"/>
  <c r="D54" i="6"/>
  <c r="C26" i="88"/>
  <c r="C46" i="88" s="1"/>
  <c r="C19" i="88"/>
  <c r="F24" i="80"/>
  <c r="G43" i="7"/>
  <c r="F12" i="79"/>
  <c r="J7" i="39"/>
  <c r="K7" i="39" s="1"/>
  <c r="K74" i="17"/>
  <c r="J74" i="17"/>
  <c r="E74" i="17"/>
  <c r="C74" i="17"/>
  <c r="D74" i="17"/>
  <c r="G74" i="17"/>
  <c r="F74" i="17"/>
  <c r="H74" i="17"/>
  <c r="B74" i="17"/>
  <c r="I74" i="17"/>
  <c r="B61" i="34"/>
  <c r="J171" i="13"/>
  <c r="I171" i="13"/>
  <c r="D171" i="13"/>
  <c r="E171" i="13"/>
  <c r="B171" i="13"/>
  <c r="G171" i="13"/>
  <c r="C171" i="13"/>
  <c r="F171" i="13"/>
  <c r="H171" i="13"/>
  <c r="G7" i="6"/>
  <c r="G26" i="88"/>
  <c r="G46" i="88" s="1"/>
  <c r="H56" i="19"/>
  <c r="C56" i="19"/>
  <c r="E56" i="19"/>
  <c r="K56" i="19"/>
  <c r="I56" i="19"/>
  <c r="L56" i="19"/>
  <c r="G56" i="19"/>
  <c r="D56" i="19"/>
  <c r="J56" i="19"/>
  <c r="F56" i="19"/>
  <c r="D15" i="79"/>
  <c r="F27" i="88"/>
  <c r="G43" i="6"/>
  <c r="J16" i="80"/>
  <c r="J17" i="80" s="1"/>
  <c r="L21" i="79"/>
  <c r="F26" i="13"/>
  <c r="J26" i="13"/>
  <c r="I26" i="13"/>
  <c r="E26" i="13"/>
  <c r="B26" i="13"/>
  <c r="H26" i="13"/>
  <c r="D26" i="13"/>
  <c r="G26" i="13"/>
  <c r="C26" i="13"/>
  <c r="B6" i="19"/>
  <c r="E23" i="88"/>
  <c r="H34" i="13"/>
  <c r="F34" i="13"/>
  <c r="C34" i="13"/>
  <c r="B35" i="13" s="1"/>
  <c r="B34" i="13"/>
  <c r="B36" i="13" s="1"/>
  <c r="D34" i="13"/>
  <c r="J34" i="13"/>
  <c r="I35" i="13" s="1"/>
  <c r="E34" i="13"/>
  <c r="D35" i="13" s="1"/>
  <c r="I34" i="13"/>
  <c r="G34" i="13"/>
  <c r="F35" i="13" s="1"/>
  <c r="D16" i="78"/>
  <c r="C65" i="13"/>
  <c r="B65" i="13"/>
  <c r="H65" i="13"/>
  <c r="I65" i="13"/>
  <c r="J65" i="13"/>
  <c r="F65" i="13"/>
  <c r="G65" i="13"/>
  <c r="E65" i="13"/>
  <c r="D65" i="13"/>
  <c r="L21" i="78"/>
  <c r="D32" i="88"/>
  <c r="E41" i="17"/>
  <c r="D41" i="17"/>
  <c r="J41" i="17"/>
  <c r="I41" i="17"/>
  <c r="B41" i="17"/>
  <c r="F41" i="17"/>
  <c r="G41" i="17"/>
  <c r="K41" i="17"/>
  <c r="H41" i="17"/>
  <c r="C41" i="17"/>
  <c r="B55" i="19"/>
  <c r="B60" i="34" s="1"/>
  <c r="G12" i="78"/>
  <c r="E11" i="3"/>
  <c r="H23" i="88"/>
  <c r="H17" i="88"/>
  <c r="K16" i="80"/>
  <c r="B59" i="19"/>
  <c r="C15" i="79"/>
  <c r="G16" i="82"/>
  <c r="E52" i="6"/>
  <c r="G58" i="6"/>
  <c r="L11" i="3"/>
  <c r="F12" i="6"/>
  <c r="C19" i="85"/>
  <c r="C24" i="85" s="1"/>
  <c r="A69" i="13"/>
  <c r="C21" i="80"/>
  <c r="L10" i="78"/>
  <c r="F16" i="78"/>
  <c r="G57" i="6"/>
  <c r="G5" i="7" s="1"/>
  <c r="K30" i="88"/>
  <c r="C28" i="6"/>
  <c r="L563" i="24"/>
  <c r="L124" i="24"/>
  <c r="L300" i="24"/>
  <c r="L72" i="24"/>
  <c r="L748" i="24"/>
  <c r="L653" i="24"/>
  <c r="L451" i="24"/>
  <c r="L401" i="24"/>
  <c r="M401" i="24" s="1"/>
  <c r="L408" i="24"/>
  <c r="L181" i="24"/>
  <c r="L446" i="24"/>
  <c r="L445" i="24"/>
  <c r="L569" i="24"/>
  <c r="L537" i="24"/>
  <c r="L316" i="24"/>
  <c r="L463" i="24"/>
  <c r="L399" i="24"/>
  <c r="L437" i="24"/>
  <c r="L70" i="24"/>
  <c r="L485" i="24"/>
  <c r="M485" i="24" s="1"/>
  <c r="L99" i="24"/>
  <c r="L199" i="24"/>
  <c r="L426" i="24"/>
  <c r="L431" i="24"/>
  <c r="L371" i="24"/>
  <c r="L74" i="24"/>
  <c r="M74" i="24" s="1"/>
  <c r="L112" i="24"/>
  <c r="L759" i="24"/>
  <c r="L482" i="24"/>
  <c r="L381" i="24"/>
  <c r="L144" i="24"/>
  <c r="L234" i="24"/>
  <c r="M234" i="24" s="1"/>
  <c r="L476" i="24"/>
  <c r="L249" i="24"/>
  <c r="L269" i="24"/>
  <c r="L376" i="24"/>
  <c r="L131" i="24"/>
  <c r="L113" i="24"/>
  <c r="L215" i="24"/>
  <c r="L207" i="24"/>
  <c r="L527" i="24"/>
  <c r="L680" i="24"/>
  <c r="L272" i="24"/>
  <c r="L378" i="24"/>
  <c r="L312" i="24"/>
  <c r="L292" i="24"/>
  <c r="L542" i="24"/>
  <c r="L176" i="24"/>
  <c r="L231" i="24"/>
  <c r="L488" i="24"/>
  <c r="L169" i="24"/>
  <c r="L246" i="24"/>
  <c r="L275" i="24"/>
  <c r="L469" i="24"/>
  <c r="L740" i="24"/>
  <c r="L416" i="24"/>
  <c r="M416" i="24" s="1"/>
  <c r="L146" i="24"/>
  <c r="L403" i="24"/>
  <c r="L65" i="24"/>
  <c r="L652" i="24"/>
  <c r="L400" i="24"/>
  <c r="L558" i="24"/>
  <c r="L352" i="24"/>
  <c r="L520" i="24"/>
  <c r="L676" i="24"/>
  <c r="L578" i="24"/>
  <c r="L380" i="24"/>
  <c r="L382" i="24"/>
  <c r="L690" i="24"/>
  <c r="L230" i="24"/>
  <c r="L344" i="24"/>
  <c r="L105" i="24"/>
  <c r="L62" i="24"/>
  <c r="L251" i="24"/>
  <c r="L172" i="24"/>
  <c r="L465" i="24"/>
  <c r="L513" i="24"/>
  <c r="L420" i="24"/>
  <c r="L306" i="24"/>
  <c r="L201" i="24"/>
  <c r="M201" i="24" s="1"/>
  <c r="L323" i="24"/>
  <c r="L195" i="24"/>
  <c r="L121" i="24"/>
  <c r="L130" i="24"/>
  <c r="M130" i="24" s="1"/>
  <c r="L261" i="24"/>
  <c r="L206" i="24"/>
  <c r="L289" i="24"/>
  <c r="L86" i="24"/>
  <c r="L567" i="24"/>
  <c r="L194" i="24"/>
  <c r="L589" i="24"/>
  <c r="L708" i="24"/>
  <c r="M708" i="24" s="1"/>
  <c r="L607" i="24"/>
  <c r="L107" i="24"/>
  <c r="L695" i="24"/>
  <c r="L582" i="24"/>
  <c r="L611" i="24"/>
  <c r="L120" i="24"/>
  <c r="L197" i="24"/>
  <c r="L526" i="24"/>
  <c r="L26" i="24"/>
  <c r="L583" i="24"/>
  <c r="L571" i="24"/>
  <c r="L710" i="24"/>
  <c r="L153" i="24"/>
  <c r="L157" i="24"/>
  <c r="L751" i="24"/>
  <c r="L51" i="24"/>
  <c r="L718" i="24"/>
  <c r="L656" i="24"/>
  <c r="L245" i="24"/>
  <c r="L760" i="24"/>
  <c r="M760" i="24" s="1"/>
  <c r="L88" i="24"/>
  <c r="L28" i="24"/>
  <c r="L147" i="24"/>
  <c r="L87" i="24"/>
  <c r="L342" i="24"/>
  <c r="L447" i="24"/>
  <c r="M447" i="24" s="1"/>
  <c r="L634" i="24"/>
  <c r="L519" i="24"/>
  <c r="L694" i="24"/>
  <c r="L693" i="24"/>
  <c r="M693" i="24" s="1"/>
  <c r="L732" i="24"/>
  <c r="L612" i="24"/>
  <c r="L579" i="24"/>
  <c r="L531" i="24"/>
  <c r="L599" i="24"/>
  <c r="L633" i="24"/>
  <c r="M633" i="24" s="1"/>
  <c r="L307" i="24"/>
  <c r="L302" i="24"/>
  <c r="L44" i="24"/>
  <c r="L12" i="24"/>
  <c r="L159" i="24"/>
  <c r="L118" i="24"/>
  <c r="L725" i="24"/>
  <c r="L575" i="24"/>
  <c r="L139" i="24"/>
  <c r="L36" i="24"/>
  <c r="L397" i="24"/>
  <c r="L257" i="24"/>
  <c r="L96" i="24"/>
  <c r="L410" i="24"/>
  <c r="L598" i="24"/>
  <c r="M598" i="24" s="1"/>
  <c r="L56" i="24"/>
  <c r="L375" i="24"/>
  <c r="L704" i="24"/>
  <c r="L266" i="24"/>
  <c r="L274" i="24"/>
  <c r="L264" i="24"/>
  <c r="L743" i="24"/>
  <c r="L252" i="24"/>
  <c r="L500" i="24"/>
  <c r="M500" i="24" s="1"/>
  <c r="L603" i="24"/>
  <c r="L115" i="24"/>
  <c r="L455" i="24"/>
  <c r="M455" i="24" s="1"/>
  <c r="L535" i="24"/>
  <c r="L564" i="24"/>
  <c r="L85" i="24"/>
  <c r="L625" i="24"/>
  <c r="L444" i="24"/>
  <c r="L521" i="24"/>
  <c r="M521" i="24" s="1"/>
  <c r="L696" i="24"/>
  <c r="L394" i="24"/>
  <c r="L665" i="24"/>
  <c r="M665" i="24" s="1"/>
  <c r="L675" i="24"/>
  <c r="L355" i="24"/>
  <c r="L54" i="24"/>
  <c r="L77" i="24"/>
  <c r="M77" i="24" s="1"/>
  <c r="L297" i="24"/>
  <c r="L377" i="24"/>
  <c r="L136" i="24"/>
  <c r="L640" i="24"/>
  <c r="L101" i="24"/>
  <c r="L284" i="24"/>
  <c r="L479" i="24"/>
  <c r="L33" i="24"/>
  <c r="M33" i="24" s="1"/>
  <c r="L622" i="24"/>
  <c r="L81" i="24"/>
  <c r="L59" i="24"/>
  <c r="L98" i="24"/>
  <c r="L187" i="24"/>
  <c r="L270" i="24"/>
  <c r="M270" i="24" s="1"/>
  <c r="L627" i="24"/>
  <c r="M627" i="24" s="1"/>
  <c r="L202" i="24"/>
  <c r="L518" i="24"/>
  <c r="L305" i="24"/>
  <c r="L728" i="24"/>
  <c r="L473" i="24"/>
  <c r="L605" i="24"/>
  <c r="L191" i="24"/>
  <c r="L286" i="24"/>
  <c r="L468" i="24"/>
  <c r="L628" i="24"/>
  <c r="L114" i="24"/>
  <c r="L324" i="24"/>
  <c r="L388" i="24"/>
  <c r="L421" i="24"/>
  <c r="L263" i="24"/>
  <c r="L341" i="24"/>
  <c r="L205" i="24"/>
  <c r="M205" i="24" s="1"/>
  <c r="L309" i="24"/>
  <c r="L366" i="24"/>
  <c r="L168" i="24"/>
  <c r="M168" i="24" s="1"/>
  <c r="L430" i="24"/>
  <c r="L649" i="24"/>
  <c r="L439" i="24"/>
  <c r="L438" i="24"/>
  <c r="L651" i="24"/>
  <c r="L749" i="24"/>
  <c r="L764" i="24"/>
  <c r="M764" i="24" s="1"/>
  <c r="L736" i="24"/>
  <c r="L354" i="24"/>
  <c r="M354" i="24" s="1"/>
  <c r="L509" i="24"/>
  <c r="L562" i="24"/>
  <c r="M562" i="24" s="1"/>
  <c r="L423" i="24"/>
  <c r="L678" i="24"/>
  <c r="M678" i="24" s="1"/>
  <c r="L533" i="24"/>
  <c r="L682" i="24"/>
  <c r="L448" i="24"/>
  <c r="L45" i="24"/>
  <c r="L753" i="24"/>
  <c r="L697" i="24"/>
  <c r="M697" i="24" s="1"/>
  <c r="L758" i="24"/>
  <c r="L218" i="24"/>
  <c r="L225" i="24"/>
  <c r="L639" i="24"/>
  <c r="L310" i="24"/>
  <c r="L303" i="24"/>
  <c r="L493" i="24"/>
  <c r="L47" i="24"/>
  <c r="L522" i="24"/>
  <c r="L108" i="24"/>
  <c r="L221" i="24"/>
  <c r="L319" i="24"/>
  <c r="L645" i="24"/>
  <c r="L523" i="24"/>
  <c r="M523" i="24" s="1"/>
  <c r="L271" i="24"/>
  <c r="M271" i="24" s="1"/>
  <c r="L374" i="24"/>
  <c r="L477" i="24"/>
  <c r="L200" i="24"/>
  <c r="L40" i="24"/>
  <c r="L689" i="24"/>
  <c r="L299" i="24"/>
  <c r="M299" i="24" s="1"/>
  <c r="L411" i="24"/>
  <c r="L52" i="24"/>
  <c r="L332" i="24"/>
  <c r="L154" i="24"/>
  <c r="L327" i="24"/>
  <c r="M327" i="24" s="1"/>
  <c r="L517" i="24"/>
  <c r="L570" i="24"/>
  <c r="M570" i="24" s="1"/>
  <c r="L441" i="24"/>
  <c r="L165" i="24"/>
  <c r="L93" i="24"/>
  <c r="L365" i="24"/>
  <c r="M365" i="24" s="1"/>
  <c r="L23" i="24"/>
  <c r="L291" i="24"/>
  <c r="L119" i="24"/>
  <c r="M119" i="24" s="1"/>
  <c r="L501" i="24"/>
  <c r="L660" i="24"/>
  <c r="L458" i="24"/>
  <c r="M458" i="24" s="1"/>
  <c r="L163" i="24"/>
  <c r="L716" i="24"/>
  <c r="L515" i="24"/>
  <c r="L617" i="24"/>
  <c r="M617" i="24" s="1"/>
  <c r="L561" i="24"/>
  <c r="L236" i="24"/>
  <c r="L681" i="24"/>
  <c r="L699" i="24"/>
  <c r="L747" i="24"/>
  <c r="L241" i="24"/>
  <c r="L588" i="24"/>
  <c r="L185" i="24"/>
  <c r="L317" i="24"/>
  <c r="L496" i="24"/>
  <c r="L293" i="24"/>
  <c r="L462" i="24"/>
  <c r="L145" i="24"/>
  <c r="L14" i="24"/>
  <c r="L687" i="24"/>
  <c r="L180" i="24"/>
  <c r="M180" i="24" s="1"/>
  <c r="L534" i="24"/>
  <c r="L632" i="24"/>
  <c r="L623" i="24"/>
  <c r="L50" i="24"/>
  <c r="L48" i="24"/>
  <c r="L604" i="24"/>
  <c r="M604" i="24" s="1"/>
  <c r="L347" i="24"/>
  <c r="M347" i="24" s="1"/>
  <c r="L608" i="24"/>
  <c r="L58" i="24"/>
  <c r="L283" i="24"/>
  <c r="M283" i="24" s="1"/>
  <c r="L362" i="24"/>
  <c r="L684" i="24"/>
  <c r="L467" i="24"/>
  <c r="L677" i="24"/>
  <c r="L698" i="24"/>
  <c r="L42" i="24"/>
  <c r="M42" i="24" s="1"/>
  <c r="L321" i="24"/>
  <c r="L226" i="24"/>
  <c r="L738" i="24"/>
  <c r="L745" i="24"/>
  <c r="L79" i="24"/>
  <c r="L642" i="24"/>
  <c r="L619" i="24"/>
  <c r="L95" i="24"/>
  <c r="M95" i="24" s="1"/>
  <c r="L127" i="24"/>
  <c r="L630" i="24"/>
  <c r="M630" i="24" s="1"/>
  <c r="L511" i="24"/>
  <c r="L724" i="24"/>
  <c r="L204" i="24"/>
  <c r="L122" i="24"/>
  <c r="L156" i="24"/>
  <c r="L741" i="24"/>
  <c r="L670" i="24"/>
  <c r="L244" i="24"/>
  <c r="M244" i="24" s="1"/>
  <c r="L456" i="24"/>
  <c r="L412" i="24"/>
  <c r="M412" i="24" s="1"/>
  <c r="L721" i="24"/>
  <c r="L173" i="24"/>
  <c r="L499" i="24"/>
  <c r="L541" i="24"/>
  <c r="M541" i="24" s="1"/>
  <c r="L20" i="24"/>
  <c r="L111" i="24"/>
  <c r="M111" i="24" s="1"/>
  <c r="L474" i="24"/>
  <c r="L655" i="24"/>
  <c r="L667" i="24"/>
  <c r="L61" i="24"/>
  <c r="L707" i="24"/>
  <c r="L338" i="24"/>
  <c r="L387" i="24"/>
  <c r="L618" i="24"/>
  <c r="M618" i="24" s="1"/>
  <c r="L671" i="24"/>
  <c r="L250" i="24"/>
  <c r="L64" i="24"/>
  <c r="L490" i="24"/>
  <c r="M490" i="24" s="1"/>
  <c r="L346" i="24"/>
  <c r="L752" i="24"/>
  <c r="M752" i="24" s="1"/>
  <c r="L659" i="24"/>
  <c r="L55" i="24"/>
  <c r="L668" i="24"/>
  <c r="L211" i="24"/>
  <c r="L510" i="24"/>
  <c r="M510" i="24" s="1"/>
  <c r="L508" i="24"/>
  <c r="M508" i="24" s="1"/>
  <c r="L188" i="24"/>
  <c r="L385" i="24"/>
  <c r="L550" i="24"/>
  <c r="L641" i="24"/>
  <c r="M641" i="24" s="1"/>
  <c r="L524" i="24"/>
  <c r="L278" i="24"/>
  <c r="L76" i="24"/>
  <c r="L325" i="24"/>
  <c r="L276" i="24"/>
  <c r="L560" i="24"/>
  <c r="M560" i="24" s="1"/>
  <c r="L192" i="24"/>
  <c r="M192" i="24" s="1"/>
  <c r="L209" i="24"/>
  <c r="L595" i="24"/>
  <c r="L82" i="24"/>
  <c r="M82" i="24" s="1"/>
  <c r="L544" i="24"/>
  <c r="L220" i="24"/>
  <c r="M220" i="24" s="1"/>
  <c r="L471" i="24"/>
  <c r="L692" i="24"/>
  <c r="M692" i="24" s="1"/>
  <c r="L126" i="24"/>
  <c r="L148" i="24"/>
  <c r="L103" i="24"/>
  <c r="L210" i="24"/>
  <c r="M210" i="24" s="1"/>
  <c r="L596" i="24"/>
  <c r="L657" i="24"/>
  <c r="L688" i="24"/>
  <c r="L414" i="24"/>
  <c r="M414" i="24" s="1"/>
  <c r="L669" i="24"/>
  <c r="L389" i="24"/>
  <c r="L404" i="24"/>
  <c r="L478" i="24"/>
  <c r="M478" i="24" s="1"/>
  <c r="L559" i="24"/>
  <c r="L216" i="24"/>
  <c r="L359" i="24"/>
  <c r="L102" i="24"/>
  <c r="L592" i="24"/>
  <c r="M592" i="24" s="1"/>
  <c r="L763" i="24"/>
  <c r="M763" i="24" s="1"/>
  <c r="L213" i="24"/>
  <c r="L546" i="24"/>
  <c r="M545" i="24" s="1"/>
  <c r="L635" i="24"/>
  <c r="L116" i="24"/>
  <c r="L586" i="24"/>
  <c r="L141" i="24"/>
  <c r="M141" i="24" s="1"/>
  <c r="L662" i="24"/>
  <c r="L301" i="24"/>
  <c r="M301" i="24" s="1"/>
  <c r="L449" i="24"/>
  <c r="L557" i="24"/>
  <c r="M557" i="24" s="1"/>
  <c r="L149" i="24"/>
  <c r="L505" i="24"/>
  <c r="L164" i="24"/>
  <c r="L237" i="24"/>
  <c r="L235" i="24"/>
  <c r="L315" i="24"/>
  <c r="L581" i="24"/>
  <c r="L39" i="24"/>
  <c r="L679" i="24"/>
  <c r="L602" i="24"/>
  <c r="L425" i="24"/>
  <c r="L701" i="24"/>
  <c r="L440" i="24"/>
  <c r="L262" i="24"/>
  <c r="M262" i="24" s="1"/>
  <c r="L91" i="24"/>
  <c r="L460" i="24"/>
  <c r="L756" i="24"/>
  <c r="L343" i="24"/>
  <c r="M343" i="24" s="1"/>
  <c r="L364" i="24"/>
  <c r="L480" i="24"/>
  <c r="L356" i="24"/>
  <c r="L726" i="24"/>
  <c r="L650" i="24"/>
  <c r="L591" i="24"/>
  <c r="L461" i="24"/>
  <c r="M461" i="24" s="1"/>
  <c r="L277" i="24"/>
  <c r="L67" i="24"/>
  <c r="L360" i="24"/>
  <c r="L672" i="24"/>
  <c r="L90" i="24"/>
  <c r="L37" i="24"/>
  <c r="L15" i="24"/>
  <c r="L636" i="24"/>
  <c r="L621" i="24"/>
  <c r="L335" i="24"/>
  <c r="L10" i="24"/>
  <c r="L282" i="24"/>
  <c r="L134" i="24"/>
  <c r="M134" i="24" s="1"/>
  <c r="L717" i="24"/>
  <c r="M717" i="24" s="1"/>
  <c r="L739" i="24"/>
  <c r="M739" i="24" s="1"/>
  <c r="L532" i="24"/>
  <c r="M532" i="24" s="1"/>
  <c r="L166" i="24"/>
  <c r="L30" i="24"/>
  <c r="L273" i="24"/>
  <c r="M273" i="24" s="1"/>
  <c r="L84" i="24"/>
  <c r="L358" i="24"/>
  <c r="M358" i="24" s="1"/>
  <c r="L253" i="24"/>
  <c r="L762" i="24"/>
  <c r="M762" i="24" s="1"/>
  <c r="L339" i="24"/>
  <c r="L110" i="24"/>
  <c r="M110" i="24" s="1"/>
  <c r="L545" i="24"/>
  <c r="L69" i="24"/>
  <c r="L331" i="24"/>
  <c r="L32" i="24"/>
  <c r="L495" i="24"/>
  <c r="M495" i="24" s="1"/>
  <c r="L574" i="24"/>
  <c r="M574" i="24" s="1"/>
  <c r="L337" i="24"/>
  <c r="L427" i="24"/>
  <c r="L512" i="24"/>
  <c r="L179" i="24"/>
  <c r="M179" i="24" s="1"/>
  <c r="L290" i="24"/>
  <c r="M290" i="24" s="1"/>
  <c r="L49" i="24"/>
  <c r="L379" i="24"/>
  <c r="L212" i="24"/>
  <c r="M212" i="24" s="1"/>
  <c r="L525" i="24"/>
  <c r="L594" i="24"/>
  <c r="L723" i="24"/>
  <c r="L370" i="24"/>
  <c r="L648" i="24"/>
  <c r="M648" i="24" s="1"/>
  <c r="L590" i="24"/>
  <c r="L25" i="24"/>
  <c r="L709" i="24"/>
  <c r="L334" i="24"/>
  <c r="M334" i="24" s="1"/>
  <c r="L125" i="24"/>
  <c r="M125" i="24" s="1"/>
  <c r="L742" i="24"/>
  <c r="M742" i="24" s="1"/>
  <c r="L53" i="24"/>
  <c r="M53" i="24" s="1"/>
  <c r="L737" i="24"/>
  <c r="L714" i="24"/>
  <c r="L556" i="24"/>
  <c r="L390" i="24"/>
  <c r="L750" i="24"/>
  <c r="L433" i="24"/>
  <c r="L491" i="24"/>
  <c r="L329" i="24"/>
  <c r="L647" i="24"/>
  <c r="L155" i="24"/>
  <c r="L75" i="24"/>
  <c r="M75" i="24" s="1"/>
  <c r="L552" i="24"/>
  <c r="L631" i="24"/>
  <c r="L239" i="24"/>
  <c r="L432" i="24"/>
  <c r="M432" i="24" s="1"/>
  <c r="L16" i="24"/>
  <c r="M16" i="24" s="1"/>
  <c r="L415" i="24"/>
  <c r="L624" i="24"/>
  <c r="M624" i="24" s="1"/>
  <c r="L175" i="24"/>
  <c r="L466" i="24"/>
  <c r="L757" i="24"/>
  <c r="L506" i="24"/>
  <c r="L258" i="24"/>
  <c r="L702" i="24"/>
  <c r="L137" i="24"/>
  <c r="L536" i="24"/>
  <c r="L29" i="24"/>
  <c r="L224" i="24"/>
  <c r="L626" i="24"/>
  <c r="M626" i="24" s="1"/>
  <c r="L577" i="24"/>
  <c r="L470" i="24"/>
  <c r="L419" i="24"/>
  <c r="L167" i="24"/>
  <c r="L8" i="24"/>
  <c r="L171" i="24"/>
  <c r="L673" i="24"/>
  <c r="M672" i="24" s="1"/>
  <c r="L435" i="24"/>
  <c r="L190" i="24"/>
  <c r="L587" i="24"/>
  <c r="L713" i="24"/>
  <c r="L530" i="24"/>
  <c r="L661" i="24"/>
  <c r="L576" i="24"/>
  <c r="L429" i="24"/>
  <c r="L21" i="24"/>
  <c r="L152" i="24"/>
  <c r="M152" i="24" s="1"/>
  <c r="L733" i="24"/>
  <c r="L457" i="24"/>
  <c r="L184" i="24"/>
  <c r="L326" i="24"/>
  <c r="L402" i="24"/>
  <c r="M402" i="24" s="1"/>
  <c r="L644" i="24"/>
  <c r="M644" i="24" s="1"/>
  <c r="L761" i="24"/>
  <c r="L304" i="24"/>
  <c r="L142" i="24"/>
  <c r="L367" i="24"/>
  <c r="L727" i="24"/>
  <c r="L13" i="24"/>
  <c r="L208" i="24"/>
  <c r="L308" i="24"/>
  <c r="L178" i="24"/>
  <c r="L700" i="24"/>
  <c r="L428" i="24"/>
  <c r="L554" i="24"/>
  <c r="M554" i="24" s="1"/>
  <c r="L63" i="24"/>
  <c r="M63" i="24" s="1"/>
  <c r="L409" i="24"/>
  <c r="L19" i="24"/>
  <c r="M19" i="24" s="1"/>
  <c r="L393" i="24"/>
  <c r="M393" i="24" s="1"/>
  <c r="L138" i="24"/>
  <c r="L150" i="24"/>
  <c r="L223" i="24"/>
  <c r="L151" i="24"/>
  <c r="M151" i="24" s="1"/>
  <c r="L267" i="24"/>
  <c r="L539" i="24"/>
  <c r="L174" i="24"/>
  <c r="M174" i="24" s="1"/>
  <c r="L229" i="24"/>
  <c r="L405" i="24"/>
  <c r="L330" i="24"/>
  <c r="M330" i="24" s="1"/>
  <c r="L313" i="24"/>
  <c r="L97" i="24"/>
  <c r="L504" i="24"/>
  <c r="M504" i="24" s="1"/>
  <c r="L658" i="24"/>
  <c r="M658" i="24" s="1"/>
  <c r="L193" i="24"/>
  <c r="M193" i="24" s="1"/>
  <c r="L368" i="24"/>
  <c r="L580" i="24"/>
  <c r="L17" i="24"/>
  <c r="L703" i="24"/>
  <c r="M703" i="24" s="1"/>
  <c r="L489" i="24"/>
  <c r="L497" i="24"/>
  <c r="L383" i="24"/>
  <c r="L243" i="24"/>
  <c r="L328" i="24"/>
  <c r="L472" i="24"/>
  <c r="L104" i="24"/>
  <c r="M104" i="24" s="1"/>
  <c r="L413" i="24"/>
  <c r="L494" i="24"/>
  <c r="M494" i="24" s="1"/>
  <c r="L584" i="24"/>
  <c r="L492" i="24"/>
  <c r="L706" i="24"/>
  <c r="M706" i="24" s="1"/>
  <c r="L729" i="24"/>
  <c r="M729" i="24" s="1"/>
  <c r="L254" i="24"/>
  <c r="L222" i="24"/>
  <c r="L78" i="24"/>
  <c r="L318" i="24"/>
  <c r="L637" i="24"/>
  <c r="L566" i="24"/>
  <c r="L41" i="24"/>
  <c r="L160" i="24"/>
  <c r="L407" i="24"/>
  <c r="L203" i="24"/>
  <c r="L123" i="24"/>
  <c r="L128" i="24"/>
  <c r="L744" i="24"/>
  <c r="L406" i="24"/>
  <c r="L186" i="24"/>
  <c r="M186" i="24" s="1"/>
  <c r="L322" i="24"/>
  <c r="L731" i="24"/>
  <c r="M731" i="24" s="1"/>
  <c r="L177" i="24"/>
  <c r="M177" i="24" s="1"/>
  <c r="L348" i="24"/>
  <c r="L663" i="24"/>
  <c r="M663" i="24" s="1"/>
  <c r="L664" i="24"/>
  <c r="L35" i="24"/>
  <c r="L227" i="24"/>
  <c r="L372" i="24"/>
  <c r="L616" i="24"/>
  <c r="L298" i="24"/>
  <c r="L484" i="24"/>
  <c r="L34" i="24"/>
  <c r="L228" i="24"/>
  <c r="L311" i="24"/>
  <c r="M311" i="24" s="1"/>
  <c r="L232" i="24"/>
  <c r="L481" i="24"/>
  <c r="M481" i="24" s="1"/>
  <c r="L66" i="24"/>
  <c r="M66" i="24" s="1"/>
  <c r="L71" i="24"/>
  <c r="L502" i="24"/>
  <c r="L754" i="24"/>
  <c r="M754" i="24" s="1"/>
  <c r="L755" i="24"/>
  <c r="M755" i="24" s="1"/>
  <c r="L260" i="24"/>
  <c r="L373" i="24"/>
  <c r="L475" i="24"/>
  <c r="L597" i="24"/>
  <c r="L73" i="24"/>
  <c r="L585" i="24"/>
  <c r="L170" i="24"/>
  <c r="L503" i="24"/>
  <c r="L614" i="24"/>
  <c r="L418" i="24"/>
  <c r="L735" i="24"/>
  <c r="L529" i="24"/>
  <c r="L92" i="24"/>
  <c r="M92" i="24" s="1"/>
  <c r="L268" i="24"/>
  <c r="L666" i="24"/>
  <c r="M666" i="24" s="1"/>
  <c r="L601" i="24"/>
  <c r="M601" i="24" s="1"/>
  <c r="L443" i="24"/>
  <c r="M443" i="24" s="1"/>
  <c r="L746" i="24"/>
  <c r="L553" i="24"/>
  <c r="M553" i="24" s="1"/>
  <c r="L538" i="24"/>
  <c r="L450" i="24"/>
  <c r="M450" i="24" s="1"/>
  <c r="L711" i="24"/>
  <c r="L285" i="24"/>
  <c r="L31" i="24"/>
  <c r="L351" i="24"/>
  <c r="M351" i="24" s="1"/>
  <c r="L350" i="24"/>
  <c r="L345" i="24"/>
  <c r="M345" i="24" s="1"/>
  <c r="L629" i="24"/>
  <c r="L551" i="24"/>
  <c r="L646" i="24"/>
  <c r="L386" i="24"/>
  <c r="M386" i="24" s="1"/>
  <c r="L483" i="24"/>
  <c r="L720" i="24"/>
  <c r="M720" i="24" s="1"/>
  <c r="L287" i="24"/>
  <c r="L572" i="24"/>
  <c r="L548" i="24"/>
  <c r="L555" i="24"/>
  <c r="M555" i="24" s="1"/>
  <c r="L568" i="24"/>
  <c r="L528" i="24"/>
  <c r="L238" i="24"/>
  <c r="L280" i="24"/>
  <c r="M280" i="24" s="1"/>
  <c r="L143" i="24"/>
  <c r="M143" i="24" s="1"/>
  <c r="L259" i="24"/>
  <c r="M259" i="24" s="1"/>
  <c r="L27" i="24"/>
  <c r="L683" i="24"/>
  <c r="L424" i="24"/>
  <c r="L514" i="24"/>
  <c r="M514" i="24" s="1"/>
  <c r="L296" i="24"/>
  <c r="L320" i="24"/>
  <c r="M320" i="24" s="1"/>
  <c r="L686" i="24"/>
  <c r="L613" i="24"/>
  <c r="L279" i="24"/>
  <c r="L336" i="24"/>
  <c r="L133" i="24"/>
  <c r="L9" i="24"/>
  <c r="M9" i="24" s="1"/>
  <c r="L498" i="24"/>
  <c r="L255" i="24"/>
  <c r="L422" i="24"/>
  <c r="L198" i="24"/>
  <c r="M198" i="24" s="1"/>
  <c r="L549" i="24"/>
  <c r="L615" i="24"/>
  <c r="L256" i="24"/>
  <c r="L486" i="24"/>
  <c r="L248" i="24"/>
  <c r="L452" i="24"/>
  <c r="L600" i="24"/>
  <c r="L46" i="24"/>
  <c r="M46" i="24" s="1"/>
  <c r="L384" i="24"/>
  <c r="L11" i="24"/>
  <c r="M11" i="24" s="1"/>
  <c r="L38" i="24"/>
  <c r="M38" i="24" s="1"/>
  <c r="L722" i="24"/>
  <c r="L654" i="24"/>
  <c r="L196" i="24"/>
  <c r="L182" i="24"/>
  <c r="L340" i="24"/>
  <c r="L265" i="24"/>
  <c r="L734" i="24"/>
  <c r="M734" i="24" s="1"/>
  <c r="L705" i="24"/>
  <c r="L357" i="24"/>
  <c r="M357" i="24" s="1"/>
  <c r="L314" i="24"/>
  <c r="L158" i="24"/>
  <c r="L396" i="24"/>
  <c r="M396" i="24" s="1"/>
  <c r="L398" i="24"/>
  <c r="L620" i="24"/>
  <c r="L516" i="24"/>
  <c r="L593" i="24"/>
  <c r="L369" i="24"/>
  <c r="M369" i="24" s="1"/>
  <c r="L60" i="24"/>
  <c r="M60" i="24" s="1"/>
  <c r="L507" i="24"/>
  <c r="L606" i="24"/>
  <c r="M606" i="24" s="1"/>
  <c r="L540" i="24"/>
  <c r="L454" i="24"/>
  <c r="L117" i="24"/>
  <c r="L22" i="24"/>
  <c r="L89" i="24"/>
  <c r="L417" i="24"/>
  <c r="L233" i="24"/>
  <c r="L363" i="24"/>
  <c r="L685" i="24"/>
  <c r="M685" i="24" s="1"/>
  <c r="L543" i="24"/>
  <c r="M543" i="24" s="1"/>
  <c r="L189" i="24"/>
  <c r="M189" i="24" s="1"/>
  <c r="L161" i="24"/>
  <c r="M161" i="24" s="1"/>
  <c r="L487" i="24"/>
  <c r="M487" i="24" s="1"/>
  <c r="L100" i="24"/>
  <c r="L247" i="24"/>
  <c r="L109" i="24"/>
  <c r="M109" i="24" s="1"/>
  <c r="L214" i="24"/>
  <c r="M214" i="24" s="1"/>
  <c r="L715" i="24"/>
  <c r="M715" i="24" s="1"/>
  <c r="L719" i="24"/>
  <c r="L162" i="24"/>
  <c r="M162" i="24" s="1"/>
  <c r="L43" i="24"/>
  <c r="M43" i="24" s="1"/>
  <c r="L643" i="24"/>
  <c r="M643" i="24" s="1"/>
  <c r="L573" i="24"/>
  <c r="L691" i="24"/>
  <c r="L464" i="24"/>
  <c r="M464" i="24" s="1"/>
  <c r="L453" i="24"/>
  <c r="L83" i="24"/>
  <c r="L217" i="24"/>
  <c r="L436" i="24"/>
  <c r="M436" i="24" s="1"/>
  <c r="L391" i="24"/>
  <c r="L242" i="24"/>
  <c r="L730" i="24"/>
  <c r="L240" i="24"/>
  <c r="L18" i="24"/>
  <c r="L712" i="24"/>
  <c r="L183" i="24"/>
  <c r="L609" i="24"/>
  <c r="M609" i="24" s="1"/>
  <c r="L295" i="24"/>
  <c r="L281" i="24"/>
  <c r="L94" i="24"/>
  <c r="L80" i="24"/>
  <c r="L106" i="24"/>
  <c r="L434" i="24"/>
  <c r="L547" i="24"/>
  <c r="L459" i="24"/>
  <c r="L7" i="24"/>
  <c r="L361" i="24"/>
  <c r="L135" i="24"/>
  <c r="L442" i="24"/>
  <c r="L565" i="24"/>
  <c r="L288" i="24"/>
  <c r="M288" i="24" s="1"/>
  <c r="L353" i="24"/>
  <c r="L395" i="24"/>
  <c r="L349" i="24"/>
  <c r="M349" i="24" s="1"/>
  <c r="L294" i="24"/>
  <c r="M294" i="24" s="1"/>
  <c r="L140" i="24"/>
  <c r="L57" i="24"/>
  <c r="M57" i="24" s="1"/>
  <c r="L638" i="24"/>
  <c r="L129" i="24"/>
  <c r="L132" i="24"/>
  <c r="L610" i="24"/>
  <c r="M610" i="24" s="1"/>
  <c r="L68" i="24"/>
  <c r="L392" i="24"/>
  <c r="L674" i="24"/>
  <c r="M674" i="24" s="1"/>
  <c r="L333" i="24"/>
  <c r="L219" i="24"/>
  <c r="L24" i="24"/>
  <c r="C20" i="88"/>
  <c r="I11" i="88"/>
  <c r="I39" i="88" s="1"/>
  <c r="B7" i="3"/>
  <c r="E25" i="88"/>
  <c r="E45" i="88" s="1"/>
  <c r="D43" i="7"/>
  <c r="J21" i="78"/>
  <c r="D4" i="7"/>
  <c r="D21" i="7" s="1"/>
  <c r="F58" i="6"/>
  <c r="C8" i="78"/>
  <c r="C80" i="87" s="1"/>
  <c r="B60" i="19"/>
  <c r="K16" i="79"/>
  <c r="D53" i="6"/>
  <c r="G61" i="6"/>
  <c r="K19" i="81"/>
  <c r="K24" i="81" s="1"/>
  <c r="B11" i="19"/>
  <c r="J27" i="88"/>
  <c r="M11" i="3"/>
  <c r="F59" i="6"/>
  <c r="K24" i="79"/>
  <c r="L19" i="81"/>
  <c r="L24" i="81" s="1"/>
  <c r="E4" i="6"/>
  <c r="I8" i="78"/>
  <c r="G19" i="81"/>
  <c r="G24" i="81" s="1"/>
  <c r="H25" i="7"/>
  <c r="G7" i="7"/>
  <c r="G30" i="7" s="1"/>
  <c r="F19" i="88"/>
  <c r="G34" i="17"/>
  <c r="C34" i="17"/>
  <c r="D34" i="17"/>
  <c r="K34" i="17"/>
  <c r="F34" i="17"/>
  <c r="J34" i="17"/>
  <c r="E34" i="17"/>
  <c r="I34" i="17"/>
  <c r="B34" i="17"/>
  <c r="H34" i="17"/>
  <c r="I21" i="80"/>
  <c r="I20" i="88"/>
  <c r="E34" i="6"/>
  <c r="E36" i="6" s="1"/>
  <c r="E47" i="19"/>
  <c r="L47" i="19"/>
  <c r="G47" i="19"/>
  <c r="F47" i="19"/>
  <c r="H47" i="19"/>
  <c r="J47" i="19"/>
  <c r="C47" i="19"/>
  <c r="I47" i="19"/>
  <c r="D47" i="19"/>
  <c r="K47" i="19"/>
  <c r="E11" i="88"/>
  <c r="E39" i="88" s="1"/>
  <c r="F11" i="88"/>
  <c r="F39" i="88" s="1"/>
  <c r="H24" i="88"/>
  <c r="H44" i="88" s="1"/>
  <c r="H10" i="88"/>
  <c r="H38" i="88" s="1"/>
  <c r="G26" i="6"/>
  <c r="F21" i="82"/>
  <c r="F13" i="88"/>
  <c r="C4" i="6"/>
  <c r="D10" i="82"/>
  <c r="F50" i="6"/>
  <c r="G29" i="17"/>
  <c r="J29" i="17"/>
  <c r="I29" i="17"/>
  <c r="D29" i="17"/>
  <c r="B29" i="17"/>
  <c r="K29" i="17"/>
  <c r="H29" i="17"/>
  <c r="F93" i="34" s="1"/>
  <c r="F13" i="38" s="1"/>
  <c r="F29" i="17"/>
  <c r="E29" i="17"/>
  <c r="C29" i="17"/>
  <c r="D18" i="13"/>
  <c r="E18" i="13"/>
  <c r="I18" i="13"/>
  <c r="H18" i="13"/>
  <c r="J18" i="13"/>
  <c r="F18" i="13"/>
  <c r="G18" i="13"/>
  <c r="C18" i="13"/>
  <c r="B18" i="13"/>
  <c r="I15" i="82"/>
  <c r="L10" i="82"/>
  <c r="I10" i="78"/>
  <c r="H7" i="7"/>
  <c r="H30" i="7" s="1"/>
  <c r="G23" i="88"/>
  <c r="B42" i="19"/>
  <c r="B43" i="34" s="1"/>
  <c r="C10" i="86"/>
  <c r="H24" i="80"/>
  <c r="E15" i="6"/>
  <c r="I71" i="17"/>
  <c r="E71" i="17"/>
  <c r="G71" i="17"/>
  <c r="C71" i="17"/>
  <c r="D71" i="17"/>
  <c r="J71" i="17"/>
  <c r="H71" i="17"/>
  <c r="B71" i="17"/>
  <c r="F71" i="17"/>
  <c r="K71" i="17"/>
  <c r="F9" i="3"/>
  <c r="F19" i="3" s="1"/>
  <c r="C16" i="78"/>
  <c r="E24" i="78"/>
  <c r="C25" i="6"/>
  <c r="J19" i="84"/>
  <c r="J24" i="84" s="1"/>
  <c r="F23" i="7"/>
  <c r="K16" i="82"/>
  <c r="E12" i="6"/>
  <c r="D37" i="6"/>
  <c r="J76" i="13"/>
  <c r="E76" i="13"/>
  <c r="E77" i="13" s="1"/>
  <c r="F76" i="13"/>
  <c r="G76" i="13"/>
  <c r="G77" i="13" s="1"/>
  <c r="I76" i="13"/>
  <c r="B76" i="13"/>
  <c r="B77" i="13" s="1"/>
  <c r="H76" i="13"/>
  <c r="D76" i="13"/>
  <c r="D77" i="13" s="1"/>
  <c r="D90" i="13" s="1"/>
  <c r="C76" i="13"/>
  <c r="K37" i="40"/>
  <c r="C33" i="17"/>
  <c r="K33" i="17"/>
  <c r="E33" i="17"/>
  <c r="D33" i="17"/>
  <c r="J33" i="17"/>
  <c r="B33" i="17"/>
  <c r="I33" i="17"/>
  <c r="H33" i="17"/>
  <c r="G33" i="17"/>
  <c r="F33" i="17"/>
  <c r="E10" i="80"/>
  <c r="C28" i="88"/>
  <c r="D57" i="6"/>
  <c r="D5" i="7" s="1"/>
  <c r="I8" i="80"/>
  <c r="L59" i="19"/>
  <c r="C59" i="19"/>
  <c r="E59" i="19"/>
  <c r="I59" i="19"/>
  <c r="F59" i="19"/>
  <c r="D59" i="19"/>
  <c r="H59" i="19"/>
  <c r="K59" i="19"/>
  <c r="J59" i="19"/>
  <c r="G59" i="19"/>
  <c r="H31" i="88"/>
  <c r="E25" i="6"/>
  <c r="C14" i="7"/>
  <c r="N5" i="3"/>
  <c r="C34" i="6"/>
  <c r="E8" i="40"/>
  <c r="E49" i="6"/>
  <c r="F54" i="6"/>
  <c r="I52" i="17"/>
  <c r="E52" i="17"/>
  <c r="K52" i="17"/>
  <c r="G52" i="17"/>
  <c r="J52" i="17"/>
  <c r="H52" i="17"/>
  <c r="B52" i="17"/>
  <c r="D52" i="17"/>
  <c r="F52" i="17"/>
  <c r="C52" i="17"/>
  <c r="D50" i="6"/>
  <c r="I24" i="88"/>
  <c r="I44" i="88" s="1"/>
  <c r="G32" i="88"/>
  <c r="D13" i="88"/>
  <c r="I19" i="81"/>
  <c r="I24" i="81" s="1"/>
  <c r="B62" i="19"/>
  <c r="J19" i="86"/>
  <c r="J24" i="86" s="1"/>
  <c r="B8" i="40"/>
  <c r="B37" i="40" s="1"/>
  <c r="E8" i="80"/>
  <c r="K19" i="83"/>
  <c r="K24" i="83" s="1"/>
  <c r="G61" i="17"/>
  <c r="J61" i="17"/>
  <c r="C61" i="17"/>
  <c r="D61" i="17"/>
  <c r="H61" i="17"/>
  <c r="I61" i="17"/>
  <c r="K61" i="17"/>
  <c r="B61" i="17"/>
  <c r="E61" i="17"/>
  <c r="F61" i="17"/>
  <c r="C16" i="82"/>
  <c r="F18" i="88"/>
  <c r="J24" i="80"/>
  <c r="F83" i="17"/>
  <c r="I83" i="17"/>
  <c r="G83" i="17"/>
  <c r="C83" i="17"/>
  <c r="B83" i="17"/>
  <c r="D83" i="17"/>
  <c r="K83" i="17"/>
  <c r="J83" i="17"/>
  <c r="H83" i="17"/>
  <c r="E83" i="17"/>
  <c r="B46" i="17"/>
  <c r="E46" i="17"/>
  <c r="G46" i="17"/>
  <c r="J46" i="17"/>
  <c r="I46" i="17"/>
  <c r="K46" i="17"/>
  <c r="C46" i="17"/>
  <c r="F46" i="17"/>
  <c r="D46" i="17"/>
  <c r="H46" i="17"/>
  <c r="G84" i="7"/>
  <c r="J8" i="82"/>
  <c r="E57" i="6"/>
  <c r="E5" i="7" s="1"/>
  <c r="J51" i="17"/>
  <c r="K51" i="17"/>
  <c r="I51" i="17"/>
  <c r="H51" i="17"/>
  <c r="D51" i="17"/>
  <c r="F51" i="17"/>
  <c r="C51" i="17"/>
  <c r="G51" i="17"/>
  <c r="E51" i="17"/>
  <c r="B51" i="17"/>
  <c r="A38" i="1"/>
  <c r="L30" i="88"/>
  <c r="H43" i="6"/>
  <c r="F8" i="6"/>
  <c r="B5" i="19"/>
  <c r="K13" i="88"/>
  <c r="J91" i="17"/>
  <c r="E91" i="17"/>
  <c r="K91" i="17"/>
  <c r="F91" i="17"/>
  <c r="H91" i="17"/>
  <c r="G91" i="17"/>
  <c r="D91" i="17"/>
  <c r="I91" i="17"/>
  <c r="B91" i="17"/>
  <c r="C91" i="17"/>
  <c r="D8" i="7"/>
  <c r="C33" i="88"/>
  <c r="F15" i="82"/>
  <c r="D21" i="79"/>
  <c r="H15" i="80"/>
  <c r="D13" i="6"/>
  <c r="K11" i="88"/>
  <c r="K39" i="88" s="1"/>
  <c r="J26" i="88"/>
  <c r="J46" i="88" s="1"/>
  <c r="A27" i="13"/>
  <c r="J9" i="88"/>
  <c r="L11" i="88"/>
  <c r="L39" i="88" s="1"/>
  <c r="I12" i="82"/>
  <c r="D15" i="6"/>
  <c r="M6" i="3"/>
  <c r="D49" i="6"/>
  <c r="G10" i="80"/>
  <c r="F8" i="80"/>
  <c r="G19" i="86"/>
  <c r="G24" i="86" s="1"/>
  <c r="F21" i="79"/>
  <c r="G5" i="32"/>
  <c r="C43" i="7"/>
  <c r="J11" i="3"/>
  <c r="F15" i="79"/>
  <c r="E33" i="7"/>
  <c r="E72" i="7" s="1"/>
  <c r="A163" i="13"/>
  <c r="C25" i="88"/>
  <c r="C45" i="88" s="1"/>
  <c r="E48" i="19"/>
  <c r="J48" i="19"/>
  <c r="H48" i="19"/>
  <c r="C48" i="19"/>
  <c r="I48" i="19"/>
  <c r="D48" i="19"/>
  <c r="G48" i="19"/>
  <c r="L48" i="19"/>
  <c r="F48" i="19"/>
  <c r="K48" i="19"/>
  <c r="I49" i="19"/>
  <c r="H49" i="19"/>
  <c r="J49" i="19"/>
  <c r="K49" i="19"/>
  <c r="D49" i="19"/>
  <c r="L49" i="19"/>
  <c r="E49" i="19"/>
  <c r="C49" i="19"/>
  <c r="F49" i="19"/>
  <c r="G49" i="19"/>
  <c r="G60" i="6"/>
  <c r="F28" i="88"/>
  <c r="C53" i="19"/>
  <c r="K53" i="19"/>
  <c r="G53" i="19"/>
  <c r="I53" i="19"/>
  <c r="J53" i="19"/>
  <c r="H53" i="19"/>
  <c r="F53" i="19"/>
  <c r="E53" i="19"/>
  <c r="D53" i="19"/>
  <c r="L53" i="19"/>
  <c r="D16" i="82"/>
  <c r="G47" i="6"/>
  <c r="I75" i="17"/>
  <c r="D75" i="17"/>
  <c r="B75" i="17"/>
  <c r="E75" i="17"/>
  <c r="F75" i="17"/>
  <c r="J75" i="17"/>
  <c r="K75" i="17"/>
  <c r="C75" i="17"/>
  <c r="H75" i="17"/>
  <c r="G75" i="17"/>
  <c r="C31" i="88"/>
  <c r="E10" i="78"/>
  <c r="A147" i="13"/>
  <c r="A86" i="13" s="1"/>
  <c r="A67" i="13"/>
  <c r="H132" i="13"/>
  <c r="C132" i="13"/>
  <c r="J132" i="13"/>
  <c r="E132" i="13"/>
  <c r="F132" i="13"/>
  <c r="D132" i="13"/>
  <c r="G132" i="13"/>
  <c r="I132" i="13"/>
  <c r="B132" i="13"/>
  <c r="K19" i="86"/>
  <c r="K24" i="86" s="1"/>
  <c r="E19" i="83"/>
  <c r="E24" i="83" s="1"/>
  <c r="E39" i="17"/>
  <c r="G39" i="17"/>
  <c r="D39" i="17"/>
  <c r="F39" i="17"/>
  <c r="K39" i="17"/>
  <c r="B39" i="17"/>
  <c r="J39" i="17"/>
  <c r="I39" i="17"/>
  <c r="C39" i="17"/>
  <c r="H39" i="17"/>
  <c r="I15" i="78"/>
  <c r="L9" i="88"/>
  <c r="E31" i="88"/>
  <c r="J106" i="13"/>
  <c r="B106" i="13"/>
  <c r="C106" i="13"/>
  <c r="F106" i="13"/>
  <c r="I106" i="13"/>
  <c r="D106" i="13"/>
  <c r="G106" i="13"/>
  <c r="E106" i="13"/>
  <c r="H106" i="13"/>
  <c r="L15" i="80"/>
  <c r="D15" i="80"/>
  <c r="D12" i="80"/>
  <c r="M37" i="40"/>
  <c r="H25" i="88"/>
  <c r="H45" i="88" s="1"/>
  <c r="H15" i="79"/>
  <c r="E12" i="80"/>
  <c r="H84" i="7"/>
  <c r="L8" i="79"/>
  <c r="A140" i="13"/>
  <c r="I21" i="78"/>
  <c r="H27" i="88"/>
  <c r="L16" i="79"/>
  <c r="H10" i="82"/>
  <c r="H51" i="6"/>
  <c r="E43" i="7"/>
  <c r="E26" i="6"/>
  <c r="F49" i="6"/>
  <c r="G46" i="6"/>
  <c r="E60" i="6"/>
  <c r="E47" i="6"/>
  <c r="B5" i="17"/>
  <c r="C24" i="88"/>
  <c r="C44" i="88" s="1"/>
  <c r="J19" i="83"/>
  <c r="J24" i="83" s="1"/>
  <c r="N10" i="3"/>
  <c r="N20" i="3" s="1"/>
  <c r="D24" i="78"/>
  <c r="E19" i="88"/>
  <c r="G5" i="6"/>
  <c r="E21" i="78"/>
  <c r="D10" i="3"/>
  <c r="H12" i="82"/>
  <c r="I222" i="13"/>
  <c r="C222" i="13"/>
  <c r="B222" i="13"/>
  <c r="J222" i="13"/>
  <c r="G222" i="13"/>
  <c r="D222" i="13"/>
  <c r="H222" i="13"/>
  <c r="F222" i="13"/>
  <c r="E222" i="13"/>
  <c r="C15" i="78"/>
  <c r="A31" i="13"/>
  <c r="A75" i="13" s="1"/>
  <c r="G33" i="7"/>
  <c r="G72" i="7" s="1"/>
  <c r="H52" i="6"/>
  <c r="F48" i="7"/>
  <c r="K19" i="84"/>
  <c r="K24" i="84" s="1"/>
  <c r="K31" i="17"/>
  <c r="L27" i="20" s="1"/>
  <c r="G31" i="17"/>
  <c r="H27" i="20" s="1"/>
  <c r="I31" i="17"/>
  <c r="J27" i="20" s="1"/>
  <c r="D31" i="17"/>
  <c r="E27" i="20" s="1"/>
  <c r="B31" i="17"/>
  <c r="C27" i="20" s="1"/>
  <c r="J31" i="17"/>
  <c r="K27" i="20" s="1"/>
  <c r="H31" i="17"/>
  <c r="F31" i="17"/>
  <c r="G27" i="20" s="1"/>
  <c r="C31" i="17"/>
  <c r="D27" i="20" s="1"/>
  <c r="E31" i="17"/>
  <c r="F27" i="20" s="1"/>
  <c r="G10" i="3"/>
  <c r="G20" i="3" s="1"/>
  <c r="C24" i="80"/>
  <c r="E16" i="78"/>
  <c r="J5" i="3"/>
  <c r="M9" i="3"/>
  <c r="M19" i="3" s="1"/>
  <c r="G20" i="6"/>
  <c r="E55" i="6"/>
  <c r="D23" i="17"/>
  <c r="H23" i="17"/>
  <c r="K23" i="17"/>
  <c r="F23" i="17"/>
  <c r="I23" i="17"/>
  <c r="G23" i="17"/>
  <c r="E23" i="17"/>
  <c r="C23" i="17"/>
  <c r="B23" i="17"/>
  <c r="J23" i="17"/>
  <c r="G40" i="6"/>
  <c r="B41" i="34"/>
  <c r="F19" i="17"/>
  <c r="K19" i="17"/>
  <c r="D19" i="17"/>
  <c r="G19" i="17"/>
  <c r="G248" i="13" s="1"/>
  <c r="H19" i="17"/>
  <c r="C19" i="17"/>
  <c r="I19" i="17"/>
  <c r="E19" i="17"/>
  <c r="B19" i="17"/>
  <c r="J19" i="17"/>
  <c r="E28" i="6"/>
  <c r="I207" i="13"/>
  <c r="I255" i="13" s="1"/>
  <c r="F207" i="13"/>
  <c r="F255" i="13" s="1"/>
  <c r="D207" i="13"/>
  <c r="D255" i="13" s="1"/>
  <c r="J207" i="13"/>
  <c r="G207" i="13"/>
  <c r="G255" i="13" s="1"/>
  <c r="E207" i="13"/>
  <c r="E255" i="13" s="1"/>
  <c r="C207" i="13"/>
  <c r="C255" i="13" s="1"/>
  <c r="H207" i="13"/>
  <c r="H255" i="13" s="1"/>
  <c r="B207" i="13"/>
  <c r="B255" i="13" s="1"/>
  <c r="H21" i="78"/>
  <c r="F25" i="7"/>
  <c r="C10" i="82"/>
  <c r="E10" i="82"/>
  <c r="F15" i="78"/>
  <c r="E30" i="88"/>
  <c r="F4" i="6"/>
  <c r="F43" i="7"/>
  <c r="H12" i="80"/>
  <c r="L17" i="88"/>
  <c r="E43" i="6"/>
  <c r="B19" i="39"/>
  <c r="D7" i="7"/>
  <c r="D30" i="7" s="1"/>
  <c r="D12" i="88"/>
  <c r="D40" i="88" s="1"/>
  <c r="G25" i="19"/>
  <c r="H25" i="19"/>
  <c r="E25" i="19"/>
  <c r="J25" i="19"/>
  <c r="C25" i="19"/>
  <c r="K25" i="19"/>
  <c r="I25" i="19"/>
  <c r="L25" i="19"/>
  <c r="F25" i="19"/>
  <c r="D25" i="19"/>
  <c r="D23" i="7"/>
  <c r="B23" i="7" s="1"/>
  <c r="C8" i="79"/>
  <c r="F29" i="6"/>
  <c r="K18" i="88"/>
  <c r="D190" i="13"/>
  <c r="J190" i="13"/>
  <c r="H190" i="13"/>
  <c r="C190" i="13"/>
  <c r="G190" i="13"/>
  <c r="I190" i="13"/>
  <c r="F190" i="13"/>
  <c r="E190" i="13"/>
  <c r="B190" i="13"/>
  <c r="G8" i="6"/>
  <c r="A81" i="1"/>
  <c r="I17" i="19"/>
  <c r="L17" i="19"/>
  <c r="F17" i="19"/>
  <c r="F13" i="22" s="1"/>
  <c r="H17" i="19"/>
  <c r="E17" i="19"/>
  <c r="E13" i="22" s="1"/>
  <c r="C17" i="19"/>
  <c r="N6" i="26" s="1"/>
  <c r="G17" i="19"/>
  <c r="H39" i="34" s="1"/>
  <c r="D17" i="19"/>
  <c r="J17" i="19"/>
  <c r="K17" i="19"/>
  <c r="G10" i="88"/>
  <c r="G38" i="88" s="1"/>
  <c r="H10" i="78"/>
  <c r="B17" i="13"/>
  <c r="G17" i="13"/>
  <c r="J17" i="13"/>
  <c r="F17" i="13"/>
  <c r="I17" i="13"/>
  <c r="D17" i="13"/>
  <c r="C17" i="13"/>
  <c r="H17" i="13"/>
  <c r="E17" i="13"/>
  <c r="D42" i="7"/>
  <c r="B53" i="19"/>
  <c r="B58" i="34" s="1"/>
  <c r="E15" i="3"/>
  <c r="B5" i="73" s="1"/>
  <c r="F24" i="7"/>
  <c r="A14" i="1"/>
  <c r="B6" i="17"/>
  <c r="C44" i="91" s="1"/>
  <c r="A45" i="13"/>
  <c r="A46" i="13" s="1"/>
  <c r="O11" i="3"/>
  <c r="H26" i="6"/>
  <c r="G27" i="88"/>
  <c r="D19" i="83"/>
  <c r="D24" i="83" s="1"/>
  <c r="E25" i="7"/>
  <c r="G35" i="19"/>
  <c r="E35" i="19"/>
  <c r="L35" i="19"/>
  <c r="J35" i="19"/>
  <c r="I35" i="19"/>
  <c r="F35" i="19"/>
  <c r="C35" i="19"/>
  <c r="H35" i="19"/>
  <c r="D35" i="19"/>
  <c r="K35" i="19"/>
  <c r="G23" i="7"/>
  <c r="C165" i="13"/>
  <c r="F165" i="13"/>
  <c r="D165" i="13"/>
  <c r="I165" i="13"/>
  <c r="G165" i="13"/>
  <c r="B165" i="13"/>
  <c r="H165" i="13"/>
  <c r="E165" i="13"/>
  <c r="J165" i="13"/>
  <c r="J11" i="19"/>
  <c r="K11" i="19"/>
  <c r="E11" i="19"/>
  <c r="D11" i="19"/>
  <c r="G11" i="19"/>
  <c r="F11" i="19"/>
  <c r="I11" i="19"/>
  <c r="C11" i="19"/>
  <c r="H11" i="19"/>
  <c r="L11" i="19"/>
  <c r="D10" i="78"/>
  <c r="E15" i="80"/>
  <c r="I12" i="88"/>
  <c r="I40" i="88" s="1"/>
  <c r="B11" i="3"/>
  <c r="E24" i="6"/>
  <c r="H12" i="6"/>
  <c r="J69" i="17"/>
  <c r="G69" i="17"/>
  <c r="F69" i="17"/>
  <c r="E69" i="17"/>
  <c r="H69" i="17"/>
  <c r="I69" i="17"/>
  <c r="K69" i="17"/>
  <c r="D69" i="17"/>
  <c r="B69" i="17"/>
  <c r="C69" i="17"/>
  <c r="D12" i="79"/>
  <c r="D27" i="6"/>
  <c r="G49" i="6"/>
  <c r="K19" i="85"/>
  <c r="K24" i="85" s="1"/>
  <c r="C19" i="86"/>
  <c r="C24" i="86" s="1"/>
  <c r="L8" i="80"/>
  <c r="A66" i="1"/>
  <c r="D25" i="88"/>
  <c r="D45" i="88" s="1"/>
  <c r="A16" i="1"/>
  <c r="L8" i="82"/>
  <c r="K40" i="17"/>
  <c r="G40" i="17"/>
  <c r="B40" i="17"/>
  <c r="I40" i="17"/>
  <c r="D40" i="17"/>
  <c r="D67" i="26" s="1"/>
  <c r="C40" i="17"/>
  <c r="C67" i="26" s="1"/>
  <c r="F40" i="17"/>
  <c r="F49" i="26" s="1"/>
  <c r="H40" i="17"/>
  <c r="E40" i="17"/>
  <c r="J40" i="17"/>
  <c r="I49" i="26" s="1"/>
  <c r="A39" i="13"/>
  <c r="A40" i="13" s="1"/>
  <c r="E24" i="7"/>
  <c r="H13" i="6"/>
  <c r="G10" i="79"/>
  <c r="C19" i="84"/>
  <c r="C24" i="84" s="1"/>
  <c r="H25" i="17"/>
  <c r="H249" i="13" s="1"/>
  <c r="B25" i="17"/>
  <c r="K25" i="17"/>
  <c r="D25" i="17"/>
  <c r="D249" i="13" s="1"/>
  <c r="J25" i="17"/>
  <c r="C25" i="17"/>
  <c r="C249" i="13" s="1"/>
  <c r="G25" i="17"/>
  <c r="G249" i="13" s="1"/>
  <c r="F25" i="17"/>
  <c r="F249" i="13" s="1"/>
  <c r="E25" i="17"/>
  <c r="E249" i="13" s="1"/>
  <c r="I25" i="17"/>
  <c r="I249" i="13" s="1"/>
  <c r="C9" i="88"/>
  <c r="D30" i="88"/>
  <c r="J14" i="88"/>
  <c r="F46" i="6"/>
  <c r="C24" i="78"/>
  <c r="H19" i="84"/>
  <c r="H24" i="84" s="1"/>
  <c r="F53" i="6"/>
  <c r="I55" i="17"/>
  <c r="D55" i="17"/>
  <c r="B55" i="17"/>
  <c r="E55" i="17"/>
  <c r="J55" i="17"/>
  <c r="G55" i="17"/>
  <c r="H55" i="17"/>
  <c r="F55" i="17"/>
  <c r="K55" i="17"/>
  <c r="C55" i="17"/>
  <c r="B46" i="19"/>
  <c r="B47" i="34" s="1"/>
  <c r="A66" i="13"/>
  <c r="D34" i="6"/>
  <c r="H53" i="6"/>
  <c r="K24" i="88"/>
  <c r="K44" i="88" s="1"/>
  <c r="K10" i="78"/>
  <c r="D33" i="7"/>
  <c r="D72" i="7" s="1"/>
  <c r="F61" i="6"/>
  <c r="C49" i="6"/>
  <c r="G12" i="82"/>
  <c r="F15" i="80"/>
  <c r="I13" i="88"/>
  <c r="I39" i="87" s="1"/>
  <c r="A165" i="13"/>
  <c r="G24" i="82"/>
  <c r="A146" i="13"/>
  <c r="E19" i="86"/>
  <c r="E24" i="86" s="1"/>
  <c r="H4" i="7"/>
  <c r="H21" i="7" s="1"/>
  <c r="K21" i="82"/>
  <c r="C13" i="86"/>
  <c r="L10" i="79"/>
  <c r="E50" i="6"/>
  <c r="H8" i="7"/>
  <c r="H10" i="7" s="1"/>
  <c r="H31" i="7" s="1"/>
  <c r="F10" i="79"/>
  <c r="AD15" i="41"/>
  <c r="AD19" i="41"/>
  <c r="AD40" i="41"/>
  <c r="AD22" i="41"/>
  <c r="AD41" i="41"/>
  <c r="AD46" i="41"/>
  <c r="AD54" i="41"/>
  <c r="AD7" i="41"/>
  <c r="AD30" i="41"/>
  <c r="AD27" i="41"/>
  <c r="AD57" i="41"/>
  <c r="AD26" i="41"/>
  <c r="AD21" i="41"/>
  <c r="AD17" i="41"/>
  <c r="AD11" i="41"/>
  <c r="AD9" i="41"/>
  <c r="AD28" i="41"/>
  <c r="AD43" i="41"/>
  <c r="AD31" i="41"/>
  <c r="AD13" i="41"/>
  <c r="AD12" i="41"/>
  <c r="AD5" i="41"/>
  <c r="AD49" i="41"/>
  <c r="AD32" i="41"/>
  <c r="AD29" i="41"/>
  <c r="AD51" i="41"/>
  <c r="AD20" i="41"/>
  <c r="AD38" i="41"/>
  <c r="AD36" i="41"/>
  <c r="AD56" i="41"/>
  <c r="AG56" i="41" s="1"/>
  <c r="AD34" i="41"/>
  <c r="AD42" i="41"/>
  <c r="AD50" i="41"/>
  <c r="AD25" i="41"/>
  <c r="AD10" i="41"/>
  <c r="AD35" i="41"/>
  <c r="AD47" i="41"/>
  <c r="AD39" i="41"/>
  <c r="AD6" i="41"/>
  <c r="AD14" i="41"/>
  <c r="AD18" i="41"/>
  <c r="AD23" i="41"/>
  <c r="AD24" i="41"/>
  <c r="AD8" i="41"/>
  <c r="AD16" i="41"/>
  <c r="AD44" i="41"/>
  <c r="AD53" i="41"/>
  <c r="AD45" i="41"/>
  <c r="AD37" i="41"/>
  <c r="AD52" i="41"/>
  <c r="AD48" i="41"/>
  <c r="AD33" i="41"/>
  <c r="AD55" i="41"/>
  <c r="AG55" i="41" s="1"/>
  <c r="AG54" i="41" s="1"/>
  <c r="AG53" i="41" s="1"/>
  <c r="AG52" i="41" s="1"/>
  <c r="AG51" i="41" s="1"/>
  <c r="AG50" i="41" s="1"/>
  <c r="AG49" i="41" s="1"/>
  <c r="AG48" i="41" s="1"/>
  <c r="AG47" i="41" s="1"/>
  <c r="AG46" i="41" s="1"/>
  <c r="AG45" i="41" s="1"/>
  <c r="AG44" i="41" s="1"/>
  <c r="AG43" i="41" s="1"/>
  <c r="AG42" i="41" s="1"/>
  <c r="AG41" i="41" s="1"/>
  <c r="AG40" i="41" s="1"/>
  <c r="AG39" i="41" s="1"/>
  <c r="AG38" i="41" s="1"/>
  <c r="AG37" i="41" s="1"/>
  <c r="AG36" i="41" s="1"/>
  <c r="AG35" i="41" s="1"/>
  <c r="AG34" i="41" s="1"/>
  <c r="AG33" i="41" s="1"/>
  <c r="AG32" i="41" s="1"/>
  <c r="AG31" i="41" s="1"/>
  <c r="AG30" i="41" s="1"/>
  <c r="AG29" i="41" s="1"/>
  <c r="AG28" i="41" s="1"/>
  <c r="AG27" i="41" s="1"/>
  <c r="AG26" i="41" s="1"/>
  <c r="AG25" i="41" s="1"/>
  <c r="AG24" i="41" s="1"/>
  <c r="AG23" i="41" s="1"/>
  <c r="AG22" i="41" s="1"/>
  <c r="AG21" i="41" s="1"/>
  <c r="AG20" i="41" s="1"/>
  <c r="AG19" i="41" s="1"/>
  <c r="AG18" i="41" s="1"/>
  <c r="AG17" i="41" s="1"/>
  <c r="AG16" i="41" s="1"/>
  <c r="AG15" i="41" s="1"/>
  <c r="AG14" i="41" s="1"/>
  <c r="AG13" i="41" s="1"/>
  <c r="AG12" i="41" s="1"/>
  <c r="AG11" i="41" s="1"/>
  <c r="AG10" i="41" s="1"/>
  <c r="AG9" i="41" s="1"/>
  <c r="AG8" i="41" s="1"/>
  <c r="AG7" i="41" s="1"/>
  <c r="AG6" i="41" s="1"/>
  <c r="AG5" i="41" s="1"/>
  <c r="E8" i="6"/>
  <c r="J8" i="78"/>
  <c r="L15" i="79"/>
  <c r="K12" i="78"/>
  <c r="E24" i="82"/>
  <c r="D15" i="3"/>
  <c r="B5" i="72" s="1"/>
  <c r="B17" i="19"/>
  <c r="B13" i="22" s="1"/>
  <c r="J30" i="88"/>
  <c r="H21" i="80"/>
  <c r="G4" i="6"/>
  <c r="H12" i="78"/>
  <c r="G24" i="6"/>
  <c r="E80" i="17"/>
  <c r="H80" i="17"/>
  <c r="J80" i="17"/>
  <c r="C80" i="17"/>
  <c r="D80" i="17"/>
  <c r="I80" i="17"/>
  <c r="B80" i="17"/>
  <c r="F80" i="17"/>
  <c r="G80" i="17"/>
  <c r="K80" i="17"/>
  <c r="L20" i="88"/>
  <c r="K12" i="88"/>
  <c r="K40" i="88" s="1"/>
  <c r="E16" i="79"/>
  <c r="L19" i="83"/>
  <c r="L24" i="83" s="1"/>
  <c r="K31" i="88"/>
  <c r="E44" i="7"/>
  <c r="C44" i="7"/>
  <c r="E5" i="6"/>
  <c r="F7" i="6"/>
  <c r="C5" i="6"/>
  <c r="D28" i="88"/>
  <c r="L8" i="3"/>
  <c r="L18" i="3" s="1"/>
  <c r="L27" i="88"/>
  <c r="D14" i="6"/>
  <c r="H9" i="88"/>
  <c r="H47" i="87" s="1"/>
  <c r="K8" i="82"/>
  <c r="J21" i="82"/>
  <c r="D8" i="80"/>
  <c r="G14" i="88"/>
  <c r="G70" i="17"/>
  <c r="B70" i="17"/>
  <c r="J70" i="17"/>
  <c r="I70" i="17"/>
  <c r="D70" i="17"/>
  <c r="K70" i="17"/>
  <c r="E70" i="17"/>
  <c r="C70" i="17"/>
  <c r="H70" i="17"/>
  <c r="F70" i="17"/>
  <c r="E12" i="82"/>
  <c r="H84" i="17"/>
  <c r="E84" i="17"/>
  <c r="C84" i="17"/>
  <c r="I84" i="17"/>
  <c r="D84" i="17"/>
  <c r="G84" i="17"/>
  <c r="J84" i="17"/>
  <c r="K84" i="17"/>
  <c r="F84" i="17"/>
  <c r="B84" i="17"/>
  <c r="J27" i="17"/>
  <c r="K27" i="17"/>
  <c r="H27" i="17"/>
  <c r="F27" i="17"/>
  <c r="B27" i="17"/>
  <c r="E27" i="17"/>
  <c r="C27" i="17"/>
  <c r="D27" i="17"/>
  <c r="G27" i="17"/>
  <c r="I27" i="17"/>
  <c r="C24" i="79"/>
  <c r="P42" i="24"/>
  <c r="Q42" i="24" s="1"/>
  <c r="M39" i="23" s="1"/>
  <c r="P143" i="24"/>
  <c r="P92" i="24"/>
  <c r="P43" i="24"/>
  <c r="P48" i="24"/>
  <c r="P12" i="24"/>
  <c r="P128" i="24"/>
  <c r="P31" i="24"/>
  <c r="P203" i="24"/>
  <c r="P61" i="24"/>
  <c r="P244" i="24"/>
  <c r="P189" i="24"/>
  <c r="P34" i="24"/>
  <c r="P253" i="24"/>
  <c r="P178" i="24"/>
  <c r="P141" i="24"/>
  <c r="P23" i="24"/>
  <c r="P236" i="24"/>
  <c r="P227" i="24"/>
  <c r="P64" i="24"/>
  <c r="P100" i="24"/>
  <c r="P228" i="24"/>
  <c r="P166" i="24"/>
  <c r="P173" i="24"/>
  <c r="P22" i="24"/>
  <c r="P148" i="24"/>
  <c r="P107" i="24"/>
  <c r="P234" i="24"/>
  <c r="P58" i="24"/>
  <c r="P52" i="24"/>
  <c r="P134" i="24"/>
  <c r="P231" i="24"/>
  <c r="P72" i="24"/>
  <c r="P88" i="24"/>
  <c r="P232" i="24"/>
  <c r="Q232" i="24" s="1"/>
  <c r="M229" i="23" s="1"/>
  <c r="P111" i="24"/>
  <c r="P258" i="24"/>
  <c r="P16" i="24"/>
  <c r="P85" i="24"/>
  <c r="Q85" i="24" s="1"/>
  <c r="M82" i="23" s="1"/>
  <c r="P158" i="24"/>
  <c r="P124" i="24"/>
  <c r="P90" i="24"/>
  <c r="P26" i="24"/>
  <c r="P21" i="24"/>
  <c r="P206" i="24"/>
  <c r="P152" i="24"/>
  <c r="P17" i="24"/>
  <c r="Q17" i="24" s="1"/>
  <c r="M14" i="23" s="1"/>
  <c r="P211" i="24"/>
  <c r="P174" i="24"/>
  <c r="P146" i="24"/>
  <c r="P37" i="24"/>
  <c r="P202" i="24"/>
  <c r="P104" i="24"/>
  <c r="P67" i="24"/>
  <c r="P159" i="24"/>
  <c r="P177" i="24"/>
  <c r="Q177" i="24" s="1"/>
  <c r="M174" i="23" s="1"/>
  <c r="P115" i="24"/>
  <c r="P63" i="24"/>
  <c r="P54" i="24"/>
  <c r="Q54" i="24" s="1"/>
  <c r="M51" i="23" s="1"/>
  <c r="P225" i="24"/>
  <c r="P118" i="24"/>
  <c r="P18" i="24"/>
  <c r="P125" i="24"/>
  <c r="P86" i="24"/>
  <c r="P121" i="24"/>
  <c r="P46" i="24"/>
  <c r="P60" i="24"/>
  <c r="P81" i="24"/>
  <c r="P239" i="24"/>
  <c r="P142" i="24"/>
  <c r="P108" i="24"/>
  <c r="Q108" i="24" s="1"/>
  <c r="M105" i="23" s="1"/>
  <c r="P169" i="24"/>
  <c r="P79" i="24"/>
  <c r="P205" i="24"/>
  <c r="P56" i="24"/>
  <c r="P157" i="24"/>
  <c r="Q157" i="24" s="1"/>
  <c r="M154" i="23" s="1"/>
  <c r="P40" i="24"/>
  <c r="P28" i="24"/>
  <c r="P9" i="24"/>
  <c r="P74" i="24"/>
  <c r="P110" i="24"/>
  <c r="Q110" i="24" s="1"/>
  <c r="M107" i="23" s="1"/>
  <c r="P82" i="24"/>
  <c r="P71" i="24"/>
  <c r="P15" i="24"/>
  <c r="P246" i="24"/>
  <c r="P129" i="24"/>
  <c r="P44" i="24"/>
  <c r="Q44" i="24" s="1"/>
  <c r="M41" i="23" s="1"/>
  <c r="P180" i="24"/>
  <c r="P25" i="24"/>
  <c r="P229" i="24"/>
  <c r="P109" i="24"/>
  <c r="P59" i="24"/>
  <c r="P247" i="24"/>
  <c r="P95" i="24"/>
  <c r="P10" i="24"/>
  <c r="Q10" i="24" s="1"/>
  <c r="M7" i="23" s="1"/>
  <c r="P156" i="24"/>
  <c r="Q156" i="24" s="1"/>
  <c r="M153" i="23" s="1"/>
  <c r="P257" i="24"/>
  <c r="P120" i="24"/>
  <c r="P11" i="24"/>
  <c r="P194" i="24"/>
  <c r="P114" i="24"/>
  <c r="P223" i="24"/>
  <c r="P93" i="24"/>
  <c r="P36" i="24"/>
  <c r="Q36" i="24" s="1"/>
  <c r="M33" i="23" s="1"/>
  <c r="P113" i="24"/>
  <c r="Q113" i="24" s="1"/>
  <c r="M110" i="23" s="1"/>
  <c r="P84" i="24"/>
  <c r="P162" i="24"/>
  <c r="P66" i="24"/>
  <c r="Q66" i="24" s="1"/>
  <c r="M63" i="23" s="1"/>
  <c r="P242" i="24"/>
  <c r="P19" i="24"/>
  <c r="P215" i="24"/>
  <c r="Q215" i="24" s="1"/>
  <c r="M212" i="23" s="1"/>
  <c r="P8" i="24"/>
  <c r="Q8" i="24" s="1"/>
  <c r="M5" i="23" s="1"/>
  <c r="P241" i="24"/>
  <c r="P14" i="24"/>
  <c r="P209" i="24"/>
  <c r="P7" i="24"/>
  <c r="P155" i="24"/>
  <c r="P161" i="24"/>
  <c r="P200" i="24"/>
  <c r="P122" i="24"/>
  <c r="P30" i="24"/>
  <c r="P176" i="24"/>
  <c r="Q176" i="24" s="1"/>
  <c r="M173" i="23" s="1"/>
  <c r="P260" i="24"/>
  <c r="Q260" i="24" s="1"/>
  <c r="M257" i="23" s="1"/>
  <c r="P160" i="24"/>
  <c r="Q160" i="24" s="1"/>
  <c r="M157" i="23" s="1"/>
  <c r="P237" i="24"/>
  <c r="P168" i="24"/>
  <c r="P77" i="24"/>
  <c r="P210" i="24"/>
  <c r="P235" i="24"/>
  <c r="P199" i="24"/>
  <c r="P89" i="24"/>
  <c r="Q89" i="24" s="1"/>
  <c r="M86" i="23" s="1"/>
  <c r="P140" i="24"/>
  <c r="P197" i="24"/>
  <c r="P137" i="24"/>
  <c r="P35" i="24"/>
  <c r="Q35" i="24" s="1"/>
  <c r="M32" i="23" s="1"/>
  <c r="P41" i="24"/>
  <c r="Q41" i="24" s="1"/>
  <c r="M38" i="23" s="1"/>
  <c r="P217" i="24"/>
  <c r="P233" i="24"/>
  <c r="Q233" i="24" s="1"/>
  <c r="M230" i="23" s="1"/>
  <c r="P170" i="24"/>
  <c r="P196" i="24"/>
  <c r="P29" i="24"/>
  <c r="P175" i="24"/>
  <c r="P49" i="24"/>
  <c r="P116" i="24"/>
  <c r="P154" i="24"/>
  <c r="P190" i="24"/>
  <c r="P249" i="24"/>
  <c r="Q249" i="24" s="1"/>
  <c r="M246" i="23" s="1"/>
  <c r="P153" i="24"/>
  <c r="Q153" i="24" s="1"/>
  <c r="M150" i="23" s="1"/>
  <c r="P75" i="24"/>
  <c r="P163" i="24"/>
  <c r="P214" i="24"/>
  <c r="P245" i="24"/>
  <c r="P151" i="24"/>
  <c r="P76" i="24"/>
  <c r="P136" i="24"/>
  <c r="P250" i="24"/>
  <c r="P147" i="24"/>
  <c r="P69" i="24"/>
  <c r="P87" i="24"/>
  <c r="P238" i="24"/>
  <c r="Q238" i="24" s="1"/>
  <c r="M235" i="23" s="1"/>
  <c r="P68" i="24"/>
  <c r="P165" i="24"/>
  <c r="P33" i="24"/>
  <c r="P144" i="24"/>
  <c r="P230" i="24"/>
  <c r="P13" i="24"/>
  <c r="Q13" i="24" s="1"/>
  <c r="M10" i="23" s="1"/>
  <c r="P73" i="24"/>
  <c r="Q73" i="24" s="1"/>
  <c r="M70" i="23" s="1"/>
  <c r="P198" i="24"/>
  <c r="P219" i="24"/>
  <c r="P55" i="24"/>
  <c r="P188" i="24"/>
  <c r="P255" i="24"/>
  <c r="P224" i="24"/>
  <c r="P208" i="24"/>
  <c r="Q208" i="24" s="1"/>
  <c r="M205" i="23" s="1"/>
  <c r="P45" i="24"/>
  <c r="Q45" i="24" s="1"/>
  <c r="M42" i="23" s="1"/>
  <c r="P80" i="24"/>
  <c r="Q80" i="24" s="1"/>
  <c r="M77" i="23" s="1"/>
  <c r="P27" i="24"/>
  <c r="Q27" i="24" s="1"/>
  <c r="M24" i="23" s="1"/>
  <c r="P32" i="24"/>
  <c r="P51" i="24"/>
  <c r="Q51" i="24" s="1"/>
  <c r="M48" i="23" s="1"/>
  <c r="P181" i="24"/>
  <c r="P187" i="24"/>
  <c r="P184" i="24"/>
  <c r="P38" i="24"/>
  <c r="Q38" i="24" s="1"/>
  <c r="M35" i="23" s="1"/>
  <c r="P119" i="24"/>
  <c r="Q119" i="24" s="1"/>
  <c r="M116" i="23" s="1"/>
  <c r="P53" i="24"/>
  <c r="P216" i="24"/>
  <c r="Q216" i="24" s="1"/>
  <c r="M213" i="23" s="1"/>
  <c r="P126" i="24"/>
  <c r="P254" i="24"/>
  <c r="P185" i="24"/>
  <c r="P201" i="24"/>
  <c r="P145" i="24"/>
  <c r="P39" i="24"/>
  <c r="P130" i="24"/>
  <c r="P222" i="24"/>
  <c r="P83" i="24"/>
  <c r="P248" i="24"/>
  <c r="P191" i="24"/>
  <c r="P96" i="24"/>
  <c r="Q96" i="24" s="1"/>
  <c r="M93" i="23" s="1"/>
  <c r="P221" i="24"/>
  <c r="P192" i="24"/>
  <c r="Q192" i="24" s="1"/>
  <c r="M189" i="23" s="1"/>
  <c r="P213" i="24"/>
  <c r="Q213" i="24" s="1"/>
  <c r="M210" i="23" s="1"/>
  <c r="P167" i="24"/>
  <c r="Q167" i="24" s="1"/>
  <c r="M164" i="23" s="1"/>
  <c r="P195" i="24"/>
  <c r="Q195" i="24" s="1"/>
  <c r="M192" i="23" s="1"/>
  <c r="P105" i="24"/>
  <c r="P70" i="24"/>
  <c r="P226" i="24"/>
  <c r="P62" i="24"/>
  <c r="Q62" i="24" s="1"/>
  <c r="M59" i="23" s="1"/>
  <c r="P50" i="24"/>
  <c r="P123" i="24"/>
  <c r="Q123" i="24" s="1"/>
  <c r="M120" i="23" s="1"/>
  <c r="P259" i="24"/>
  <c r="P135" i="24"/>
  <c r="P99" i="24"/>
  <c r="Q99" i="24" s="1"/>
  <c r="M96" i="23" s="1"/>
  <c r="P149" i="24"/>
  <c r="P101" i="24"/>
  <c r="P150" i="24"/>
  <c r="Q150" i="24" s="1"/>
  <c r="M147" i="23" s="1"/>
  <c r="P204" i="24"/>
  <c r="Q204" i="24" s="1"/>
  <c r="M201" i="23" s="1"/>
  <c r="P183" i="24"/>
  <c r="P91" i="24"/>
  <c r="P251" i="24"/>
  <c r="P240" i="24"/>
  <c r="P103" i="24"/>
  <c r="P131" i="24"/>
  <c r="Q131" i="24" s="1"/>
  <c r="M128" i="23" s="1"/>
  <c r="P106" i="24"/>
  <c r="P172" i="24"/>
  <c r="Q172" i="24" s="1"/>
  <c r="M169" i="23" s="1"/>
  <c r="P47" i="24"/>
  <c r="P139" i="24"/>
  <c r="P212" i="24"/>
  <c r="P179" i="24"/>
  <c r="Q179" i="24" s="1"/>
  <c r="M176" i="23" s="1"/>
  <c r="P57" i="24"/>
  <c r="P98" i="24"/>
  <c r="P138" i="24"/>
  <c r="P171" i="24"/>
  <c r="P97" i="24"/>
  <c r="P220" i="24"/>
  <c r="P243" i="24"/>
  <c r="P218" i="24"/>
  <c r="P20" i="24"/>
  <c r="P94" i="24"/>
  <c r="P256" i="24"/>
  <c r="P127" i="24"/>
  <c r="Q127" i="24" s="1"/>
  <c r="M124" i="23" s="1"/>
  <c r="P112" i="24"/>
  <c r="P102" i="24"/>
  <c r="Q102" i="24" s="1"/>
  <c r="M99" i="23" s="1"/>
  <c r="P117" i="24"/>
  <c r="P186" i="24"/>
  <c r="P252" i="24"/>
  <c r="Q252" i="24" s="1"/>
  <c r="M249" i="23" s="1"/>
  <c r="P207" i="24"/>
  <c r="P65" i="24"/>
  <c r="Q65" i="24" s="1"/>
  <c r="M62" i="23" s="1"/>
  <c r="P182" i="24"/>
  <c r="P164" i="24"/>
  <c r="Q164" i="24" s="1"/>
  <c r="M161" i="23" s="1"/>
  <c r="P132" i="24"/>
  <c r="P24" i="24"/>
  <c r="Q24" i="24" s="1"/>
  <c r="M21" i="23" s="1"/>
  <c r="P78" i="24"/>
  <c r="P133" i="24"/>
  <c r="Q133" i="24" s="1"/>
  <c r="M130" i="23" s="1"/>
  <c r="P193" i="24"/>
  <c r="L21" i="80"/>
  <c r="J8" i="39"/>
  <c r="K8" i="39" s="1"/>
  <c r="K94" i="17"/>
  <c r="C94" i="17"/>
  <c r="H94" i="17"/>
  <c r="F94" i="17"/>
  <c r="D94" i="17"/>
  <c r="J94" i="17"/>
  <c r="I94" i="17"/>
  <c r="B94" i="17"/>
  <c r="G94" i="17"/>
  <c r="E94" i="17"/>
  <c r="D24" i="17"/>
  <c r="B24" i="17"/>
  <c r="E24" i="17"/>
  <c r="I24" i="17"/>
  <c r="K24" i="17"/>
  <c r="G24" i="17"/>
  <c r="J24" i="17"/>
  <c r="F24" i="17"/>
  <c r="H24" i="17"/>
  <c r="C24" i="17"/>
  <c r="L23" i="19"/>
  <c r="J23" i="19"/>
  <c r="E23" i="19"/>
  <c r="D9" i="26" s="1"/>
  <c r="H23" i="19"/>
  <c r="D23" i="19"/>
  <c r="G23" i="19"/>
  <c r="F23" i="19"/>
  <c r="C23" i="19"/>
  <c r="K23" i="19"/>
  <c r="I23" i="19"/>
  <c r="L24" i="80"/>
  <c r="E53" i="6"/>
  <c r="B38" i="19"/>
  <c r="B37" i="34" s="1"/>
  <c r="H48" i="6"/>
  <c r="H60" i="6"/>
  <c r="H8" i="79"/>
  <c r="L16" i="82"/>
  <c r="I24" i="82"/>
  <c r="G11" i="3"/>
  <c r="G12" i="3" s="1"/>
  <c r="G21" i="3" s="1"/>
  <c r="D4" i="6"/>
  <c r="G53" i="6"/>
  <c r="G24" i="7"/>
  <c r="F11" i="3"/>
  <c r="F12" i="3" s="1"/>
  <c r="F21" i="3" s="1"/>
  <c r="D20" i="88"/>
  <c r="K15" i="78"/>
  <c r="C29" i="6"/>
  <c r="L12" i="78"/>
  <c r="J20" i="88"/>
  <c r="E54" i="6"/>
  <c r="H49" i="6"/>
  <c r="B16" i="19"/>
  <c r="B10" i="22" s="1"/>
  <c r="H57" i="6"/>
  <c r="H5" i="7" s="1"/>
  <c r="C33" i="7"/>
  <c r="C72" i="7" s="1"/>
  <c r="M5" i="32"/>
  <c r="G16" i="79"/>
  <c r="K15" i="82"/>
  <c r="D58" i="6"/>
  <c r="H54" i="6"/>
  <c r="F32" i="88"/>
  <c r="E14" i="6"/>
  <c r="K9" i="88"/>
  <c r="F55" i="19"/>
  <c r="E55" i="19"/>
  <c r="J55" i="19"/>
  <c r="C55" i="19"/>
  <c r="K55" i="19"/>
  <c r="I55" i="19"/>
  <c r="L55" i="19"/>
  <c r="D55" i="19"/>
  <c r="G55" i="19"/>
  <c r="H55" i="19"/>
  <c r="G24" i="79"/>
  <c r="D8" i="82"/>
  <c r="F10" i="82"/>
  <c r="I24" i="80"/>
  <c r="J12" i="88"/>
  <c r="J40" i="88" s="1"/>
  <c r="E21" i="79"/>
  <c r="I15" i="13"/>
  <c r="C15" i="13"/>
  <c r="H15" i="13"/>
  <c r="E15" i="13"/>
  <c r="G15" i="13"/>
  <c r="B15" i="13"/>
  <c r="F15" i="13"/>
  <c r="D15" i="13"/>
  <c r="J15" i="13"/>
  <c r="H63" i="18"/>
  <c r="F63" i="18"/>
  <c r="G63" i="18"/>
  <c r="J63" i="18"/>
  <c r="D63" i="18"/>
  <c r="M63" i="18"/>
  <c r="K63" i="18"/>
  <c r="E63" i="18"/>
  <c r="L63" i="18"/>
  <c r="I63" i="18"/>
  <c r="C63" i="18"/>
  <c r="H9" i="6"/>
  <c r="C15" i="82"/>
  <c r="F28" i="6"/>
  <c r="F84" i="7"/>
  <c r="C10" i="79"/>
  <c r="L25" i="88"/>
  <c r="L45" i="88" s="1"/>
  <c r="C23" i="88"/>
  <c r="J12" i="79"/>
  <c r="C50" i="17"/>
  <c r="E50" i="17"/>
  <c r="K50" i="17"/>
  <c r="I50" i="17"/>
  <c r="H50" i="17"/>
  <c r="G50" i="17"/>
  <c r="F50" i="17"/>
  <c r="D50" i="17"/>
  <c r="J50" i="17"/>
  <c r="B50" i="17"/>
  <c r="A46" i="1"/>
  <c r="G19" i="84"/>
  <c r="G24" i="84" s="1"/>
  <c r="F38" i="17"/>
  <c r="I38" i="17"/>
  <c r="H38" i="17"/>
  <c r="B38" i="17"/>
  <c r="G38" i="17"/>
  <c r="J38" i="17"/>
  <c r="C38" i="17"/>
  <c r="K38" i="17"/>
  <c r="E38" i="17"/>
  <c r="D38" i="17"/>
  <c r="B67" i="19"/>
  <c r="E57" i="17"/>
  <c r="K57" i="17"/>
  <c r="G57" i="17"/>
  <c r="H57" i="17"/>
  <c r="B57" i="17"/>
  <c r="J57" i="17"/>
  <c r="D57" i="17"/>
  <c r="I57" i="17"/>
  <c r="C57" i="17"/>
  <c r="F57" i="17"/>
  <c r="A64" i="1"/>
  <c r="A69" i="1" s="1"/>
  <c r="A70" i="1" s="1"/>
  <c r="H25" i="6"/>
  <c r="C58" i="6"/>
  <c r="D28" i="17"/>
  <c r="G28" i="17"/>
  <c r="K28" i="17"/>
  <c r="J28" i="17"/>
  <c r="H28" i="17"/>
  <c r="F28" i="17"/>
  <c r="C28" i="17"/>
  <c r="E28" i="17"/>
  <c r="B28" i="17"/>
  <c r="I28" i="17"/>
  <c r="A23" i="1"/>
  <c r="B15" i="3"/>
  <c r="B5" i="15" s="1"/>
  <c r="E42" i="7"/>
  <c r="D25" i="7"/>
  <c r="B25" i="7" s="1"/>
  <c r="F71" i="13"/>
  <c r="H71" i="13"/>
  <c r="D71" i="13"/>
  <c r="B71" i="13"/>
  <c r="C71" i="13"/>
  <c r="E71" i="13"/>
  <c r="I71" i="13"/>
  <c r="G71" i="13"/>
  <c r="J71" i="13"/>
  <c r="B39" i="19"/>
  <c r="B38" i="34" s="1"/>
  <c r="C57" i="6"/>
  <c r="C5" i="7" s="1"/>
  <c r="E24" i="88"/>
  <c r="E44" i="88" s="1"/>
  <c r="E47" i="88" s="1"/>
  <c r="D19" i="13"/>
  <c r="J19" i="13"/>
  <c r="H19" i="13"/>
  <c r="G19" i="13"/>
  <c r="E19" i="13"/>
  <c r="B19" i="13"/>
  <c r="I19" i="13"/>
  <c r="F19" i="13"/>
  <c r="C19" i="13"/>
  <c r="G14" i="6"/>
  <c r="G13" i="88"/>
  <c r="J32" i="19"/>
  <c r="D32" i="19"/>
  <c r="E32" i="19"/>
  <c r="G32" i="19"/>
  <c r="L32" i="19"/>
  <c r="H32" i="19"/>
  <c r="K32" i="19"/>
  <c r="I32" i="19"/>
  <c r="F32" i="19"/>
  <c r="C32" i="19"/>
  <c r="I19" i="86"/>
  <c r="I24" i="86" s="1"/>
  <c r="K8" i="78"/>
  <c r="K10" i="82"/>
  <c r="A80" i="1"/>
  <c r="C8" i="40"/>
  <c r="G8" i="40" s="1"/>
  <c r="A164" i="13"/>
  <c r="D5" i="6"/>
  <c r="J37" i="19"/>
  <c r="E37" i="19"/>
  <c r="H37" i="19"/>
  <c r="C37" i="19"/>
  <c r="D37" i="19"/>
  <c r="G37" i="19"/>
  <c r="I37" i="19"/>
  <c r="K37" i="19"/>
  <c r="F37" i="19"/>
  <c r="L37" i="19"/>
  <c r="H61" i="6"/>
  <c r="G70" i="13"/>
  <c r="H70" i="13"/>
  <c r="J70" i="13"/>
  <c r="F70" i="13"/>
  <c r="D70" i="13"/>
  <c r="B70" i="13"/>
  <c r="C70" i="13"/>
  <c r="E70" i="13"/>
  <c r="I70" i="13"/>
  <c r="E19" i="19"/>
  <c r="G19" i="19"/>
  <c r="L19" i="19"/>
  <c r="F19" i="19"/>
  <c r="D19" i="19"/>
  <c r="I19" i="19"/>
  <c r="H19" i="19"/>
  <c r="K19" i="19"/>
  <c r="J19" i="19"/>
  <c r="C19" i="19"/>
  <c r="K41" i="19"/>
  <c r="I41" i="19"/>
  <c r="J41" i="19"/>
  <c r="H41" i="19"/>
  <c r="C41" i="19"/>
  <c r="E41" i="19"/>
  <c r="F41" i="19"/>
  <c r="D41" i="19"/>
  <c r="G41" i="19"/>
  <c r="L41" i="19"/>
  <c r="L9" i="3"/>
  <c r="L19" i="3" s="1"/>
  <c r="H50" i="6"/>
  <c r="AD4" i="41"/>
  <c r="F16" i="7"/>
  <c r="G37" i="40"/>
  <c r="A16" i="13"/>
  <c r="G44" i="7"/>
  <c r="B45" i="19"/>
  <c r="B46" i="34" s="1"/>
  <c r="H65" i="19"/>
  <c r="I65" i="19"/>
  <c r="E65" i="19"/>
  <c r="L65" i="19"/>
  <c r="K65" i="19"/>
  <c r="G65" i="19"/>
  <c r="F65" i="19"/>
  <c r="D65" i="19"/>
  <c r="C65" i="19"/>
  <c r="J65" i="19"/>
  <c r="A19" i="13"/>
  <c r="L19" i="85"/>
  <c r="L24" i="85" s="1"/>
  <c r="C24" i="7"/>
  <c r="J79" i="17"/>
  <c r="K79" i="17"/>
  <c r="I79" i="17"/>
  <c r="C79" i="17"/>
  <c r="F79" i="17"/>
  <c r="B79" i="17"/>
  <c r="D79" i="17"/>
  <c r="E79" i="17"/>
  <c r="H79" i="17"/>
  <c r="G79" i="17"/>
  <c r="L42" i="19"/>
  <c r="F42" i="19"/>
  <c r="D42" i="19"/>
  <c r="H42" i="19"/>
  <c r="J42" i="19"/>
  <c r="K42" i="19"/>
  <c r="I42" i="19"/>
  <c r="G42" i="19"/>
  <c r="E42" i="19"/>
  <c r="C42" i="19"/>
  <c r="K25" i="88"/>
  <c r="K45" i="88" s="1"/>
  <c r="B148" i="13"/>
  <c r="F148" i="13"/>
  <c r="C148" i="13"/>
  <c r="I148" i="13"/>
  <c r="E148" i="13"/>
  <c r="H148" i="13"/>
  <c r="D148" i="13"/>
  <c r="J148" i="13"/>
  <c r="G148" i="13"/>
  <c r="C12" i="88"/>
  <c r="C40" i="88" s="1"/>
  <c r="F19" i="83"/>
  <c r="F24" i="83" s="1"/>
  <c r="G24" i="78"/>
  <c r="D15" i="82"/>
  <c r="G27" i="6"/>
  <c r="C15" i="80"/>
  <c r="F47" i="6"/>
  <c r="G16" i="80"/>
  <c r="H15" i="78"/>
  <c r="B63" i="19"/>
  <c r="C7" i="6"/>
  <c r="H7" i="6"/>
  <c r="C14" i="88"/>
  <c r="L21" i="82"/>
  <c r="A222" i="13"/>
  <c r="G59" i="6"/>
  <c r="L7" i="3"/>
  <c r="L17" i="3" s="1"/>
  <c r="E67" i="19"/>
  <c r="K67" i="19"/>
  <c r="I67" i="19"/>
  <c r="L67" i="19"/>
  <c r="G67" i="19"/>
  <c r="J67" i="19"/>
  <c r="H67" i="19"/>
  <c r="D67" i="19"/>
  <c r="F67" i="19"/>
  <c r="C67" i="19"/>
  <c r="E58" i="6"/>
  <c r="I16" i="78"/>
  <c r="B35" i="19"/>
  <c r="B32" i="22" s="1"/>
  <c r="G64" i="18"/>
  <c r="F251" i="13" s="1"/>
  <c r="H64" i="18"/>
  <c r="G251" i="13" s="1"/>
  <c r="M64" i="18"/>
  <c r="F64" i="18"/>
  <c r="E251" i="13" s="1"/>
  <c r="I64" i="18"/>
  <c r="H251" i="13" s="1"/>
  <c r="E64" i="18"/>
  <c r="D251" i="13" s="1"/>
  <c r="L64" i="18"/>
  <c r="D64" i="18"/>
  <c r="C251" i="13" s="1"/>
  <c r="K64" i="18"/>
  <c r="C64" i="18"/>
  <c r="B251" i="13" s="1"/>
  <c r="J64" i="18"/>
  <c r="I251" i="13" s="1"/>
  <c r="I24" i="79"/>
  <c r="D54" i="17"/>
  <c r="G54" i="17"/>
  <c r="K54" i="17"/>
  <c r="C54" i="17"/>
  <c r="J54" i="17"/>
  <c r="I54" i="17"/>
  <c r="F54" i="17"/>
  <c r="B54" i="17"/>
  <c r="E54" i="17"/>
  <c r="H54" i="17"/>
  <c r="H24" i="7"/>
  <c r="D20" i="6"/>
  <c r="E7" i="6"/>
  <c r="G4" i="7"/>
  <c r="G21" i="7" s="1"/>
  <c r="F163" i="13"/>
  <c r="C163" i="13"/>
  <c r="I163" i="13"/>
  <c r="G163" i="13"/>
  <c r="B163" i="13"/>
  <c r="H163" i="13"/>
  <c r="J163" i="13"/>
  <c r="D163" i="13"/>
  <c r="E163" i="13"/>
  <c r="C50" i="6"/>
  <c r="F27" i="6"/>
  <c r="H39" i="13"/>
  <c r="B39" i="13"/>
  <c r="G39" i="13"/>
  <c r="J39" i="13"/>
  <c r="I40" i="13" s="1"/>
  <c r="I42" i="13" s="1"/>
  <c r="C39" i="13"/>
  <c r="B40" i="13" s="1"/>
  <c r="E39" i="13"/>
  <c r="D39" i="13"/>
  <c r="C40" i="13" s="1"/>
  <c r="C41" i="13" s="1"/>
  <c r="I39" i="13"/>
  <c r="H40" i="13" s="1"/>
  <c r="F39" i="13"/>
  <c r="F5" i="6"/>
  <c r="L12" i="79"/>
  <c r="H24" i="82"/>
  <c r="F50" i="19"/>
  <c r="J50" i="19"/>
  <c r="G50" i="19"/>
  <c r="E50" i="19"/>
  <c r="K50" i="19"/>
  <c r="L50" i="19"/>
  <c r="H50" i="19"/>
  <c r="C50" i="19"/>
  <c r="I50" i="19"/>
  <c r="D50" i="19"/>
  <c r="L16" i="78"/>
  <c r="C14" i="6"/>
  <c r="H16" i="78"/>
  <c r="D26" i="88"/>
  <c r="D46" i="88" s="1"/>
  <c r="F24" i="78"/>
  <c r="D11" i="3"/>
  <c r="D12" i="3" s="1"/>
  <c r="D21" i="3" s="1"/>
  <c r="D24" i="79"/>
  <c r="C47" i="6"/>
  <c r="K12" i="17"/>
  <c r="F12" i="17"/>
  <c r="J12" i="17"/>
  <c r="C12" i="17"/>
  <c r="D12" i="17"/>
  <c r="B12" i="17"/>
  <c r="G12" i="17"/>
  <c r="I12" i="17"/>
  <c r="E12" i="17"/>
  <c r="H12" i="17"/>
  <c r="I10" i="82"/>
  <c r="AC47" i="41"/>
  <c r="AC10" i="41"/>
  <c r="AC50" i="41"/>
  <c r="AC23" i="41"/>
  <c r="AC53" i="41"/>
  <c r="AC48" i="41"/>
  <c r="AC34" i="41"/>
  <c r="AC42" i="41"/>
  <c r="AC31" i="41"/>
  <c r="AC32" i="41"/>
  <c r="AC26" i="41"/>
  <c r="AC46" i="41"/>
  <c r="AC7" i="41"/>
  <c r="AC27" i="41"/>
  <c r="AC54" i="41"/>
  <c r="AC17" i="41"/>
  <c r="AC5" i="41"/>
  <c r="AC8" i="41"/>
  <c r="AC52" i="41"/>
  <c r="AC9" i="41"/>
  <c r="AC36" i="41"/>
  <c r="AC19" i="41"/>
  <c r="AC41" i="41"/>
  <c r="AC16" i="41"/>
  <c r="AC38" i="41"/>
  <c r="AC35" i="41"/>
  <c r="AC6" i="41"/>
  <c r="AC49" i="41"/>
  <c r="AC40" i="41"/>
  <c r="AC33" i="41"/>
  <c r="AC44" i="41"/>
  <c r="AC56" i="41"/>
  <c r="AC28" i="41"/>
  <c r="AC11" i="41"/>
  <c r="AC14" i="41"/>
  <c r="AC30" i="41"/>
  <c r="AC57" i="41"/>
  <c r="AC25" i="41"/>
  <c r="AC13" i="41"/>
  <c r="AC20" i="41"/>
  <c r="AC12" i="41"/>
  <c r="AC43" i="41"/>
  <c r="AC24" i="41"/>
  <c r="AC37" i="41"/>
  <c r="AC55" i="41"/>
  <c r="AC22" i="41"/>
  <c r="AC51" i="41"/>
  <c r="AC15" i="41"/>
  <c r="AC21" i="41"/>
  <c r="AC29" i="41"/>
  <c r="AC39" i="41"/>
  <c r="AC45" i="41"/>
  <c r="AC18" i="41"/>
  <c r="G25" i="6"/>
  <c r="L12" i="88"/>
  <c r="L40" i="88" s="1"/>
  <c r="B29" i="19"/>
  <c r="B26" i="22" s="1"/>
  <c r="F17" i="88"/>
  <c r="B57" i="19"/>
  <c r="J19" i="81"/>
  <c r="J24" i="81" s="1"/>
  <c r="H13" i="88"/>
  <c r="H39" i="87" s="1"/>
  <c r="L31" i="88"/>
  <c r="J8" i="79"/>
  <c r="D88" i="17"/>
  <c r="I88" i="17"/>
  <c r="E88" i="17"/>
  <c r="J88" i="17"/>
  <c r="K88" i="17"/>
  <c r="C88" i="17"/>
  <c r="H88" i="17"/>
  <c r="G88" i="17"/>
  <c r="B88" i="17"/>
  <c r="F88" i="17"/>
  <c r="E48" i="6"/>
  <c r="E19" i="84"/>
  <c r="E24" i="84" s="1"/>
  <c r="J24" i="79"/>
  <c r="E24" i="80"/>
  <c r="A173" i="13"/>
  <c r="D10" i="79"/>
  <c r="A18" i="13"/>
  <c r="E10" i="3"/>
  <c r="E20" i="3" s="1"/>
  <c r="E18" i="88"/>
  <c r="L15" i="78"/>
  <c r="G24" i="80"/>
  <c r="H8" i="78"/>
  <c r="G12" i="79"/>
  <c r="K20" i="17"/>
  <c r="L14" i="20" s="1"/>
  <c r="G20" i="17"/>
  <c r="H14" i="20" s="1"/>
  <c r="E20" i="17"/>
  <c r="F14" i="20" s="1"/>
  <c r="F20" i="17"/>
  <c r="I20" i="17"/>
  <c r="J14" i="20" s="1"/>
  <c r="C20" i="17"/>
  <c r="D14" i="20" s="1"/>
  <c r="B20" i="17"/>
  <c r="C14" i="20" s="1"/>
  <c r="J20" i="17"/>
  <c r="K14" i="20" s="1"/>
  <c r="D20" i="17"/>
  <c r="E14" i="20" s="1"/>
  <c r="H20" i="17"/>
  <c r="I14" i="20" s="1"/>
  <c r="E7" i="3"/>
  <c r="E17" i="3" s="1"/>
  <c r="J53" i="17"/>
  <c r="D53" i="17"/>
  <c r="K53" i="17"/>
  <c r="H53" i="17"/>
  <c r="C53" i="17"/>
  <c r="B53" i="17"/>
  <c r="I53" i="17"/>
  <c r="E53" i="17"/>
  <c r="G53" i="17"/>
  <c r="F53" i="17"/>
  <c r="J19" i="85"/>
  <c r="J24" i="85" s="1"/>
  <c r="O10" i="3"/>
  <c r="O20" i="3" s="1"/>
  <c r="J9" i="3"/>
  <c r="J19" i="3" s="1"/>
  <c r="B65" i="19"/>
  <c r="O5" i="3"/>
  <c r="F16" i="79"/>
  <c r="E12" i="88"/>
  <c r="E40" i="88" s="1"/>
  <c r="A34" i="13"/>
  <c r="A35" i="13" s="1"/>
  <c r="D12" i="82"/>
  <c r="D41" i="6"/>
  <c r="K12" i="80"/>
  <c r="B227" i="13"/>
  <c r="D227" i="13"/>
  <c r="G227" i="13"/>
  <c r="C227" i="13"/>
  <c r="I227" i="13"/>
  <c r="E227" i="13"/>
  <c r="H227" i="13"/>
  <c r="F227" i="13"/>
  <c r="C26" i="6"/>
  <c r="A42" i="1"/>
  <c r="I16" i="79"/>
  <c r="L18" i="88"/>
  <c r="I189" i="13"/>
  <c r="H189" i="13"/>
  <c r="D189" i="13"/>
  <c r="F189" i="13"/>
  <c r="E189" i="13"/>
  <c r="C189" i="13"/>
  <c r="B189" i="13"/>
  <c r="G189" i="13"/>
  <c r="I37" i="40"/>
  <c r="D33" i="88"/>
  <c r="G8" i="82"/>
  <c r="C60" i="6"/>
  <c r="H169" i="13"/>
  <c r="I169" i="13"/>
  <c r="B169" i="13"/>
  <c r="F169" i="13"/>
  <c r="E169" i="13"/>
  <c r="G169" i="13"/>
  <c r="C169" i="13"/>
  <c r="D169" i="13"/>
  <c r="J169" i="13"/>
  <c r="E13" i="88"/>
  <c r="C54" i="6"/>
  <c r="E10" i="79"/>
  <c r="G24" i="88"/>
  <c r="G44" i="88" s="1"/>
  <c r="B6" i="3"/>
  <c r="C53" i="6"/>
  <c r="E59" i="6"/>
  <c r="E27" i="6"/>
  <c r="F19" i="84"/>
  <c r="F24" i="84" s="1"/>
  <c r="J15" i="82"/>
  <c r="G55" i="6"/>
  <c r="K8" i="80"/>
  <c r="J13" i="88"/>
  <c r="D271" i="24"/>
  <c r="D1873" i="24"/>
  <c r="E1873" i="24" s="1"/>
  <c r="D1223" i="24"/>
  <c r="D1428" i="24"/>
  <c r="D1138" i="24"/>
  <c r="D2053" i="24"/>
  <c r="D1095" i="24"/>
  <c r="D455" i="24"/>
  <c r="D8" i="24"/>
  <c r="D693" i="24"/>
  <c r="D896" i="24"/>
  <c r="D1526" i="24"/>
  <c r="D257" i="24"/>
  <c r="D2149" i="24"/>
  <c r="E2149" i="24" s="1"/>
  <c r="D316" i="24"/>
  <c r="D1704" i="24"/>
  <c r="D1725" i="24"/>
  <c r="D472" i="24"/>
  <c r="D97" i="24"/>
  <c r="D100" i="24"/>
  <c r="D1088" i="24"/>
  <c r="D1805" i="24"/>
  <c r="D38" i="24"/>
  <c r="D809" i="24"/>
  <c r="D1073" i="24"/>
  <c r="D319" i="24"/>
  <c r="D1006" i="24"/>
  <c r="D1021" i="24"/>
  <c r="D671" i="24"/>
  <c r="D553" i="24"/>
  <c r="D2405" i="24"/>
  <c r="D208" i="24"/>
  <c r="D93" i="24"/>
  <c r="D1356" i="24"/>
  <c r="D1789" i="24"/>
  <c r="D136" i="24"/>
  <c r="D1349" i="24"/>
  <c r="D2500" i="24"/>
  <c r="E2500" i="24" s="1"/>
  <c r="D1320" i="24"/>
  <c r="D1213" i="24"/>
  <c r="D947" i="24"/>
  <c r="D364" i="24"/>
  <c r="E364" i="24" s="1"/>
  <c r="D677" i="24"/>
  <c r="D1206" i="24"/>
  <c r="D953" i="24"/>
  <c r="D2064" i="24"/>
  <c r="D11" i="24"/>
  <c r="D528" i="24"/>
  <c r="D1983" i="24"/>
  <c r="D2195" i="24"/>
  <c r="D2118" i="24"/>
  <c r="D2125" i="24"/>
  <c r="D2454" i="24"/>
  <c r="D341" i="24"/>
  <c r="D1556" i="24"/>
  <c r="D688" i="24"/>
  <c r="D707" i="24"/>
  <c r="D502" i="24"/>
  <c r="D184" i="24"/>
  <c r="D1487" i="24"/>
  <c r="D62" i="24"/>
  <c r="D1035" i="24"/>
  <c r="E1035" i="24" s="1"/>
  <c r="D365" i="24"/>
  <c r="D2478" i="24"/>
  <c r="D2292" i="24"/>
  <c r="D477" i="24"/>
  <c r="D37" i="24"/>
  <c r="D1476" i="24"/>
  <c r="D1222" i="24"/>
  <c r="D47" i="24"/>
  <c r="D1078" i="24"/>
  <c r="D737" i="24"/>
  <c r="D1628" i="24"/>
  <c r="D1135" i="24"/>
  <c r="E1135" i="24" s="1"/>
  <c r="D2030" i="24"/>
  <c r="D386" i="24"/>
  <c r="D1449" i="24"/>
  <c r="D109" i="24"/>
  <c r="D1679" i="24"/>
  <c r="D1925" i="24"/>
  <c r="D1069" i="24"/>
  <c r="D1038" i="24"/>
  <c r="D466" i="24"/>
  <c r="D1051" i="24"/>
  <c r="D418" i="24"/>
  <c r="D1858" i="24"/>
  <c r="D420" i="24"/>
  <c r="D1187" i="24"/>
  <c r="D323" i="24"/>
  <c r="D2508" i="24"/>
  <c r="D1499" i="24"/>
  <c r="D1018" i="24"/>
  <c r="D656" i="24"/>
  <c r="D1357" i="24"/>
  <c r="D426" i="24"/>
  <c r="D2024" i="24"/>
  <c r="D984" i="24"/>
  <c r="D732" i="24"/>
  <c r="D515" i="24"/>
  <c r="D964" i="24"/>
  <c r="D69" i="24"/>
  <c r="D1439" i="24"/>
  <c r="D1730" i="24"/>
  <c r="D1898" i="24"/>
  <c r="D2379" i="24"/>
  <c r="D808" i="24"/>
  <c r="D1667" i="24"/>
  <c r="D51" i="24"/>
  <c r="D256" i="24"/>
  <c r="D565" i="24"/>
  <c r="E565" i="24" s="1"/>
  <c r="D999" i="24"/>
  <c r="D2459" i="24"/>
  <c r="D40" i="24"/>
  <c r="D1001" i="24"/>
  <c r="D954" i="24"/>
  <c r="D902" i="24"/>
  <c r="D1865" i="24"/>
  <c r="D1033" i="24"/>
  <c r="D205" i="24"/>
  <c r="D36" i="24"/>
  <c r="E36" i="24" s="1"/>
  <c r="D1609" i="24"/>
  <c r="D2222" i="24"/>
  <c r="D1808" i="24"/>
  <c r="D34" i="24"/>
  <c r="D1952" i="24"/>
  <c r="D777" i="24"/>
  <c r="D157" i="24"/>
  <c r="D220" i="24"/>
  <c r="D1317" i="24"/>
  <c r="D380" i="24"/>
  <c r="D853" i="24"/>
  <c r="D312" i="24"/>
  <c r="D1741" i="24"/>
  <c r="D2514" i="24"/>
  <c r="E2514" i="24" s="1"/>
  <c r="D82" i="24"/>
  <c r="D223" i="24"/>
  <c r="D1824" i="24"/>
  <c r="D1705" i="24"/>
  <c r="D899" i="24"/>
  <c r="D1260" i="24"/>
  <c r="D1125" i="24"/>
  <c r="D1618" i="24"/>
  <c r="D352" i="24"/>
  <c r="E352" i="24" s="1"/>
  <c r="D1701" i="24"/>
  <c r="D1590" i="24"/>
  <c r="D702" i="24"/>
  <c r="D46" i="24"/>
  <c r="E46" i="24" s="1"/>
  <c r="D2156" i="24"/>
  <c r="D1587" i="24"/>
  <c r="D1385" i="24"/>
  <c r="D1502" i="24"/>
  <c r="D1850" i="24"/>
  <c r="D25" i="24"/>
  <c r="D1699" i="24"/>
  <c r="D2400" i="24"/>
  <c r="D1635" i="24"/>
  <c r="D405" i="24"/>
  <c r="D1722" i="24"/>
  <c r="E1722" i="24" s="1"/>
  <c r="D1857" i="24"/>
  <c r="D752" i="24"/>
  <c r="D887" i="24"/>
  <c r="D1301" i="24"/>
  <c r="D2254" i="24"/>
  <c r="D2005" i="24"/>
  <c r="D1560" i="24"/>
  <c r="D194" i="24"/>
  <c r="D1163" i="24"/>
  <c r="D1631" i="24"/>
  <c r="D409" i="24"/>
  <c r="D830" i="24"/>
  <c r="D135" i="24"/>
  <c r="D1384" i="24"/>
  <c r="D1056" i="24"/>
  <c r="D1014" i="24"/>
  <c r="D1612" i="24"/>
  <c r="D2480" i="24"/>
  <c r="D905" i="24"/>
  <c r="D1811" i="24"/>
  <c r="D2296" i="24"/>
  <c r="D1490" i="24"/>
  <c r="D1155" i="24"/>
  <c r="D1822" i="24"/>
  <c r="E1822" i="24" s="1"/>
  <c r="D1953" i="24"/>
  <c r="D1397" i="24"/>
  <c r="D788" i="24"/>
  <c r="D2509" i="24"/>
  <c r="D985" i="24"/>
  <c r="D511" i="24"/>
  <c r="D1386" i="24"/>
  <c r="D2108" i="24"/>
  <c r="D2215" i="24"/>
  <c r="D1785" i="24"/>
  <c r="D131" i="24"/>
  <c r="D2202" i="24"/>
  <c r="D2058" i="24"/>
  <c r="D273" i="24"/>
  <c r="D122" i="24"/>
  <c r="D149" i="24"/>
  <c r="D263" i="24"/>
  <c r="D1890" i="24"/>
  <c r="D526" i="24"/>
  <c r="D1137" i="24"/>
  <c r="E1137" i="24" s="1"/>
  <c r="D604" i="24"/>
  <c r="D1236" i="24"/>
  <c r="D2366" i="24"/>
  <c r="D1119" i="24"/>
  <c r="D1868" i="24"/>
  <c r="D787" i="24"/>
  <c r="D510" i="24"/>
  <c r="E510" i="24" s="1"/>
  <c r="D822" i="24"/>
  <c r="D506" i="24"/>
  <c r="D1784" i="24"/>
  <c r="D621" i="24"/>
  <c r="D739" i="24"/>
  <c r="D209" i="24"/>
  <c r="D685" i="24"/>
  <c r="D1201" i="24"/>
  <c r="D2163" i="24"/>
  <c r="D1364" i="24"/>
  <c r="D1966" i="24"/>
  <c r="D2348" i="24"/>
  <c r="D1737" i="24"/>
  <c r="D1715" i="24"/>
  <c r="D196" i="24"/>
  <c r="D970" i="24"/>
  <c r="D1459" i="24"/>
  <c r="D622" i="24"/>
  <c r="D1168" i="24"/>
  <c r="D23" i="24"/>
  <c r="D490" i="24"/>
  <c r="D2091" i="24"/>
  <c r="D1940" i="24"/>
  <c r="D2167" i="24"/>
  <c r="D1911" i="24"/>
  <c r="D2368" i="24"/>
  <c r="D1000" i="24"/>
  <c r="D1677" i="24"/>
  <c r="D1797" i="24"/>
  <c r="D2513" i="24"/>
  <c r="D2029" i="24"/>
  <c r="E2029" i="24" s="1"/>
  <c r="D849" i="24"/>
  <c r="D711" i="24"/>
  <c r="D2161" i="24"/>
  <c r="D1314" i="24"/>
  <c r="D1531" i="24"/>
  <c r="D623" i="24"/>
  <c r="D1530" i="24"/>
  <c r="D1234" i="24"/>
  <c r="D1121" i="24"/>
  <c r="D1752" i="24"/>
  <c r="D1597" i="24"/>
  <c r="D804" i="24"/>
  <c r="D847" i="24"/>
  <c r="D768" i="24"/>
  <c r="E768" i="24" s="1"/>
  <c r="D1517" i="24"/>
  <c r="D755" i="24"/>
  <c r="D1862" i="24"/>
  <c r="D1711" i="24"/>
  <c r="D687" i="24"/>
  <c r="D2316" i="24"/>
  <c r="D2305" i="24"/>
  <c r="D574" i="24"/>
  <c r="D658" i="24"/>
  <c r="D2309" i="24"/>
  <c r="D1653" i="24"/>
  <c r="D247" i="24"/>
  <c r="D367" i="24"/>
  <c r="D2103" i="24"/>
  <c r="D2219" i="24"/>
  <c r="D2180" i="24"/>
  <c r="D2080" i="24"/>
  <c r="D1700" i="24"/>
  <c r="D235" i="24"/>
  <c r="D1961" i="24"/>
  <c r="D552" i="24"/>
  <c r="D286" i="24"/>
  <c r="D27" i="24"/>
  <c r="D779" i="24"/>
  <c r="D2247" i="24"/>
  <c r="D353" i="24"/>
  <c r="D434" i="24"/>
  <c r="D625" i="24"/>
  <c r="D547" i="24"/>
  <c r="D2032" i="24"/>
  <c r="D764" i="24"/>
  <c r="D576" i="24"/>
  <c r="D1656" i="24"/>
  <c r="D120" i="24"/>
  <c r="D523" i="24"/>
  <c r="D1714" i="24"/>
  <c r="D1588" i="24"/>
  <c r="D1575" i="24"/>
  <c r="D1513" i="24"/>
  <c r="D751" i="24"/>
  <c r="D462" i="24"/>
  <c r="D325" i="24"/>
  <c r="D909" i="24"/>
  <c r="D1030" i="24"/>
  <c r="D198" i="24"/>
  <c r="D644" i="24"/>
  <c r="D1493" i="24"/>
  <c r="D2486" i="24"/>
  <c r="D627" i="24"/>
  <c r="D1749" i="24"/>
  <c r="D573" i="24"/>
  <c r="D1217" i="24"/>
  <c r="D1793" i="24"/>
  <c r="D2099" i="24"/>
  <c r="D2447" i="24"/>
  <c r="D1112" i="24"/>
  <c r="D1994" i="24"/>
  <c r="D1117" i="24"/>
  <c r="D1760" i="24"/>
  <c r="D518" i="24"/>
  <c r="E518" i="24" s="1"/>
  <c r="D1037" i="24"/>
  <c r="E1037" i="24" s="1"/>
  <c r="D1584" i="24"/>
  <c r="D441" i="24"/>
  <c r="D1097" i="24"/>
  <c r="D996" i="24"/>
  <c r="D1962" i="24"/>
  <c r="D311" i="24"/>
  <c r="D1237" i="24"/>
  <c r="D211" i="24"/>
  <c r="D1238" i="24"/>
  <c r="D1746" i="24"/>
  <c r="D676" i="24"/>
  <c r="E676" i="24" s="1"/>
  <c r="D831" i="24"/>
  <c r="D395" i="24"/>
  <c r="D2474" i="24"/>
  <c r="D1799" i="24"/>
  <c r="E1799" i="24" s="1"/>
  <c r="D460" i="24"/>
  <c r="D571" i="24"/>
  <c r="D1800" i="24"/>
  <c r="D2089" i="24"/>
  <c r="D1832" i="24"/>
  <c r="D126" i="24"/>
  <c r="D2519" i="24"/>
  <c r="D2100" i="24"/>
  <c r="E2100" i="24" s="1"/>
  <c r="D421" i="24"/>
  <c r="D2436" i="24"/>
  <c r="D54" i="24"/>
  <c r="D2411" i="24"/>
  <c r="D2145" i="24"/>
  <c r="D203" i="24"/>
  <c r="D1340" i="24"/>
  <c r="D2332" i="24"/>
  <c r="D1096" i="24"/>
  <c r="D267" i="24"/>
  <c r="D1613" i="24"/>
  <c r="D1643" i="24"/>
  <c r="E1643" i="24" s="1"/>
  <c r="D2178" i="24"/>
  <c r="D2144" i="24"/>
  <c r="E2144" i="24" s="1"/>
  <c r="D1568" i="24"/>
  <c r="D1549" i="24"/>
  <c r="D692" i="24"/>
  <c r="D1576" i="24"/>
  <c r="D85" i="24"/>
  <c r="D142" i="24"/>
  <c r="D1425" i="24"/>
  <c r="D379" i="24"/>
  <c r="E379" i="24" s="1"/>
  <c r="D882" i="24"/>
  <c r="D1972" i="24"/>
  <c r="E1972" i="24" s="1"/>
  <c r="D219" i="24"/>
  <c r="D888" i="24"/>
  <c r="D216" i="24"/>
  <c r="D2044" i="24"/>
  <c r="D2329" i="24"/>
  <c r="D1954" i="24"/>
  <c r="D2205" i="24"/>
  <c r="D578" i="24"/>
  <c r="D2113" i="24"/>
  <c r="D798" i="24"/>
  <c r="D1694" i="24"/>
  <c r="D1721" i="24"/>
  <c r="D1196" i="24"/>
  <c r="D1558" i="24"/>
  <c r="D837" i="24"/>
  <c r="D871" i="24"/>
  <c r="D1303" i="24"/>
  <c r="D1889" i="24"/>
  <c r="E1889" i="24" s="1"/>
  <c r="D476" i="24"/>
  <c r="D2302" i="24"/>
  <c r="D397" i="24"/>
  <c r="D1523" i="24"/>
  <c r="D1173" i="24"/>
  <c r="D2196" i="24"/>
  <c r="E2196" i="24" s="1"/>
  <c r="D660" i="24"/>
  <c r="D1728" i="24"/>
  <c r="D1703" i="24"/>
  <c r="E1703" i="24" s="1"/>
  <c r="D952" i="24"/>
  <c r="D366" i="24"/>
  <c r="D221" i="24"/>
  <c r="D936" i="24"/>
  <c r="D1617" i="24"/>
  <c r="D227" i="24"/>
  <c r="D503" i="24"/>
  <c r="D1939" i="24"/>
  <c r="D1886" i="24"/>
  <c r="D1077" i="24"/>
  <c r="D2326" i="24"/>
  <c r="D1011" i="24"/>
  <c r="D411" i="24"/>
  <c r="D487" i="24"/>
  <c r="D637" i="24"/>
  <c r="D2087" i="24"/>
  <c r="D1892" i="24"/>
  <c r="D1666" i="24"/>
  <c r="D1923" i="24"/>
  <c r="D1120" i="24"/>
  <c r="D2211" i="24"/>
  <c r="D1379" i="24"/>
  <c r="D478" i="24"/>
  <c r="D1581" i="24"/>
  <c r="D45" i="24"/>
  <c r="D535" i="24"/>
  <c r="D1672" i="24"/>
  <c r="D2512" i="24"/>
  <c r="D1992" i="24"/>
  <c r="D1019" i="24"/>
  <c r="D2465" i="24"/>
  <c r="D2268" i="24"/>
  <c r="D708" i="24"/>
  <c r="E707" i="24" s="1"/>
  <c r="D2152" i="24"/>
  <c r="D2408" i="24"/>
  <c r="D346" i="24"/>
  <c r="D2476" i="24"/>
  <c r="D2276" i="24"/>
  <c r="D1745" i="24"/>
  <c r="E1745" i="24" s="1"/>
  <c r="D2109" i="24"/>
  <c r="D1216" i="24"/>
  <c r="D412" i="24"/>
  <c r="D1292" i="24"/>
  <c r="D2463" i="24"/>
  <c r="D628" i="24"/>
  <c r="D611" i="24"/>
  <c r="D2344" i="24"/>
  <c r="D1716" i="24"/>
  <c r="D114" i="24"/>
  <c r="D192" i="24"/>
  <c r="D42" i="24"/>
  <c r="D2116" i="24"/>
  <c r="D168" i="24"/>
  <c r="D186" i="24"/>
  <c r="D1341" i="24"/>
  <c r="D897" i="24"/>
  <c r="D1153" i="24"/>
  <c r="E1153" i="24" s="1"/>
  <c r="D917" i="24"/>
  <c r="D736" i="24"/>
  <c r="D1717" i="24"/>
  <c r="D1342" i="24"/>
  <c r="D700" i="24"/>
  <c r="D1451" i="24"/>
  <c r="D509" i="24"/>
  <c r="D715" i="24"/>
  <c r="D1843" i="24"/>
  <c r="D1265" i="24"/>
  <c r="D1200" i="24"/>
  <c r="E1200" i="24" s="1"/>
  <c r="D963" i="24"/>
  <c r="E963" i="24" s="1"/>
  <c r="D843" i="24"/>
  <c r="D629" i="24"/>
  <c r="D339" i="24"/>
  <c r="D2105" i="24"/>
  <c r="D938" i="24"/>
  <c r="D1170" i="24"/>
  <c r="D272" i="24"/>
  <c r="E272" i="24" s="1"/>
  <c r="D1199" i="24"/>
  <c r="E1199" i="24" s="1"/>
  <c r="D191" i="24"/>
  <c r="D2318" i="24"/>
  <c r="D2139" i="24"/>
  <c r="D414" i="24"/>
  <c r="D2173" i="24"/>
  <c r="D533" i="24"/>
  <c r="D1782" i="24"/>
  <c r="D101" i="24"/>
  <c r="D564" i="24"/>
  <c r="D128" i="24"/>
  <c r="D108" i="24"/>
  <c r="E108" i="24" s="1"/>
  <c r="D486" i="24"/>
  <c r="D1773" i="24"/>
  <c r="D1228" i="24"/>
  <c r="D866" i="24"/>
  <c r="D1501" i="24"/>
  <c r="D725" i="24"/>
  <c r="D722" i="24"/>
  <c r="D1257" i="24"/>
  <c r="D1377" i="24"/>
  <c r="E1377" i="24" s="1"/>
  <c r="D1958" i="24"/>
  <c r="D90" i="24"/>
  <c r="D1593" i="24"/>
  <c r="D783" i="24"/>
  <c r="D1787" i="24"/>
  <c r="D829" i="24"/>
  <c r="D1997" i="24"/>
  <c r="D765" i="24"/>
  <c r="E765" i="24" s="1"/>
  <c r="D2112" i="24"/>
  <c r="D1396" i="24"/>
  <c r="D926" i="24"/>
  <c r="D1542" i="24"/>
  <c r="D1139" i="24"/>
  <c r="D648" i="24"/>
  <c r="D1279" i="24"/>
  <c r="D180" i="24"/>
  <c r="D112" i="24"/>
  <c r="D2371" i="24"/>
  <c r="D1321" i="24"/>
  <c r="D374" i="24"/>
  <c r="D731" i="24"/>
  <c r="D1358" i="24"/>
  <c r="D1652" i="24"/>
  <c r="D1638" i="24"/>
  <c r="E1638" i="24" s="1"/>
  <c r="D163" i="24"/>
  <c r="D1605" i="24"/>
  <c r="D1312" i="24"/>
  <c r="D210" i="24"/>
  <c r="D1727" i="24"/>
  <c r="E1727" i="24" s="1"/>
  <c r="D1070" i="24"/>
  <c r="D1480" i="24"/>
  <c r="D1629" i="24"/>
  <c r="D1967" i="24"/>
  <c r="D17" i="24"/>
  <c r="D1506" i="24"/>
  <c r="D2403" i="24"/>
  <c r="D1335" i="24"/>
  <c r="D1448" i="24"/>
  <c r="E1448" i="24" s="1"/>
  <c r="D2060" i="24"/>
  <c r="D1043" i="24"/>
  <c r="D2490" i="24"/>
  <c r="D2269" i="24"/>
  <c r="D202" i="24"/>
  <c r="D940" i="24"/>
  <c r="E940" i="24" s="1"/>
  <c r="D1175" i="24"/>
  <c r="D1503" i="24"/>
  <c r="D2288" i="24"/>
  <c r="D484" i="24"/>
  <c r="D1845" i="24"/>
  <c r="D1726" i="24"/>
  <c r="D1820" i="24"/>
  <c r="D2177" i="24"/>
  <c r="E2177" i="24" s="1"/>
  <c r="D1515" i="24"/>
  <c r="D2210" i="24"/>
  <c r="D1709" i="24"/>
  <c r="D2274" i="24"/>
  <c r="E2274" i="24" s="1"/>
  <c r="D2263" i="24"/>
  <c r="D2203" i="24"/>
  <c r="D2351" i="24"/>
  <c r="D2197" i="24"/>
  <c r="D2135" i="24"/>
  <c r="D1684" i="24"/>
  <c r="D2516" i="24"/>
  <c r="D2010" i="24"/>
  <c r="D308" i="24"/>
  <c r="D619" i="24"/>
  <c r="D738" i="24"/>
  <c r="E738" i="24" s="1"/>
  <c r="D624" i="24"/>
  <c r="E624" i="24" s="1"/>
  <c r="D971" i="24"/>
  <c r="D1885" i="24"/>
  <c r="D1042" i="24"/>
  <c r="E1042" i="24" s="1"/>
  <c r="D1742" i="24"/>
  <c r="D615" i="24"/>
  <c r="D678" i="24"/>
  <c r="D1768" i="24"/>
  <c r="D785" i="24"/>
  <c r="D2027" i="24"/>
  <c r="D349" i="24"/>
  <c r="D852" i="24"/>
  <c r="D1099" i="24"/>
  <c r="D1463" i="24"/>
  <c r="D321" i="24"/>
  <c r="D993" i="24"/>
  <c r="D2204" i="24"/>
  <c r="D2369" i="24"/>
  <c r="D793" i="24"/>
  <c r="D92" i="24"/>
  <c r="E92" i="24" s="1"/>
  <c r="D2304" i="24"/>
  <c r="D1561" i="24"/>
  <c r="D84" i="24"/>
  <c r="E84" i="24" s="1"/>
  <c r="D106" i="24"/>
  <c r="D1642" i="24"/>
  <c r="E1642" i="24" s="1"/>
  <c r="D315" i="24"/>
  <c r="E315" i="24" s="1"/>
  <c r="D1860" i="24"/>
  <c r="D326" i="24"/>
  <c r="D1625" i="24"/>
  <c r="D1510" i="24"/>
  <c r="D1563" i="24"/>
  <c r="D2285" i="24"/>
  <c r="D1259" i="24"/>
  <c r="E1259" i="24" s="1"/>
  <c r="D165" i="24"/>
  <c r="D1562" i="24"/>
  <c r="D1539" i="24"/>
  <c r="D1025" i="24"/>
  <c r="E1025" i="24" s="1"/>
  <c r="D1101" i="24"/>
  <c r="D278" i="24"/>
  <c r="D2333" i="24"/>
  <c r="D288" i="24"/>
  <c r="D876" i="24"/>
  <c r="D636" i="24"/>
  <c r="D501" i="24"/>
  <c r="D1169" i="24"/>
  <c r="D19" i="24"/>
  <c r="D1256" i="24"/>
  <c r="D898" i="24"/>
  <c r="D950" i="24"/>
  <c r="E950" i="24" s="1"/>
  <c r="D918" i="24"/>
  <c r="D1489" i="24"/>
  <c r="E1489" i="24" s="1"/>
  <c r="D1152" i="24"/>
  <c r="D900" i="24"/>
  <c r="D901" i="24"/>
  <c r="D1853" i="24"/>
  <c r="D714" i="24"/>
  <c r="E714" i="24" s="1"/>
  <c r="D2278" i="24"/>
  <c r="D1804" i="24"/>
  <c r="D1848" i="24"/>
  <c r="D1827" i="24"/>
  <c r="D2359" i="24"/>
  <c r="D726" i="24"/>
  <c r="D1440" i="24"/>
  <c r="D436" i="24"/>
  <c r="D16" i="24"/>
  <c r="E16" i="24" s="1"/>
  <c r="D2104" i="24"/>
  <c r="D351" i="24"/>
  <c r="D470" i="24"/>
  <c r="D997" i="24"/>
  <c r="D2069" i="24"/>
  <c r="D1378" i="24"/>
  <c r="E1378" i="24" s="1"/>
  <c r="D1930" i="24"/>
  <c r="D869" i="24"/>
  <c r="E869" i="24" s="1"/>
  <c r="D616" i="24"/>
  <c r="D2243" i="24"/>
  <c r="D306" i="24"/>
  <c r="D776" i="24"/>
  <c r="D1227" i="24"/>
  <c r="D1458" i="24"/>
  <c r="D2410" i="24"/>
  <c r="D646" i="24"/>
  <c r="D1108" i="24"/>
  <c r="D1901" i="24"/>
  <c r="D2308" i="24"/>
  <c r="D1914" i="24"/>
  <c r="D1290" i="24"/>
  <c r="D1278" i="24"/>
  <c r="D1143" i="24"/>
  <c r="D1900" i="24"/>
  <c r="D2425" i="24"/>
  <c r="D1926" i="24"/>
  <c r="D2114" i="24"/>
  <c r="D2352" i="24"/>
  <c r="D1606" i="24"/>
  <c r="D2142" i="24"/>
  <c r="D1460" i="24"/>
  <c r="D2346" i="24"/>
  <c r="E2346" i="24" s="1"/>
  <c r="D2467" i="24"/>
  <c r="D548" i="24"/>
  <c r="D1288" i="24"/>
  <c r="D770" i="24"/>
  <c r="D632" i="24"/>
  <c r="D1212" i="24"/>
  <c r="D2238" i="24"/>
  <c r="D1948" i="24"/>
  <c r="D1572" i="24"/>
  <c r="D482" i="24"/>
  <c r="D356" i="24"/>
  <c r="D370" i="24"/>
  <c r="D555" i="24"/>
  <c r="D151" i="24"/>
  <c r="D161" i="24"/>
  <c r="D844" i="24"/>
  <c r="D1841" i="24"/>
  <c r="D1231" i="24"/>
  <c r="D1484" i="24"/>
  <c r="D1744" i="24"/>
  <c r="D929" i="24"/>
  <c r="D944" i="24"/>
  <c r="D1182" i="24"/>
  <c r="D1950" i="24"/>
  <c r="E1950" i="24" s="1"/>
  <c r="D2200" i="24"/>
  <c r="D1968" i="24"/>
  <c r="D1996" i="24"/>
  <c r="E1996" i="24" s="1"/>
  <c r="D2231" i="24"/>
  <c r="D147" i="24"/>
  <c r="D2227" i="24"/>
  <c r="D2143" i="24"/>
  <c r="D1645" i="24"/>
  <c r="D137" i="24"/>
  <c r="D1017" i="24"/>
  <c r="E1017" i="24" s="1"/>
  <c r="D1210" i="24"/>
  <c r="D893" i="24"/>
  <c r="D998" i="24"/>
  <c r="D718" i="24"/>
  <c r="D76" i="24"/>
  <c r="D2386" i="24"/>
  <c r="D1442" i="24"/>
  <c r="D794" i="24"/>
  <c r="D1093" i="24"/>
  <c r="D1975" i="24"/>
  <c r="D291" i="24"/>
  <c r="D1417" i="24"/>
  <c r="D2484" i="24"/>
  <c r="D663" i="24"/>
  <c r="E663" i="24" s="1"/>
  <c r="D1080" i="24"/>
  <c r="D1601" i="24"/>
  <c r="D1695" i="24"/>
  <c r="D338" i="24"/>
  <c r="E338" i="24" s="1"/>
  <c r="D981" i="24"/>
  <c r="D966" i="24"/>
  <c r="D838" i="24"/>
  <c r="D2524" i="24"/>
  <c r="D1989" i="24"/>
  <c r="D2022" i="24"/>
  <c r="D1081" i="24"/>
  <c r="D1976" i="24"/>
  <c r="D512" i="24"/>
  <c r="D480" i="24"/>
  <c r="D683" i="24"/>
  <c r="D1126" i="24"/>
  <c r="D1013" i="24"/>
  <c r="E1013" i="24" s="1"/>
  <c r="D1963" i="24"/>
  <c r="D249" i="24"/>
  <c r="D262" i="24"/>
  <c r="D758" i="24"/>
  <c r="D1243" i="24"/>
  <c r="D2335" i="24"/>
  <c r="D440" i="24"/>
  <c r="D796" i="24"/>
  <c r="D332" i="24"/>
  <c r="D1348" i="24"/>
  <c r="D1202" i="24"/>
  <c r="D1022" i="24"/>
  <c r="D883" i="24"/>
  <c r="D422" i="24"/>
  <c r="D2158" i="24"/>
  <c r="D544" i="24"/>
  <c r="D1831" i="24"/>
  <c r="D57" i="24"/>
  <c r="D2031" i="24"/>
  <c r="E2031" i="24" s="1"/>
  <c r="D912" i="24"/>
  <c r="D2148" i="24"/>
  <c r="D1639" i="24"/>
  <c r="D2194" i="24"/>
  <c r="D10" i="24"/>
  <c r="E10" i="24" s="1"/>
  <c r="D581" i="24"/>
  <c r="D2507" i="24"/>
  <c r="D290" i="24"/>
  <c r="D1472" i="24"/>
  <c r="D1668" i="24"/>
  <c r="D1328" i="24"/>
  <c r="D1270" i="24"/>
  <c r="E1270" i="24" s="1"/>
  <c r="D229" i="24"/>
  <c r="D1218" i="24"/>
  <c r="D2106" i="24"/>
  <c r="D924" i="24"/>
  <c r="D1578" i="24"/>
  <c r="D2310" i="24"/>
  <c r="D340" i="24"/>
  <c r="E340" i="24" s="1"/>
  <c r="D2101" i="24"/>
  <c r="D1987" i="24"/>
  <c r="D330" i="24"/>
  <c r="D376" i="24"/>
  <c r="D1246" i="24"/>
  <c r="E1246" i="24" s="1"/>
  <c r="D2021" i="24"/>
  <c r="D1471" i="24"/>
  <c r="D2301" i="24"/>
  <c r="E2301" i="24" s="1"/>
  <c r="D2003" i="24"/>
  <c r="D1325" i="24"/>
  <c r="D2385" i="24"/>
  <c r="D586" i="24"/>
  <c r="D989" i="24"/>
  <c r="D382" i="24"/>
  <c r="D1128" i="24"/>
  <c r="D2208" i="24"/>
  <c r="D659" i="24"/>
  <c r="D908" i="24"/>
  <c r="E908" i="24" s="1"/>
  <c r="D983" i="24"/>
  <c r="E983" i="24" s="1"/>
  <c r="D1739" i="24"/>
  <c r="D1719" i="24"/>
  <c r="D1415" i="24"/>
  <c r="D1718" i="24"/>
  <c r="D2314" i="24"/>
  <c r="D1670" i="24"/>
  <c r="D237" i="24"/>
  <c r="E237" i="24" s="1"/>
  <c r="D2232" i="24"/>
  <c r="D430" i="24"/>
  <c r="D1142" i="24"/>
  <c r="E1142" i="24" s="1"/>
  <c r="D483" i="24"/>
  <c r="D239" i="24"/>
  <c r="D2265" i="24"/>
  <c r="D261" i="24"/>
  <c r="E261" i="24" s="1"/>
  <c r="D645" i="24"/>
  <c r="D1420" i="24"/>
  <c r="D2138" i="24"/>
  <c r="E2138" i="24" s="1"/>
  <c r="D1016" i="24"/>
  <c r="D43" i="24"/>
  <c r="D121" i="24"/>
  <c r="D2015" i="24"/>
  <c r="D2248" i="24"/>
  <c r="D753" i="24"/>
  <c r="D2095" i="24"/>
  <c r="D1132" i="24"/>
  <c r="D872" i="24"/>
  <c r="D1281" i="24"/>
  <c r="D2086" i="24"/>
  <c r="D860" i="24"/>
  <c r="D2361" i="24"/>
  <c r="D1054" i="24"/>
  <c r="D1544" i="24"/>
  <c r="D1462" i="24"/>
  <c r="E1462" i="24" s="1"/>
  <c r="D1753" i="24"/>
  <c r="D2256" i="24"/>
  <c r="D1414" i="24"/>
  <c r="D1876" i="24"/>
  <c r="D182" i="24"/>
  <c r="D238" i="24"/>
  <c r="D680" i="24"/>
  <c r="D1607" i="24"/>
  <c r="D530" i="24"/>
  <c r="D1346" i="24"/>
  <c r="D811" i="24"/>
  <c r="D1399" i="24"/>
  <c r="D2122" i="24"/>
  <c r="D1660" i="24"/>
  <c r="D1203" i="24"/>
  <c r="D1624" i="24"/>
  <c r="D2081" i="24"/>
  <c r="E2081" i="24" s="1"/>
  <c r="D652" i="24"/>
  <c r="D584" i="24"/>
  <c r="D1751" i="24"/>
  <c r="D1102" i="24"/>
  <c r="D20" i="24"/>
  <c r="D1569" i="24"/>
  <c r="D1400" i="24"/>
  <c r="D1404" i="24"/>
  <c r="E1404" i="24" s="1"/>
  <c r="D465" i="24"/>
  <c r="D444" i="24"/>
  <c r="D2394" i="24"/>
  <c r="D769" i="24"/>
  <c r="E769" i="24" s="1"/>
  <c r="D1106" i="24"/>
  <c r="E1106" i="24" s="1"/>
  <c r="D2488" i="24"/>
  <c r="D98" i="24"/>
  <c r="D1107" i="24"/>
  <c r="E1107" i="24" s="1"/>
  <c r="D870" i="24"/>
  <c r="E870" i="24" s="1"/>
  <c r="D1955" i="24"/>
  <c r="D2159" i="24"/>
  <c r="D1697" i="24"/>
  <c r="D1777" i="24"/>
  <c r="D89" i="24"/>
  <c r="D407" i="24"/>
  <c r="D1641" i="24"/>
  <c r="D579" i="24"/>
  <c r="D2445" i="24"/>
  <c r="D133" i="24"/>
  <c r="D1074" i="24"/>
  <c r="D2448" i="24"/>
  <c r="D1978" i="24"/>
  <c r="D1783" i="24"/>
  <c r="D187" i="24"/>
  <c r="D1469" i="24"/>
  <c r="D30" i="24"/>
  <c r="D674" i="24"/>
  <c r="D2418" i="24"/>
  <c r="E2418" i="24" s="1"/>
  <c r="D597" i="24"/>
  <c r="D378" i="24"/>
  <c r="E378" i="24" s="1"/>
  <c r="D1338" i="24"/>
  <c r="D595" i="24"/>
  <c r="D757" i="24"/>
  <c r="E757" i="24" s="1"/>
  <c r="D1245" i="24"/>
  <c r="D2469" i="24"/>
  <c r="D1765" i="24"/>
  <c r="D2045" i="24"/>
  <c r="D2426" i="24"/>
  <c r="D167" i="24"/>
  <c r="E167" i="24" s="1"/>
  <c r="D1764" i="24"/>
  <c r="D2237" i="24"/>
  <c r="D762" i="24"/>
  <c r="D602" i="24"/>
  <c r="D2035" i="24"/>
  <c r="D2088" i="24"/>
  <c r="E2088" i="24" s="1"/>
  <c r="D2396" i="24"/>
  <c r="D1248" i="24"/>
  <c r="D255" i="24"/>
  <c r="E255" i="24" s="1"/>
  <c r="D9" i="24"/>
  <c r="E9" i="24" s="1"/>
  <c r="D446" i="24"/>
  <c r="D1109" i="24"/>
  <c r="D492" i="24"/>
  <c r="D1600" i="24"/>
  <c r="D2360" i="24"/>
  <c r="D1881" i="24"/>
  <c r="D230" i="24"/>
  <c r="D2321" i="24"/>
  <c r="D1028" i="24"/>
  <c r="D1514" i="24"/>
  <c r="E1514" i="24" s="1"/>
  <c r="D2523" i="24"/>
  <c r="D1495" i="24"/>
  <c r="D1491" i="24"/>
  <c r="D626" i="24"/>
  <c r="D1621" i="24"/>
  <c r="D1674" i="24"/>
  <c r="D297" i="24"/>
  <c r="D1273" i="24"/>
  <c r="D1286" i="24"/>
  <c r="D1416" i="24"/>
  <c r="D1048" i="24"/>
  <c r="D197" i="24"/>
  <c r="E197" i="24" s="1"/>
  <c r="D156" i="24"/>
  <c r="D600" i="24"/>
  <c r="D675" i="24"/>
  <c r="D540" i="24"/>
  <c r="D2438" i="24"/>
  <c r="D1261" i="24"/>
  <c r="D1444" i="24"/>
  <c r="D1692" i="24"/>
  <c r="D1555" i="24"/>
  <c r="E1555" i="24" s="1"/>
  <c r="D1426" i="24"/>
  <c r="D419" i="24"/>
  <c r="E419" i="24" s="1"/>
  <c r="D116" i="24"/>
  <c r="D1068" i="24"/>
  <c r="D1249" i="24"/>
  <c r="D2072" i="24"/>
  <c r="D439" i="24"/>
  <c r="D18" i="24"/>
  <c r="D562" i="24"/>
  <c r="D283" i="24"/>
  <c r="D2130" i="24"/>
  <c r="D94" i="24"/>
  <c r="D1264" i="24"/>
  <c r="E1264" i="24" s="1"/>
  <c r="D701" i="24"/>
  <c r="D1172" i="24"/>
  <c r="D2054" i="24"/>
  <c r="E2054" i="24" s="1"/>
  <c r="D2043" i="24"/>
  <c r="D698" i="24"/>
  <c r="D1082" i="24"/>
  <c r="D2428" i="24"/>
  <c r="D2009" i="24"/>
  <c r="D1188" i="24"/>
  <c r="D2502" i="24"/>
  <c r="D1934" i="24"/>
  <c r="D2382" i="24"/>
  <c r="D958" i="24"/>
  <c r="D134" i="24"/>
  <c r="D1394" i="24"/>
  <c r="E1394" i="24" s="1"/>
  <c r="D75" i="24"/>
  <c r="E75" i="24" s="1"/>
  <c r="D1089" i="24"/>
  <c r="D1867" i="24"/>
  <c r="D906" i="24"/>
  <c r="D2070" i="24"/>
  <c r="D2331" i="24"/>
  <c r="D949" i="24"/>
  <c r="D1807" i="24"/>
  <c r="D1895" i="24"/>
  <c r="D1931" i="24"/>
  <c r="D2181" i="24"/>
  <c r="D2190" i="24"/>
  <c r="E2190" i="24" s="1"/>
  <c r="D268" i="24"/>
  <c r="D1361" i="24"/>
  <c r="D2216" i="24"/>
  <c r="D2067" i="24"/>
  <c r="D694" i="24"/>
  <c r="D1708" i="24"/>
  <c r="E1708" i="24" s="1"/>
  <c r="D145" i="24"/>
  <c r="D322" i="24"/>
  <c r="D1315" i="24"/>
  <c r="D522" i="24"/>
  <c r="E522" i="24" s="1"/>
  <c r="D1646" i="24"/>
  <c r="E1646" i="24" s="1"/>
  <c r="D170" i="24"/>
  <c r="D662" i="24"/>
  <c r="D1647" i="24"/>
  <c r="D1823" i="24"/>
  <c r="D2466" i="24"/>
  <c r="D1366" i="24"/>
  <c r="D1271" i="24"/>
  <c r="D747" i="24"/>
  <c r="D481" i="24"/>
  <c r="D1814" i="24"/>
  <c r="D1713" i="24"/>
  <c r="D389" i="24"/>
  <c r="D1550" i="24"/>
  <c r="D1131" i="24"/>
  <c r="D1371" i="24"/>
  <c r="D686" i="24"/>
  <c r="D1438" i="24"/>
  <c r="D1522" i="24"/>
  <c r="D1029" i="24"/>
  <c r="E1029" i="24" s="1"/>
  <c r="D2446" i="24"/>
  <c r="D1098" i="24"/>
  <c r="D1319" i="24"/>
  <c r="E1319" i="24" s="1"/>
  <c r="D1863" i="24"/>
  <c r="D1067" i="24"/>
  <c r="D1766" i="24"/>
  <c r="E1766" i="24" s="1"/>
  <c r="D1589" i="24"/>
  <c r="D1373" i="24"/>
  <c r="D117" i="24"/>
  <c r="D1663" i="24"/>
  <c r="E1663" i="24" s="1"/>
  <c r="D1041" i="24"/>
  <c r="D2419" i="24"/>
  <c r="D207" i="24"/>
  <c r="D2187" i="24"/>
  <c r="D423" i="24"/>
  <c r="D1268" i="24"/>
  <c r="D2082" i="24"/>
  <c r="D2389" i="24"/>
  <c r="E2389" i="24" s="1"/>
  <c r="D200" i="24"/>
  <c r="D461" i="24"/>
  <c r="E461" i="24" s="1"/>
  <c r="D1981" i="24"/>
  <c r="D2295" i="24"/>
  <c r="D1045" i="24"/>
  <c r="D729" i="24"/>
  <c r="D404" i="24"/>
  <c r="E404" i="24" s="1"/>
  <c r="D2431" i="24"/>
  <c r="D741" i="24"/>
  <c r="D894" i="24"/>
  <c r="D2439" i="24"/>
  <c r="D2392" i="24"/>
  <c r="D224" i="24"/>
  <c r="D955" i="24"/>
  <c r="D1026" i="24"/>
  <c r="D1176" i="24"/>
  <c r="E1176" i="24" s="1"/>
  <c r="D2452" i="24"/>
  <c r="D1816" i="24"/>
  <c r="D302" i="24"/>
  <c r="D390" i="24"/>
  <c r="D1274" i="24"/>
  <c r="D1835" i="24"/>
  <c r="D206" i="24"/>
  <c r="E206" i="24" s="1"/>
  <c r="D1071" i="24"/>
  <c r="E1071" i="24" s="1"/>
  <c r="D280" i="24"/>
  <c r="D1602" i="24"/>
  <c r="D1724" i="24"/>
  <c r="D2075" i="24"/>
  <c r="D890" i="24"/>
  <c r="D337" i="24"/>
  <c r="E337" i="24" s="1"/>
  <c r="D1189" i="24"/>
  <c r="D1801" i="24"/>
  <c r="D2281" i="24"/>
  <c r="D1658" i="24"/>
  <c r="D29" i="24"/>
  <c r="D2291" i="24"/>
  <c r="E2291" i="24" s="1"/>
  <c r="D1427" i="24"/>
  <c r="D1262" i="24"/>
  <c r="D1729" i="24"/>
  <c r="D1047" i="24"/>
  <c r="E1047" i="24" s="1"/>
  <c r="D2464" i="24"/>
  <c r="D2384" i="24"/>
  <c r="E2384" i="24" s="1"/>
  <c r="D453" i="24"/>
  <c r="D1477" i="24"/>
  <c r="D1594" i="24"/>
  <c r="D704" i="24"/>
  <c r="D1592" i="24"/>
  <c r="E1592" i="24" s="1"/>
  <c r="D987" i="24"/>
  <c r="E987" i="24" s="1"/>
  <c r="D1307" i="24"/>
  <c r="D1151" i="24"/>
  <c r="E1151" i="24" s="1"/>
  <c r="D1945" i="24"/>
  <c r="D1127" i="24"/>
  <c r="D1990" i="24"/>
  <c r="D1402" i="24"/>
  <c r="D2126" i="24"/>
  <c r="D681" i="24"/>
  <c r="D2355" i="24"/>
  <c r="D1566" i="24"/>
  <c r="D1794" i="24"/>
  <c r="D1374" i="24"/>
  <c r="D784" i="24"/>
  <c r="D2225" i="24"/>
  <c r="D992" i="24"/>
  <c r="D155" i="24"/>
  <c r="D1909" i="24"/>
  <c r="D1230" i="24"/>
  <c r="D119" i="24"/>
  <c r="D827" i="24"/>
  <c r="D1370" i="24"/>
  <c r="D345" i="24"/>
  <c r="D358" i="24"/>
  <c r="D1640" i="24"/>
  <c r="D1252" i="24"/>
  <c r="D1309" i="24"/>
  <c r="D570" i="24"/>
  <c r="D171" i="24"/>
  <c r="D1114" i="24"/>
  <c r="D1551" i="24"/>
  <c r="D1880" i="24"/>
  <c r="E1880" i="24" s="1"/>
  <c r="D2511" i="24"/>
  <c r="E2511" i="24" s="1"/>
  <c r="D1676" i="24"/>
  <c r="D2354" i="24"/>
  <c r="D225" i="24"/>
  <c r="D2453" i="24"/>
  <c r="E2453" i="24" s="1"/>
  <c r="D279" i="24"/>
  <c r="E279" i="24" s="1"/>
  <c r="D761" i="24"/>
  <c r="E761" i="24" s="1"/>
  <c r="D2226" i="24"/>
  <c r="E2226" i="24" s="1"/>
  <c r="D690" i="24"/>
  <c r="D304" i="24"/>
  <c r="D691" i="24"/>
  <c r="D1740" i="24"/>
  <c r="E1740" i="24" s="1"/>
  <c r="D1350" i="24"/>
  <c r="D2246" i="24"/>
  <c r="D2307" i="24"/>
  <c r="D1999" i="24"/>
  <c r="D525" i="24"/>
  <c r="E525" i="24" s="1"/>
  <c r="D1004" i="24"/>
  <c r="D1336" i="24"/>
  <c r="D549" i="24"/>
  <c r="D2363" i="24"/>
  <c r="D2328" i="24"/>
  <c r="D1871" i="24"/>
  <c r="D609" i="24"/>
  <c r="D415" i="24"/>
  <c r="D560" i="24"/>
  <c r="D2165" i="24"/>
  <c r="D1177" i="24"/>
  <c r="D1988" i="24"/>
  <c r="D1935" i="24"/>
  <c r="D53" i="24"/>
  <c r="D1733" i="24"/>
  <c r="D2298" i="24"/>
  <c r="D95" i="24"/>
  <c r="D960" i="24"/>
  <c r="D144" i="24"/>
  <c r="D865" i="24"/>
  <c r="D2006" i="24"/>
  <c r="D569" i="24"/>
  <c r="E569" i="24" s="1"/>
  <c r="D1240" i="24"/>
  <c r="D1423" i="24"/>
  <c r="E1423" i="24" s="1"/>
  <c r="D1409" i="24"/>
  <c r="D1691" i="24"/>
  <c r="D1982" i="24"/>
  <c r="E1982" i="24" s="1"/>
  <c r="D1706" i="24"/>
  <c r="D2132" i="24"/>
  <c r="D2223" i="24"/>
  <c r="D748" i="24"/>
  <c r="D2218" i="24"/>
  <c r="E2218" i="24" s="1"/>
  <c r="D70" i="24"/>
  <c r="D1932" i="24"/>
  <c r="D2179" i="24"/>
  <c r="D105" i="24"/>
  <c r="E105" i="24" s="1"/>
  <c r="D640" i="24"/>
  <c r="D1933" i="24"/>
  <c r="E1933" i="24" s="1"/>
  <c r="D130" i="24"/>
  <c r="E130" i="24" s="1"/>
  <c r="D749" i="24"/>
  <c r="D468" i="24"/>
  <c r="D1582" i="24"/>
  <c r="D2013" i="24"/>
  <c r="D1422" i="24"/>
  <c r="D1802" i="24"/>
  <c r="D1454" i="24"/>
  <c r="D1720" i="24"/>
  <c r="D1887" i="24"/>
  <c r="E1887" i="24" s="1"/>
  <c r="D1233" i="24"/>
  <c r="D2169" i="24"/>
  <c r="D2235" i="24"/>
  <c r="D885" i="24"/>
  <c r="D1297" i="24"/>
  <c r="D2096" i="24"/>
  <c r="D299" i="24"/>
  <c r="D1418" i="24"/>
  <c r="D384" i="24"/>
  <c r="D80" i="24"/>
  <c r="D939" i="24"/>
  <c r="D1435" i="24"/>
  <c r="E1435" i="24" s="1"/>
  <c r="D2471" i="24"/>
  <c r="D1924" i="24"/>
  <c r="D728" i="24"/>
  <c r="D2358" i="24"/>
  <c r="D805" i="24"/>
  <c r="D2242" i="24"/>
  <c r="E2242" i="24" s="1"/>
  <c r="D2012" i="24"/>
  <c r="D2339" i="24"/>
  <c r="D1907" i="24"/>
  <c r="D2417" i="24"/>
  <c r="D2206" i="24"/>
  <c r="D696" i="24"/>
  <c r="E696" i="24" s="1"/>
  <c r="D305" i="24"/>
  <c r="E305" i="24" s="1"/>
  <c r="D1430" i="24"/>
  <c r="D1875" i="24"/>
  <c r="E1875" i="24" s="1"/>
  <c r="D1224" i="24"/>
  <c r="D1066" i="24"/>
  <c r="D2150" i="24"/>
  <c r="D1553" i="24"/>
  <c r="D1908" i="24"/>
  <c r="D561" i="24"/>
  <c r="E561" i="24" s="1"/>
  <c r="D398" i="24"/>
  <c r="E398" i="24" s="1"/>
  <c r="D1103" i="24"/>
  <c r="D1888" i="24"/>
  <c r="E1888" i="24" s="1"/>
  <c r="D904" i="24"/>
  <c r="D1311" i="24"/>
  <c r="E1311" i="24" s="1"/>
  <c r="D1276" i="24"/>
  <c r="D2146" i="24"/>
  <c r="D973" i="24"/>
  <c r="D634" i="24"/>
  <c r="D2191" i="24"/>
  <c r="D608" i="24"/>
  <c r="E608" i="24" s="1"/>
  <c r="D1620" i="24"/>
  <c r="D1516" i="24"/>
  <c r="D1680" i="24"/>
  <c r="D1452" i="24"/>
  <c r="E1451" i="24" s="1"/>
  <c r="D399" i="24"/>
  <c r="D727" i="24"/>
  <c r="E727" i="24" s="1"/>
  <c r="D201" i="24"/>
  <c r="D1193" i="24"/>
  <c r="E1193" i="24" s="1"/>
  <c r="D948" i="24"/>
  <c r="D1598" i="24"/>
  <c r="D1689" i="24"/>
  <c r="D2041" i="24"/>
  <c r="D1960" i="24"/>
  <c r="D828" i="24"/>
  <c r="E828" i="24" s="1"/>
  <c r="D2162" i="24"/>
  <c r="D1622" i="24"/>
  <c r="E1622" i="24" s="1"/>
  <c r="D795" i="24"/>
  <c r="E795" i="24" s="1"/>
  <c r="D1683" i="24"/>
  <c r="D1681" i="24"/>
  <c r="D505" i="24"/>
  <c r="D716" i="24"/>
  <c r="D524" i="24"/>
  <c r="D1854" i="24"/>
  <c r="D2251" i="24"/>
  <c r="D1842" i="24"/>
  <c r="D803" i="24"/>
  <c r="E803" i="24" s="1"/>
  <c r="D359" i="24"/>
  <c r="D1957" i="24"/>
  <c r="D1123" i="24"/>
  <c r="D360" i="24"/>
  <c r="D313" i="24"/>
  <c r="D2128" i="24"/>
  <c r="D538" i="24"/>
  <c r="D1864" i="24"/>
  <c r="E1864" i="24" s="1"/>
  <c r="D1382" i="24"/>
  <c r="D1577" i="24"/>
  <c r="D598" i="24"/>
  <c r="D915" i="24"/>
  <c r="D2228" i="24"/>
  <c r="D1564" i="24"/>
  <c r="D1362" i="24"/>
  <c r="D2233" i="24"/>
  <c r="D431" i="24"/>
  <c r="D2244" i="24"/>
  <c r="D1585" i="24"/>
  <c r="D160" i="24"/>
  <c r="D1884" i="24"/>
  <c r="E1884" i="24" s="1"/>
  <c r="D1287" i="24"/>
  <c r="D2272" i="24"/>
  <c r="D756" i="24"/>
  <c r="E756" i="24" s="1"/>
  <c r="D2424" i="24"/>
  <c r="E2424" i="24" s="1"/>
  <c r="D1164" i="24"/>
  <c r="D1124" i="24"/>
  <c r="D820" i="24"/>
  <c r="D2048" i="24"/>
  <c r="D980" i="24"/>
  <c r="D1664" i="24"/>
  <c r="D1367" i="24"/>
  <c r="D643" i="24"/>
  <c r="E643" i="24" s="1"/>
  <c r="D833" i="24"/>
  <c r="D2074" i="24"/>
  <c r="D603" i="24"/>
  <c r="D824" i="24"/>
  <c r="D1970" i="24"/>
  <c r="D2442" i="24"/>
  <c r="D28" i="24"/>
  <c r="E28" i="24" s="1"/>
  <c r="D1255" i="24"/>
  <c r="D2264" i="24"/>
  <c r="D475" i="24"/>
  <c r="D2282" i="24"/>
  <c r="D1527" i="24"/>
  <c r="D965" i="24"/>
  <c r="E965" i="24" s="1"/>
  <c r="D342" i="24"/>
  <c r="D735" i="24"/>
  <c r="D1464" i="24"/>
  <c r="D228" i="24"/>
  <c r="E228" i="24" s="1"/>
  <c r="D400" i="24"/>
  <c r="D1852" i="24"/>
  <c r="E1852" i="24" s="1"/>
  <c r="D178" i="24"/>
  <c r="D2290" i="24"/>
  <c r="D1866" i="24"/>
  <c r="E1866" i="24" s="1"/>
  <c r="D1949" i="24"/>
  <c r="D457" i="24"/>
  <c r="D771" i="24"/>
  <c r="D1840" i="24"/>
  <c r="E1840" i="24" s="1"/>
  <c r="D826" i="24"/>
  <c r="E826" i="24" s="1"/>
  <c r="D2033" i="24"/>
  <c r="D159" i="24"/>
  <c r="E159" i="24" s="1"/>
  <c r="D493" i="24"/>
  <c r="D2151" i="24"/>
  <c r="D745" i="24"/>
  <c r="D328" i="24"/>
  <c r="D1488" i="24"/>
  <c r="D1904" i="24"/>
  <c r="E1904" i="24" s="1"/>
  <c r="D1995" i="24"/>
  <c r="E1995" i="24" s="1"/>
  <c r="D139" i="24"/>
  <c r="D568" i="24"/>
  <c r="E568" i="24" s="1"/>
  <c r="D2260" i="24"/>
  <c r="D1710" i="24"/>
  <c r="D1985" i="24"/>
  <c r="E1985" i="24" s="1"/>
  <c r="D73" i="24"/>
  <c r="D1915" i="24"/>
  <c r="E1915" i="24" s="1"/>
  <c r="D2412" i="24"/>
  <c r="D670" i="24"/>
  <c r="D1239" i="24"/>
  <c r="D375" i="24"/>
  <c r="D1180" i="24"/>
  <c r="D1450" i="24"/>
  <c r="E1450" i="24" s="1"/>
  <c r="D607" i="24"/>
  <c r="D835" i="24"/>
  <c r="D252" i="24"/>
  <c r="D104" i="24"/>
  <c r="D143" i="24"/>
  <c r="D1280" i="24"/>
  <c r="E1280" i="24" s="1"/>
  <c r="D162" i="24"/>
  <c r="E162" i="24" s="1"/>
  <c r="D1111" i="24"/>
  <c r="D1498" i="24"/>
  <c r="E1498" i="24" s="1"/>
  <c r="D1817" i="24"/>
  <c r="D2422" i="24"/>
  <c r="D1540" i="24"/>
  <c r="D855" i="24"/>
  <c r="D2289" i="24"/>
  <c r="D13" i="24"/>
  <c r="D1813" i="24"/>
  <c r="D639" i="24"/>
  <c r="D740" i="24"/>
  <c r="D651" i="24"/>
  <c r="E651" i="24" s="1"/>
  <c r="D2444" i="24"/>
  <c r="E2444" i="24" s="1"/>
  <c r="D1916" i="24"/>
  <c r="D250" i="24"/>
  <c r="D582" i="24"/>
  <c r="D2491" i="24"/>
  <c r="D684" i="24"/>
  <c r="D665" i="24"/>
  <c r="D233" i="24"/>
  <c r="D2434" i="24"/>
  <c r="D734" i="24"/>
  <c r="D956" i="24"/>
  <c r="D613" i="24"/>
  <c r="D2492" i="24"/>
  <c r="D868" i="24"/>
  <c r="D1529" i="24"/>
  <c r="E1529" i="24" s="1"/>
  <c r="D1786" i="24"/>
  <c r="D14" i="24"/>
  <c r="D1429" i="24"/>
  <c r="D1910" i="24"/>
  <c r="E1910" i="24" s="1"/>
  <c r="D2317" i="24"/>
  <c r="E2317" i="24" s="1"/>
  <c r="D1393" i="24"/>
  <c r="E1393" i="24" s="1"/>
  <c r="D2356" i="24"/>
  <c r="D77" i="24"/>
  <c r="D2443" i="24"/>
  <c r="D1251" i="24"/>
  <c r="D402" i="24"/>
  <c r="D292" i="24"/>
  <c r="D2404" i="24"/>
  <c r="D350" i="24"/>
  <c r="D2320" i="24"/>
  <c r="D1437" i="24"/>
  <c r="D428" i="24"/>
  <c r="D1266" i="24"/>
  <c r="E1266" i="24" s="1"/>
  <c r="D1283" i="24"/>
  <c r="D766" i="24"/>
  <c r="D2365" i="24"/>
  <c r="E2365" i="24" s="1"/>
  <c r="D1295" i="24"/>
  <c r="D2497" i="24"/>
  <c r="D1547" i="24"/>
  <c r="D2435" i="24"/>
  <c r="E2435" i="24" s="1"/>
  <c r="D458" i="24"/>
  <c r="D1634" i="24"/>
  <c r="D591" i="24"/>
  <c r="D1991" i="24"/>
  <c r="D1659" i="24"/>
  <c r="E1659" i="24" s="1"/>
  <c r="D185" i="24"/>
  <c r="D173" i="24"/>
  <c r="D862" i="24"/>
  <c r="D175" i="24"/>
  <c r="D2049" i="24"/>
  <c r="D281" i="24"/>
  <c r="D710" i="24"/>
  <c r="D2393" i="24"/>
  <c r="D327" i="24"/>
  <c r="D1486" i="24"/>
  <c r="D1959" i="24"/>
  <c r="D2131" i="24"/>
  <c r="D1247" i="24"/>
  <c r="D72" i="24"/>
  <c r="E72" i="24" s="1"/>
  <c r="D303" i="24"/>
  <c r="E303" i="24" s="1"/>
  <c r="D218" i="24"/>
  <c r="D1657" i="24"/>
  <c r="E1657" i="24" s="1"/>
  <c r="D2515" i="24"/>
  <c r="E2515" i="24" s="1"/>
  <c r="D15" i="24"/>
  <c r="D791" i="24"/>
  <c r="D146" i="24"/>
  <c r="E146" i="24" s="1"/>
  <c r="D2066" i="24"/>
  <c r="D1905" i="24"/>
  <c r="D721" i="24"/>
  <c r="E721" i="24" s="1"/>
  <c r="D499" i="24"/>
  <c r="D720" i="24"/>
  <c r="D1091" i="24"/>
  <c r="D903" i="24"/>
  <c r="D387" i="24"/>
  <c r="D2381" i="24"/>
  <c r="D2239" i="24"/>
  <c r="D226" i="24"/>
  <c r="D87" i="24"/>
  <c r="D2186" i="24"/>
  <c r="D1781" i="24"/>
  <c r="D274" i="24"/>
  <c r="E274" i="24" s="1"/>
  <c r="D1633" i="24"/>
  <c r="D437" i="24"/>
  <c r="D647" i="24"/>
  <c r="D1815" i="24"/>
  <c r="D816" i="24"/>
  <c r="D1573" i="24"/>
  <c r="D1734" i="24"/>
  <c r="D479" i="24"/>
  <c r="D961" i="24"/>
  <c r="D1421" i="24"/>
  <c r="E1421" i="24" s="1"/>
  <c r="D2380" i="24"/>
  <c r="D1040" i="24"/>
  <c r="D1105" i="24"/>
  <c r="E1105" i="24" s="1"/>
  <c r="D1519" i="24"/>
  <c r="D1748" i="24"/>
  <c r="D190" i="24"/>
  <c r="E190" i="24" s="1"/>
  <c r="D2421" i="24"/>
  <c r="E2421" i="24" s="1"/>
  <c r="D1215" i="24"/>
  <c r="E1215" i="24" s="1"/>
  <c r="D1541" i="24"/>
  <c r="E1541" i="24" s="1"/>
  <c r="D258" i="24"/>
  <c r="E258" i="24" s="1"/>
  <c r="D1792" i="24"/>
  <c r="D2017" i="24"/>
  <c r="D259" i="24"/>
  <c r="D935" i="24"/>
  <c r="E935" i="24" s="1"/>
  <c r="D1878" i="24"/>
  <c r="D875" i="24"/>
  <c r="E875" i="24" s="1"/>
  <c r="D1669" i="24"/>
  <c r="D664" i="24"/>
  <c r="E664" i="24" s="1"/>
  <c r="D1548" i="24"/>
  <c r="E1548" i="24" s="1"/>
  <c r="D222" i="24"/>
  <c r="D1630" i="24"/>
  <c r="E1630" i="24" s="1"/>
  <c r="D1410" i="24"/>
  <c r="D2294" i="24"/>
  <c r="E2294" i="24" s="1"/>
  <c r="D913" i="24"/>
  <c r="D2496" i="24"/>
  <c r="E2496" i="24" s="1"/>
  <c r="D2337" i="24"/>
  <c r="E2337" i="24" s="1"/>
  <c r="D1757" i="24"/>
  <c r="D429" i="24"/>
  <c r="D1388" i="24"/>
  <c r="D873" i="24"/>
  <c r="D2416" i="24"/>
  <c r="D2121" i="24"/>
  <c r="D1557" i="24"/>
  <c r="D797" i="24"/>
  <c r="E797" i="24" s="1"/>
  <c r="D672" i="24"/>
  <c r="D1610" i="24"/>
  <c r="D969" i="24"/>
  <c r="D792" i="24"/>
  <c r="D334" i="24"/>
  <c r="D2147" i="24"/>
  <c r="E2147" i="24" s="1"/>
  <c r="D1500" i="24"/>
  <c r="D1192" i="24"/>
  <c r="E1192" i="24" s="1"/>
  <c r="D546" i="24"/>
  <c r="D2052" i="24"/>
  <c r="E2052" i="24" s="1"/>
  <c r="D2034" i="24"/>
  <c r="D1345" i="24"/>
  <c r="D1024" i="24"/>
  <c r="D1583" i="24"/>
  <c r="D1205" i="24"/>
  <c r="D786" i="24"/>
  <c r="E786" i="24" s="1"/>
  <c r="D2000" i="24"/>
  <c r="D1113" i="24"/>
  <c r="E1113" i="24" s="1"/>
  <c r="D724" i="24"/>
  <c r="D2154" i="24"/>
  <c r="D2127" i="24"/>
  <c r="D2199" i="24"/>
  <c r="E2199" i="24" s="1"/>
  <c r="D2221" i="24"/>
  <c r="D403" i="24"/>
  <c r="D2160" i="24"/>
  <c r="E2160" i="24" s="1"/>
  <c r="D107" i="24"/>
  <c r="E107" i="24" s="1"/>
  <c r="D2008" i="24"/>
  <c r="D821" i="24"/>
  <c r="E821" i="24" s="1"/>
  <c r="D520" i="24"/>
  <c r="D2499" i="24"/>
  <c r="D1330" i="24"/>
  <c r="D2090" i="24"/>
  <c r="D802" i="24"/>
  <c r="D654" i="24"/>
  <c r="D103" i="24"/>
  <c r="D1956" i="24"/>
  <c r="D1339" i="24"/>
  <c r="E1339" i="24" s="1"/>
  <c r="D759" i="24"/>
  <c r="D1244" i="24"/>
  <c r="D1849" i="24"/>
  <c r="D2073" i="24"/>
  <c r="D336" i="24"/>
  <c r="D1391" i="24"/>
  <c r="D320" i="24"/>
  <c r="E320" i="24" s="1"/>
  <c r="D995" i="24"/>
  <c r="D1285" i="24"/>
  <c r="E1285" i="24" s="1"/>
  <c r="D2236" i="24"/>
  <c r="D806" i="24"/>
  <c r="D2370" i="24"/>
  <c r="D1834" i="24"/>
  <c r="E1834" i="24" s="1"/>
  <c r="D2093" i="24"/>
  <c r="D1754" i="24"/>
  <c r="E1754" i="24" s="1"/>
  <c r="D251" i="24"/>
  <c r="E251" i="24" s="1"/>
  <c r="D750" i="24"/>
  <c r="E750" i="24" s="1"/>
  <c r="D284" i="24"/>
  <c r="D1087" i="24"/>
  <c r="D1061" i="24"/>
  <c r="D723" i="24"/>
  <c r="D1894" i="24"/>
  <c r="D2415" i="24"/>
  <c r="D2373" i="24"/>
  <c r="D1316" i="24"/>
  <c r="D1456" i="24"/>
  <c r="D467" i="24"/>
  <c r="D2004" i="24"/>
  <c r="D2267" i="24"/>
  <c r="D443" i="24"/>
  <c r="E443" i="24" s="1"/>
  <c r="D2124" i="24"/>
  <c r="E2124" i="24" s="1"/>
  <c r="D2449" i="24"/>
  <c r="D851" i="24"/>
  <c r="D2322" i="24"/>
  <c r="D1661" i="24"/>
  <c r="D494" i="24"/>
  <c r="E494" i="24" s="1"/>
  <c r="D2293" i="24"/>
  <c r="E2293" i="24" s="1"/>
  <c r="D35" i="24"/>
  <c r="E35" i="24" s="1"/>
  <c r="D774" i="24"/>
  <c r="E774" i="24" s="1"/>
  <c r="D2388" i="24"/>
  <c r="D1269" i="24"/>
  <c r="D669" i="24"/>
  <c r="D2429" i="24"/>
  <c r="D282" i="24"/>
  <c r="D1443" i="24"/>
  <c r="D442" i="24"/>
  <c r="D858" i="24"/>
  <c r="D2214" i="24"/>
  <c r="D1063" i="24"/>
  <c r="D41" i="24"/>
  <c r="D1343" i="24"/>
  <c r="D79" i="24"/>
  <c r="D1920" i="24"/>
  <c r="D1675" i="24"/>
  <c r="E1675" i="24" s="1"/>
  <c r="D1761" i="24"/>
  <c r="D1411" i="24"/>
  <c r="D123" i="24"/>
  <c r="E123" i="24" s="1"/>
  <c r="D1009" i="24"/>
  <c r="D697" i="24"/>
  <c r="E697" i="24" s="1"/>
  <c r="D1086" i="24"/>
  <c r="D1535" i="24"/>
  <c r="D914" i="24"/>
  <c r="D1052" i="24"/>
  <c r="E1052" i="24" s="1"/>
  <c r="D2341" i="24"/>
  <c r="D2189" i="24"/>
  <c r="D2427" i="24"/>
  <c r="D24" i="24"/>
  <c r="E24" i="24" s="1"/>
  <c r="D1253" i="24"/>
  <c r="D1229" i="24"/>
  <c r="E1229" i="24" s="1"/>
  <c r="D500" i="24"/>
  <c r="D383" i="24"/>
  <c r="E383" i="24" s="1"/>
  <c r="D1405" i="24"/>
  <c r="D1032" i="24"/>
  <c r="D923" i="24"/>
  <c r="D1008" i="24"/>
  <c r="E1008" i="24" s="1"/>
  <c r="D986" i="24"/>
  <c r="D270" i="24"/>
  <c r="D2323" i="24"/>
  <c r="D1775" i="24"/>
  <c r="D1055" i="24"/>
  <c r="D102" i="24"/>
  <c r="D2398" i="24"/>
  <c r="D2450" i="24"/>
  <c r="D242" i="24"/>
  <c r="D368" i="24"/>
  <c r="D1352" i="24"/>
  <c r="D1485" i="24"/>
  <c r="E1485" i="24" s="1"/>
  <c r="D2083" i="24"/>
  <c r="D1408" i="24"/>
  <c r="D1159" i="24"/>
  <c r="D1368" i="24"/>
  <c r="D1214" i="24"/>
  <c r="D59" i="24"/>
  <c r="D1194" i="24"/>
  <c r="D968" i="24"/>
  <c r="D1579" i="24"/>
  <c r="D1896" i="24"/>
  <c r="D357" i="24"/>
  <c r="E357" i="24" s="1"/>
  <c r="D1603" i="24"/>
  <c r="E1603" i="24" s="1"/>
  <c r="D514" i="24"/>
  <c r="D1387" i="24"/>
  <c r="E1387" i="24" s="1"/>
  <c r="D1104" i="24"/>
  <c r="D988" i="24"/>
  <c r="D2510" i="24"/>
  <c r="D542" i="24"/>
  <c r="D1403" i="24"/>
  <c r="D545" i="24"/>
  <c r="D377" i="24"/>
  <c r="D1010" i="24"/>
  <c r="E1010" i="24" s="1"/>
  <c r="D1942" i="24"/>
  <c r="D1046" i="24"/>
  <c r="D354" i="24"/>
  <c r="D12" i="24"/>
  <c r="D2055" i="24"/>
  <c r="D49" i="24"/>
  <c r="D1478" i="24"/>
  <c r="D2279" i="24"/>
  <c r="D2157" i="24"/>
  <c r="E2157" i="24" s="1"/>
  <c r="D1115" i="24"/>
  <c r="D148" i="24"/>
  <c r="E148" i="24" s="1"/>
  <c r="D1570" i="24"/>
  <c r="D1084" i="24"/>
  <c r="D2259" i="24"/>
  <c r="D810" i="24"/>
  <c r="D78" i="24"/>
  <c r="D363" i="24"/>
  <c r="D1696" i="24"/>
  <c r="D2188" i="24"/>
  <c r="D877" i="24"/>
  <c r="D1323" i="24"/>
  <c r="D1453" i="24"/>
  <c r="E1453" i="24" s="1"/>
  <c r="D7" i="24"/>
  <c r="D815" i="24"/>
  <c r="D1837" i="24"/>
  <c r="D2460" i="24"/>
  <c r="E2460" i="24" s="1"/>
  <c r="D743" i="24"/>
  <c r="D930" i="24"/>
  <c r="D473" i="24"/>
  <c r="D1899" i="24"/>
  <c r="D2306" i="24"/>
  <c r="E2306" i="24" s="1"/>
  <c r="D1432" i="24"/>
  <c r="D495" i="24"/>
  <c r="D657" i="24"/>
  <c r="E657" i="24" s="1"/>
  <c r="D596" i="24"/>
  <c r="D1528" i="24"/>
  <c r="E1528" i="24" s="1"/>
  <c r="D1654" i="24"/>
  <c r="D1494" i="24"/>
  <c r="E1494" i="24" s="1"/>
  <c r="D124" i="24"/>
  <c r="D2028" i="24"/>
  <c r="E2028" i="24" s="1"/>
  <c r="D1344" i="24"/>
  <c r="E1344" i="24" s="1"/>
  <c r="D81" i="24"/>
  <c r="E81" i="24" s="1"/>
  <c r="D2420" i="24"/>
  <c r="D1299" i="24"/>
  <c r="D1538" i="24"/>
  <c r="D50" i="24"/>
  <c r="D1322" i="24"/>
  <c r="E1322" i="24" s="1"/>
  <c r="D285" i="24"/>
  <c r="D1919" i="24"/>
  <c r="D1050" i="24"/>
  <c r="D48" i="24"/>
  <c r="D307" i="24"/>
  <c r="E307" i="24" s="1"/>
  <c r="D1810" i="24"/>
  <c r="D1085" i="24"/>
  <c r="E1085" i="24" s="1"/>
  <c r="D2299" i="24"/>
  <c r="D2357" i="24"/>
  <c r="D861" i="24"/>
  <c r="D529" i="24"/>
  <c r="E529" i="24" s="1"/>
  <c r="D1893" i="24"/>
  <c r="E1893" i="24" s="1"/>
  <c r="D921" i="24"/>
  <c r="E921" i="24" s="1"/>
  <c r="D2336" i="24"/>
  <c r="D214" i="24"/>
  <c r="D550" i="24"/>
  <c r="D1918" i="24"/>
  <c r="D2153" i="24"/>
  <c r="D2475" i="24"/>
  <c r="E2475" i="24" s="1"/>
  <c r="D245" i="24"/>
  <c r="D1395" i="24"/>
  <c r="E1395" i="24" s="1"/>
  <c r="D450" i="24"/>
  <c r="D2220" i="24"/>
  <c r="E2220" i="24" s="1"/>
  <c r="D1984" i="24"/>
  <c r="D957" i="24"/>
  <c r="D922" i="24"/>
  <c r="D1179" i="24"/>
  <c r="D2525" i="24"/>
  <c r="E2525" i="24" s="1"/>
  <c r="D1836" i="24"/>
  <c r="E1836" i="24" s="1"/>
  <c r="D2350" i="24"/>
  <c r="E2350" i="24" s="1"/>
  <c r="D1482" i="24"/>
  <c r="D1678" i="24"/>
  <c r="D1686" i="24"/>
  <c r="D471" i="24"/>
  <c r="D580" i="24"/>
  <c r="E580" i="24" s="1"/>
  <c r="D293" i="24"/>
  <c r="D2224" i="24"/>
  <c r="D1475" i="24"/>
  <c r="D141" i="24"/>
  <c r="E141" i="24" s="1"/>
  <c r="D742" i="24"/>
  <c r="E742" i="24" s="1"/>
  <c r="D298" i="24"/>
  <c r="E298" i="24" s="1"/>
  <c r="D719" i="24"/>
  <c r="D655" i="24"/>
  <c r="D1407" i="24"/>
  <c r="D1392" i="24"/>
  <c r="D1977" i="24"/>
  <c r="E1977" i="24" s="1"/>
  <c r="D150" i="24"/>
  <c r="D599" i="24"/>
  <c r="D86" i="24"/>
  <c r="E86" i="24" s="1"/>
  <c r="D246" i="24"/>
  <c r="D610" i="24"/>
  <c r="D138" i="24"/>
  <c r="D1855" i="24"/>
  <c r="D1209" i="24"/>
  <c r="D2063" i="24"/>
  <c r="D1275" i="24"/>
  <c r="E1275" i="24" s="1"/>
  <c r="D1927" i="24"/>
  <c r="D132" i="24"/>
  <c r="E132" i="24" s="1"/>
  <c r="D1655" i="24"/>
  <c r="D110" i="24"/>
  <c r="D1644" i="24"/>
  <c r="E1644" i="24" s="1"/>
  <c r="D1567" i="24"/>
  <c r="E1567" i="24" s="1"/>
  <c r="D2078" i="24"/>
  <c r="E2077" i="24" s="1"/>
  <c r="D496" i="24"/>
  <c r="D2155" i="24"/>
  <c r="D2457" i="24"/>
  <c r="D2391" i="24"/>
  <c r="D593" i="24"/>
  <c r="D1779" i="24"/>
  <c r="D713" i="24"/>
  <c r="D563" i="24"/>
  <c r="D199" i="24"/>
  <c r="D1795" i="24"/>
  <c r="D2473" i="24"/>
  <c r="D1157" i="24"/>
  <c r="D907" i="24"/>
  <c r="D2255" i="24"/>
  <c r="D859" i="24"/>
  <c r="E859" i="24" s="1"/>
  <c r="D1851" i="24"/>
  <c r="D2120" i="24"/>
  <c r="E2120" i="24" s="1"/>
  <c r="D1300" i="24"/>
  <c r="D309" i="24"/>
  <c r="D630" i="24"/>
  <c r="D1947" i="24"/>
  <c r="D1258" i="24"/>
  <c r="D772" i="24"/>
  <c r="D521" i="24"/>
  <c r="E521" i="24" s="1"/>
  <c r="D2201" i="24"/>
  <c r="D778" i="24"/>
  <c r="D934" i="24"/>
  <c r="D780" i="24"/>
  <c r="E780" i="24" s="1"/>
  <c r="D1833" i="24"/>
  <c r="D2166" i="24"/>
  <c r="E2166" i="24" s="1"/>
  <c r="D1623" i="24"/>
  <c r="E1623" i="24" s="1"/>
  <c r="D91" i="24"/>
  <c r="D1057" i="24"/>
  <c r="D782" i="24"/>
  <c r="E782" i="24" s="1"/>
  <c r="D789" i="24"/>
  <c r="D1419" i="24"/>
  <c r="D2213" i="24"/>
  <c r="D587" i="24"/>
  <c r="D231" i="24"/>
  <c r="D1144" i="24"/>
  <c r="D2485" i="24"/>
  <c r="D1116" i="24"/>
  <c r="D2229" i="24"/>
  <c r="D193" i="24"/>
  <c r="D1149" i="24"/>
  <c r="D33" i="24"/>
  <c r="D1165" i="24"/>
  <c r="D2479" i="24"/>
  <c r="D413" i="24"/>
  <c r="D589" i="24"/>
  <c r="D1133" i="24"/>
  <c r="D2409" i="24"/>
  <c r="E2409" i="24" s="1"/>
  <c r="D174" i="24"/>
  <c r="D2245" i="24"/>
  <c r="E2245" i="24" s="1"/>
  <c r="D74" i="24"/>
  <c r="D60" i="24"/>
  <c r="D127" i="24"/>
  <c r="D1492" i="24"/>
  <c r="D234" i="24"/>
  <c r="D1637" i="24"/>
  <c r="E1637" i="24" s="1"/>
  <c r="D517" i="24"/>
  <c r="D2014" i="24"/>
  <c r="D240" i="24"/>
  <c r="D601" i="24"/>
  <c r="E601" i="24" s="1"/>
  <c r="D2111" i="24"/>
  <c r="D1611" i="24"/>
  <c r="D781" i="24"/>
  <c r="D1390" i="24"/>
  <c r="E1390" i="24" s="1"/>
  <c r="D1044" i="24"/>
  <c r="D972" i="24"/>
  <c r="E972" i="24" s="1"/>
  <c r="D941" i="24"/>
  <c r="D425" i="24"/>
  <c r="D1906" i="24"/>
  <c r="E1906" i="24" s="1"/>
  <c r="D2462" i="24"/>
  <c r="D1922" i="24"/>
  <c r="E1922" i="24" s="1"/>
  <c r="D1326" i="24"/>
  <c r="D531" i="24"/>
  <c r="D362" i="24"/>
  <c r="E362" i="24" s="1"/>
  <c r="D2430" i="24"/>
  <c r="D1702" i="24"/>
  <c r="E1702" i="24" s="1"/>
  <c r="D1148" i="24"/>
  <c r="D557" i="24"/>
  <c r="D2270" i="24"/>
  <c r="D2117" i="24"/>
  <c r="D2413" i="24"/>
  <c r="D1913" i="24"/>
  <c r="D812" i="24"/>
  <c r="D344" i="24"/>
  <c r="D527" i="24"/>
  <c r="D2349" i="24"/>
  <c r="D2432" i="24"/>
  <c r="D2390" i="24"/>
  <c r="D253" i="24"/>
  <c r="D1184" i="24"/>
  <c r="D1160" i="24"/>
  <c r="D1821" i="24"/>
  <c r="D650" i="24"/>
  <c r="D2433" i="24"/>
  <c r="D1156" i="24"/>
  <c r="D265" i="24"/>
  <c r="D1586" i="24"/>
  <c r="D21" i="24"/>
  <c r="D1466" i="24"/>
  <c r="D937" i="24"/>
  <c r="D2123" i="24"/>
  <c r="E2123" i="24" s="1"/>
  <c r="D1220" i="24"/>
  <c r="D2300" i="24"/>
  <c r="D1324" i="24"/>
  <c r="D2134" i="24"/>
  <c r="D463" i="24"/>
  <c r="D2375" i="24"/>
  <c r="D1648" i="24"/>
  <c r="D314" i="24"/>
  <c r="D1380" i="24"/>
  <c r="D1329" i="24"/>
  <c r="D217" i="24"/>
  <c r="D408" i="24"/>
  <c r="E408" i="24" s="1"/>
  <c r="D2468" i="24"/>
  <c r="D928" i="24"/>
  <c r="D189" i="24"/>
  <c r="E189" i="24" s="1"/>
  <c r="D633" i="24"/>
  <c r="D2364" i="24"/>
  <c r="D2016" i="24"/>
  <c r="D842" i="24"/>
  <c r="E842" i="24" s="1"/>
  <c r="D392" i="24"/>
  <c r="D213" i="24"/>
  <c r="D260" i="24"/>
  <c r="D447" i="24"/>
  <c r="D1474" i="24"/>
  <c r="D1903" i="24"/>
  <c r="D667" i="24"/>
  <c r="D594" i="24"/>
  <c r="E594" i="24" s="1"/>
  <c r="D140" i="24"/>
  <c r="D590" i="24"/>
  <c r="E590" i="24" s="1"/>
  <c r="D884" i="24"/>
  <c r="D44" i="24"/>
  <c r="E44" i="24" s="1"/>
  <c r="D1543" i="24"/>
  <c r="D1072" i="24"/>
  <c r="D244" i="24"/>
  <c r="D504" i="24"/>
  <c r="D2402" i="24"/>
  <c r="E2402" i="24" s="1"/>
  <c r="D2313" i="24"/>
  <c r="D2376" i="24"/>
  <c r="D317" i="24"/>
  <c r="E317" i="24" s="1"/>
  <c r="D88" i="24"/>
  <c r="D927" i="24"/>
  <c r="D635" i="24"/>
  <c r="D1241" i="24"/>
  <c r="D2097" i="24"/>
  <c r="D1208" i="24"/>
  <c r="E1208" i="24" s="1"/>
  <c r="D1178" i="24"/>
  <c r="D1150" i="24"/>
  <c r="D2019" i="24"/>
  <c r="D709" i="24"/>
  <c r="E709" i="24" s="1"/>
  <c r="D1298" i="24"/>
  <c r="E1298" i="24" s="1"/>
  <c r="D695" i="24"/>
  <c r="E695" i="24" s="1"/>
  <c r="D52" i="24"/>
  <c r="E52" i="24" s="1"/>
  <c r="D1020" i="24"/>
  <c r="E1020" i="24" s="1"/>
  <c r="D1158" i="24"/>
  <c r="D1819" i="24"/>
  <c r="E1819" i="24" s="1"/>
  <c r="D212" i="24"/>
  <c r="D1937" i="24"/>
  <c r="D248" i="24"/>
  <c r="D1731" i="24"/>
  <c r="E1731" i="24" s="1"/>
  <c r="D2209" i="24"/>
  <c r="E2209" i="24" s="1"/>
  <c r="D1591" i="24"/>
  <c r="D1507" i="24"/>
  <c r="D1921" i="24"/>
  <c r="E1921" i="24" s="1"/>
  <c r="D1483" i="24"/>
  <c r="E1483" i="24" s="1"/>
  <c r="D154" i="24"/>
  <c r="D294" i="24"/>
  <c r="E294" i="24" s="1"/>
  <c r="D618" i="24"/>
  <c r="E618" i="24" s="1"/>
  <c r="D2407" i="24"/>
  <c r="D1412" i="24"/>
  <c r="D588" i="24"/>
  <c r="D498" i="24"/>
  <c r="E498" i="24" s="1"/>
  <c r="D181" i="24"/>
  <c r="E181" i="24" s="1"/>
  <c r="D2461" i="24"/>
  <c r="D1929" i="24"/>
  <c r="E1929" i="24" s="1"/>
  <c r="D649" i="24"/>
  <c r="E649" i="24" s="1"/>
  <c r="D2258" i="24"/>
  <c r="D1310" i="24"/>
  <c r="D1293" i="24"/>
  <c r="D2374" i="24"/>
  <c r="D1615" i="24"/>
  <c r="D456" i="24"/>
  <c r="E456" i="24" s="1"/>
  <c r="D2284" i="24"/>
  <c r="E2284" i="24" s="1"/>
  <c r="D536" i="24"/>
  <c r="D1431" i="24"/>
  <c r="D2503" i="24"/>
  <c r="D577" i="24"/>
  <c r="E577" i="24" s="1"/>
  <c r="D1465" i="24"/>
  <c r="E1465" i="24" s="1"/>
  <c r="D592" i="24"/>
  <c r="E592" i="24" s="1"/>
  <c r="D583" i="24"/>
  <c r="D1118" i="24"/>
  <c r="D1110" i="24"/>
  <c r="D1473" i="24"/>
  <c r="D388" i="24"/>
  <c r="D1036" i="24"/>
  <c r="E1036" i="24" s="1"/>
  <c r="D331" i="24"/>
  <c r="E331" i="24" s="1"/>
  <c r="D369" i="24"/>
  <c r="D1433" i="24"/>
  <c r="D2184" i="24"/>
  <c r="D391" i="24"/>
  <c r="D1525" i="24"/>
  <c r="E1525" i="24" s="1"/>
  <c r="D1565" i="24"/>
  <c r="D2240" i="24"/>
  <c r="D1211" i="24"/>
  <c r="E1211" i="24" s="1"/>
  <c r="D1944" i="24"/>
  <c r="E1944" i="24" s="1"/>
  <c r="D300" i="24"/>
  <c r="D2077" i="24"/>
  <c r="D1964" i="24"/>
  <c r="D2141" i="24"/>
  <c r="D1481" i="24"/>
  <c r="D1470" i="24"/>
  <c r="D1354" i="24"/>
  <c r="D2271" i="24"/>
  <c r="D2455" i="24"/>
  <c r="D2046" i="24"/>
  <c r="D854" i="24"/>
  <c r="D612" i="24"/>
  <c r="D2330" i="24"/>
  <c r="E2330" i="24" s="1"/>
  <c r="D113" i="24"/>
  <c r="D1769" i="24"/>
  <c r="E1769" i="24" s="1"/>
  <c r="D942" i="24"/>
  <c r="D497" i="24"/>
  <c r="E497" i="24" s="1"/>
  <c r="D164" i="24"/>
  <c r="D2401" i="24"/>
  <c r="E2401" i="24" s="1"/>
  <c r="D2334" i="24"/>
  <c r="D1369" i="24"/>
  <c r="E1369" i="24" s="1"/>
  <c r="D2062" i="24"/>
  <c r="E2062" i="24" s="1"/>
  <c r="D1263" i="24"/>
  <c r="D1772" i="24"/>
  <c r="D543" i="24"/>
  <c r="D1796" i="24"/>
  <c r="D1221" i="24"/>
  <c r="E1221" i="24" s="1"/>
  <c r="D2115" i="24"/>
  <c r="E2115" i="24" s="1"/>
  <c r="D856" i="24"/>
  <c r="E856" i="24" s="1"/>
  <c r="D1277" i="24"/>
  <c r="E1277" i="24" s="1"/>
  <c r="D1798" i="24"/>
  <c r="D1891" i="24"/>
  <c r="D1518" i="24"/>
  <c r="E1518" i="24" s="1"/>
  <c r="D1743" i="24"/>
  <c r="D1351" i="24"/>
  <c r="D931" i="24"/>
  <c r="D1401" i="24"/>
  <c r="D295" i="24"/>
  <c r="D850" i="24"/>
  <c r="D435" i="24"/>
  <c r="D2456" i="24"/>
  <c r="D1381" i="24"/>
  <c r="E1381" i="24" s="1"/>
  <c r="D1413" i="24"/>
  <c r="E1413" i="24" s="1"/>
  <c r="D449" i="24"/>
  <c r="E449" i="24" s="1"/>
  <c r="D451" i="24"/>
  <c r="D982" i="24"/>
  <c r="E982" i="24" s="1"/>
  <c r="D1015" i="24"/>
  <c r="D2383" i="24"/>
  <c r="D1755" i="24"/>
  <c r="D541" i="24"/>
  <c r="E541" i="24" s="1"/>
  <c r="D2482" i="24"/>
  <c r="D1304" i="24"/>
  <c r="D324" i="24"/>
  <c r="D1272" i="24"/>
  <c r="D1062" i="24"/>
  <c r="E1062" i="24" s="1"/>
  <c r="D2315" i="24"/>
  <c r="E2315" i="24" s="1"/>
  <c r="D459" i="24"/>
  <c r="E459" i="24" s="1"/>
  <c r="D946" i="24"/>
  <c r="E946" i="24" s="1"/>
  <c r="D874" i="24"/>
  <c r="D2280" i="24"/>
  <c r="E2280" i="24" s="1"/>
  <c r="D177" i="24"/>
  <c r="D1398" i="24"/>
  <c r="D2261" i="24"/>
  <c r="D1759" i="24"/>
  <c r="D1788" i="24"/>
  <c r="E1788" i="24" s="1"/>
  <c r="D2172" i="24"/>
  <c r="D1965" i="24"/>
  <c r="E1965" i="24" s="1"/>
  <c r="D1521" i="24"/>
  <c r="E1521" i="24" s="1"/>
  <c r="D2252" i="24"/>
  <c r="D2286" i="24"/>
  <c r="D55" i="24"/>
  <c r="D2076" i="24"/>
  <c r="D1372" i="24"/>
  <c r="D889" i="24"/>
  <c r="E889" i="24" s="1"/>
  <c r="D881" i="24"/>
  <c r="E881" i="24" s="1"/>
  <c r="D424" i="24"/>
  <c r="D2192" i="24"/>
  <c r="D1839" i="24"/>
  <c r="E1839" i="24" s="1"/>
  <c r="D2399" i="24"/>
  <c r="D507" i="24"/>
  <c r="E507" i="24" s="1"/>
  <c r="D1770" i="24"/>
  <c r="D1830" i="24"/>
  <c r="E1830" i="24" s="1"/>
  <c r="D1825" i="24"/>
  <c r="E1825" i="24" s="1"/>
  <c r="D2068" i="24"/>
  <c r="D1616" i="24"/>
  <c r="E1616" i="24" s="1"/>
  <c r="D1767" i="24"/>
  <c r="D1058" i="24"/>
  <c r="D2501" i="24"/>
  <c r="E2501" i="24" s="1"/>
  <c r="D125" i="24"/>
  <c r="E125" i="24" s="1"/>
  <c r="D1308" i="24"/>
  <c r="D920" i="24"/>
  <c r="D410" i="24"/>
  <c r="E410" i="24" s="1"/>
  <c r="D67" i="24"/>
  <c r="D2522" i="24"/>
  <c r="D1941" i="24"/>
  <c r="E1941" i="24" s="1"/>
  <c r="D1780" i="24"/>
  <c r="D2170" i="24"/>
  <c r="D1161" i="24"/>
  <c r="D2133" i="24"/>
  <c r="D1973" i="24"/>
  <c r="D1626" i="24"/>
  <c r="D933" i="24"/>
  <c r="D96" i="24"/>
  <c r="D394" i="24"/>
  <c r="D2414" i="24"/>
  <c r="E2414" i="24" s="1"/>
  <c r="D56" i="24"/>
  <c r="E56" i="24" s="1"/>
  <c r="D1204" i="24"/>
  <c r="E1204" i="24" s="1"/>
  <c r="D614" i="24"/>
  <c r="E614" i="24" s="1"/>
  <c r="D2319" i="24"/>
  <c r="E2319" i="24" s="1"/>
  <c r="D1457" i="24"/>
  <c r="E1457" i="24" s="1"/>
  <c r="D1406" i="24"/>
  <c r="E1406" i="24" s="1"/>
  <c r="D61" i="24"/>
  <c r="E61" i="24" s="1"/>
  <c r="D1665" i="24"/>
  <c r="E1665" i="24" s="1"/>
  <c r="D2470" i="24"/>
  <c r="E2470" i="24" s="1"/>
  <c r="D1974" i="24"/>
  <c r="E1974" i="24" s="1"/>
  <c r="D2168" i="24"/>
  <c r="D661" i="24"/>
  <c r="D2119" i="24"/>
  <c r="D2038" i="24"/>
  <c r="E2038" i="24" s="1"/>
  <c r="D1882" i="24"/>
  <c r="D1856" i="24"/>
  <c r="E1856" i="24" s="1"/>
  <c r="D1803" i="24"/>
  <c r="D1574" i="24"/>
  <c r="D1897" i="24"/>
  <c r="D1333" i="24"/>
  <c r="D2343" i="24"/>
  <c r="E2343" i="24" s="1"/>
  <c r="D1844" i="24"/>
  <c r="E1843" i="24" s="1"/>
  <c r="D1090" i="24"/>
  <c r="E1090" i="24" s="1"/>
  <c r="D2423" i="24"/>
  <c r="D867" i="24"/>
  <c r="E867" i="24" s="1"/>
  <c r="D1002" i="24"/>
  <c r="D516" i="24"/>
  <c r="D1185" i="24"/>
  <c r="D1723" i="24"/>
  <c r="E1723" i="24" s="1"/>
  <c r="D2372" i="24"/>
  <c r="D361" i="24"/>
  <c r="D381" i="24"/>
  <c r="E381" i="24" s="1"/>
  <c r="D195" i="24"/>
  <c r="D534" i="24"/>
  <c r="E534" i="24" s="1"/>
  <c r="D2018" i="24"/>
  <c r="D1235" i="24"/>
  <c r="E1235" i="24" s="1"/>
  <c r="D1826" i="24"/>
  <c r="D705" i="24"/>
  <c r="E705" i="24" s="1"/>
  <c r="D1732" i="24"/>
  <c r="E1732" i="24" s="1"/>
  <c r="D817" i="24"/>
  <c r="D1829" i="24"/>
  <c r="D1360" i="24"/>
  <c r="E1360" i="24" s="1"/>
  <c r="D1971" i="24"/>
  <c r="D1771" i="24"/>
  <c r="D2085" i="24"/>
  <c r="D1434" i="24"/>
  <c r="D2362" i="24"/>
  <c r="D2061" i="24"/>
  <c r="D2297" i="24"/>
  <c r="E2297" i="24" s="1"/>
  <c r="D2020" i="24"/>
  <c r="D241" i="24"/>
  <c r="E241" i="24" s="1"/>
  <c r="D2340" i="24"/>
  <c r="D1130" i="24"/>
  <c r="E1130" i="24" s="1"/>
  <c r="D373" i="24"/>
  <c r="D1162" i="24"/>
  <c r="D1545" i="24"/>
  <c r="D335" i="24"/>
  <c r="D1750" i="24"/>
  <c r="E1750" i="24" s="1"/>
  <c r="D2174" i="24"/>
  <c r="D1355" i="24"/>
  <c r="D666" i="24"/>
  <c r="E666" i="24" s="1"/>
  <c r="D406" i="24"/>
  <c r="D1883" i="24"/>
  <c r="D1334" i="24"/>
  <c r="D118" i="24"/>
  <c r="D1608" i="24"/>
  <c r="D215" i="24"/>
  <c r="D1604" i="24"/>
  <c r="D1174" i="24"/>
  <c r="D1536" i="24"/>
  <c r="D427" i="24"/>
  <c r="E427" i="24" s="1"/>
  <c r="D2345" i="24"/>
  <c r="D2325" i="24"/>
  <c r="E2325" i="24" s="1"/>
  <c r="D452" i="24"/>
  <c r="D1511" i="24"/>
  <c r="D566" i="24"/>
  <c r="D2338" i="24"/>
  <c r="D1383" i="24"/>
  <c r="D1446" i="24"/>
  <c r="D1859" i="24"/>
  <c r="E1859" i="24" s="1"/>
  <c r="D2176" i="24"/>
  <c r="E2176" i="24" s="1"/>
  <c r="D152" i="24"/>
  <c r="D2092" i="24"/>
  <c r="E2092" i="24" s="1"/>
  <c r="D1662" i="24"/>
  <c r="D959" i="24"/>
  <c r="D1424" i="24"/>
  <c r="E1424" i="24" s="1"/>
  <c r="D2217" i="24"/>
  <c r="E2217" i="24" s="1"/>
  <c r="D1993" i="24"/>
  <c r="E1993" i="24" s="1"/>
  <c r="D1094" i="24"/>
  <c r="E1094" i="24" s="1"/>
  <c r="D2047" i="24"/>
  <c r="E2047" i="24" s="1"/>
  <c r="D2071" i="24"/>
  <c r="D790" i="24"/>
  <c r="E790" i="24" s="1"/>
  <c r="D606" i="24"/>
  <c r="E606" i="24" s="1"/>
  <c r="D712" i="24"/>
  <c r="E712" i="24" s="1"/>
  <c r="D1365" i="24"/>
  <c r="D129" i="24"/>
  <c r="E129" i="24" s="1"/>
  <c r="D264" i="24"/>
  <c r="D945" i="24"/>
  <c r="E945" i="24" s="1"/>
  <c r="D489" i="24"/>
  <c r="D1758" i="24"/>
  <c r="D2406" i="24"/>
  <c r="D911" i="24"/>
  <c r="D1902" i="24"/>
  <c r="E1902" i="24" s="1"/>
  <c r="D2506" i="24"/>
  <c r="E2506" i="24" s="1"/>
  <c r="D1650" i="24"/>
  <c r="D845" i="24"/>
  <c r="E845" i="24" s="1"/>
  <c r="D1197" i="24"/>
  <c r="D1122" i="24"/>
  <c r="E1122" i="24" s="1"/>
  <c r="D1806" i="24"/>
  <c r="E1806" i="24" s="1"/>
  <c r="D880" i="24"/>
  <c r="E880" i="24" s="1"/>
  <c r="D2303" i="24"/>
  <c r="D1533" i="24"/>
  <c r="D1917" i="24"/>
  <c r="E1917" i="24" s="1"/>
  <c r="D910" i="24"/>
  <c r="D1232" i="24"/>
  <c r="D296" i="24"/>
  <c r="D2477" i="24"/>
  <c r="D746" i="24"/>
  <c r="E746" i="24" s="1"/>
  <c r="D1005" i="24"/>
  <c r="D951" i="24"/>
  <c r="E951" i="24" s="1"/>
  <c r="D554" i="24"/>
  <c r="D2230" i="24"/>
  <c r="D857" i="24"/>
  <c r="D2377" i="24"/>
  <c r="D1445" i="24"/>
  <c r="D1790" i="24"/>
  <c r="D1327" i="24"/>
  <c r="E1327" i="24" s="1"/>
  <c r="D1186" i="24"/>
  <c r="E1186" i="24" s="1"/>
  <c r="D706" i="24"/>
  <c r="E706" i="24" s="1"/>
  <c r="D1375" i="24"/>
  <c r="E1375" i="24" s="1"/>
  <c r="D775" i="24"/>
  <c r="D1141" i="24"/>
  <c r="D1673" i="24"/>
  <c r="D895" i="24"/>
  <c r="D508" i="24"/>
  <c r="E508" i="24" s="1"/>
  <c r="D864" i="24"/>
  <c r="D537" i="24"/>
  <c r="E537" i="24" s="1"/>
  <c r="D1596" i="24"/>
  <c r="D673" i="24"/>
  <c r="D994" i="24"/>
  <c r="E994" i="24" s="1"/>
  <c r="D1181" i="24"/>
  <c r="E1181" i="24" s="1"/>
  <c r="D2212" i="24"/>
  <c r="E2212" i="24" s="1"/>
  <c r="D2312" i="24"/>
  <c r="D1690" i="24"/>
  <c r="E1690" i="24" s="1"/>
  <c r="D1869" i="24"/>
  <c r="E1869" i="24" s="1"/>
  <c r="D1520" i="24"/>
  <c r="D1291" i="24"/>
  <c r="E1291" i="24" s="1"/>
  <c r="D1980" i="24"/>
  <c r="D2387" i="24"/>
  <c r="D2241" i="24"/>
  <c r="E2241" i="24" s="1"/>
  <c r="D2011" i="24"/>
  <c r="E2011" i="24" s="1"/>
  <c r="D1508" i="24"/>
  <c r="D1505" i="24"/>
  <c r="E1505" i="24" s="1"/>
  <c r="D1682" i="24"/>
  <c r="D532" i="24"/>
  <c r="E532" i="24" s="1"/>
  <c r="D1872" i="24"/>
  <c r="D2262" i="24"/>
  <c r="E2262" i="24" s="1"/>
  <c r="D31" i="24"/>
  <c r="E31" i="24" s="1"/>
  <c r="D372" i="24"/>
  <c r="D962" i="24"/>
  <c r="D2056" i="24"/>
  <c r="D1467" i="24"/>
  <c r="D863" i="24"/>
  <c r="D1791" i="24"/>
  <c r="D2050" i="24"/>
  <c r="D1146" i="24"/>
  <c r="D169" i="24"/>
  <c r="D1687" i="24"/>
  <c r="D1671" i="24"/>
  <c r="E1671" i="24" s="1"/>
  <c r="D1219" i="24"/>
  <c r="E1219" i="24" s="1"/>
  <c r="D839" i="24"/>
  <c r="D371" i="24"/>
  <c r="D641" i="24"/>
  <c r="D2057" i="24"/>
  <c r="E2057" i="24" s="1"/>
  <c r="D2517" i="24"/>
  <c r="D2494" i="24"/>
  <c r="D66" i="24"/>
  <c r="E66" i="24" s="1"/>
  <c r="D254" i="24"/>
  <c r="E254" i="24" s="1"/>
  <c r="D276" i="24"/>
  <c r="D1347" i="24"/>
  <c r="E1347" i="24" s="1"/>
  <c r="D396" i="24"/>
  <c r="E396" i="24" s="1"/>
  <c r="D558" i="24"/>
  <c r="D2250" i="24"/>
  <c r="E2250" i="24" s="1"/>
  <c r="D464" i="24"/>
  <c r="E464" i="24" s="1"/>
  <c r="D2437" i="24"/>
  <c r="E2437" i="24" s="1"/>
  <c r="D289" i="24"/>
  <c r="D232" i="24"/>
  <c r="E232" i="24" s="1"/>
  <c r="D1083" i="24"/>
  <c r="D1075" i="24"/>
  <c r="D744" i="24"/>
  <c r="D2207" i="24"/>
  <c r="D642" i="24"/>
  <c r="D2182" i="24"/>
  <c r="D1145" i="24"/>
  <c r="D393" i="24"/>
  <c r="D469" i="24"/>
  <c r="E469" i="24" s="1"/>
  <c r="D1198" i="24"/>
  <c r="E1198" i="24" s="1"/>
  <c r="D631" i="24"/>
  <c r="D825" i="24"/>
  <c r="D1226" i="24"/>
  <c r="E1226" i="24" s="1"/>
  <c r="D819" i="24"/>
  <c r="D1979" i="24"/>
  <c r="E1979" i="24" s="1"/>
  <c r="D2039" i="24"/>
  <c r="D551" i="24"/>
  <c r="E551" i="24" s="1"/>
  <c r="D1936" i="24"/>
  <c r="E1936" i="24" s="1"/>
  <c r="D301" i="24"/>
  <c r="E301" i="24" s="1"/>
  <c r="D1242" i="24"/>
  <c r="D1140" i="24"/>
  <c r="D1619" i="24"/>
  <c r="D1651" i="24"/>
  <c r="D1580" i="24"/>
  <c r="E1580" i="24" s="1"/>
  <c r="D1756" i="24"/>
  <c r="D605" i="24"/>
  <c r="E605" i="24" s="1"/>
  <c r="D730" i="24"/>
  <c r="E730" i="24" s="1"/>
  <c r="D2472" i="24"/>
  <c r="D1946" i="24"/>
  <c r="D2140" i="24"/>
  <c r="E2140" i="24" s="1"/>
  <c r="D976" i="24"/>
  <c r="D848" i="24"/>
  <c r="E848" i="24" s="1"/>
  <c r="D2094" i="24"/>
  <c r="E2094" i="24" s="1"/>
  <c r="D58" i="24"/>
  <c r="E58" i="24" s="1"/>
  <c r="D2183" i="24"/>
  <c r="E2183" i="24" s="1"/>
  <c r="D1818" i="24"/>
  <c r="D891" i="24"/>
  <c r="D1267" i="24"/>
  <c r="E1267" i="24" s="1"/>
  <c r="D1736" i="24"/>
  <c r="E1736" i="24" s="1"/>
  <c r="D448" i="24"/>
  <c r="D71" i="24"/>
  <c r="D275" i="24"/>
  <c r="D1376" i="24"/>
  <c r="D991" i="24"/>
  <c r="E991" i="24" s="1"/>
  <c r="D343" i="24"/>
  <c r="E343" i="24" s="1"/>
  <c r="D1190" i="24"/>
  <c r="D1861" i="24"/>
  <c r="E1861" i="24" s="1"/>
  <c r="D1693" i="24"/>
  <c r="E1693" i="24" s="1"/>
  <c r="D1546" i="24"/>
  <c r="E1546" i="24" s="1"/>
  <c r="D559" i="24"/>
  <c r="D2025" i="24"/>
  <c r="E2025" i="24" s="1"/>
  <c r="D585" i="24"/>
  <c r="D2234" i="24"/>
  <c r="D1951" i="24"/>
  <c r="D1812" i="24"/>
  <c r="D166" i="24"/>
  <c r="D886" i="24"/>
  <c r="E886" i="24" s="1"/>
  <c r="D1537" i="24"/>
  <c r="D1250" i="24"/>
  <c r="D1296" i="24"/>
  <c r="E1296" i="24" s="1"/>
  <c r="D763" i="24"/>
  <c r="E763" i="24" s="1"/>
  <c r="D266" i="24"/>
  <c r="D1846" i="24"/>
  <c r="E1846" i="24" s="1"/>
  <c r="D620" i="24"/>
  <c r="D556" i="24"/>
  <c r="D1627" i="24"/>
  <c r="E1627" i="24" s="1"/>
  <c r="D1027" i="24"/>
  <c r="E1027" i="24" s="1"/>
  <c r="D733" i="24"/>
  <c r="D277" i="24"/>
  <c r="E277" i="24" s="1"/>
  <c r="D385" i="24"/>
  <c r="E385" i="24" s="1"/>
  <c r="D1134" i="24"/>
  <c r="D2440" i="24"/>
  <c r="D2287" i="24"/>
  <c r="D329" i="24"/>
  <c r="E329" i="24" s="1"/>
  <c r="D679" i="24"/>
  <c r="E679" i="24" s="1"/>
  <c r="D111" i="24"/>
  <c r="D1049" i="24"/>
  <c r="D1313" i="24"/>
  <c r="E1313" i="24" s="1"/>
  <c r="D1707" i="24"/>
  <c r="E1707" i="24" s="1"/>
  <c r="D760" i="24"/>
  <c r="E760" i="24" s="1"/>
  <c r="D1436" i="24"/>
  <c r="D1129" i="24"/>
  <c r="D2084" i="24"/>
  <c r="E2084" i="24" s="1"/>
  <c r="D2002" i="24"/>
  <c r="D1337" i="24"/>
  <c r="E1337" i="24" s="1"/>
  <c r="D1595" i="24"/>
  <c r="D1183" i="24"/>
  <c r="E1183" i="24" s="1"/>
  <c r="D2498" i="24"/>
  <c r="D1828" i="24"/>
  <c r="D1559" i="24"/>
  <c r="D1776" i="24"/>
  <c r="D176" i="24"/>
  <c r="D2065" i="24"/>
  <c r="D974" i="24"/>
  <c r="D2253" i="24"/>
  <c r="D2129" i="24"/>
  <c r="E2129" i="24" s="1"/>
  <c r="D2007" i="24"/>
  <c r="D99" i="24"/>
  <c r="E99" i="24" s="1"/>
  <c r="D2441" i="24"/>
  <c r="D2059" i="24"/>
  <c r="E2059" i="24" s="1"/>
  <c r="D438" i="24"/>
  <c r="E438" i="24" s="1"/>
  <c r="D2353" i="24"/>
  <c r="E2353" i="24" s="1"/>
  <c r="D204" i="24"/>
  <c r="D2026" i="24"/>
  <c r="D818" i="24"/>
  <c r="D572" i="24"/>
  <c r="E572" i="24" s="1"/>
  <c r="D703" i="24"/>
  <c r="E703" i="24" s="1"/>
  <c r="D1171" i="24"/>
  <c r="E1171" i="24" s="1"/>
  <c r="D1847" i="24"/>
  <c r="D2451" i="24"/>
  <c r="E2451" i="24" s="1"/>
  <c r="D699" i="24"/>
  <c r="E699" i="24" s="1"/>
  <c r="D1632" i="24"/>
  <c r="D236" i="24"/>
  <c r="E236" i="24" s="1"/>
  <c r="D445" i="24"/>
  <c r="D68" i="24"/>
  <c r="E68" i="24" s="1"/>
  <c r="D1879" i="24"/>
  <c r="D1363" i="24"/>
  <c r="D1747" i="24"/>
  <c r="D1031" i="24"/>
  <c r="D83" i="24"/>
  <c r="D1012" i="24"/>
  <c r="D1136" i="24"/>
  <c r="D2520" i="24"/>
  <c r="E2519" i="24" s="1"/>
  <c r="D1986" i="24"/>
  <c r="D689" i="24"/>
  <c r="D432" i="24"/>
  <c r="D310" i="24"/>
  <c r="D1479" i="24"/>
  <c r="D1763" i="24"/>
  <c r="D158" i="24"/>
  <c r="D653" i="24"/>
  <c r="E653" i="24" s="1"/>
  <c r="D172" i="24"/>
  <c r="D846" i="24"/>
  <c r="D2023" i="24"/>
  <c r="D2051" i="24"/>
  <c r="E2051" i="24" s="1"/>
  <c r="D916" i="24"/>
  <c r="D2198" i="24"/>
  <c r="E2198" i="24" s="1"/>
  <c r="D2266" i="24"/>
  <c r="E2266" i="24" s="1"/>
  <c r="D1060" i="24"/>
  <c r="D1912" i="24"/>
  <c r="D2367" i="24"/>
  <c r="D2487" i="24"/>
  <c r="E2487" i="24" s="1"/>
  <c r="D1147" i="24"/>
  <c r="E1147" i="24" s="1"/>
  <c r="D2395" i="24"/>
  <c r="E2395" i="24" s="1"/>
  <c r="D2347" i="24"/>
  <c r="E2347" i="24" s="1"/>
  <c r="D1552" i="24"/>
  <c r="E1552" i="24" s="1"/>
  <c r="D1738" i="24"/>
  <c r="D2036" i="24"/>
  <c r="D2493" i="24"/>
  <c r="D2521" i="24"/>
  <c r="D1034" i="24"/>
  <c r="D575" i="24"/>
  <c r="D834" i="24"/>
  <c r="D836" i="24"/>
  <c r="E836" i="24" s="1"/>
  <c r="D1509" i="24"/>
  <c r="E1509" i="24" s="1"/>
  <c r="D2273" i="24"/>
  <c r="D801" i="24"/>
  <c r="E801" i="24" s="1"/>
  <c r="D401" i="24"/>
  <c r="D1059" i="24"/>
  <c r="E1059" i="24" s="1"/>
  <c r="D2249" i="24"/>
  <c r="D179" i="24"/>
  <c r="E179" i="24" s="1"/>
  <c r="D2107" i="24"/>
  <c r="E2107" i="24" s="1"/>
  <c r="D668" i="24"/>
  <c r="E668" i="24" s="1"/>
  <c r="D1039" i="24"/>
  <c r="D1534" i="24"/>
  <c r="D1874" i="24"/>
  <c r="E1874" i="24" s="1"/>
  <c r="D2483" i="24"/>
  <c r="E2483" i="24" s="1"/>
  <c r="D64" i="24"/>
  <c r="D879" i="24"/>
  <c r="D1195" i="24"/>
  <c r="E1195" i="24" s="1"/>
  <c r="D1685" i="24"/>
  <c r="E1685" i="24" s="1"/>
  <c r="D1191" i="24"/>
  <c r="E1191" i="24" s="1"/>
  <c r="D979" i="24"/>
  <c r="D617" i="24"/>
  <c r="D2275" i="24"/>
  <c r="D1943" i="24"/>
  <c r="D1497" i="24"/>
  <c r="D318" i="24"/>
  <c r="D1284" i="24"/>
  <c r="D1532" i="24"/>
  <c r="D1512" i="24"/>
  <c r="D2277" i="24"/>
  <c r="E2277" i="24" s="1"/>
  <c r="D2136" i="24"/>
  <c r="D488" i="24"/>
  <c r="E488" i="24" s="1"/>
  <c r="D892" i="24"/>
  <c r="D2102" i="24"/>
  <c r="D1302" i="24"/>
  <c r="D183" i="24"/>
  <c r="D153" i="24"/>
  <c r="D2505" i="24"/>
  <c r="D2185" i="24"/>
  <c r="E2185" i="24" s="1"/>
  <c r="D2311" i="24"/>
  <c r="D1007" i="24"/>
  <c r="D1359" i="24"/>
  <c r="D1998" i="24"/>
  <c r="E1998" i="24" s="1"/>
  <c r="D1441" i="24"/>
  <c r="E1441" i="24" s="1"/>
  <c r="D943" i="24"/>
  <c r="D1282" i="24"/>
  <c r="E1282" i="24" s="1"/>
  <c r="D1762" i="24"/>
  <c r="E1762" i="24" s="1"/>
  <c r="D2495" i="24"/>
  <c r="D975" i="24"/>
  <c r="D1496" i="24"/>
  <c r="D485" i="24"/>
  <c r="D814" i="24"/>
  <c r="D243" i="24"/>
  <c r="D2171" i="24"/>
  <c r="E2171" i="24" s="1"/>
  <c r="D1778" i="24"/>
  <c r="E1778" i="24" s="1"/>
  <c r="D978" i="24"/>
  <c r="D1166" i="24"/>
  <c r="D878" i="24"/>
  <c r="D1305" i="24"/>
  <c r="D474" i="24"/>
  <c r="D1649" i="24"/>
  <c r="D799" i="24"/>
  <c r="E799" i="24" s="1"/>
  <c r="D767" i="24"/>
  <c r="D1969" i="24"/>
  <c r="D539" i="24"/>
  <c r="E539" i="24" s="1"/>
  <c r="D333" i="24"/>
  <c r="E333" i="24" s="1"/>
  <c r="D2518" i="24"/>
  <c r="E2518" i="24" s="1"/>
  <c r="D2137" i="24"/>
  <c r="E2137" i="24" s="1"/>
  <c r="D1003" i="24"/>
  <c r="E1003" i="24" s="1"/>
  <c r="D1225" i="24"/>
  <c r="D2257" i="24"/>
  <c r="D1167" i="24"/>
  <c r="D2342" i="24"/>
  <c r="E2342" i="24" s="1"/>
  <c r="D1207" i="24"/>
  <c r="D519" i="24"/>
  <c r="E519" i="24" s="1"/>
  <c r="D1688" i="24"/>
  <c r="D2098" i="24"/>
  <c r="E2098" i="24" s="1"/>
  <c r="D454" i="24"/>
  <c r="D1306" i="24"/>
  <c r="D2042" i="24"/>
  <c r="E2042" i="24" s="1"/>
  <c r="D2504" i="24"/>
  <c r="D2040" i="24"/>
  <c r="E2040" i="24" s="1"/>
  <c r="D1698" i="24"/>
  <c r="E1698" i="24" s="1"/>
  <c r="D416" i="24"/>
  <c r="D1065" i="24"/>
  <c r="D932" i="24"/>
  <c r="E932" i="24" s="1"/>
  <c r="D348" i="24"/>
  <c r="E348" i="24" s="1"/>
  <c r="D1079" i="24"/>
  <c r="D1331" i="24"/>
  <c r="E1331" i="24" s="1"/>
  <c r="D1524" i="24"/>
  <c r="D638" i="24"/>
  <c r="D1318" i="24"/>
  <c r="E1318" i="24" s="1"/>
  <c r="D1353" i="24"/>
  <c r="D2079" i="24"/>
  <c r="D2175" i="24"/>
  <c r="D1614" i="24"/>
  <c r="D990" i="24"/>
  <c r="D1838" i="24"/>
  <c r="D115" i="24"/>
  <c r="D2193" i="24"/>
  <c r="E2193" i="24" s="1"/>
  <c r="D1100" i="24"/>
  <c r="E1100" i="24" s="1"/>
  <c r="D1332" i="24"/>
  <c r="D1023" i="24"/>
  <c r="D2001" i="24"/>
  <c r="D1289" i="24"/>
  <c r="D1636" i="24"/>
  <c r="D269" i="24"/>
  <c r="E269" i="24" s="1"/>
  <c r="D800" i="24"/>
  <c r="D840" i="24"/>
  <c r="E840" i="24" s="1"/>
  <c r="D347" i="24"/>
  <c r="D433" i="24"/>
  <c r="E433" i="24" s="1"/>
  <c r="D2110" i="24"/>
  <c r="E2110" i="24" s="1"/>
  <c r="D1809" i="24"/>
  <c r="D1928" i="24"/>
  <c r="D1938" i="24"/>
  <c r="E1938" i="24" s="1"/>
  <c r="D841" i="24"/>
  <c r="D1447" i="24"/>
  <c r="D1254" i="24"/>
  <c r="D2324" i="24"/>
  <c r="D32" i="24"/>
  <c r="D1877" i="24"/>
  <c r="E1877" i="24" s="1"/>
  <c r="D2458" i="24"/>
  <c r="D1092" i="24"/>
  <c r="E1092" i="24" s="1"/>
  <c r="D919" i="24"/>
  <c r="D2397" i="24"/>
  <c r="E2397" i="24" s="1"/>
  <c r="D754" i="24"/>
  <c r="D2037" i="24"/>
  <c r="D2378" i="24"/>
  <c r="D491" i="24"/>
  <c r="E491" i="24" s="1"/>
  <c r="D1712" i="24"/>
  <c r="E1712" i="24" s="1"/>
  <c r="D925" i="24"/>
  <c r="E925" i="24" s="1"/>
  <c r="D26" i="24"/>
  <c r="D417" i="24"/>
  <c r="D355" i="24"/>
  <c r="E355" i="24" s="1"/>
  <c r="D63" i="24"/>
  <c r="D1294" i="24"/>
  <c r="E1294" i="24" s="1"/>
  <c r="D1455" i="24"/>
  <c r="D1774" i="24"/>
  <c r="D807" i="24"/>
  <c r="D967" i="24"/>
  <c r="E967" i="24" s="1"/>
  <c r="D567" i="24"/>
  <c r="D287" i="24"/>
  <c r="D2489" i="24"/>
  <c r="E2489" i="24" s="1"/>
  <c r="D832" i="24"/>
  <c r="D513" i="24"/>
  <c r="D1735" i="24"/>
  <c r="D1053" i="24"/>
  <c r="E1053" i="24" s="1"/>
  <c r="D1076" i="24"/>
  <c r="D1064" i="24"/>
  <c r="D1870" i="24"/>
  <c r="E1870" i="24" s="1"/>
  <c r="D65" i="24"/>
  <c r="E65" i="24" s="1"/>
  <c r="D823" i="24"/>
  <c r="D2481" i="24"/>
  <c r="E2481" i="24" s="1"/>
  <c r="D813" i="24"/>
  <c r="E813" i="24" s="1"/>
  <c r="D2164" i="24"/>
  <c r="D717" i="24"/>
  <c r="D1599" i="24"/>
  <c r="D1389" i="24"/>
  <c r="E1389" i="24" s="1"/>
  <c r="D1461" i="24"/>
  <c r="E1461" i="24" s="1"/>
  <c r="D682" i="24"/>
  <c r="D1468" i="24"/>
  <c r="D39" i="24"/>
  <c r="D188" i="24"/>
  <c r="E188" i="24" s="1"/>
  <c r="D1554" i="24"/>
  <c r="D773" i="24"/>
  <c r="D2327" i="24"/>
  <c r="D977" i="24"/>
  <c r="E977" i="24" s="1"/>
  <c r="D2283" i="24"/>
  <c r="D22" i="24"/>
  <c r="D1504" i="24"/>
  <c r="E1504" i="24" s="1"/>
  <c r="D1571" i="24"/>
  <c r="D1154" i="24"/>
  <c r="E1154" i="24" s="1"/>
  <c r="F8" i="3"/>
  <c r="F18" i="3" s="1"/>
  <c r="H41" i="6"/>
  <c r="C37" i="40"/>
  <c r="J166" i="13"/>
  <c r="D166" i="13"/>
  <c r="I166" i="13"/>
  <c r="E166" i="13"/>
  <c r="F166" i="13"/>
  <c r="B166" i="13"/>
  <c r="H166" i="13"/>
  <c r="G166" i="13"/>
  <c r="C166" i="13"/>
  <c r="C27" i="6"/>
  <c r="L24" i="88"/>
  <c r="L44" i="88" s="1"/>
  <c r="I12" i="79"/>
  <c r="J10" i="88"/>
  <c r="J38" i="88" s="1"/>
  <c r="D6" i="3"/>
  <c r="F63" i="19"/>
  <c r="H63" i="19"/>
  <c r="G63" i="19"/>
  <c r="E63" i="19"/>
  <c r="C63" i="19"/>
  <c r="D63" i="19"/>
  <c r="L63" i="19"/>
  <c r="K63" i="19"/>
  <c r="I63" i="19"/>
  <c r="J63" i="19"/>
  <c r="I31" i="88"/>
  <c r="C21" i="79"/>
  <c r="D8" i="79"/>
  <c r="C150" i="13"/>
  <c r="C88" i="13" s="1"/>
  <c r="C89" i="13" s="1"/>
  <c r="E150" i="13"/>
  <c r="E88" i="13" s="1"/>
  <c r="D150" i="13"/>
  <c r="D88" i="13" s="1"/>
  <c r="D89" i="13" s="1"/>
  <c r="G150" i="13"/>
  <c r="G88" i="13" s="1"/>
  <c r="H150" i="13"/>
  <c r="H88" i="13" s="1"/>
  <c r="H89" i="13" s="1"/>
  <c r="B150" i="13"/>
  <c r="B88" i="13" s="1"/>
  <c r="F150" i="13"/>
  <c r="F88" i="13" s="1"/>
  <c r="F89" i="13" s="1"/>
  <c r="I150" i="13"/>
  <c r="I88" i="13" s="1"/>
  <c r="I89" i="13" s="1"/>
  <c r="J150" i="13"/>
  <c r="E84" i="7"/>
  <c r="A36" i="1"/>
  <c r="I19" i="84"/>
  <c r="I24" i="84" s="1"/>
  <c r="K21" i="80"/>
  <c r="I10" i="80"/>
  <c r="A64" i="18"/>
  <c r="J15" i="80"/>
  <c r="C84" i="7"/>
  <c r="A12" i="1"/>
  <c r="D62" i="17"/>
  <c r="G62" i="17"/>
  <c r="K62" i="17"/>
  <c r="E62" i="17"/>
  <c r="C62" i="17"/>
  <c r="I62" i="17"/>
  <c r="H62" i="17"/>
  <c r="F62" i="17"/>
  <c r="J62" i="17"/>
  <c r="B62" i="17"/>
  <c r="H16" i="82"/>
  <c r="H29" i="6"/>
  <c r="D61" i="6"/>
  <c r="H10" i="80"/>
  <c r="A104" i="13"/>
  <c r="L14" i="88"/>
  <c r="K8" i="79"/>
  <c r="D27" i="88"/>
  <c r="J19" i="88"/>
  <c r="G12" i="6"/>
  <c r="G13" i="6"/>
  <c r="G32" i="13"/>
  <c r="F32" i="13"/>
  <c r="F33" i="13" s="1"/>
  <c r="E32" i="13"/>
  <c r="B32" i="13"/>
  <c r="B33" i="13" s="1"/>
  <c r="D32" i="13"/>
  <c r="H32" i="13"/>
  <c r="H33" i="13" s="1"/>
  <c r="H53" i="13" s="1"/>
  <c r="C32" i="13"/>
  <c r="C33" i="13" s="1"/>
  <c r="J32" i="13"/>
  <c r="I32" i="13"/>
  <c r="I33" i="13" s="1"/>
  <c r="G59" i="17"/>
  <c r="C59" i="17"/>
  <c r="E59" i="17"/>
  <c r="B59" i="17"/>
  <c r="J59" i="17"/>
  <c r="H59" i="17"/>
  <c r="K59" i="17"/>
  <c r="I59" i="17"/>
  <c r="D59" i="17"/>
  <c r="F59" i="17"/>
  <c r="H46" i="6"/>
  <c r="E22" i="6"/>
  <c r="E8" i="82"/>
  <c r="K24" i="80"/>
  <c r="E20" i="6"/>
  <c r="F55" i="1" s="1"/>
  <c r="D9" i="88"/>
  <c r="A67" i="1"/>
  <c r="D21" i="80"/>
  <c r="I5" i="32"/>
  <c r="H24" i="6"/>
  <c r="H202" i="13"/>
  <c r="E202" i="13"/>
  <c r="G202" i="13"/>
  <c r="D202" i="13"/>
  <c r="I202" i="13"/>
  <c r="C202" i="13"/>
  <c r="J202" i="13"/>
  <c r="B202" i="13"/>
  <c r="F202" i="13"/>
  <c r="C41" i="6"/>
  <c r="G48" i="6"/>
  <c r="K21" i="78"/>
  <c r="C18" i="88"/>
  <c r="D21" i="82"/>
  <c r="C133" i="13"/>
  <c r="I133" i="13"/>
  <c r="B133" i="13"/>
  <c r="E133" i="13"/>
  <c r="J133" i="13"/>
  <c r="G133" i="13"/>
  <c r="F133" i="13"/>
  <c r="H133" i="13"/>
  <c r="D133" i="13"/>
  <c r="L15" i="82"/>
  <c r="G8" i="7"/>
  <c r="G10" i="7" s="1"/>
  <c r="G31" i="7" s="1"/>
  <c r="F26" i="88"/>
  <c r="F46" i="88" s="1"/>
  <c r="D24" i="82"/>
  <c r="H16" i="79"/>
  <c r="L10" i="3"/>
  <c r="L20" i="3" s="1"/>
  <c r="A25" i="1"/>
  <c r="H65" i="17"/>
  <c r="K65" i="17"/>
  <c r="I65" i="17"/>
  <c r="C65" i="17"/>
  <c r="B65" i="17"/>
  <c r="D65" i="17"/>
  <c r="G65" i="17"/>
  <c r="F65" i="17"/>
  <c r="E65" i="17"/>
  <c r="J65" i="17"/>
  <c r="D10" i="88"/>
  <c r="D38" i="88" s="1"/>
  <c r="F19" i="85"/>
  <c r="F24" i="85" s="1"/>
  <c r="B31" i="19"/>
  <c r="B28" i="22" s="1"/>
  <c r="A203" i="13"/>
  <c r="B48" i="19"/>
  <c r="B52" i="34" s="1"/>
  <c r="L19" i="84"/>
  <c r="L24" i="84" s="1"/>
  <c r="A15" i="13"/>
  <c r="A169" i="13"/>
  <c r="A231" i="13" s="1"/>
  <c r="F60" i="6"/>
  <c r="D12" i="6"/>
  <c r="H173" i="13"/>
  <c r="I173" i="13"/>
  <c r="J173" i="13"/>
  <c r="E173" i="13"/>
  <c r="C173" i="13"/>
  <c r="B173" i="13"/>
  <c r="F173" i="13"/>
  <c r="D173" i="13"/>
  <c r="G173" i="13"/>
  <c r="E30" i="17"/>
  <c r="G30" i="17"/>
  <c r="I30" i="17"/>
  <c r="B30" i="17"/>
  <c r="K30" i="17"/>
  <c r="D30" i="17"/>
  <c r="J30" i="17"/>
  <c r="C30" i="17"/>
  <c r="F30" i="17"/>
  <c r="H30" i="17"/>
  <c r="B41" i="19"/>
  <c r="B40" i="34" s="1"/>
  <c r="D11" i="88"/>
  <c r="D39" i="88" s="1"/>
  <c r="H371" i="24"/>
  <c r="H712" i="24"/>
  <c r="I712" i="24" s="1"/>
  <c r="H238" i="24"/>
  <c r="H889" i="24"/>
  <c r="H899" i="24"/>
  <c r="H623" i="24"/>
  <c r="H826" i="24"/>
  <c r="H625" i="24"/>
  <c r="H557" i="24"/>
  <c r="H121" i="24"/>
  <c r="H961" i="24"/>
  <c r="H345" i="24"/>
  <c r="H477" i="24"/>
  <c r="H752" i="24"/>
  <c r="H409" i="24"/>
  <c r="H677" i="24"/>
  <c r="H846" i="24"/>
  <c r="H784" i="24"/>
  <c r="H471" i="24"/>
  <c r="H938" i="24"/>
  <c r="H201" i="24"/>
  <c r="H1118" i="24"/>
  <c r="H515" i="24"/>
  <c r="H337" i="24"/>
  <c r="H749" i="24"/>
  <c r="H566" i="24"/>
  <c r="I566" i="24" s="1"/>
  <c r="H601" i="24"/>
  <c r="H1084" i="24"/>
  <c r="H707" i="24"/>
  <c r="H1027" i="24"/>
  <c r="H729" i="24"/>
  <c r="H978" i="24"/>
  <c r="H618" i="24"/>
  <c r="H803" i="24"/>
  <c r="H1168" i="24"/>
  <c r="H761" i="24"/>
  <c r="H180" i="24"/>
  <c r="H1260" i="24"/>
  <c r="I1259" i="24" s="1"/>
  <c r="H1200" i="24"/>
  <c r="H408" i="24"/>
  <c r="H842" i="24"/>
  <c r="H52" i="24"/>
  <c r="H161" i="24"/>
  <c r="H144" i="24"/>
  <c r="H683" i="24"/>
  <c r="H968" i="24"/>
  <c r="H806" i="24"/>
  <c r="H1250" i="24"/>
  <c r="H240" i="24"/>
  <c r="H283" i="24"/>
  <c r="H406" i="24"/>
  <c r="H1155" i="24"/>
  <c r="H1071" i="24"/>
  <c r="H301" i="24"/>
  <c r="H951" i="24"/>
  <c r="H1236" i="24"/>
  <c r="H537" i="24"/>
  <c r="H332" i="24"/>
  <c r="H330" i="24"/>
  <c r="H525" i="24"/>
  <c r="H1150" i="24"/>
  <c r="H901" i="24"/>
  <c r="I900" i="24" s="1"/>
  <c r="H659" i="24"/>
  <c r="H1024" i="24"/>
  <c r="H993" i="24"/>
  <c r="H167" i="24"/>
  <c r="H555" i="24"/>
  <c r="H60" i="24"/>
  <c r="H1120" i="24"/>
  <c r="H22" i="24"/>
  <c r="H102" i="24"/>
  <c r="H389" i="24"/>
  <c r="H957" i="24"/>
  <c r="H802" i="24"/>
  <c r="I802" i="24" s="1"/>
  <c r="H210" i="24"/>
  <c r="H520" i="24"/>
  <c r="H597" i="24"/>
  <c r="H96" i="24"/>
  <c r="H75" i="24"/>
  <c r="H809" i="24"/>
  <c r="H177" i="24"/>
  <c r="H935" i="24"/>
  <c r="H348" i="24"/>
  <c r="H213" i="24"/>
  <c r="H142" i="24"/>
  <c r="H441" i="24"/>
  <c r="I441" i="24" s="1"/>
  <c r="H1161" i="24"/>
  <c r="H824" i="24"/>
  <c r="H51" i="24"/>
  <c r="H432" i="24"/>
  <c r="H797" i="24"/>
  <c r="H94" i="24"/>
  <c r="H339" i="24"/>
  <c r="H1154" i="24"/>
  <c r="H528" i="24"/>
  <c r="H171" i="24"/>
  <c r="H224" i="24"/>
  <c r="H205" i="24"/>
  <c r="H1122" i="24"/>
  <c r="H519" i="24"/>
  <c r="H776" i="24"/>
  <c r="H1197" i="24"/>
  <c r="H701" i="24"/>
  <c r="H627" i="24"/>
  <c r="H526" i="24"/>
  <c r="H778" i="24"/>
  <c r="H653" i="24"/>
  <c r="H906" i="24"/>
  <c r="I906" i="24" s="1"/>
  <c r="H734" i="24"/>
  <c r="H1067" i="24"/>
  <c r="I1067" i="24" s="1"/>
  <c r="H718" i="24"/>
  <c r="H1035" i="24"/>
  <c r="H810" i="24"/>
  <c r="I810" i="24" s="1"/>
  <c r="H850" i="24"/>
  <c r="H151" i="24"/>
  <c r="H1243" i="24"/>
  <c r="H1108" i="24"/>
  <c r="H622" i="24"/>
  <c r="H162" i="24"/>
  <c r="H839" i="24"/>
  <c r="H656" i="24"/>
  <c r="H1117" i="24"/>
  <c r="I1117" i="24" s="1"/>
  <c r="H267" i="24"/>
  <c r="H925" i="24"/>
  <c r="H480" i="24"/>
  <c r="H312" i="24"/>
  <c r="H699" i="24"/>
  <c r="H584" i="24"/>
  <c r="H1095" i="24"/>
  <c r="H593" i="24"/>
  <c r="H291" i="24"/>
  <c r="H1105" i="24"/>
  <c r="I1105" i="24" s="1"/>
  <c r="H888" i="24"/>
  <c r="I888" i="24" s="1"/>
  <c r="H261" i="24"/>
  <c r="H1166" i="24"/>
  <c r="H410" i="24"/>
  <c r="H490" i="24"/>
  <c r="H773" i="24"/>
  <c r="H626" i="24"/>
  <c r="H705" i="24"/>
  <c r="H58" i="24"/>
  <c r="H821" i="24"/>
  <c r="H310" i="24"/>
  <c r="H327" i="24"/>
  <c r="H487" i="24"/>
  <c r="H662" i="24"/>
  <c r="I662" i="24" s="1"/>
  <c r="H1079" i="24"/>
  <c r="H574" i="24"/>
  <c r="H986" i="24"/>
  <c r="H268" i="24"/>
  <c r="H83" i="24"/>
  <c r="H926" i="24"/>
  <c r="H190" i="24"/>
  <c r="H822" i="24"/>
  <c r="H836" i="24"/>
  <c r="H401" i="24"/>
  <c r="H552" i="24"/>
  <c r="H99" i="24"/>
  <c r="I99" i="24" s="1"/>
  <c r="H1184" i="24"/>
  <c r="H223" i="24"/>
  <c r="I223" i="24" s="1"/>
  <c r="H293" i="24"/>
  <c r="H1020" i="24"/>
  <c r="H894" i="24"/>
  <c r="H550" i="24"/>
  <c r="H35" i="24"/>
  <c r="H122" i="24"/>
  <c r="H608" i="24"/>
  <c r="H42" i="24"/>
  <c r="H706" i="24"/>
  <c r="H998" i="24"/>
  <c r="H424" i="24"/>
  <c r="H748" i="24"/>
  <c r="H796" i="24"/>
  <c r="I796" i="24" s="1"/>
  <c r="H643" i="24"/>
  <c r="H508" i="24"/>
  <c r="H658" i="24"/>
  <c r="I658" i="24" s="1"/>
  <c r="H1008" i="24"/>
  <c r="H318" i="24"/>
  <c r="H757" i="24"/>
  <c r="H323" i="24"/>
  <c r="I323" i="24" s="1"/>
  <c r="H466" i="24"/>
  <c r="H155" i="24"/>
  <c r="H634" i="24"/>
  <c r="H114" i="24"/>
  <c r="H983" i="24"/>
  <c r="H770" i="24"/>
  <c r="H263" i="24"/>
  <c r="H1222" i="24"/>
  <c r="H954" i="24"/>
  <c r="H984" i="24"/>
  <c r="H1179" i="24"/>
  <c r="H419" i="24"/>
  <c r="H460" i="24"/>
  <c r="H130" i="24"/>
  <c r="I130" i="24" s="1"/>
  <c r="H501" i="24"/>
  <c r="H488" i="24"/>
  <c r="H880" i="24"/>
  <c r="H615" i="24"/>
  <c r="H1247" i="24"/>
  <c r="H715" i="24"/>
  <c r="H953" i="24"/>
  <c r="I953" i="24" s="1"/>
  <c r="H465" i="24"/>
  <c r="I465" i="24" s="1"/>
  <c r="H138" i="24"/>
  <c r="H876" i="24"/>
  <c r="H965" i="24"/>
  <c r="H1148" i="24"/>
  <c r="H753" i="24"/>
  <c r="H1053" i="24"/>
  <c r="H242" i="24"/>
  <c r="H411" i="24"/>
  <c r="H1030" i="24"/>
  <c r="H686" i="24"/>
  <c r="H1262" i="24"/>
  <c r="H675" i="24"/>
  <c r="H428" i="24"/>
  <c r="H56" i="24"/>
  <c r="H811" i="24"/>
  <c r="H133" i="24"/>
  <c r="H38" i="24"/>
  <c r="H260" i="24"/>
  <c r="H1124" i="24"/>
  <c r="H1059" i="24"/>
  <c r="H176" i="24"/>
  <c r="H1015" i="24"/>
  <c r="H1218" i="24"/>
  <c r="H1209" i="24"/>
  <c r="H64" i="24"/>
  <c r="H316" i="24"/>
  <c r="H1143" i="24"/>
  <c r="H873" i="24"/>
  <c r="H226" i="24"/>
  <c r="H54" i="24"/>
  <c r="H678" i="24"/>
  <c r="H1251" i="24"/>
  <c r="H1092" i="24"/>
  <c r="H877" i="24"/>
  <c r="H46" i="24"/>
  <c r="H222" i="24"/>
  <c r="H188" i="24"/>
  <c r="H277" i="24"/>
  <c r="I277" i="24" s="1"/>
  <c r="H459" i="24"/>
  <c r="H553" i="24"/>
  <c r="H1034" i="24"/>
  <c r="H1048" i="24"/>
  <c r="H967" i="24"/>
  <c r="H9" i="24"/>
  <c r="H105" i="24"/>
  <c r="H769" i="24"/>
  <c r="H521" i="24"/>
  <c r="H700" i="24"/>
  <c r="H1183" i="24"/>
  <c r="H840" i="24"/>
  <c r="H530" i="24"/>
  <c r="H1206" i="24"/>
  <c r="H48" i="24"/>
  <c r="H731" i="24"/>
  <c r="H1136" i="24"/>
  <c r="H145" i="24"/>
  <c r="H1017" i="24"/>
  <c r="H974" i="24"/>
  <c r="H228" i="24"/>
  <c r="H1258" i="24"/>
  <c r="H859" i="24"/>
  <c r="H403" i="24"/>
  <c r="I403" i="24" s="1"/>
  <c r="H320" i="24"/>
  <c r="H1037" i="24"/>
  <c r="H820" i="24"/>
  <c r="H516" i="24"/>
  <c r="H445" i="24"/>
  <c r="H860" i="24"/>
  <c r="H708" i="24"/>
  <c r="H462" i="24"/>
  <c r="H134" i="24"/>
  <c r="H315" i="24"/>
  <c r="H208" i="24"/>
  <c r="H203" i="24"/>
  <c r="I203" i="24" s="1"/>
  <c r="H886" i="24"/>
  <c r="H269" i="24"/>
  <c r="H383" i="24"/>
  <c r="H866" i="24"/>
  <c r="H910" i="24"/>
  <c r="H517" i="24"/>
  <c r="H80" i="24"/>
  <c r="H1217" i="24"/>
  <c r="H191" i="24"/>
  <c r="H1046" i="24"/>
  <c r="H949" i="24"/>
  <c r="H539" i="24"/>
  <c r="I539" i="24" s="1"/>
  <c r="H506" i="24"/>
  <c r="H61" i="24"/>
  <c r="H7" i="24"/>
  <c r="H996" i="24"/>
  <c r="H1261" i="24"/>
  <c r="I1261" i="24" s="1"/>
  <c r="H482" i="24"/>
  <c r="H365" i="24"/>
  <c r="H300" i="24"/>
  <c r="H652" i="24"/>
  <c r="I652" i="24" s="1"/>
  <c r="H717" i="24"/>
  <c r="H563" i="24"/>
  <c r="H668" i="24"/>
  <c r="H790" i="24"/>
  <c r="H694" i="24"/>
  <c r="H187" i="24"/>
  <c r="H1102" i="24"/>
  <c r="H450" i="24"/>
  <c r="H294" i="24"/>
  <c r="H290" i="24"/>
  <c r="H942" i="24"/>
  <c r="H547" i="24"/>
  <c r="H971" i="24"/>
  <c r="H1082" i="24"/>
  <c r="H215" i="24"/>
  <c r="H89" i="24"/>
  <c r="H375" i="24"/>
  <c r="H598" i="24"/>
  <c r="H640" i="24"/>
  <c r="H890" i="24"/>
  <c r="H426" i="24"/>
  <c r="H1113" i="24"/>
  <c r="H591" i="24"/>
  <c r="H443" i="24"/>
  <c r="H857" i="24"/>
  <c r="H1029" i="24"/>
  <c r="I1029" i="24" s="1"/>
  <c r="H755" i="24"/>
  <c r="I755" i="24" s="1"/>
  <c r="H437" i="24"/>
  <c r="H549" i="24"/>
  <c r="H404" i="24"/>
  <c r="H1220" i="24"/>
  <c r="H642" i="24"/>
  <c r="H631" i="24"/>
  <c r="H1177" i="24"/>
  <c r="H781" i="24"/>
  <c r="H568" i="24"/>
  <c r="H544" i="24"/>
  <c r="H1036" i="24"/>
  <c r="H344" i="24"/>
  <c r="H1009" i="24"/>
  <c r="H62" i="24"/>
  <c r="I62" i="24" s="1"/>
  <c r="H216" i="24"/>
  <c r="H1194" i="24"/>
  <c r="H922" i="24"/>
  <c r="H545" i="24"/>
  <c r="H791" i="24"/>
  <c r="H1162" i="24"/>
  <c r="H498" i="24"/>
  <c r="H1081" i="24"/>
  <c r="I1081" i="24" s="1"/>
  <c r="H1123" i="24"/>
  <c r="H132" i="24"/>
  <c r="H1057" i="24"/>
  <c r="H1191" i="24"/>
  <c r="H793" i="24"/>
  <c r="H1253" i="24"/>
  <c r="H645" i="24"/>
  <c r="H614" i="24"/>
  <c r="H600" i="24"/>
  <c r="I600" i="24" s="1"/>
  <c r="H499" i="24"/>
  <c r="I499" i="24" s="1"/>
  <c r="H349" i="24"/>
  <c r="H973" i="24"/>
  <c r="H59" i="24"/>
  <c r="I59" i="24" s="1"/>
  <c r="H251" i="24"/>
  <c r="H500" i="24"/>
  <c r="H534" i="24"/>
  <c r="H606" i="24"/>
  <c r="H709" i="24"/>
  <c r="H885" i="24"/>
  <c r="I885" i="24" s="1"/>
  <c r="H756" i="24"/>
  <c r="I756" i="24" s="1"/>
  <c r="H150" i="24"/>
  <c r="I150" i="24" s="1"/>
  <c r="H538" i="24"/>
  <c r="H628" i="24"/>
  <c r="H335" i="24"/>
  <c r="H580" i="24"/>
  <c r="H463" i="24"/>
  <c r="H324" i="24"/>
  <c r="H867" i="24"/>
  <c r="I867" i="24" s="1"/>
  <c r="H1141" i="24"/>
  <c r="H282" i="24"/>
  <c r="H1007" i="24"/>
  <c r="I1007" i="24" s="1"/>
  <c r="H1230" i="24"/>
  <c r="H763" i="24"/>
  <c r="H507" i="24"/>
  <c r="I507" i="24" s="1"/>
  <c r="H741" i="24"/>
  <c r="H502" i="24"/>
  <c r="H540" i="24"/>
  <c r="H313" i="24"/>
  <c r="H30" i="24"/>
  <c r="H179" i="24"/>
  <c r="I179" i="24" s="1"/>
  <c r="H343" i="24"/>
  <c r="H354" i="24"/>
  <c r="H1064" i="24"/>
  <c r="H1208" i="24"/>
  <c r="H415" i="24"/>
  <c r="H292" i="24"/>
  <c r="H828" i="24"/>
  <c r="H854" i="24"/>
  <c r="H1232" i="24"/>
  <c r="H467" i="24"/>
  <c r="H245" i="24"/>
  <c r="H878" i="24"/>
  <c r="H989" i="24"/>
  <c r="H611" i="24"/>
  <c r="H421" i="24"/>
  <c r="H691" i="24"/>
  <c r="H897" i="24"/>
  <c r="H341" i="24"/>
  <c r="H1072" i="24"/>
  <c r="H576" i="24"/>
  <c r="I576" i="24" s="1"/>
  <c r="H217" i="24"/>
  <c r="H930" i="24"/>
  <c r="H278" i="24"/>
  <c r="H513" i="24"/>
  <c r="H599" i="24"/>
  <c r="H1004" i="24"/>
  <c r="H856" i="24"/>
  <c r="H1224" i="24"/>
  <c r="H779" i="24"/>
  <c r="H317" i="24"/>
  <c r="I317" i="24" s="1"/>
  <c r="H286" i="24"/>
  <c r="H1180" i="24"/>
  <c r="H577" i="24"/>
  <c r="H108" i="24"/>
  <c r="I108" i="24" s="1"/>
  <c r="H374" i="24"/>
  <c r="H158" i="24"/>
  <c r="H532" i="24"/>
  <c r="H865" i="24"/>
  <c r="H123" i="24"/>
  <c r="H84" i="24"/>
  <c r="H872" i="24"/>
  <c r="H621" i="24"/>
  <c r="H1255" i="24"/>
  <c r="H44" i="24"/>
  <c r="H276" i="24"/>
  <c r="H1205" i="24"/>
  <c r="H837" i="24"/>
  <c r="H571" i="24"/>
  <c r="I571" i="24" s="1"/>
  <c r="H736" i="24"/>
  <c r="H766" i="24"/>
  <c r="H1051" i="24"/>
  <c r="H15" i="24"/>
  <c r="H1195" i="24"/>
  <c r="H800" i="24"/>
  <c r="H95" i="24"/>
  <c r="H754" i="24"/>
  <c r="H117" i="24"/>
  <c r="H1266" i="24"/>
  <c r="H1088" i="24"/>
  <c r="H435" i="24"/>
  <c r="I435" i="24" s="1"/>
  <c r="H573" i="24"/>
  <c r="H418" i="24"/>
  <c r="H1227" i="24"/>
  <c r="H1022" i="24"/>
  <c r="H1011" i="24"/>
  <c r="H602" i="24"/>
  <c r="H923" i="24"/>
  <c r="H281" i="24"/>
  <c r="H795" i="24"/>
  <c r="H232" i="24"/>
  <c r="H235" i="24"/>
  <c r="H1237" i="24"/>
  <c r="H1026" i="24"/>
  <c r="I1026" i="24" s="1"/>
  <c r="H504" i="24"/>
  <c r="H243" i="24"/>
  <c r="H775" i="24"/>
  <c r="H378" i="24"/>
  <c r="H976" i="24"/>
  <c r="H1145" i="24"/>
  <c r="H603" i="24"/>
  <c r="H879" i="24"/>
  <c r="H851" i="24"/>
  <c r="I851" i="24" s="1"/>
  <c r="H1069" i="24"/>
  <c r="H788" i="24"/>
  <c r="I788" i="24" s="1"/>
  <c r="H665" i="24"/>
  <c r="H1055" i="24"/>
  <c r="H147" i="24"/>
  <c r="H1264" i="24"/>
  <c r="H673" i="24"/>
  <c r="H1249" i="24"/>
  <c r="H1167" i="24"/>
  <c r="I1167" i="24" s="1"/>
  <c r="H288" i="24"/>
  <c r="H497" i="24"/>
  <c r="I497" i="24" s="1"/>
  <c r="H1138" i="24"/>
  <c r="H747" i="24"/>
  <c r="I747" i="24" s="1"/>
  <c r="H407" i="24"/>
  <c r="I407" i="24" s="1"/>
  <c r="H641" i="24"/>
  <c r="H511" i="24"/>
  <c r="H1190" i="24"/>
  <c r="H567" i="24"/>
  <c r="H1012" i="24"/>
  <c r="H1013" i="24"/>
  <c r="H253" i="24"/>
  <c r="H395" i="24"/>
  <c r="I395" i="24" s="1"/>
  <c r="H14" i="24"/>
  <c r="H18" i="24"/>
  <c r="I18" i="24" s="1"/>
  <c r="H478" i="24"/>
  <c r="H481" i="24"/>
  <c r="I481" i="24" s="1"/>
  <c r="H146" i="24"/>
  <c r="H1096" i="24"/>
  <c r="H13" i="24"/>
  <c r="H87" i="24"/>
  <c r="H562" i="24"/>
  <c r="I562" i="24" s="1"/>
  <c r="H1132" i="24"/>
  <c r="H41" i="24"/>
  <c r="H638" i="24"/>
  <c r="H688" i="24"/>
  <c r="H248" i="24"/>
  <c r="I248" i="24" s="1"/>
  <c r="H1156" i="24"/>
  <c r="H560" i="24"/>
  <c r="H1153" i="24"/>
  <c r="H637" i="24"/>
  <c r="H336" i="24"/>
  <c r="H1223" i="24"/>
  <c r="I1223" i="24" s="1"/>
  <c r="H535" i="24"/>
  <c r="H160" i="24"/>
  <c r="I160" i="24" s="1"/>
  <c r="H1254" i="24"/>
  <c r="I1254" i="24" s="1"/>
  <c r="H762" i="24"/>
  <c r="H624" i="24"/>
  <c r="H1061" i="24"/>
  <c r="H1137" i="24"/>
  <c r="H1066" i="24"/>
  <c r="I1066" i="24" s="1"/>
  <c r="H613" i="24"/>
  <c r="I613" i="24" s="1"/>
  <c r="H907" i="24"/>
  <c r="H274" i="24"/>
  <c r="H338" i="24"/>
  <c r="H347" i="24"/>
  <c r="I347" i="24" s="1"/>
  <c r="H302" i="24"/>
  <c r="H25" i="24"/>
  <c r="H1002" i="24"/>
  <c r="H960" i="24"/>
  <c r="H417" i="24"/>
  <c r="I417" i="24" s="1"/>
  <c r="H23" i="24"/>
  <c r="H20" i="24"/>
  <c r="H438" i="24"/>
  <c r="H956" i="24"/>
  <c r="I956" i="24" s="1"/>
  <c r="H979" i="24"/>
  <c r="H945" i="24"/>
  <c r="H350" i="24"/>
  <c r="H733" i="24"/>
  <c r="H1188" i="24"/>
  <c r="H247" i="24"/>
  <c r="H871" i="24"/>
  <c r="H1178" i="24"/>
  <c r="I1178" i="24" s="1"/>
  <c r="H396" i="24"/>
  <c r="H1112" i="24"/>
  <c r="I1111" i="24" s="1"/>
  <c r="H98" i="24"/>
  <c r="H250" i="24"/>
  <c r="H588" i="24"/>
  <c r="H439" i="24"/>
  <c r="H399" i="24"/>
  <c r="H71" i="24"/>
  <c r="H397" i="24"/>
  <c r="H65" i="24"/>
  <c r="H1001" i="24"/>
  <c r="H858" i="24"/>
  <c r="I858" i="24" s="1"/>
  <c r="H446" i="24"/>
  <c r="H596" i="24"/>
  <c r="I596" i="24" s="1"/>
  <c r="H21" i="24"/>
  <c r="H558" i="24"/>
  <c r="H271" i="24"/>
  <c r="H359" i="24"/>
  <c r="H297" i="24"/>
  <c r="H655" i="24"/>
  <c r="I655" i="24" s="1"/>
  <c r="H569" i="24"/>
  <c r="H503" i="24"/>
  <c r="H321" i="24"/>
  <c r="H27" i="24"/>
  <c r="H1171" i="24"/>
  <c r="H264" i="24"/>
  <c r="H964" i="24"/>
  <c r="H713" i="24"/>
  <c r="H66" i="24"/>
  <c r="H919" i="24"/>
  <c r="H912" i="24"/>
  <c r="H468" i="24"/>
  <c r="H529" i="24"/>
  <c r="H1060" i="24"/>
  <c r="H1098" i="24"/>
  <c r="H818" i="24"/>
  <c r="I818" i="24" s="1"/>
  <c r="H719" i="24"/>
  <c r="H1005" i="24"/>
  <c r="I1005" i="24" s="1"/>
  <c r="H1240" i="24"/>
  <c r="H827" i="24"/>
  <c r="H921" i="24"/>
  <c r="H470" i="24"/>
  <c r="H594" i="24"/>
  <c r="H992" i="24"/>
  <c r="I992" i="24" s="1"/>
  <c r="H1216" i="24"/>
  <c r="H838" i="24"/>
  <c r="I838" i="24" s="1"/>
  <c r="H97" i="24"/>
  <c r="H841" i="24"/>
  <c r="H1246" i="24"/>
  <c r="H197" i="24"/>
  <c r="H898" i="24"/>
  <c r="H454" i="24"/>
  <c r="H1106" i="24"/>
  <c r="H1063" i="24"/>
  <c r="H394" i="24"/>
  <c r="H456" i="24"/>
  <c r="H564" i="24"/>
  <c r="H141" i="24"/>
  <c r="I141" i="24" s="1"/>
  <c r="H1045" i="24"/>
  <c r="H169" i="24"/>
  <c r="I169" i="24" s="1"/>
  <c r="H765" i="24"/>
  <c r="I765" i="24" s="1"/>
  <c r="H514" i="24"/>
  <c r="I514" i="24" s="1"/>
  <c r="H69" i="24"/>
  <c r="H1146" i="24"/>
  <c r="H431" i="24"/>
  <c r="I431" i="24" s="1"/>
  <c r="H831" i="24"/>
  <c r="H676" i="24"/>
  <c r="I676" i="24" s="1"/>
  <c r="H135" i="24"/>
  <c r="H116" i="24"/>
  <c r="H29" i="24"/>
  <c r="H47" i="24"/>
  <c r="H702" i="24"/>
  <c r="I702" i="24" s="1"/>
  <c r="H1189" i="24"/>
  <c r="I1189" i="24" s="1"/>
  <c r="H289" i="24"/>
  <c r="H743" i="24"/>
  <c r="H249" i="24"/>
  <c r="I249" i="24" s="1"/>
  <c r="H266" i="24"/>
  <c r="H10" i="24"/>
  <c r="H703" i="24"/>
  <c r="H1187" i="24"/>
  <c r="H1070" i="24"/>
  <c r="I1070" i="24" s="1"/>
  <c r="H1089" i="24"/>
  <c r="H137" i="24"/>
  <c r="H392" i="24"/>
  <c r="I392" i="24" s="1"/>
  <c r="H1125" i="24"/>
  <c r="H68" i="24"/>
  <c r="H980" i="24"/>
  <c r="H969" i="24"/>
  <c r="H1023" i="24"/>
  <c r="H229" i="24"/>
  <c r="H433" i="24"/>
  <c r="H110" i="24"/>
  <c r="H346" i="24"/>
  <c r="H1049" i="24"/>
  <c r="H453" i="24"/>
  <c r="H1126" i="24"/>
  <c r="I1126" i="24" s="1"/>
  <c r="H990" i="24"/>
  <c r="H101" i="24"/>
  <c r="H1163" i="24"/>
  <c r="H1229" i="24"/>
  <c r="I1229" i="24" s="1"/>
  <c r="H543" i="24"/>
  <c r="H109" i="24"/>
  <c r="H693" i="24"/>
  <c r="H199" i="24"/>
  <c r="H319" i="24"/>
  <c r="H1144" i="24"/>
  <c r="I1144" i="24" s="1"/>
  <c r="H234" i="24"/>
  <c r="H436" i="24"/>
  <c r="H785" i="24"/>
  <c r="H981" i="24"/>
  <c r="I981" i="24" s="1"/>
  <c r="H233" i="24"/>
  <c r="H1160" i="24"/>
  <c r="H353" i="24"/>
  <c r="H427" i="24"/>
  <c r="H1131" i="24"/>
  <c r="H405" i="24"/>
  <c r="H85" i="24"/>
  <c r="H1101" i="24"/>
  <c r="I1101" i="24" s="1"/>
  <c r="H185" i="24"/>
  <c r="H1076" i="24"/>
  <c r="H284" i="24"/>
  <c r="H985" i="24"/>
  <c r="H491" i="24"/>
  <c r="H1019" i="24"/>
  <c r="H823" i="24"/>
  <c r="H777" i="24"/>
  <c r="I777" i="24" s="1"/>
  <c r="H1199" i="24"/>
  <c r="H227" i="24"/>
  <c r="I227" i="24" s="1"/>
  <c r="H1038" i="24"/>
  <c r="H107" i="24"/>
  <c r="H1054" i="24"/>
  <c r="I1054" i="24" s="1"/>
  <c r="H479" i="24"/>
  <c r="H325" i="24"/>
  <c r="H118" i="24"/>
  <c r="I118" i="24" s="1"/>
  <c r="H1159" i="24"/>
  <c r="H449" i="24"/>
  <c r="I449" i="24" s="1"/>
  <c r="H178" i="24"/>
  <c r="H356" i="24"/>
  <c r="H792" i="24"/>
  <c r="I792" i="24" s="1"/>
  <c r="H604" i="24"/>
  <c r="H400" i="24"/>
  <c r="H422" i="24"/>
  <c r="H331" i="24"/>
  <c r="H1016" i="24"/>
  <c r="I1016" i="24" s="1"/>
  <c r="H270" i="24"/>
  <c r="I270" i="24" s="1"/>
  <c r="H91" i="24"/>
  <c r="H845" i="24"/>
  <c r="H303" i="24"/>
  <c r="H868" i="24"/>
  <c r="H633" i="24"/>
  <c r="H721" i="24"/>
  <c r="H551" i="24"/>
  <c r="H710" i="24"/>
  <c r="H936" i="24"/>
  <c r="H1135" i="24"/>
  <c r="H728" i="24"/>
  <c r="I728" i="24" s="1"/>
  <c r="H892" i="24"/>
  <c r="H1204" i="24"/>
  <c r="H723" i="24"/>
  <c r="H825" i="24"/>
  <c r="H958" i="24"/>
  <c r="H314" i="24"/>
  <c r="H120" i="24"/>
  <c r="H609" i="24"/>
  <c r="H304" i="24"/>
  <c r="H1050" i="24"/>
  <c r="H1047" i="24"/>
  <c r="I1047" i="24" s="1"/>
  <c r="H1129" i="24"/>
  <c r="I1129" i="24" s="1"/>
  <c r="H212" i="24"/>
  <c r="H531" i="24"/>
  <c r="I531" i="24" s="1"/>
  <c r="H420" i="24"/>
  <c r="I420" i="24" s="1"/>
  <c r="H843" i="24"/>
  <c r="H1172" i="24"/>
  <c r="H360" i="24"/>
  <c r="H807" i="24"/>
  <c r="H78" i="24"/>
  <c r="H742" i="24"/>
  <c r="I742" i="24" s="1"/>
  <c r="H1032" i="24"/>
  <c r="H881" i="24"/>
  <c r="H440" i="24"/>
  <c r="H1228" i="24"/>
  <c r="I1228" i="24" s="1"/>
  <c r="H1134" i="24"/>
  <c r="H1074" i="24"/>
  <c r="H620" i="24"/>
  <c r="H204" i="24"/>
  <c r="H1130" i="24"/>
  <c r="I1130" i="24" s="1"/>
  <c r="H430" i="24"/>
  <c r="H963" i="24"/>
  <c r="H1140" i="24"/>
  <c r="I1140" i="24" s="1"/>
  <c r="H988" i="24"/>
  <c r="I988" i="24" s="1"/>
  <c r="H386" i="24"/>
  <c r="H1193" i="24"/>
  <c r="I1193" i="24" s="1"/>
  <c r="H373" i="24"/>
  <c r="H661" i="24"/>
  <c r="I661" i="24" s="1"/>
  <c r="H1094" i="24"/>
  <c r="H1164" i="24"/>
  <c r="I1164" i="24" s="1"/>
  <c r="H619" i="24"/>
  <c r="H391" i="24"/>
  <c r="H1099" i="24"/>
  <c r="H725" i="24"/>
  <c r="H458" i="24"/>
  <c r="H12" i="24"/>
  <c r="H758" i="24"/>
  <c r="H1065" i="24"/>
  <c r="H829" i="24"/>
  <c r="H695" i="24"/>
  <c r="I695" i="24" s="1"/>
  <c r="H911" i="24"/>
  <c r="H1221" i="24"/>
  <c r="I1221" i="24" s="1"/>
  <c r="H90" i="24"/>
  <c r="H166" i="24"/>
  <c r="H381" i="24"/>
  <c r="H1090" i="24"/>
  <c r="H153" i="24"/>
  <c r="H646" i="24"/>
  <c r="H808" i="24"/>
  <c r="H848" i="24"/>
  <c r="I848" i="24" s="1"/>
  <c r="H81" i="24"/>
  <c r="H1040" i="24"/>
  <c r="I1040" i="24" s="1"/>
  <c r="H682" i="24"/>
  <c r="H1182" i="24"/>
  <c r="H77" i="24"/>
  <c r="I77" i="24" s="1"/>
  <c r="H398" i="24"/>
  <c r="I398" i="24" s="1"/>
  <c r="H1196" i="24"/>
  <c r="H1127" i="24"/>
  <c r="H1058" i="24"/>
  <c r="I1058" i="24" s="1"/>
  <c r="H211" i="24"/>
  <c r="H368" i="24"/>
  <c r="H387" i="24"/>
  <c r="I387" i="24" s="1"/>
  <c r="H740" i="24"/>
  <c r="I740" i="24" s="1"/>
  <c r="H940" i="24"/>
  <c r="I940" i="24" s="1"/>
  <c r="H1165" i="24"/>
  <c r="I1165" i="24" s="1"/>
  <c r="H1207" i="24"/>
  <c r="I1207" i="24" s="1"/>
  <c r="H509" i="24"/>
  <c r="H198" i="24"/>
  <c r="H483" i="24"/>
  <c r="H883" i="24"/>
  <c r="H334" i="24"/>
  <c r="I334" i="24" s="1"/>
  <c r="H186" i="24"/>
  <c r="I186" i="24" s="1"/>
  <c r="H49" i="24"/>
  <c r="H589" i="24"/>
  <c r="H617" i="24"/>
  <c r="I617" i="24" s="1"/>
  <c r="H698" i="24"/>
  <c r="I698" i="24" s="1"/>
  <c r="H902" i="24"/>
  <c r="H492" i="24"/>
  <c r="H489" i="24"/>
  <c r="I489" i="24" s="1"/>
  <c r="H679" i="24"/>
  <c r="H657" i="24"/>
  <c r="H592" i="24"/>
  <c r="H461" i="24"/>
  <c r="H206" i="24"/>
  <c r="H1100" i="24"/>
  <c r="H82" i="24"/>
  <c r="H1142" i="24"/>
  <c r="H595" i="24"/>
  <c r="I595" i="24" s="1"/>
  <c r="H413" i="24"/>
  <c r="H1075" i="24"/>
  <c r="H333" i="24"/>
  <c r="H948" i="24"/>
  <c r="H1021" i="24"/>
  <c r="H667" i="24"/>
  <c r="H43" i="24"/>
  <c r="I42" i="24" s="1"/>
  <c r="H1245" i="24"/>
  <c r="H939" i="24"/>
  <c r="H1116" i="24"/>
  <c r="H296" i="24"/>
  <c r="H1109" i="24"/>
  <c r="I1109" i="24" s="1"/>
  <c r="H786" i="24"/>
  <c r="H962" i="24"/>
  <c r="H193" i="24"/>
  <c r="H88" i="24"/>
  <c r="H1073" i="24"/>
  <c r="I1073" i="24" s="1"/>
  <c r="H239" i="24"/>
  <c r="I239" i="24" s="1"/>
  <c r="H726" i="24"/>
  <c r="H780" i="24"/>
  <c r="H572" i="24"/>
  <c r="H414" i="24"/>
  <c r="I414" i="24" s="1"/>
  <c r="H714" i="24"/>
  <c r="I714" i="24" s="1"/>
  <c r="H970" i="24"/>
  <c r="I970" i="24" s="1"/>
  <c r="H183" i="24"/>
  <c r="H649" i="24"/>
  <c r="H787" i="24"/>
  <c r="H252" i="24"/>
  <c r="H112" i="24"/>
  <c r="H67" i="24"/>
  <c r="H632" i="24"/>
  <c r="H711" i="24"/>
  <c r="H322" i="24"/>
  <c r="H663" i="24"/>
  <c r="H995" i="24"/>
  <c r="H1086" i="24"/>
  <c r="I1086" i="24" s="1"/>
  <c r="H1149" i="24"/>
  <c r="I1149" i="24" s="1"/>
  <c r="H1025" i="24"/>
  <c r="H915" i="24"/>
  <c r="H28" i="24"/>
  <c r="H1077" i="24"/>
  <c r="H149" i="24"/>
  <c r="I149" i="24" s="1"/>
  <c r="H214" i="24"/>
  <c r="H928" i="24"/>
  <c r="H505" i="24"/>
  <c r="H904" i="24"/>
  <c r="H236" i="24"/>
  <c r="H495" i="24"/>
  <c r="H1103" i="24"/>
  <c r="H546" i="24"/>
  <c r="I546" i="24" s="1"/>
  <c r="H1043" i="24"/>
  <c r="H687" i="24"/>
  <c r="H256" i="24"/>
  <c r="H671" i="24"/>
  <c r="H764" i="24"/>
  <c r="H326" i="24"/>
  <c r="H74" i="24"/>
  <c r="H918" i="24"/>
  <c r="H874" i="24"/>
  <c r="H909" i="24"/>
  <c r="H192" i="24"/>
  <c r="I192" i="24" s="1"/>
  <c r="H565" i="24"/>
  <c r="H1211" i="24"/>
  <c r="H1093" i="24"/>
  <c r="I1093" i="24" s="1"/>
  <c r="H536" i="24"/>
  <c r="H469" i="24"/>
  <c r="I469" i="24" s="1"/>
  <c r="H363" i="24"/>
  <c r="H1031" i="24"/>
  <c r="H63" i="24"/>
  <c r="H1152" i="24"/>
  <c r="H849" i="24"/>
  <c r="I849" i="24" s="1"/>
  <c r="H510" i="24"/>
  <c r="I509" i="24" s="1"/>
  <c r="H771" i="24"/>
  <c r="H672" i="24"/>
  <c r="H351" i="24"/>
  <c r="H194" i="24"/>
  <c r="H370" i="24"/>
  <c r="H1210" i="24"/>
  <c r="H309" i="24"/>
  <c r="H484" i="24"/>
  <c r="H131" i="24"/>
  <c r="H654" i="24"/>
  <c r="I654" i="24" s="1"/>
  <c r="H1114" i="24"/>
  <c r="H1215" i="24"/>
  <c r="I1215" i="24" s="1"/>
  <c r="H45" i="24"/>
  <c r="H429" i="24"/>
  <c r="H548" i="24"/>
  <c r="H103" i="24"/>
  <c r="H684" i="24"/>
  <c r="H355" i="24"/>
  <c r="H173" i="24"/>
  <c r="H853" i="24"/>
  <c r="H175" i="24"/>
  <c r="H1219" i="24"/>
  <c r="H128" i="24"/>
  <c r="H299" i="24"/>
  <c r="H724" i="24"/>
  <c r="H472" i="24"/>
  <c r="H896" i="24"/>
  <c r="H692" i="24"/>
  <c r="H937" i="24"/>
  <c r="I937" i="24" s="1"/>
  <c r="H587" i="24"/>
  <c r="H943" i="24"/>
  <c r="H1052" i="24"/>
  <c r="I1052" i="24" s="1"/>
  <c r="H1104" i="24"/>
  <c r="I1104" i="24" s="1"/>
  <c r="H864" i="24"/>
  <c r="H1185" i="24"/>
  <c r="H833" i="24"/>
  <c r="H1226" i="24"/>
  <c r="H847" i="24"/>
  <c r="H181" i="24"/>
  <c r="H583" i="24"/>
  <c r="H651" i="24"/>
  <c r="H801" i="24"/>
  <c r="H40" i="24"/>
  <c r="H727" i="24"/>
  <c r="H987" i="24"/>
  <c r="H113" i="24"/>
  <c r="I113" i="24" s="1"/>
  <c r="H53" i="24"/>
  <c r="H342" i="24"/>
  <c r="H358" i="24"/>
  <c r="H1147" i="24"/>
  <c r="H195" i="24"/>
  <c r="H455" i="24"/>
  <c r="H582" i="24"/>
  <c r="H287" i="24"/>
  <c r="H900" i="24"/>
  <c r="H720" i="24"/>
  <c r="I720" i="24" s="1"/>
  <c r="H451" i="24"/>
  <c r="H1231" i="24"/>
  <c r="H36" i="24"/>
  <c r="H612" i="24"/>
  <c r="H377" i="24"/>
  <c r="H882" i="24"/>
  <c r="I882" i="24" s="1"/>
  <c r="H559" i="24"/>
  <c r="H126" i="24"/>
  <c r="H977" i="24"/>
  <c r="I977" i="24" s="1"/>
  <c r="H607" i="24"/>
  <c r="H129" i="24"/>
  <c r="H767" i="24"/>
  <c r="H934" i="24"/>
  <c r="H863" i="24"/>
  <c r="H639" i="24"/>
  <c r="H644" i="24"/>
  <c r="I644" i="24" s="1"/>
  <c r="H751" i="24"/>
  <c r="H154" i="24"/>
  <c r="H1169" i="24"/>
  <c r="H1181" i="24"/>
  <c r="H1257" i="24"/>
  <c r="H999" i="24"/>
  <c r="H689" i="24"/>
  <c r="H393" i="24"/>
  <c r="H244" i="24"/>
  <c r="H1176" i="24"/>
  <c r="H636" i="24"/>
  <c r="H34" i="24"/>
  <c r="H425" i="24"/>
  <c r="H17" i="24"/>
  <c r="H1151" i="24"/>
  <c r="H690" i="24"/>
  <c r="I690" i="24" s="1"/>
  <c r="H666" i="24"/>
  <c r="I666" i="24" s="1"/>
  <c r="H1000" i="24"/>
  <c r="H738" i="24"/>
  <c r="H305" i="24"/>
  <c r="H927" i="24"/>
  <c r="H230" i="24"/>
  <c r="H1157" i="24"/>
  <c r="H26" i="24"/>
  <c r="I26" i="24" s="1"/>
  <c r="H903" i="24"/>
  <c r="H115" i="24"/>
  <c r="I115" i="24" s="1"/>
  <c r="H168" i="24"/>
  <c r="I167" i="24" s="1"/>
  <c r="H533" i="24"/>
  <c r="H1214" i="24"/>
  <c r="H1239" i="24"/>
  <c r="H931" i="24"/>
  <c r="H19" i="24"/>
  <c r="H852" i="24"/>
  <c r="H1213" i="24"/>
  <c r="I1213" i="24" s="1"/>
  <c r="H452" i="24"/>
  <c r="I452" i="24" s="1"/>
  <c r="H554" i="24"/>
  <c r="I554" i="24" s="1"/>
  <c r="H805" i="24"/>
  <c r="H1242" i="24"/>
  <c r="H225" i="24"/>
  <c r="H834" i="24"/>
  <c r="H630" i="24"/>
  <c r="I630" i="24" s="1"/>
  <c r="H929" i="24"/>
  <c r="H231" i="24"/>
  <c r="H379" i="24"/>
  <c r="H388" i="24"/>
  <c r="H1119" i="24"/>
  <c r="I1119" i="24" s="1"/>
  <c r="H1003" i="24"/>
  <c r="H457" i="24"/>
  <c r="H442" i="24"/>
  <c r="H648" i="24"/>
  <c r="H669" i="24"/>
  <c r="H200" i="24"/>
  <c r="H352" i="24"/>
  <c r="I352" i="24" s="1"/>
  <c r="H1158" i="24"/>
  <c r="I1158" i="24" s="1"/>
  <c r="H255" i="24"/>
  <c r="H570" i="24"/>
  <c r="H119" i="24"/>
  <c r="H362" i="24"/>
  <c r="H541" i="24"/>
  <c r="H152" i="24"/>
  <c r="H946" i="24"/>
  <c r="H1203" i="24"/>
  <c r="H295" i="24"/>
  <c r="I295" i="24" s="1"/>
  <c r="H184" i="24"/>
  <c r="I184" i="24" s="1"/>
  <c r="H257" i="24"/>
  <c r="H1068" i="24"/>
  <c r="H869" i="24"/>
  <c r="H328" i="24"/>
  <c r="H357" i="24"/>
  <c r="H635" i="24"/>
  <c r="I635" i="24" s="1"/>
  <c r="H585" i="24"/>
  <c r="H895" i="24"/>
  <c r="H127" i="24"/>
  <c r="H735" i="24"/>
  <c r="H975" i="24"/>
  <c r="H209" i="24"/>
  <c r="I209" i="24" s="1"/>
  <c r="H1115" i="24"/>
  <c r="H518" i="24"/>
  <c r="H1252" i="24"/>
  <c r="H893" i="24"/>
  <c r="I893" i="24" s="1"/>
  <c r="H997" i="24"/>
  <c r="H31" i="24"/>
  <c r="I31" i="24" s="1"/>
  <c r="H1041" i="24"/>
  <c r="H1202" i="24"/>
  <c r="I1202" i="24" s="1"/>
  <c r="H1201" i="24"/>
  <c r="H804" i="24"/>
  <c r="I804" i="24" s="1"/>
  <c r="H1259" i="24"/>
  <c r="H196" i="24"/>
  <c r="H994" i="24"/>
  <c r="H1263" i="24"/>
  <c r="H887" i="24"/>
  <c r="H581" i="24"/>
  <c r="I581" i="24" s="1"/>
  <c r="H861" i="24"/>
  <c r="H1234" i="24"/>
  <c r="H732" i="24"/>
  <c r="H830" i="24"/>
  <c r="I830" i="24" s="1"/>
  <c r="H1044" i="24"/>
  <c r="H917" i="24"/>
  <c r="H39" i="24"/>
  <c r="I39" i="24" s="1"/>
  <c r="H875" i="24"/>
  <c r="H262" i="24"/>
  <c r="H696" i="24"/>
  <c r="H947" i="24"/>
  <c r="I947" i="24" s="1"/>
  <c r="H384" i="24"/>
  <c r="H16" i="24"/>
  <c r="I16" i="24" s="1"/>
  <c r="H382" i="24"/>
  <c r="H647" i="24"/>
  <c r="I647" i="24" s="1"/>
  <c r="H485" i="24"/>
  <c r="H434" i="24"/>
  <c r="H650" i="24"/>
  <c r="H759" i="24"/>
  <c r="H952" i="24"/>
  <c r="I952" i="24" s="1"/>
  <c r="H329" i="24"/>
  <c r="I329" i="24" s="1"/>
  <c r="H259" i="24"/>
  <c r="I259" i="24" s="1"/>
  <c r="H891" i="24"/>
  <c r="H1174" i="24"/>
  <c r="I1174" i="24" s="1"/>
  <c r="H156" i="24"/>
  <c r="H1238" i="24"/>
  <c r="H1121" i="24"/>
  <c r="I1121" i="24" s="1"/>
  <c r="H376" i="24"/>
  <c r="I376" i="24" s="1"/>
  <c r="H783" i="24"/>
  <c r="I783" i="24" s="1"/>
  <c r="H182" i="24"/>
  <c r="H1006" i="24"/>
  <c r="I1006" i="24" s="1"/>
  <c r="H372" i="24"/>
  <c r="H476" i="24"/>
  <c r="I476" i="24" s="1"/>
  <c r="H561" i="24"/>
  <c r="H768" i="24"/>
  <c r="H55" i="24"/>
  <c r="H8" i="24"/>
  <c r="I8" i="24" s="1"/>
  <c r="H280" i="24"/>
  <c r="I279" i="24" s="1"/>
  <c r="H380" i="24"/>
  <c r="H1248" i="24"/>
  <c r="H966" i="24"/>
  <c r="H218" i="24"/>
  <c r="H493" i="24"/>
  <c r="H884" i="24"/>
  <c r="H366" i="24"/>
  <c r="H670" i="24"/>
  <c r="I670" i="24" s="1"/>
  <c r="H33" i="24"/>
  <c r="H390" i="24"/>
  <c r="I390" i="24" s="1"/>
  <c r="H1028" i="24"/>
  <c r="I1028" i="24" s="1"/>
  <c r="H832" i="24"/>
  <c r="H402" i="24"/>
  <c r="H737" i="24"/>
  <c r="I737" i="24" s="1"/>
  <c r="H817" i="24"/>
  <c r="H486" i="24"/>
  <c r="I486" i="24" s="1"/>
  <c r="H950" i="24"/>
  <c r="H681" i="24"/>
  <c r="H1173" i="24"/>
  <c r="H170" i="24"/>
  <c r="I170" i="24" s="1"/>
  <c r="H148" i="24"/>
  <c r="I148" i="24" s="1"/>
  <c r="H1225" i="24"/>
  <c r="H1133" i="24"/>
  <c r="H369" i="24"/>
  <c r="I369" i="24" s="1"/>
  <c r="H1080" i="24"/>
  <c r="I1080" i="24" s="1"/>
  <c r="H416" i="24"/>
  <c r="I416" i="24" s="1"/>
  <c r="H265" i="24"/>
  <c r="H172" i="24"/>
  <c r="H870" i="24"/>
  <c r="H799" i="24"/>
  <c r="H590" i="24"/>
  <c r="I590" i="24" s="1"/>
  <c r="H959" i="24"/>
  <c r="H202" i="24"/>
  <c r="H905" i="24"/>
  <c r="H527" i="24"/>
  <c r="I527" i="24" s="1"/>
  <c r="H1192" i="24"/>
  <c r="H364" i="24"/>
  <c r="I364" i="24" s="1"/>
  <c r="H1139" i="24"/>
  <c r="H1097" i="24"/>
  <c r="I1097" i="24" s="1"/>
  <c r="H93" i="24"/>
  <c r="H220" i="24"/>
  <c r="H1111" i="24"/>
  <c r="H104" i="24"/>
  <c r="H57" i="24"/>
  <c r="H1244" i="24"/>
  <c r="H1110" i="24"/>
  <c r="H1083" i="24"/>
  <c r="I1083" i="24" s="1"/>
  <c r="H100" i="24"/>
  <c r="H745" i="24"/>
  <c r="H660" i="24"/>
  <c r="H165" i="24"/>
  <c r="H629" i="24"/>
  <c r="H164" i="24"/>
  <c r="I164" i="24" s="1"/>
  <c r="H704" i="24"/>
  <c r="I704" i="24" s="1"/>
  <c r="H1175" i="24"/>
  <c r="H685" i="24"/>
  <c r="H73" i="24"/>
  <c r="I73" i="24" s="1"/>
  <c r="H512" i="24"/>
  <c r="H92" i="24"/>
  <c r="I92" i="24" s="1"/>
  <c r="H70" i="24"/>
  <c r="H136" i="24"/>
  <c r="I136" i="24" s="1"/>
  <c r="H272" i="24"/>
  <c r="I272" i="24" s="1"/>
  <c r="H111" i="24"/>
  <c r="H273" i="24"/>
  <c r="I273" i="24" s="1"/>
  <c r="H813" i="24"/>
  <c r="H812" i="24"/>
  <c r="H794" i="24"/>
  <c r="I794" i="24" s="1"/>
  <c r="H285" i="24"/>
  <c r="H32" i="24"/>
  <c r="I32" i="24" s="1"/>
  <c r="H744" i="24"/>
  <c r="H523" i="24"/>
  <c r="I523" i="24" s="1"/>
  <c r="H207" i="24"/>
  <c r="H275" i="24"/>
  <c r="I275" i="24" s="1"/>
  <c r="H1056" i="24"/>
  <c r="I1056" i="24" s="1"/>
  <c r="H542" i="24"/>
  <c r="I542" i="24" s="1"/>
  <c r="H237" i="24"/>
  <c r="I237" i="24" s="1"/>
  <c r="H1107" i="24"/>
  <c r="H722" i="24"/>
  <c r="H1212" i="24"/>
  <c r="H246" i="24"/>
  <c r="H1091" i="24"/>
  <c r="H1042" i="24"/>
  <c r="I1042" i="24" s="1"/>
  <c r="H924" i="24"/>
  <c r="I924" i="24" s="1"/>
  <c r="H680" i="24"/>
  <c r="H844" i="24"/>
  <c r="I844" i="24" s="1"/>
  <c r="H412" i="24"/>
  <c r="I412" i="24" s="1"/>
  <c r="H524" i="24"/>
  <c r="I524" i="24" s="1"/>
  <c r="H474" i="24"/>
  <c r="H1018" i="24"/>
  <c r="I1018" i="24" s="1"/>
  <c r="H1241" i="24"/>
  <c r="H1078" i="24"/>
  <c r="H37" i="24"/>
  <c r="I37" i="24" s="1"/>
  <c r="H941" i="24"/>
  <c r="H1170" i="24"/>
  <c r="I1170" i="24" s="1"/>
  <c r="H972" i="24"/>
  <c r="H76" i="24"/>
  <c r="H855" i="24"/>
  <c r="I854" i="24" s="1"/>
  <c r="H1186" i="24"/>
  <c r="I1186" i="24" s="1"/>
  <c r="H163" i="24"/>
  <c r="H1033" i="24"/>
  <c r="I1033" i="24" s="1"/>
  <c r="H1014" i="24"/>
  <c r="H219" i="24"/>
  <c r="H423" i="24"/>
  <c r="H774" i="24"/>
  <c r="H298" i="24"/>
  <c r="H174" i="24"/>
  <c r="I174" i="24" s="1"/>
  <c r="H798" i="24"/>
  <c r="I798" i="24" s="1"/>
  <c r="H140" i="24"/>
  <c r="I140" i="24" s="1"/>
  <c r="H610" i="24"/>
  <c r="H862" i="24"/>
  <c r="I862" i="24" s="1"/>
  <c r="H125" i="24"/>
  <c r="I125" i="24" s="1"/>
  <c r="H760" i="24"/>
  <c r="I760" i="24" s="1"/>
  <c r="H1267" i="24"/>
  <c r="I1267" i="24" s="1"/>
  <c r="H575" i="24"/>
  <c r="H189" i="24"/>
  <c r="I189" i="24" s="1"/>
  <c r="H473" i="24"/>
  <c r="H932" i="24"/>
  <c r="H279" i="24"/>
  <c r="H586" i="24"/>
  <c r="I586" i="24" s="1"/>
  <c r="H697" i="24"/>
  <c r="H157" i="24"/>
  <c r="H11" i="24"/>
  <c r="I11" i="24" s="1"/>
  <c r="H221" i="24"/>
  <c r="H106" i="24"/>
  <c r="H991" i="24"/>
  <c r="H475" i="24"/>
  <c r="H819" i="24"/>
  <c r="H730" i="24"/>
  <c r="H79" i="24"/>
  <c r="H605" i="24"/>
  <c r="I605" i="24" s="1"/>
  <c r="H816" i="24"/>
  <c r="H944" i="24"/>
  <c r="H464" i="24"/>
  <c r="I464" i="24" s="1"/>
  <c r="H385" i="24"/>
  <c r="I385" i="24" s="1"/>
  <c r="H522" i="24"/>
  <c r="H1256" i="24"/>
  <c r="H739" i="24"/>
  <c r="H1128" i="24"/>
  <c r="H556" i="24"/>
  <c r="H920" i="24"/>
  <c r="H448" i="24"/>
  <c r="H914" i="24"/>
  <c r="I914" i="24" s="1"/>
  <c r="H444" i="24"/>
  <c r="H814" i="24"/>
  <c r="H1062" i="24"/>
  <c r="I1062" i="24" s="1"/>
  <c r="H496" i="24"/>
  <c r="I496" i="24" s="1"/>
  <c r="H1198" i="24"/>
  <c r="H139" i="24"/>
  <c r="H258" i="24"/>
  <c r="H494" i="24"/>
  <c r="H72" i="24"/>
  <c r="H1039" i="24"/>
  <c r="H447" i="24"/>
  <c r="H254" i="24"/>
  <c r="H159" i="24"/>
  <c r="H306" i="24"/>
  <c r="I306" i="24" s="1"/>
  <c r="H50" i="24"/>
  <c r="I50" i="24" s="1"/>
  <c r="H746" i="24"/>
  <c r="I746" i="24" s="1"/>
  <c r="H789" i="24"/>
  <c r="I789" i="24" s="1"/>
  <c r="H124" i="24"/>
  <c r="I124" i="24" s="1"/>
  <c r="H86" i="24"/>
  <c r="H1010" i="24"/>
  <c r="I1010" i="24" s="1"/>
  <c r="H1233" i="24"/>
  <c r="H340" i="24"/>
  <c r="I340" i="24" s="1"/>
  <c r="H241" i="24"/>
  <c r="H308" i="24"/>
  <c r="H913" i="24"/>
  <c r="H361" i="24"/>
  <c r="I361" i="24" s="1"/>
  <c r="H1085" i="24"/>
  <c r="H664" i="24"/>
  <c r="H955" i="24"/>
  <c r="I955" i="24" s="1"/>
  <c r="H1265" i="24"/>
  <c r="I1265" i="24" s="1"/>
  <c r="H578" i="24"/>
  <c r="H1087" i="24"/>
  <c r="I1087" i="24" s="1"/>
  <c r="H367" i="24"/>
  <c r="H579" i="24"/>
  <c r="H143" i="24"/>
  <c r="I143" i="24" s="1"/>
  <c r="H307" i="24"/>
  <c r="I307" i="24" s="1"/>
  <c r="H815" i="24"/>
  <c r="H835" i="24"/>
  <c r="H674" i="24"/>
  <c r="H1235" i="24"/>
  <c r="I1235" i="24" s="1"/>
  <c r="H616" i="24"/>
  <c r="I616" i="24" s="1"/>
  <c r="H916" i="24"/>
  <c r="H772" i="24"/>
  <c r="I772" i="24" s="1"/>
  <c r="H750" i="24"/>
  <c r="I750" i="24" s="1"/>
  <c r="H311" i="24"/>
  <c r="H933" i="24"/>
  <c r="H716" i="24"/>
  <c r="H908" i="24"/>
  <c r="H24" i="24"/>
  <c r="H982" i="24"/>
  <c r="I982" i="24" s="1"/>
  <c r="H782" i="24"/>
  <c r="I782" i="24" s="1"/>
  <c r="K7" i="3"/>
  <c r="K17" i="3" s="1"/>
  <c r="K22" i="3" s="1"/>
  <c r="B9" i="3"/>
  <c r="B19" i="3" s="1"/>
  <c r="D90" i="17"/>
  <c r="I90" i="17"/>
  <c r="C90" i="17"/>
  <c r="H90" i="17"/>
  <c r="K90" i="17"/>
  <c r="E90" i="17"/>
  <c r="B90" i="17"/>
  <c r="G90" i="17"/>
  <c r="J90" i="17"/>
  <c r="F90" i="17"/>
  <c r="D60" i="6"/>
  <c r="G12" i="88"/>
  <c r="G40" i="88" s="1"/>
  <c r="J77" i="17"/>
  <c r="D77" i="17"/>
  <c r="F77" i="17"/>
  <c r="H77" i="17"/>
  <c r="C77" i="17"/>
  <c r="I77" i="17"/>
  <c r="K77" i="17"/>
  <c r="G77" i="17"/>
  <c r="E77" i="17"/>
  <c r="B77" i="17"/>
  <c r="A68" i="13"/>
  <c r="J21" i="80"/>
  <c r="F48" i="6"/>
  <c r="F10" i="3"/>
  <c r="F20" i="3" s="1"/>
  <c r="G25" i="7"/>
  <c r="J16" i="78"/>
  <c r="F13" i="6"/>
  <c r="B98" i="17"/>
  <c r="E98" i="17"/>
  <c r="G98" i="17"/>
  <c r="F98" i="17"/>
  <c r="J98" i="17"/>
  <c r="K98" i="17"/>
  <c r="H98" i="17"/>
  <c r="D98" i="17"/>
  <c r="I98" i="17"/>
  <c r="C98" i="17"/>
  <c r="D16" i="13"/>
  <c r="G16" i="13"/>
  <c r="E16" i="13"/>
  <c r="B16" i="13"/>
  <c r="C16" i="13"/>
  <c r="I16" i="13"/>
  <c r="J16" i="13"/>
  <c r="F16" i="13"/>
  <c r="H16" i="13"/>
  <c r="C48" i="6"/>
  <c r="H19" i="83"/>
  <c r="H24" i="83" s="1"/>
  <c r="G21" i="82"/>
  <c r="I27" i="13"/>
  <c r="C27" i="13"/>
  <c r="F27" i="13"/>
  <c r="D27" i="13"/>
  <c r="E27" i="13"/>
  <c r="H27" i="13"/>
  <c r="J27" i="13"/>
  <c r="G27" i="13"/>
  <c r="B27" i="13"/>
  <c r="F19" i="81"/>
  <c r="F24" i="81" s="1"/>
  <c r="C51" i="6"/>
  <c r="D8" i="78"/>
  <c r="K26" i="19"/>
  <c r="H26" i="19"/>
  <c r="F26" i="19"/>
  <c r="J26" i="19"/>
  <c r="D26" i="19"/>
  <c r="E26" i="19"/>
  <c r="C26" i="19"/>
  <c r="L26" i="19"/>
  <c r="L23" i="22" s="1"/>
  <c r="G26" i="19"/>
  <c r="I26" i="19"/>
  <c r="F57" i="6"/>
  <c r="F5" i="7" s="1"/>
  <c r="H8" i="6"/>
  <c r="E14" i="88"/>
  <c r="E4" i="7"/>
  <c r="E21" i="7" s="1"/>
  <c r="E27" i="7" s="1"/>
  <c r="J5" i="32"/>
  <c r="J10" i="79"/>
  <c r="C22" i="6"/>
  <c r="L12" i="80"/>
  <c r="I89" i="17"/>
  <c r="D89" i="17"/>
  <c r="C89" i="17"/>
  <c r="E89" i="17"/>
  <c r="J89" i="17"/>
  <c r="H89" i="17"/>
  <c r="B89" i="17"/>
  <c r="F89" i="17"/>
  <c r="K89" i="17"/>
  <c r="G89" i="17"/>
  <c r="I8" i="82"/>
  <c r="F8" i="79"/>
  <c r="C12" i="80"/>
  <c r="C19" i="81"/>
  <c r="C24" i="81" s="1"/>
  <c r="D147" i="13"/>
  <c r="D86" i="13" s="1"/>
  <c r="G147" i="13"/>
  <c r="G86" i="13" s="1"/>
  <c r="I147" i="13"/>
  <c r="I86" i="13" s="1"/>
  <c r="I87" i="13" s="1"/>
  <c r="H147" i="13"/>
  <c r="H86" i="13" s="1"/>
  <c r="J147" i="13"/>
  <c r="E147" i="13"/>
  <c r="E86" i="13" s="1"/>
  <c r="C147" i="13"/>
  <c r="C86" i="13" s="1"/>
  <c r="B147" i="13"/>
  <c r="B86" i="13" s="1"/>
  <c r="B87" i="13" s="1"/>
  <c r="F147" i="13"/>
  <c r="F86" i="13" s="1"/>
  <c r="C31" i="6"/>
  <c r="C59" i="6"/>
  <c r="N9" i="3"/>
  <c r="N19" i="3" s="1"/>
  <c r="C43" i="6"/>
  <c r="J24" i="78"/>
  <c r="F41" i="6"/>
  <c r="G42" i="7"/>
  <c r="J15" i="78"/>
  <c r="G67" i="13"/>
  <c r="E67" i="13"/>
  <c r="D67" i="13"/>
  <c r="H67" i="13"/>
  <c r="B67" i="13"/>
  <c r="I67" i="13"/>
  <c r="C67" i="13"/>
  <c r="J67" i="13"/>
  <c r="F67" i="13"/>
  <c r="A201" i="13"/>
  <c r="I28" i="88"/>
  <c r="K5" i="32"/>
  <c r="C27" i="88"/>
  <c r="D40" i="6"/>
  <c r="D24" i="7"/>
  <c r="B24" i="7" s="1"/>
  <c r="F10" i="88"/>
  <c r="F38" i="88" s="1"/>
  <c r="F41" i="88" s="1"/>
  <c r="D16" i="79"/>
  <c r="H20" i="88"/>
  <c r="A189" i="13"/>
  <c r="J8" i="3"/>
  <c r="J18" i="3" s="1"/>
  <c r="D44" i="7"/>
  <c r="F12" i="80"/>
  <c r="E15" i="82"/>
  <c r="B19" i="19"/>
  <c r="B15" i="22" s="1"/>
  <c r="I49" i="17"/>
  <c r="B49" i="17"/>
  <c r="C49" i="17"/>
  <c r="G49" i="17"/>
  <c r="J49" i="17"/>
  <c r="F49" i="17"/>
  <c r="E49" i="17"/>
  <c r="D49" i="17"/>
  <c r="H49" i="17"/>
  <c r="K49" i="17"/>
  <c r="G204" i="13"/>
  <c r="G229" i="13" s="1"/>
  <c r="I204" i="13"/>
  <c r="I229" i="13" s="1"/>
  <c r="J204" i="13"/>
  <c r="B204" i="13"/>
  <c r="B229" i="13" s="1"/>
  <c r="D204" i="13"/>
  <c r="D229" i="13" s="1"/>
  <c r="C204" i="13"/>
  <c r="C229" i="13" s="1"/>
  <c r="F204" i="13"/>
  <c r="F229" i="13" s="1"/>
  <c r="E204" i="13"/>
  <c r="E229" i="13" s="1"/>
  <c r="H204" i="13"/>
  <c r="H229" i="13" s="1"/>
  <c r="N11" i="3"/>
  <c r="G30" i="88"/>
  <c r="B30" i="25"/>
  <c r="B21" i="25"/>
  <c r="B32" i="25"/>
  <c r="B22" i="25"/>
  <c r="B26" i="25"/>
  <c r="B25" i="25"/>
  <c r="B34" i="25"/>
  <c r="B13" i="25"/>
  <c r="B29" i="25"/>
  <c r="B33" i="25"/>
  <c r="B28" i="25"/>
  <c r="B20" i="25"/>
  <c r="B14" i="25"/>
  <c r="B19" i="25"/>
  <c r="B23" i="25"/>
  <c r="B16" i="25"/>
  <c r="B15" i="25"/>
  <c r="B31" i="25"/>
  <c r="B17" i="25"/>
  <c r="B24" i="25"/>
  <c r="B18" i="25"/>
  <c r="B27" i="25"/>
  <c r="F149" i="13"/>
  <c r="B149" i="13"/>
  <c r="C149" i="13"/>
  <c r="I149" i="13"/>
  <c r="D149" i="13"/>
  <c r="E149" i="13"/>
  <c r="J149" i="13"/>
  <c r="H149" i="13"/>
  <c r="G149" i="13"/>
  <c r="H72" i="13"/>
  <c r="F72" i="13"/>
  <c r="C72" i="13"/>
  <c r="J72" i="13"/>
  <c r="I72" i="13"/>
  <c r="B72" i="13"/>
  <c r="E72" i="13"/>
  <c r="D72" i="13"/>
  <c r="G72" i="13"/>
  <c r="G8" i="78"/>
  <c r="E57" i="19"/>
  <c r="D57" i="19"/>
  <c r="J57" i="19"/>
  <c r="I57" i="19"/>
  <c r="F57" i="19"/>
  <c r="L57" i="19"/>
  <c r="K57" i="19"/>
  <c r="C57" i="19"/>
  <c r="G57" i="19"/>
  <c r="H57" i="19"/>
  <c r="I26" i="88"/>
  <c r="I46" i="88" s="1"/>
  <c r="B56" i="19"/>
  <c r="B63" i="34" s="1"/>
  <c r="B54" i="19"/>
  <c r="B59" i="34" s="1"/>
  <c r="I16" i="80"/>
  <c r="K82" i="17"/>
  <c r="C82" i="17"/>
  <c r="H82" i="17"/>
  <c r="G82" i="17"/>
  <c r="D82" i="17"/>
  <c r="F82" i="17"/>
  <c r="B82" i="17"/>
  <c r="J82" i="17"/>
  <c r="E82" i="17"/>
  <c r="I82" i="17"/>
  <c r="I46" i="19"/>
  <c r="G46" i="19"/>
  <c r="H46" i="19"/>
  <c r="F46" i="19"/>
  <c r="E46" i="19"/>
  <c r="K46" i="19"/>
  <c r="L46" i="19"/>
  <c r="C46" i="19"/>
  <c r="D46" i="19"/>
  <c r="J46" i="19"/>
  <c r="B26" i="19"/>
  <c r="B23" i="22" s="1"/>
  <c r="C8" i="7"/>
  <c r="G17" i="88"/>
  <c r="E8" i="3"/>
  <c r="E18" i="3" s="1"/>
  <c r="G18" i="88"/>
  <c r="H14" i="7"/>
  <c r="H15" i="7" s="1"/>
  <c r="L28" i="88"/>
  <c r="H14" i="6"/>
  <c r="E30" i="19"/>
  <c r="F30" i="19"/>
  <c r="K30" i="19"/>
  <c r="L30" i="19"/>
  <c r="I30" i="19"/>
  <c r="H30" i="19"/>
  <c r="J30" i="19"/>
  <c r="C30" i="19"/>
  <c r="D30" i="19"/>
  <c r="G30" i="19"/>
  <c r="AG4" i="41"/>
  <c r="H12" i="88"/>
  <c r="H40" i="88" s="1"/>
  <c r="L24" i="82"/>
  <c r="H5" i="32"/>
  <c r="J28" i="88"/>
  <c r="C13" i="88"/>
  <c r="I12" i="78"/>
  <c r="F22" i="6"/>
  <c r="E16" i="80"/>
  <c r="A106" i="13"/>
  <c r="D228" i="13"/>
  <c r="E228" i="13"/>
  <c r="F228" i="13"/>
  <c r="C228" i="13"/>
  <c r="I228" i="13"/>
  <c r="H228" i="13"/>
  <c r="B228" i="13"/>
  <c r="G228" i="13"/>
  <c r="K14" i="88"/>
  <c r="F10" i="78"/>
  <c r="G21" i="78"/>
  <c r="I30" i="88"/>
  <c r="D16" i="80"/>
  <c r="F20" i="88"/>
  <c r="B51" i="19"/>
  <c r="B55" i="34" s="1"/>
  <c r="D24" i="88"/>
  <c r="D44" i="88" s="1"/>
  <c r="H19" i="86"/>
  <c r="H24" i="86" s="1"/>
  <c r="A70" i="13"/>
  <c r="I10" i="88"/>
  <c r="I38" i="88" s="1"/>
  <c r="I113" i="13"/>
  <c r="B113" i="13"/>
  <c r="C113" i="13"/>
  <c r="E113" i="13"/>
  <c r="F113" i="13"/>
  <c r="J113" i="13"/>
  <c r="D113" i="13"/>
  <c r="H113" i="13"/>
  <c r="G113" i="13"/>
  <c r="G21" i="79"/>
  <c r="J24" i="82"/>
  <c r="K26" i="88"/>
  <c r="K46" i="88" s="1"/>
  <c r="E16" i="7"/>
  <c r="B16" i="17"/>
  <c r="J16" i="17"/>
  <c r="D16" i="17"/>
  <c r="F16" i="17"/>
  <c r="C16" i="17"/>
  <c r="K16" i="17"/>
  <c r="I16" i="17"/>
  <c r="G16" i="17"/>
  <c r="E16" i="17"/>
  <c r="H16" i="17"/>
  <c r="G10" i="78"/>
  <c r="K31" i="19"/>
  <c r="F31" i="19"/>
  <c r="J31" i="19"/>
  <c r="L31" i="19"/>
  <c r="G31" i="19"/>
  <c r="I31" i="19"/>
  <c r="E31" i="19"/>
  <c r="C31" i="19"/>
  <c r="Z17" i="26" s="1"/>
  <c r="D31" i="19"/>
  <c r="H31" i="19"/>
  <c r="G11" i="88"/>
  <c r="G39" i="88" s="1"/>
  <c r="I15" i="80"/>
  <c r="I19" i="83"/>
  <c r="I24" i="83" s="1"/>
  <c r="J16" i="19"/>
  <c r="K16" i="19"/>
  <c r="E16" i="19"/>
  <c r="L16" i="19"/>
  <c r="L10" i="22" s="1"/>
  <c r="G16" i="19"/>
  <c r="G33" i="18" s="1"/>
  <c r="D16" i="19"/>
  <c r="C16" i="19"/>
  <c r="C33" i="18" s="1"/>
  <c r="H16" i="19"/>
  <c r="H33" i="18" s="1"/>
  <c r="I16" i="19"/>
  <c r="F16" i="19"/>
  <c r="G15" i="79"/>
  <c r="D19" i="81"/>
  <c r="D24" i="81" s="1"/>
  <c r="J62" i="19"/>
  <c r="K62" i="19"/>
  <c r="L62" i="19"/>
  <c r="E62" i="19"/>
  <c r="G62" i="19"/>
  <c r="I62" i="19"/>
  <c r="H62" i="19"/>
  <c r="F62" i="19"/>
  <c r="D62" i="19"/>
  <c r="C62" i="19"/>
  <c r="F8" i="82"/>
  <c r="H32" i="88"/>
  <c r="B64" i="17"/>
  <c r="E64" i="17"/>
  <c r="F64" i="17"/>
  <c r="D64" i="17"/>
  <c r="J64" i="17"/>
  <c r="H64" i="17"/>
  <c r="K64" i="17"/>
  <c r="C64" i="17"/>
  <c r="I64" i="17"/>
  <c r="G64" i="17"/>
  <c r="E10" i="88"/>
  <c r="E38" i="88" s="1"/>
  <c r="E41" i="88" s="1"/>
  <c r="G15" i="80"/>
  <c r="C37" i="6"/>
  <c r="J16" i="79"/>
  <c r="H10" i="79"/>
  <c r="D10" i="80"/>
  <c r="L5" i="32"/>
  <c r="C43" i="17"/>
  <c r="G43" i="17"/>
  <c r="H43" i="17"/>
  <c r="E43" i="17"/>
  <c r="F43" i="17"/>
  <c r="I43" i="17"/>
  <c r="J43" i="17"/>
  <c r="B43" i="17"/>
  <c r="K43" i="17"/>
  <c r="D43" i="17"/>
  <c r="G48" i="7"/>
  <c r="J23" i="88"/>
  <c r="C16" i="79"/>
  <c r="C17" i="79" s="1"/>
  <c r="H8" i="80"/>
  <c r="C24" i="82"/>
  <c r="F42" i="7"/>
  <c r="B11" i="17"/>
  <c r="G11" i="17"/>
  <c r="E11" i="17"/>
  <c r="I11" i="17"/>
  <c r="K11" i="17"/>
  <c r="D11" i="17"/>
  <c r="J11" i="17"/>
  <c r="F11" i="17"/>
  <c r="C11" i="17"/>
  <c r="H11" i="17"/>
  <c r="F69" i="13"/>
  <c r="G69" i="13"/>
  <c r="I69" i="13"/>
  <c r="B69" i="13"/>
  <c r="J69" i="13"/>
  <c r="D69" i="13"/>
  <c r="C69" i="13"/>
  <c r="E69" i="13"/>
  <c r="H69" i="13"/>
  <c r="D14" i="7"/>
  <c r="D15" i="7" s="1"/>
  <c r="B27" i="19"/>
  <c r="B24" i="22" s="1"/>
  <c r="F12" i="13"/>
  <c r="D12" i="13"/>
  <c r="C12" i="13"/>
  <c r="E12" i="13"/>
  <c r="J12" i="13"/>
  <c r="I12" i="13"/>
  <c r="G12" i="13"/>
  <c r="H12" i="13"/>
  <c r="B12" i="13"/>
  <c r="F15" i="6"/>
  <c r="A4" i="1"/>
  <c r="A10" i="1" s="1"/>
  <c r="H48" i="7"/>
  <c r="B20" i="19"/>
  <c r="I10" i="79"/>
  <c r="D84" i="7"/>
  <c r="L16" i="80"/>
  <c r="G25" i="88"/>
  <c r="G45" i="88" s="1"/>
  <c r="G19" i="85"/>
  <c r="G24" i="85" s="1"/>
  <c r="C56" i="17"/>
  <c r="B56" i="17"/>
  <c r="G56" i="17"/>
  <c r="F56" i="17"/>
  <c r="K56" i="17"/>
  <c r="D56" i="17"/>
  <c r="J56" i="17"/>
  <c r="H56" i="17"/>
  <c r="I56" i="17"/>
  <c r="E56" i="17"/>
  <c r="H20" i="6"/>
  <c r="E9" i="6"/>
  <c r="A11" i="1"/>
  <c r="A18" i="1" s="1"/>
  <c r="E40" i="6"/>
  <c r="D19" i="88"/>
  <c r="C9" i="6"/>
  <c r="C24" i="6" s="1"/>
  <c r="F122" i="13"/>
  <c r="H122" i="13"/>
  <c r="G122" i="13"/>
  <c r="D122" i="13"/>
  <c r="I122" i="13"/>
  <c r="C122" i="13"/>
  <c r="E122" i="13"/>
  <c r="B122" i="13"/>
  <c r="B33" i="19"/>
  <c r="B30" i="22" s="1"/>
  <c r="K19" i="88"/>
  <c r="E7" i="7"/>
  <c r="E30" i="7" s="1"/>
  <c r="F21" i="78"/>
  <c r="B97" i="17"/>
  <c r="E97" i="17"/>
  <c r="F97" i="17"/>
  <c r="J97" i="17"/>
  <c r="H97" i="17"/>
  <c r="C97" i="17"/>
  <c r="I97" i="17"/>
  <c r="G97" i="17"/>
  <c r="K97" i="17"/>
  <c r="D97" i="17"/>
  <c r="C32" i="88"/>
  <c r="G54" i="6"/>
  <c r="H37" i="6"/>
  <c r="J24" i="88"/>
  <c r="J44" i="88" s="1"/>
  <c r="D29" i="6"/>
  <c r="L19" i="88"/>
  <c r="D72" i="17"/>
  <c r="I72" i="17"/>
  <c r="C72" i="17"/>
  <c r="H72" i="17"/>
  <c r="G72" i="17"/>
  <c r="E72" i="17"/>
  <c r="J72" i="17"/>
  <c r="B72" i="17"/>
  <c r="K72" i="17"/>
  <c r="F72" i="17"/>
  <c r="D37" i="13"/>
  <c r="B37" i="13"/>
  <c r="H37" i="13"/>
  <c r="F37" i="13"/>
  <c r="I37" i="13"/>
  <c r="J37" i="13"/>
  <c r="C37" i="13"/>
  <c r="G37" i="13"/>
  <c r="E37" i="13"/>
  <c r="J164" i="13"/>
  <c r="H164" i="13"/>
  <c r="B164" i="13"/>
  <c r="C164" i="13"/>
  <c r="I164" i="13"/>
  <c r="F164" i="13"/>
  <c r="G164" i="13"/>
  <c r="E164" i="13"/>
  <c r="D164" i="13"/>
  <c r="L19" i="86"/>
  <c r="L24" i="86" s="1"/>
  <c r="A71" i="13"/>
  <c r="C15" i="6"/>
  <c r="C11" i="88"/>
  <c r="C39" i="88" s="1"/>
  <c r="F19" i="86"/>
  <c r="F24" i="86" s="1"/>
  <c r="J11" i="88"/>
  <c r="J39" i="88" s="1"/>
  <c r="H44" i="7"/>
  <c r="C42" i="7"/>
  <c r="F92" i="17"/>
  <c r="J92" i="17"/>
  <c r="I92" i="17"/>
  <c r="H92" i="17"/>
  <c r="E92" i="17"/>
  <c r="K92" i="17"/>
  <c r="C92" i="17"/>
  <c r="G92" i="17"/>
  <c r="B92" i="17"/>
  <c r="D92" i="17"/>
  <c r="C61" i="19"/>
  <c r="F61" i="19"/>
  <c r="D61" i="19"/>
  <c r="G61" i="19"/>
  <c r="H61" i="19"/>
  <c r="J61" i="19"/>
  <c r="I61" i="19"/>
  <c r="E61" i="19"/>
  <c r="L61" i="19"/>
  <c r="K61" i="19"/>
  <c r="F12" i="82"/>
  <c r="F21" i="80"/>
  <c r="H22" i="6"/>
  <c r="C21" i="82"/>
  <c r="A21" i="1"/>
  <c r="C52" i="6"/>
  <c r="I16" i="82"/>
  <c r="G12" i="19"/>
  <c r="F12" i="19"/>
  <c r="D12" i="19"/>
  <c r="L12" i="19"/>
  <c r="C12" i="19"/>
  <c r="K12" i="19"/>
  <c r="H12" i="19"/>
  <c r="E12" i="19"/>
  <c r="J12" i="19"/>
  <c r="I12" i="19"/>
  <c r="B49" i="19"/>
  <c r="B53" i="34" s="1"/>
  <c r="B223" i="13"/>
  <c r="D223" i="13"/>
  <c r="J223" i="13"/>
  <c r="H223" i="13"/>
  <c r="I223" i="13"/>
  <c r="C223" i="13"/>
  <c r="G223" i="13"/>
  <c r="F223" i="13"/>
  <c r="E223" i="13"/>
  <c r="D21" i="88"/>
  <c r="C40" i="6"/>
  <c r="H60" i="17"/>
  <c r="J60" i="17"/>
  <c r="K60" i="17"/>
  <c r="F60" i="17"/>
  <c r="D60" i="17"/>
  <c r="I60" i="17"/>
  <c r="C60" i="17"/>
  <c r="G60" i="17"/>
  <c r="B60" i="17"/>
  <c r="E60" i="17"/>
  <c r="H30" i="88"/>
  <c r="G12" i="80"/>
  <c r="B17" i="17"/>
  <c r="G17" i="17"/>
  <c r="F17" i="17"/>
  <c r="J17" i="17"/>
  <c r="D17" i="17"/>
  <c r="C17" i="17"/>
  <c r="H17" i="17"/>
  <c r="I17" i="17"/>
  <c r="K17" i="17"/>
  <c r="E17" i="17"/>
  <c r="F44" i="7"/>
  <c r="K12" i="79"/>
  <c r="G52" i="6"/>
  <c r="B47" i="19"/>
  <c r="B49" i="34" s="1"/>
  <c r="F9" i="6"/>
  <c r="J10" i="78"/>
  <c r="K73" i="17"/>
  <c r="B73" i="17"/>
  <c r="C73" i="17"/>
  <c r="J73" i="17"/>
  <c r="D73" i="17"/>
  <c r="I73" i="17"/>
  <c r="F73" i="17"/>
  <c r="G73" i="17"/>
  <c r="E73" i="17"/>
  <c r="H73" i="17"/>
  <c r="D46" i="6"/>
  <c r="C10" i="78"/>
  <c r="K27" i="88"/>
  <c r="H42" i="7"/>
  <c r="G31" i="88"/>
  <c r="G20" i="88"/>
  <c r="C4" i="7"/>
  <c r="C21" i="7" s="1"/>
  <c r="D15" i="78"/>
  <c r="H40" i="6"/>
  <c r="J10" i="82"/>
  <c r="K21" i="79"/>
  <c r="G10" i="82"/>
  <c r="F24" i="79"/>
  <c r="F136" i="13"/>
  <c r="B136" i="13"/>
  <c r="C136" i="13"/>
  <c r="D136" i="13"/>
  <c r="G136" i="13"/>
  <c r="E136" i="13"/>
  <c r="H136" i="13"/>
  <c r="J136" i="13"/>
  <c r="I136" i="13"/>
  <c r="B32" i="19"/>
  <c r="B29" i="22" s="1"/>
  <c r="G226" i="13"/>
  <c r="G233" i="13" s="1"/>
  <c r="C226" i="13"/>
  <c r="F226" i="13"/>
  <c r="D226" i="13"/>
  <c r="I226" i="13"/>
  <c r="H226" i="13"/>
  <c r="B226" i="13"/>
  <c r="B233" i="13" s="1"/>
  <c r="E226" i="13"/>
  <c r="E233" i="13" s="1"/>
  <c r="H5" i="6"/>
  <c r="I44" i="1" s="1"/>
  <c r="I24" i="19"/>
  <c r="E24" i="19"/>
  <c r="C24" i="19"/>
  <c r="K24" i="19"/>
  <c r="L24" i="19"/>
  <c r="D24" i="19"/>
  <c r="F24" i="19"/>
  <c r="H24" i="19"/>
  <c r="J24" i="19"/>
  <c r="G24" i="19"/>
  <c r="H8" i="82"/>
  <c r="I22" i="17"/>
  <c r="F22" i="17"/>
  <c r="G22" i="17"/>
  <c r="E22" i="17"/>
  <c r="K22" i="17"/>
  <c r="H22" i="17"/>
  <c r="B22" i="17"/>
  <c r="J22" i="17"/>
  <c r="D22" i="17"/>
  <c r="C22" i="17"/>
  <c r="F12" i="78"/>
  <c r="A17" i="13"/>
  <c r="A148" i="13"/>
  <c r="H12" i="79"/>
  <c r="G16" i="7"/>
  <c r="D18" i="88"/>
  <c r="E8" i="7"/>
  <c r="E10" i="7" s="1"/>
  <c r="E31" i="7" s="1"/>
  <c r="F40" i="6"/>
  <c r="I17" i="88"/>
  <c r="E9" i="88"/>
  <c r="K24" i="82"/>
  <c r="H19" i="88"/>
  <c r="E61" i="6"/>
  <c r="H21" i="82"/>
  <c r="J9" i="39"/>
  <c r="K9" i="39" s="1"/>
  <c r="F52" i="6"/>
  <c r="D63" i="17"/>
  <c r="F63" i="17"/>
  <c r="G63" i="17"/>
  <c r="K63" i="17"/>
  <c r="B63" i="17"/>
  <c r="C63" i="17"/>
  <c r="E63" i="17"/>
  <c r="H63" i="17"/>
  <c r="J63" i="17"/>
  <c r="I63" i="17"/>
  <c r="C10" i="88"/>
  <c r="C38" i="88" s="1"/>
  <c r="C17" i="88"/>
  <c r="J12" i="78"/>
  <c r="E17" i="88"/>
  <c r="I21" i="79"/>
  <c r="G19" i="88"/>
  <c r="K21" i="19"/>
  <c r="C21" i="19"/>
  <c r="N5" i="26" s="1"/>
  <c r="N8" i="26" s="1"/>
  <c r="D21" i="19"/>
  <c r="O5" i="26" s="1"/>
  <c r="O8" i="26" s="1"/>
  <c r="E21" i="19"/>
  <c r="P5" i="26" s="1"/>
  <c r="P8" i="26" s="1"/>
  <c r="L21" i="19"/>
  <c r="J21" i="19"/>
  <c r="U5" i="26" s="1"/>
  <c r="U8" i="26" s="1"/>
  <c r="G21" i="19"/>
  <c r="R5" i="26" s="1"/>
  <c r="R8" i="26" s="1"/>
  <c r="I21" i="19"/>
  <c r="T5" i="26" s="1"/>
  <c r="T8" i="26" s="1"/>
  <c r="H21" i="19"/>
  <c r="S5" i="26" s="1"/>
  <c r="S8" i="26" s="1"/>
  <c r="F21" i="19"/>
  <c r="Q5" i="26" s="1"/>
  <c r="Q8" i="26" s="1"/>
  <c r="E12" i="79"/>
  <c r="B175" i="13"/>
  <c r="J175" i="13"/>
  <c r="F175" i="13"/>
  <c r="G175" i="13"/>
  <c r="E175" i="13"/>
  <c r="I175" i="13"/>
  <c r="H175" i="13"/>
  <c r="D175" i="13"/>
  <c r="C175" i="13"/>
  <c r="B50" i="19"/>
  <c r="B54" i="34" s="1"/>
  <c r="B18" i="19"/>
  <c r="B14" i="22" s="1"/>
  <c r="B25" i="19"/>
  <c r="B22" i="22" s="1"/>
  <c r="M8" i="3"/>
  <c r="M18" i="3" s="1"/>
  <c r="F24" i="82"/>
  <c r="C21" i="78"/>
  <c r="C20" i="6"/>
  <c r="B18" i="17"/>
  <c r="J18" i="17"/>
  <c r="E18" i="17"/>
  <c r="D18" i="17"/>
  <c r="C18" i="17"/>
  <c r="G18" i="17"/>
  <c r="K18" i="17"/>
  <c r="I18" i="17"/>
  <c r="H18" i="17"/>
  <c r="F18" i="17"/>
  <c r="D19" i="85"/>
  <c r="D24" i="85" s="1"/>
  <c r="G201" i="13"/>
  <c r="B201" i="13"/>
  <c r="D201" i="13"/>
  <c r="E201" i="13"/>
  <c r="F201" i="13"/>
  <c r="J201" i="13"/>
  <c r="I201" i="13"/>
  <c r="H201" i="13"/>
  <c r="C201" i="13"/>
  <c r="K17" i="88"/>
  <c r="F37" i="6"/>
  <c r="I19" i="88"/>
  <c r="D43" i="6"/>
  <c r="H96" i="17"/>
  <c r="G96" i="17"/>
  <c r="J96" i="17"/>
  <c r="K96" i="17"/>
  <c r="E96" i="17"/>
  <c r="B96" i="17"/>
  <c r="D96" i="17"/>
  <c r="I96" i="17"/>
  <c r="F96" i="17"/>
  <c r="C96" i="17"/>
  <c r="J15" i="79"/>
  <c r="F8" i="78"/>
  <c r="G15" i="6"/>
  <c r="J85" i="17"/>
  <c r="F85" i="17"/>
  <c r="D85" i="17"/>
  <c r="K85" i="17"/>
  <c r="C85" i="17"/>
  <c r="E85" i="17"/>
  <c r="B85" i="17"/>
  <c r="I85" i="17"/>
  <c r="H85" i="17"/>
  <c r="G85" i="17"/>
  <c r="C12" i="78"/>
  <c r="G9" i="6"/>
  <c r="C19" i="83"/>
  <c r="C24" i="83" s="1"/>
  <c r="F25" i="6"/>
  <c r="H55" i="6"/>
  <c r="G31" i="13"/>
  <c r="G75" i="13" s="1"/>
  <c r="J31" i="13"/>
  <c r="H31" i="13"/>
  <c r="H75" i="13" s="1"/>
  <c r="F31" i="13"/>
  <c r="F75" i="13" s="1"/>
  <c r="D31" i="13"/>
  <c r="D75" i="13" s="1"/>
  <c r="E31" i="13"/>
  <c r="E75" i="13" s="1"/>
  <c r="I31" i="13"/>
  <c r="I75" i="13" s="1"/>
  <c r="B31" i="13"/>
  <c r="B75" i="13" s="1"/>
  <c r="C31" i="13"/>
  <c r="C75" i="13" s="1"/>
  <c r="L13" i="88"/>
  <c r="I24" i="78"/>
  <c r="H19" i="85"/>
  <c r="H24" i="85" s="1"/>
  <c r="H38" i="19"/>
  <c r="K38" i="19"/>
  <c r="G38" i="19"/>
  <c r="C38" i="19"/>
  <c r="I38" i="19"/>
  <c r="D38" i="19"/>
  <c r="F38" i="19"/>
  <c r="E38" i="19"/>
  <c r="L38" i="19"/>
  <c r="J38" i="19"/>
  <c r="F43" i="6"/>
  <c r="F14" i="7"/>
  <c r="F15" i="7" s="1"/>
  <c r="F18" i="7" s="1"/>
  <c r="H27" i="6"/>
  <c r="B30" i="19"/>
  <c r="B27" i="22" s="1"/>
  <c r="G15" i="78"/>
  <c r="H47" i="6"/>
  <c r="L27" i="19"/>
  <c r="G27" i="19"/>
  <c r="D27" i="19"/>
  <c r="F27" i="19"/>
  <c r="K27" i="19"/>
  <c r="H27" i="19"/>
  <c r="J27" i="19"/>
  <c r="E27" i="19"/>
  <c r="I27" i="19"/>
  <c r="C27" i="19"/>
  <c r="B61" i="19"/>
  <c r="M3" i="23"/>
  <c r="M10" i="3"/>
  <c r="M20" i="3" s="1"/>
  <c r="G25" i="13"/>
  <c r="C25" i="13"/>
  <c r="J25" i="13"/>
  <c r="I25" i="13"/>
  <c r="D25" i="13"/>
  <c r="B25" i="13"/>
  <c r="E25" i="13"/>
  <c r="H25" i="13"/>
  <c r="F25" i="13"/>
  <c r="J32" i="88"/>
  <c r="E51" i="6"/>
  <c r="D39" i="19"/>
  <c r="K39" i="19"/>
  <c r="F39" i="19"/>
  <c r="J39" i="19"/>
  <c r="E39" i="19"/>
  <c r="I39" i="19"/>
  <c r="G39" i="19"/>
  <c r="L39" i="19"/>
  <c r="C39" i="19"/>
  <c r="H39" i="19"/>
  <c r="E27" i="88"/>
  <c r="L26" i="88"/>
  <c r="L46" i="88" s="1"/>
  <c r="F34" i="6"/>
  <c r="I12" i="80"/>
  <c r="A202" i="13"/>
  <c r="E37" i="6"/>
  <c r="C13" i="6"/>
  <c r="G37" i="6"/>
  <c r="I104" i="13"/>
  <c r="I110" i="13" s="1"/>
  <c r="H104" i="13"/>
  <c r="H110" i="13" s="1"/>
  <c r="D104" i="13"/>
  <c r="D110" i="13" s="1"/>
  <c r="G104" i="13"/>
  <c r="G110" i="13" s="1"/>
  <c r="F104" i="13"/>
  <c r="F110" i="13" s="1"/>
  <c r="J104" i="13"/>
  <c r="C104" i="13"/>
  <c r="C110" i="13" s="1"/>
  <c r="E104" i="13"/>
  <c r="E110" i="13" s="1"/>
  <c r="B104" i="13"/>
  <c r="E15" i="79"/>
  <c r="B15" i="19"/>
  <c r="B9" i="22" s="1"/>
  <c r="O7" i="3"/>
  <c r="O17" i="3" s="1"/>
  <c r="G21" i="80"/>
  <c r="K32" i="17"/>
  <c r="L28" i="20" s="1"/>
  <c r="I32" i="17"/>
  <c r="J28" i="20" s="1"/>
  <c r="H32" i="17"/>
  <c r="I28" i="20" s="1"/>
  <c r="E32" i="17"/>
  <c r="F28" i="20" s="1"/>
  <c r="F32" i="17"/>
  <c r="G28" i="20" s="1"/>
  <c r="C32" i="17"/>
  <c r="D28" i="20" s="1"/>
  <c r="J32" i="17"/>
  <c r="K28" i="20" s="1"/>
  <c r="D32" i="17"/>
  <c r="E28" i="20" s="1"/>
  <c r="G32" i="17"/>
  <c r="H28" i="20" s="1"/>
  <c r="B32" i="17"/>
  <c r="C28" i="20" s="1"/>
  <c r="L99" i="34" s="1"/>
  <c r="M73" i="38" s="1"/>
  <c r="H43" i="7"/>
  <c r="L15" i="19"/>
  <c r="G15" i="19"/>
  <c r="E15" i="19"/>
  <c r="I15" i="19"/>
  <c r="C15" i="19"/>
  <c r="F15" i="19"/>
  <c r="K15" i="19"/>
  <c r="D15" i="19"/>
  <c r="J15" i="19"/>
  <c r="H15" i="19"/>
  <c r="H51" i="19"/>
  <c r="F51" i="19"/>
  <c r="K51" i="19"/>
  <c r="J51" i="19"/>
  <c r="D51" i="19"/>
  <c r="E51" i="19"/>
  <c r="G51" i="19"/>
  <c r="L51" i="19"/>
  <c r="I51" i="19"/>
  <c r="C51" i="19"/>
  <c r="C48" i="7"/>
  <c r="A166" i="13"/>
  <c r="H23" i="7"/>
  <c r="G9" i="88"/>
  <c r="G47" i="87" s="1"/>
  <c r="E46" i="6"/>
  <c r="C12" i="82"/>
  <c r="K15" i="80"/>
  <c r="A175" i="13"/>
  <c r="A116" i="13" s="1"/>
  <c r="D7" i="3"/>
  <c r="D17" i="3" s="1"/>
  <c r="E41" i="6"/>
  <c r="J10" i="3"/>
  <c r="J20" i="3" s="1"/>
  <c r="D24" i="6"/>
  <c r="I23" i="88"/>
  <c r="J18" i="88"/>
  <c r="K36" i="17"/>
  <c r="D36" i="17"/>
  <c r="D256" i="13" s="1"/>
  <c r="F36" i="17"/>
  <c r="F256" i="13" s="1"/>
  <c r="E36" i="17"/>
  <c r="E256" i="13" s="1"/>
  <c r="H36" i="17"/>
  <c r="H256" i="13" s="1"/>
  <c r="C36" i="17"/>
  <c r="C256" i="13" s="1"/>
  <c r="G36" i="17"/>
  <c r="G256" i="13" s="1"/>
  <c r="I36" i="17"/>
  <c r="I256" i="13" s="1"/>
  <c r="B36" i="17"/>
  <c r="C33" i="20" s="1"/>
  <c r="J36" i="17"/>
  <c r="A65" i="1"/>
  <c r="F7" i="3"/>
  <c r="F17" i="3" s="1"/>
  <c r="K20" i="88"/>
  <c r="D52" i="6"/>
  <c r="I19" i="85"/>
  <c r="I24" i="85" s="1"/>
  <c r="K16" i="78"/>
  <c r="K17" i="78" s="1"/>
  <c r="D21" i="78"/>
  <c r="F68" i="13"/>
  <c r="G68" i="13"/>
  <c r="B68" i="13"/>
  <c r="H68" i="13"/>
  <c r="C68" i="13"/>
  <c r="J68" i="13"/>
  <c r="E68" i="13"/>
  <c r="D68" i="13"/>
  <c r="I68" i="13"/>
  <c r="G19" i="83"/>
  <c r="G24" i="83" s="1"/>
  <c r="I15" i="79"/>
  <c r="C46" i="6"/>
  <c r="F26" i="6"/>
  <c r="J16" i="82"/>
  <c r="L5" i="3"/>
  <c r="H21" i="79"/>
  <c r="O6" i="3"/>
  <c r="O16" i="3" s="1"/>
  <c r="C12" i="6"/>
  <c r="A178" i="13"/>
  <c r="A179" i="13" s="1"/>
  <c r="H33" i="7"/>
  <c r="H72" i="7" s="1"/>
  <c r="D19" i="86"/>
  <c r="D24" i="86" s="1"/>
  <c r="B21" i="19"/>
  <c r="B17" i="22" s="1"/>
  <c r="C61" i="6"/>
  <c r="E29" i="6"/>
  <c r="E20" i="88"/>
  <c r="C7" i="7"/>
  <c r="C30" i="7" s="1"/>
  <c r="F9" i="88"/>
  <c r="H58" i="6"/>
  <c r="E6" i="3"/>
  <c r="C16" i="80"/>
  <c r="E21" i="80"/>
  <c r="K10" i="79"/>
  <c r="G22" i="6"/>
  <c r="E66" i="17"/>
  <c r="F66" i="17"/>
  <c r="I66" i="17"/>
  <c r="B66" i="17"/>
  <c r="K66" i="17"/>
  <c r="J66" i="17"/>
  <c r="C66" i="17"/>
  <c r="G66" i="17"/>
  <c r="D66" i="17"/>
  <c r="H66" i="17"/>
  <c r="A136" i="13"/>
  <c r="A100" i="13" s="1"/>
  <c r="G6" i="3"/>
  <c r="K6" i="3"/>
  <c r="K16" i="3" s="1"/>
  <c r="F20" i="6"/>
  <c r="F7" i="7"/>
  <c r="F30" i="7" s="1"/>
  <c r="A176" i="13"/>
  <c r="A76" i="13" s="1"/>
  <c r="C10" i="80"/>
  <c r="D28" i="6"/>
  <c r="B23" i="19"/>
  <c r="B19" i="22" s="1"/>
  <c r="I32" i="88"/>
  <c r="C25" i="7"/>
  <c r="E95" i="17"/>
  <c r="B95" i="17"/>
  <c r="G95" i="17"/>
  <c r="H95" i="17"/>
  <c r="J95" i="17"/>
  <c r="D95" i="17"/>
  <c r="I95" i="17"/>
  <c r="F95" i="17"/>
  <c r="C95" i="17"/>
  <c r="K95" i="17"/>
  <c r="D55" i="6"/>
  <c r="I66" i="13"/>
  <c r="E66" i="13"/>
  <c r="B66" i="13"/>
  <c r="C66" i="13"/>
  <c r="J66" i="13"/>
  <c r="D66" i="13"/>
  <c r="G66" i="13"/>
  <c r="F66" i="13"/>
  <c r="H66" i="13"/>
  <c r="J10" i="80"/>
  <c r="E21" i="82"/>
  <c r="E24" i="79"/>
  <c r="C55" i="6"/>
  <c r="D51" i="6"/>
  <c r="J8" i="80"/>
  <c r="C8" i="82"/>
  <c r="H45" i="19"/>
  <c r="E45" i="19"/>
  <c r="F45" i="19"/>
  <c r="G45" i="19"/>
  <c r="K45" i="19"/>
  <c r="I45" i="19"/>
  <c r="J45" i="19"/>
  <c r="L45" i="19"/>
  <c r="D45" i="19"/>
  <c r="C45" i="19"/>
  <c r="E19" i="81"/>
  <c r="E24" i="81" s="1"/>
  <c r="H11" i="88"/>
  <c r="H39" i="88" s="1"/>
  <c r="H24" i="78"/>
  <c r="D9" i="6"/>
  <c r="E15" i="78"/>
  <c r="M7" i="3"/>
  <c r="M17" i="3" s="1"/>
  <c r="F51" i="6"/>
  <c r="F203" i="13"/>
  <c r="E203" i="13"/>
  <c r="J203" i="13"/>
  <c r="D203" i="13"/>
  <c r="H203" i="13"/>
  <c r="I203" i="13"/>
  <c r="C203" i="13"/>
  <c r="B203" i="13"/>
  <c r="G203" i="13"/>
  <c r="D146" i="13"/>
  <c r="I146" i="13"/>
  <c r="C146" i="13"/>
  <c r="J146" i="13"/>
  <c r="F146" i="13"/>
  <c r="H146" i="13"/>
  <c r="E146" i="13"/>
  <c r="B146" i="13"/>
  <c r="G146" i="13"/>
  <c r="H14" i="88"/>
  <c r="G29" i="6"/>
  <c r="J76" i="17"/>
  <c r="F76" i="17"/>
  <c r="G76" i="17"/>
  <c r="K76" i="17"/>
  <c r="I76" i="17"/>
  <c r="H76" i="17"/>
  <c r="C76" i="17"/>
  <c r="E76" i="17"/>
  <c r="D76" i="17"/>
  <c r="B76" i="17"/>
  <c r="F6" i="3"/>
  <c r="F4" i="7"/>
  <c r="F21" i="7" s="1"/>
  <c r="C12" i="79"/>
  <c r="I25" i="88"/>
  <c r="I45" i="88" s="1"/>
  <c r="D24" i="80"/>
  <c r="G8" i="80"/>
  <c r="B178" i="13"/>
  <c r="H178" i="13"/>
  <c r="I178" i="13"/>
  <c r="F178" i="13"/>
  <c r="G178" i="13"/>
  <c r="E178" i="13"/>
  <c r="C178" i="13"/>
  <c r="D178" i="13"/>
  <c r="J178" i="13"/>
  <c r="G15" i="82"/>
  <c r="C29" i="19"/>
  <c r="H29" i="19"/>
  <c r="G29" i="19"/>
  <c r="K29" i="19"/>
  <c r="J29" i="19"/>
  <c r="D29" i="19"/>
  <c r="E29" i="19"/>
  <c r="I29" i="19"/>
  <c r="L29" i="19"/>
  <c r="F29" i="19"/>
  <c r="H18" i="88"/>
  <c r="E19" i="85"/>
  <c r="E24" i="85" s="1"/>
  <c r="C23" i="7"/>
  <c r="F33" i="7"/>
  <c r="F72" i="7" s="1"/>
  <c r="G11" i="13"/>
  <c r="E11" i="13"/>
  <c r="D11" i="13"/>
  <c r="I11" i="13"/>
  <c r="H11" i="13"/>
  <c r="F11" i="13"/>
  <c r="B11" i="13"/>
  <c r="C11" i="13"/>
  <c r="J11" i="13"/>
  <c r="I20" i="19"/>
  <c r="G20" i="19"/>
  <c r="D20" i="19"/>
  <c r="E20" i="19"/>
  <c r="K20" i="19"/>
  <c r="C20" i="19"/>
  <c r="J20" i="19"/>
  <c r="E44" i="34" s="1"/>
  <c r="L20" i="19"/>
  <c r="H20" i="19"/>
  <c r="F20" i="19"/>
  <c r="F16" i="83" s="1"/>
  <c r="J10" i="39"/>
  <c r="K10" i="39" s="1"/>
  <c r="I14" i="88"/>
  <c r="E8" i="78"/>
  <c r="L12" i="82"/>
  <c r="I8" i="79"/>
  <c r="G7" i="3"/>
  <c r="G17" i="3" s="1"/>
  <c r="F14" i="6"/>
  <c r="L8" i="78"/>
  <c r="D8" i="40"/>
  <c r="J17" i="88"/>
  <c r="H15" i="6"/>
  <c r="D22" i="6"/>
  <c r="E96" i="1" s="1"/>
  <c r="E48" i="7"/>
  <c r="B37" i="19"/>
  <c r="F176" i="13"/>
  <c r="F185" i="13" s="1"/>
  <c r="E176" i="13"/>
  <c r="E185" i="13" s="1"/>
  <c r="J176" i="13"/>
  <c r="G176" i="13"/>
  <c r="D176" i="13"/>
  <c r="H176" i="13"/>
  <c r="C176" i="13"/>
  <c r="B176" i="13"/>
  <c r="I176" i="13"/>
  <c r="F14" i="88"/>
  <c r="G36" i="6"/>
  <c r="G215" i="13"/>
  <c r="AG5" i="26"/>
  <c r="I59" i="26"/>
  <c r="F36" i="6"/>
  <c r="D36" i="6"/>
  <c r="H215" i="13"/>
  <c r="C36" i="6"/>
  <c r="I730" i="24"/>
  <c r="I840" i="24"/>
  <c r="I699" i="24"/>
  <c r="I242" i="24"/>
  <c r="C39" i="87"/>
  <c r="I972" i="24"/>
  <c r="I286" i="24"/>
  <c r="I1107" i="24"/>
  <c r="I1092" i="24"/>
  <c r="I1251" i="24"/>
  <c r="I106" i="24"/>
  <c r="I1049" i="24"/>
  <c r="I1224" i="24"/>
  <c r="I675" i="24"/>
  <c r="I686" i="24"/>
  <c r="I1172" i="24"/>
  <c r="I410" i="24"/>
  <c r="I1068" i="24"/>
  <c r="I863" i="24"/>
  <c r="I1145" i="24"/>
  <c r="I138" i="24"/>
  <c r="I816" i="24"/>
  <c r="I845" i="24"/>
  <c r="I993" i="24"/>
  <c r="I112" i="24"/>
  <c r="I344" i="24"/>
  <c r="I325" i="24"/>
  <c r="I960" i="24"/>
  <c r="I400" i="24"/>
  <c r="I557" i="24"/>
  <c r="I365" i="24"/>
  <c r="D34" i="88"/>
  <c r="D35" i="88" s="1"/>
  <c r="I41" i="88"/>
  <c r="C233" i="13"/>
  <c r="J41" i="88"/>
  <c r="D41" i="88"/>
  <c r="J39" i="87"/>
  <c r="J47" i="88"/>
  <c r="F39" i="87"/>
  <c r="B234" i="13"/>
  <c r="B31" i="86"/>
  <c r="B31" i="84"/>
  <c r="B31" i="83"/>
  <c r="B31" i="85"/>
  <c r="B31" i="81"/>
  <c r="E89" i="1"/>
  <c r="E88" i="1"/>
  <c r="E28" i="7"/>
  <c r="F44" i="1"/>
  <c r="F30" i="1"/>
  <c r="E17" i="80"/>
  <c r="B155" i="13"/>
  <c r="B156" i="13"/>
  <c r="B77" i="26" s="1"/>
  <c r="G28" i="1"/>
  <c r="G30" i="1"/>
  <c r="G44" i="1"/>
  <c r="F28" i="7"/>
  <c r="F54" i="1"/>
  <c r="E35" i="7"/>
  <c r="H89" i="1"/>
  <c r="H88" i="1"/>
  <c r="J17" i="82"/>
  <c r="I33" i="86"/>
  <c r="I30" i="86" s="1"/>
  <c r="I31" i="86" s="1"/>
  <c r="I34" i="86" s="1"/>
  <c r="I33" i="84"/>
  <c r="I30" i="84" s="1"/>
  <c r="I31" i="84" s="1"/>
  <c r="I34" i="84" s="1"/>
  <c r="I33" i="81"/>
  <c r="I33" i="85"/>
  <c r="I30" i="85" s="1"/>
  <c r="I31" i="85" s="1"/>
  <c r="I34" i="85" s="1"/>
  <c r="I33" i="83"/>
  <c r="I30" i="83" s="1"/>
  <c r="C33" i="86"/>
  <c r="C30" i="86" s="1"/>
  <c r="C31" i="86" s="1"/>
  <c r="C34" i="86" s="1"/>
  <c r="C33" i="84"/>
  <c r="C30" i="84" s="1"/>
  <c r="C31" i="84" s="1"/>
  <c r="C34" i="84" s="1"/>
  <c r="C33" i="81"/>
  <c r="C33" i="83"/>
  <c r="C33" i="85"/>
  <c r="C30" i="85" s="1"/>
  <c r="C31" i="85" s="1"/>
  <c r="C34" i="85" s="1"/>
  <c r="B15" i="86"/>
  <c r="B15" i="84"/>
  <c r="B15" i="81"/>
  <c r="B15" i="85"/>
  <c r="B15" i="83"/>
  <c r="B33" i="86"/>
  <c r="B33" i="85"/>
  <c r="B33" i="83"/>
  <c r="B33" i="84"/>
  <c r="B33" i="81"/>
  <c r="H28" i="1"/>
  <c r="G28" i="7"/>
  <c r="H32" i="1"/>
  <c r="H30" i="1"/>
  <c r="H44" i="1"/>
  <c r="B23" i="86"/>
  <c r="B23" i="85"/>
  <c r="B23" i="81"/>
  <c r="B23" i="83"/>
  <c r="B23" i="84"/>
  <c r="B21" i="86"/>
  <c r="B21" i="84"/>
  <c r="B21" i="81"/>
  <c r="B21" i="85"/>
  <c r="B21" i="83"/>
  <c r="F16" i="84"/>
  <c r="F16" i="85"/>
  <c r="L16" i="86"/>
  <c r="L16" i="84"/>
  <c r="L16" i="81"/>
  <c r="L16" i="85"/>
  <c r="L16" i="83"/>
  <c r="C16" i="85"/>
  <c r="C16" i="81"/>
  <c r="C16" i="84"/>
  <c r="C16" i="86"/>
  <c r="C16" i="83"/>
  <c r="B26" i="86"/>
  <c r="B26" i="84"/>
  <c r="B26" i="85"/>
  <c r="B26" i="81"/>
  <c r="B26" i="83"/>
  <c r="A12" i="5"/>
  <c r="I253" i="24"/>
  <c r="I568" i="24"/>
  <c r="I700" i="24"/>
  <c r="J47" i="87"/>
  <c r="B22" i="86"/>
  <c r="B22" i="83"/>
  <c r="B22" i="84"/>
  <c r="B22" i="85"/>
  <c r="B22" i="81"/>
  <c r="I17" i="82"/>
  <c r="G17" i="82"/>
  <c r="B17" i="86"/>
  <c r="B17" i="83"/>
  <c r="B17" i="81"/>
  <c r="B17" i="84"/>
  <c r="B17" i="85"/>
  <c r="D56" i="6"/>
  <c r="F17" i="78"/>
  <c r="G33" i="86"/>
  <c r="G30" i="86" s="1"/>
  <c r="G31" i="86" s="1"/>
  <c r="G34" i="86" s="1"/>
  <c r="G33" i="84"/>
  <c r="G30" i="84" s="1"/>
  <c r="G31" i="84" s="1"/>
  <c r="G34" i="84" s="1"/>
  <c r="G33" i="81"/>
  <c r="G33" i="85"/>
  <c r="G30" i="85" s="1"/>
  <c r="G31" i="85" s="1"/>
  <c r="G34" i="85" s="1"/>
  <c r="G33" i="83"/>
  <c r="G30" i="83" s="1"/>
  <c r="G31" i="83" s="1"/>
  <c r="G34" i="83" s="1"/>
  <c r="E33" i="86"/>
  <c r="E33" i="84"/>
  <c r="E30" i="84" s="1"/>
  <c r="E31" i="84" s="1"/>
  <c r="E34" i="84" s="1"/>
  <c r="E33" i="81"/>
  <c r="E33" i="83"/>
  <c r="E30" i="83" s="1"/>
  <c r="E31" i="83" s="1"/>
  <c r="E34" i="83" s="1"/>
  <c r="E33" i="85"/>
  <c r="E30" i="85" s="1"/>
  <c r="E31" i="85" s="1"/>
  <c r="E34" i="85" s="1"/>
  <c r="I30" i="1"/>
  <c r="I28" i="1"/>
  <c r="H28" i="7"/>
  <c r="H17" i="80"/>
  <c r="E17" i="82"/>
  <c r="D16" i="86"/>
  <c r="D16" i="84"/>
  <c r="D16" i="81"/>
  <c r="D16" i="85"/>
  <c r="D16" i="83"/>
  <c r="G16" i="86"/>
  <c r="G16" i="84"/>
  <c r="G16" i="81"/>
  <c r="G16" i="85"/>
  <c r="G16" i="83"/>
  <c r="E16" i="86"/>
  <c r="E16" i="84"/>
  <c r="E16" i="81"/>
  <c r="E16" i="83"/>
  <c r="E16" i="85"/>
  <c r="H52" i="1"/>
  <c r="H55" i="1"/>
  <c r="E32" i="1"/>
  <c r="E30" i="1"/>
  <c r="E44" i="1"/>
  <c r="D17" i="80"/>
  <c r="K17" i="80"/>
  <c r="C17" i="82"/>
  <c r="E17" i="78"/>
  <c r="A24" i="5"/>
  <c r="A37" i="5" s="1"/>
  <c r="G10" i="34"/>
  <c r="I202" i="24"/>
  <c r="B100" i="13"/>
  <c r="D17" i="82"/>
  <c r="B10" i="86"/>
  <c r="B10" i="83"/>
  <c r="B10" i="84"/>
  <c r="B10" i="85"/>
  <c r="B10" i="81"/>
  <c r="B28" i="86"/>
  <c r="B28" i="84"/>
  <c r="B28" i="85"/>
  <c r="B28" i="81"/>
  <c r="B28" i="83"/>
  <c r="L17" i="82"/>
  <c r="K33" i="86"/>
  <c r="K30" i="86" s="1"/>
  <c r="K31" i="86" s="1"/>
  <c r="K34" i="86" s="1"/>
  <c r="K33" i="84"/>
  <c r="K30" i="84" s="1"/>
  <c r="K31" i="84" s="1"/>
  <c r="K34" i="84" s="1"/>
  <c r="K33" i="83"/>
  <c r="K30" i="83" s="1"/>
  <c r="K31" i="83" s="1"/>
  <c r="K34" i="83" s="1"/>
  <c r="K33" i="85"/>
  <c r="K30" i="85" s="1"/>
  <c r="K31" i="85" s="1"/>
  <c r="K34" i="85" s="1"/>
  <c r="K33" i="81"/>
  <c r="D33" i="86"/>
  <c r="D30" i="86" s="1"/>
  <c r="D31" i="86" s="1"/>
  <c r="D34" i="86" s="1"/>
  <c r="D33" i="84"/>
  <c r="D30" i="84" s="1"/>
  <c r="D31" i="84" s="1"/>
  <c r="D34" i="84" s="1"/>
  <c r="D33" i="81"/>
  <c r="D33" i="85"/>
  <c r="D30" i="85" s="1"/>
  <c r="D31" i="85" s="1"/>
  <c r="D34" i="85" s="1"/>
  <c r="D33" i="83"/>
  <c r="D30" i="83" s="1"/>
  <c r="D31" i="83" s="1"/>
  <c r="D34" i="83" s="1"/>
  <c r="I17" i="78"/>
  <c r="K16" i="86"/>
  <c r="K16" i="85"/>
  <c r="K16" i="83"/>
  <c r="K16" i="84"/>
  <c r="K16" i="81"/>
  <c r="I16" i="86"/>
  <c r="I16" i="84"/>
  <c r="I16" i="81"/>
  <c r="I16" i="85"/>
  <c r="I16" i="83"/>
  <c r="G89" i="1"/>
  <c r="G88" i="1"/>
  <c r="F17" i="80"/>
  <c r="J17" i="78"/>
  <c r="I52" i="1"/>
  <c r="H17" i="82"/>
  <c r="F47" i="87"/>
  <c r="L17" i="78"/>
  <c r="B8" i="39"/>
  <c r="L17" i="39"/>
  <c r="J17" i="39"/>
  <c r="N17" i="39"/>
  <c r="K17" i="39"/>
  <c r="M17" i="39"/>
  <c r="E17" i="79"/>
  <c r="B30" i="86"/>
  <c r="B30" i="83"/>
  <c r="B30" i="84"/>
  <c r="B30" i="85"/>
  <c r="B30" i="81"/>
  <c r="G17" i="80"/>
  <c r="B14" i="86"/>
  <c r="B14" i="84"/>
  <c r="B14" i="83"/>
  <c r="B14" i="85"/>
  <c r="B14" i="81"/>
  <c r="B19" i="86"/>
  <c r="B19" i="83"/>
  <c r="B19" i="81"/>
  <c r="B19" i="84"/>
  <c r="B19" i="85"/>
  <c r="B13" i="86"/>
  <c r="B13" i="85"/>
  <c r="B13" i="81"/>
  <c r="B13" i="84"/>
  <c r="B13" i="83"/>
  <c r="I17" i="80"/>
  <c r="L17" i="80"/>
  <c r="G39" i="87"/>
  <c r="B9" i="86"/>
  <c r="B9" i="81"/>
  <c r="B9" i="84"/>
  <c r="B9" i="83"/>
  <c r="B9" i="85"/>
  <c r="B24" i="86"/>
  <c r="B24" i="84"/>
  <c r="B24" i="81"/>
  <c r="B24" i="85"/>
  <c r="B24" i="83"/>
  <c r="L33" i="86"/>
  <c r="L30" i="86" s="1"/>
  <c r="L31" i="86" s="1"/>
  <c r="L34" i="86" s="1"/>
  <c r="L33" i="84"/>
  <c r="L30" i="84" s="1"/>
  <c r="L31" i="84" s="1"/>
  <c r="L34" i="84" s="1"/>
  <c r="L33" i="85"/>
  <c r="L30" i="85" s="1"/>
  <c r="L31" i="85" s="1"/>
  <c r="L34" i="85" s="1"/>
  <c r="L33" i="81"/>
  <c r="L33" i="83"/>
  <c r="L30" i="83" s="1"/>
  <c r="L31" i="83" s="1"/>
  <c r="L34" i="83" s="1"/>
  <c r="H33" i="86"/>
  <c r="H30" i="86" s="1"/>
  <c r="H31" i="86" s="1"/>
  <c r="H34" i="86" s="1"/>
  <c r="H33" i="84"/>
  <c r="H30" i="84" s="1"/>
  <c r="H31" i="84" s="1"/>
  <c r="H34" i="84" s="1"/>
  <c r="H33" i="83"/>
  <c r="H30" i="83" s="1"/>
  <c r="H31" i="83" s="1"/>
  <c r="H34" i="83" s="1"/>
  <c r="H33" i="81"/>
  <c r="H33" i="85"/>
  <c r="J33" i="86"/>
  <c r="J30" i="86" s="1"/>
  <c r="J31" i="86" s="1"/>
  <c r="J34" i="86" s="1"/>
  <c r="J33" i="84"/>
  <c r="J33" i="85"/>
  <c r="J30" i="85" s="1"/>
  <c r="J31" i="85" s="1"/>
  <c r="J34" i="85" s="1"/>
  <c r="J33" i="81"/>
  <c r="J30" i="81" s="1"/>
  <c r="J31" i="81" s="1"/>
  <c r="J33" i="83"/>
  <c r="J30" i="83" s="1"/>
  <c r="J31" i="83" s="1"/>
  <c r="J34" i="83" s="1"/>
  <c r="B27" i="86"/>
  <c r="B27" i="84"/>
  <c r="B27" i="83"/>
  <c r="B27" i="81"/>
  <c r="B27" i="85"/>
  <c r="C113" i="87"/>
  <c r="K17" i="82"/>
  <c r="G16" i="78"/>
  <c r="J16" i="86"/>
  <c r="J16" i="84"/>
  <c r="J16" i="85"/>
  <c r="J16" i="81"/>
  <c r="J16" i="83"/>
  <c r="H16" i="85"/>
  <c r="H16" i="84"/>
  <c r="H16" i="81"/>
  <c r="H16" i="83"/>
  <c r="C17" i="80"/>
  <c r="F96" i="1"/>
  <c r="F98" i="1" s="1"/>
  <c r="E56" i="6"/>
  <c r="F17" i="82"/>
  <c r="G56" i="6"/>
  <c r="H96" i="1"/>
  <c r="H98" i="1" s="1"/>
  <c r="D39" i="87"/>
  <c r="E51" i="1"/>
  <c r="E52" i="1"/>
  <c r="D35" i="7"/>
  <c r="E55" i="1"/>
  <c r="I41" i="13"/>
  <c r="F45" i="26"/>
  <c r="N27" i="34"/>
  <c r="O27" i="34" s="1"/>
  <c r="J6" i="33"/>
  <c r="E30" i="34"/>
  <c r="D5" i="34"/>
  <c r="D6" i="34" s="1"/>
  <c r="J5" i="34"/>
  <c r="E254" i="13"/>
  <c r="G254" i="13"/>
  <c r="L5" i="34"/>
  <c r="D42" i="88"/>
  <c r="K10" i="86"/>
  <c r="K13" i="86"/>
  <c r="E50" i="88"/>
  <c r="E42" i="88"/>
  <c r="J50" i="88"/>
  <c r="I42" i="88"/>
  <c r="K10" i="85"/>
  <c r="K13" i="85"/>
  <c r="K10" i="84"/>
  <c r="K13" i="84"/>
  <c r="G13" i="83"/>
  <c r="K10" i="83"/>
  <c r="K13" i="83"/>
  <c r="I10" i="83"/>
  <c r="I13" i="83"/>
  <c r="I31" i="83"/>
  <c r="I34" i="83" s="1"/>
  <c r="I10" i="81"/>
  <c r="I13" i="81"/>
  <c r="G10" i="81"/>
  <c r="K10" i="81"/>
  <c r="K13" i="81"/>
  <c r="G8" i="14"/>
  <c r="G8" i="15"/>
  <c r="G20" i="15" s="1"/>
  <c r="G8" i="70"/>
  <c r="G20" i="70" s="1"/>
  <c r="N6" i="3"/>
  <c r="N16" i="3" s="1"/>
  <c r="N7" i="3"/>
  <c r="C23" i="77"/>
  <c r="C24" i="77"/>
  <c r="C25" i="77"/>
  <c r="C26" i="77"/>
  <c r="C27" i="77"/>
  <c r="C28" i="77"/>
  <c r="C9" i="77"/>
  <c r="C10" i="77"/>
  <c r="C11" i="77"/>
  <c r="C12" i="77"/>
  <c r="C13" i="77"/>
  <c r="C14" i="77"/>
  <c r="C17" i="77"/>
  <c r="C18" i="77"/>
  <c r="C19" i="77"/>
  <c r="C20" i="77"/>
  <c r="C30" i="77"/>
  <c r="C31" i="77"/>
  <c r="C32" i="77"/>
  <c r="C33" i="77"/>
  <c r="C21" i="77"/>
  <c r="K21" i="21"/>
  <c r="K15" i="64"/>
  <c r="K16" i="64"/>
  <c r="K8" i="64"/>
  <c r="K10" i="64"/>
  <c r="K12" i="64"/>
  <c r="K21" i="64"/>
  <c r="K24" i="64"/>
  <c r="E23" i="77"/>
  <c r="E24" i="77"/>
  <c r="E25" i="77"/>
  <c r="E26" i="77"/>
  <c r="E27" i="77"/>
  <c r="E28" i="77"/>
  <c r="E9" i="77"/>
  <c r="E10" i="77"/>
  <c r="E11" i="77"/>
  <c r="E12" i="77"/>
  <c r="E13" i="77"/>
  <c r="E40" i="87" s="1"/>
  <c r="E14" i="77"/>
  <c r="E17" i="77"/>
  <c r="E18" i="77"/>
  <c r="E19" i="77"/>
  <c r="E20" i="77"/>
  <c r="E30" i="77"/>
  <c r="E31" i="77"/>
  <c r="E32" i="77"/>
  <c r="E33" i="77"/>
  <c r="E21" i="77"/>
  <c r="H23" i="77"/>
  <c r="H24" i="77"/>
  <c r="H25" i="77"/>
  <c r="H26" i="77"/>
  <c r="H27" i="77"/>
  <c r="H28" i="77"/>
  <c r="H9" i="77"/>
  <c r="H10" i="77"/>
  <c r="H11" i="77"/>
  <c r="H12" i="77"/>
  <c r="H13" i="77"/>
  <c r="H14" i="77"/>
  <c r="H17" i="77"/>
  <c r="H18" i="77"/>
  <c r="H19" i="77"/>
  <c r="H20" i="77"/>
  <c r="H30" i="77"/>
  <c r="H31" i="77"/>
  <c r="H32" i="77"/>
  <c r="D23" i="77"/>
  <c r="D24" i="77"/>
  <c r="D25" i="77"/>
  <c r="D26" i="77"/>
  <c r="D27" i="77"/>
  <c r="D28" i="77"/>
  <c r="D9" i="77"/>
  <c r="D10" i="77"/>
  <c r="D11" i="77"/>
  <c r="D12" i="77"/>
  <c r="D13" i="77"/>
  <c r="D14" i="77"/>
  <c r="D17" i="77"/>
  <c r="D18" i="77"/>
  <c r="D19" i="77"/>
  <c r="D20" i="77"/>
  <c r="D30" i="77"/>
  <c r="D31" i="77"/>
  <c r="D32" i="77"/>
  <c r="D33" i="77"/>
  <c r="D21" i="77"/>
  <c r="I30" i="58"/>
  <c r="I31" i="58"/>
  <c r="I32" i="58"/>
  <c r="I23" i="58"/>
  <c r="I24" i="58"/>
  <c r="I25" i="58"/>
  <c r="I26" i="58"/>
  <c r="I27" i="58"/>
  <c r="I28" i="58"/>
  <c r="I9" i="58"/>
  <c r="I10" i="58"/>
  <c r="I11" i="58"/>
  <c r="I12" i="58"/>
  <c r="I13" i="58"/>
  <c r="I14" i="58"/>
  <c r="I17" i="58"/>
  <c r="I18" i="58"/>
  <c r="I19" i="58"/>
  <c r="I20" i="58"/>
  <c r="I33" i="58"/>
  <c r="I21" i="58"/>
  <c r="G10" i="58"/>
  <c r="G12" i="58"/>
  <c r="G13" i="58"/>
  <c r="G21" i="58"/>
  <c r="J23" i="77"/>
  <c r="J24" i="77"/>
  <c r="J25" i="77"/>
  <c r="J26" i="77"/>
  <c r="J27" i="77"/>
  <c r="J28" i="77"/>
  <c r="J9" i="77"/>
  <c r="J10" i="77"/>
  <c r="J11" i="77"/>
  <c r="J12" i="77"/>
  <c r="J13" i="77"/>
  <c r="J14" i="77"/>
  <c r="J17" i="77"/>
  <c r="J18" i="77"/>
  <c r="J19" i="77"/>
  <c r="J20" i="77"/>
  <c r="J30" i="77"/>
  <c r="J31" i="77"/>
  <c r="J32" i="77"/>
  <c r="J33" i="77"/>
  <c r="J21" i="77"/>
  <c r="K30" i="58"/>
  <c r="K31" i="58"/>
  <c r="K32" i="58"/>
  <c r="K23" i="58"/>
  <c r="K24" i="58"/>
  <c r="K25" i="58"/>
  <c r="K26" i="58"/>
  <c r="K27" i="58"/>
  <c r="K28" i="58"/>
  <c r="K9" i="58"/>
  <c r="K10" i="58"/>
  <c r="K11" i="58"/>
  <c r="K12" i="58"/>
  <c r="K13" i="58"/>
  <c r="K14" i="58"/>
  <c r="K17" i="58"/>
  <c r="K18" i="58"/>
  <c r="K19" i="58"/>
  <c r="K20" i="58"/>
  <c r="K33" i="58"/>
  <c r="K21" i="58"/>
  <c r="I23" i="77"/>
  <c r="I24" i="77"/>
  <c r="I25" i="77"/>
  <c r="I26" i="77"/>
  <c r="I27" i="77"/>
  <c r="I28" i="77"/>
  <c r="I9" i="77"/>
  <c r="I10" i="77"/>
  <c r="I11" i="77"/>
  <c r="I12" i="77"/>
  <c r="I13" i="77"/>
  <c r="I14" i="77"/>
  <c r="I17" i="77"/>
  <c r="I18" i="77"/>
  <c r="I19" i="77"/>
  <c r="I20" i="77"/>
  <c r="I30" i="77"/>
  <c r="I31" i="77"/>
  <c r="I32" i="77"/>
  <c r="I33" i="77"/>
  <c r="I21" i="77"/>
  <c r="L23" i="77"/>
  <c r="L24" i="77"/>
  <c r="L25" i="77"/>
  <c r="L26" i="77"/>
  <c r="L27" i="77"/>
  <c r="L28" i="77"/>
  <c r="L9" i="77"/>
  <c r="L10" i="77"/>
  <c r="L11" i="77"/>
  <c r="L12" i="77"/>
  <c r="L13" i="77"/>
  <c r="L14" i="77"/>
  <c r="L17" i="77"/>
  <c r="L18" i="77"/>
  <c r="L19" i="77"/>
  <c r="L20" i="77"/>
  <c r="L30" i="77"/>
  <c r="L31" i="77"/>
  <c r="L32" i="77"/>
  <c r="L33" i="77"/>
  <c r="L21" i="77"/>
  <c r="K23" i="77"/>
  <c r="K24" i="77"/>
  <c r="K25" i="77"/>
  <c r="K26" i="77"/>
  <c r="K27" i="77"/>
  <c r="K28" i="77"/>
  <c r="K9" i="77"/>
  <c r="K10" i="77"/>
  <c r="K11" i="77"/>
  <c r="K12" i="77"/>
  <c r="K13" i="77"/>
  <c r="K14" i="77"/>
  <c r="K17" i="77"/>
  <c r="K18" i="77"/>
  <c r="K19" i="77"/>
  <c r="K20" i="77"/>
  <c r="K30" i="77"/>
  <c r="K31" i="77"/>
  <c r="K32" i="77"/>
  <c r="K33" i="77"/>
  <c r="K21" i="77"/>
  <c r="G15" i="64"/>
  <c r="G16" i="64"/>
  <c r="G10" i="64"/>
  <c r="F23" i="77"/>
  <c r="F24" i="77"/>
  <c r="F25" i="77"/>
  <c r="F26" i="77"/>
  <c r="F27" i="77"/>
  <c r="F28" i="77"/>
  <c r="F9" i="77"/>
  <c r="F10" i="77"/>
  <c r="F11" i="77"/>
  <c r="F12" i="77"/>
  <c r="F13" i="77"/>
  <c r="F14" i="77"/>
  <c r="F17" i="77"/>
  <c r="F18" i="77"/>
  <c r="F19" i="77"/>
  <c r="F20" i="77"/>
  <c r="F30" i="77"/>
  <c r="F31" i="77"/>
  <c r="F32" i="77"/>
  <c r="J6" i="3"/>
  <c r="J16" i="3" s="1"/>
  <c r="J7" i="3"/>
  <c r="J17" i="3" s="1"/>
  <c r="H29" i="34"/>
  <c r="D30" i="34"/>
  <c r="F87" i="13"/>
  <c r="E87" i="13"/>
  <c r="J114" i="12"/>
  <c r="H114" i="12"/>
  <c r="E114" i="12"/>
  <c r="G114" i="12"/>
  <c r="I114" i="12"/>
  <c r="F114" i="12"/>
  <c r="E102" i="12"/>
  <c r="C42" i="13"/>
  <c r="R4" i="26"/>
  <c r="AD4" i="26" s="1"/>
  <c r="F22" i="26"/>
  <c r="F21" i="26"/>
  <c r="F35" i="26" s="1"/>
  <c r="F4" i="27"/>
  <c r="I92" i="13"/>
  <c r="F118" i="13"/>
  <c r="E62" i="7"/>
  <c r="E70" i="7" s="1"/>
  <c r="I234" i="13"/>
  <c r="G87" i="13"/>
  <c r="E90" i="13"/>
  <c r="J37" i="77"/>
  <c r="I382" i="24"/>
  <c r="I592" i="24"/>
  <c r="I758" i="24"/>
  <c r="I69" i="24"/>
  <c r="G5" i="76"/>
  <c r="G5" i="77"/>
  <c r="M26" i="24"/>
  <c r="E63" i="24"/>
  <c r="I37" i="77"/>
  <c r="E219" i="24"/>
  <c r="E1653" i="24"/>
  <c r="L37" i="77"/>
  <c r="K37" i="77"/>
  <c r="F37" i="77"/>
  <c r="M531" i="24"/>
  <c r="M89" i="24"/>
  <c r="M67" i="24"/>
  <c r="I380" i="24"/>
  <c r="E1401" i="24"/>
  <c r="M166" i="24"/>
  <c r="M155" i="24"/>
  <c r="M635" i="24"/>
  <c r="M556" i="24"/>
  <c r="M512" i="24"/>
  <c r="M524" i="24"/>
  <c r="M713" i="24"/>
  <c r="M18" i="24"/>
  <c r="I311" i="24"/>
  <c r="I219" i="24"/>
  <c r="I230" i="24"/>
  <c r="I910" i="24"/>
  <c r="I316" i="24"/>
  <c r="I1233" i="24"/>
  <c r="I634" i="24"/>
  <c r="I889" i="24"/>
  <c r="I836" i="24"/>
  <c r="I729" i="24"/>
  <c r="I936" i="24"/>
  <c r="I518" i="24"/>
  <c r="I1210" i="24"/>
  <c r="I973" i="24"/>
  <c r="I409" i="24"/>
  <c r="I919" i="24"/>
  <c r="I561" i="24"/>
  <c r="I443" i="24"/>
  <c r="I372" i="24"/>
  <c r="I88" i="24"/>
  <c r="I332" i="24"/>
  <c r="E1072" i="24"/>
  <c r="C37" i="77"/>
  <c r="E975" i="24"/>
  <c r="E1962" i="24"/>
  <c r="E2386" i="24"/>
  <c r="E979" i="24"/>
  <c r="E37" i="77"/>
  <c r="M362" i="24"/>
  <c r="M438" i="24"/>
  <c r="H37" i="77"/>
  <c r="D37" i="77"/>
  <c r="I535" i="24"/>
  <c r="I688" i="24"/>
  <c r="I1256" i="24"/>
  <c r="J5" i="75"/>
  <c r="J5" i="76"/>
  <c r="I994" i="24"/>
  <c r="F6" i="75"/>
  <c r="F6" i="76"/>
  <c r="I5" i="75"/>
  <c r="I5" i="76"/>
  <c r="I618" i="24"/>
  <c r="I349" i="24"/>
  <c r="K6" i="75"/>
  <c r="K6" i="76"/>
  <c r="L5" i="75"/>
  <c r="L5" i="76"/>
  <c r="E6" i="75"/>
  <c r="E6" i="76"/>
  <c r="K5" i="75"/>
  <c r="K5" i="76"/>
  <c r="E166" i="24"/>
  <c r="C6" i="75"/>
  <c r="C6" i="76"/>
  <c r="F5" i="75"/>
  <c r="F5" i="76"/>
  <c r="I6" i="75"/>
  <c r="I6" i="76"/>
  <c r="I739" i="24"/>
  <c r="I657" i="24"/>
  <c r="I735" i="24"/>
  <c r="I161" i="24"/>
  <c r="G6" i="75"/>
  <c r="G6" i="76"/>
  <c r="I388" i="24"/>
  <c r="D6" i="75"/>
  <c r="D6" i="76"/>
  <c r="C5" i="75"/>
  <c r="C5" i="76"/>
  <c r="I799" i="24"/>
  <c r="H6" i="75"/>
  <c r="H6" i="76"/>
  <c r="E5" i="75"/>
  <c r="E37" i="75" s="1"/>
  <c r="E5" i="76"/>
  <c r="I362" i="24"/>
  <c r="I285" i="24"/>
  <c r="L6" i="75"/>
  <c r="L6" i="76"/>
  <c r="H5" i="75"/>
  <c r="H5" i="76"/>
  <c r="J6" i="75"/>
  <c r="J6" i="76"/>
  <c r="D5" i="75"/>
  <c r="D5" i="76"/>
  <c r="E1811" i="24"/>
  <c r="I869" i="24"/>
  <c r="G8" i="68"/>
  <c r="G5" i="75"/>
  <c r="I156" i="24"/>
  <c r="I1013" i="24"/>
  <c r="I466" i="24"/>
  <c r="I805" i="24"/>
  <c r="I823" i="24"/>
  <c r="I1152" i="24"/>
  <c r="E2228" i="24"/>
  <c r="E1559" i="24"/>
  <c r="E1711" i="24"/>
  <c r="E1075" i="24"/>
  <c r="E2283" i="24"/>
  <c r="E2101" i="24"/>
  <c r="E1958" i="24"/>
  <c r="E2322" i="24"/>
  <c r="Q137" i="24"/>
  <c r="M134" i="23" s="1"/>
  <c r="I37" i="58"/>
  <c r="K37" i="58"/>
  <c r="E1247" i="24"/>
  <c r="E1043" i="24"/>
  <c r="B249" i="13"/>
  <c r="E310" i="24"/>
  <c r="I1011" i="24"/>
  <c r="I34" i="34"/>
  <c r="E2045" i="24"/>
  <c r="E1539" i="24"/>
  <c r="E2403" i="24"/>
  <c r="E958" i="24"/>
  <c r="E1158" i="24"/>
  <c r="E545" i="24"/>
  <c r="Q115" i="24"/>
  <c r="M112" i="23" s="1"/>
  <c r="M341" i="24"/>
  <c r="M10" i="24"/>
  <c r="M239" i="24"/>
  <c r="M681" i="24"/>
  <c r="M124" i="24"/>
  <c r="M147" i="24"/>
  <c r="M21" i="24"/>
  <c r="M275" i="24"/>
  <c r="M652" i="24"/>
  <c r="M389" i="24"/>
  <c r="M572" i="24"/>
  <c r="I23" i="13"/>
  <c r="I902" i="24"/>
  <c r="I213" i="24"/>
  <c r="I822" i="24"/>
  <c r="I814" i="24"/>
  <c r="I290" i="24"/>
  <c r="I498" i="24"/>
  <c r="I502" i="24"/>
  <c r="I326" i="24"/>
  <c r="I1143" i="24"/>
  <c r="I741" i="24"/>
  <c r="I176" i="24"/>
  <c r="I995" i="24"/>
  <c r="E1597" i="24"/>
  <c r="E1805" i="24"/>
  <c r="E1775" i="24"/>
  <c r="M224" i="24"/>
  <c r="M163" i="24"/>
  <c r="E2085" i="24"/>
  <c r="E2357" i="24"/>
  <c r="E1002" i="24"/>
  <c r="E2287" i="24"/>
  <c r="E2278" i="24"/>
  <c r="E2509" i="24"/>
  <c r="E164" i="24"/>
  <c r="E1560" i="24"/>
  <c r="E252" i="24"/>
  <c r="E670" i="24"/>
  <c r="E121" i="24"/>
  <c r="M667" i="24"/>
  <c r="M409" i="24"/>
  <c r="M245" i="24"/>
  <c r="E1881" i="24"/>
  <c r="E1673" i="24"/>
  <c r="E2019" i="24"/>
  <c r="E1767" i="24"/>
  <c r="E208" i="24"/>
  <c r="E134" i="24"/>
  <c r="E113" i="24"/>
  <c r="Q196" i="24"/>
  <c r="M193" i="23" s="1"/>
  <c r="Q86" i="24"/>
  <c r="M83" i="23" s="1"/>
  <c r="Q104" i="24"/>
  <c r="M101" i="23" s="1"/>
  <c r="M303" i="24"/>
  <c r="M105" i="24"/>
  <c r="M376" i="24"/>
  <c r="I356" i="24"/>
  <c r="I146" i="24"/>
  <c r="I879" i="24"/>
  <c r="E1524" i="24"/>
  <c r="E1233" i="24"/>
  <c r="E1121" i="24"/>
  <c r="E992" i="24"/>
  <c r="E1384" i="24"/>
  <c r="E2423" i="24"/>
  <c r="E43" i="24"/>
  <c r="E192" i="24"/>
  <c r="E1522" i="24"/>
  <c r="E2429" i="24"/>
  <c r="E452" i="24"/>
  <c r="E1150" i="24"/>
  <c r="E851" i="24"/>
  <c r="E245" i="24"/>
  <c r="E515" i="24"/>
  <c r="E1786" i="24"/>
  <c r="E2064" i="24"/>
  <c r="E1899" i="24"/>
  <c r="E672" i="24"/>
  <c r="E1934" i="24"/>
  <c r="E559" i="24"/>
  <c r="G67" i="26"/>
  <c r="Q185" i="24"/>
  <c r="M182" i="23" s="1"/>
  <c r="Q183" i="24"/>
  <c r="M180" i="23" s="1"/>
  <c r="Q56" i="24"/>
  <c r="M53" i="23" s="1"/>
  <c r="Q28" i="24"/>
  <c r="M25" i="23" s="1"/>
  <c r="Q97" i="24"/>
  <c r="M94" i="23" s="1"/>
  <c r="D33" i="18"/>
  <c r="M323" i="24"/>
  <c r="M582" i="24"/>
  <c r="M434" i="24"/>
  <c r="I453" i="24"/>
  <c r="I639" i="24"/>
  <c r="E1143" i="24"/>
  <c r="E1547" i="24"/>
  <c r="E2139" i="24"/>
  <c r="E2381" i="24"/>
  <c r="E1963" i="24"/>
  <c r="E55" i="24"/>
  <c r="E1611" i="24"/>
  <c r="E473" i="24"/>
  <c r="E1011" i="24"/>
  <c r="E1315" i="24"/>
  <c r="Q58" i="24"/>
  <c r="M55" i="23" s="1"/>
  <c r="M84" i="24"/>
  <c r="M705" i="24"/>
  <c r="E1669" i="24"/>
  <c r="E1237" i="24"/>
  <c r="E1243" i="24"/>
  <c r="E1203" i="24"/>
  <c r="E1117" i="24"/>
  <c r="E584" i="24"/>
  <c r="M113" i="24"/>
  <c r="E2376" i="24"/>
  <c r="E2237" i="24"/>
  <c r="E1503" i="24"/>
  <c r="E97" i="24"/>
  <c r="M51" i="24"/>
  <c r="E2304" i="24"/>
  <c r="E877" i="24"/>
  <c r="Q229" i="24"/>
  <c r="M226" i="23" s="1"/>
  <c r="M405" i="24"/>
  <c r="E1953" i="24"/>
  <c r="E264" i="24"/>
  <c r="E34" i="24"/>
  <c r="E295" i="24"/>
  <c r="E1251" i="24"/>
  <c r="E734" i="24"/>
  <c r="Q60" i="24"/>
  <c r="M57" i="23" s="1"/>
  <c r="M281" i="24"/>
  <c r="E2295" i="24"/>
  <c r="E2417" i="24"/>
  <c r="E1784" i="24"/>
  <c r="E1273" i="24"/>
  <c r="E865" i="24"/>
  <c r="E808" i="24"/>
  <c r="E2328" i="24"/>
  <c r="E1128" i="24"/>
  <c r="E263" i="24"/>
  <c r="E898" i="24"/>
  <c r="E1475" i="24"/>
  <c r="E2252" i="24"/>
  <c r="E989" i="24"/>
  <c r="E1414" i="24"/>
  <c r="E394" i="24"/>
  <c r="E2446" i="24"/>
  <c r="E639" i="24"/>
  <c r="E12" i="24"/>
  <c r="E1438" i="24"/>
  <c r="E223" i="24"/>
  <c r="E1309" i="24"/>
  <c r="E1955" i="24"/>
  <c r="E1455" i="24"/>
  <c r="E476" i="24"/>
  <c r="E1558" i="24"/>
  <c r="E787" i="24"/>
  <c r="E1469" i="24"/>
  <c r="E1132" i="24"/>
  <c r="E2406" i="24"/>
  <c r="E1334" i="24"/>
  <c r="E1743" i="24"/>
  <c r="E527" i="24"/>
  <c r="E172" i="24"/>
  <c r="E1946" i="24"/>
  <c r="E1362" i="24"/>
  <c r="E217" i="24"/>
  <c r="E39" i="24"/>
  <c r="E1796" i="24"/>
  <c r="E119" i="24"/>
  <c r="E144" i="24"/>
  <c r="E846" i="24"/>
  <c r="E1110" i="24"/>
  <c r="E1842" i="24"/>
  <c r="E1063" i="24"/>
  <c r="E18" i="24"/>
  <c r="Q7" i="24"/>
  <c r="M4" i="23" s="1"/>
  <c r="Q34" i="24"/>
  <c r="M31" i="23" s="1"/>
  <c r="Q251" i="24"/>
  <c r="M248" i="23" s="1"/>
  <c r="Q101" i="24"/>
  <c r="M98" i="23" s="1"/>
  <c r="Q240" i="24"/>
  <c r="M237" i="23" s="1"/>
  <c r="Q78" i="24"/>
  <c r="M75" i="23" s="1"/>
  <c r="Q143" i="24"/>
  <c r="M140" i="23" s="1"/>
  <c r="Q111" i="24"/>
  <c r="M108" i="23" s="1"/>
  <c r="I162" i="12"/>
  <c r="I75" i="12" s="1"/>
  <c r="L33" i="18"/>
  <c r="F9" i="73"/>
  <c r="F9" i="74"/>
  <c r="M380" i="24"/>
  <c r="M684" i="24"/>
  <c r="M107" i="24"/>
  <c r="M591" i="24"/>
  <c r="M317" i="24"/>
  <c r="M140" i="24"/>
  <c r="M580" i="24"/>
  <c r="M20" i="24"/>
  <c r="M612" i="24"/>
  <c r="M750" i="24"/>
  <c r="M319" i="24"/>
  <c r="M196" i="24"/>
  <c r="M477" i="24"/>
  <c r="M73" i="24"/>
  <c r="M669" i="24"/>
  <c r="M559" i="24"/>
  <c r="M328" i="24"/>
  <c r="M498" i="24"/>
  <c r="M29" i="24"/>
  <c r="I930" i="24"/>
  <c r="I1244" i="24"/>
  <c r="I447" i="24"/>
  <c r="I1038" i="24"/>
  <c r="I1021" i="24"/>
  <c r="I1045" i="24"/>
  <c r="I691" i="24"/>
  <c r="I827" i="24"/>
  <c r="I29" i="24"/>
  <c r="I933" i="24"/>
  <c r="I207" i="24"/>
  <c r="I672" i="24"/>
  <c r="I708" i="24"/>
  <c r="I781" i="24"/>
  <c r="I63" i="24"/>
  <c r="G8" i="73"/>
  <c r="G20" i="73" s="1"/>
  <c r="G8" i="74"/>
  <c r="G20" i="74" s="1"/>
  <c r="E1487" i="24"/>
  <c r="E448" i="24"/>
  <c r="E1254" i="24"/>
  <c r="M687" i="24"/>
  <c r="M158" i="24"/>
  <c r="M31" i="24"/>
  <c r="M172" i="24"/>
  <c r="E387" i="24"/>
  <c r="E2086" i="24"/>
  <c r="E1239" i="24"/>
  <c r="E2430" i="24"/>
  <c r="D8" i="73"/>
  <c r="D20" i="73" s="1"/>
  <c r="D8" i="74"/>
  <c r="D20" i="74" s="1"/>
  <c r="E45" i="24"/>
  <c r="M465" i="24"/>
  <c r="M229" i="24"/>
  <c r="M587" i="24"/>
  <c r="M395" i="24"/>
  <c r="M240" i="24"/>
  <c r="E2119" i="24"/>
  <c r="E89" i="24"/>
  <c r="M408" i="24"/>
  <c r="M252" i="24"/>
  <c r="M202" i="24"/>
  <c r="M156" i="24"/>
  <c r="M277" i="24"/>
  <c r="M61" i="24"/>
  <c r="M242" i="24"/>
  <c r="M462" i="24"/>
  <c r="M115" i="24"/>
  <c r="M183" i="24"/>
  <c r="M501" i="24"/>
  <c r="M679" i="24"/>
  <c r="I110" i="24"/>
  <c r="I1226" i="24"/>
  <c r="I210" i="24"/>
  <c r="I432" i="24"/>
  <c r="I1197" i="24"/>
  <c r="I126" i="24"/>
  <c r="H8" i="73"/>
  <c r="H20" i="73" s="1"/>
  <c r="H8" i="74"/>
  <c r="H20" i="74" s="1"/>
  <c r="M736" i="24"/>
  <c r="M135" i="24"/>
  <c r="M657" i="24"/>
  <c r="M425" i="24"/>
  <c r="M542" i="24"/>
  <c r="M190" i="24"/>
  <c r="M254" i="24"/>
  <c r="M761" i="24"/>
  <c r="M452" i="24"/>
  <c r="I551" i="24"/>
  <c r="I393" i="24"/>
  <c r="I442" i="24"/>
  <c r="I1131" i="24"/>
  <c r="I967" i="24"/>
  <c r="I724" i="24"/>
  <c r="I1163" i="24"/>
  <c r="I1230" i="24"/>
  <c r="E1077" i="24"/>
  <c r="E2048" i="24"/>
  <c r="M712" i="24"/>
  <c r="M660" i="24"/>
  <c r="E2303" i="24"/>
  <c r="E1513" i="24"/>
  <c r="E1815" i="24"/>
  <c r="E472" i="24"/>
  <c r="E293" i="24"/>
  <c r="M312" i="24"/>
  <c r="M492" i="24"/>
  <c r="M725" i="24"/>
  <c r="M348" i="24"/>
  <c r="M526" i="24"/>
  <c r="M654" i="24"/>
  <c r="M613" i="24"/>
  <c r="M489" i="24"/>
  <c r="M324" i="24"/>
  <c r="M216" i="24"/>
  <c r="M435" i="24"/>
  <c r="M17" i="24"/>
  <c r="M76" i="24"/>
  <c r="M128" i="24"/>
  <c r="M651" i="24"/>
  <c r="I87" i="24"/>
  <c r="I296" i="24"/>
  <c r="I346" i="24"/>
  <c r="I22" i="24"/>
  <c r="I578" i="24"/>
  <c r="I762" i="24"/>
  <c r="I883" i="24"/>
  <c r="I168" i="24"/>
  <c r="I768" i="24"/>
  <c r="E1908" i="24"/>
  <c r="M80" i="24"/>
  <c r="M696" i="24"/>
  <c r="M431" i="24"/>
  <c r="I1024" i="24"/>
  <c r="I281" i="24"/>
  <c r="I424" i="24"/>
  <c r="I1238" i="24"/>
  <c r="E2368" i="24"/>
  <c r="E1232" i="24"/>
  <c r="E1066" i="24"/>
  <c r="E913" i="24"/>
  <c r="E2249" i="24"/>
  <c r="E1569" i="24"/>
  <c r="E2428" i="24"/>
  <c r="E1968" i="24"/>
  <c r="E1980" i="24"/>
  <c r="E1321" i="24"/>
  <c r="E1257" i="24"/>
  <c r="E478" i="24"/>
  <c r="E1661" i="24"/>
  <c r="E635" i="24"/>
  <c r="E1302" i="24"/>
  <c r="E2070" i="24"/>
  <c r="Q253" i="24"/>
  <c r="M250" i="23" s="1"/>
  <c r="Q207" i="24"/>
  <c r="M204" i="23" s="1"/>
  <c r="Q202" i="24"/>
  <c r="M199" i="23" s="1"/>
  <c r="M445" i="24"/>
  <c r="F9" i="66"/>
  <c r="E1554" i="24"/>
  <c r="I438" i="24"/>
  <c r="I93" i="24"/>
  <c r="I705" i="24"/>
  <c r="E465" i="24"/>
  <c r="G14" i="20"/>
  <c r="I8" i="72"/>
  <c r="I20" i="72" s="1"/>
  <c r="I8" i="73"/>
  <c r="I20" i="73" s="1"/>
  <c r="E428" i="24"/>
  <c r="E1800" i="24"/>
  <c r="E142" i="24"/>
  <c r="F67" i="26"/>
  <c r="Q224" i="24"/>
  <c r="M221" i="23" s="1"/>
  <c r="M747" i="24"/>
  <c r="E969" i="24"/>
  <c r="E406" i="24"/>
  <c r="E754" i="24"/>
  <c r="F9" i="71"/>
  <c r="F9" i="72"/>
  <c r="E2324" i="24"/>
  <c r="E2010" i="24"/>
  <c r="E2335" i="24"/>
  <c r="E421" i="24"/>
  <c r="E874" i="24"/>
  <c r="E2055" i="24"/>
  <c r="E2474" i="24"/>
  <c r="E1167" i="24"/>
  <c r="E1991" i="24"/>
  <c r="E2061" i="24"/>
  <c r="E924" i="24"/>
  <c r="E855" i="24"/>
  <c r="E195" i="24"/>
  <c r="E1791" i="24"/>
  <c r="E2204" i="24"/>
  <c r="E1588" i="24"/>
  <c r="E1284" i="24"/>
  <c r="E2308" i="24"/>
  <c r="E2244" i="24"/>
  <c r="E2271" i="24"/>
  <c r="E240" i="24"/>
  <c r="E377" i="24"/>
  <c r="E2503" i="24"/>
  <c r="H8" i="71"/>
  <c r="H20" i="71" s="1"/>
  <c r="H8" i="72"/>
  <c r="H20" i="72" s="1"/>
  <c r="F9" i="65"/>
  <c r="G8" i="71"/>
  <c r="G20" i="71" s="1"/>
  <c r="G8" i="72"/>
  <c r="G20" i="72" s="1"/>
  <c r="E1715" i="24"/>
  <c r="E1909" i="24"/>
  <c r="E1691" i="24"/>
  <c r="E1120" i="24"/>
  <c r="E1428" i="24"/>
  <c r="E2072" i="24"/>
  <c r="E463" i="24"/>
  <c r="E1089" i="24"/>
  <c r="E1615" i="24"/>
  <c r="E2309" i="24"/>
  <c r="E1139" i="24"/>
  <c r="E936" i="24"/>
  <c r="F9" i="68"/>
  <c r="F9" i="67"/>
  <c r="E1599" i="24"/>
  <c r="E363" i="24"/>
  <c r="F9" i="70"/>
  <c r="E1609" i="24"/>
  <c r="E1033" i="24"/>
  <c r="E1376" i="24"/>
  <c r="E1383" i="24"/>
  <c r="D8" i="71"/>
  <c r="D20" i="71" s="1"/>
  <c r="D8" i="72"/>
  <c r="D20" i="72" s="1"/>
  <c r="E50" i="24"/>
  <c r="E1868" i="24"/>
  <c r="E177" i="24"/>
  <c r="E2068" i="24"/>
  <c r="E850" i="24"/>
  <c r="Q68" i="24"/>
  <c r="M65" i="23" s="1"/>
  <c r="Q223" i="24"/>
  <c r="M220" i="23" s="1"/>
  <c r="Q25" i="24"/>
  <c r="M22" i="23" s="1"/>
  <c r="Q130" i="24"/>
  <c r="M127" i="23" s="1"/>
  <c r="Q147" i="24"/>
  <c r="M144" i="23" s="1"/>
  <c r="Q246" i="24"/>
  <c r="M243" i="23" s="1"/>
  <c r="D49" i="26"/>
  <c r="D50" i="26" s="1"/>
  <c r="M749" i="24"/>
  <c r="M65" i="24"/>
  <c r="M25" i="24"/>
  <c r="M7" i="24"/>
  <c r="M656" i="24"/>
  <c r="M440" i="24"/>
  <c r="M215" i="24"/>
  <c r="M387" i="24"/>
  <c r="M297" i="24"/>
  <c r="M219" i="24"/>
  <c r="M547" i="24"/>
  <c r="M101" i="24"/>
  <c r="M483" i="24"/>
  <c r="M315" i="24"/>
  <c r="M285" i="24"/>
  <c r="M690" i="24"/>
  <c r="M228" i="24"/>
  <c r="M503" i="24"/>
  <c r="M420" i="24"/>
  <c r="M467" i="24"/>
  <c r="I633" i="24"/>
  <c r="I27" i="24"/>
  <c r="I482" i="24"/>
  <c r="I475" i="24"/>
  <c r="I212" i="24"/>
  <c r="I575" i="24"/>
  <c r="I358" i="24"/>
  <c r="I935" i="24"/>
  <c r="I976" i="24"/>
  <c r="I1246" i="24"/>
  <c r="I623" i="24"/>
  <c r="I218" i="24"/>
  <c r="I85" i="24"/>
  <c r="I588" i="24"/>
  <c r="I119" i="24"/>
  <c r="I166" i="24"/>
  <c r="I966" i="24"/>
  <c r="I716" i="24"/>
  <c r="I58" i="24"/>
  <c r="I817" i="24"/>
  <c r="I1241" i="24"/>
  <c r="I809" i="24"/>
  <c r="I681" i="24"/>
  <c r="I853" i="24"/>
  <c r="I66" i="24"/>
  <c r="I397" i="24"/>
  <c r="I74" i="24"/>
  <c r="I621" i="24"/>
  <c r="I96" i="24"/>
  <c r="I215" i="24"/>
  <c r="I821" i="24"/>
  <c r="I785" i="24"/>
  <c r="I56" i="24"/>
  <c r="I1250" i="24"/>
  <c r="I48" i="24"/>
  <c r="I1002" i="24"/>
  <c r="I979" i="24"/>
  <c r="I825" i="24"/>
  <c r="I727" i="24"/>
  <c r="E2178" i="24"/>
  <c r="M577" i="24"/>
  <c r="M496" i="24"/>
  <c r="E1445" i="24"/>
  <c r="E1162" i="24"/>
  <c r="E2074" i="24"/>
  <c r="E1728" i="24"/>
  <c r="E1477" i="24"/>
  <c r="E1620" i="24"/>
  <c r="E1772" i="24"/>
  <c r="E336" i="24"/>
  <c r="E1149" i="24"/>
  <c r="E1911" i="24"/>
  <c r="E1430" i="24"/>
  <c r="E458" i="24"/>
  <c r="E766" i="24"/>
  <c r="E1227" i="24"/>
  <c r="E1575" i="24"/>
  <c r="E2030" i="24"/>
  <c r="E175" i="24"/>
  <c r="E235" i="24"/>
  <c r="E1026" i="24"/>
  <c r="E366" i="24"/>
  <c r="E2044" i="24"/>
  <c r="E626" i="24"/>
  <c r="E612" i="24"/>
  <c r="E205" i="24"/>
  <c r="E1111" i="24"/>
  <c r="E322" i="24"/>
  <c r="E683" i="24"/>
  <c r="E110" i="24"/>
  <c r="E218" i="24"/>
  <c r="E405" i="24"/>
  <c r="E77" i="24"/>
  <c r="E978" i="24"/>
  <c r="E1651" i="24"/>
  <c r="E1837" i="24"/>
  <c r="E290" i="24"/>
  <c r="E501" i="24"/>
  <c r="E2014" i="24"/>
  <c r="Q228" i="24"/>
  <c r="M225" i="23" s="1"/>
  <c r="Q22" i="24"/>
  <c r="M19" i="23" s="1"/>
  <c r="M336" i="24"/>
  <c r="M719" i="24"/>
  <c r="M142" i="24"/>
  <c r="M428" i="24"/>
  <c r="M268" i="24"/>
  <c r="M374" i="24"/>
  <c r="M621" i="24"/>
  <c r="M133" i="24"/>
  <c r="M98" i="24"/>
  <c r="M355" i="24"/>
  <c r="M238" i="24"/>
  <c r="M117" i="24"/>
  <c r="M535" i="24"/>
  <c r="M300" i="24"/>
  <c r="M305" i="24"/>
  <c r="M647" i="24"/>
  <c r="M394" i="24"/>
  <c r="M371" i="24"/>
  <c r="M549" i="24"/>
  <c r="I460" i="24"/>
  <c r="I137" i="24"/>
  <c r="I13" i="24"/>
  <c r="I301" i="24"/>
  <c r="I23" i="24"/>
  <c r="I216" i="24"/>
  <c r="I591" i="24"/>
  <c r="I490" i="24"/>
  <c r="E2333" i="24"/>
  <c r="E1187" i="24"/>
  <c r="E772" i="24"/>
  <c r="M23" i="24"/>
  <c r="M94" i="24"/>
  <c r="I964" i="24"/>
  <c r="I875" i="24"/>
  <c r="I855" i="24"/>
  <c r="I529" i="24"/>
  <c r="I519" i="24"/>
  <c r="I479" i="24"/>
  <c r="I923" i="24"/>
  <c r="I422" i="24"/>
  <c r="I813" i="24"/>
  <c r="I651" i="24"/>
  <c r="I717" i="24"/>
  <c r="I425" i="24"/>
  <c r="I608" i="24"/>
  <c r="I1175" i="24"/>
  <c r="I547" i="24"/>
  <c r="E1686" i="24"/>
  <c r="M398" i="24"/>
  <c r="M278" i="24"/>
  <c r="I1132" i="24"/>
  <c r="I815" i="24"/>
  <c r="I463" i="24"/>
  <c r="I250" i="24"/>
  <c r="E1241" i="24"/>
  <c r="E1730" i="24"/>
  <c r="E1537" i="24"/>
  <c r="E412" i="24"/>
  <c r="E2065" i="24"/>
  <c r="E957" i="24"/>
  <c r="I1208" i="24"/>
  <c r="E165" i="24"/>
  <c r="E2083" i="24"/>
  <c r="Q198" i="24"/>
  <c r="M195" i="23" s="1"/>
  <c r="Q59" i="24"/>
  <c r="M56" i="23" s="1"/>
  <c r="I40" i="24"/>
  <c r="I1114" i="24"/>
  <c r="I437" i="24"/>
  <c r="I859" i="24"/>
  <c r="I583" i="24"/>
  <c r="I426" i="24"/>
  <c r="I790" i="24"/>
  <c r="N17" i="3"/>
  <c r="E48" i="12"/>
  <c r="G87" i="12"/>
  <c r="H87" i="12"/>
  <c r="F87" i="12"/>
  <c r="E87" i="12"/>
  <c r="I87" i="12"/>
  <c r="J87" i="12"/>
  <c r="H22" i="22"/>
  <c r="G52" i="34"/>
  <c r="E1359" i="24"/>
  <c r="E1358" i="24"/>
  <c r="E819" i="24"/>
  <c r="E1364" i="24"/>
  <c r="E1363" i="24"/>
  <c r="E2457" i="24"/>
  <c r="E2456" i="24"/>
  <c r="E1271" i="24"/>
  <c r="E1189" i="24"/>
  <c r="E1188" i="24"/>
  <c r="E2214" i="24"/>
  <c r="E2213" i="24"/>
  <c r="E1687" i="24"/>
  <c r="E1688" i="24"/>
  <c r="E2225" i="24"/>
  <c r="E2224" i="24"/>
  <c r="E1279" i="24"/>
  <c r="E1443" i="24"/>
  <c r="E1442" i="24"/>
  <c r="E2155" i="24"/>
  <c r="E2156" i="24"/>
  <c r="E2127" i="24"/>
  <c r="E2126" i="24"/>
  <c r="E2134" i="24"/>
  <c r="E1144" i="24"/>
  <c r="E139" i="24"/>
  <c r="E138" i="24"/>
  <c r="E1854" i="24"/>
  <c r="E1855" i="24"/>
  <c r="E1474" i="24"/>
  <c r="E1473" i="24"/>
  <c r="E864" i="24"/>
  <c r="E1466" i="24"/>
  <c r="E1205" i="24"/>
  <c r="E1206" i="24"/>
  <c r="E1087" i="24"/>
  <c r="E1086" i="24"/>
  <c r="E1810" i="24"/>
  <c r="E1809" i="24"/>
  <c r="E2276" i="24"/>
  <c r="E2275" i="24"/>
  <c r="E2229" i="24"/>
  <c r="E2230" i="24"/>
  <c r="E973" i="24"/>
  <c r="E974" i="24"/>
  <c r="E1650" i="24"/>
  <c r="E1649" i="24"/>
  <c r="E505" i="24"/>
  <c r="E504" i="24"/>
  <c r="E1180" i="24"/>
  <c r="E327" i="24"/>
  <c r="E2327" i="24"/>
  <c r="E91" i="24"/>
  <c r="E724" i="24"/>
  <c r="E79" i="24"/>
  <c r="E78" i="24"/>
  <c r="E1300" i="24"/>
  <c r="E1299" i="24"/>
  <c r="E817" i="24"/>
  <c r="E816" i="24"/>
  <c r="E287" i="24"/>
  <c r="E689" i="24"/>
  <c r="E688" i="24"/>
  <c r="E359" i="24"/>
  <c r="E358" i="24"/>
  <c r="L75" i="34"/>
  <c r="L6" i="38" s="1"/>
  <c r="C11" i="20"/>
  <c r="C39" i="20" s="1"/>
  <c r="I107" i="12"/>
  <c r="I60" i="12" s="1"/>
  <c r="I124" i="12"/>
  <c r="C18" i="20"/>
  <c r="L84" i="34"/>
  <c r="M84" i="34" s="1"/>
  <c r="N84" i="34" s="1"/>
  <c r="O84" i="34" s="1"/>
  <c r="P84" i="34" s="1"/>
  <c r="Q84" i="34" s="1"/>
  <c r="B15" i="26"/>
  <c r="T16" i="26"/>
  <c r="H17" i="26"/>
  <c r="E499" i="24"/>
  <c r="E1080" i="24"/>
  <c r="E548" i="24"/>
  <c r="L83" i="34"/>
  <c r="B47" i="39" s="1"/>
  <c r="C17" i="20"/>
  <c r="J93" i="34"/>
  <c r="J13" i="38" s="1"/>
  <c r="E25" i="20"/>
  <c r="E45" i="20" s="1"/>
  <c r="J151" i="12"/>
  <c r="J56" i="12" s="1"/>
  <c r="J123" i="12"/>
  <c r="J152" i="12"/>
  <c r="J57" i="12" s="1"/>
  <c r="J153" i="12"/>
  <c r="J58" i="12" s="1"/>
  <c r="J106" i="12"/>
  <c r="J55" i="12" s="1"/>
  <c r="H12" i="21"/>
  <c r="G14" i="34" s="1"/>
  <c r="G14" i="26"/>
  <c r="S14" i="26" s="1"/>
  <c r="G14" i="27"/>
  <c r="S14" i="27" s="1"/>
  <c r="J6" i="58"/>
  <c r="J6" i="64"/>
  <c r="J6" i="21"/>
  <c r="J9" i="74" s="1"/>
  <c r="E4" i="34"/>
  <c r="J6" i="22"/>
  <c r="J6" i="20"/>
  <c r="I102" i="34"/>
  <c r="F32" i="20"/>
  <c r="G49" i="34"/>
  <c r="H21" i="22"/>
  <c r="G10" i="26"/>
  <c r="D14" i="22"/>
  <c r="O25" i="26" s="1"/>
  <c r="K40" i="34"/>
  <c r="G58" i="34"/>
  <c r="H27" i="22"/>
  <c r="F12" i="26"/>
  <c r="F12" i="27"/>
  <c r="G130" i="12"/>
  <c r="G167" i="12"/>
  <c r="G73" i="12" s="1"/>
  <c r="D5" i="64"/>
  <c r="D5" i="58"/>
  <c r="C4" i="26"/>
  <c r="K3" i="34"/>
  <c r="H25" i="34"/>
  <c r="F39" i="27"/>
  <c r="F46" i="26"/>
  <c r="F48" i="26" s="1"/>
  <c r="F50" i="26" s="1"/>
  <c r="E27" i="34"/>
  <c r="J24" i="21"/>
  <c r="J60" i="18"/>
  <c r="F151" i="12"/>
  <c r="F56" i="12" s="1"/>
  <c r="F123" i="12"/>
  <c r="F153" i="12"/>
  <c r="F58" i="12" s="1"/>
  <c r="F106" i="12"/>
  <c r="F55" i="12" s="1"/>
  <c r="D16" i="21"/>
  <c r="C39" i="26"/>
  <c r="C40" i="26" s="1"/>
  <c r="A49" i="1"/>
  <c r="A35" i="1" s="1"/>
  <c r="A63" i="1" s="1"/>
  <c r="A79" i="1" s="1"/>
  <c r="A41" i="1"/>
  <c r="H28" i="34"/>
  <c r="G61" i="18"/>
  <c r="K13" i="20"/>
  <c r="K35" i="87" s="1"/>
  <c r="D81" i="34"/>
  <c r="M248" i="24"/>
  <c r="M430" i="24"/>
  <c r="M579" i="24"/>
  <c r="H94" i="34"/>
  <c r="G26" i="20"/>
  <c r="G46" i="20" s="1"/>
  <c r="H77" i="34"/>
  <c r="H7" i="38" s="1"/>
  <c r="G12" i="20"/>
  <c r="G40" i="20" s="1"/>
  <c r="J90" i="34"/>
  <c r="E23" i="20"/>
  <c r="E119" i="12"/>
  <c r="D68" i="26"/>
  <c r="D69" i="26" s="1"/>
  <c r="J72" i="34"/>
  <c r="E9" i="20"/>
  <c r="E43" i="87" s="1"/>
  <c r="D53" i="27"/>
  <c r="D13" i="22"/>
  <c r="O24" i="26" s="1"/>
  <c r="K39" i="34"/>
  <c r="O6" i="26"/>
  <c r="I366" i="24"/>
  <c r="I367" i="24"/>
  <c r="I163" i="12"/>
  <c r="I76" i="12" s="1"/>
  <c r="D22" i="22"/>
  <c r="K52" i="34"/>
  <c r="E1589" i="24"/>
  <c r="E2445" i="24"/>
  <c r="E691" i="24"/>
  <c r="E11" i="24"/>
  <c r="E2520" i="24"/>
  <c r="E2000" i="24"/>
  <c r="E2079" i="24"/>
  <c r="E1368" i="24"/>
  <c r="E2112" i="24"/>
  <c r="E2067" i="24"/>
  <c r="E1225" i="24"/>
  <c r="E1761" i="24"/>
  <c r="E912" i="24"/>
  <c r="E1345" i="24"/>
  <c r="E726" i="24"/>
  <c r="E1168" i="24"/>
  <c r="E1169" i="24"/>
  <c r="E2393" i="24"/>
  <c r="E1781" i="24"/>
  <c r="E1301" i="24"/>
  <c r="E620" i="24"/>
  <c r="E234" i="24"/>
  <c r="E825" i="24"/>
  <c r="E1818" i="24"/>
  <c r="E1386" i="24"/>
  <c r="E1967" i="24"/>
  <c r="E1527" i="24"/>
  <c r="E1242" i="24"/>
  <c r="E1278" i="24"/>
  <c r="E2367" i="24"/>
  <c r="E1634" i="24"/>
  <c r="E2096" i="24"/>
  <c r="E2334" i="24"/>
  <c r="E1656" i="24"/>
  <c r="E665" i="24"/>
  <c r="E1662" i="24"/>
  <c r="E2168" i="24"/>
  <c r="E1624" i="24"/>
  <c r="E922" i="24"/>
  <c r="E2390" i="24"/>
  <c r="E948" i="24"/>
  <c r="E1617" i="24"/>
  <c r="E2251" i="24"/>
  <c r="E715" i="24"/>
  <c r="E2320" i="24"/>
  <c r="E2007" i="24"/>
  <c r="E1281" i="24"/>
  <c r="E1741" i="24"/>
  <c r="E1583" i="24"/>
  <c r="E256" i="24"/>
  <c r="E347" i="24"/>
  <c r="E2246" i="24"/>
  <c r="E1896" i="24"/>
  <c r="E1726" i="24"/>
  <c r="F22" i="22"/>
  <c r="I52" i="34"/>
  <c r="E376" i="24"/>
  <c r="E115" i="24"/>
  <c r="E897" i="24"/>
  <c r="E1021" i="24"/>
  <c r="E1568" i="24"/>
  <c r="E2159" i="24"/>
  <c r="E1486" i="24"/>
  <c r="E596" i="24"/>
  <c r="E597" i="24"/>
  <c r="E1124" i="24"/>
  <c r="E2289" i="24"/>
  <c r="E996" i="24"/>
  <c r="E1399" i="24"/>
  <c r="E127" i="24"/>
  <c r="E749" i="24"/>
  <c r="E1326" i="24"/>
  <c r="E1231" i="24"/>
  <c r="E1844" i="24"/>
  <c r="E1742" i="24"/>
  <c r="E1420" i="24"/>
  <c r="E1804" i="24"/>
  <c r="E2462" i="24"/>
  <c r="E1308" i="24"/>
  <c r="E222" i="24"/>
  <c r="E2356" i="24"/>
  <c r="E1863" i="24"/>
  <c r="E1482" i="24"/>
  <c r="E737" i="24"/>
  <c r="E854" i="24"/>
  <c r="E823" i="24"/>
  <c r="E1807" i="24"/>
  <c r="E1591" i="24"/>
  <c r="E2420" i="24"/>
  <c r="H107" i="12"/>
  <c r="H60" i="12" s="1"/>
  <c r="H124" i="12"/>
  <c r="J52" i="34"/>
  <c r="E22" i="22"/>
  <c r="E2521" i="24"/>
  <c r="E873" i="24"/>
  <c r="E1928" i="24"/>
  <c r="E1427" i="24"/>
  <c r="E2009" i="24"/>
  <c r="E1867" i="24"/>
  <c r="E1841" i="24"/>
  <c r="E243" i="24"/>
  <c r="E244" i="24"/>
  <c r="E1019" i="24"/>
  <c r="E2026" i="24"/>
  <c r="E863" i="24"/>
  <c r="E1340" i="24"/>
  <c r="E693" i="24"/>
  <c r="E2375" i="24"/>
  <c r="E1437" i="24"/>
  <c r="E15" i="24"/>
  <c r="E1006" i="24"/>
  <c r="E2473" i="24"/>
  <c r="E1104" i="24"/>
  <c r="E83" i="24"/>
  <c r="E2394" i="24"/>
  <c r="E2008" i="24"/>
  <c r="E250" i="24"/>
  <c r="E883" i="24"/>
  <c r="E884" i="24"/>
  <c r="E131" i="24"/>
  <c r="E22" i="24"/>
  <c r="E1882" i="24"/>
  <c r="E1927" i="24"/>
  <c r="E193" i="24"/>
  <c r="E477" i="24"/>
  <c r="E479" i="24"/>
  <c r="E1598" i="24"/>
  <c r="E1258" i="24"/>
  <c r="E1670" i="24"/>
  <c r="E1538" i="24"/>
  <c r="E1123" i="24"/>
  <c r="E399" i="24"/>
  <c r="E1310" i="24"/>
  <c r="E1652" i="24"/>
  <c r="E2132" i="24"/>
  <c r="E474" i="24"/>
  <c r="E1803" i="24"/>
  <c r="E2151" i="24"/>
  <c r="E1879" i="24"/>
  <c r="E2510" i="24"/>
  <c r="E2458" i="24"/>
  <c r="E1891" i="24"/>
  <c r="E2407" i="24"/>
  <c r="K22" i="22"/>
  <c r="D52" i="34"/>
  <c r="E1429" i="24"/>
  <c r="E862" i="24"/>
  <c r="E832" i="24"/>
  <c r="E1016" i="24"/>
  <c r="E2329" i="24"/>
  <c r="E1479" i="24"/>
  <c r="E2261" i="24"/>
  <c r="E2128" i="24"/>
  <c r="E1676" i="24"/>
  <c r="E2331" i="24"/>
  <c r="E1823" i="24"/>
  <c r="E1562" i="24"/>
  <c r="E239" i="24"/>
  <c r="E1488" i="24"/>
  <c r="E1057" i="24"/>
  <c r="E1689" i="24"/>
  <c r="E2461" i="24"/>
  <c r="E1948" i="24"/>
  <c r="E1614" i="24"/>
  <c r="E900" i="24"/>
  <c r="E901" i="24"/>
  <c r="E2264" i="24"/>
  <c r="E2422" i="24"/>
  <c r="E2091" i="24"/>
  <c r="E2307" i="24"/>
  <c r="E2415" i="24"/>
  <c r="E661" i="24"/>
  <c r="E1851" i="24"/>
  <c r="E1293" i="24"/>
  <c r="E723" i="24"/>
  <c r="E849" i="24"/>
  <c r="E2464" i="24"/>
  <c r="E1607" i="24"/>
  <c r="E1943" i="24"/>
  <c r="E1744" i="24"/>
  <c r="E838" i="24"/>
  <c r="E2043" i="24"/>
  <c r="E468" i="24"/>
  <c r="E1032" i="24"/>
  <c r="E1079" i="24"/>
  <c r="E1449" i="24"/>
  <c r="E1248" i="24"/>
  <c r="E1408" i="24"/>
  <c r="E2436" i="24"/>
  <c r="E2219" i="24"/>
  <c r="E17" i="24"/>
  <c r="E1297" i="24"/>
  <c r="E1202" i="24"/>
  <c r="E1959" i="24"/>
  <c r="E262" i="24"/>
  <c r="E822" i="24"/>
  <c r="E952" i="24"/>
  <c r="Q14" i="24"/>
  <c r="M11" i="23" s="1"/>
  <c r="F9" i="69"/>
  <c r="M671" i="24"/>
  <c r="C22" i="22"/>
  <c r="L52" i="34"/>
  <c r="E1912" i="24"/>
  <c r="E1382" i="24"/>
  <c r="E976" i="24"/>
  <c r="E858" i="24"/>
  <c r="E1792" i="24"/>
  <c r="E395" i="24"/>
  <c r="E2257" i="24"/>
  <c r="E420" i="24"/>
  <c r="E1224" i="24"/>
  <c r="E2049" i="24"/>
  <c r="E2410" i="24"/>
  <c r="E1082" i="24"/>
  <c r="E1083" i="24"/>
  <c r="E1756" i="24"/>
  <c r="E1710" i="24"/>
  <c r="E1329" i="24"/>
  <c r="E872" i="24"/>
  <c r="E1894" i="24"/>
  <c r="E1467" i="24"/>
  <c r="E2492" i="24"/>
  <c r="E1496" i="24"/>
  <c r="E1729" i="24"/>
  <c r="E1478" i="24"/>
  <c r="E1133" i="24"/>
  <c r="E2378" i="24"/>
  <c r="E1748" i="24"/>
  <c r="E1512" i="24"/>
  <c r="E2146" i="24"/>
  <c r="E2102" i="24"/>
  <c r="E1717" i="24"/>
  <c r="E2385" i="24"/>
  <c r="E270" i="24"/>
  <c r="E562" i="24"/>
  <c r="E563" i="24"/>
  <c r="E1048" i="24"/>
  <c r="E2066" i="24"/>
  <c r="E1276" i="24"/>
  <c r="E160" i="24"/>
  <c r="E2208" i="24"/>
  <c r="E1355" i="24"/>
  <c r="E2267" i="24"/>
  <c r="E1952" i="24"/>
  <c r="E513" i="24"/>
  <c r="E2188" i="24"/>
  <c r="E644" i="24"/>
  <c r="E1942" i="24"/>
  <c r="E1064" i="24"/>
  <c r="E1945" i="24"/>
  <c r="E1000" i="24"/>
  <c r="E1759" i="24"/>
  <c r="E2351" i="24"/>
  <c r="G8" i="66"/>
  <c r="M695" i="24"/>
  <c r="G22" i="22"/>
  <c r="H52" i="34"/>
  <c r="E1992" i="24"/>
  <c r="E904" i="24"/>
  <c r="E2056" i="24"/>
  <c r="E2223" i="24"/>
  <c r="E2203" i="24"/>
  <c r="E1773" i="24"/>
  <c r="E1333" i="24"/>
  <c r="E1209" i="24"/>
  <c r="E1041" i="24"/>
  <c r="E2338" i="24"/>
  <c r="E748" i="24"/>
  <c r="E388" i="24"/>
  <c r="E896" i="24"/>
  <c r="E970" i="24"/>
  <c r="E857" i="24"/>
  <c r="E194" i="24"/>
  <c r="E1332" i="24"/>
  <c r="E2285" i="24"/>
  <c r="E455" i="24"/>
  <c r="E1431" i="24"/>
  <c r="E1335" i="24"/>
  <c r="E1619" i="24"/>
  <c r="E180" i="24"/>
  <c r="E2231" i="24"/>
  <c r="E2184" i="24"/>
  <c r="E202" i="24"/>
  <c r="E937" i="24"/>
  <c r="E1604" i="24"/>
  <c r="E1304" i="24"/>
  <c r="E1260" i="24"/>
  <c r="E49" i="24"/>
  <c r="E2472" i="24"/>
  <c r="E27" i="24"/>
  <c r="E953" i="24"/>
  <c r="E80" i="24"/>
  <c r="E717" i="24"/>
  <c r="E2369" i="24"/>
  <c r="E2370" i="24"/>
  <c r="G8" i="65"/>
  <c r="E591" i="24"/>
  <c r="M748" i="24"/>
  <c r="C52" i="34"/>
  <c r="L22" i="22"/>
  <c r="E2103" i="24"/>
  <c r="E2488" i="24"/>
  <c r="E283" i="24"/>
  <c r="E1129" i="24"/>
  <c r="E2504" i="24"/>
  <c r="E2073" i="24"/>
  <c r="E2253" i="24"/>
  <c r="E1853" i="24"/>
  <c r="E1632" i="24"/>
  <c r="E1471" i="24"/>
  <c r="E1600" i="24"/>
  <c r="E1468" i="24"/>
  <c r="E713" i="24"/>
  <c r="E2133" i="24"/>
  <c r="E51" i="24"/>
  <c r="E1367" i="24"/>
  <c r="E1905" i="24"/>
  <c r="E2142" i="24"/>
  <c r="E1608" i="24"/>
  <c r="E810" i="24"/>
  <c r="E1960" i="24"/>
  <c r="E1289" i="24"/>
  <c r="E1989" i="24"/>
  <c r="E2405" i="24"/>
  <c r="E1131" i="24"/>
  <c r="E1185" i="24"/>
  <c r="E684" i="24"/>
  <c r="E1829" i="24"/>
  <c r="E500" i="24"/>
  <c r="E685" i="24"/>
  <c r="E686" i="24"/>
  <c r="E1097" i="24"/>
  <c r="E1903" i="24"/>
  <c r="E2240" i="24"/>
  <c r="E907" i="24"/>
  <c r="E2516" i="24"/>
  <c r="E927" i="24"/>
  <c r="E2507" i="24"/>
  <c r="E224" i="24"/>
  <c r="E325" i="24"/>
  <c r="E441" i="24"/>
  <c r="E442" i="24"/>
  <c r="E1256" i="24"/>
  <c r="E2313" i="24"/>
  <c r="E2512" i="24"/>
  <c r="E2477" i="24"/>
  <c r="E41" i="24"/>
  <c r="E1440" i="24"/>
  <c r="E2041" i="24"/>
  <c r="E2216" i="24"/>
  <c r="E751" i="24"/>
  <c r="E1790" i="24"/>
  <c r="E1530" i="24"/>
  <c r="E514" i="24"/>
  <c r="E1770" i="24"/>
  <c r="E1831" i="24"/>
  <c r="E815" i="24"/>
  <c r="E526" i="24"/>
  <c r="E74" i="24"/>
  <c r="E1502" i="24"/>
  <c r="E457" i="24"/>
  <c r="E1114" i="24"/>
  <c r="E1534" i="24"/>
  <c r="Q33" i="24"/>
  <c r="M30" i="23" s="1"/>
  <c r="I22" i="22"/>
  <c r="F52" i="34"/>
  <c r="E1771" i="24"/>
  <c r="E2152" i="24"/>
  <c r="E784" i="24"/>
  <c r="E1490" i="24"/>
  <c r="E1109" i="24"/>
  <c r="E1706" i="24"/>
  <c r="E1497" i="24"/>
  <c r="E1361" i="24"/>
  <c r="E954" i="24"/>
  <c r="E2143" i="24"/>
  <c r="E1666" i="24"/>
  <c r="E371" i="24"/>
  <c r="E933" i="24"/>
  <c r="E1557" i="24"/>
  <c r="E1065" i="24"/>
  <c r="E931" i="24"/>
  <c r="E1925" i="24"/>
  <c r="E435" i="24"/>
  <c r="E1127" i="24"/>
  <c r="E2111" i="24"/>
  <c r="E47" i="24"/>
  <c r="E1272" i="24"/>
  <c r="E1056" i="24"/>
  <c r="E386" i="24"/>
  <c r="E2426" i="24"/>
  <c r="E1577" i="24"/>
  <c r="E673" i="24"/>
  <c r="E1907" i="24"/>
  <c r="E802" i="24"/>
  <c r="E1817" i="24"/>
  <c r="E812" i="24"/>
  <c r="E2016" i="24"/>
  <c r="M590" i="24"/>
  <c r="E2314" i="24"/>
  <c r="E1774" i="24"/>
  <c r="E861" i="24"/>
  <c r="E692" i="24"/>
  <c r="E2360" i="24"/>
  <c r="E2361" i="24"/>
  <c r="E990" i="24"/>
  <c r="E1234" i="24"/>
  <c r="E430" i="24"/>
  <c r="E988" i="24"/>
  <c r="E2265" i="24"/>
  <c r="E1140" i="24"/>
  <c r="E1307" i="24"/>
  <c r="E1565" i="24"/>
  <c r="E2279" i="24"/>
  <c r="E1295" i="24"/>
  <c r="E2288" i="24"/>
  <c r="E647" i="24"/>
  <c r="E2141" i="24"/>
  <c r="E1476" i="24"/>
  <c r="E1385" i="24"/>
  <c r="E2180" i="24"/>
  <c r="E249" i="24"/>
  <c r="E1240" i="24"/>
  <c r="E2387" i="24"/>
  <c r="E2490" i="24"/>
  <c r="E2431" i="24"/>
  <c r="E1352" i="24"/>
  <c r="E1776" i="24"/>
  <c r="E1768" i="24"/>
  <c r="E1561" i="24"/>
  <c r="E549" i="24"/>
  <c r="E2419" i="24"/>
  <c r="E581" i="24"/>
  <c r="E1540" i="24"/>
  <c r="E2182" i="24"/>
  <c r="E426" i="24"/>
  <c r="E345" i="24"/>
  <c r="E1055" i="24"/>
  <c r="E943" i="24"/>
  <c r="E351" i="24"/>
  <c r="E1986" i="24"/>
  <c r="E1252" i="24"/>
  <c r="E1678" i="24"/>
  <c r="E980" i="24"/>
  <c r="E350" i="24"/>
  <c r="E335" i="24"/>
  <c r="E516" i="24"/>
  <c r="E2383" i="24"/>
  <c r="E2071" i="24"/>
  <c r="E942" i="24"/>
  <c r="E585" i="24"/>
  <c r="E2109" i="24"/>
  <c r="E1883" i="24"/>
  <c r="E1391" i="24"/>
  <c r="E2448" i="24"/>
  <c r="E1330" i="24"/>
  <c r="E1824" i="24"/>
  <c r="E2372" i="24"/>
  <c r="E2175" i="24"/>
  <c r="E1544" i="24"/>
  <c r="E32" i="24"/>
  <c r="E33" i="24"/>
  <c r="E1664" i="24"/>
  <c r="E475" i="24"/>
  <c r="E2447" i="24"/>
  <c r="E447" i="24"/>
  <c r="E1161" i="24"/>
  <c r="E176" i="24"/>
  <c r="E2191" i="24"/>
  <c r="E2192" i="24"/>
  <c r="E178" i="24"/>
  <c r="E2243" i="24"/>
  <c r="E2354" i="24"/>
  <c r="E2427" i="24"/>
  <c r="E2236" i="24"/>
  <c r="E271" i="24"/>
  <c r="E995" i="24"/>
  <c r="E1470" i="24"/>
  <c r="E1207" i="24"/>
  <c r="E1838" i="24"/>
  <c r="E2371" i="24"/>
  <c r="E834" i="24"/>
  <c r="E1940" i="24"/>
  <c r="E911" i="24"/>
  <c r="E923" i="24"/>
  <c r="E1447" i="24"/>
  <c r="E462" i="24"/>
  <c r="E604" i="24"/>
  <c r="E2020" i="24"/>
  <c r="E1508" i="24"/>
  <c r="E645" i="24"/>
  <c r="E124" i="24"/>
  <c r="G8" i="67"/>
  <c r="E2416" i="24"/>
  <c r="E171" i="24"/>
  <c r="E2105" i="24"/>
  <c r="E1897" i="24"/>
  <c r="E1005" i="24"/>
  <c r="E1101" i="24"/>
  <c r="E1763" i="24"/>
  <c r="E1402" i="24"/>
  <c r="E1336" i="24"/>
  <c r="E2374" i="24"/>
  <c r="E852" i="24"/>
  <c r="E2272" i="24"/>
  <c r="E928" i="24"/>
  <c r="E2087" i="24"/>
  <c r="E1481" i="24"/>
  <c r="E1001" i="24"/>
  <c r="E1136" i="24"/>
  <c r="E879" i="24"/>
  <c r="E1520" i="24"/>
  <c r="E1177" i="24"/>
  <c r="E1288" i="24"/>
  <c r="E2255" i="24"/>
  <c r="E1263" i="24"/>
  <c r="E1416" i="24"/>
  <c r="E1532" i="24"/>
  <c r="E1572" i="24"/>
  <c r="E1947" i="24"/>
  <c r="E636" i="24"/>
  <c r="E613" i="24"/>
  <c r="E903" i="24"/>
  <c r="E841" i="24"/>
  <c r="E968" i="24"/>
  <c r="E1999" i="24"/>
  <c r="E2172" i="24"/>
  <c r="E1365" i="24"/>
  <c r="E1320" i="24"/>
  <c r="E2239" i="24"/>
  <c r="E1930" i="24"/>
  <c r="E1719" i="24"/>
  <c r="E1755" i="24"/>
  <c r="E2443" i="24"/>
  <c r="E1088" i="24"/>
  <c r="E1103" i="24"/>
  <c r="E523" i="24"/>
  <c r="E1283" i="24"/>
  <c r="E1951" i="24"/>
  <c r="E1223" i="24"/>
  <c r="E1586" i="24"/>
  <c r="E736" i="24"/>
  <c r="E2186" i="24"/>
  <c r="E1031" i="24"/>
  <c r="E1847" i="24"/>
  <c r="E1876" i="24"/>
  <c r="E1287" i="24"/>
  <c r="E906" i="24"/>
  <c r="E76" i="24"/>
  <c r="E183" i="24"/>
  <c r="E2323" i="24"/>
  <c r="E631" i="24"/>
  <c r="E437" i="24"/>
  <c r="E1444" i="24"/>
  <c r="E300" i="24"/>
  <c r="E2006" i="24"/>
  <c r="E282" i="24"/>
  <c r="E211" i="24"/>
  <c r="E1212" i="24"/>
  <c r="E233" i="24"/>
  <c r="E542" i="24"/>
  <c r="E248" i="24"/>
  <c r="E2263" i="24"/>
  <c r="E1174" i="24"/>
  <c r="E847" i="24"/>
  <c r="E538" i="24"/>
  <c r="E2035" i="24"/>
  <c r="E215" i="24"/>
  <c r="E29" i="24"/>
  <c r="E1890" i="24"/>
  <c r="E1510" i="24"/>
  <c r="E238" i="24"/>
  <c r="E860" i="24"/>
  <c r="E719" i="24"/>
  <c r="E2498" i="24"/>
  <c r="E910" i="24"/>
  <c r="E871" i="24"/>
  <c r="E1454" i="24"/>
  <c r="E153" i="24"/>
  <c r="E800" i="24"/>
  <c r="E1351" i="24"/>
  <c r="E306" i="24"/>
  <c r="E558" i="24"/>
  <c r="E1197" i="24"/>
  <c r="E356" i="24"/>
  <c r="E1924" i="24"/>
  <c r="E755" i="24"/>
  <c r="E149" i="24"/>
  <c r="E1236" i="24"/>
  <c r="E916" i="24"/>
  <c r="E1519" i="24"/>
  <c r="E1138" i="24"/>
  <c r="E587" i="24"/>
  <c r="E375" i="24"/>
  <c r="C75" i="34"/>
  <c r="L11" i="20"/>
  <c r="L39" i="20" s="1"/>
  <c r="H67" i="26"/>
  <c r="G124" i="12"/>
  <c r="G107" i="12"/>
  <c r="G60" i="12" s="1"/>
  <c r="Q81" i="24"/>
  <c r="M78" i="23" s="1"/>
  <c r="Q30" i="24"/>
  <c r="M27" i="23" s="1"/>
  <c r="Q241" i="24"/>
  <c r="M238" i="23" s="1"/>
  <c r="Q142" i="24"/>
  <c r="M139" i="23" s="1"/>
  <c r="Q155" i="24"/>
  <c r="M152" i="23" s="1"/>
  <c r="Q138" i="24"/>
  <c r="M135" i="23" s="1"/>
  <c r="Q188" i="24"/>
  <c r="M185" i="23" s="1"/>
  <c r="Q37" i="24"/>
  <c r="M34" i="23" s="1"/>
  <c r="Q122" i="24"/>
  <c r="M119" i="23" s="1"/>
  <c r="D83" i="34"/>
  <c r="K17" i="20"/>
  <c r="L93" i="34"/>
  <c r="L13" i="38" s="1"/>
  <c r="C25" i="20"/>
  <c r="C45" i="20" s="1"/>
  <c r="H14" i="27"/>
  <c r="T14" i="27" s="1"/>
  <c r="I12" i="21"/>
  <c r="F14" i="34" s="1"/>
  <c r="H14" i="26"/>
  <c r="G101" i="34"/>
  <c r="H31" i="20"/>
  <c r="C16" i="26"/>
  <c r="D49" i="34"/>
  <c r="K21" i="22"/>
  <c r="K14" i="22"/>
  <c r="D40" i="34"/>
  <c r="G27" i="22"/>
  <c r="H58" i="34"/>
  <c r="C7" i="26"/>
  <c r="D16" i="22"/>
  <c r="K44" i="34"/>
  <c r="J5" i="58"/>
  <c r="J5" i="64"/>
  <c r="I4" i="26"/>
  <c r="J5" i="21"/>
  <c r="J8" i="74" s="1"/>
  <c r="J20" i="74" s="1"/>
  <c r="J5" i="20"/>
  <c r="J37" i="20" s="1"/>
  <c r="E3" i="34"/>
  <c r="J5" i="22"/>
  <c r="J25" i="34"/>
  <c r="D39" i="27"/>
  <c r="H106" i="12"/>
  <c r="H55" i="12" s="1"/>
  <c r="H123" i="12"/>
  <c r="H152" i="12"/>
  <c r="H57" i="12" s="1"/>
  <c r="H151" i="12"/>
  <c r="H56" i="12" s="1"/>
  <c r="G16" i="21"/>
  <c r="H18" i="34" s="1"/>
  <c r="F39" i="26"/>
  <c r="K28" i="34"/>
  <c r="D61" i="18"/>
  <c r="K30" i="20"/>
  <c r="D100" i="34"/>
  <c r="F26" i="22"/>
  <c r="I57" i="34"/>
  <c r="M741" i="24"/>
  <c r="M688" i="24"/>
  <c r="M407" i="24"/>
  <c r="M475" i="24"/>
  <c r="M226" i="24"/>
  <c r="M149" i="24"/>
  <c r="M316" i="24"/>
  <c r="M751" i="24"/>
  <c r="M333" i="24"/>
  <c r="M293" i="24"/>
  <c r="M247" i="24"/>
  <c r="M306" i="24"/>
  <c r="M655" i="24"/>
  <c r="M173" i="24"/>
  <c r="M364" i="24"/>
  <c r="M230" i="24"/>
  <c r="M40" i="24"/>
  <c r="M34" i="24"/>
  <c r="M661" i="24"/>
  <c r="M422" i="24"/>
  <c r="M206" i="24"/>
  <c r="M625" i="24"/>
  <c r="M599" i="24"/>
  <c r="J108" i="12"/>
  <c r="J79" i="12" s="1"/>
  <c r="J135" i="12"/>
  <c r="J168" i="12"/>
  <c r="J83" i="12" s="1"/>
  <c r="F5" i="34"/>
  <c r="G6" i="34" s="1"/>
  <c r="H254" i="13"/>
  <c r="E60" i="26"/>
  <c r="I72" i="34"/>
  <c r="L13" i="22"/>
  <c r="C39" i="34"/>
  <c r="I544" i="24"/>
  <c r="I471" i="24"/>
  <c r="I1035" i="24"/>
  <c r="I163" i="24"/>
  <c r="I200" i="24"/>
  <c r="I262" i="24"/>
  <c r="I904" i="24"/>
  <c r="I142" i="24"/>
  <c r="I165" i="24"/>
  <c r="I674" i="24"/>
  <c r="I963" i="24"/>
  <c r="I292" i="24"/>
  <c r="I1025" i="24"/>
  <c r="I445" i="24"/>
  <c r="I1041" i="24"/>
  <c r="I1120" i="24"/>
  <c r="I114" i="24"/>
  <c r="I111" i="24"/>
  <c r="I971" i="24"/>
  <c r="I564" i="24"/>
  <c r="I653" i="24"/>
  <c r="I1171" i="24"/>
  <c r="I628" i="24"/>
  <c r="I791" i="24"/>
  <c r="I550" i="24"/>
  <c r="I246" i="24"/>
  <c r="I455" i="24"/>
  <c r="I948" i="24"/>
  <c r="I673" i="24"/>
  <c r="I1022" i="24"/>
  <c r="I386" i="24"/>
  <c r="I462" i="24"/>
  <c r="I1124" i="24"/>
  <c r="I162" i="24"/>
  <c r="I413" i="24"/>
  <c r="I619" i="24"/>
  <c r="I585" i="24"/>
  <c r="I1199" i="24"/>
  <c r="I779" i="24"/>
  <c r="I1123" i="24"/>
  <c r="I1053" i="24"/>
  <c r="I961" i="24"/>
  <c r="I175" i="24"/>
  <c r="I1057" i="24"/>
  <c r="I692" i="24"/>
  <c r="I7" i="24"/>
  <c r="I800" i="24"/>
  <c r="I181" i="24"/>
  <c r="I257" i="24"/>
  <c r="I748" i="24"/>
  <c r="G23" i="22"/>
  <c r="H53" i="34"/>
  <c r="G73" i="34"/>
  <c r="H10" i="20"/>
  <c r="H38" i="20" s="1"/>
  <c r="Q129" i="24"/>
  <c r="M126" i="23" s="1"/>
  <c r="Q139" i="24"/>
  <c r="M136" i="23" s="1"/>
  <c r="Q106" i="24"/>
  <c r="M103" i="23" s="1"/>
  <c r="I17" i="20"/>
  <c r="F83" i="34"/>
  <c r="L25" i="20"/>
  <c r="L45" i="20" s="1"/>
  <c r="C93" i="34"/>
  <c r="C13" i="38" s="1"/>
  <c r="E32" i="22"/>
  <c r="J65" i="34"/>
  <c r="C31" i="20"/>
  <c r="L101" i="34"/>
  <c r="M101" i="34" s="1"/>
  <c r="N101" i="34" s="1"/>
  <c r="O101" i="34" s="1"/>
  <c r="P101" i="34" s="1"/>
  <c r="Q101" i="34" s="1"/>
  <c r="G16" i="26"/>
  <c r="S16" i="26" s="1"/>
  <c r="G32" i="20"/>
  <c r="H102" i="34"/>
  <c r="F169" i="12"/>
  <c r="F80" i="12" s="1"/>
  <c r="F133" i="12"/>
  <c r="J15" i="21"/>
  <c r="E17" i="34" s="1"/>
  <c r="I38" i="26"/>
  <c r="H23" i="26"/>
  <c r="I33" i="18"/>
  <c r="I252" i="13"/>
  <c r="N7" i="26"/>
  <c r="C14" i="22"/>
  <c r="N25" i="26" s="1"/>
  <c r="K27" i="22"/>
  <c r="D58" i="34"/>
  <c r="I28" i="22"/>
  <c r="H12" i="26"/>
  <c r="F59" i="34"/>
  <c r="H12" i="27"/>
  <c r="H49" i="27"/>
  <c r="H56" i="26"/>
  <c r="C16" i="22"/>
  <c r="B7" i="26"/>
  <c r="L44" i="34"/>
  <c r="E10" i="22"/>
  <c r="D6" i="26"/>
  <c r="K27" i="34"/>
  <c r="L29" i="34" s="1"/>
  <c r="D24" i="21"/>
  <c r="D60" i="18"/>
  <c r="E151" i="12"/>
  <c r="E56" i="12" s="1"/>
  <c r="E123" i="12"/>
  <c r="F16" i="21"/>
  <c r="E39" i="26"/>
  <c r="E40" i="26" s="1"/>
  <c r="E30" i="20"/>
  <c r="J100" i="34"/>
  <c r="D26" i="22"/>
  <c r="K57" i="34"/>
  <c r="H85" i="34"/>
  <c r="G19" i="20"/>
  <c r="J103" i="12"/>
  <c r="J41" i="12" s="1"/>
  <c r="M585" i="24"/>
  <c r="M586" i="24"/>
  <c r="M296" i="24"/>
  <c r="M444" i="24"/>
  <c r="M640" i="24"/>
  <c r="M569" i="24"/>
  <c r="M419" i="24"/>
  <c r="H24" i="20"/>
  <c r="H44" i="20" s="1"/>
  <c r="G91" i="34"/>
  <c r="H12" i="20"/>
  <c r="H40" i="20" s="1"/>
  <c r="G77" i="34"/>
  <c r="G7" i="38" s="1"/>
  <c r="K90" i="34"/>
  <c r="D23" i="20"/>
  <c r="L19" i="22"/>
  <c r="C47" i="34"/>
  <c r="H9" i="20"/>
  <c r="H43" i="87" s="1"/>
  <c r="G72" i="34"/>
  <c r="I13" i="22"/>
  <c r="T6" i="26"/>
  <c r="F39" i="34"/>
  <c r="I622" i="24"/>
  <c r="I153" i="24"/>
  <c r="I206" i="24"/>
  <c r="I1079" i="24"/>
  <c r="I1258" i="24"/>
  <c r="I932" i="24"/>
  <c r="I604" i="24"/>
  <c r="I328" i="24"/>
  <c r="I922" i="24"/>
  <c r="I1072" i="24"/>
  <c r="I97" i="24"/>
  <c r="I368" i="24"/>
  <c r="I12" i="24"/>
  <c r="I294" i="24"/>
  <c r="I1156" i="24"/>
  <c r="I351" i="24"/>
  <c r="I1183" i="24"/>
  <c r="I427" i="24"/>
  <c r="I754" i="24"/>
  <c r="I501" i="24"/>
  <c r="I763" i="24"/>
  <c r="I949" i="24"/>
  <c r="I1127" i="24"/>
  <c r="I1245" i="24"/>
  <c r="I47" i="24"/>
  <c r="I921" i="24"/>
  <c r="I769" i="24"/>
  <c r="I251" i="24"/>
  <c r="I503" i="24"/>
  <c r="I1176" i="24"/>
  <c r="I1071" i="24"/>
  <c r="I297" i="24"/>
  <c r="I338" i="24"/>
  <c r="I1050" i="24"/>
  <c r="I353" i="24"/>
  <c r="I1217" i="24"/>
  <c r="I419" i="24"/>
  <c r="I10" i="20"/>
  <c r="I38" i="20" s="1"/>
  <c r="F73" i="34"/>
  <c r="E554" i="24"/>
  <c r="E339" i="24"/>
  <c r="E1244" i="24"/>
  <c r="E762" i="24"/>
  <c r="E354" i="24"/>
  <c r="E1954" i="24"/>
  <c r="E2412" i="24"/>
  <c r="E2382" i="24"/>
  <c r="G75" i="34"/>
  <c r="H11" i="20"/>
  <c r="H39" i="20" s="1"/>
  <c r="E124" i="12"/>
  <c r="Q120" i="24"/>
  <c r="M117" i="23" s="1"/>
  <c r="Q230" i="24"/>
  <c r="M227" i="23" s="1"/>
  <c r="Q236" i="24"/>
  <c r="M233" i="23" s="1"/>
  <c r="C32" i="22"/>
  <c r="L65" i="34"/>
  <c r="D12" i="21"/>
  <c r="K14" i="34" s="1"/>
  <c r="C14" i="26"/>
  <c r="O14" i="26" s="1"/>
  <c r="C14" i="27"/>
  <c r="H32" i="20"/>
  <c r="G102" i="34"/>
  <c r="F135" i="12"/>
  <c r="F168" i="12"/>
  <c r="F83" i="12" s="1"/>
  <c r="L49" i="34"/>
  <c r="C21" i="22"/>
  <c r="B10" i="26"/>
  <c r="H20" i="20"/>
  <c r="G86" i="34"/>
  <c r="G133" i="12"/>
  <c r="G108" i="12"/>
  <c r="G79" i="12" s="1"/>
  <c r="G169" i="12"/>
  <c r="G80" i="12" s="1"/>
  <c r="G38" i="26"/>
  <c r="G40" i="26" s="1"/>
  <c r="H15" i="21"/>
  <c r="D23" i="26"/>
  <c r="E252" i="13"/>
  <c r="E33" i="18"/>
  <c r="D27" i="22"/>
  <c r="K58" i="34"/>
  <c r="K16" i="22"/>
  <c r="D44" i="34"/>
  <c r="H4" i="26"/>
  <c r="I5" i="20"/>
  <c r="I37" i="20" s="1"/>
  <c r="G6" i="26"/>
  <c r="H10" i="22"/>
  <c r="E24" i="21"/>
  <c r="E60" i="18"/>
  <c r="E16" i="21"/>
  <c r="J18" i="34" s="1"/>
  <c r="D39" i="26"/>
  <c r="J30" i="20"/>
  <c r="E100" i="34"/>
  <c r="F131" i="12"/>
  <c r="F163" i="12"/>
  <c r="F76" i="12" s="1"/>
  <c r="J26" i="22"/>
  <c r="E57" i="34"/>
  <c r="E19" i="20"/>
  <c r="J85" i="34"/>
  <c r="M171" i="24"/>
  <c r="M337" i="24"/>
  <c r="M298" i="24"/>
  <c r="M72" i="24"/>
  <c r="M85" i="24"/>
  <c r="M479" i="24"/>
  <c r="M114" i="24"/>
  <c r="M344" i="24"/>
  <c r="M35" i="24"/>
  <c r="M255" i="24"/>
  <c r="M352" i="24"/>
  <c r="M251" i="24"/>
  <c r="M528" i="24"/>
  <c r="M636" i="24"/>
  <c r="M573" i="24"/>
  <c r="C26" i="20"/>
  <c r="C46" i="20" s="1"/>
  <c r="L94" i="34"/>
  <c r="L14" i="38" s="1"/>
  <c r="K24" i="20"/>
  <c r="K44" i="20" s="1"/>
  <c r="D91" i="34"/>
  <c r="D12" i="20"/>
  <c r="D40" i="20" s="1"/>
  <c r="K77" i="34"/>
  <c r="I90" i="34"/>
  <c r="F23" i="20"/>
  <c r="P6" i="26"/>
  <c r="J39" i="34"/>
  <c r="I1249" i="24"/>
  <c r="I55" i="24"/>
  <c r="I1240" i="24"/>
  <c r="I820" i="24"/>
  <c r="I515" i="24"/>
  <c r="I685" i="24"/>
  <c r="I405" i="24"/>
  <c r="I775" i="24"/>
  <c r="I1008" i="24"/>
  <c r="I1076" i="24"/>
  <c r="I1027" i="24"/>
  <c r="I1125" i="24"/>
  <c r="I761" i="24"/>
  <c r="I199" i="24"/>
  <c r="I767" i="24"/>
  <c r="I1091" i="24"/>
  <c r="I871" i="24"/>
  <c r="I884" i="24"/>
  <c r="I1218" i="24"/>
  <c r="I934" i="24"/>
  <c r="I373" i="24"/>
  <c r="I102" i="24"/>
  <c r="I1155" i="24"/>
  <c r="I235" i="24"/>
  <c r="I1023" i="24"/>
  <c r="I636" i="24"/>
  <c r="K10" i="20"/>
  <c r="K38" i="20" s="1"/>
  <c r="D73" i="34"/>
  <c r="E285" i="24"/>
  <c r="E286" i="24"/>
  <c r="E971" i="24"/>
  <c r="E2063" i="24"/>
  <c r="E19" i="24"/>
  <c r="E728" i="24"/>
  <c r="E341" i="24"/>
  <c r="E1780" i="24"/>
  <c r="E502" i="24"/>
  <c r="E2170" i="24"/>
  <c r="E1700" i="24"/>
  <c r="E634" i="24"/>
  <c r="E1044" i="24"/>
  <c r="E311" i="24"/>
  <c r="E1655" i="24"/>
  <c r="E174" i="24"/>
  <c r="E2060" i="24"/>
  <c r="E2476" i="24"/>
  <c r="E818" i="24"/>
  <c r="E1492" i="24"/>
  <c r="E2207" i="24"/>
  <c r="E1826" i="24"/>
  <c r="E2438" i="24"/>
  <c r="E1076" i="24"/>
  <c r="E226" i="24"/>
  <c r="E403" i="24"/>
  <c r="E891" i="24"/>
  <c r="E1916" i="24"/>
  <c r="E417" i="24"/>
  <c r="E94" i="24"/>
  <c r="E599" i="24"/>
  <c r="E2362" i="24"/>
  <c r="E740" i="24"/>
  <c r="E660" i="24"/>
  <c r="E1380" i="24"/>
  <c r="E783" i="24"/>
  <c r="E2034" i="24"/>
  <c r="E1255" i="24"/>
  <c r="E210" i="24"/>
  <c r="E280" i="24"/>
  <c r="E509" i="24"/>
  <c r="E926" i="24"/>
  <c r="E611" i="24"/>
  <c r="E998" i="24"/>
  <c r="E573" i="24"/>
  <c r="B67" i="26"/>
  <c r="D18" i="20"/>
  <c r="K84" i="34"/>
  <c r="Q126" i="24"/>
  <c r="M123" i="23" s="1"/>
  <c r="Q52" i="24"/>
  <c r="M49" i="23" s="1"/>
  <c r="Q32" i="24"/>
  <c r="M29" i="23" s="1"/>
  <c r="Q55" i="24"/>
  <c r="M52" i="23" s="1"/>
  <c r="Q257" i="24"/>
  <c r="M254" i="23" s="1"/>
  <c r="Q190" i="24"/>
  <c r="M187" i="23" s="1"/>
  <c r="Q105" i="24"/>
  <c r="M102" i="23" s="1"/>
  <c r="Q63" i="24"/>
  <c r="M60" i="23" s="1"/>
  <c r="Q220" i="24"/>
  <c r="M217" i="23" s="1"/>
  <c r="Q221" i="24"/>
  <c r="M218" i="23" s="1"/>
  <c r="Q100" i="24"/>
  <c r="M97" i="23" s="1"/>
  <c r="F25" i="20"/>
  <c r="F45" i="20" s="1"/>
  <c r="I93" i="34"/>
  <c r="I13" i="38" s="1"/>
  <c r="I32" i="22"/>
  <c r="F65" i="34"/>
  <c r="G12" i="21"/>
  <c r="H14" i="34" s="1"/>
  <c r="F14" i="27"/>
  <c r="F14" i="26"/>
  <c r="R14" i="26" s="1"/>
  <c r="D101" i="34"/>
  <c r="K31" i="20"/>
  <c r="K6" i="58"/>
  <c r="K6" i="64"/>
  <c r="K6" i="21"/>
  <c r="K9" i="74" s="1"/>
  <c r="D4" i="34"/>
  <c r="E16" i="26"/>
  <c r="H135" i="12"/>
  <c r="H168" i="12"/>
  <c r="H83" i="12" s="1"/>
  <c r="H49" i="34"/>
  <c r="G21" i="22"/>
  <c r="F10" i="26"/>
  <c r="C59" i="26"/>
  <c r="AA5" i="26"/>
  <c r="I86" i="34"/>
  <c r="F20" i="20"/>
  <c r="I133" i="12"/>
  <c r="I169" i="12"/>
  <c r="I80" i="12" s="1"/>
  <c r="H38" i="26"/>
  <c r="H40" i="26" s="1"/>
  <c r="I15" i="21"/>
  <c r="F17" i="34" s="1"/>
  <c r="H252" i="13"/>
  <c r="G23" i="26"/>
  <c r="H14" i="22"/>
  <c r="S7" i="26"/>
  <c r="G40" i="34"/>
  <c r="E27" i="22"/>
  <c r="J58" i="34"/>
  <c r="I7" i="26"/>
  <c r="J16" i="22"/>
  <c r="L5" i="64"/>
  <c r="L5" i="58"/>
  <c r="L5" i="20"/>
  <c r="L37" i="20" s="1"/>
  <c r="C3" i="34"/>
  <c r="L5" i="22"/>
  <c r="L5" i="21"/>
  <c r="L8" i="74" s="1"/>
  <c r="L20" i="74" s="1"/>
  <c r="F10" i="22"/>
  <c r="E6" i="26"/>
  <c r="J16" i="21"/>
  <c r="E18" i="34" s="1"/>
  <c r="I39" i="26"/>
  <c r="F61" i="18"/>
  <c r="I28" i="34"/>
  <c r="G100" i="34"/>
  <c r="H30" i="20"/>
  <c r="H131" i="12"/>
  <c r="H162" i="12"/>
  <c r="H75" i="12" s="1"/>
  <c r="I85" i="34"/>
  <c r="F19" i="20"/>
  <c r="I13" i="20"/>
  <c r="F81" i="34"/>
  <c r="M689" i="24"/>
  <c r="M691" i="24"/>
  <c r="M468" i="24"/>
  <c r="M157" i="24"/>
  <c r="M261" i="24"/>
  <c r="M223" i="24"/>
  <c r="M83" i="24"/>
  <c r="M203" i="24"/>
  <c r="M123" i="24"/>
  <c r="M325" i="24"/>
  <c r="M418" i="24"/>
  <c r="M544" i="24"/>
  <c r="M536" i="24"/>
  <c r="M197" i="24"/>
  <c r="M564" i="24"/>
  <c r="M698" i="24"/>
  <c r="M680" i="24"/>
  <c r="M39" i="24"/>
  <c r="M372" i="24"/>
  <c r="M583" i="24"/>
  <c r="M282" i="24"/>
  <c r="M30" i="24"/>
  <c r="M403" i="24"/>
  <c r="M366" i="24"/>
  <c r="C91" i="34"/>
  <c r="L24" i="20"/>
  <c r="L44" i="20" s="1"/>
  <c r="E77" i="34"/>
  <c r="E7" i="38" s="1"/>
  <c r="J12" i="20"/>
  <c r="J40" i="20" s="1"/>
  <c r="D8" i="21"/>
  <c r="K9" i="20"/>
  <c r="K43" i="87" s="1"/>
  <c r="D72" i="34"/>
  <c r="J13" i="22"/>
  <c r="U6" i="26"/>
  <c r="E39" i="34"/>
  <c r="I1212" i="24"/>
  <c r="I905" i="24"/>
  <c r="I1243" i="24"/>
  <c r="I120" i="24"/>
  <c r="I24" i="24"/>
  <c r="I468" i="24"/>
  <c r="I671" i="24"/>
  <c r="I159" i="24"/>
  <c r="I959" i="24"/>
  <c r="I641" i="24"/>
  <c r="I665" i="24"/>
  <c r="I322" i="24"/>
  <c r="I505" i="24"/>
  <c r="I891" i="24"/>
  <c r="I573" i="24"/>
  <c r="I309" i="24"/>
  <c r="I394" i="24"/>
  <c r="I950" i="24"/>
  <c r="I819" i="24"/>
  <c r="I450" i="24"/>
  <c r="I423" i="24"/>
  <c r="I1173" i="24"/>
  <c r="I511" i="24"/>
  <c r="I1182" i="24"/>
  <c r="I500" i="24"/>
  <c r="I835" i="24"/>
  <c r="I222" i="24"/>
  <c r="I1019" i="24"/>
  <c r="I1090" i="24"/>
  <c r="I228" i="24"/>
  <c r="I587" i="24"/>
  <c r="I580" i="24"/>
  <c r="I579" i="24"/>
  <c r="I856" i="24"/>
  <c r="I962" i="24"/>
  <c r="I1209" i="24"/>
  <c r="I927" i="24"/>
  <c r="I53" i="24"/>
  <c r="I1198" i="24"/>
  <c r="I696" i="24"/>
  <c r="I520" i="24"/>
  <c r="I208" i="24"/>
  <c r="I803" i="24"/>
  <c r="I473" i="24"/>
  <c r="D234" i="13"/>
  <c r="F23" i="22"/>
  <c r="I53" i="34"/>
  <c r="E1833" i="24"/>
  <c r="E54" i="24"/>
  <c r="E1680" i="24"/>
  <c r="E2292" i="24"/>
  <c r="E655" i="24"/>
  <c r="E827" i="24"/>
  <c r="E1436" i="24"/>
  <c r="E1175" i="24"/>
  <c r="E2455" i="24"/>
  <c r="E1398" i="24"/>
  <c r="E133" i="24"/>
  <c r="E309" i="24"/>
  <c r="E2082" i="24"/>
  <c r="E1348" i="24"/>
  <c r="E2468" i="24"/>
  <c r="E535" i="24"/>
  <c r="E793" i="24"/>
  <c r="E2495" i="24"/>
  <c r="E2167" i="24"/>
  <c r="E1054" i="24"/>
  <c r="E704" i="24"/>
  <c r="E330" i="24"/>
  <c r="E1939" i="24"/>
  <c r="E71" i="24"/>
  <c r="E1794" i="24"/>
  <c r="E1060" i="24"/>
  <c r="E1220" i="24"/>
  <c r="E1660" i="24"/>
  <c r="E82" i="24"/>
  <c r="E2366" i="24"/>
  <c r="E642" i="24"/>
  <c r="E619" i="24"/>
  <c r="E1172" i="24"/>
  <c r="E1126" i="24"/>
  <c r="E102" i="24"/>
  <c r="E2260" i="24"/>
  <c r="E682" i="24"/>
  <c r="E1751" i="24"/>
  <c r="E1370" i="24"/>
  <c r="E882" i="24"/>
  <c r="E567" i="24"/>
  <c r="E941" i="24"/>
  <c r="E353" i="24"/>
  <c r="E100" i="24"/>
  <c r="E1828" i="24"/>
  <c r="E21" i="24"/>
  <c r="E814" i="24"/>
  <c r="Q227" i="24"/>
  <c r="M224" i="23" s="1"/>
  <c r="Q39" i="24"/>
  <c r="M36" i="23" s="1"/>
  <c r="Q175" i="24"/>
  <c r="M172" i="23" s="1"/>
  <c r="Q174" i="24"/>
  <c r="M171" i="23" s="1"/>
  <c r="Q210" i="24"/>
  <c r="M207" i="23" s="1"/>
  <c r="Q93" i="24"/>
  <c r="M90" i="23" s="1"/>
  <c r="Q83" i="24"/>
  <c r="M80" i="23" s="1"/>
  <c r="Q234" i="24"/>
  <c r="M231" i="23" s="1"/>
  <c r="Q132" i="24"/>
  <c r="M129" i="23" s="1"/>
  <c r="Q173" i="24"/>
  <c r="M170" i="23" s="1"/>
  <c r="D25" i="20"/>
  <c r="D45" i="20" s="1"/>
  <c r="K93" i="34"/>
  <c r="K13" i="38" s="1"/>
  <c r="C12" i="21"/>
  <c r="L14" i="34" s="1"/>
  <c r="E6" i="64"/>
  <c r="E6" i="58"/>
  <c r="J4" i="34"/>
  <c r="E6" i="20"/>
  <c r="E6" i="21"/>
  <c r="E6" i="22"/>
  <c r="B16" i="26"/>
  <c r="N16" i="26" s="1"/>
  <c r="D59" i="26"/>
  <c r="AB5" i="26"/>
  <c r="C86" i="34"/>
  <c r="L20" i="20"/>
  <c r="E133" i="12"/>
  <c r="E15" i="21"/>
  <c r="D38" i="26"/>
  <c r="E23" i="26"/>
  <c r="F252" i="13"/>
  <c r="F33" i="18"/>
  <c r="E49" i="27"/>
  <c r="E12" i="27"/>
  <c r="G16" i="22"/>
  <c r="F7" i="26"/>
  <c r="H44" i="34"/>
  <c r="K5" i="20"/>
  <c r="K37" i="20" s="1"/>
  <c r="K5" i="21"/>
  <c r="K8" i="74" s="1"/>
  <c r="K20" i="74" s="1"/>
  <c r="D3" i="34"/>
  <c r="K5" i="22"/>
  <c r="I10" i="22"/>
  <c r="H6" i="26"/>
  <c r="G131" i="12"/>
  <c r="G162" i="12"/>
  <c r="G75" i="12" s="1"/>
  <c r="B248" i="13"/>
  <c r="L81" i="34"/>
  <c r="C13" i="20"/>
  <c r="C35" i="87" s="1"/>
  <c r="M322" i="24"/>
  <c r="M744" i="24"/>
  <c r="M207" i="24"/>
  <c r="M221" i="24"/>
  <c r="M423" i="24"/>
  <c r="M417" i="24"/>
  <c r="M392" i="24"/>
  <c r="M638" i="24"/>
  <c r="M509" i="24"/>
  <c r="M513" i="24"/>
  <c r="M90" i="24"/>
  <c r="M112" i="24"/>
  <c r="M756" i="24"/>
  <c r="M497" i="24"/>
  <c r="M37" i="24"/>
  <c r="M576" i="24"/>
  <c r="M700" i="24"/>
  <c r="M605" i="24"/>
  <c r="H90" i="34"/>
  <c r="G23" i="20"/>
  <c r="L9" i="20"/>
  <c r="C72" i="34"/>
  <c r="I258" i="24"/>
  <c r="I72" i="24"/>
  <c r="I771" i="24"/>
  <c r="I1088" i="24"/>
  <c r="I638" i="24"/>
  <c r="I107" i="24"/>
  <c r="I44" i="24"/>
  <c r="I1100" i="24"/>
  <c r="I1012" i="24"/>
  <c r="I978" i="24"/>
  <c r="I999" i="24"/>
  <c r="I1000" i="24"/>
  <c r="I841" i="24"/>
  <c r="I1192" i="24"/>
  <c r="I610" i="24"/>
  <c r="I577" i="24"/>
  <c r="I680" i="24"/>
  <c r="I377" i="24"/>
  <c r="I582" i="24"/>
  <c r="I1113" i="24"/>
  <c r="I381" i="24"/>
  <c r="I404" i="24"/>
  <c r="I528" i="24"/>
  <c r="I812" i="24"/>
  <c r="I70" i="24"/>
  <c r="I537" i="24"/>
  <c r="I536" i="24"/>
  <c r="I389" i="24"/>
  <c r="I886" i="24"/>
  <c r="I54" i="24"/>
  <c r="I370" i="24"/>
  <c r="I689" i="24"/>
  <c r="I1225" i="24"/>
  <c r="I915" i="24"/>
  <c r="I243" i="24"/>
  <c r="I182" i="24"/>
  <c r="I870" i="24"/>
  <c r="I1231" i="24"/>
  <c r="I287" i="24"/>
  <c r="I1257" i="24"/>
  <c r="I333" i="24"/>
  <c r="I345" i="24"/>
  <c r="I719" i="24"/>
  <c r="I759" i="24"/>
  <c r="I646" i="24"/>
  <c r="I911" i="24"/>
  <c r="I543" i="24"/>
  <c r="I556" i="24"/>
  <c r="I868" i="24"/>
  <c r="I824" i="24"/>
  <c r="I1150" i="24"/>
  <c r="I120" i="12"/>
  <c r="I105" i="12"/>
  <c r="I48" i="12" s="1"/>
  <c r="I149" i="12"/>
  <c r="D23" i="22"/>
  <c r="K53" i="34"/>
  <c r="E1635" i="24"/>
  <c r="E531" i="24"/>
  <c r="E2396" i="24"/>
  <c r="E85" i="24"/>
  <c r="E895" i="24"/>
  <c r="E397" i="24"/>
  <c r="E1606" i="24"/>
  <c r="E1463" i="24"/>
  <c r="E1303" i="24"/>
  <c r="E2076" i="24"/>
  <c r="E302" i="24"/>
  <c r="E150" i="24"/>
  <c r="E629" i="24"/>
  <c r="E368" i="24"/>
  <c r="E109" i="24"/>
  <c r="E1015" i="24"/>
  <c r="E1724" i="24"/>
  <c r="E106" i="24"/>
  <c r="E2179" i="24"/>
  <c r="E14" i="24"/>
  <c r="E191" i="24"/>
  <c r="E118" i="24"/>
  <c r="E401" i="24"/>
  <c r="E1214" i="24"/>
  <c r="E1095" i="24"/>
  <c r="E429" i="24"/>
  <c r="E1516" i="24"/>
  <c r="E2012" i="24"/>
  <c r="E1108" i="24"/>
  <c r="E1683" i="24"/>
  <c r="E2039" i="24"/>
  <c r="E1783" i="24"/>
  <c r="E344" i="24"/>
  <c r="E185" i="24"/>
  <c r="E1581" i="24"/>
  <c r="E154" i="24"/>
  <c r="E1410" i="24"/>
  <c r="E552" i="24"/>
  <c r="E1084" i="24"/>
  <c r="E556" i="24"/>
  <c r="E687" i="24"/>
  <c r="E365" i="24"/>
  <c r="E143" i="24"/>
  <c r="E589" i="24"/>
  <c r="H75" i="34"/>
  <c r="G11" i="20"/>
  <c r="G39" i="20" s="1"/>
  <c r="G84" i="34"/>
  <c r="H18" i="20"/>
  <c r="I15" i="26"/>
  <c r="Q248" i="24"/>
  <c r="M245" i="23" s="1"/>
  <c r="Q95" i="24"/>
  <c r="M92" i="23" s="1"/>
  <c r="Q11" i="24"/>
  <c r="M8" i="23" s="1"/>
  <c r="Q75" i="24"/>
  <c r="M72" i="23" s="1"/>
  <c r="Q254" i="24"/>
  <c r="M251" i="23" s="1"/>
  <c r="Q64" i="24"/>
  <c r="M61" i="23" s="1"/>
  <c r="Q74" i="24"/>
  <c r="M71" i="23" s="1"/>
  <c r="Q77" i="24"/>
  <c r="M74" i="23" s="1"/>
  <c r="Q226" i="24"/>
  <c r="M223" i="23" s="1"/>
  <c r="Q168" i="24"/>
  <c r="M165" i="23" s="1"/>
  <c r="Q140" i="24"/>
  <c r="M137" i="23" s="1"/>
  <c r="Q46" i="24"/>
  <c r="M43" i="23" s="1"/>
  <c r="H83" i="34"/>
  <c r="G17" i="20"/>
  <c r="G160" i="12"/>
  <c r="G137" i="12"/>
  <c r="K25" i="20"/>
  <c r="K45" i="20" s="1"/>
  <c r="D93" i="34"/>
  <c r="D13" i="38" s="1"/>
  <c r="H32" i="22"/>
  <c r="G65" i="34"/>
  <c r="H49" i="26"/>
  <c r="F31" i="20"/>
  <c r="I101" i="34"/>
  <c r="C6" i="58"/>
  <c r="C6" i="64"/>
  <c r="C6" i="22"/>
  <c r="C6" i="20"/>
  <c r="I16" i="26"/>
  <c r="U16" i="26" s="1"/>
  <c r="D32" i="20"/>
  <c r="K102" i="34"/>
  <c r="D12" i="26"/>
  <c r="J59" i="34"/>
  <c r="E122" i="12"/>
  <c r="E150" i="12"/>
  <c r="E52" i="12" s="1"/>
  <c r="E53" i="12"/>
  <c r="F5" i="58"/>
  <c r="F5" i="64"/>
  <c r="F5" i="21"/>
  <c r="F8" i="74" s="1"/>
  <c r="F20" i="74" s="1"/>
  <c r="F5" i="20"/>
  <c r="F37" i="20" s="1"/>
  <c r="G10" i="22"/>
  <c r="F6" i="26"/>
  <c r="H61" i="18"/>
  <c r="G28" i="34"/>
  <c r="G30" i="34" s="1"/>
  <c r="E13" i="20"/>
  <c r="E35" i="87" s="1"/>
  <c r="J81" i="34"/>
  <c r="D248" i="13"/>
  <c r="M176" i="24"/>
  <c r="M373" i="24"/>
  <c r="M676" i="24"/>
  <c r="M507" i="24"/>
  <c r="M566" i="24"/>
  <c r="M138" i="24"/>
  <c r="M24" i="24"/>
  <c r="M753" i="24"/>
  <c r="M519" i="24"/>
  <c r="M733" i="24"/>
  <c r="M295" i="24"/>
  <c r="M649" i="24"/>
  <c r="M404" i="24"/>
  <c r="M558" i="24"/>
  <c r="M58" i="24"/>
  <c r="M759" i="24"/>
  <c r="M126" i="24"/>
  <c r="M265" i="24"/>
  <c r="M631" i="24"/>
  <c r="M346" i="24"/>
  <c r="M615" i="24"/>
  <c r="M597" i="24"/>
  <c r="M13" i="24"/>
  <c r="M451" i="24"/>
  <c r="E35" i="12"/>
  <c r="E100" i="12"/>
  <c r="E94" i="34"/>
  <c r="E14" i="38" s="1"/>
  <c r="J26" i="20"/>
  <c r="J46" i="20" s="1"/>
  <c r="I12" i="20"/>
  <c r="I40" i="20" s="1"/>
  <c r="F77" i="34"/>
  <c r="F7" i="38" s="1"/>
  <c r="E120" i="13"/>
  <c r="F10" i="21"/>
  <c r="F129" i="12"/>
  <c r="F166" i="12"/>
  <c r="F71" i="12" s="1"/>
  <c r="F90" i="34"/>
  <c r="I23" i="20"/>
  <c r="J47" i="34"/>
  <c r="J43" i="38" s="1"/>
  <c r="E19" i="22"/>
  <c r="C9" i="20"/>
  <c r="L72" i="34"/>
  <c r="B53" i="27"/>
  <c r="B61" i="27"/>
  <c r="B60" i="26"/>
  <c r="B68" i="26"/>
  <c r="C13" i="22"/>
  <c r="N24" i="26" s="1"/>
  <c r="L39" i="34"/>
  <c r="I945" i="24"/>
  <c r="I808" i="24"/>
  <c r="I172" i="24"/>
  <c r="I826" i="24"/>
  <c r="I733" i="24"/>
  <c r="I1110" i="24"/>
  <c r="I865" i="24"/>
  <c r="I266" i="24"/>
  <c r="I723" i="24"/>
  <c r="I1168" i="24"/>
  <c r="I784" i="24"/>
  <c r="I280" i="24"/>
  <c r="I57" i="24"/>
  <c r="I1187" i="24"/>
  <c r="I379" i="24"/>
  <c r="I378" i="24"/>
  <c r="I336" i="24"/>
  <c r="I1242" i="24"/>
  <c r="I847" i="24"/>
  <c r="I254" i="24"/>
  <c r="I314" i="24"/>
  <c r="I303" i="24"/>
  <c r="I540" i="24"/>
  <c r="I770" i="24"/>
  <c r="I459" i="24"/>
  <c r="I508" i="24"/>
  <c r="I607" i="24"/>
  <c r="I1015" i="24"/>
  <c r="I1239" i="24"/>
  <c r="I599" i="24"/>
  <c r="I1159" i="24"/>
  <c r="I1196" i="24"/>
  <c r="I278" i="24"/>
  <c r="I744" i="24"/>
  <c r="I732" i="24"/>
  <c r="I631" i="24"/>
  <c r="I1063" i="24"/>
  <c r="I232" i="24"/>
  <c r="I470" i="24"/>
  <c r="I221" i="24"/>
  <c r="F120" i="12"/>
  <c r="F105" i="12"/>
  <c r="F48" i="12" s="1"/>
  <c r="F149" i="12"/>
  <c r="H73" i="34"/>
  <c r="G10" i="20"/>
  <c r="G38" i="20" s="1"/>
  <c r="E454" i="24"/>
  <c r="E67" i="24"/>
  <c r="E1426" i="24"/>
  <c r="E1543" i="24"/>
  <c r="E876" i="24"/>
  <c r="E1709" i="24"/>
  <c r="E90" i="24"/>
  <c r="E60" i="24"/>
  <c r="E487" i="24"/>
  <c r="E62" i="24"/>
  <c r="E324" i="24"/>
  <c r="E260" i="24"/>
  <c r="E1268" i="24"/>
  <c r="E1262" i="24"/>
  <c r="E1795" i="24"/>
  <c r="E7" i="24"/>
  <c r="E2311" i="24"/>
  <c r="E445" i="24"/>
  <c r="E486" i="24"/>
  <c r="E1116" i="24"/>
  <c r="E201" i="24"/>
  <c r="E650" i="24"/>
  <c r="F147" i="12"/>
  <c r="F42" i="12" s="1"/>
  <c r="F118" i="12"/>
  <c r="K75" i="34"/>
  <c r="D11" i="20"/>
  <c r="D39" i="20" s="1"/>
  <c r="I18" i="20"/>
  <c r="F84" i="34"/>
  <c r="L19" i="21"/>
  <c r="Q206" i="24"/>
  <c r="M203" i="23" s="1"/>
  <c r="Q250" i="24"/>
  <c r="M247" i="23" s="1"/>
  <c r="Q26" i="24"/>
  <c r="M23" i="23" s="1"/>
  <c r="Q47" i="24"/>
  <c r="M44" i="23" s="1"/>
  <c r="Q148" i="24"/>
  <c r="M145" i="23" s="1"/>
  <c r="Q218" i="24"/>
  <c r="M215" i="23" s="1"/>
  <c r="Q94" i="24"/>
  <c r="M91" i="23" s="1"/>
  <c r="Q125" i="24"/>
  <c r="M122" i="23" s="1"/>
  <c r="L17" i="20"/>
  <c r="C83" i="34"/>
  <c r="H137" i="12"/>
  <c r="K32" i="22"/>
  <c r="D65" i="34"/>
  <c r="C49" i="26"/>
  <c r="J101" i="34"/>
  <c r="E31" i="20"/>
  <c r="I6" i="64"/>
  <c r="I6" i="58"/>
  <c r="I6" i="22"/>
  <c r="I6" i="20"/>
  <c r="I6" i="21"/>
  <c r="I9" i="74" s="1"/>
  <c r="F4" i="34"/>
  <c r="D16" i="26"/>
  <c r="P16" i="26" s="1"/>
  <c r="D102" i="34"/>
  <c r="K32" i="20"/>
  <c r="I135" i="12"/>
  <c r="I168" i="12"/>
  <c r="I83" i="12" s="1"/>
  <c r="J20" i="20"/>
  <c r="E86" i="34"/>
  <c r="E14" i="22"/>
  <c r="J40" i="34"/>
  <c r="P7" i="26"/>
  <c r="C58" i="34"/>
  <c r="L27" i="22"/>
  <c r="D28" i="22"/>
  <c r="K59" i="34"/>
  <c r="B8" i="91" s="1"/>
  <c r="B25" i="91" s="1"/>
  <c r="C12" i="27"/>
  <c r="C49" i="27"/>
  <c r="C12" i="26"/>
  <c r="C56" i="26"/>
  <c r="G150" i="12"/>
  <c r="G52" i="12" s="1"/>
  <c r="G122" i="12"/>
  <c r="E25" i="34"/>
  <c r="I46" i="26"/>
  <c r="I48" i="26" s="1"/>
  <c r="I39" i="27"/>
  <c r="F16" i="3"/>
  <c r="F5" i="3"/>
  <c r="C16" i="21"/>
  <c r="L18" i="34" s="1"/>
  <c r="B39" i="26"/>
  <c r="L28" i="34"/>
  <c r="C61" i="18"/>
  <c r="C30" i="20"/>
  <c r="L100" i="34"/>
  <c r="M100" i="34" s="1"/>
  <c r="N100" i="34" s="1"/>
  <c r="O100" i="34" s="1"/>
  <c r="P100" i="34" s="1"/>
  <c r="Q100" i="34" s="1"/>
  <c r="E26" i="22"/>
  <c r="J57" i="34"/>
  <c r="L19" i="20"/>
  <c r="C85" i="34"/>
  <c r="H81" i="34"/>
  <c r="G13" i="20"/>
  <c r="G35" i="87" s="1"/>
  <c r="F248" i="13"/>
  <c r="M639" i="24"/>
  <c r="M118" i="24"/>
  <c r="M272" i="24"/>
  <c r="M222" i="24"/>
  <c r="M370" i="24"/>
  <c r="M121" i="24"/>
  <c r="M683" i="24"/>
  <c r="M757" i="24"/>
  <c r="M260" i="24"/>
  <c r="M289" i="24"/>
  <c r="M726" i="24"/>
  <c r="M329" i="24"/>
  <c r="M735" i="24"/>
  <c r="M145" i="24"/>
  <c r="M313" i="24"/>
  <c r="M471" i="24"/>
  <c r="M241" i="24"/>
  <c r="M646" i="24"/>
  <c r="M588" i="24"/>
  <c r="M302" i="24"/>
  <c r="M686" i="24"/>
  <c r="M653" i="24"/>
  <c r="M390" i="24"/>
  <c r="M199" i="24"/>
  <c r="M243" i="24"/>
  <c r="L26" i="20"/>
  <c r="L46" i="20" s="1"/>
  <c r="C94" i="34"/>
  <c r="C14" i="38" s="1"/>
  <c r="I91" i="34"/>
  <c r="I12" i="38" s="1"/>
  <c r="F24" i="20"/>
  <c r="F44" i="20" s="1"/>
  <c r="D77" i="34"/>
  <c r="D7" i="38" s="1"/>
  <c r="K12" i="20"/>
  <c r="K40" i="20" s="1"/>
  <c r="D90" i="34"/>
  <c r="K23" i="20"/>
  <c r="H47" i="34"/>
  <c r="F9" i="26"/>
  <c r="G19" i="22"/>
  <c r="I707" i="24"/>
  <c r="I946" i="24"/>
  <c r="I951" i="24"/>
  <c r="I764" i="24"/>
  <c r="I128" i="24"/>
  <c r="I86" i="24"/>
  <c r="I876" i="24"/>
  <c r="I247" i="24"/>
  <c r="I71" i="24"/>
  <c r="I1095" i="24"/>
  <c r="I144" i="24"/>
  <c r="I145" i="24"/>
  <c r="I211" i="24"/>
  <c r="I1135" i="24"/>
  <c r="I601" i="24"/>
  <c r="I1222" i="24"/>
  <c r="I892" i="24"/>
  <c r="I538" i="24"/>
  <c r="I1094" i="24"/>
  <c r="I1220" i="24"/>
  <c r="I903" i="24"/>
  <c r="I430" i="24"/>
  <c r="I913" i="24"/>
  <c r="I614" i="24"/>
  <c r="I75" i="24"/>
  <c r="I82" i="24"/>
  <c r="I887" i="24"/>
  <c r="I105" i="24"/>
  <c r="I131" i="24"/>
  <c r="I918" i="24"/>
  <c r="I569" i="24"/>
  <c r="I474" i="24"/>
  <c r="I774" i="24"/>
  <c r="I1227" i="24"/>
  <c r="I828" i="24"/>
  <c r="I1142" i="24"/>
  <c r="I225" i="24"/>
  <c r="I703" i="24"/>
  <c r="I684" i="24"/>
  <c r="H105" i="12"/>
  <c r="H48" i="12" s="1"/>
  <c r="H149" i="12"/>
  <c r="H120" i="12"/>
  <c r="C234" i="13"/>
  <c r="C23" i="22"/>
  <c r="L53" i="34"/>
  <c r="K73" i="34"/>
  <c r="D10" i="20"/>
  <c r="D38" i="20" s="1"/>
  <c r="E671" i="24"/>
  <c r="E1184" i="24"/>
  <c r="E2113" i="24"/>
  <c r="E843" i="24"/>
  <c r="E2108" i="24"/>
  <c r="E735" i="24"/>
  <c r="E1316" i="24"/>
  <c r="E543" i="24"/>
  <c r="E451" i="24"/>
  <c r="E423" i="24"/>
  <c r="E1935" i="24"/>
  <c r="E2340" i="24"/>
  <c r="E229" i="24"/>
  <c r="E2439" i="24"/>
  <c r="E1458" i="24"/>
  <c r="E411" i="24"/>
  <c r="E111" i="24"/>
  <c r="E506" i="24"/>
  <c r="E199" i="24"/>
  <c r="E2404" i="24"/>
  <c r="E135" i="24"/>
  <c r="E1511" i="24"/>
  <c r="E30" i="24"/>
  <c r="E1932" i="24"/>
  <c r="E2364" i="24"/>
  <c r="E1396" i="24"/>
  <c r="E485" i="24"/>
  <c r="E2095" i="24"/>
  <c r="E1170" i="24"/>
  <c r="E2326" i="24"/>
  <c r="E25" i="24"/>
  <c r="E122" i="24"/>
  <c r="E2349" i="24"/>
  <c r="E570" i="24"/>
  <c r="E1004" i="24"/>
  <c r="E617" i="24"/>
  <c r="E173" i="24"/>
  <c r="E2270" i="24"/>
  <c r="E546" i="24"/>
  <c r="E268" i="24"/>
  <c r="E1028" i="24"/>
  <c r="E1230" i="24"/>
  <c r="E805" i="24"/>
  <c r="E2164" i="24"/>
  <c r="E575" i="24"/>
  <c r="E292" i="24"/>
  <c r="E1159" i="24"/>
  <c r="E114" i="24"/>
  <c r="E321" i="24"/>
  <c r="E1596" i="24"/>
  <c r="E775" i="24"/>
  <c r="G18" i="20"/>
  <c r="H84" i="34"/>
  <c r="G15" i="26"/>
  <c r="H19" i="21"/>
  <c r="Q235" i="24"/>
  <c r="M232" i="23" s="1"/>
  <c r="Q245" i="24"/>
  <c r="M242" i="23" s="1"/>
  <c r="Q15" i="24"/>
  <c r="M12" i="23" s="1"/>
  <c r="Q57" i="24"/>
  <c r="M54" i="23" s="1"/>
  <c r="Q67" i="24"/>
  <c r="M64" i="23" s="1"/>
  <c r="Q184" i="24"/>
  <c r="M181" i="23" s="1"/>
  <c r="Q186" i="24"/>
  <c r="M183" i="23" s="1"/>
  <c r="Q109" i="24"/>
  <c r="M106" i="23" s="1"/>
  <c r="J83" i="34"/>
  <c r="E17" i="20"/>
  <c r="F137" i="12"/>
  <c r="J32" i="22"/>
  <c r="E65" i="34"/>
  <c r="F12" i="21"/>
  <c r="I14" i="34" s="1"/>
  <c r="E14" i="26"/>
  <c r="E14" i="27"/>
  <c r="K101" i="34"/>
  <c r="D31" i="20"/>
  <c r="G6" i="58"/>
  <c r="G6" i="22"/>
  <c r="H4" i="34"/>
  <c r="G6" i="21"/>
  <c r="G9" i="74" s="1"/>
  <c r="G6" i="20"/>
  <c r="E21" i="22"/>
  <c r="J49" i="34"/>
  <c r="D10" i="26"/>
  <c r="H86" i="34"/>
  <c r="G20" i="20"/>
  <c r="U7" i="26"/>
  <c r="J14" i="22"/>
  <c r="E40" i="34"/>
  <c r="H28" i="22"/>
  <c r="G56" i="26"/>
  <c r="G49" i="27"/>
  <c r="G12" i="26"/>
  <c r="G59" i="34"/>
  <c r="G12" i="27"/>
  <c r="H53" i="12"/>
  <c r="H150" i="12"/>
  <c r="H52" i="12" s="1"/>
  <c r="H122" i="12"/>
  <c r="E16" i="22"/>
  <c r="J44" i="34"/>
  <c r="D7" i="26"/>
  <c r="D10" i="22"/>
  <c r="C6" i="26"/>
  <c r="C46" i="26"/>
  <c r="C48" i="26" s="1"/>
  <c r="K25" i="34"/>
  <c r="F100" i="34"/>
  <c r="I30" i="20"/>
  <c r="H57" i="34"/>
  <c r="G26" i="22"/>
  <c r="F13" i="20"/>
  <c r="F35" i="87" s="1"/>
  <c r="I81" i="34"/>
  <c r="E248" i="13"/>
  <c r="M103" i="24"/>
  <c r="M100" i="24"/>
  <c r="M361" i="24"/>
  <c r="M267" i="24"/>
  <c r="M335" i="24"/>
  <c r="M466" i="24"/>
  <c r="M488" i="24"/>
  <c r="M383" i="24"/>
  <c r="M165" i="24"/>
  <c r="M64" i="24"/>
  <c r="M424" i="24"/>
  <c r="M93" i="24"/>
  <c r="M284" i="24"/>
  <c r="M502" i="24"/>
  <c r="M47" i="24"/>
  <c r="M291" i="24"/>
  <c r="M318" i="24"/>
  <c r="M602" i="24"/>
  <c r="M182" i="24"/>
  <c r="M453" i="24"/>
  <c r="M410" i="24"/>
  <c r="M379" i="24"/>
  <c r="M716" i="24"/>
  <c r="M491" i="24"/>
  <c r="M276" i="24"/>
  <c r="M527" i="24"/>
  <c r="M607" i="24"/>
  <c r="F91" i="34"/>
  <c r="I24" i="20"/>
  <c r="I44" i="20" s="1"/>
  <c r="L77" i="34"/>
  <c r="L7" i="38" s="1"/>
  <c r="C12" i="20"/>
  <c r="C40" i="20" s="1"/>
  <c r="G37" i="12"/>
  <c r="G102" i="12" s="1"/>
  <c r="G38" i="12" s="1"/>
  <c r="G116" i="12"/>
  <c r="H166" i="12"/>
  <c r="H71" i="12" s="1"/>
  <c r="H129" i="12"/>
  <c r="L23" i="20"/>
  <c r="C90" i="34"/>
  <c r="G9" i="26"/>
  <c r="G161" i="12"/>
  <c r="F46" i="12" s="1"/>
  <c r="G104" i="12"/>
  <c r="G44" i="12" s="1"/>
  <c r="G148" i="12"/>
  <c r="G45" i="12" s="1"/>
  <c r="G119" i="12"/>
  <c r="I1169" i="24"/>
  <c r="I493" i="24"/>
  <c r="I715" i="24"/>
  <c r="I1020" i="24"/>
  <c r="I589" i="24"/>
  <c r="I637" i="24"/>
  <c r="I65" i="24"/>
  <c r="I620" i="24"/>
  <c r="I931" i="24"/>
  <c r="I925" i="24"/>
  <c r="I355" i="24"/>
  <c r="I624" i="24"/>
  <c r="I255" i="24"/>
  <c r="I51" i="24"/>
  <c r="I749" i="24"/>
  <c r="I30" i="24"/>
  <c r="I116" i="24"/>
  <c r="I1200" i="24"/>
  <c r="I795" i="24"/>
  <c r="I989" i="24"/>
  <c r="I331" i="24"/>
  <c r="I127" i="24"/>
  <c r="I308" i="24"/>
  <c r="I525" i="24"/>
  <c r="I987" i="24"/>
  <c r="I726" i="24"/>
  <c r="I521" i="24"/>
  <c r="G120" i="12"/>
  <c r="G149" i="12"/>
  <c r="H23" i="22"/>
  <c r="G53" i="34"/>
  <c r="E415" i="24"/>
  <c r="E204" i="24"/>
  <c r="E733" i="24"/>
  <c r="E902" i="24"/>
  <c r="E266" i="24"/>
  <c r="E789" i="24"/>
  <c r="E2004" i="24"/>
  <c r="E289" i="24"/>
  <c r="E73" i="24"/>
  <c r="E959" i="24"/>
  <c r="E1372" i="24"/>
  <c r="E1900" i="24"/>
  <c r="E242" i="24"/>
  <c r="E1012" i="24"/>
  <c r="E482" i="24"/>
  <c r="E1631" i="24"/>
  <c r="E1250" i="24"/>
  <c r="E1862" i="24"/>
  <c r="E471" i="24"/>
  <c r="E38" i="24"/>
  <c r="E2466" i="24"/>
  <c r="E118" i="12"/>
  <c r="J11" i="20"/>
  <c r="J39" i="20" s="1"/>
  <c r="E75" i="34"/>
  <c r="E6" i="38" s="1"/>
  <c r="Q117" i="24"/>
  <c r="M114" i="23" s="1"/>
  <c r="Q178" i="24"/>
  <c r="M175" i="23" s="1"/>
  <c r="Q112" i="24"/>
  <c r="M109" i="23" s="1"/>
  <c r="Q180" i="24"/>
  <c r="M177" i="23" s="1"/>
  <c r="E137" i="12"/>
  <c r="E160" i="12"/>
  <c r="L32" i="22"/>
  <c r="C65" i="34"/>
  <c r="B49" i="26"/>
  <c r="J12" i="21"/>
  <c r="E14" i="34" s="1"/>
  <c r="I14" i="26"/>
  <c r="U14" i="26" s="1"/>
  <c r="I14" i="27"/>
  <c r="U14" i="27" s="1"/>
  <c r="I31" i="20"/>
  <c r="F101" i="34"/>
  <c r="D6" i="58"/>
  <c r="D6" i="64"/>
  <c r="D6" i="20"/>
  <c r="K4" i="34"/>
  <c r="D6" i="21"/>
  <c r="D6" i="22"/>
  <c r="I49" i="34"/>
  <c r="F21" i="22"/>
  <c r="E10" i="26"/>
  <c r="K86" i="34"/>
  <c r="D20" i="20"/>
  <c r="C15" i="21"/>
  <c r="B38" i="26"/>
  <c r="J33" i="18"/>
  <c r="I23" i="26"/>
  <c r="F14" i="22"/>
  <c r="Q7" i="26"/>
  <c r="I40" i="34"/>
  <c r="J27" i="22"/>
  <c r="E58" i="34"/>
  <c r="L28" i="22"/>
  <c r="C59" i="34"/>
  <c r="I53" i="12"/>
  <c r="I122" i="12"/>
  <c r="I150" i="12"/>
  <c r="I52" i="12" s="1"/>
  <c r="G7" i="26"/>
  <c r="C5" i="58"/>
  <c r="C5" i="20"/>
  <c r="C37" i="20" s="1"/>
  <c r="B4" i="26"/>
  <c r="L3" i="34"/>
  <c r="C5" i="21"/>
  <c r="C5" i="22"/>
  <c r="J10" i="22"/>
  <c r="I6" i="26"/>
  <c r="L25" i="34"/>
  <c r="B46" i="26"/>
  <c r="B48" i="26" s="1"/>
  <c r="D27" i="34"/>
  <c r="D29" i="34" s="1"/>
  <c r="K24" i="21"/>
  <c r="L30" i="20"/>
  <c r="C100" i="34"/>
  <c r="K26" i="22"/>
  <c r="D57" i="34"/>
  <c r="D85" i="34"/>
  <c r="K19" i="20"/>
  <c r="M745" i="24"/>
  <c r="M746" i="24"/>
  <c r="M517" i="24"/>
  <c r="M429" i="24"/>
  <c r="M516" i="24"/>
  <c r="M634" i="24"/>
  <c r="M565" i="24"/>
  <c r="M27" i="24"/>
  <c r="M321" i="24"/>
  <c r="M96" i="24"/>
  <c r="M529" i="24"/>
  <c r="M79" i="24"/>
  <c r="M704" i="24"/>
  <c r="M127" i="24"/>
  <c r="M55" i="24"/>
  <c r="M439" i="24"/>
  <c r="M78" i="24"/>
  <c r="M668" i="24"/>
  <c r="M581" i="24"/>
  <c r="M342" i="24"/>
  <c r="M406" i="24"/>
  <c r="M470" i="24"/>
  <c r="M129" i="24"/>
  <c r="M213" i="24"/>
  <c r="D94" i="34"/>
  <c r="D14" i="38" s="1"/>
  <c r="K26" i="20"/>
  <c r="K46" i="20" s="1"/>
  <c r="K91" i="34"/>
  <c r="D24" i="20"/>
  <c r="D44" i="20" s="1"/>
  <c r="C77" i="34"/>
  <c r="L12" i="20"/>
  <c r="L40" i="20" s="1"/>
  <c r="E129" i="12"/>
  <c r="B9" i="26"/>
  <c r="Z18" i="27"/>
  <c r="C19" i="22"/>
  <c r="L47" i="34"/>
  <c r="L43" i="38" s="1"/>
  <c r="H161" i="12"/>
  <c r="G46" i="12" s="1"/>
  <c r="H119" i="12"/>
  <c r="R6" i="26"/>
  <c r="G13" i="22"/>
  <c r="I1044" i="24"/>
  <c r="I738" i="24"/>
  <c r="I217" i="24"/>
  <c r="I315" i="24"/>
  <c r="I629" i="24"/>
  <c r="I1255" i="24"/>
  <c r="I339" i="24"/>
  <c r="I898" i="24"/>
  <c r="I43" i="24"/>
  <c r="I1034" i="24"/>
  <c r="I276" i="24"/>
  <c r="I360" i="24"/>
  <c r="I241" i="24"/>
  <c r="I396" i="24"/>
  <c r="I541" i="24"/>
  <c r="I171" i="24"/>
  <c r="I874" i="24"/>
  <c r="I975" i="24"/>
  <c r="I80" i="24"/>
  <c r="I1177" i="24"/>
  <c r="I408" i="24"/>
  <c r="I806" i="24"/>
  <c r="I139" i="24"/>
  <c r="I722" i="24"/>
  <c r="I941" i="24"/>
  <c r="I526" i="24"/>
  <c r="I677" i="24"/>
  <c r="I609" i="24"/>
  <c r="I682" i="24"/>
  <c r="J23" i="22"/>
  <c r="E53" i="34"/>
  <c r="E781" i="24"/>
  <c r="E1571" i="24"/>
  <c r="E1919" i="24"/>
  <c r="E2318" i="24"/>
  <c r="E1325" i="24"/>
  <c r="E26" i="24"/>
  <c r="E1314" i="24"/>
  <c r="E296" i="24"/>
  <c r="G147" i="12"/>
  <c r="G42" i="12" s="1"/>
  <c r="G118" i="12"/>
  <c r="C84" i="34"/>
  <c r="L18" i="20"/>
  <c r="Q151" i="24"/>
  <c r="M148" i="23" s="1"/>
  <c r="Q201" i="24"/>
  <c r="M198" i="23" s="1"/>
  <c r="Q191" i="24"/>
  <c r="M188" i="23" s="1"/>
  <c r="Q91" i="24"/>
  <c r="M88" i="23" s="1"/>
  <c r="Q61" i="24"/>
  <c r="M58" i="23" s="1"/>
  <c r="Q214" i="24"/>
  <c r="M211" i="23" s="1"/>
  <c r="Q170" i="24"/>
  <c r="M167" i="23" s="1"/>
  <c r="Q134" i="24"/>
  <c r="M131" i="23" s="1"/>
  <c r="Q29" i="24"/>
  <c r="M26" i="23" s="1"/>
  <c r="D17" i="20"/>
  <c r="K83" i="34"/>
  <c r="I160" i="12"/>
  <c r="I137" i="12"/>
  <c r="G32" i="22"/>
  <c r="H65" i="34"/>
  <c r="E49" i="26"/>
  <c r="E50" i="26" s="1"/>
  <c r="D14" i="26"/>
  <c r="P14" i="26" s="1"/>
  <c r="D14" i="27"/>
  <c r="E12" i="21"/>
  <c r="J14" i="34" s="1"/>
  <c r="G31" i="20"/>
  <c r="H101" i="34"/>
  <c r="H6" i="64"/>
  <c r="H6" i="21"/>
  <c r="H9" i="74" s="1"/>
  <c r="H6" i="22"/>
  <c r="E32" i="20"/>
  <c r="J102" i="34"/>
  <c r="B59" i="26"/>
  <c r="Z5" i="26"/>
  <c r="E20" i="20"/>
  <c r="J86" i="34"/>
  <c r="F38" i="26"/>
  <c r="G15" i="21"/>
  <c r="H40" i="34"/>
  <c r="G14" i="22"/>
  <c r="R7" i="26"/>
  <c r="F58" i="34"/>
  <c r="I27" i="22"/>
  <c r="K28" i="22"/>
  <c r="D59" i="34"/>
  <c r="F53" i="12"/>
  <c r="F122" i="12"/>
  <c r="I16" i="22"/>
  <c r="H7" i="26"/>
  <c r="F44" i="34"/>
  <c r="E5" i="58"/>
  <c r="E5" i="64"/>
  <c r="E5" i="20"/>
  <c r="E37" i="20" s="1"/>
  <c r="J3" i="34"/>
  <c r="D4" i="26"/>
  <c r="E5" i="21"/>
  <c r="E8" i="74" s="1"/>
  <c r="E20" i="74" s="1"/>
  <c r="E5" i="22"/>
  <c r="G46" i="26"/>
  <c r="G48" i="26" s="1"/>
  <c r="G39" i="27"/>
  <c r="G25" i="34"/>
  <c r="I60" i="18"/>
  <c r="I24" i="21"/>
  <c r="F27" i="34"/>
  <c r="G152" i="12"/>
  <c r="G57" i="12" s="1"/>
  <c r="G153" i="12"/>
  <c r="G58" i="12" s="1"/>
  <c r="J137" i="12"/>
  <c r="E61" i="18"/>
  <c r="J28" i="34"/>
  <c r="I100" i="34"/>
  <c r="F30" i="20"/>
  <c r="L26" i="22"/>
  <c r="C57" i="34"/>
  <c r="B256" i="13"/>
  <c r="B257" i="13"/>
  <c r="J19" i="20"/>
  <c r="E85" i="34"/>
  <c r="I248" i="13"/>
  <c r="J13" i="20"/>
  <c r="J35" i="87" s="1"/>
  <c r="E81" i="34"/>
  <c r="M476" i="24"/>
  <c r="M594" i="24"/>
  <c r="M595" i="24"/>
  <c r="M99" i="24"/>
  <c r="M102" i="24"/>
  <c r="M399" i="24"/>
  <c r="M530" i="24"/>
  <c r="M167" i="24"/>
  <c r="M120" i="24"/>
  <c r="M593" i="24"/>
  <c r="M132" i="24"/>
  <c r="M191" i="24"/>
  <c r="M525" i="24"/>
  <c r="M659" i="24"/>
  <c r="M474" i="24"/>
  <c r="M427" i="24"/>
  <c r="M148" i="24"/>
  <c r="M304" i="24"/>
  <c r="M568" i="24"/>
  <c r="M340" i="24"/>
  <c r="M575" i="24"/>
  <c r="M740" i="24"/>
  <c r="F94" i="34"/>
  <c r="F14" i="38" s="1"/>
  <c r="I26" i="20"/>
  <c r="I46" i="20" s="1"/>
  <c r="L91" i="34"/>
  <c r="C24" i="20"/>
  <c r="C44" i="20" s="1"/>
  <c r="H37" i="12"/>
  <c r="H116" i="12"/>
  <c r="G129" i="12"/>
  <c r="G166" i="12"/>
  <c r="G71" i="12" s="1"/>
  <c r="D19" i="22"/>
  <c r="C9" i="26"/>
  <c r="K47" i="34"/>
  <c r="K43" i="38" s="1"/>
  <c r="F148" i="12"/>
  <c r="F45" i="12" s="1"/>
  <c r="F161" i="12"/>
  <c r="E46" i="12" s="1"/>
  <c r="F119" i="12"/>
  <c r="H72" i="34"/>
  <c r="F68" i="26"/>
  <c r="H13" i="22"/>
  <c r="G39" i="34"/>
  <c r="S6" i="26"/>
  <c r="I28" i="24"/>
  <c r="I134" i="24"/>
  <c r="I310" i="24"/>
  <c r="I687" i="24"/>
  <c r="I300" i="24"/>
  <c r="I448" i="24"/>
  <c r="I291" i="24"/>
  <c r="I244" i="24"/>
  <c r="I1003" i="24"/>
  <c r="I916" i="24"/>
  <c r="I194" i="24"/>
  <c r="I650" i="24"/>
  <c r="I1160" i="24"/>
  <c r="I968" i="24"/>
  <c r="I1099" i="24"/>
  <c r="I76" i="24"/>
  <c r="I467" i="24"/>
  <c r="I313" i="24"/>
  <c r="I1128" i="24"/>
  <c r="I444" i="24"/>
  <c r="I942" i="24"/>
  <c r="I983" i="24"/>
  <c r="I234" i="24"/>
  <c r="I401" i="24"/>
  <c r="I864" i="24"/>
  <c r="I780" i="24"/>
  <c r="I1154" i="24"/>
  <c r="I896" i="24"/>
  <c r="I1048" i="24"/>
  <c r="I572" i="24"/>
  <c r="I1153" i="24"/>
  <c r="L73" i="34"/>
  <c r="C10" i="20"/>
  <c r="C38" i="20" s="1"/>
  <c r="C41" i="20" s="1"/>
  <c r="I168" i="13"/>
  <c r="I99" i="13"/>
  <c r="E603" i="24"/>
  <c r="E2298" i="24"/>
  <c r="E2300" i="24"/>
  <c r="E2002" i="24"/>
  <c r="E1507" i="24"/>
  <c r="E2023" i="24"/>
  <c r="E393" i="24"/>
  <c r="E677" i="24"/>
  <c r="E623" i="24"/>
  <c r="E1814" i="24"/>
  <c r="E1918" i="24"/>
  <c r="E275" i="24"/>
  <c r="E579" i="24"/>
  <c r="E314" i="24"/>
  <c r="E690" i="24"/>
  <c r="E607" i="24"/>
  <c r="E69" i="24"/>
  <c r="E207" i="24"/>
  <c r="E633" i="24"/>
  <c r="E361" i="24"/>
  <c r="E1574" i="24"/>
  <c r="E334" i="24"/>
  <c r="E1983" i="24"/>
  <c r="E1594" i="24"/>
  <c r="E1074" i="24"/>
  <c r="E2206" i="24"/>
  <c r="E759" i="24"/>
  <c r="E1747" i="24"/>
  <c r="E2093" i="24"/>
  <c r="E776" i="24"/>
  <c r="E1388" i="24"/>
  <c r="E481" i="24"/>
  <c r="E53" i="24"/>
  <c r="E2174" i="24"/>
  <c r="E450" i="24"/>
  <c r="E2090" i="24"/>
  <c r="E88" i="24"/>
  <c r="E2502" i="24"/>
  <c r="E2494" i="24"/>
  <c r="E1148" i="24"/>
  <c r="E1166" i="24"/>
  <c r="E583" i="24"/>
  <c r="E2234" i="24"/>
  <c r="E1699" i="24"/>
  <c r="E2215" i="24"/>
  <c r="I118" i="12"/>
  <c r="I103" i="12"/>
  <c r="I41" i="12" s="1"/>
  <c r="I147" i="12"/>
  <c r="I42" i="12" s="1"/>
  <c r="D75" i="34"/>
  <c r="D6" i="38" s="1"/>
  <c r="K11" i="20"/>
  <c r="K39" i="20" s="1"/>
  <c r="F124" i="12"/>
  <c r="F107" i="12"/>
  <c r="F60" i="12" s="1"/>
  <c r="D84" i="34"/>
  <c r="K18" i="20"/>
  <c r="D15" i="26"/>
  <c r="E19" i="21"/>
  <c r="Q146" i="24"/>
  <c r="M143" i="23" s="1"/>
  <c r="Q21" i="24"/>
  <c r="M18" i="23" s="1"/>
  <c r="Q128" i="24"/>
  <c r="M125" i="23" s="1"/>
  <c r="Q222" i="24"/>
  <c r="M219" i="23" s="1"/>
  <c r="Q212" i="24"/>
  <c r="M209" i="23" s="1"/>
  <c r="Q239" i="24"/>
  <c r="M236" i="23" s="1"/>
  <c r="Q182" i="24"/>
  <c r="M179" i="23" s="1"/>
  <c r="Q193" i="24"/>
  <c r="M190" i="23" s="1"/>
  <c r="Q259" i="24"/>
  <c r="M256" i="23" s="1"/>
  <c r="Q114" i="24"/>
  <c r="M111" i="23" s="1"/>
  <c r="Q103" i="24"/>
  <c r="M100" i="23" s="1"/>
  <c r="Q152" i="24"/>
  <c r="M149" i="23" s="1"/>
  <c r="Q87" i="24"/>
  <c r="M84" i="23" s="1"/>
  <c r="Q154" i="24"/>
  <c r="M151" i="23" s="1"/>
  <c r="Q20" i="24"/>
  <c r="M17" i="23" s="1"/>
  <c r="E83" i="34"/>
  <c r="J17" i="20"/>
  <c r="J25" i="20"/>
  <c r="J45" i="20" s="1"/>
  <c r="E93" i="34"/>
  <c r="E13" i="38" s="1"/>
  <c r="D32" i="22"/>
  <c r="K65" i="34"/>
  <c r="L6" i="64"/>
  <c r="L6" i="58"/>
  <c r="L6" i="21"/>
  <c r="L9" i="74" s="1"/>
  <c r="L6" i="20"/>
  <c r="C4" i="34"/>
  <c r="L6" i="22"/>
  <c r="L32" i="20"/>
  <c r="C102" i="34"/>
  <c r="B23" i="26"/>
  <c r="C252" i="13"/>
  <c r="F27" i="22"/>
  <c r="I58" i="34"/>
  <c r="L59" i="34"/>
  <c r="C8" i="91" s="1"/>
  <c r="C25" i="91" s="1"/>
  <c r="F16" i="22"/>
  <c r="E7" i="26"/>
  <c r="I44" i="34"/>
  <c r="H5" i="58"/>
  <c r="H5" i="64"/>
  <c r="H5" i="22"/>
  <c r="G3" i="34"/>
  <c r="H5" i="20"/>
  <c r="H37" i="20" s="1"/>
  <c r="H39" i="27"/>
  <c r="F25" i="34"/>
  <c r="H46" i="26"/>
  <c r="H48" i="26" s="1"/>
  <c r="F24" i="21"/>
  <c r="I27" i="34"/>
  <c r="I29" i="34" s="1"/>
  <c r="F60" i="18"/>
  <c r="I123" i="12"/>
  <c r="I106" i="12"/>
  <c r="I55" i="12" s="1"/>
  <c r="I152" i="12"/>
  <c r="I57" i="12" s="1"/>
  <c r="I151" i="12"/>
  <c r="I56" i="12" s="1"/>
  <c r="F138" i="13"/>
  <c r="F103" i="13"/>
  <c r="H13" i="20"/>
  <c r="H35" i="87" s="1"/>
  <c r="G81" i="34"/>
  <c r="M97" i="24"/>
  <c r="M482" i="24"/>
  <c r="M622" i="24"/>
  <c r="M106" i="24"/>
  <c r="M195" i="24"/>
  <c r="M727" i="24"/>
  <c r="M350" i="24"/>
  <c r="M548" i="24"/>
  <c r="M235" i="24"/>
  <c r="M722" i="24"/>
  <c r="M22" i="24"/>
  <c r="M454" i="24"/>
  <c r="M146" i="24"/>
  <c r="M286" i="24"/>
  <c r="M266" i="24"/>
  <c r="M71" i="24"/>
  <c r="M332" i="24"/>
  <c r="M274" i="24"/>
  <c r="M397" i="24"/>
  <c r="M620" i="24"/>
  <c r="M584" i="24"/>
  <c r="M732" i="24"/>
  <c r="M629" i="24"/>
  <c r="M437" i="24"/>
  <c r="M175" i="24"/>
  <c r="M534" i="24"/>
  <c r="M448" i="24"/>
  <c r="M714" i="24"/>
  <c r="K94" i="34"/>
  <c r="K14" i="38" s="1"/>
  <c r="D26" i="20"/>
  <c r="D46" i="20" s="1"/>
  <c r="J91" i="34"/>
  <c r="J12" i="38" s="1"/>
  <c r="E24" i="20"/>
  <c r="E44" i="20" s="1"/>
  <c r="B120" i="13"/>
  <c r="I37" i="12"/>
  <c r="I116" i="12"/>
  <c r="L90" i="34"/>
  <c r="M67" i="38" s="1"/>
  <c r="C23" i="20"/>
  <c r="E47" i="34"/>
  <c r="E43" i="38" s="1"/>
  <c r="J19" i="22"/>
  <c r="I9" i="26"/>
  <c r="I161" i="12"/>
  <c r="H46" i="12" s="1"/>
  <c r="I104" i="12"/>
  <c r="I44" i="12" s="1"/>
  <c r="I119" i="12"/>
  <c r="I148" i="12"/>
  <c r="I45" i="12" s="1"/>
  <c r="C60" i="26"/>
  <c r="D9" i="20"/>
  <c r="D43" i="87" s="1"/>
  <c r="C53" i="27"/>
  <c r="C68" i="26"/>
  <c r="C69" i="26" s="1"/>
  <c r="K72" i="34"/>
  <c r="C61" i="27"/>
  <c r="I103" i="24"/>
  <c r="I1096" i="24"/>
  <c r="I957" i="24"/>
  <c r="I187" i="24"/>
  <c r="I1232" i="24"/>
  <c r="I1078" i="24"/>
  <c r="I487" i="24"/>
  <c r="I21" i="24"/>
  <c r="I38" i="24"/>
  <c r="I642" i="24"/>
  <c r="I757" i="24"/>
  <c r="I402" i="24"/>
  <c r="I532" i="24"/>
  <c r="I305" i="24"/>
  <c r="I84" i="24"/>
  <c r="I9" i="24"/>
  <c r="I64" i="24"/>
  <c r="I109" i="24"/>
  <c r="I348" i="24"/>
  <c r="I95" i="24"/>
  <c r="I214" i="24"/>
  <c r="I996" i="24"/>
  <c r="I831" i="24"/>
  <c r="I1181" i="24"/>
  <c r="I786" i="24"/>
  <c r="I1031" i="24"/>
  <c r="I1211" i="24"/>
  <c r="I640" i="24"/>
  <c r="I454" i="24"/>
  <c r="I357" i="24"/>
  <c r="I1252" i="24"/>
  <c r="I477" i="24"/>
  <c r="I79" i="24"/>
  <c r="I706" i="24"/>
  <c r="I265" i="24"/>
  <c r="I1051" i="24"/>
  <c r="I89" i="24"/>
  <c r="I436" i="24"/>
  <c r="I912" i="24"/>
  <c r="I648" i="24"/>
  <c r="I354" i="24"/>
  <c r="I880" i="24"/>
  <c r="I1146" i="24"/>
  <c r="I627" i="24"/>
  <c r="I991" i="24"/>
  <c r="I1263" i="24"/>
  <c r="I834" i="24"/>
  <c r="I944" i="24"/>
  <c r="I177" i="24"/>
  <c r="I458" i="24"/>
  <c r="I73" i="34"/>
  <c r="F10" i="20"/>
  <c r="F38" i="20" s="1"/>
  <c r="G37" i="58"/>
  <c r="I8" i="70"/>
  <c r="I20" i="70" s="1"/>
  <c r="I8" i="71"/>
  <c r="I20" i="71" s="1"/>
  <c r="H8" i="69"/>
  <c r="H8" i="70"/>
  <c r="H20" i="70" s="1"/>
  <c r="D8" i="69"/>
  <c r="D8" i="70"/>
  <c r="D20" i="70" s="1"/>
  <c r="C9" i="68"/>
  <c r="C9" i="69"/>
  <c r="I8" i="68"/>
  <c r="I8" i="69"/>
  <c r="H8" i="67"/>
  <c r="H8" i="68"/>
  <c r="D8" i="67"/>
  <c r="D8" i="68"/>
  <c r="C9" i="66"/>
  <c r="C9" i="67"/>
  <c r="I8" i="66"/>
  <c r="I8" i="67"/>
  <c r="H8" i="65"/>
  <c r="H8" i="66"/>
  <c r="D8" i="65"/>
  <c r="D8" i="66"/>
  <c r="C9" i="14"/>
  <c r="C9" i="65"/>
  <c r="I8" i="14"/>
  <c r="I8" i="65"/>
  <c r="I254" i="13"/>
  <c r="E5" i="34"/>
  <c r="H5" i="34"/>
  <c r="I6" i="34" s="1"/>
  <c r="F254" i="13"/>
  <c r="E57" i="12"/>
  <c r="E58" i="12"/>
  <c r="E55" i="12"/>
  <c r="D10" i="21"/>
  <c r="K10" i="34" s="1"/>
  <c r="K12" i="22"/>
  <c r="H30" i="15"/>
  <c r="H32" i="15" s="1"/>
  <c r="G143" i="13" s="1"/>
  <c r="D16" i="20"/>
  <c r="H16" i="20"/>
  <c r="J29" i="20"/>
  <c r="J33" i="20" s="1"/>
  <c r="J100" i="12"/>
  <c r="B16" i="3"/>
  <c r="B5" i="3"/>
  <c r="J12" i="3"/>
  <c r="L33" i="15"/>
  <c r="L29" i="20" s="1"/>
  <c r="I33" i="15"/>
  <c r="E22" i="26"/>
  <c r="E4" i="27"/>
  <c r="E20" i="27" s="1"/>
  <c r="E38" i="27" s="1"/>
  <c r="H159" i="12"/>
  <c r="H88" i="12"/>
  <c r="G45" i="7"/>
  <c r="G86" i="7" s="1"/>
  <c r="G45" i="6"/>
  <c r="E145" i="12"/>
  <c r="F45" i="7"/>
  <c r="F45" i="6"/>
  <c r="H45" i="7"/>
  <c r="H45" i="6"/>
  <c r="B12" i="3"/>
  <c r="B21" i="3" s="1"/>
  <c r="Q4" i="26"/>
  <c r="AC4" i="26" s="1"/>
  <c r="E21" i="26"/>
  <c r="E35" i="26" s="1"/>
  <c r="I30" i="15"/>
  <c r="F34" i="34"/>
  <c r="H84" i="13"/>
  <c r="G85" i="13" s="1"/>
  <c r="F117" i="12"/>
  <c r="F17" i="26"/>
  <c r="E45" i="26"/>
  <c r="K32" i="15"/>
  <c r="D84" i="13"/>
  <c r="C85" i="13" s="1"/>
  <c r="H157" i="12"/>
  <c r="H86" i="12"/>
  <c r="E83" i="12"/>
  <c r="E73" i="12"/>
  <c r="F102" i="12"/>
  <c r="F38" i="12" s="1"/>
  <c r="I145" i="13"/>
  <c r="I206" i="13" s="1"/>
  <c r="I214" i="13" s="1"/>
  <c r="I84" i="13"/>
  <c r="I85" i="13" s="1"/>
  <c r="G4" i="27"/>
  <c r="G22" i="26"/>
  <c r="G21" i="26"/>
  <c r="G35" i="26" s="1"/>
  <c r="G45" i="26"/>
  <c r="S4" i="26"/>
  <c r="AE4" i="26" s="1"/>
  <c r="J146" i="12"/>
  <c r="J117" i="12"/>
  <c r="C48" i="34"/>
  <c r="E146" i="12"/>
  <c r="E117" i="12"/>
  <c r="H8" i="14"/>
  <c r="H8" i="15"/>
  <c r="H20" i="15" s="1"/>
  <c r="F10" i="34"/>
  <c r="H118" i="13"/>
  <c r="K33" i="15"/>
  <c r="J30" i="15"/>
  <c r="J88" i="12"/>
  <c r="J159" i="12"/>
  <c r="D28" i="26"/>
  <c r="AB9" i="26"/>
  <c r="P9" i="26"/>
  <c r="J145" i="12"/>
  <c r="J49" i="12"/>
  <c r="F31" i="39"/>
  <c r="Q78" i="38"/>
  <c r="G214" i="13"/>
  <c r="H29" i="20"/>
  <c r="G99" i="34" s="1"/>
  <c r="G30" i="15"/>
  <c r="G33" i="15"/>
  <c r="F84" i="13"/>
  <c r="F85" i="13" s="1"/>
  <c r="C10" i="7"/>
  <c r="C31" i="7" s="1"/>
  <c r="C85" i="7" s="1"/>
  <c r="Q58" i="34"/>
  <c r="Q30" i="34"/>
  <c r="C86" i="7"/>
  <c r="C15" i="7"/>
  <c r="B15" i="7" s="1"/>
  <c r="C62" i="7"/>
  <c r="C70" i="7" s="1"/>
  <c r="C27" i="7"/>
  <c r="H214" i="13"/>
  <c r="I40" i="28"/>
  <c r="B11" i="39" s="1"/>
  <c r="J40" i="28"/>
  <c r="B12" i="39" s="1"/>
  <c r="C70" i="1"/>
  <c r="D70" i="1"/>
  <c r="B85" i="13"/>
  <c r="D12" i="22"/>
  <c r="D32" i="15"/>
  <c r="C214" i="13"/>
  <c r="C215" i="13"/>
  <c r="D29" i="20"/>
  <c r="D19" i="1"/>
  <c r="C19" i="1"/>
  <c r="L12" i="22"/>
  <c r="L32" i="15"/>
  <c r="F20" i="27"/>
  <c r="F38" i="27" s="1"/>
  <c r="R4" i="27"/>
  <c r="AD4" i="27" s="1"/>
  <c r="D37" i="5"/>
  <c r="E37" i="5"/>
  <c r="F37" i="5"/>
  <c r="C37" i="5"/>
  <c r="H37" i="5"/>
  <c r="G37" i="5"/>
  <c r="K37" i="5"/>
  <c r="N37" i="5"/>
  <c r="M37" i="5"/>
  <c r="L37" i="5"/>
  <c r="O37" i="5"/>
  <c r="P37" i="5"/>
  <c r="G55" i="27"/>
  <c r="G16" i="27"/>
  <c r="G30" i="27" s="1"/>
  <c r="S15" i="27"/>
  <c r="S16" i="27" s="1"/>
  <c r="F144" i="12"/>
  <c r="F39" i="12"/>
  <c r="C27" i="14"/>
  <c r="L27" i="14"/>
  <c r="D27" i="14"/>
  <c r="G27" i="14"/>
  <c r="H27" i="14"/>
  <c r="E27" i="14"/>
  <c r="I27" i="14"/>
  <c r="F27" i="14"/>
  <c r="J27" i="14"/>
  <c r="K27" i="14"/>
  <c r="L24" i="5"/>
  <c r="O24" i="5"/>
  <c r="P24" i="5"/>
  <c r="M24" i="5"/>
  <c r="K24" i="5"/>
  <c r="N24" i="5"/>
  <c r="E24" i="5"/>
  <c r="G24" i="5"/>
  <c r="D24" i="5"/>
  <c r="F24" i="5"/>
  <c r="C24" i="5"/>
  <c r="H24" i="5"/>
  <c r="B15" i="14"/>
  <c r="A28" i="14"/>
  <c r="A41" i="14" s="1"/>
  <c r="A16" i="14"/>
  <c r="B68" i="32"/>
  <c r="C67" i="32"/>
  <c r="A13" i="5"/>
  <c r="B12" i="5"/>
  <c r="A25" i="5"/>
  <c r="A38" i="5" s="1"/>
  <c r="J12" i="5"/>
  <c r="J25" i="5" s="1"/>
  <c r="J38" i="5" s="1"/>
  <c r="I17" i="21"/>
  <c r="F19" i="34" s="1"/>
  <c r="H22" i="27"/>
  <c r="H15" i="27"/>
  <c r="C40" i="14"/>
  <c r="K40" i="14"/>
  <c r="L40" i="14"/>
  <c r="J40" i="14"/>
  <c r="I40" i="14"/>
  <c r="G40" i="14"/>
  <c r="E40" i="14"/>
  <c r="F40" i="14"/>
  <c r="H40" i="14"/>
  <c r="D40" i="14"/>
  <c r="I19" i="82" a="1"/>
  <c r="H19" i="80" a="1"/>
  <c r="H19" i="79" a="1"/>
  <c r="K19" i="82" a="1"/>
  <c r="A25" i="13" a="1"/>
  <c r="L19" i="78" a="1"/>
  <c r="D28" i="25" a="1"/>
  <c r="D88" i="87" a="1"/>
  <c r="G53" i="1" a="1"/>
  <c r="K19" i="80" a="1"/>
  <c r="E19" i="78" a="1"/>
  <c r="G19" i="82" a="1"/>
  <c r="E19" i="80" a="1"/>
  <c r="K19" i="78" a="1"/>
  <c r="D20" i="25" a="1"/>
  <c r="C19" i="79" a="1"/>
  <c r="I53" i="1" a="1"/>
  <c r="L19" i="79" a="1"/>
  <c r="C83" i="7" a="1"/>
  <c r="D30" i="25" a="1"/>
  <c r="D14" i="25" a="1"/>
  <c r="A53" i="1" a="1"/>
  <c r="H53" i="1" a="1"/>
  <c r="E19" i="82" a="1"/>
  <c r="D21" i="25" a="1"/>
  <c r="D19" i="25" a="1"/>
  <c r="I19" i="80" a="1"/>
  <c r="G19" i="79" a="1"/>
  <c r="F53" i="1" a="1"/>
  <c r="J19" i="78" a="1"/>
  <c r="D32" i="25" a="1"/>
  <c r="D23" i="25" a="1"/>
  <c r="G19" i="80" a="1"/>
  <c r="H19" i="82" a="1"/>
  <c r="D22" i="25" a="1"/>
  <c r="D16" i="25" a="1"/>
  <c r="K19" i="79" a="1"/>
  <c r="F19" i="79" a="1"/>
  <c r="F19" i="80" a="1"/>
  <c r="D19" i="82" a="1"/>
  <c r="J19" i="82" a="1"/>
  <c r="J19" i="80" a="1"/>
  <c r="D26" i="25" a="1"/>
  <c r="D15" i="25" a="1"/>
  <c r="J19" i="79" a="1"/>
  <c r="I19" i="78" a="1"/>
  <c r="L19" i="80" a="1"/>
  <c r="C19" i="82" a="1"/>
  <c r="D25" i="25" a="1"/>
  <c r="D31" i="25" a="1"/>
  <c r="E19" i="79" a="1"/>
  <c r="D19" i="79" a="1"/>
  <c r="D19" i="80" a="1"/>
  <c r="C19" i="80" a="1"/>
  <c r="D34" i="25" a="1"/>
  <c r="D17" i="25" a="1"/>
  <c r="A113" i="13" a="1"/>
  <c r="D13" i="25" a="1"/>
  <c r="D24" i="25" a="1"/>
  <c r="E53" i="1" a="1"/>
  <c r="F19" i="82" a="1"/>
  <c r="F19" i="78" a="1"/>
  <c r="L19" i="82" a="1"/>
  <c r="D29" i="25" a="1"/>
  <c r="D18" i="25" a="1"/>
  <c r="G33" i="58" a="1"/>
  <c r="H13" i="75" a="1"/>
  <c r="E20" i="75" a="1"/>
  <c r="E13" i="75" a="1"/>
  <c r="K17" i="75" a="1"/>
  <c r="L10" i="75" a="1"/>
  <c r="C13" i="85" a="1"/>
  <c r="G21" i="64" a="1"/>
  <c r="G32" i="77" a="1"/>
  <c r="F18" i="75" a="1"/>
  <c r="K18" i="76" a="1"/>
  <c r="G24" i="64" a="1"/>
  <c r="K14" i="76" a="1"/>
  <c r="E12" i="75" a="1"/>
  <c r="L33" i="75" a="1"/>
  <c r="C14" i="76" a="1"/>
  <c r="E32" i="75" a="1"/>
  <c r="C13" i="84" a="1"/>
  <c r="E32" i="58" a="1"/>
  <c r="L26" i="76" a="1"/>
  <c r="H18" i="75" a="1"/>
  <c r="E18" i="76" a="1"/>
  <c r="F11" i="75" a="1"/>
  <c r="D10" i="64" a="1"/>
  <c r="L13" i="75" a="1"/>
  <c r="D21" i="21" a="1"/>
  <c r="K12" i="76" a="1"/>
  <c r="L12" i="75" a="1"/>
  <c r="H12" i="75" a="1"/>
  <c r="G11" i="75" a="1"/>
  <c r="I10" i="64" a="1"/>
  <c r="K11" i="75" a="1"/>
  <c r="G17" i="58" a="1"/>
  <c r="C13" i="83" a="1"/>
  <c r="C12" i="75" a="1"/>
  <c r="K25" i="76" a="1"/>
  <c r="E27" i="75" a="1"/>
  <c r="J28" i="58" a="1"/>
  <c r="K21" i="75" a="1"/>
  <c r="E17" i="76" a="1"/>
  <c r="J13" i="85" a="1"/>
  <c r="D10" i="86" a="1"/>
  <c r="E11" i="76" a="1"/>
  <c r="J21" i="64" a="1"/>
  <c r="K10" i="75" a="1"/>
  <c r="G10" i="85" a="1"/>
  <c r="C21" i="75" a="1"/>
  <c r="G85" i="87" a="1"/>
  <c r="K12" i="75" a="1"/>
  <c r="I27" i="75" a="1"/>
  <c r="I13" i="84" a="1"/>
  <c r="E33" i="75" a="1"/>
  <c r="L19" i="76" a="1"/>
  <c r="G24" i="58" a="1"/>
  <c r="C18" i="76" a="1"/>
  <c r="J15" i="64" a="1"/>
  <c r="F13" i="81" a="1"/>
  <c r="C21" i="76" a="1"/>
  <c r="D33" i="58" a="1"/>
  <c r="F19" i="75" a="1"/>
  <c r="H19" i="75" a="1"/>
  <c r="E23" i="75" a="1"/>
  <c r="K24" i="76" a="1"/>
  <c r="G13" i="77" a="1"/>
  <c r="F33" i="58" a="1"/>
  <c r="G24" i="75" a="1"/>
  <c r="E27" i="76" a="1"/>
  <c r="K26" i="76" a="1"/>
  <c r="K31" i="75" a="1"/>
  <c r="C16" i="64" a="1"/>
  <c r="E25" i="58" a="1"/>
  <c r="F25" i="58" a="1"/>
  <c r="J11" i="58" a="1"/>
  <c r="L31" i="58" a="1"/>
  <c r="D23" i="58" a="1"/>
  <c r="E14" i="58" a="1"/>
  <c r="J14" i="76" a="1"/>
  <c r="H10" i="58" a="1"/>
  <c r="E30" i="58" a="1"/>
  <c r="J10" i="76" a="1"/>
  <c r="L17" i="75" a="1"/>
  <c r="D14" i="58" a="1"/>
  <c r="F17" i="75" a="1"/>
  <c r="D12" i="64" a="1"/>
  <c r="I20" i="75" a="1"/>
  <c r="K23" i="76" a="1"/>
  <c r="F31" i="76" a="1"/>
  <c r="F12" i="75" a="1"/>
  <c r="C10" i="84" a="1"/>
  <c r="E10" i="76" a="1"/>
  <c r="G18" i="58" a="1"/>
  <c r="K28" i="75" a="1"/>
  <c r="K25" i="75" a="1"/>
  <c r="J21" i="75" a="1"/>
  <c r="I26" i="75" a="1"/>
  <c r="E11" i="75" a="1"/>
  <c r="K20" i="75" a="1"/>
  <c r="K89" i="87" a="1"/>
  <c r="C31" i="76" a="1"/>
  <c r="F21" i="58" a="1"/>
  <c r="K27" i="76" a="1"/>
  <c r="F27" i="58" a="1"/>
  <c r="D20" i="58" a="1"/>
  <c r="E30" i="75" a="1"/>
  <c r="H19" i="76" a="1"/>
  <c r="J27" i="58" a="1"/>
  <c r="K24" i="75" a="1"/>
  <c r="J20" i="58" a="1"/>
  <c r="H113" i="12"/>
  <c r="E13" i="76" a="1"/>
  <c r="C9" i="76" a="1"/>
  <c r="E25" i="75" a="1"/>
  <c r="K19" i="75" a="1"/>
  <c r="H13" i="84" a="1"/>
  <c r="G10" i="86" a="1"/>
  <c r="H25" i="58" a="1"/>
  <c r="J24" i="58" a="1"/>
  <c r="E9" i="76" a="1"/>
  <c r="F32" i="58" a="1"/>
  <c r="G27" i="58" a="1"/>
  <c r="F13" i="58" a="1"/>
  <c r="F10" i="83" a="1"/>
  <c r="J10" i="64" a="1"/>
  <c r="C27" i="58" a="1"/>
  <c r="E30" i="76" a="1"/>
  <c r="D28" i="58" a="1"/>
  <c r="F14" i="58" a="1"/>
  <c r="G19" i="58" a="1"/>
  <c r="C28" i="75" a="1"/>
  <c r="K31" i="76" a="1"/>
  <c r="D13" i="58" a="1"/>
  <c r="F9" i="58" a="1"/>
  <c r="H14" i="58" a="1"/>
  <c r="C20" i="76" a="1"/>
  <c r="J21" i="58" a="1"/>
  <c r="I12" i="75" a="1"/>
  <c r="K19" i="64" a="1"/>
  <c r="I13" i="76" a="1"/>
  <c r="K30" i="76" a="1"/>
  <c r="I31" i="76" a="1"/>
  <c r="E26" i="75" a="1"/>
  <c r="K10" i="76" a="1"/>
  <c r="J17" i="76" a="1"/>
  <c r="F33" i="75" a="1"/>
  <c r="J31" i="58" a="1"/>
  <c r="F26" i="58" a="1"/>
  <c r="E28" i="76" a="1"/>
  <c r="D24" i="64" a="1"/>
  <c r="H30" i="75" a="1"/>
  <c r="F156" i="12"/>
  <c r="G10" i="84" a="1"/>
  <c r="C24" i="58" a="1"/>
  <c r="J10" i="81" a="1"/>
  <c r="G12" i="75" a="1"/>
  <c r="I13" i="85" a="1"/>
  <c r="C10" i="83" a="1"/>
  <c r="C19" i="58" a="1"/>
  <c r="K85" i="87" a="1"/>
  <c r="G25" i="58" a="1"/>
  <c r="F27" i="75" a="1"/>
  <c r="H20" i="75" a="1"/>
  <c r="F16" i="64" a="1"/>
  <c r="J31" i="76" a="1"/>
  <c r="G30" i="75" a="1"/>
  <c r="I31" i="75" a="1"/>
  <c r="F23" i="75" a="1"/>
  <c r="F21" i="75" a="1"/>
  <c r="J8" i="64" a="1"/>
  <c r="J18" i="76" a="1"/>
  <c r="G30" i="58" a="1"/>
  <c r="C12" i="76" a="1"/>
  <c r="E32" i="76" a="1"/>
  <c r="F14" i="76" a="1"/>
  <c r="H14" i="75" a="1"/>
  <c r="L10" i="64" a="1"/>
  <c r="D26" i="58" a="1"/>
  <c r="D10" i="58" a="1"/>
  <c r="L28" i="58" a="1"/>
  <c r="D15" i="64" a="1"/>
  <c r="I25" i="76" a="1"/>
  <c r="D89" i="87" a="1"/>
  <c r="J24" i="64" a="1"/>
  <c r="D10" i="81" a="1"/>
  <c r="I15" i="64" a="1"/>
  <c r="G13" i="75" a="1"/>
  <c r="I10" i="84" a="1"/>
  <c r="I24" i="75" a="1"/>
  <c r="R18" i="12"/>
  <c r="D9" i="58" a="1"/>
  <c r="I13" i="86" a="1"/>
  <c r="J10" i="85" a="1"/>
  <c r="G9" i="58" a="1"/>
  <c r="F24" i="58" a="1"/>
  <c r="C23" i="58" a="1"/>
  <c r="G9" i="75" a="1"/>
  <c r="E25" i="76" a="1"/>
  <c r="F28" i="58" a="1"/>
  <c r="D33" i="25" a="1"/>
  <c r="C17" i="76" a="1"/>
  <c r="H31" i="76" a="1"/>
  <c r="E19" i="76" a="1"/>
  <c r="C33" i="76" a="1"/>
  <c r="E21" i="75" a="1"/>
  <c r="F10" i="76" a="1"/>
  <c r="C26" i="76" a="1"/>
  <c r="G8" i="64" a="1"/>
  <c r="D17" i="58" a="1"/>
  <c r="F21" i="64" a="1"/>
  <c r="C12" i="64" a="1"/>
  <c r="K9" i="76" a="1"/>
  <c r="I23" i="76" a="1"/>
  <c r="D12" i="58" a="1"/>
  <c r="C82" i="7" a="1"/>
  <c r="G23" i="58" a="1"/>
  <c r="F10" i="64" a="1"/>
  <c r="L14" i="75" a="1"/>
  <c r="I24" i="64" a="1"/>
  <c r="E18" i="75" a="1"/>
  <c r="G32" i="58" a="1"/>
  <c r="D10" i="83" a="1"/>
  <c r="D19" i="58" a="1"/>
  <c r="F15" i="64" a="1"/>
  <c r="C13" i="75" a="1"/>
  <c r="F13" i="84" a="1"/>
  <c r="K27" i="75" a="1"/>
  <c r="D13" i="85" a="1"/>
  <c r="I12" i="76" a="1"/>
  <c r="F113" i="12"/>
  <c r="G10" i="75" a="1"/>
  <c r="G32" i="75" a="1"/>
  <c r="I17" i="76" a="1"/>
  <c r="H27" i="75" a="1"/>
  <c r="H28" i="76" a="1"/>
  <c r="E23" i="58" a="1"/>
  <c r="I26" i="76" a="1"/>
  <c r="E10" i="75" a="1"/>
  <c r="G18" i="75" a="1"/>
  <c r="D31" i="76" a="1"/>
  <c r="D13" i="83" a="1"/>
  <c r="D28" i="76" a="1"/>
  <c r="F28" i="75" a="1"/>
  <c r="I9" i="76" a="1"/>
  <c r="I30" i="76" a="1"/>
  <c r="L10" i="83" a="1"/>
  <c r="C20" i="58" a="1"/>
  <c r="I89" i="87" a="1"/>
  <c r="G13" i="81" a="1"/>
  <c r="I12" i="64" a="1"/>
  <c r="K13" i="76" a="1"/>
  <c r="H26" i="75" a="1"/>
  <c r="D21" i="58" a="1"/>
  <c r="J16" i="64" a="1"/>
  <c r="C11" i="75" a="1"/>
  <c r="C23" i="76" a="1"/>
  <c r="G14" i="58" a="1"/>
  <c r="J12" i="64" a="1"/>
  <c r="G13" i="86" a="1"/>
  <c r="G25" i="75" a="1"/>
  <c r="E19" i="75" a="1"/>
  <c r="E14" i="75" a="1"/>
  <c r="I9" i="75" a="1"/>
  <c r="I19" i="76" a="1"/>
  <c r="G10" i="83" a="1"/>
  <c r="C8" i="64" a="1"/>
  <c r="H25" i="75" a="1"/>
  <c r="C32" i="76" a="1"/>
  <c r="L32" i="75" a="1"/>
  <c r="J89" i="87" a="1"/>
  <c r="F11" i="58" a="1"/>
  <c r="F24" i="75" a="1"/>
  <c r="F12" i="58" a="1"/>
  <c r="G33" i="75" a="1"/>
  <c r="F23" i="58" a="1"/>
  <c r="C24" i="64" a="1"/>
  <c r="C31" i="75" a="1"/>
  <c r="E89" i="87" a="1"/>
  <c r="J30" i="58" a="1"/>
  <c r="K11" i="76" a="1"/>
  <c r="I10" i="86" a="1"/>
  <c r="E31" i="76" a="1"/>
  <c r="D25" i="76" a="1"/>
  <c r="I32" i="76" a="1"/>
  <c r="L26" i="58" a="1"/>
  <c r="F10" i="81" a="1"/>
  <c r="F8" i="64" a="1"/>
  <c r="F32" i="76" a="1"/>
  <c r="J10" i="84" a="1"/>
  <c r="I20" i="76" a="1"/>
  <c r="L20" i="75" a="1"/>
  <c r="H23" i="75" a="1"/>
  <c r="F20" i="75" a="1"/>
  <c r="T9" i="12"/>
  <c r="D10" i="75" a="1"/>
  <c r="E33" i="58" a="1"/>
  <c r="C25" i="76" a="1"/>
  <c r="G14" i="75" a="1"/>
  <c r="J19" i="76" a="1"/>
  <c r="C10" i="85" a="1"/>
  <c r="E14" i="76" a="1"/>
  <c r="D32" i="58" a="1"/>
  <c r="D13" i="76" a="1"/>
  <c r="C13" i="76" a="1"/>
  <c r="J13" i="84" a="1"/>
  <c r="K32" i="76" a="1"/>
  <c r="J13" i="86" a="1"/>
  <c r="E9" i="75" a="1"/>
  <c r="G13" i="76" a="1"/>
  <c r="H28" i="75" a="1"/>
  <c r="J21" i="21" a="1"/>
  <c r="H9" i="75" a="1"/>
  <c r="G14" i="76" a="1"/>
  <c r="L9" i="75" a="1"/>
  <c r="H21" i="75" a="1"/>
  <c r="G31" i="58" a="1"/>
  <c r="H32" i="76" a="1"/>
  <c r="J10" i="83" a="1"/>
  <c r="I16" i="64" a="1"/>
  <c r="C33" i="75" a="1"/>
  <c r="I8" i="64" a="1"/>
  <c r="L27" i="75" a="1"/>
  <c r="K20" i="76" a="1"/>
  <c r="F10" i="84" a="1"/>
  <c r="F25" i="75" a="1"/>
  <c r="C28" i="76" a="1"/>
  <c r="G28" i="75" a="1"/>
  <c r="J33" i="75" a="1"/>
  <c r="F13" i="83" a="1"/>
  <c r="H11" i="75" a="1"/>
  <c r="G19" i="75" a="1"/>
  <c r="J156" i="12"/>
  <c r="F31" i="75" a="1"/>
  <c r="C10" i="76" a="1"/>
  <c r="C6" i="7" a="1"/>
  <c r="F30" i="75" a="1"/>
  <c r="H31" i="75" a="1"/>
  <c r="F32" i="75" a="1"/>
  <c r="K26" i="75" a="1"/>
  <c r="F30" i="58" a="1"/>
  <c r="G11" i="58" a="1"/>
  <c r="J28" i="75" a="1"/>
  <c r="L11" i="75" a="1"/>
  <c r="G23" i="75" a="1"/>
  <c r="G21" i="21" a="1"/>
  <c r="F24" i="64" a="1"/>
  <c r="I113" i="12"/>
  <c r="K14" i="75" a="1"/>
  <c r="K32" i="75" a="1"/>
  <c r="F13" i="86" a="1"/>
  <c r="C22" i="7" a="1"/>
  <c r="J113" i="12"/>
  <c r="H19" i="78" a="1"/>
  <c r="L24" i="75" a="1"/>
  <c r="D11" i="58" a="1"/>
  <c r="G17" i="75" a="1"/>
  <c r="G21" i="75" a="1"/>
  <c r="F13" i="85" a="1"/>
  <c r="I10" i="85" a="1"/>
  <c r="H10" i="75" a="1"/>
  <c r="F20" i="76" a="1"/>
  <c r="F13" i="75" a="1"/>
  <c r="J20" i="76" a="1"/>
  <c r="G13" i="84" a="1"/>
  <c r="H20" i="58" a="1"/>
  <c r="C32" i="58" a="1"/>
  <c r="F10" i="75" a="1"/>
  <c r="H11" i="76" a="1"/>
  <c r="I14" i="76" a="1"/>
  <c r="C89" i="87" a="1"/>
  <c r="H13" i="86" a="1"/>
  <c r="D13" i="84" a="1"/>
  <c r="L18" i="75" a="1"/>
  <c r="J10" i="58" a="1"/>
  <c r="I24" i="76" a="1"/>
  <c r="G12" i="64" a="1"/>
  <c r="E12" i="76" a="1"/>
  <c r="F10" i="85" a="1"/>
  <c r="D30" i="58" a="1"/>
  <c r="D18" i="58" a="1"/>
  <c r="I18" i="76" a="1"/>
  <c r="L30" i="75" a="1"/>
  <c r="E23" i="76" a="1"/>
  <c r="E31" i="75" a="1"/>
  <c r="I11" i="76" a="1"/>
  <c r="F26" i="75" a="1"/>
  <c r="C30" i="76" a="1"/>
  <c r="K23" i="75" a="1"/>
  <c r="F18" i="58" a="1"/>
  <c r="F21" i="21" a="1"/>
  <c r="C10" i="64" a="1"/>
  <c r="L23" i="75" a="1"/>
  <c r="G20" i="58" a="1"/>
  <c r="D10" i="76" a="1"/>
  <c r="D25" i="58" a="1"/>
  <c r="D19" i="78" a="1"/>
  <c r="I19" i="79" a="1"/>
  <c r="K30" i="75" a="1"/>
  <c r="C25" i="58" a="1"/>
  <c r="F9" i="76" a="1"/>
  <c r="J17" i="58" a="1"/>
  <c r="E8" i="64" a="1"/>
  <c r="L26" i="75" a="1"/>
  <c r="D16" i="64" a="1"/>
  <c r="C11" i="76" a="1"/>
  <c r="J14" i="58" a="1"/>
  <c r="I21" i="64" a="1"/>
  <c r="D11" i="75" a="1"/>
  <c r="E24" i="76" a="1"/>
  <c r="D10" i="84" a="1"/>
  <c r="L20" i="76" a="1"/>
  <c r="I156" i="12"/>
  <c r="G28" i="77" a="1"/>
  <c r="C21" i="64" a="1"/>
  <c r="D30" i="75" a="1"/>
  <c r="I25" i="75" a="1"/>
  <c r="C10" i="81" a="1"/>
  <c r="G156" i="12"/>
  <c r="L21" i="75" a="1"/>
  <c r="C26" i="58" a="1"/>
  <c r="L31" i="75" a="1"/>
  <c r="F19" i="58" a="1"/>
  <c r="D13" i="81" a="1"/>
  <c r="J19" i="58" a="1"/>
  <c r="C24" i="76" a="1"/>
  <c r="H17" i="75" a="1"/>
  <c r="C27" i="76" a="1"/>
  <c r="F9" i="75" a="1"/>
  <c r="E24" i="75" a="1"/>
  <c r="D17" i="76" a="1"/>
  <c r="E156" i="12"/>
  <c r="E113" i="12"/>
  <c r="G20" i="75" a="1"/>
  <c r="G31" i="75" a="1"/>
  <c r="H12" i="64" a="1"/>
  <c r="K33" i="75" a="1"/>
  <c r="K19" i="76" a="1"/>
  <c r="I10" i="76" a="1"/>
  <c r="J10" i="86" a="1"/>
  <c r="F10" i="86" a="1"/>
  <c r="I27" i="76" a="1"/>
  <c r="J25" i="76" a="1"/>
  <c r="F12" i="64" a="1"/>
  <c r="J12" i="58" a="1"/>
  <c r="L28" i="75" a="1"/>
  <c r="I21" i="21" a="1"/>
  <c r="K28" i="76" a="1"/>
  <c r="K17" i="76" a="1"/>
  <c r="D21" i="64" a="1"/>
  <c r="F20" i="58" a="1"/>
  <c r="D13" i="86" a="1"/>
  <c r="G19" i="78" a="1"/>
  <c r="C30" i="58" a="1"/>
  <c r="J32" i="58" a="1"/>
  <c r="G24" i="77" a="1"/>
  <c r="C15" i="64" a="1"/>
  <c r="G113" i="12"/>
  <c r="G26" i="58" a="1"/>
  <c r="G28" i="58" a="1"/>
  <c r="D27" i="58" a="1"/>
  <c r="F17" i="58" a="1"/>
  <c r="J13" i="81" a="1"/>
  <c r="C24" i="75" a="1"/>
  <c r="K9" i="75" a="1"/>
  <c r="H13" i="76" a="1"/>
  <c r="K18" i="75" a="1"/>
  <c r="F14" i="75" a="1"/>
  <c r="E26" i="76" a="1"/>
  <c r="F10" i="58" a="1"/>
  <c r="L25" i="75" a="1"/>
  <c r="H24" i="75" a="1"/>
  <c r="D8" i="64" a="1"/>
  <c r="J13" i="83" a="1"/>
  <c r="F31" i="58" a="1"/>
  <c r="K13" i="75" a="1"/>
  <c r="C21" i="58" a="1"/>
  <c r="D24" i="58" a="1"/>
  <c r="E20" i="76" a="1"/>
  <c r="G26" i="75" a="1"/>
  <c r="C19" i="76" a="1"/>
  <c r="G27" i="75" a="1"/>
  <c r="H32" i="75" a="1"/>
  <c r="I85" i="87" a="1"/>
  <c r="C13" i="81" a="1"/>
  <c r="G13" i="85" a="1"/>
  <c r="H33" i="75" a="1"/>
  <c r="E28" i="75" a="1"/>
  <c r="C21" i="21" a="1"/>
  <c r="C19" i="78" a="1"/>
  <c r="D27" i="25" a="1"/>
  <c r="E17" i="75" a="1"/>
  <c r="D10" i="85" a="1"/>
  <c r="L19" i="75" a="1"/>
  <c r="D31" i="58" a="1"/>
  <c r="I28" i="76" a="1"/>
  <c r="D27" i="25" l="1"/>
  <c r="C19" i="78"/>
  <c r="I19" i="79"/>
  <c r="D19" i="78"/>
  <c r="H19" i="78"/>
  <c r="D33" i="25"/>
  <c r="D18" i="25"/>
  <c r="D29" i="25"/>
  <c r="L19" i="82"/>
  <c r="F19" i="78"/>
  <c r="F19" i="82"/>
  <c r="E53" i="1"/>
  <c r="D24" i="25"/>
  <c r="D13" i="25"/>
  <c r="A113" i="13"/>
  <c r="D17" i="25"/>
  <c r="D34" i="25"/>
  <c r="C19" i="80"/>
  <c r="D19" i="80"/>
  <c r="D19" i="79"/>
  <c r="E19" i="79"/>
  <c r="D31" i="25"/>
  <c r="D25" i="25"/>
  <c r="C19" i="82"/>
  <c r="L19" i="80"/>
  <c r="I19" i="78"/>
  <c r="J19" i="79"/>
  <c r="D15" i="25"/>
  <c r="D26" i="25"/>
  <c r="J19" i="80"/>
  <c r="J19" i="82"/>
  <c r="D19" i="82"/>
  <c r="F19" i="80"/>
  <c r="F19" i="79"/>
  <c r="K19" i="79"/>
  <c r="D16" i="25"/>
  <c r="D22" i="25"/>
  <c r="H19" i="82"/>
  <c r="G19" i="80"/>
  <c r="D23" i="25"/>
  <c r="D32" i="25"/>
  <c r="J19" i="78"/>
  <c r="F53" i="1"/>
  <c r="G19" i="79"/>
  <c r="I19" i="80"/>
  <c r="D19" i="25"/>
  <c r="D21" i="25"/>
  <c r="E19" i="82"/>
  <c r="H53" i="1"/>
  <c r="A53" i="1"/>
  <c r="C16" i="7" s="1"/>
  <c r="D14" i="25"/>
  <c r="D30" i="25"/>
  <c r="C83" i="7"/>
  <c r="L19" i="79"/>
  <c r="I53" i="1"/>
  <c r="C19" i="79"/>
  <c r="D20" i="25"/>
  <c r="K19" i="78"/>
  <c r="E19" i="80"/>
  <c r="G19" i="82"/>
  <c r="E19" i="78"/>
  <c r="K19" i="80"/>
  <c r="G53" i="1"/>
  <c r="D88" i="87"/>
  <c r="D28" i="25"/>
  <c r="L19" i="78"/>
  <c r="A25" i="13"/>
  <c r="K19" i="82"/>
  <c r="H19" i="79"/>
  <c r="H19" i="80"/>
  <c r="I19" i="82"/>
  <c r="E12" i="20"/>
  <c r="E40" i="20" s="1"/>
  <c r="J77" i="34"/>
  <c r="J7" i="38" s="1"/>
  <c r="E84" i="34"/>
  <c r="J18" i="20"/>
  <c r="G138" i="13"/>
  <c r="G103" i="13"/>
  <c r="B11" i="25"/>
  <c r="F11" i="25" s="1"/>
  <c r="I909" i="24"/>
  <c r="I908" i="24"/>
  <c r="I985" i="24"/>
  <c r="I984" i="24"/>
  <c r="I264" i="24"/>
  <c r="I263" i="24"/>
  <c r="I694" i="24"/>
  <c r="I693" i="24"/>
  <c r="I1148" i="24"/>
  <c r="I1147" i="24"/>
  <c r="I997" i="24"/>
  <c r="I998" i="24"/>
  <c r="I752" i="24"/>
  <c r="I751" i="24"/>
  <c r="E2117" i="24"/>
  <c r="E2116" i="24"/>
  <c r="E610" i="24"/>
  <c r="E609" i="24"/>
  <c r="E466" i="24"/>
  <c r="E467" i="24"/>
  <c r="E170" i="24"/>
  <c r="E169" i="24"/>
  <c r="E439" i="24"/>
  <c r="E440" i="24"/>
  <c r="E370" i="24"/>
  <c r="E369" i="24"/>
  <c r="E2358" i="24"/>
  <c r="E2359" i="24"/>
  <c r="E1099" i="24"/>
  <c r="E1098" i="24"/>
  <c r="E374" i="24"/>
  <c r="E373" i="24"/>
  <c r="E628" i="24"/>
  <c r="E627" i="24"/>
  <c r="E2202" i="24"/>
  <c r="E2201" i="24"/>
  <c r="E702" i="24"/>
  <c r="E701" i="24"/>
  <c r="J24" i="20"/>
  <c r="J44" i="20" s="1"/>
  <c r="E91" i="34"/>
  <c r="Q256" i="24"/>
  <c r="M253" i="23" s="1"/>
  <c r="Q255" i="24"/>
  <c r="M252" i="23" s="1"/>
  <c r="I19" i="20"/>
  <c r="F85" i="34"/>
  <c r="C17" i="78"/>
  <c r="K10" i="80"/>
  <c r="L10" i="80"/>
  <c r="C101" i="34"/>
  <c r="L31" i="20"/>
  <c r="M460" i="24"/>
  <c r="M459" i="24"/>
  <c r="M249" i="24"/>
  <c r="M250" i="24"/>
  <c r="M724" i="24"/>
  <c r="M723" i="24"/>
  <c r="M50" i="24"/>
  <c r="M49" i="24"/>
  <c r="M184" i="24"/>
  <c r="M185" i="24"/>
  <c r="M257" i="24"/>
  <c r="M256" i="24"/>
  <c r="M86" i="24"/>
  <c r="M87" i="24"/>
  <c r="M382" i="24"/>
  <c r="M381" i="24"/>
  <c r="M378" i="24"/>
  <c r="M377" i="24"/>
  <c r="L14" i="22"/>
  <c r="C40" i="34"/>
  <c r="B6" i="26"/>
  <c r="B12" i="26"/>
  <c r="M353" i="24"/>
  <c r="E745" i="24"/>
  <c r="I1055" i="24"/>
  <c r="Z16" i="26"/>
  <c r="Z20" i="26" s="1"/>
  <c r="B56" i="26"/>
  <c r="M738" i="24"/>
  <c r="D4" i="94"/>
  <c r="Z17" i="27"/>
  <c r="E98" i="1"/>
  <c r="H100" i="13"/>
  <c r="H155" i="13"/>
  <c r="H152" i="13"/>
  <c r="H156" i="13"/>
  <c r="H77" i="26" s="1"/>
  <c r="H153" i="13"/>
  <c r="I659" i="24"/>
  <c r="I660" i="24"/>
  <c r="I457" i="24"/>
  <c r="I456" i="24"/>
  <c r="I288" i="24"/>
  <c r="I289" i="24"/>
  <c r="I19" i="24"/>
  <c r="I20" i="24"/>
  <c r="I1236" i="24"/>
  <c r="I1237" i="24"/>
  <c r="I133" i="24"/>
  <c r="I132" i="24"/>
  <c r="E1738" i="24"/>
  <c r="E1737" i="24"/>
  <c r="E1682" i="24"/>
  <c r="E1681" i="24"/>
  <c r="E1046" i="24"/>
  <c r="E1045" i="24"/>
  <c r="E1849" i="24"/>
  <c r="E1848" i="24"/>
  <c r="E1753" i="24"/>
  <c r="E1914" i="24"/>
  <c r="E1913" i="24"/>
  <c r="E1500" i="24"/>
  <c r="E1501" i="24"/>
  <c r="E1714" i="24"/>
  <c r="E1713" i="24"/>
  <c r="Q144" i="24"/>
  <c r="M141" i="23" s="1"/>
  <c r="Q145" i="24"/>
  <c r="M142" i="23" s="1"/>
  <c r="Q162" i="24"/>
  <c r="M159" i="23" s="1"/>
  <c r="Q161" i="24"/>
  <c r="M158" i="23" s="1"/>
  <c r="B49" i="27"/>
  <c r="E1872" i="24"/>
  <c r="I17" i="79"/>
  <c r="D17" i="78"/>
  <c r="I299" i="24"/>
  <c r="I298" i="24"/>
  <c r="I91" i="24"/>
  <c r="I90" i="24"/>
  <c r="I1191" i="24"/>
  <c r="I1190" i="24"/>
  <c r="I873" i="24"/>
  <c r="I872" i="24"/>
  <c r="E2037" i="24"/>
  <c r="E2036" i="24"/>
  <c r="E1434" i="24"/>
  <c r="E1433" i="24"/>
  <c r="E2478" i="24"/>
  <c r="E2479" i="24"/>
  <c r="E2434" i="24"/>
  <c r="E2433" i="24"/>
  <c r="E187" i="24"/>
  <c r="E186" i="24"/>
  <c r="E2486" i="24"/>
  <c r="E2485" i="24"/>
  <c r="E2221" i="24"/>
  <c r="E2222" i="24"/>
  <c r="E318" i="24"/>
  <c r="E319" i="24"/>
  <c r="Q136" i="24"/>
  <c r="M133" i="23" s="1"/>
  <c r="Q135" i="24"/>
  <c r="M132" i="23" s="1"/>
  <c r="Q49" i="24"/>
  <c r="M46" i="23" s="1"/>
  <c r="Q48" i="24"/>
  <c r="M45" i="23" s="1"/>
  <c r="Q200" i="24"/>
  <c r="M197" i="23" s="1"/>
  <c r="Q199" i="24"/>
  <c r="M196" i="23" s="1"/>
  <c r="Q244" i="24"/>
  <c r="M241" i="23" s="1"/>
  <c r="Q243" i="24"/>
  <c r="M240" i="23" s="1"/>
  <c r="F33" i="83"/>
  <c r="F30" i="83" s="1"/>
  <c r="F31" i="83" s="1"/>
  <c r="F34" i="83" s="1"/>
  <c r="F32" i="22"/>
  <c r="F33" i="86"/>
  <c r="F30" i="86" s="1"/>
  <c r="F31" i="86" s="1"/>
  <c r="F34" i="86" s="1"/>
  <c r="I65" i="34"/>
  <c r="F33" i="84"/>
  <c r="F30" i="84" s="1"/>
  <c r="F31" i="84" s="1"/>
  <c r="F34" i="84" s="1"/>
  <c r="F33" i="81"/>
  <c r="Q6" i="26"/>
  <c r="C28" i="22"/>
  <c r="Q72" i="24"/>
  <c r="M69" i="23" s="1"/>
  <c r="E1735" i="24"/>
  <c r="M673" i="24"/>
  <c r="M356" i="24"/>
  <c r="I35" i="87"/>
  <c r="I565" i="24"/>
  <c r="I901" i="24"/>
  <c r="I484" i="24"/>
  <c r="I485" i="24"/>
  <c r="I33" i="24"/>
  <c r="I34" i="24"/>
  <c r="I197" i="24"/>
  <c r="I196" i="24"/>
  <c r="I513" i="24"/>
  <c r="I375" i="24"/>
  <c r="G94" i="34"/>
  <c r="G14" i="38" s="1"/>
  <c r="H26" i="20"/>
  <c r="H46" i="20" s="1"/>
  <c r="H47" i="20" s="1"/>
  <c r="E807" i="24"/>
  <c r="E806" i="24"/>
  <c r="E1306" i="24"/>
  <c r="E1305" i="24"/>
  <c r="E2136" i="24"/>
  <c r="E2135" i="24"/>
  <c r="E2441" i="24"/>
  <c r="E2440" i="24"/>
  <c r="E1354" i="24"/>
  <c r="E1353" i="24"/>
  <c r="E1050" i="24"/>
  <c r="E1049" i="24"/>
  <c r="E792" i="24"/>
  <c r="E791" i="24"/>
  <c r="E1988" i="24"/>
  <c r="E1987" i="24"/>
  <c r="E1639" i="24"/>
  <c r="E1640" i="24"/>
  <c r="E2522" i="24"/>
  <c r="E2523" i="24"/>
  <c r="E1697" i="24"/>
  <c r="E1696" i="24"/>
  <c r="E893" i="24"/>
  <c r="E892" i="24"/>
  <c r="E414" i="24"/>
  <c r="E413" i="24"/>
  <c r="E2211" i="24"/>
  <c r="E2210" i="24"/>
  <c r="E779" i="24"/>
  <c r="E778" i="24"/>
  <c r="E1118" i="24"/>
  <c r="E1119" i="24"/>
  <c r="E732" i="24"/>
  <c r="E731" i="24"/>
  <c r="H17" i="78"/>
  <c r="F86" i="34"/>
  <c r="I20" i="20"/>
  <c r="I27" i="20"/>
  <c r="H248" i="13"/>
  <c r="G96" i="1"/>
  <c r="G98" i="1" s="1"/>
  <c r="D98" i="1" s="1"/>
  <c r="F56" i="6"/>
  <c r="M540" i="24"/>
  <c r="M539" i="24"/>
  <c r="M170" i="24"/>
  <c r="M169" i="24"/>
  <c r="M160" i="24"/>
  <c r="M159" i="24"/>
  <c r="M368" i="24"/>
  <c r="M367" i="24"/>
  <c r="M457" i="24"/>
  <c r="M456" i="24"/>
  <c r="M702" i="24"/>
  <c r="M701" i="24"/>
  <c r="M552" i="24"/>
  <c r="M551" i="24"/>
  <c r="M68" i="24"/>
  <c r="M69" i="24"/>
  <c r="M359" i="24"/>
  <c r="M360" i="24"/>
  <c r="M237" i="24"/>
  <c r="M236" i="24"/>
  <c r="M385" i="24"/>
  <c r="M384" i="24"/>
  <c r="M218" i="24"/>
  <c r="M217" i="24"/>
  <c r="M473" i="24"/>
  <c r="M472" i="24"/>
  <c r="M709" i="24"/>
  <c r="M710" i="24"/>
  <c r="B14" i="7"/>
  <c r="I39" i="34"/>
  <c r="M200" i="24"/>
  <c r="E939" i="24"/>
  <c r="E2452" i="24"/>
  <c r="E1658" i="24"/>
  <c r="I510" i="24"/>
  <c r="I1112" i="24"/>
  <c r="I1139" i="24"/>
  <c r="I1138" i="24"/>
  <c r="I894" i="24"/>
  <c r="I895" i="24"/>
  <c r="I611" i="24"/>
  <c r="I612" i="24"/>
  <c r="I878" i="24"/>
  <c r="I877" i="24"/>
  <c r="I61" i="24"/>
  <c r="I154" i="24"/>
  <c r="I155" i="24"/>
  <c r="I204" i="24"/>
  <c r="I205" i="24"/>
  <c r="E637" i="24"/>
  <c r="E638" i="24"/>
  <c r="E1145" i="24"/>
  <c r="E1146" i="24"/>
  <c r="E152" i="24"/>
  <c r="E151" i="24"/>
  <c r="S12" i="23" s="1" a="1"/>
  <c r="S13" i="23" s="1"/>
  <c r="E96" i="24"/>
  <c r="E95" i="24"/>
  <c r="E1798" i="24"/>
  <c r="E1797" i="24"/>
  <c r="E1820" i="24"/>
  <c r="E1821" i="24"/>
  <c r="E2259" i="24"/>
  <c r="E2258" i="24"/>
  <c r="E1342" i="24"/>
  <c r="E1343" i="24"/>
  <c r="E2130" i="24"/>
  <c r="E2131" i="24"/>
  <c r="E104" i="24"/>
  <c r="E103" i="24"/>
  <c r="E1164" i="24"/>
  <c r="E1163" i="24"/>
  <c r="E1374" i="24"/>
  <c r="E1373" i="24"/>
  <c r="E1550" i="24"/>
  <c r="E1549" i="24"/>
  <c r="E1765" i="24"/>
  <c r="E659" i="24"/>
  <c r="E658" i="24"/>
  <c r="E711" i="24"/>
  <c r="E710" i="24"/>
  <c r="E830" i="24"/>
  <c r="E829" i="24"/>
  <c r="E1857" i="24"/>
  <c r="E1858" i="24"/>
  <c r="F23" i="13"/>
  <c r="F22" i="13"/>
  <c r="C21" i="13"/>
  <c r="C20" i="13"/>
  <c r="E52" i="34"/>
  <c r="J22" i="22"/>
  <c r="M442" i="24"/>
  <c r="M441" i="24"/>
  <c r="I1108" i="24"/>
  <c r="C53" i="34"/>
  <c r="M664" i="24"/>
  <c r="E316" i="24"/>
  <c r="E1152" i="24"/>
  <c r="F209" i="13"/>
  <c r="F82" i="13"/>
  <c r="F212" i="13"/>
  <c r="F213" i="13"/>
  <c r="F208" i="13"/>
  <c r="I495" i="24"/>
  <c r="I1036" i="24"/>
  <c r="I1037" i="24"/>
  <c r="E1536" i="24"/>
  <c r="E1535" i="24"/>
  <c r="E1182" i="24"/>
  <c r="E2189" i="24"/>
  <c r="G54" i="1"/>
  <c r="G55" i="1"/>
  <c r="G51" i="1"/>
  <c r="G52" i="1"/>
  <c r="C52" i="1" s="1"/>
  <c r="F35" i="7"/>
  <c r="I68" i="24"/>
  <c r="I67" i="24"/>
  <c r="I552" i="24"/>
  <c r="I553" i="24"/>
  <c r="H217" i="13"/>
  <c r="H216" i="13"/>
  <c r="E744" i="24"/>
  <c r="E743" i="24"/>
  <c r="E1157" i="24"/>
  <c r="E1156" i="24"/>
  <c r="E1564" i="24"/>
  <c r="E1563" i="24"/>
  <c r="J23" i="20"/>
  <c r="E90" i="34"/>
  <c r="F28" i="1"/>
  <c r="F52" i="1"/>
  <c r="F51" i="1"/>
  <c r="F215" i="13"/>
  <c r="E1452" i="24"/>
  <c r="E2078" i="24"/>
  <c r="I415" i="24"/>
  <c r="E1141" i="24"/>
  <c r="F33" i="85"/>
  <c r="F30" i="85" s="1"/>
  <c r="F31" i="85" s="1"/>
  <c r="F34" i="85" s="1"/>
  <c r="D116" i="13"/>
  <c r="D127" i="13" s="1"/>
  <c r="D184" i="13"/>
  <c r="I1204" i="24"/>
  <c r="I1203" i="24"/>
  <c r="I560" i="24"/>
  <c r="I559" i="24"/>
  <c r="I158" i="24"/>
  <c r="I157" i="24"/>
  <c r="I549" i="24"/>
  <c r="I548" i="24"/>
  <c r="E919" i="24"/>
  <c r="E920" i="24"/>
  <c r="E425" i="24"/>
  <c r="E424" i="24"/>
  <c r="E1957" i="24"/>
  <c r="E1956" i="24"/>
  <c r="E489" i="24"/>
  <c r="E490" i="24"/>
  <c r="E2195" i="24"/>
  <c r="E2194" i="24"/>
  <c r="G30" i="20"/>
  <c r="H100" i="34"/>
  <c r="I68" i="26"/>
  <c r="I69" i="26" s="1"/>
  <c r="E72" i="34"/>
  <c r="I60" i="26"/>
  <c r="I61" i="27"/>
  <c r="I53" i="27"/>
  <c r="J9" i="20"/>
  <c r="J43" i="87" s="1"/>
  <c r="F214" i="13"/>
  <c r="E986" i="24"/>
  <c r="M546" i="24"/>
  <c r="I25" i="20"/>
  <c r="I45" i="20" s="1"/>
  <c r="J115" i="13"/>
  <c r="J135" i="13" s="1"/>
  <c r="J200" i="13"/>
  <c r="J168" i="13"/>
  <c r="J99" i="13"/>
  <c r="J30" i="13"/>
  <c r="B16" i="22"/>
  <c r="B16" i="85"/>
  <c r="B16" i="81"/>
  <c r="B16" i="83"/>
  <c r="B16" i="86"/>
  <c r="C10" i="22"/>
  <c r="Z16" i="27"/>
  <c r="I664" i="24"/>
  <c r="I663" i="24"/>
  <c r="I1248" i="24"/>
  <c r="I1247" i="24"/>
  <c r="I152" i="24"/>
  <c r="I151" i="24"/>
  <c r="I342" i="24"/>
  <c r="I341" i="24"/>
  <c r="I1206" i="24"/>
  <c r="I1205" i="24"/>
  <c r="I260" i="24"/>
  <c r="I261" i="24"/>
  <c r="E2399" i="24"/>
  <c r="E2398" i="24"/>
  <c r="E391" i="24"/>
  <c r="E390" i="24"/>
  <c r="E1179" i="24"/>
  <c r="E1178" i="24"/>
  <c r="E1040" i="24"/>
  <c r="E1039" i="24"/>
  <c r="E1813" i="24"/>
  <c r="E1812" i="24"/>
  <c r="E1969" i="24"/>
  <c r="E1970" i="24"/>
  <c r="E156" i="24"/>
  <c r="E155" i="24"/>
  <c r="E2248" i="24"/>
  <c r="E2247" i="24"/>
  <c r="E1721" i="24"/>
  <c r="E1720" i="24"/>
  <c r="E247" i="24"/>
  <c r="E246" i="24"/>
  <c r="B41" i="13"/>
  <c r="B49" i="13" s="1"/>
  <c r="B55" i="13" s="1"/>
  <c r="B42" i="13"/>
  <c r="B43" i="13" s="1"/>
  <c r="B51" i="13" s="1"/>
  <c r="B60" i="13" s="1"/>
  <c r="Q71" i="24"/>
  <c r="M68" i="23" s="1"/>
  <c r="Q70" i="24"/>
  <c r="M67" i="23" s="1"/>
  <c r="I32" i="1"/>
  <c r="I89" i="1"/>
  <c r="I88" i="1"/>
  <c r="C88" i="1" s="1"/>
  <c r="I54" i="1"/>
  <c r="L16" i="20"/>
  <c r="I60" i="24"/>
  <c r="I697" i="24"/>
  <c r="E708" i="24"/>
  <c r="B16" i="84"/>
  <c r="I75" i="34"/>
  <c r="I6" i="38" s="1"/>
  <c r="F11" i="20"/>
  <c r="F39" i="20" s="1"/>
  <c r="F41" i="20" s="1"/>
  <c r="E73" i="34"/>
  <c r="J10" i="20"/>
  <c r="J38" i="20" s="1"/>
  <c r="I833" i="24"/>
  <c r="I832" i="24"/>
  <c r="I1134" i="24"/>
  <c r="I1133" i="24"/>
  <c r="I100" i="24"/>
  <c r="I101" i="24"/>
  <c r="I534" i="24"/>
  <c r="I533" i="24"/>
  <c r="I269" i="24"/>
  <c r="I268" i="24"/>
  <c r="I283" i="24"/>
  <c r="I282" i="24"/>
  <c r="E1023" i="24"/>
  <c r="E1022" i="24"/>
  <c r="E1323" i="24"/>
  <c r="E1324" i="24"/>
  <c r="E1419" i="24"/>
  <c r="E1418" i="24"/>
  <c r="E214" i="24"/>
  <c r="E213" i="24"/>
  <c r="E2392" i="24"/>
  <c r="E2391" i="24"/>
  <c r="E1068" i="24"/>
  <c r="E1067" i="24"/>
  <c r="E2122" i="24"/>
  <c r="E2121" i="24"/>
  <c r="E1975" i="24"/>
  <c r="E1976" i="24"/>
  <c r="E1629" i="24"/>
  <c r="E1628" i="24"/>
  <c r="E1886" i="24"/>
  <c r="E2163" i="24"/>
  <c r="E2162" i="24"/>
  <c r="Q165" i="24"/>
  <c r="M162" i="23" s="1"/>
  <c r="Q166" i="24"/>
  <c r="M163" i="23" s="1"/>
  <c r="C81" i="34"/>
  <c r="L13" i="20"/>
  <c r="M308" i="24"/>
  <c r="M307" i="24"/>
  <c r="I32" i="20"/>
  <c r="F102" i="34"/>
  <c r="I980" i="24"/>
  <c r="B12" i="27"/>
  <c r="E593" i="24"/>
  <c r="I1260" i="24"/>
  <c r="E2290" i="24"/>
  <c r="C43" i="87"/>
  <c r="F16" i="81"/>
  <c r="C99" i="13"/>
  <c r="C30" i="13"/>
  <c r="C200" i="13"/>
  <c r="C168" i="13"/>
  <c r="C115" i="13"/>
  <c r="C135" i="13" s="1"/>
  <c r="F27" i="7"/>
  <c r="F62" i="7"/>
  <c r="F70" i="7" s="1"/>
  <c r="E82" i="13"/>
  <c r="E208" i="13"/>
  <c r="E209" i="13"/>
  <c r="E212" i="13"/>
  <c r="E213" i="13"/>
  <c r="F12" i="20"/>
  <c r="F40" i="20" s="1"/>
  <c r="I77" i="34"/>
  <c r="I7" i="38" s="1"/>
  <c r="H116" i="13"/>
  <c r="H127" i="13" s="1"/>
  <c r="H184" i="13"/>
  <c r="E100" i="13"/>
  <c r="E156" i="13"/>
  <c r="E77" i="26" s="1"/>
  <c r="E155" i="13"/>
  <c r="E153" i="13"/>
  <c r="E152" i="13"/>
  <c r="H103" i="13"/>
  <c r="H138" i="13"/>
  <c r="E28" i="22"/>
  <c r="D49" i="27"/>
  <c r="D56" i="26"/>
  <c r="D12" i="27"/>
  <c r="C73" i="34"/>
  <c r="C5" i="38" s="1"/>
  <c r="L10" i="20"/>
  <c r="L38" i="20" s="1"/>
  <c r="H18" i="7"/>
  <c r="A96" i="1"/>
  <c r="A98" i="1" s="1"/>
  <c r="C56" i="6"/>
  <c r="I1084" i="24"/>
  <c r="I1085" i="24"/>
  <c r="I745" i="24"/>
  <c r="I1157" i="24"/>
  <c r="I36" i="24"/>
  <c r="I1185" i="24"/>
  <c r="I236" i="24"/>
  <c r="I81" i="24"/>
  <c r="I829" i="24"/>
  <c r="I284" i="24"/>
  <c r="I990" i="24"/>
  <c r="I446" i="24"/>
  <c r="I1137" i="24"/>
  <c r="I478" i="24"/>
  <c r="I1069" i="24"/>
  <c r="I837" i="24"/>
  <c r="I374" i="24"/>
  <c r="I245" i="24"/>
  <c r="I324" i="24"/>
  <c r="I1009" i="24"/>
  <c r="I506" i="24"/>
  <c r="I319" i="24"/>
  <c r="I320" i="24"/>
  <c r="I530" i="24"/>
  <c r="I811" i="24"/>
  <c r="I965" i="24"/>
  <c r="I656" i="24"/>
  <c r="I734" i="24"/>
  <c r="I224" i="24"/>
  <c r="I240" i="24"/>
  <c r="I180" i="24"/>
  <c r="I371" i="24"/>
  <c r="F26" i="20"/>
  <c r="F46" i="20" s="1"/>
  <c r="I94" i="34"/>
  <c r="I14" i="38" s="1"/>
  <c r="D33" i="13"/>
  <c r="D53" i="13" s="1"/>
  <c r="L47" i="88"/>
  <c r="L48" i="88" s="1"/>
  <c r="E1595" i="24"/>
  <c r="E2050" i="24"/>
  <c r="E667" i="24"/>
  <c r="E1160" i="24"/>
  <c r="E1165" i="24"/>
  <c r="E2336" i="24"/>
  <c r="E1654" i="24"/>
  <c r="E914" i="24"/>
  <c r="E1456" i="24"/>
  <c r="E259" i="24"/>
  <c r="E2380" i="24"/>
  <c r="E13" i="24"/>
  <c r="E2033" i="24"/>
  <c r="E1464" i="24"/>
  <c r="E824" i="24"/>
  <c r="E225" i="24"/>
  <c r="E389" i="24"/>
  <c r="E2181" i="24"/>
  <c r="E116" i="24"/>
  <c r="E2469" i="24"/>
  <c r="E1400" i="24"/>
  <c r="E2015" i="24"/>
  <c r="E1328" i="24"/>
  <c r="E57" i="24"/>
  <c r="E1081" i="24"/>
  <c r="E2484" i="24"/>
  <c r="E1210" i="24"/>
  <c r="E1460" i="24"/>
  <c r="E1827" i="24"/>
  <c r="E1480" i="24"/>
  <c r="E1997" i="24"/>
  <c r="E866" i="24"/>
  <c r="E2463" i="24"/>
  <c r="E2268" i="24"/>
  <c r="E1173" i="24"/>
  <c r="E1694" i="24"/>
  <c r="E1613" i="24"/>
  <c r="E1746" i="24"/>
  <c r="E1760" i="24"/>
  <c r="E1493" i="24"/>
  <c r="E23" i="24"/>
  <c r="E1201" i="24"/>
  <c r="E1155" i="24"/>
  <c r="E409" i="24"/>
  <c r="E1590" i="24"/>
  <c r="E984" i="24"/>
  <c r="E418" i="24"/>
  <c r="E1349" i="24"/>
  <c r="E1073" i="24"/>
  <c r="E257" i="24"/>
  <c r="G40" i="13"/>
  <c r="G42" i="13" s="1"/>
  <c r="H41" i="13"/>
  <c r="H42" i="13"/>
  <c r="G27" i="7"/>
  <c r="G62" i="7"/>
  <c r="G70" i="7" s="1"/>
  <c r="I22" i="13"/>
  <c r="I20" i="13"/>
  <c r="I21" i="13"/>
  <c r="H9" i="26"/>
  <c r="F47" i="34"/>
  <c r="I19" i="22"/>
  <c r="H9" i="27" s="1"/>
  <c r="Q76" i="24"/>
  <c r="M73" i="23" s="1"/>
  <c r="Q84" i="24"/>
  <c r="M81" i="23" s="1"/>
  <c r="Q82" i="24"/>
  <c r="M79" i="23" s="1"/>
  <c r="Q88" i="24"/>
  <c r="M85" i="23" s="1"/>
  <c r="G90" i="34"/>
  <c r="H23" i="20"/>
  <c r="G4" i="94" s="1"/>
  <c r="E67" i="26"/>
  <c r="H77" i="13"/>
  <c r="H90" i="13" s="1"/>
  <c r="H41" i="88"/>
  <c r="M12" i="3"/>
  <c r="M600" i="24"/>
  <c r="M232" i="24"/>
  <c r="M41" i="24"/>
  <c r="M413" i="24"/>
  <c r="M208" i="24"/>
  <c r="M258" i="24"/>
  <c r="M91" i="24"/>
  <c r="M164" i="24"/>
  <c r="M188" i="24"/>
  <c r="M499" i="24"/>
  <c r="M511" i="24"/>
  <c r="M623" i="24"/>
  <c r="M154" i="24"/>
  <c r="M645" i="24"/>
  <c r="M758" i="24"/>
  <c r="M728" i="24"/>
  <c r="M571" i="24"/>
  <c r="M589" i="24"/>
  <c r="M144" i="24"/>
  <c r="M70" i="24"/>
  <c r="D154" i="13"/>
  <c r="E30" i="86"/>
  <c r="E31" i="86" s="1"/>
  <c r="E34" i="86" s="1"/>
  <c r="B99" i="13"/>
  <c r="B30" i="13"/>
  <c r="B168" i="13"/>
  <c r="B200" i="13"/>
  <c r="B115" i="13"/>
  <c r="B135" i="13" s="1"/>
  <c r="G16" i="3"/>
  <c r="G22" i="3" s="1"/>
  <c r="G5" i="3"/>
  <c r="D82" i="13"/>
  <c r="D83" i="13" s="1"/>
  <c r="D208" i="13"/>
  <c r="D212" i="13"/>
  <c r="D209" i="13"/>
  <c r="D213" i="13"/>
  <c r="I116" i="13"/>
  <c r="I127" i="13" s="1"/>
  <c r="I184" i="13"/>
  <c r="G100" i="13"/>
  <c r="G153" i="13"/>
  <c r="G156" i="13"/>
  <c r="G77" i="26" s="1"/>
  <c r="G155" i="13"/>
  <c r="G152" i="13"/>
  <c r="E23" i="22"/>
  <c r="J53" i="34"/>
  <c r="I1234" i="24"/>
  <c r="I1116" i="24"/>
  <c r="I1065" i="24"/>
  <c r="I440" i="24"/>
  <c r="I1061" i="24"/>
  <c r="I1266" i="24"/>
  <c r="I668" i="24"/>
  <c r="I327" i="24"/>
  <c r="I839" i="24"/>
  <c r="I337" i="24"/>
  <c r="G183" i="13"/>
  <c r="B53" i="13"/>
  <c r="E1007" i="24"/>
  <c r="E1545" i="24"/>
  <c r="E1626" i="24"/>
  <c r="E557" i="24"/>
  <c r="E1570" i="24"/>
  <c r="E1610" i="24"/>
  <c r="E2017" i="24"/>
  <c r="E835" i="24"/>
  <c r="E915" i="24"/>
  <c r="E2165" i="24"/>
  <c r="E1566" i="24"/>
  <c r="E1835" i="24"/>
  <c r="E894" i="24"/>
  <c r="E1931" i="24"/>
  <c r="E1245" i="24"/>
  <c r="E1978" i="24"/>
  <c r="E811" i="24"/>
  <c r="E2232" i="24"/>
  <c r="E1668" i="24"/>
  <c r="E2022" i="24"/>
  <c r="E1417" i="24"/>
  <c r="E944" i="24"/>
  <c r="E1901" i="24"/>
  <c r="E349" i="24"/>
  <c r="E2269" i="24"/>
  <c r="E1070" i="24"/>
  <c r="E1228" i="24"/>
  <c r="E1265" i="24"/>
  <c r="E1341" i="24"/>
  <c r="E1292" i="24"/>
  <c r="E2465" i="24"/>
  <c r="E1923" i="24"/>
  <c r="E503" i="24"/>
  <c r="E1523" i="24"/>
  <c r="E798" i="24"/>
  <c r="E267" i="24"/>
  <c r="E126" i="24"/>
  <c r="E1238" i="24"/>
  <c r="E120" i="24"/>
  <c r="E804" i="24"/>
  <c r="E1785" i="24"/>
  <c r="E1701" i="24"/>
  <c r="E312" i="24"/>
  <c r="E2024" i="24"/>
  <c r="E1051" i="24"/>
  <c r="E528" i="24"/>
  <c r="E136" i="24"/>
  <c r="E809" i="24"/>
  <c r="E1526" i="24"/>
  <c r="E39" i="87"/>
  <c r="D113" i="87"/>
  <c r="B22" i="13"/>
  <c r="B23" i="13"/>
  <c r="K19" i="22"/>
  <c r="D47" i="34"/>
  <c r="K20" i="20"/>
  <c r="D86" i="34"/>
  <c r="Q149" i="24"/>
  <c r="M146" i="23" s="1"/>
  <c r="Q247" i="24"/>
  <c r="M244" i="23" s="1"/>
  <c r="Q203" i="24"/>
  <c r="M200" i="23" s="1"/>
  <c r="M16" i="3"/>
  <c r="K39" i="87"/>
  <c r="I47" i="88"/>
  <c r="B90" i="13"/>
  <c r="H47" i="88"/>
  <c r="M150" i="24"/>
  <c r="M8" i="24"/>
  <c r="Q12" i="23" s="1" a="1"/>
  <c r="Q13" i="23" s="1"/>
  <c r="M506" i="24"/>
  <c r="M505" i="24"/>
  <c r="M209" i="24"/>
  <c r="M677" i="24"/>
  <c r="M632" i="24"/>
  <c r="M263" i="24"/>
  <c r="M743" i="24"/>
  <c r="M36" i="24"/>
  <c r="M28" i="24"/>
  <c r="M194" i="24"/>
  <c r="M578" i="24"/>
  <c r="M469" i="24"/>
  <c r="E12" i="3"/>
  <c r="E21" i="3" s="1"/>
  <c r="C34" i="88"/>
  <c r="C35" i="88" s="1"/>
  <c r="E18" i="7"/>
  <c r="H154" i="13"/>
  <c r="F46" i="13"/>
  <c r="F61" i="27"/>
  <c r="F53" i="27"/>
  <c r="G9" i="20"/>
  <c r="G43" i="87" s="1"/>
  <c r="F60" i="26"/>
  <c r="J32" i="20"/>
  <c r="E102" i="34"/>
  <c r="F10" i="7"/>
  <c r="F31" i="7" s="1"/>
  <c r="F22" i="3"/>
  <c r="G258" i="13"/>
  <c r="J30" i="84"/>
  <c r="J31" i="84" s="1"/>
  <c r="J34" i="84" s="1"/>
  <c r="F16" i="86"/>
  <c r="I185" i="13"/>
  <c r="H16" i="86"/>
  <c r="G44" i="34"/>
  <c r="H16" i="22"/>
  <c r="G7" i="27" s="1"/>
  <c r="F30" i="13"/>
  <c r="F200" i="13"/>
  <c r="F115" i="13"/>
  <c r="F135" i="13" s="1"/>
  <c r="F168" i="13"/>
  <c r="F99" i="13"/>
  <c r="I26" i="22"/>
  <c r="F57" i="34"/>
  <c r="B215" i="13"/>
  <c r="B209" i="13"/>
  <c r="B208" i="13"/>
  <c r="B82" i="13"/>
  <c r="B212" i="13"/>
  <c r="B214" i="13"/>
  <c r="B213" i="13"/>
  <c r="E116" i="13"/>
  <c r="E184" i="13"/>
  <c r="J21" i="22"/>
  <c r="I10" i="27" s="1"/>
  <c r="E49" i="34"/>
  <c r="I10" i="26"/>
  <c r="H233" i="13"/>
  <c r="D156" i="13"/>
  <c r="D77" i="26" s="1"/>
  <c r="D100" i="13"/>
  <c r="D153" i="13"/>
  <c r="D155" i="13"/>
  <c r="D152" i="13"/>
  <c r="F75" i="34"/>
  <c r="F6" i="38" s="1"/>
  <c r="I11" i="20"/>
  <c r="I39" i="20" s="1"/>
  <c r="C41" i="88"/>
  <c r="F49" i="27"/>
  <c r="F56" i="26"/>
  <c r="H59" i="34"/>
  <c r="G28" i="22"/>
  <c r="C27" i="22"/>
  <c r="L58" i="34"/>
  <c r="I861" i="24"/>
  <c r="I852" i="24"/>
  <c r="I451" i="24"/>
  <c r="I939" i="24"/>
  <c r="I49" i="24"/>
  <c r="I881" i="24"/>
  <c r="I185" i="24"/>
  <c r="I1098" i="24"/>
  <c r="I321" i="24"/>
  <c r="I1001" i="24"/>
  <c r="I14" i="24"/>
  <c r="I117" i="24"/>
  <c r="I1082" i="24"/>
  <c r="I563" i="24"/>
  <c r="I188" i="24"/>
  <c r="I428" i="24"/>
  <c r="I1179" i="24"/>
  <c r="I330" i="24"/>
  <c r="D183" i="13"/>
  <c r="E33" i="13"/>
  <c r="E53" i="13" s="1"/>
  <c r="B89" i="13"/>
  <c r="E64" i="24"/>
  <c r="E2273" i="24"/>
  <c r="E2517" i="24"/>
  <c r="E1446" i="24"/>
  <c r="E1971" i="24"/>
  <c r="E1973" i="24"/>
  <c r="E253" i="24"/>
  <c r="E1984" i="24"/>
  <c r="E1579" i="24"/>
  <c r="E1405" i="24"/>
  <c r="E2373" i="24"/>
  <c r="E1024" i="24"/>
  <c r="E961" i="24"/>
  <c r="E87" i="24"/>
  <c r="E342" i="24"/>
  <c r="E598" i="24"/>
  <c r="E384" i="24"/>
  <c r="E1802" i="24"/>
  <c r="E70" i="24"/>
  <c r="E560" i="24"/>
  <c r="E2355" i="24"/>
  <c r="E2281" i="24"/>
  <c r="E1274" i="24"/>
  <c r="E741" i="24"/>
  <c r="E1895" i="24"/>
  <c r="E2321" i="24"/>
  <c r="E20" i="24"/>
  <c r="E1346" i="24"/>
  <c r="E382" i="24"/>
  <c r="E1472" i="24"/>
  <c r="E544" i="24"/>
  <c r="E758" i="24"/>
  <c r="E291" i="24"/>
  <c r="E137" i="24"/>
  <c r="E929" i="24"/>
  <c r="E2069" i="24"/>
  <c r="E2027" i="24"/>
  <c r="E308" i="24"/>
  <c r="E1515" i="24"/>
  <c r="E112" i="24"/>
  <c r="E1787" i="24"/>
  <c r="E227" i="24"/>
  <c r="E1425" i="24"/>
  <c r="E1096" i="24"/>
  <c r="E1832" i="24"/>
  <c r="E1994" i="24"/>
  <c r="E198" i="24"/>
  <c r="E2513" i="24"/>
  <c r="E622" i="24"/>
  <c r="E209" i="24"/>
  <c r="E2296" i="24"/>
  <c r="E2400" i="24"/>
  <c r="E853" i="24"/>
  <c r="E1667" i="24"/>
  <c r="E1078" i="24"/>
  <c r="E184" i="24"/>
  <c r="E1789" i="24"/>
  <c r="E54" i="1"/>
  <c r="E23" i="13"/>
  <c r="E22" i="13"/>
  <c r="D28" i="7"/>
  <c r="E28" i="1"/>
  <c r="C28" i="1" s="1"/>
  <c r="Z18" i="26"/>
  <c r="Q231" i="24"/>
  <c r="M228" i="23" s="1"/>
  <c r="Q31" i="24"/>
  <c r="M28" i="23" s="1"/>
  <c r="J25" i="73"/>
  <c r="G24" i="73"/>
  <c r="G26" i="73"/>
  <c r="G25" i="73"/>
  <c r="E24" i="73"/>
  <c r="F26" i="73"/>
  <c r="L21" i="73"/>
  <c r="L26" i="73"/>
  <c r="J22" i="73"/>
  <c r="L24" i="73"/>
  <c r="F21" i="73"/>
  <c r="L23" i="73"/>
  <c r="E21" i="73"/>
  <c r="K21" i="73"/>
  <c r="K26" i="73"/>
  <c r="L22" i="73"/>
  <c r="J26" i="73"/>
  <c r="K25" i="73"/>
  <c r="J24" i="73"/>
  <c r="E22" i="73"/>
  <c r="E25" i="73"/>
  <c r="G22" i="73"/>
  <c r="F23" i="73"/>
  <c r="J23" i="73"/>
  <c r="F22" i="73"/>
  <c r="L25" i="73"/>
  <c r="E26" i="73"/>
  <c r="K24" i="73"/>
  <c r="F25" i="73"/>
  <c r="K22" i="73"/>
  <c r="F24" i="73"/>
  <c r="K23" i="73"/>
  <c r="G23" i="73"/>
  <c r="E23" i="73"/>
  <c r="G21" i="73"/>
  <c r="J21" i="73"/>
  <c r="J27" i="73" s="1"/>
  <c r="H51" i="1"/>
  <c r="G35" i="7"/>
  <c r="H54" i="1"/>
  <c r="D10" i="7"/>
  <c r="D31" i="7" s="1"/>
  <c r="B17" i="3"/>
  <c r="M279" i="24"/>
  <c r="M637" i="24"/>
  <c r="M339" i="24"/>
  <c r="M596" i="24"/>
  <c r="M721" i="24"/>
  <c r="M52" i="24"/>
  <c r="M421" i="24"/>
  <c r="M518" i="24"/>
  <c r="M264" i="24"/>
  <c r="M139" i="24"/>
  <c r="M88" i="24"/>
  <c r="M567" i="24"/>
  <c r="D17" i="79"/>
  <c r="C154" i="13"/>
  <c r="E46" i="13"/>
  <c r="E47" i="13" s="1"/>
  <c r="F47" i="13"/>
  <c r="F92" i="13"/>
  <c r="B185" i="13"/>
  <c r="L16" i="22"/>
  <c r="C44" i="34"/>
  <c r="H168" i="13"/>
  <c r="H115" i="13"/>
  <c r="H135" i="13" s="1"/>
  <c r="H99" i="13"/>
  <c r="H30" i="13"/>
  <c r="H200" i="13"/>
  <c r="G208" i="13"/>
  <c r="G82" i="13"/>
  <c r="G213" i="13"/>
  <c r="G212" i="13"/>
  <c r="G209" i="13"/>
  <c r="A55" i="1"/>
  <c r="C35" i="7"/>
  <c r="A52" i="1"/>
  <c r="A51" i="1"/>
  <c r="A54" i="1"/>
  <c r="G116" i="13"/>
  <c r="G184" i="13"/>
  <c r="J84" i="34"/>
  <c r="E18" i="20"/>
  <c r="C100" i="13"/>
  <c r="C152" i="13"/>
  <c r="C155" i="13"/>
  <c r="C153" i="13"/>
  <c r="C156" i="13"/>
  <c r="C77" i="26" s="1"/>
  <c r="J73" i="34"/>
  <c r="E10" i="20"/>
  <c r="E38" i="20" s="1"/>
  <c r="I512" i="24"/>
  <c r="I384" i="24"/>
  <c r="I570" i="24"/>
  <c r="I928" i="24"/>
  <c r="I711" i="24"/>
  <c r="I1032" i="24"/>
  <c r="I1089" i="24"/>
  <c r="I1060" i="24"/>
  <c r="I603" i="24"/>
  <c r="I1180" i="24"/>
  <c r="I335" i="24"/>
  <c r="I857" i="24"/>
  <c r="I1046" i="24"/>
  <c r="I318" i="24"/>
  <c r="I122" i="24"/>
  <c r="I593" i="24"/>
  <c r="I778" i="24"/>
  <c r="I1118" i="24"/>
  <c r="I121" i="24"/>
  <c r="F183" i="13"/>
  <c r="F216" i="13"/>
  <c r="F217" i="13"/>
  <c r="F53" i="13"/>
  <c r="E767" i="24"/>
  <c r="E1134" i="24"/>
  <c r="E1058" i="24"/>
  <c r="E2482" i="24"/>
  <c r="E1964" i="24"/>
  <c r="E536" i="24"/>
  <c r="E630" i="24"/>
  <c r="E1115" i="24"/>
  <c r="E2450" i="24"/>
  <c r="E2491" i="24"/>
  <c r="E771" i="24"/>
  <c r="E833" i="24"/>
  <c r="E2339" i="24"/>
  <c r="E1422" i="24"/>
  <c r="E1350" i="24"/>
  <c r="E681" i="24"/>
  <c r="E1801" i="24"/>
  <c r="E2187" i="24"/>
  <c r="E1286" i="24"/>
  <c r="E230" i="24"/>
  <c r="E595" i="24"/>
  <c r="E1102" i="24"/>
  <c r="E530" i="24"/>
  <c r="E2158" i="24"/>
  <c r="E2524" i="24"/>
  <c r="E1645" i="24"/>
  <c r="E2352" i="24"/>
  <c r="E646" i="24"/>
  <c r="E997" i="24"/>
  <c r="E785" i="24"/>
  <c r="E168" i="24"/>
  <c r="E1216" i="24"/>
  <c r="E1892" i="24"/>
  <c r="E2302" i="24"/>
  <c r="E578" i="24"/>
  <c r="E2332" i="24"/>
  <c r="E2089" i="24"/>
  <c r="E1112" i="24"/>
  <c r="E1030" i="24"/>
  <c r="E576" i="24"/>
  <c r="E1961" i="24"/>
  <c r="E574" i="24"/>
  <c r="E1752" i="24"/>
  <c r="E1459" i="24"/>
  <c r="E739" i="24"/>
  <c r="E1618" i="24"/>
  <c r="E380" i="24"/>
  <c r="E1357" i="24"/>
  <c r="E1038" i="24"/>
  <c r="E1356" i="24"/>
  <c r="D231" i="13"/>
  <c r="D181" i="13"/>
  <c r="F234" i="13"/>
  <c r="G22" i="13"/>
  <c r="G23" i="13"/>
  <c r="H91" i="34"/>
  <c r="H12" i="38" s="1"/>
  <c r="G24" i="20"/>
  <c r="G44" i="20" s="1"/>
  <c r="G47" i="20" s="1"/>
  <c r="F48" i="20" s="1"/>
  <c r="F19" i="22"/>
  <c r="E9" i="27" s="1"/>
  <c r="E9" i="26"/>
  <c r="I47" i="34"/>
  <c r="I43" i="38" s="1"/>
  <c r="Q209" i="24"/>
  <c r="M206" i="23" s="1"/>
  <c r="Q9" i="24"/>
  <c r="M6" i="23" s="1"/>
  <c r="Q159" i="24"/>
  <c r="M156" i="23" s="1"/>
  <c r="D7" i="94"/>
  <c r="G41" i="88"/>
  <c r="L17" i="79"/>
  <c r="I8" i="40"/>
  <c r="H8" i="40"/>
  <c r="M8" i="40"/>
  <c r="K8" i="40"/>
  <c r="G90" i="13"/>
  <c r="M486" i="24"/>
  <c r="M211" i="24"/>
  <c r="M338" i="24"/>
  <c r="M699" i="24"/>
  <c r="M411" i="24"/>
  <c r="M108" i="24"/>
  <c r="M45" i="24"/>
  <c r="M388" i="24"/>
  <c r="M520" i="24"/>
  <c r="M246" i="24"/>
  <c r="M463" i="24"/>
  <c r="H35" i="13"/>
  <c r="I36" i="13"/>
  <c r="I48" i="13" s="1"/>
  <c r="I57" i="13" s="1"/>
  <c r="H182" i="13"/>
  <c r="D129" i="13"/>
  <c r="D92" i="13"/>
  <c r="H17" i="20"/>
  <c r="G83" i="34"/>
  <c r="H30" i="85"/>
  <c r="H31" i="85" s="1"/>
  <c r="H34" i="85" s="1"/>
  <c r="C185" i="13"/>
  <c r="I30" i="13"/>
  <c r="I115" i="13"/>
  <c r="I135" i="13" s="1"/>
  <c r="I200" i="13"/>
  <c r="B110" i="13"/>
  <c r="I77" i="13"/>
  <c r="I90" i="13" s="1"/>
  <c r="J17" i="79"/>
  <c r="F116" i="13"/>
  <c r="F184" i="13"/>
  <c r="E47" i="87"/>
  <c r="D233" i="13"/>
  <c r="B152" i="13"/>
  <c r="B153" i="13"/>
  <c r="J75" i="34"/>
  <c r="J6" i="38" s="1"/>
  <c r="E11" i="20"/>
  <c r="E39" i="20" s="1"/>
  <c r="K10" i="22"/>
  <c r="K33" i="18"/>
  <c r="I12" i="27"/>
  <c r="I12" i="26"/>
  <c r="I56" i="26"/>
  <c r="J28" i="22"/>
  <c r="I49" i="27"/>
  <c r="E59" i="34"/>
  <c r="C87" i="13"/>
  <c r="I231" i="24"/>
  <c r="I129" i="24"/>
  <c r="I943" i="24"/>
  <c r="I173" i="24"/>
  <c r="I363" i="24"/>
  <c r="I632" i="24"/>
  <c r="I304" i="24"/>
  <c r="I710" i="24"/>
  <c r="I1188" i="24"/>
  <c r="I25" i="24"/>
  <c r="I41" i="24"/>
  <c r="I252" i="24"/>
  <c r="I567" i="24"/>
  <c r="I191" i="24"/>
  <c r="I45" i="24"/>
  <c r="I46" i="24"/>
  <c r="I1262" i="24"/>
  <c r="I954" i="24"/>
  <c r="I35" i="24"/>
  <c r="I190" i="24"/>
  <c r="I683" i="24"/>
  <c r="I201" i="24"/>
  <c r="B183" i="13"/>
  <c r="B217" i="13"/>
  <c r="B216" i="13"/>
  <c r="D47" i="87"/>
  <c r="G33" i="13"/>
  <c r="G53" i="13" s="1"/>
  <c r="G89" i="13"/>
  <c r="E2505" i="24"/>
  <c r="E158" i="24"/>
  <c r="E1190" i="24"/>
  <c r="E641" i="24"/>
  <c r="E588" i="24"/>
  <c r="E2432" i="24"/>
  <c r="E495" i="24"/>
  <c r="E1403" i="24"/>
  <c r="E1194" i="24"/>
  <c r="E1009" i="24"/>
  <c r="E1734" i="24"/>
  <c r="E582" i="24"/>
  <c r="E1553" i="24"/>
  <c r="E299" i="24"/>
  <c r="E2013" i="24"/>
  <c r="E453" i="24"/>
  <c r="E747" i="24"/>
  <c r="E145" i="24"/>
  <c r="E949" i="24"/>
  <c r="E1692" i="24"/>
  <c r="E602" i="24"/>
  <c r="E1338" i="24"/>
  <c r="E98" i="24"/>
  <c r="E586" i="24"/>
  <c r="E422" i="24"/>
  <c r="E1093" i="24"/>
  <c r="E1484" i="24"/>
  <c r="E2238" i="24"/>
  <c r="E2114" i="24"/>
  <c r="E470" i="24"/>
  <c r="E1312" i="24"/>
  <c r="E1593" i="24"/>
  <c r="E2205" i="24"/>
  <c r="E909" i="24"/>
  <c r="E764" i="24"/>
  <c r="E2305" i="24"/>
  <c r="E1677" i="24"/>
  <c r="E621" i="24"/>
  <c r="E905" i="24"/>
  <c r="E1125" i="24"/>
  <c r="E1317" i="24"/>
  <c r="E1865" i="24"/>
  <c r="E2379" i="24"/>
  <c r="E656" i="24"/>
  <c r="E1069" i="24"/>
  <c r="E1222" i="24"/>
  <c r="E93" i="24"/>
  <c r="E8" i="24"/>
  <c r="C231" i="13"/>
  <c r="C237" i="13" s="1"/>
  <c r="C241" i="13" s="1"/>
  <c r="C181" i="13"/>
  <c r="H234" i="13"/>
  <c r="E40" i="13"/>
  <c r="F42" i="13"/>
  <c r="H23" i="13"/>
  <c r="H22" i="13"/>
  <c r="Q163" i="24"/>
  <c r="M160" i="23" s="1"/>
  <c r="Q90" i="24"/>
  <c r="M87" i="23" s="1"/>
  <c r="Q12" i="24"/>
  <c r="M9" i="23" s="1"/>
  <c r="K13" i="22"/>
  <c r="D39" i="34"/>
  <c r="L85" i="34"/>
  <c r="M85" i="34" s="1"/>
  <c r="C19" i="20"/>
  <c r="F17" i="79"/>
  <c r="F77" i="13"/>
  <c r="F90" i="13" s="1"/>
  <c r="M730" i="24"/>
  <c r="M363" i="24"/>
  <c r="M484" i="24"/>
  <c r="M253" i="24"/>
  <c r="M650" i="24"/>
  <c r="M449" i="24"/>
  <c r="M707" i="24"/>
  <c r="M619" i="24"/>
  <c r="M522" i="24"/>
  <c r="M136" i="24"/>
  <c r="L12" i="3"/>
  <c r="F182" i="13"/>
  <c r="K17" i="79"/>
  <c r="C46" i="13"/>
  <c r="C47" i="13" s="1"/>
  <c r="C81" i="13"/>
  <c r="C92" i="13" s="1"/>
  <c r="C30" i="83"/>
  <c r="C31" i="83" s="1"/>
  <c r="C34" i="83" s="1"/>
  <c r="H185" i="13"/>
  <c r="Z19" i="27"/>
  <c r="Z20" i="27" s="1"/>
  <c r="Z19" i="26"/>
  <c r="D115" i="13"/>
  <c r="D135" i="13" s="1"/>
  <c r="D99" i="13"/>
  <c r="D168" i="13"/>
  <c r="D30" i="13"/>
  <c r="D200" i="13"/>
  <c r="E5" i="3"/>
  <c r="E16" i="3"/>
  <c r="D21" i="22"/>
  <c r="C10" i="27" s="1"/>
  <c r="C10" i="26"/>
  <c r="K49" i="34"/>
  <c r="L44" i="38" s="1"/>
  <c r="F233" i="13"/>
  <c r="F100" i="13"/>
  <c r="F108" i="13" s="1"/>
  <c r="F152" i="13"/>
  <c r="F155" i="13"/>
  <c r="F153" i="13"/>
  <c r="F156" i="13"/>
  <c r="F77" i="26" s="1"/>
  <c r="E12" i="26"/>
  <c r="F28" i="22"/>
  <c r="E56" i="26"/>
  <c r="I59" i="34"/>
  <c r="I1039" i="24"/>
  <c r="I929" i="24"/>
  <c r="I801" i="24"/>
  <c r="I667" i="24"/>
  <c r="I725" i="24"/>
  <c r="I78" i="24"/>
  <c r="I198" i="24"/>
  <c r="I135" i="24"/>
  <c r="I302" i="24"/>
  <c r="I602" i="24"/>
  <c r="I1162" i="24"/>
  <c r="I1216" i="24"/>
  <c r="I461" i="24"/>
  <c r="I974" i="24"/>
  <c r="I1014" i="24"/>
  <c r="I926" i="24"/>
  <c r="I584" i="24"/>
  <c r="I94" i="24"/>
  <c r="I938" i="24"/>
  <c r="I625" i="24"/>
  <c r="C183" i="13"/>
  <c r="E962" i="24"/>
  <c r="E2377" i="24"/>
  <c r="E1533" i="24"/>
  <c r="E1758" i="24"/>
  <c r="E566" i="24"/>
  <c r="E1412" i="24"/>
  <c r="E1937" i="24"/>
  <c r="E1779" i="24"/>
  <c r="E1392" i="24"/>
  <c r="E1432" i="24"/>
  <c r="E59" i="24"/>
  <c r="E654" i="24"/>
  <c r="E1573" i="24"/>
  <c r="E281" i="24"/>
  <c r="E1949" i="24"/>
  <c r="E2282" i="24"/>
  <c r="E524" i="24"/>
  <c r="E2150" i="24"/>
  <c r="E1582" i="24"/>
  <c r="E960" i="24"/>
  <c r="E1871" i="24"/>
  <c r="E1551" i="24"/>
  <c r="E1816" i="24"/>
  <c r="E729" i="24"/>
  <c r="E297" i="24"/>
  <c r="E680" i="24"/>
  <c r="E1718" i="24"/>
  <c r="E2310" i="24"/>
  <c r="E966" i="24"/>
  <c r="E794" i="24"/>
  <c r="E2227" i="24"/>
  <c r="E1926" i="24"/>
  <c r="E678" i="24"/>
  <c r="E1684" i="24"/>
  <c r="E1605" i="24"/>
  <c r="E648" i="24"/>
  <c r="E128" i="24"/>
  <c r="E42" i="24"/>
  <c r="E1672" i="24"/>
  <c r="E221" i="24"/>
  <c r="E1576" i="24"/>
  <c r="E203" i="24"/>
  <c r="E571" i="24"/>
  <c r="E2099" i="24"/>
  <c r="E2032" i="24"/>
  <c r="E2316" i="24"/>
  <c r="E196" i="24"/>
  <c r="E511" i="24"/>
  <c r="E2480" i="24"/>
  <c r="E2005" i="24"/>
  <c r="E1850" i="24"/>
  <c r="E220" i="24"/>
  <c r="E1898" i="24"/>
  <c r="E1018" i="24"/>
  <c r="G231" i="13"/>
  <c r="G181" i="13"/>
  <c r="E234" i="13"/>
  <c r="D21" i="13"/>
  <c r="D20" i="13"/>
  <c r="K47" i="87"/>
  <c r="Q53" i="24"/>
  <c r="M50" i="23" s="1"/>
  <c r="Q217" i="24"/>
  <c r="M214" i="23" s="1"/>
  <c r="Q237" i="24"/>
  <c r="M234" i="23" s="1"/>
  <c r="Q40" i="24"/>
  <c r="M37" i="23" s="1"/>
  <c r="Q121" i="24"/>
  <c r="M118" i="23" s="1"/>
  <c r="Q124" i="24"/>
  <c r="M121" i="23" s="1"/>
  <c r="Q23" i="24"/>
  <c r="M20" i="23" s="1"/>
  <c r="J24" i="72"/>
  <c r="E25" i="72"/>
  <c r="J21" i="72"/>
  <c r="H26" i="72"/>
  <c r="K24" i="72"/>
  <c r="K21" i="72"/>
  <c r="I25" i="72"/>
  <c r="I26" i="72"/>
  <c r="L24" i="72"/>
  <c r="H21" i="72"/>
  <c r="L26" i="72"/>
  <c r="F26" i="72"/>
  <c r="G22" i="72"/>
  <c r="E24" i="72"/>
  <c r="I22" i="72"/>
  <c r="L25" i="72"/>
  <c r="H25" i="72"/>
  <c r="F24" i="72"/>
  <c r="G25" i="72"/>
  <c r="E21" i="72"/>
  <c r="E27" i="72" s="1"/>
  <c r="F23" i="72"/>
  <c r="K22" i="72"/>
  <c r="G21" i="72"/>
  <c r="G27" i="72" s="1"/>
  <c r="G33" i="72" s="1"/>
  <c r="G16" i="88" s="1"/>
  <c r="F22" i="72"/>
  <c r="J25" i="72"/>
  <c r="E22" i="72"/>
  <c r="J26" i="72"/>
  <c r="L21" i="72"/>
  <c r="E26" i="72"/>
  <c r="H24" i="72"/>
  <c r="F25" i="72"/>
  <c r="H23" i="72"/>
  <c r="I21" i="72"/>
  <c r="L22" i="72"/>
  <c r="I23" i="72"/>
  <c r="K26" i="72"/>
  <c r="H22" i="72"/>
  <c r="L23" i="72"/>
  <c r="K25" i="72"/>
  <c r="J22" i="72"/>
  <c r="J23" i="72"/>
  <c r="E23" i="72"/>
  <c r="G23" i="72"/>
  <c r="G26" i="72"/>
  <c r="G24" i="72"/>
  <c r="K23" i="72"/>
  <c r="I24" i="72"/>
  <c r="F21" i="72"/>
  <c r="F27" i="72" s="1"/>
  <c r="I67" i="26"/>
  <c r="K85" i="34"/>
  <c r="D19" i="20"/>
  <c r="C47" i="88"/>
  <c r="G93" i="34"/>
  <c r="G13" i="38" s="1"/>
  <c r="H25" i="20"/>
  <c r="H45" i="20" s="1"/>
  <c r="M233" i="24"/>
  <c r="M433" i="24"/>
  <c r="M642" i="24"/>
  <c r="M14" i="24"/>
  <c r="M682" i="24"/>
  <c r="M537" i="24"/>
  <c r="C182" i="13"/>
  <c r="H56" i="6"/>
  <c r="I85" i="1" s="1"/>
  <c r="I96" i="1"/>
  <c r="I98" i="1" s="1"/>
  <c r="I14" i="22"/>
  <c r="T7" i="26"/>
  <c r="F40" i="34"/>
  <c r="E19" i="3"/>
  <c r="D60" i="26"/>
  <c r="D61" i="27"/>
  <c r="E52" i="26"/>
  <c r="H69" i="26"/>
  <c r="D185" i="13"/>
  <c r="E115" i="13"/>
  <c r="E135" i="13" s="1"/>
  <c r="E99" i="13"/>
  <c r="E168" i="13"/>
  <c r="E200" i="13"/>
  <c r="E30" i="13"/>
  <c r="B184" i="13"/>
  <c r="B116" i="13"/>
  <c r="B127" i="13" s="1"/>
  <c r="L21" i="22"/>
  <c r="C49" i="34"/>
  <c r="B103" i="13"/>
  <c r="B108" i="13" s="1"/>
  <c r="B138" i="13"/>
  <c r="I233" i="13"/>
  <c r="K23" i="22"/>
  <c r="D53" i="34"/>
  <c r="I1115" i="24"/>
  <c r="I1214" i="24"/>
  <c r="I256" i="24"/>
  <c r="I1077" i="24"/>
  <c r="I483" i="24"/>
  <c r="I429" i="24"/>
  <c r="I807" i="24"/>
  <c r="I721" i="24"/>
  <c r="I433" i="24"/>
  <c r="I594" i="24"/>
  <c r="I399" i="24"/>
  <c r="I350" i="24"/>
  <c r="I1195" i="24"/>
  <c r="I897" i="24"/>
  <c r="I1017" i="24"/>
  <c r="I104" i="24"/>
  <c r="I1030" i="24"/>
  <c r="I83" i="24"/>
  <c r="I626" i="24"/>
  <c r="I701" i="24"/>
  <c r="I797" i="24"/>
  <c r="I555" i="24"/>
  <c r="E183" i="13"/>
  <c r="C217" i="13"/>
  <c r="C216" i="13"/>
  <c r="E89" i="13"/>
  <c r="E416" i="24"/>
  <c r="E839" i="24"/>
  <c r="E372" i="24"/>
  <c r="E212" i="24"/>
  <c r="E2097" i="24"/>
  <c r="E392" i="24"/>
  <c r="E1407" i="24"/>
  <c r="E2299" i="24"/>
  <c r="E1253" i="24"/>
  <c r="E1411" i="24"/>
  <c r="E2449" i="24"/>
  <c r="E1061" i="24"/>
  <c r="E2497" i="24"/>
  <c r="E402" i="24"/>
  <c r="E868" i="24"/>
  <c r="E1585" i="24"/>
  <c r="E716" i="24"/>
  <c r="E304" i="24"/>
  <c r="E1990" i="24"/>
  <c r="E890" i="24"/>
  <c r="E1366" i="24"/>
  <c r="E694" i="24"/>
  <c r="E1261" i="24"/>
  <c r="E1674" i="24"/>
  <c r="E652" i="24"/>
  <c r="E1415" i="24"/>
  <c r="E1578" i="24"/>
  <c r="E981" i="24"/>
  <c r="E147" i="24"/>
  <c r="E632" i="24"/>
  <c r="E2425" i="24"/>
  <c r="E2104" i="24"/>
  <c r="E615" i="24"/>
  <c r="E1845" i="24"/>
  <c r="E163" i="24"/>
  <c r="E564" i="24"/>
  <c r="E938" i="24"/>
  <c r="E700" i="24"/>
  <c r="E2145" i="24"/>
  <c r="E460" i="24"/>
  <c r="E1793" i="24"/>
  <c r="E547" i="24"/>
  <c r="E2080" i="24"/>
  <c r="E985" i="24"/>
  <c r="E1612" i="24"/>
  <c r="E2254" i="24"/>
  <c r="E899" i="24"/>
  <c r="E157" i="24"/>
  <c r="E1499" i="24"/>
  <c r="E1679" i="24"/>
  <c r="E37" i="24"/>
  <c r="E1556" i="24"/>
  <c r="E231" i="13"/>
  <c r="E238" i="13" s="1"/>
  <c r="E242" i="13" s="1"/>
  <c r="E181" i="13"/>
  <c r="D22" i="13"/>
  <c r="D23" i="13"/>
  <c r="F20" i="13"/>
  <c r="F21" i="13"/>
  <c r="G47" i="34"/>
  <c r="G43" i="38" s="1"/>
  <c r="H19" i="22"/>
  <c r="G9" i="27" s="1"/>
  <c r="C20" i="20"/>
  <c r="L86" i="34"/>
  <c r="M86" i="34" s="1"/>
  <c r="N86" i="34" s="1"/>
  <c r="O86" i="34" s="1"/>
  <c r="P86" i="34" s="1"/>
  <c r="Q86" i="34" s="1"/>
  <c r="Q171" i="24"/>
  <c r="M168" i="23" s="1"/>
  <c r="Q50" i="24"/>
  <c r="M47" i="23" s="1"/>
  <c r="Q194" i="24"/>
  <c r="M191" i="23" s="1"/>
  <c r="Q158" i="24"/>
  <c r="M155" i="23" s="1"/>
  <c r="Q141" i="24"/>
  <c r="M138" i="23" s="1"/>
  <c r="Q43" i="24"/>
  <c r="M40" i="23" s="1"/>
  <c r="X23" i="41"/>
  <c r="C8" i="41" s="1"/>
  <c r="Z23" i="41"/>
  <c r="D9" i="94"/>
  <c r="M391" i="24"/>
  <c r="M616" i="24"/>
  <c r="M415" i="24"/>
  <c r="M662" i="24"/>
  <c r="M670" i="24"/>
  <c r="M561" i="24"/>
  <c r="M493" i="24"/>
  <c r="M533" i="24"/>
  <c r="M628" i="24"/>
  <c r="M187" i="24"/>
  <c r="M375" i="24"/>
  <c r="M694" i="24"/>
  <c r="M718" i="24"/>
  <c r="M611" i="24"/>
  <c r="M62" i="24"/>
  <c r="M400" i="24"/>
  <c r="M231" i="24"/>
  <c r="M131" i="24"/>
  <c r="M563" i="24"/>
  <c r="C35" i="13"/>
  <c r="C36" i="13" s="1"/>
  <c r="C48" i="13" s="1"/>
  <c r="C57" i="13" s="1"/>
  <c r="D36" i="13"/>
  <c r="D48" i="13" s="1"/>
  <c r="D57" i="13" s="1"/>
  <c r="G182" i="13"/>
  <c r="B154" i="13"/>
  <c r="K41" i="88"/>
  <c r="I9" i="20"/>
  <c r="I43" i="87" s="1"/>
  <c r="H61" i="27"/>
  <c r="H53" i="27"/>
  <c r="H60" i="26"/>
  <c r="H68" i="26"/>
  <c r="F72" i="34"/>
  <c r="E81" i="13"/>
  <c r="E92" i="13" s="1"/>
  <c r="G185" i="13"/>
  <c r="G99" i="13"/>
  <c r="G168" i="13"/>
  <c r="G115" i="13"/>
  <c r="G135" i="13" s="1"/>
  <c r="G30" i="13"/>
  <c r="G200" i="13"/>
  <c r="F88" i="1"/>
  <c r="F89" i="1"/>
  <c r="C208" i="13"/>
  <c r="C209" i="13"/>
  <c r="C82" i="13"/>
  <c r="C83" i="13" s="1"/>
  <c r="C94" i="13" s="1"/>
  <c r="C213" i="13"/>
  <c r="C212" i="13"/>
  <c r="E138" i="13"/>
  <c r="E103" i="13"/>
  <c r="E108" i="13" s="1"/>
  <c r="I55" i="1"/>
  <c r="I51" i="1"/>
  <c r="H35" i="7"/>
  <c r="G17" i="79"/>
  <c r="B237" i="13"/>
  <c r="B241" i="13" s="1"/>
  <c r="H87" i="13"/>
  <c r="D80" i="87"/>
  <c r="I494" i="24"/>
  <c r="I679" i="24"/>
  <c r="I391" i="24"/>
  <c r="I229" i="24"/>
  <c r="I10" i="24"/>
  <c r="I359" i="24"/>
  <c r="I439" i="24"/>
  <c r="I1264" i="24"/>
  <c r="I15" i="24"/>
  <c r="I545" i="24"/>
  <c r="I517" i="24"/>
  <c r="I860" i="24"/>
  <c r="I1059" i="24"/>
  <c r="I411" i="24"/>
  <c r="I615" i="24"/>
  <c r="I643" i="24"/>
  <c r="I773" i="24"/>
  <c r="I312" i="24"/>
  <c r="I850" i="24"/>
  <c r="I52" i="24"/>
  <c r="E26" i="20"/>
  <c r="E46" i="20" s="1"/>
  <c r="J94" i="34"/>
  <c r="J14" i="38" s="1"/>
  <c r="I217" i="13"/>
  <c r="I216" i="13"/>
  <c r="E1034" i="24"/>
  <c r="E1648" i="24"/>
  <c r="E265" i="24"/>
  <c r="E2154" i="24"/>
  <c r="E328" i="24"/>
  <c r="E885" i="24"/>
  <c r="E2363" i="24"/>
  <c r="E2075" i="24"/>
  <c r="E1621" i="24"/>
  <c r="E492" i="24"/>
  <c r="E1764" i="24"/>
  <c r="E1641" i="24"/>
  <c r="E182" i="24"/>
  <c r="E2003" i="24"/>
  <c r="E844" i="24"/>
  <c r="E770" i="24"/>
  <c r="E288" i="24"/>
  <c r="E1625" i="24"/>
  <c r="E2197" i="24"/>
  <c r="E484" i="24"/>
  <c r="E1542" i="24"/>
  <c r="E101" i="24"/>
  <c r="E2411" i="24"/>
  <c r="E1217" i="24"/>
  <c r="E625" i="24"/>
  <c r="E1014" i="24"/>
  <c r="E1705" i="24"/>
  <c r="E777" i="24"/>
  <c r="E1439" i="24"/>
  <c r="E2508" i="24"/>
  <c r="E553" i="24"/>
  <c r="E2053" i="24"/>
  <c r="F231" i="13"/>
  <c r="F238" i="13" s="1"/>
  <c r="F242" i="13" s="1"/>
  <c r="F181" i="13"/>
  <c r="D40" i="13"/>
  <c r="E42" i="13"/>
  <c r="E41" i="13"/>
  <c r="B20" i="13"/>
  <c r="B21" i="13"/>
  <c r="Q107" i="24"/>
  <c r="M104" i="23" s="1"/>
  <c r="Q92" i="24"/>
  <c r="M89" i="23" s="1"/>
  <c r="F7" i="94"/>
  <c r="C47" i="87"/>
  <c r="G49" i="26"/>
  <c r="G50" i="26" s="1"/>
  <c r="K81" i="34"/>
  <c r="C248" i="13"/>
  <c r="D13" i="20"/>
  <c r="D35" i="87" s="1"/>
  <c r="H19" i="20"/>
  <c r="G85" i="34"/>
  <c r="E101" i="34"/>
  <c r="J31" i="20"/>
  <c r="M15" i="24"/>
  <c r="M480" i="24"/>
  <c r="M608" i="24"/>
  <c r="M56" i="24"/>
  <c r="M12" i="24"/>
  <c r="B48" i="13"/>
  <c r="B57" i="13" s="1"/>
  <c r="B182" i="13"/>
  <c r="F47" i="88"/>
  <c r="I154" i="13"/>
  <c r="E129" i="13"/>
  <c r="D18" i="3"/>
  <c r="E68" i="26"/>
  <c r="E61" i="27"/>
  <c r="F9" i="20"/>
  <c r="F43" i="87" s="1"/>
  <c r="E53" i="27"/>
  <c r="I50" i="34"/>
  <c r="E127" i="13"/>
  <c r="H26" i="22"/>
  <c r="G57" i="34"/>
  <c r="H82" i="13"/>
  <c r="H212" i="13"/>
  <c r="H208" i="13"/>
  <c r="H213" i="13"/>
  <c r="H209" i="13"/>
  <c r="I84" i="34"/>
  <c r="F18" i="20"/>
  <c r="C103" i="13"/>
  <c r="C138" i="13"/>
  <c r="A88" i="1"/>
  <c r="A89" i="1"/>
  <c r="I220" i="24"/>
  <c r="I669" i="24"/>
  <c r="I1151" i="24"/>
  <c r="I195" i="24"/>
  <c r="I1043" i="24"/>
  <c r="I787" i="24"/>
  <c r="I193" i="24"/>
  <c r="I958" i="24"/>
  <c r="I178" i="24"/>
  <c r="I1106" i="24"/>
  <c r="I920" i="24"/>
  <c r="I271" i="24"/>
  <c r="I274" i="24"/>
  <c r="I147" i="24"/>
  <c r="I123" i="24"/>
  <c r="I421" i="24"/>
  <c r="I1064" i="24"/>
  <c r="I645" i="24"/>
  <c r="I890" i="24"/>
  <c r="I1136" i="24"/>
  <c r="I678" i="24"/>
  <c r="I293" i="24"/>
  <c r="I986" i="24"/>
  <c r="I480" i="24"/>
  <c r="I776" i="24"/>
  <c r="I597" i="24"/>
  <c r="I842" i="24"/>
  <c r="I846" i="24"/>
  <c r="I899" i="24"/>
  <c r="I183" i="13"/>
  <c r="D217" i="13"/>
  <c r="D216" i="13"/>
  <c r="I53" i="13"/>
  <c r="E1636" i="24"/>
  <c r="E878" i="24"/>
  <c r="E432" i="24"/>
  <c r="E2286" i="24"/>
  <c r="E2046" i="24"/>
  <c r="E231" i="24"/>
  <c r="E934" i="24"/>
  <c r="E2153" i="24"/>
  <c r="E669" i="24"/>
  <c r="E284" i="24"/>
  <c r="E1091" i="24"/>
  <c r="E431" i="24"/>
  <c r="E313" i="24"/>
  <c r="E2235" i="24"/>
  <c r="E1733" i="24"/>
  <c r="E1981" i="24"/>
  <c r="E117" i="24"/>
  <c r="E540" i="24"/>
  <c r="E674" i="24"/>
  <c r="E407" i="24"/>
  <c r="E1739" i="24"/>
  <c r="E2106" i="24"/>
  <c r="E1695" i="24"/>
  <c r="E161" i="24"/>
  <c r="E436" i="24"/>
  <c r="E326" i="24"/>
  <c r="E993" i="24"/>
  <c r="E1506" i="24"/>
  <c r="E1782" i="24"/>
  <c r="E1716" i="24"/>
  <c r="E346" i="24"/>
  <c r="E837" i="24"/>
  <c r="E216" i="24"/>
  <c r="E434" i="24"/>
  <c r="E1531" i="24"/>
  <c r="E2348" i="24"/>
  <c r="E788" i="24"/>
  <c r="E887" i="24"/>
  <c r="E1587" i="24"/>
  <c r="E40" i="24"/>
  <c r="E323" i="24"/>
  <c r="E2454" i="24"/>
  <c r="E947" i="24"/>
  <c r="E1725" i="24"/>
  <c r="B231" i="13"/>
  <c r="B238" i="13" s="1"/>
  <c r="B242" i="13" s="1"/>
  <c r="B181" i="13"/>
  <c r="G234" i="13"/>
  <c r="G20" i="13"/>
  <c r="G21" i="13"/>
  <c r="Q98" i="24"/>
  <c r="M95" i="23" s="1"/>
  <c r="Q69" i="24"/>
  <c r="M66" i="23" s="1"/>
  <c r="Q19" i="24"/>
  <c r="M16" i="23" s="1"/>
  <c r="Q205" i="24"/>
  <c r="M202" i="23" s="1"/>
  <c r="Q18" i="24"/>
  <c r="M15" i="23" s="1"/>
  <c r="Q16" i="24"/>
  <c r="M13" i="23" s="1"/>
  <c r="D86" i="7"/>
  <c r="K100" i="34"/>
  <c r="D30" i="20"/>
  <c r="C28" i="7"/>
  <c r="A32" i="1"/>
  <c r="A28" i="1"/>
  <c r="A44" i="1"/>
  <c r="A30" i="1"/>
  <c r="F32" i="1"/>
  <c r="M287" i="24"/>
  <c r="M711" i="24"/>
  <c r="M227" i="24"/>
  <c r="M515" i="24"/>
  <c r="M310" i="24"/>
  <c r="M59" i="24"/>
  <c r="M54" i="24"/>
  <c r="M44" i="24"/>
  <c r="M269" i="24"/>
  <c r="M426" i="24"/>
  <c r="M446" i="24"/>
  <c r="E182" i="13"/>
  <c r="B20" i="3"/>
  <c r="H129" i="13"/>
  <c r="H46" i="13"/>
  <c r="I47" i="13"/>
  <c r="G92" i="13"/>
  <c r="D258" i="13"/>
  <c r="C26" i="22"/>
  <c r="L57" i="34"/>
  <c r="I82" i="13"/>
  <c r="I83" i="13" s="1"/>
  <c r="I94" i="13" s="1"/>
  <c r="I213" i="13"/>
  <c r="I208" i="13"/>
  <c r="I212" i="13"/>
  <c r="I209" i="13"/>
  <c r="I100" i="13"/>
  <c r="I156" i="13"/>
  <c r="I77" i="26" s="1"/>
  <c r="I155" i="13"/>
  <c r="I152" i="13"/>
  <c r="I153" i="13"/>
  <c r="I138" i="13"/>
  <c r="I103" i="13"/>
  <c r="I23" i="22"/>
  <c r="F53" i="34"/>
  <c r="I917" i="24"/>
  <c r="I17" i="24"/>
  <c r="R12" i="23" s="1" a="1"/>
  <c r="R13" i="23" s="1"/>
  <c r="I472" i="24"/>
  <c r="I649" i="24"/>
  <c r="I1075" i="24"/>
  <c r="I492" i="24"/>
  <c r="I843" i="24"/>
  <c r="I969" i="24"/>
  <c r="I713" i="24"/>
  <c r="I558" i="24"/>
  <c r="I907" i="24"/>
  <c r="I504" i="24"/>
  <c r="I418" i="24"/>
  <c r="I766" i="24"/>
  <c r="I1004" i="24"/>
  <c r="I709" i="24"/>
  <c r="I1253" i="24"/>
  <c r="I1194" i="24"/>
  <c r="I1219" i="24"/>
  <c r="I1102" i="24"/>
  <c r="I866" i="24"/>
  <c r="I516" i="24"/>
  <c r="I731" i="24"/>
  <c r="I488" i="24"/>
  <c r="I574" i="24"/>
  <c r="H183" i="13"/>
  <c r="G216" i="13"/>
  <c r="G217" i="13"/>
  <c r="D16" i="3"/>
  <c r="D5" i="3"/>
  <c r="E773" i="24"/>
  <c r="E2493" i="24"/>
  <c r="E2345" i="24"/>
  <c r="E930" i="24"/>
  <c r="E1920" i="24"/>
  <c r="E1269" i="24"/>
  <c r="E2499" i="24"/>
  <c r="E720" i="24"/>
  <c r="E956" i="24"/>
  <c r="E820" i="24"/>
  <c r="E2233" i="24"/>
  <c r="E360" i="24"/>
  <c r="E2169" i="24"/>
  <c r="E1602" i="24"/>
  <c r="E955" i="24"/>
  <c r="E1371" i="24"/>
  <c r="E1647" i="24"/>
  <c r="E698" i="24"/>
  <c r="E675" i="24"/>
  <c r="E1491" i="24"/>
  <c r="E446" i="24"/>
  <c r="E444" i="24"/>
  <c r="E1218" i="24"/>
  <c r="E2148" i="24"/>
  <c r="E332" i="24"/>
  <c r="E480" i="24"/>
  <c r="E1601" i="24"/>
  <c r="E718" i="24"/>
  <c r="E278" i="24"/>
  <c r="E1860" i="24"/>
  <c r="E1885" i="24"/>
  <c r="E722" i="24"/>
  <c r="E533" i="24"/>
  <c r="E2344" i="24"/>
  <c r="E2408" i="24"/>
  <c r="E888" i="24"/>
  <c r="E1584" i="24"/>
  <c r="E1749" i="24"/>
  <c r="E1966" i="24"/>
  <c r="E273" i="24"/>
  <c r="E1397" i="24"/>
  <c r="E752" i="24"/>
  <c r="E2459" i="24"/>
  <c r="E964" i="24"/>
  <c r="E2125" i="24"/>
  <c r="E1213" i="24"/>
  <c r="E1704" i="24"/>
  <c r="I231" i="13"/>
  <c r="I238" i="13" s="1"/>
  <c r="I242" i="13" s="1"/>
  <c r="I181" i="13"/>
  <c r="E21" i="13"/>
  <c r="E20" i="13"/>
  <c r="Q187" i="24"/>
  <c r="M184" i="23" s="1"/>
  <c r="Q219" i="24"/>
  <c r="M216" i="23" s="1"/>
  <c r="Q197" i="24"/>
  <c r="M194" i="23" s="1"/>
  <c r="Q242" i="24"/>
  <c r="M239" i="23" s="1"/>
  <c r="Q79" i="24"/>
  <c r="M76" i="23" s="1"/>
  <c r="Q118" i="24"/>
  <c r="M115" i="23" s="1"/>
  <c r="Q258" i="24"/>
  <c r="M255" i="23" s="1"/>
  <c r="O12" i="3"/>
  <c r="M614" i="24"/>
  <c r="M326" i="24"/>
  <c r="M32" i="24"/>
  <c r="M116" i="24"/>
  <c r="M122" i="24"/>
  <c r="M81" i="24"/>
  <c r="M292" i="24"/>
  <c r="M181" i="24"/>
  <c r="F36" i="13"/>
  <c r="F48" i="13" s="1"/>
  <c r="F57" i="13" s="1"/>
  <c r="E35" i="13"/>
  <c r="E36" i="13" s="1"/>
  <c r="E48" i="13" s="1"/>
  <c r="E57" i="13" s="1"/>
  <c r="D182" i="13"/>
  <c r="L41" i="88"/>
  <c r="G154" i="13"/>
  <c r="D19" i="3"/>
  <c r="G46" i="13"/>
  <c r="G47" i="13" s="1"/>
  <c r="H47" i="13"/>
  <c r="G61" i="27"/>
  <c r="G60" i="26"/>
  <c r="G68" i="26"/>
  <c r="G69" i="26" s="1"/>
  <c r="G53" i="27"/>
  <c r="C32" i="20"/>
  <c r="L102" i="34"/>
  <c r="M102" i="34" s="1"/>
  <c r="N102" i="34" s="1"/>
  <c r="O102" i="34" s="1"/>
  <c r="P102" i="34" s="1"/>
  <c r="Q102" i="34" s="1"/>
  <c r="B92" i="13"/>
  <c r="C116" i="13"/>
  <c r="C127" i="13" s="1"/>
  <c r="C184" i="13"/>
  <c r="I21" i="22"/>
  <c r="H10" i="27" s="1"/>
  <c r="F49" i="34"/>
  <c r="H10" i="26"/>
  <c r="D103" i="13"/>
  <c r="D138" i="13"/>
  <c r="D5" i="94"/>
  <c r="D47" i="88"/>
  <c r="C238" i="13"/>
  <c r="C242" i="13" s="1"/>
  <c r="N12" i="3"/>
  <c r="D87" i="13"/>
  <c r="I522" i="24"/>
  <c r="I434" i="24"/>
  <c r="I1201" i="24"/>
  <c r="I1103" i="24"/>
  <c r="I183" i="24"/>
  <c r="I1074" i="24"/>
  <c r="I491" i="24"/>
  <c r="I233" i="24"/>
  <c r="I743" i="24"/>
  <c r="I98" i="24"/>
  <c r="I736" i="24"/>
  <c r="I343" i="24"/>
  <c r="I1141" i="24"/>
  <c r="I606" i="24"/>
  <c r="I793" i="24"/>
  <c r="I598" i="24"/>
  <c r="I383" i="24"/>
  <c r="I226" i="24"/>
  <c r="I753" i="24"/>
  <c r="I1184" i="24"/>
  <c r="I1166" i="24"/>
  <c r="I267" i="24"/>
  <c r="I718" i="24"/>
  <c r="I1122" i="24"/>
  <c r="I1161" i="24"/>
  <c r="I406" i="24"/>
  <c r="I238" i="24"/>
  <c r="E217" i="13"/>
  <c r="E216" i="13"/>
  <c r="C53" i="13"/>
  <c r="E2001" i="24"/>
  <c r="E276" i="24"/>
  <c r="E2312" i="24"/>
  <c r="E2018" i="24"/>
  <c r="E140" i="24"/>
  <c r="E2413" i="24"/>
  <c r="E517" i="24"/>
  <c r="E496" i="24"/>
  <c r="E550" i="24"/>
  <c r="E48" i="24"/>
  <c r="E2341" i="24"/>
  <c r="E2388" i="24"/>
  <c r="E520" i="24"/>
  <c r="E1757" i="24"/>
  <c r="E1878" i="24"/>
  <c r="E1633" i="24"/>
  <c r="E493" i="24"/>
  <c r="E400" i="24"/>
  <c r="E2442" i="24"/>
  <c r="E2471" i="24"/>
  <c r="E640" i="24"/>
  <c r="E1409" i="24"/>
  <c r="E200" i="24"/>
  <c r="E662" i="24"/>
  <c r="E1249" i="24"/>
  <c r="E600" i="24"/>
  <c r="E1495" i="24"/>
  <c r="E1777" i="24"/>
  <c r="E2256" i="24"/>
  <c r="E753" i="24"/>
  <c r="E483" i="24"/>
  <c r="E2021" i="24"/>
  <c r="E796" i="24"/>
  <c r="E512" i="24"/>
  <c r="E2200" i="24"/>
  <c r="E555" i="24"/>
  <c r="E2467" i="24"/>
  <c r="E1290" i="24"/>
  <c r="E616" i="24"/>
  <c r="E918" i="24"/>
  <c r="E725" i="24"/>
  <c r="E2173" i="24"/>
  <c r="E917" i="24"/>
  <c r="E1379" i="24"/>
  <c r="E1196" i="24"/>
  <c r="E831" i="24"/>
  <c r="E367" i="24"/>
  <c r="E1517" i="24"/>
  <c r="E2161" i="24"/>
  <c r="E2058" i="24"/>
  <c r="E1808" i="24"/>
  <c r="E999" i="24"/>
  <c r="E2118" i="24"/>
  <c r="G47" i="88"/>
  <c r="G48" i="88" s="1"/>
  <c r="H231" i="13"/>
  <c r="H237" i="13" s="1"/>
  <c r="H241" i="13" s="1"/>
  <c r="H181" i="13"/>
  <c r="F40" i="13"/>
  <c r="F41" i="13" s="1"/>
  <c r="G41" i="13"/>
  <c r="C22" i="13"/>
  <c r="C23" i="13"/>
  <c r="G7" i="94" a="1"/>
  <c r="G7" i="94" s="1"/>
  <c r="H20" i="13"/>
  <c r="H21" i="13"/>
  <c r="Q181" i="24"/>
  <c r="M178" i="23" s="1"/>
  <c r="Q116" i="24"/>
  <c r="M113" i="23" s="1"/>
  <c r="Q169" i="24"/>
  <c r="M166" i="23" s="1"/>
  <c r="Q225" i="24"/>
  <c r="M222" i="23" s="1"/>
  <c r="Q211" i="24"/>
  <c r="M208" i="23" s="1"/>
  <c r="Q189" i="24"/>
  <c r="M186" i="23" s="1"/>
  <c r="D8" i="94"/>
  <c r="H27" i="7"/>
  <c r="H62" i="7"/>
  <c r="H70" i="7" s="1"/>
  <c r="K47" i="88"/>
  <c r="A19" i="1"/>
  <c r="G32" i="1"/>
  <c r="D20" i="3"/>
  <c r="H17" i="79"/>
  <c r="C77" i="13"/>
  <c r="C90" i="13" s="1"/>
  <c r="G25" i="20"/>
  <c r="G45" i="20" s="1"/>
  <c r="H93" i="34"/>
  <c r="H13" i="38" s="1"/>
  <c r="D27" i="7"/>
  <c r="D62" i="7"/>
  <c r="D70" i="7" s="1"/>
  <c r="M314" i="24"/>
  <c r="M538" i="24"/>
  <c r="M178" i="24"/>
  <c r="M137" i="24"/>
  <c r="M737" i="24"/>
  <c r="M331" i="24"/>
  <c r="M550" i="24"/>
  <c r="M204" i="24"/>
  <c r="M48" i="24"/>
  <c r="M225" i="24"/>
  <c r="M309" i="24"/>
  <c r="M675" i="24"/>
  <c r="M603" i="24"/>
  <c r="M153" i="24"/>
  <c r="G35" i="13"/>
  <c r="G36" i="13" s="1"/>
  <c r="G48" i="13" s="1"/>
  <c r="G57" i="13" s="1"/>
  <c r="H36" i="13"/>
  <c r="H48" i="13" s="1"/>
  <c r="H57" i="13" s="1"/>
  <c r="I182" i="13"/>
  <c r="B18" i="3"/>
  <c r="F154" i="13"/>
  <c r="L16" i="3"/>
  <c r="C129" i="13"/>
  <c r="D46" i="13"/>
  <c r="D47" i="13" s="1"/>
  <c r="H81" i="13"/>
  <c r="H92" i="13" s="1"/>
  <c r="I83" i="34"/>
  <c r="F17" i="20"/>
  <c r="D89" i="1"/>
  <c r="C32" i="1"/>
  <c r="AG10" i="27"/>
  <c r="C89" i="1"/>
  <c r="C51" i="1"/>
  <c r="D54" i="1"/>
  <c r="D28" i="1"/>
  <c r="C98" i="1"/>
  <c r="G10" i="83"/>
  <c r="I13" i="84"/>
  <c r="I13" i="85"/>
  <c r="I10" i="85"/>
  <c r="G19" i="78"/>
  <c r="G8" i="64"/>
  <c r="G10" i="85"/>
  <c r="I10" i="86"/>
  <c r="I10" i="84"/>
  <c r="G10" i="84"/>
  <c r="G21" i="64"/>
  <c r="G13" i="86"/>
  <c r="I21" i="21"/>
  <c r="G21" i="21"/>
  <c r="G13" i="85"/>
  <c r="G13" i="81"/>
  <c r="I13" i="86"/>
  <c r="G12" i="64"/>
  <c r="G24" i="64"/>
  <c r="G10" i="86"/>
  <c r="G13" i="84"/>
  <c r="C44" i="1"/>
  <c r="D44" i="1"/>
  <c r="C30" i="81"/>
  <c r="C31" i="81" s="1"/>
  <c r="C34" i="81" s="1"/>
  <c r="C37" i="81"/>
  <c r="C54" i="1"/>
  <c r="J78" i="34"/>
  <c r="I30" i="34"/>
  <c r="F85" i="1"/>
  <c r="F84" i="1"/>
  <c r="F94" i="1"/>
  <c r="G17" i="78"/>
  <c r="F13" i="39"/>
  <c r="J4" i="93" s="1"/>
  <c r="C30" i="1"/>
  <c r="D30" i="1"/>
  <c r="H75" i="7"/>
  <c r="H80" i="7"/>
  <c r="H95" i="7" s="1"/>
  <c r="I30" i="81"/>
  <c r="I31" i="81" s="1"/>
  <c r="I37" i="81"/>
  <c r="E38" i="7"/>
  <c r="E73" i="7"/>
  <c r="F80" i="7"/>
  <c r="F75" i="7"/>
  <c r="E80" i="7"/>
  <c r="E75" i="7"/>
  <c r="J37" i="81"/>
  <c r="E26" i="27"/>
  <c r="D51" i="1"/>
  <c r="D73" i="7"/>
  <c r="D87" i="7" s="1"/>
  <c r="D38" i="7"/>
  <c r="D37" i="81"/>
  <c r="D30" i="81"/>
  <c r="D31" i="81" s="1"/>
  <c r="K30" i="81"/>
  <c r="K31" i="81" s="1"/>
  <c r="K37" i="81"/>
  <c r="E37" i="81"/>
  <c r="E30" i="81"/>
  <c r="E31" i="81" s="1"/>
  <c r="G75" i="7"/>
  <c r="G80" i="7"/>
  <c r="L37" i="81"/>
  <c r="L30" i="81"/>
  <c r="L31" i="81" s="1"/>
  <c r="G94" i="1"/>
  <c r="G84" i="1"/>
  <c r="G85" i="1"/>
  <c r="H84" i="1"/>
  <c r="H94" i="1"/>
  <c r="H85" i="1"/>
  <c r="H37" i="81"/>
  <c r="H30" i="81"/>
  <c r="H31" i="81" s="1"/>
  <c r="F37" i="81"/>
  <c r="F30" i="81"/>
  <c r="F31" i="81" s="1"/>
  <c r="G37" i="81"/>
  <c r="G30" i="81"/>
  <c r="G31" i="81" s="1"/>
  <c r="E85" i="1"/>
  <c r="E84" i="1"/>
  <c r="E87" i="1"/>
  <c r="E94" i="1"/>
  <c r="E86" i="1"/>
  <c r="F38" i="7"/>
  <c r="F73" i="7"/>
  <c r="F87" i="7" s="1"/>
  <c r="G26" i="58"/>
  <c r="G18" i="58"/>
  <c r="G30" i="58"/>
  <c r="G17" i="58"/>
  <c r="G9" i="58"/>
  <c r="G11" i="58"/>
  <c r="G32" i="58"/>
  <c r="C6" i="7"/>
  <c r="C29" i="7" s="1"/>
  <c r="G19" i="58"/>
  <c r="C82" i="7"/>
  <c r="G14" i="58"/>
  <c r="G23" i="58"/>
  <c r="C22" i="7"/>
  <c r="C54" i="7" s="1"/>
  <c r="C64" i="7" s="1"/>
  <c r="G33" i="58"/>
  <c r="G110" i="87" s="1"/>
  <c r="G20" i="58"/>
  <c r="G27" i="58"/>
  <c r="G36" i="87" s="1"/>
  <c r="G24" i="58"/>
  <c r="G25" i="58"/>
  <c r="G31" i="58"/>
  <c r="G28" i="58"/>
  <c r="C16" i="91"/>
  <c r="C36" i="91" s="1"/>
  <c r="C4" i="91"/>
  <c r="C23" i="91" s="1"/>
  <c r="G30" i="72"/>
  <c r="G12" i="84" s="1"/>
  <c r="B4" i="91"/>
  <c r="B23" i="91" s="1"/>
  <c r="B16" i="91"/>
  <c r="B36" i="91" s="1"/>
  <c r="M28" i="34"/>
  <c r="B13" i="39"/>
  <c r="C9" i="41" s="1"/>
  <c r="F48" i="87"/>
  <c r="I48" i="87"/>
  <c r="D114" i="87"/>
  <c r="P27" i="34"/>
  <c r="Q27" i="34" s="1"/>
  <c r="O57" i="34"/>
  <c r="I7" i="27"/>
  <c r="E10" i="27"/>
  <c r="E45" i="27" s="1"/>
  <c r="D10" i="27"/>
  <c r="H7" i="27"/>
  <c r="K114" i="87"/>
  <c r="E114" i="87"/>
  <c r="C27" i="27"/>
  <c r="B10" i="27"/>
  <c r="F10" i="27"/>
  <c r="H27" i="27"/>
  <c r="T10" i="27"/>
  <c r="AF10" i="27"/>
  <c r="H45" i="27"/>
  <c r="I110" i="87"/>
  <c r="F40" i="87"/>
  <c r="I40" i="87"/>
  <c r="K110" i="87"/>
  <c r="J6" i="34"/>
  <c r="I17" i="38"/>
  <c r="I114" i="87"/>
  <c r="J89" i="87"/>
  <c r="C89" i="87"/>
  <c r="G85" i="87"/>
  <c r="I89" i="87"/>
  <c r="I85" i="87"/>
  <c r="K89" i="87"/>
  <c r="K85" i="87"/>
  <c r="D89" i="87"/>
  <c r="E89" i="87"/>
  <c r="I257" i="13"/>
  <c r="D7" i="27"/>
  <c r="AB7" i="27" s="1"/>
  <c r="M40" i="34"/>
  <c r="N40" i="34" s="1"/>
  <c r="O40" i="34" s="1"/>
  <c r="P40" i="34" s="1"/>
  <c r="Q40" i="34" s="1"/>
  <c r="B7" i="27"/>
  <c r="B47" i="27" s="1"/>
  <c r="I44" i="38"/>
  <c r="K50" i="34"/>
  <c r="B6" i="91" s="1"/>
  <c r="C46" i="91" s="1"/>
  <c r="F258" i="13"/>
  <c r="F262" i="13" s="1"/>
  <c r="D40" i="26"/>
  <c r="C7" i="27"/>
  <c r="K40" i="87"/>
  <c r="K48" i="87"/>
  <c r="J114" i="87"/>
  <c r="E48" i="87"/>
  <c r="C114" i="87"/>
  <c r="E50" i="34"/>
  <c r="E7" i="27"/>
  <c r="F7" i="27"/>
  <c r="M5" i="34"/>
  <c r="M8" i="34" s="1"/>
  <c r="H40" i="87"/>
  <c r="H48" i="87"/>
  <c r="G29" i="88"/>
  <c r="K36" i="87"/>
  <c r="J40" i="87"/>
  <c r="I77" i="87"/>
  <c r="G77" i="87"/>
  <c r="B40" i="26"/>
  <c r="K44" i="87"/>
  <c r="J48" i="87"/>
  <c r="C40" i="87"/>
  <c r="E99" i="34"/>
  <c r="K77" i="87"/>
  <c r="I36" i="87"/>
  <c r="D40" i="87"/>
  <c r="C48" i="87"/>
  <c r="I97" i="34"/>
  <c r="I98" i="34" s="1"/>
  <c r="I44" i="87"/>
  <c r="D48" i="87"/>
  <c r="D81" i="87"/>
  <c r="C81" i="87"/>
  <c r="I81" i="87"/>
  <c r="K81" i="87"/>
  <c r="J81" i="87"/>
  <c r="E81" i="87"/>
  <c r="D10" i="86"/>
  <c r="D13" i="86"/>
  <c r="F10" i="86"/>
  <c r="F13" i="86"/>
  <c r="J10" i="86"/>
  <c r="J13" i="86"/>
  <c r="H13" i="86"/>
  <c r="E51" i="88"/>
  <c r="J51" i="88"/>
  <c r="D10" i="85"/>
  <c r="D13" i="85"/>
  <c r="F10" i="85"/>
  <c r="F13" i="85"/>
  <c r="J10" i="85"/>
  <c r="J13" i="85"/>
  <c r="C10" i="85"/>
  <c r="C13" i="85"/>
  <c r="H13" i="84"/>
  <c r="F10" i="84"/>
  <c r="F13" i="84"/>
  <c r="J10" i="84"/>
  <c r="J13" i="84"/>
  <c r="C10" i="84"/>
  <c r="C13" i="84"/>
  <c r="D10" i="84"/>
  <c r="D13" i="84"/>
  <c r="L10" i="83"/>
  <c r="D10" i="83"/>
  <c r="D13" i="83"/>
  <c r="F10" i="83"/>
  <c r="F13" i="83"/>
  <c r="J10" i="83"/>
  <c r="J13" i="83"/>
  <c r="C13" i="83"/>
  <c r="C10" i="83"/>
  <c r="F10" i="81"/>
  <c r="F13" i="81"/>
  <c r="J10" i="81"/>
  <c r="J13" i="81"/>
  <c r="C10" i="81"/>
  <c r="C13" i="81"/>
  <c r="D10" i="81"/>
  <c r="D13" i="81"/>
  <c r="L24" i="22"/>
  <c r="I21" i="64"/>
  <c r="I12" i="64"/>
  <c r="I10" i="64"/>
  <c r="I24" i="64"/>
  <c r="I8" i="64"/>
  <c r="I16" i="64"/>
  <c r="I15" i="64"/>
  <c r="F69" i="26"/>
  <c r="K24" i="22"/>
  <c r="K17" i="64"/>
  <c r="C47" i="20"/>
  <c r="C50" i="20" s="1"/>
  <c r="C51" i="20" s="1"/>
  <c r="H54" i="34"/>
  <c r="C50" i="26"/>
  <c r="D41" i="20"/>
  <c r="C42" i="20" s="1"/>
  <c r="E30" i="72"/>
  <c r="E33" i="72"/>
  <c r="E16" i="88" s="1"/>
  <c r="F33" i="72"/>
  <c r="F16" i="88" s="1"/>
  <c r="F30" i="72"/>
  <c r="J33" i="73"/>
  <c r="J16" i="76" s="1"/>
  <c r="J30" i="73"/>
  <c r="H25" i="58"/>
  <c r="H10" i="58"/>
  <c r="H14" i="58"/>
  <c r="H20" i="58"/>
  <c r="C21" i="21"/>
  <c r="C15" i="64"/>
  <c r="C16" i="64"/>
  <c r="C8" i="64"/>
  <c r="C10" i="64"/>
  <c r="C12" i="64"/>
  <c r="C21" i="64"/>
  <c r="C24" i="64"/>
  <c r="F30" i="58"/>
  <c r="F31" i="58"/>
  <c r="F32" i="58"/>
  <c r="F23" i="58"/>
  <c r="F24" i="58"/>
  <c r="F25" i="58"/>
  <c r="F26" i="58"/>
  <c r="F27" i="58"/>
  <c r="F28" i="58"/>
  <c r="F9" i="58"/>
  <c r="F10" i="58"/>
  <c r="F11" i="58"/>
  <c r="F12" i="58"/>
  <c r="F13" i="58"/>
  <c r="F14" i="58"/>
  <c r="F17" i="58"/>
  <c r="F18" i="58"/>
  <c r="F19" i="58"/>
  <c r="F20" i="58"/>
  <c r="F33" i="58"/>
  <c r="F21" i="58"/>
  <c r="J30" i="58"/>
  <c r="J31" i="58"/>
  <c r="J32" i="58"/>
  <c r="J24" i="58"/>
  <c r="J27" i="58"/>
  <c r="J28" i="58"/>
  <c r="J10" i="58"/>
  <c r="J11" i="58"/>
  <c r="J12" i="58"/>
  <c r="J14" i="58"/>
  <c r="J17" i="58"/>
  <c r="J19" i="58"/>
  <c r="J20" i="58"/>
  <c r="J21" i="58"/>
  <c r="I23" i="76"/>
  <c r="I24" i="76"/>
  <c r="I25" i="76"/>
  <c r="I26" i="76"/>
  <c r="I27" i="76"/>
  <c r="I28" i="76"/>
  <c r="I9" i="76"/>
  <c r="I10" i="76"/>
  <c r="I11" i="76"/>
  <c r="I12" i="76"/>
  <c r="I13" i="76"/>
  <c r="I14" i="76"/>
  <c r="I17" i="76"/>
  <c r="I18" i="76"/>
  <c r="I19" i="76"/>
  <c r="I20" i="76"/>
  <c r="I30" i="76"/>
  <c r="I31" i="76"/>
  <c r="I32" i="76"/>
  <c r="I31" i="75"/>
  <c r="I24" i="75"/>
  <c r="I44" i="75" s="1"/>
  <c r="I25" i="75"/>
  <c r="I45" i="75" s="1"/>
  <c r="I26" i="75"/>
  <c r="I46" i="75" s="1"/>
  <c r="I27" i="75"/>
  <c r="I9" i="75"/>
  <c r="I12" i="75"/>
  <c r="I40" i="75" s="1"/>
  <c r="I20" i="75"/>
  <c r="K19" i="64"/>
  <c r="K23" i="76"/>
  <c r="K24" i="76"/>
  <c r="K25" i="76"/>
  <c r="K26" i="76"/>
  <c r="K27" i="76"/>
  <c r="K28" i="76"/>
  <c r="K9" i="76"/>
  <c r="K10" i="76"/>
  <c r="K11" i="76"/>
  <c r="K12" i="76"/>
  <c r="K13" i="76"/>
  <c r="K14" i="76"/>
  <c r="K17" i="76"/>
  <c r="K18" i="76"/>
  <c r="K19" i="76"/>
  <c r="K20" i="76"/>
  <c r="K30" i="76"/>
  <c r="K31" i="76"/>
  <c r="K32" i="76"/>
  <c r="E8" i="64"/>
  <c r="E23" i="76"/>
  <c r="E24" i="76"/>
  <c r="E25" i="76"/>
  <c r="E26" i="76"/>
  <c r="E27" i="76"/>
  <c r="E28" i="76"/>
  <c r="E9" i="76"/>
  <c r="E10" i="76"/>
  <c r="E11" i="76"/>
  <c r="E12" i="76"/>
  <c r="E13" i="76"/>
  <c r="E14" i="76"/>
  <c r="E17" i="76"/>
  <c r="E18" i="76"/>
  <c r="E19" i="76"/>
  <c r="E20" i="76"/>
  <c r="E30" i="76"/>
  <c r="E31" i="76"/>
  <c r="E32" i="76"/>
  <c r="K30" i="75"/>
  <c r="K31" i="75"/>
  <c r="K32" i="75"/>
  <c r="K23" i="75"/>
  <c r="K24" i="75"/>
  <c r="K44" i="75" s="1"/>
  <c r="K25" i="75"/>
  <c r="K45" i="75" s="1"/>
  <c r="K26" i="75"/>
  <c r="K46" i="75" s="1"/>
  <c r="K27" i="75"/>
  <c r="K28" i="75"/>
  <c r="K9" i="75"/>
  <c r="K10" i="75"/>
  <c r="K38" i="75" s="1"/>
  <c r="K11" i="75"/>
  <c r="K39" i="75" s="1"/>
  <c r="K12" i="75"/>
  <c r="K40" i="75" s="1"/>
  <c r="K13" i="75"/>
  <c r="K14" i="75"/>
  <c r="K17" i="75"/>
  <c r="K18" i="75"/>
  <c r="K19" i="75"/>
  <c r="K20" i="75"/>
  <c r="K33" i="75"/>
  <c r="K21" i="75"/>
  <c r="K78" i="87" s="1"/>
  <c r="E30" i="58"/>
  <c r="E32" i="58"/>
  <c r="E33" i="58"/>
  <c r="E23" i="58"/>
  <c r="E25" i="58"/>
  <c r="E14" i="58"/>
  <c r="E30" i="75"/>
  <c r="E31" i="75"/>
  <c r="E32" i="75"/>
  <c r="E33" i="75"/>
  <c r="E23" i="75"/>
  <c r="E24" i="75"/>
  <c r="E44" i="75" s="1"/>
  <c r="E25" i="75"/>
  <c r="E45" i="75" s="1"/>
  <c r="E26" i="75"/>
  <c r="E46" i="75" s="1"/>
  <c r="E27" i="75"/>
  <c r="E28" i="75"/>
  <c r="E9" i="75"/>
  <c r="E10" i="75"/>
  <c r="E38" i="75" s="1"/>
  <c r="E11" i="75"/>
  <c r="E39" i="75" s="1"/>
  <c r="E12" i="75"/>
  <c r="E40" i="75" s="1"/>
  <c r="E13" i="75"/>
  <c r="E14" i="75"/>
  <c r="E17" i="75"/>
  <c r="E18" i="75"/>
  <c r="E19" i="75"/>
  <c r="E20" i="75"/>
  <c r="E21" i="75"/>
  <c r="D25" i="76"/>
  <c r="D28" i="76"/>
  <c r="D10" i="76"/>
  <c r="D13" i="76"/>
  <c r="D17" i="76"/>
  <c r="D31" i="76"/>
  <c r="J25" i="76"/>
  <c r="J10" i="76"/>
  <c r="J14" i="76"/>
  <c r="J17" i="76"/>
  <c r="J18" i="76"/>
  <c r="J19" i="76"/>
  <c r="J20" i="76"/>
  <c r="J31" i="76"/>
  <c r="G24" i="77"/>
  <c r="G28" i="77"/>
  <c r="G13" i="77"/>
  <c r="G32" i="77"/>
  <c r="D30" i="75"/>
  <c r="D10" i="75"/>
  <c r="D38" i="75" s="1"/>
  <c r="D11" i="75"/>
  <c r="D39" i="75" s="1"/>
  <c r="L26" i="76"/>
  <c r="L19" i="76"/>
  <c r="L20" i="76"/>
  <c r="J28" i="75"/>
  <c r="J33" i="75"/>
  <c r="J21" i="75"/>
  <c r="G13" i="76"/>
  <c r="G14" i="76"/>
  <c r="L31" i="58"/>
  <c r="L26" i="58"/>
  <c r="L28" i="58"/>
  <c r="L30" i="75"/>
  <c r="L31" i="75"/>
  <c r="L32" i="75"/>
  <c r="L23" i="75"/>
  <c r="L24" i="75"/>
  <c r="L44" i="75" s="1"/>
  <c r="L25" i="75"/>
  <c r="L45" i="75" s="1"/>
  <c r="L26" i="75"/>
  <c r="L46" i="75" s="1"/>
  <c r="L27" i="75"/>
  <c r="L28" i="75"/>
  <c r="L9" i="75"/>
  <c r="L10" i="75"/>
  <c r="L38" i="75" s="1"/>
  <c r="L11" i="75"/>
  <c r="L39" i="75" s="1"/>
  <c r="L12" i="75"/>
  <c r="L40" i="75" s="1"/>
  <c r="L13" i="75"/>
  <c r="L14" i="75"/>
  <c r="L17" i="75"/>
  <c r="L18" i="75"/>
  <c r="L19" i="75"/>
  <c r="L20" i="75"/>
  <c r="L33" i="75"/>
  <c r="L21" i="75"/>
  <c r="L10" i="64"/>
  <c r="D30" i="58"/>
  <c r="D31" i="58"/>
  <c r="D32" i="58"/>
  <c r="D33" i="58"/>
  <c r="D23" i="58"/>
  <c r="D24" i="58"/>
  <c r="D25" i="58"/>
  <c r="D26" i="58"/>
  <c r="D27" i="58"/>
  <c r="D28" i="58"/>
  <c r="D9" i="58"/>
  <c r="D10" i="58"/>
  <c r="D11" i="58"/>
  <c r="D12" i="58"/>
  <c r="D13" i="58"/>
  <c r="D14" i="58"/>
  <c r="D17" i="58"/>
  <c r="D18" i="58"/>
  <c r="D19" i="58"/>
  <c r="D20" i="58"/>
  <c r="D21" i="58"/>
  <c r="C23" i="76"/>
  <c r="C24" i="76"/>
  <c r="C25" i="76"/>
  <c r="C26" i="76"/>
  <c r="C27" i="76"/>
  <c r="C28" i="76"/>
  <c r="C9" i="76"/>
  <c r="C10" i="76"/>
  <c r="C11" i="76"/>
  <c r="C12" i="76"/>
  <c r="C13" i="76"/>
  <c r="C14" i="76"/>
  <c r="C17" i="76"/>
  <c r="C18" i="76"/>
  <c r="C19" i="76"/>
  <c r="C20" i="76"/>
  <c r="C30" i="76"/>
  <c r="C31" i="76"/>
  <c r="C32" i="76"/>
  <c r="C33" i="76"/>
  <c r="C21" i="76"/>
  <c r="D21" i="21"/>
  <c r="D15" i="64"/>
  <c r="D16" i="64"/>
  <c r="D8" i="64"/>
  <c r="D10" i="64"/>
  <c r="D12" i="64"/>
  <c r="D21" i="64"/>
  <c r="D24" i="64"/>
  <c r="H28" i="76"/>
  <c r="H11" i="76"/>
  <c r="H13" i="76"/>
  <c r="H19" i="76"/>
  <c r="H31" i="76"/>
  <c r="H32" i="76"/>
  <c r="C31" i="75"/>
  <c r="C33" i="75"/>
  <c r="C24" i="75"/>
  <c r="C44" i="75" s="1"/>
  <c r="C28" i="75"/>
  <c r="C11" i="75"/>
  <c r="C39" i="75" s="1"/>
  <c r="C12" i="75"/>
  <c r="C40" i="75" s="1"/>
  <c r="C13" i="75"/>
  <c r="C21" i="75"/>
  <c r="F9" i="76"/>
  <c r="F10" i="76"/>
  <c r="F14" i="76"/>
  <c r="F20" i="76"/>
  <c r="F31" i="76"/>
  <c r="F32" i="76"/>
  <c r="H30" i="75"/>
  <c r="H31" i="75"/>
  <c r="H32" i="75"/>
  <c r="H23" i="75"/>
  <c r="H24" i="75"/>
  <c r="H44" i="75" s="1"/>
  <c r="H25" i="75"/>
  <c r="H45" i="75" s="1"/>
  <c r="H26" i="75"/>
  <c r="H46" i="75" s="1"/>
  <c r="H27" i="75"/>
  <c r="H28" i="75"/>
  <c r="H9" i="75"/>
  <c r="H10" i="75"/>
  <c r="H38" i="75" s="1"/>
  <c r="H11" i="75"/>
  <c r="H39" i="75" s="1"/>
  <c r="H12" i="75"/>
  <c r="H40" i="75" s="1"/>
  <c r="H13" i="75"/>
  <c r="H14" i="75"/>
  <c r="H17" i="75"/>
  <c r="H18" i="75"/>
  <c r="H19" i="75"/>
  <c r="H20" i="75"/>
  <c r="H33" i="75"/>
  <c r="H21" i="75"/>
  <c r="F30" i="75"/>
  <c r="F31" i="75"/>
  <c r="F32" i="75"/>
  <c r="F23" i="75"/>
  <c r="F24" i="75"/>
  <c r="F44" i="75" s="1"/>
  <c r="F25" i="75"/>
  <c r="F45" i="75" s="1"/>
  <c r="F26" i="75"/>
  <c r="F46" i="75" s="1"/>
  <c r="F27" i="75"/>
  <c r="F28" i="75"/>
  <c r="F9" i="75"/>
  <c r="F10" i="75"/>
  <c r="F38" i="75" s="1"/>
  <c r="F11" i="75"/>
  <c r="F39" i="75" s="1"/>
  <c r="F12" i="75"/>
  <c r="F40" i="75" s="1"/>
  <c r="F13" i="75"/>
  <c r="F14" i="75"/>
  <c r="F17" i="75"/>
  <c r="F18" i="75"/>
  <c r="F19" i="75"/>
  <c r="F20" i="75"/>
  <c r="F33" i="75"/>
  <c r="F21" i="75"/>
  <c r="H12" i="64"/>
  <c r="C30" i="58"/>
  <c r="C32" i="58"/>
  <c r="C23" i="58"/>
  <c r="C24" i="58"/>
  <c r="C25" i="58"/>
  <c r="C26" i="58"/>
  <c r="C27" i="58"/>
  <c r="C19" i="58"/>
  <c r="C20" i="58"/>
  <c r="C21" i="58"/>
  <c r="F21" i="21"/>
  <c r="F15" i="64"/>
  <c r="F16" i="64"/>
  <c r="F8" i="64"/>
  <c r="F10" i="64"/>
  <c r="F12" i="64"/>
  <c r="F21" i="64"/>
  <c r="F24" i="64"/>
  <c r="J21" i="21"/>
  <c r="J15" i="64"/>
  <c r="J16" i="64"/>
  <c r="J8" i="64"/>
  <c r="J78" i="87" s="1"/>
  <c r="J10" i="64"/>
  <c r="J12" i="64"/>
  <c r="J21" i="64"/>
  <c r="J24" i="64"/>
  <c r="G30" i="75"/>
  <c r="G31" i="75"/>
  <c r="G32" i="75"/>
  <c r="G23" i="75"/>
  <c r="G24" i="75"/>
  <c r="G25" i="75"/>
  <c r="G26" i="75"/>
  <c r="G27" i="75"/>
  <c r="G28" i="75"/>
  <c r="G9" i="75"/>
  <c r="G10" i="75"/>
  <c r="G11" i="75"/>
  <c r="G12" i="75"/>
  <c r="G13" i="75"/>
  <c r="G14" i="75"/>
  <c r="G17" i="75"/>
  <c r="G18" i="75"/>
  <c r="G19" i="75"/>
  <c r="G20" i="75"/>
  <c r="G33" i="75"/>
  <c r="G21" i="75"/>
  <c r="G78" i="87" s="1"/>
  <c r="G37" i="76"/>
  <c r="I258" i="13"/>
  <c r="I260" i="13" s="1"/>
  <c r="J30" i="34"/>
  <c r="F47" i="20"/>
  <c r="H50" i="34"/>
  <c r="I54" i="34"/>
  <c r="G78" i="34"/>
  <c r="H43" i="38"/>
  <c r="H44" i="38" s="1"/>
  <c r="I37" i="75"/>
  <c r="K37" i="75"/>
  <c r="F40" i="26"/>
  <c r="J37" i="75"/>
  <c r="J17" i="38"/>
  <c r="D37" i="75"/>
  <c r="L37" i="75"/>
  <c r="G17" i="64"/>
  <c r="C37" i="75"/>
  <c r="K54" i="34"/>
  <c r="H37" i="75"/>
  <c r="F37" i="75"/>
  <c r="C40" i="77"/>
  <c r="K38" i="77"/>
  <c r="K45" i="77"/>
  <c r="L38" i="77"/>
  <c r="I39" i="77"/>
  <c r="D40" i="77"/>
  <c r="H40" i="77"/>
  <c r="E40" i="77"/>
  <c r="C38" i="77"/>
  <c r="C46" i="77"/>
  <c r="F39" i="77"/>
  <c r="I45" i="77"/>
  <c r="J40" i="77"/>
  <c r="D46" i="77"/>
  <c r="H46" i="77"/>
  <c r="E38" i="77"/>
  <c r="E46" i="77"/>
  <c r="F45" i="77"/>
  <c r="L44" i="77"/>
  <c r="I40" i="77"/>
  <c r="J46" i="77"/>
  <c r="H39" i="77"/>
  <c r="C44" i="77"/>
  <c r="I38" i="77"/>
  <c r="I46" i="77"/>
  <c r="H45" i="77"/>
  <c r="F38" i="77"/>
  <c r="L40" i="77"/>
  <c r="D45" i="77"/>
  <c r="E39" i="77"/>
  <c r="K34" i="77"/>
  <c r="L46" i="77"/>
  <c r="I44" i="77"/>
  <c r="D38" i="77"/>
  <c r="E44" i="77"/>
  <c r="E45" i="77"/>
  <c r="F44" i="77"/>
  <c r="J45" i="77"/>
  <c r="H38" i="77"/>
  <c r="K40" i="77"/>
  <c r="I34" i="77"/>
  <c r="J39" i="77"/>
  <c r="D39" i="77"/>
  <c r="K44" i="77"/>
  <c r="K46" i="77"/>
  <c r="D44" i="77"/>
  <c r="H44" i="77"/>
  <c r="F40" i="77"/>
  <c r="L39" i="77"/>
  <c r="J38" i="77"/>
  <c r="J44" i="77"/>
  <c r="C39" i="77"/>
  <c r="F46" i="77"/>
  <c r="L45" i="77"/>
  <c r="C45" i="77"/>
  <c r="K39" i="77"/>
  <c r="G37" i="77"/>
  <c r="J44" i="38"/>
  <c r="F24" i="22"/>
  <c r="D37" i="76"/>
  <c r="E47" i="20"/>
  <c r="C37" i="76"/>
  <c r="H37" i="76"/>
  <c r="F37" i="76"/>
  <c r="L37" i="76"/>
  <c r="G41" i="20"/>
  <c r="I37" i="76"/>
  <c r="J50" i="34"/>
  <c r="K37" i="76"/>
  <c r="F18" i="26"/>
  <c r="J97" i="34"/>
  <c r="J98" i="34" s="1"/>
  <c r="E37" i="76"/>
  <c r="J37" i="76"/>
  <c r="H50" i="26"/>
  <c r="E258" i="13"/>
  <c r="E260" i="13" s="1"/>
  <c r="G37" i="75"/>
  <c r="K44" i="38"/>
  <c r="E9" i="73"/>
  <c r="E9" i="74"/>
  <c r="E54" i="34"/>
  <c r="E8" i="72"/>
  <c r="E20" i="72" s="1"/>
  <c r="E8" i="73"/>
  <c r="E20" i="73" s="1"/>
  <c r="G9" i="72"/>
  <c r="G9" i="73"/>
  <c r="L8" i="72"/>
  <c r="L20" i="72" s="1"/>
  <c r="L8" i="73"/>
  <c r="L20" i="73" s="1"/>
  <c r="F8" i="72"/>
  <c r="F20" i="72" s="1"/>
  <c r="F8" i="73"/>
  <c r="F20" i="73" s="1"/>
  <c r="J8" i="72"/>
  <c r="J20" i="72" s="1"/>
  <c r="J8" i="73"/>
  <c r="J20" i="73" s="1"/>
  <c r="L9" i="72"/>
  <c r="L9" i="73"/>
  <c r="K8" i="72"/>
  <c r="K20" i="72" s="1"/>
  <c r="K8" i="73"/>
  <c r="K20" i="73" s="1"/>
  <c r="I9" i="72"/>
  <c r="I9" i="73"/>
  <c r="H9" i="72"/>
  <c r="H9" i="73"/>
  <c r="J9" i="72"/>
  <c r="J9" i="73"/>
  <c r="L54" i="34"/>
  <c r="J54" i="34"/>
  <c r="K9" i="72"/>
  <c r="K9" i="73"/>
  <c r="B258" i="13"/>
  <c r="I78" i="34"/>
  <c r="J29" i="34"/>
  <c r="G54" i="34"/>
  <c r="E44" i="38"/>
  <c r="L50" i="34"/>
  <c r="J111" i="12"/>
  <c r="J86" i="12"/>
  <c r="J157" i="12"/>
  <c r="E79" i="12"/>
  <c r="I111" i="12"/>
  <c r="G111" i="12"/>
  <c r="F86" i="12"/>
  <c r="F157" i="12"/>
  <c r="G86" i="12"/>
  <c r="G157" i="12"/>
  <c r="E86" i="12"/>
  <c r="E157" i="12"/>
  <c r="E41" i="12"/>
  <c r="E111" i="12"/>
  <c r="I86" i="12"/>
  <c r="I157" i="12"/>
  <c r="E60" i="12"/>
  <c r="F111" i="12"/>
  <c r="E71" i="12"/>
  <c r="E44" i="12"/>
  <c r="H111" i="12"/>
  <c r="D262" i="13"/>
  <c r="D260" i="13"/>
  <c r="L5" i="38"/>
  <c r="L10" i="38" s="1"/>
  <c r="L80" i="34"/>
  <c r="J74" i="34"/>
  <c r="I5" i="38"/>
  <c r="I10" i="38" s="1"/>
  <c r="I80" i="34"/>
  <c r="I28" i="26"/>
  <c r="AG9" i="26"/>
  <c r="U9" i="26"/>
  <c r="N12" i="27"/>
  <c r="B29" i="27"/>
  <c r="E8" i="71"/>
  <c r="E20" i="71" s="1"/>
  <c r="E8" i="69"/>
  <c r="E8" i="70"/>
  <c r="E20" i="70" s="1"/>
  <c r="E8" i="67"/>
  <c r="E8" i="68"/>
  <c r="E8" i="65"/>
  <c r="E8" i="66"/>
  <c r="E8" i="15"/>
  <c r="E20" i="15" s="1"/>
  <c r="E8" i="14"/>
  <c r="AF7" i="27"/>
  <c r="H47" i="27"/>
  <c r="H25" i="27"/>
  <c r="I8" i="26"/>
  <c r="I11" i="26" s="1"/>
  <c r="I13" i="26" s="1"/>
  <c r="AG6" i="26"/>
  <c r="I26" i="26"/>
  <c r="I53" i="26"/>
  <c r="P10" i="26"/>
  <c r="P11" i="26" s="1"/>
  <c r="D29" i="26"/>
  <c r="AB10" i="26"/>
  <c r="D52" i="26"/>
  <c r="E12" i="38"/>
  <c r="E17" i="38" s="1"/>
  <c r="E97" i="34"/>
  <c r="E98" i="34" s="1"/>
  <c r="E103" i="34" s="1"/>
  <c r="J17" i="34"/>
  <c r="E17" i="21"/>
  <c r="J19" i="34" s="1"/>
  <c r="L37" i="58"/>
  <c r="T12" i="26"/>
  <c r="H31" i="26"/>
  <c r="O16" i="26"/>
  <c r="C17" i="26"/>
  <c r="E29" i="34"/>
  <c r="A18" i="40"/>
  <c r="I9" i="27"/>
  <c r="J24" i="22"/>
  <c r="G4" i="38"/>
  <c r="G41" i="38" s="1"/>
  <c r="G34" i="34"/>
  <c r="O9" i="26"/>
  <c r="C28" i="26"/>
  <c r="AA9" i="26"/>
  <c r="C52" i="26"/>
  <c r="D45" i="26"/>
  <c r="D22" i="26"/>
  <c r="P4" i="26"/>
  <c r="AB4" i="26" s="1"/>
  <c r="D21" i="26"/>
  <c r="D35" i="26" s="1"/>
  <c r="D4" i="27"/>
  <c r="D16" i="27"/>
  <c r="D30" i="27" s="1"/>
  <c r="P14" i="27"/>
  <c r="P16" i="27" s="1"/>
  <c r="D78" i="34"/>
  <c r="C7" i="38"/>
  <c r="D9" i="69"/>
  <c r="D9" i="14"/>
  <c r="D9" i="65"/>
  <c r="D9" i="66"/>
  <c r="D9" i="67"/>
  <c r="D9" i="68"/>
  <c r="S12" i="27"/>
  <c r="G29" i="27"/>
  <c r="F9" i="27"/>
  <c r="G24" i="22"/>
  <c r="D9" i="27"/>
  <c r="E24" i="22"/>
  <c r="I76" i="34"/>
  <c r="H6" i="38"/>
  <c r="J47" i="20"/>
  <c r="K7" i="38"/>
  <c r="L78" i="34"/>
  <c r="N10" i="26"/>
  <c r="B29" i="26"/>
  <c r="Z10" i="26"/>
  <c r="I18" i="34"/>
  <c r="F17" i="21"/>
  <c r="I19" i="34" s="1"/>
  <c r="J37" i="58"/>
  <c r="H30" i="34"/>
  <c r="B31" i="26"/>
  <c r="N12" i="26"/>
  <c r="C9" i="27"/>
  <c r="D24" i="22"/>
  <c r="J4" i="38"/>
  <c r="J41" i="38" s="1"/>
  <c r="J34" i="34"/>
  <c r="D47" i="20"/>
  <c r="G54" i="26"/>
  <c r="AE7" i="26"/>
  <c r="G27" i="26"/>
  <c r="P10" i="27"/>
  <c r="D27" i="27"/>
  <c r="AB10" i="27"/>
  <c r="AD9" i="26"/>
  <c r="F52" i="26"/>
  <c r="F28" i="26"/>
  <c r="R9" i="26"/>
  <c r="F145" i="12"/>
  <c r="F49" i="12"/>
  <c r="L41" i="20"/>
  <c r="F29" i="27"/>
  <c r="R12" i="27"/>
  <c r="N15" i="26"/>
  <c r="B17" i="26"/>
  <c r="A9" i="40"/>
  <c r="K12" i="38"/>
  <c r="K17" i="38" s="1"/>
  <c r="K97" i="34"/>
  <c r="K98" i="34" s="1"/>
  <c r="C8" i="14"/>
  <c r="C8" i="65"/>
  <c r="C8" i="66"/>
  <c r="C8" i="67"/>
  <c r="C8" i="68"/>
  <c r="C8" i="69"/>
  <c r="B50" i="26"/>
  <c r="S12" i="26"/>
  <c r="G31" i="26"/>
  <c r="F37" i="58"/>
  <c r="Q16" i="26"/>
  <c r="E17" i="26"/>
  <c r="E18" i="26" s="1"/>
  <c r="E32" i="26" s="1"/>
  <c r="R14" i="27"/>
  <c r="R16" i="27" s="1"/>
  <c r="F16" i="27"/>
  <c r="F30" i="27" s="1"/>
  <c r="D12" i="38"/>
  <c r="D17" i="38" s="1"/>
  <c r="D97" i="34"/>
  <c r="D98" i="34" s="1"/>
  <c r="T14" i="26"/>
  <c r="H18" i="26"/>
  <c r="H32" i="26" s="1"/>
  <c r="C80" i="34"/>
  <c r="D76" i="34"/>
  <c r="C6" i="38"/>
  <c r="I52" i="26"/>
  <c r="A93" i="1"/>
  <c r="A27" i="1"/>
  <c r="F31" i="26"/>
  <c r="R12" i="26"/>
  <c r="A25" i="40"/>
  <c r="A14" i="40"/>
  <c r="O12" i="26"/>
  <c r="C31" i="26"/>
  <c r="L9" i="71"/>
  <c r="L9" i="69"/>
  <c r="L9" i="70"/>
  <c r="L9" i="67"/>
  <c r="L9" i="68"/>
  <c r="L9" i="65"/>
  <c r="L9" i="66"/>
  <c r="L9" i="14"/>
  <c r="L4" i="38"/>
  <c r="L41" i="38" s="1"/>
  <c r="L34" i="34"/>
  <c r="D35" i="40"/>
  <c r="M3" i="34"/>
  <c r="B3" i="93" s="1"/>
  <c r="L17" i="34"/>
  <c r="C17" i="21"/>
  <c r="L19" i="34" s="1"/>
  <c r="G9" i="71"/>
  <c r="G9" i="69"/>
  <c r="G9" i="70"/>
  <c r="G9" i="67"/>
  <c r="G9" i="68"/>
  <c r="G9" i="65"/>
  <c r="G9" i="14"/>
  <c r="G9" i="66"/>
  <c r="F27" i="26"/>
  <c r="F54" i="26"/>
  <c r="AD7" i="26"/>
  <c r="K5" i="34"/>
  <c r="C254" i="13"/>
  <c r="C258" i="13" s="1"/>
  <c r="H258" i="13"/>
  <c r="K47" i="20"/>
  <c r="H41" i="20"/>
  <c r="C25" i="27"/>
  <c r="C47" i="27"/>
  <c r="AA7" i="27"/>
  <c r="K4" i="38"/>
  <c r="K41" i="38" s="1"/>
  <c r="K34" i="34"/>
  <c r="J9" i="71"/>
  <c r="J9" i="65"/>
  <c r="J9" i="66"/>
  <c r="J9" i="69"/>
  <c r="J9" i="70"/>
  <c r="J9" i="67"/>
  <c r="J9" i="68"/>
  <c r="J9" i="14"/>
  <c r="A17" i="40"/>
  <c r="H49" i="12"/>
  <c r="H145" i="12"/>
  <c r="K6" i="38"/>
  <c r="L76" i="34"/>
  <c r="G159" i="12"/>
  <c r="G88" i="12"/>
  <c r="AD7" i="27"/>
  <c r="F47" i="27"/>
  <c r="F25" i="27"/>
  <c r="E53" i="26"/>
  <c r="AC6" i="26"/>
  <c r="E26" i="26"/>
  <c r="E8" i="26"/>
  <c r="E11" i="26" s="1"/>
  <c r="E13" i="26" s="1"/>
  <c r="AG7" i="27"/>
  <c r="I25" i="27"/>
  <c r="I47" i="27"/>
  <c r="K9" i="71"/>
  <c r="K9" i="65"/>
  <c r="K9" i="66"/>
  <c r="K9" i="69"/>
  <c r="K9" i="70"/>
  <c r="K9" i="67"/>
  <c r="K9" i="68"/>
  <c r="K9" i="14"/>
  <c r="D5" i="38"/>
  <c r="D10" i="38" s="1"/>
  <c r="D74" i="34"/>
  <c r="D80" i="34"/>
  <c r="G5" i="38"/>
  <c r="G80" i="34"/>
  <c r="E34" i="34"/>
  <c r="E4" i="38"/>
  <c r="E41" i="38" s="1"/>
  <c r="C27" i="26"/>
  <c r="AA7" i="26"/>
  <c r="C54" i="26"/>
  <c r="K18" i="34"/>
  <c r="D17" i="21"/>
  <c r="K19" i="34" s="1"/>
  <c r="C45" i="26"/>
  <c r="O4" i="26"/>
  <c r="AA4" i="26" s="1"/>
  <c r="C21" i="26"/>
  <c r="C35" i="26" s="1"/>
  <c r="C4" i="27"/>
  <c r="C22" i="26"/>
  <c r="D2" i="24"/>
  <c r="D3" i="24" s="1"/>
  <c r="A19" i="40"/>
  <c r="A23" i="40"/>
  <c r="B22" i="26"/>
  <c r="B4" i="27"/>
  <c r="B21" i="26"/>
  <c r="B35" i="26" s="1"/>
  <c r="B45" i="26"/>
  <c r="N4" i="26"/>
  <c r="Z4" i="26" s="1"/>
  <c r="C8" i="26"/>
  <c r="C11" i="26" s="1"/>
  <c r="C13" i="26" s="1"/>
  <c r="C26" i="26"/>
  <c r="C53" i="26"/>
  <c r="AA6" i="26"/>
  <c r="I146" i="12"/>
  <c r="I117" i="12"/>
  <c r="I102" i="12"/>
  <c r="I38" i="12" s="1"/>
  <c r="H37" i="58"/>
  <c r="H102" i="12"/>
  <c r="H38" i="12" s="1"/>
  <c r="H117" i="12"/>
  <c r="H146" i="12"/>
  <c r="E37" i="58"/>
  <c r="G146" i="12"/>
  <c r="G117" i="12"/>
  <c r="N28" i="34"/>
  <c r="O28" i="34" s="1"/>
  <c r="P28" i="34" s="1"/>
  <c r="Q28" i="34" s="1"/>
  <c r="L30" i="34"/>
  <c r="N26" i="26"/>
  <c r="F8" i="26"/>
  <c r="F11" i="26" s="1"/>
  <c r="F13" i="26" s="1"/>
  <c r="F26" i="26"/>
  <c r="AD6" i="26"/>
  <c r="F53" i="26"/>
  <c r="I49" i="12"/>
  <c r="I145" i="12"/>
  <c r="Q12" i="27"/>
  <c r="E29" i="27"/>
  <c r="N14" i="27"/>
  <c r="N16" i="27" s="1"/>
  <c r="B16" i="27"/>
  <c r="B30" i="27" s="1"/>
  <c r="I54" i="26"/>
  <c r="AG7" i="26"/>
  <c r="I27" i="26"/>
  <c r="K41" i="20"/>
  <c r="G17" i="34"/>
  <c r="H17" i="21"/>
  <c r="G19" i="34" s="1"/>
  <c r="K29" i="34"/>
  <c r="Z7" i="26"/>
  <c r="B27" i="26"/>
  <c r="B54" i="26"/>
  <c r="I50" i="26"/>
  <c r="O26" i="26"/>
  <c r="H14" i="38"/>
  <c r="H17" i="38" s="1"/>
  <c r="H97" i="34"/>
  <c r="H98" i="34" s="1"/>
  <c r="A21" i="40"/>
  <c r="A16" i="40"/>
  <c r="H9" i="71"/>
  <c r="H9" i="67"/>
  <c r="H9" i="68"/>
  <c r="H9" i="65"/>
  <c r="H9" i="66"/>
  <c r="H9" i="69"/>
  <c r="H9" i="14"/>
  <c r="H9" i="70"/>
  <c r="I159" i="12"/>
  <c r="I88" i="12"/>
  <c r="B9" i="27"/>
  <c r="C24" i="22"/>
  <c r="E29" i="26"/>
  <c r="AC10" i="26"/>
  <c r="Q10" i="26"/>
  <c r="E159" i="12"/>
  <c r="E88" i="12"/>
  <c r="G145" i="12"/>
  <c r="G49" i="12"/>
  <c r="D54" i="26"/>
  <c r="AB7" i="26"/>
  <c r="D27" i="26"/>
  <c r="C29" i="27"/>
  <c r="O12" i="27"/>
  <c r="E118" i="13"/>
  <c r="I10" i="34"/>
  <c r="H26" i="26"/>
  <c r="H8" i="26"/>
  <c r="H11" i="26" s="1"/>
  <c r="AF6" i="26"/>
  <c r="H53" i="26"/>
  <c r="L47" i="20"/>
  <c r="L48" i="20" s="1"/>
  <c r="L8" i="71"/>
  <c r="L20" i="71" s="1"/>
  <c r="L8" i="69"/>
  <c r="L8" i="70"/>
  <c r="L20" i="70" s="1"/>
  <c r="L8" i="67"/>
  <c r="L8" i="68"/>
  <c r="L8" i="65"/>
  <c r="L8" i="66"/>
  <c r="L8" i="15"/>
  <c r="L20" i="15" s="1"/>
  <c r="L8" i="14"/>
  <c r="G8" i="26"/>
  <c r="G11" i="26" s="1"/>
  <c r="G13" i="26" s="1"/>
  <c r="G26" i="26"/>
  <c r="G53" i="26"/>
  <c r="AE6" i="26"/>
  <c r="D8" i="26"/>
  <c r="D11" i="26" s="1"/>
  <c r="D13" i="26" s="1"/>
  <c r="D53" i="26"/>
  <c r="AB6" i="26"/>
  <c r="D26" i="26"/>
  <c r="B25" i="27"/>
  <c r="Z7" i="27"/>
  <c r="K30" i="34"/>
  <c r="J8" i="71"/>
  <c r="J20" i="71" s="1"/>
  <c r="J8" i="65"/>
  <c r="J8" i="66"/>
  <c r="J8" i="69"/>
  <c r="J8" i="70"/>
  <c r="J20" i="70" s="1"/>
  <c r="J8" i="67"/>
  <c r="J8" i="68"/>
  <c r="J8" i="14"/>
  <c r="J8" i="15"/>
  <c r="J20" i="15" s="1"/>
  <c r="D37" i="58"/>
  <c r="A24" i="40"/>
  <c r="L10" i="34"/>
  <c r="B118" i="13"/>
  <c r="L12" i="38"/>
  <c r="L17" i="38" s="1"/>
  <c r="L97" i="34"/>
  <c r="L98" i="34" s="1"/>
  <c r="L103" i="34" s="1"/>
  <c r="Q10" i="27"/>
  <c r="AC10" i="27"/>
  <c r="E27" i="27"/>
  <c r="S15" i="26"/>
  <c r="G17" i="26"/>
  <c r="D31" i="26"/>
  <c r="P12" i="26"/>
  <c r="C97" i="34"/>
  <c r="C98" i="34" s="1"/>
  <c r="C12" i="38"/>
  <c r="C17" i="38" s="1"/>
  <c r="G12" i="38"/>
  <c r="G17" i="38" s="1"/>
  <c r="G97" i="34"/>
  <c r="G98" i="34" s="1"/>
  <c r="G103" i="34" s="1"/>
  <c r="F78" i="34"/>
  <c r="F74" i="34"/>
  <c r="F76" i="34"/>
  <c r="I45" i="26"/>
  <c r="I21" i="26"/>
  <c r="I35" i="26" s="1"/>
  <c r="U4" i="26"/>
  <c r="AG4" i="26" s="1"/>
  <c r="I22" i="26"/>
  <c r="I4" i="27"/>
  <c r="J102" i="12"/>
  <c r="J38" i="12" s="1"/>
  <c r="S10" i="26"/>
  <c r="AE10" i="26"/>
  <c r="G29" i="26"/>
  <c r="B8" i="26"/>
  <c r="B11" i="26" s="1"/>
  <c r="B13" i="26" s="1"/>
  <c r="B26" i="26"/>
  <c r="Z6" i="26"/>
  <c r="B53" i="26"/>
  <c r="B52" i="26"/>
  <c r="N9" i="26"/>
  <c r="B28" i="26"/>
  <c r="Z9" i="26"/>
  <c r="C37" i="58"/>
  <c r="I47" i="20"/>
  <c r="F8" i="70"/>
  <c r="F20" i="70" s="1"/>
  <c r="F8" i="71"/>
  <c r="F20" i="71" s="1"/>
  <c r="F8" i="68"/>
  <c r="F8" i="69"/>
  <c r="F8" i="66"/>
  <c r="F8" i="67"/>
  <c r="F8" i="15"/>
  <c r="F20" i="15" s="1"/>
  <c r="F8" i="14"/>
  <c r="F8" i="65"/>
  <c r="U15" i="26"/>
  <c r="I17" i="26"/>
  <c r="E9" i="65"/>
  <c r="E9" i="66"/>
  <c r="E9" i="69"/>
  <c r="E9" i="67"/>
  <c r="E9" i="68"/>
  <c r="E9" i="14"/>
  <c r="C4" i="38"/>
  <c r="C41" i="38" s="1"/>
  <c r="C34" i="34"/>
  <c r="H4" i="27"/>
  <c r="T4" i="26"/>
  <c r="AF4" i="26" s="1"/>
  <c r="H22" i="26"/>
  <c r="H21" i="26"/>
  <c r="H35" i="26" s="1"/>
  <c r="H45" i="26"/>
  <c r="G10" i="27"/>
  <c r="H24" i="22"/>
  <c r="A15" i="40"/>
  <c r="F29" i="34"/>
  <c r="G29" i="34"/>
  <c r="E54" i="26"/>
  <c r="E27" i="26"/>
  <c r="AC7" i="26"/>
  <c r="H17" i="34"/>
  <c r="G17" i="21"/>
  <c r="H19" i="34" s="1"/>
  <c r="F97" i="34"/>
  <c r="F98" i="34" s="1"/>
  <c r="F12" i="38"/>
  <c r="F17" i="38" s="1"/>
  <c r="Q14" i="27"/>
  <c r="Q16" i="27" s="1"/>
  <c r="E16" i="27"/>
  <c r="E30" i="27" s="1"/>
  <c r="H5" i="38"/>
  <c r="H80" i="34"/>
  <c r="I74" i="34"/>
  <c r="D4" i="38"/>
  <c r="D41" i="38" s="1"/>
  <c r="D34" i="34"/>
  <c r="R10" i="26"/>
  <c r="AD10" i="26"/>
  <c r="F29" i="26"/>
  <c r="O14" i="27"/>
  <c r="O16" i="27" s="1"/>
  <c r="C16" i="27"/>
  <c r="C30" i="27" s="1"/>
  <c r="F5" i="38"/>
  <c r="F10" i="38" s="1"/>
  <c r="G74" i="34"/>
  <c r="F80" i="34"/>
  <c r="H29" i="27"/>
  <c r="T12" i="27"/>
  <c r="I40" i="26"/>
  <c r="J41" i="20"/>
  <c r="M83" i="34"/>
  <c r="N83" i="34" s="1"/>
  <c r="O83" i="34" s="1"/>
  <c r="P83" i="34" s="1"/>
  <c r="Q83" i="34" s="1"/>
  <c r="F83" i="39" s="1"/>
  <c r="J47" i="39"/>
  <c r="H41" i="26"/>
  <c r="H42" i="26" s="1"/>
  <c r="H62" i="26"/>
  <c r="T17" i="26"/>
  <c r="H24" i="26"/>
  <c r="H25" i="26" s="1"/>
  <c r="H74" i="26" s="1"/>
  <c r="A11" i="40"/>
  <c r="A22" i="40"/>
  <c r="A13" i="40"/>
  <c r="E47" i="27"/>
  <c r="E25" i="27"/>
  <c r="AC7" i="27"/>
  <c r="P15" i="26"/>
  <c r="D17" i="26"/>
  <c r="AF7" i="26"/>
  <c r="H27" i="26"/>
  <c r="H54" i="26"/>
  <c r="G28" i="26"/>
  <c r="AE9" i="26"/>
  <c r="S9" i="26"/>
  <c r="G52" i="26"/>
  <c r="Q14" i="26"/>
  <c r="K80" i="34"/>
  <c r="L74" i="34"/>
  <c r="K5" i="38"/>
  <c r="I9" i="71"/>
  <c r="I9" i="67"/>
  <c r="I9" i="68"/>
  <c r="I9" i="65"/>
  <c r="I9" i="66"/>
  <c r="I9" i="69"/>
  <c r="I9" i="70"/>
  <c r="I9" i="14"/>
  <c r="B17" i="39"/>
  <c r="B46" i="39" s="1"/>
  <c r="M61" i="38"/>
  <c r="K8" i="71"/>
  <c r="K20" i="71" s="1"/>
  <c r="K8" i="70"/>
  <c r="K20" i="70" s="1"/>
  <c r="K8" i="67"/>
  <c r="K8" i="68"/>
  <c r="K8" i="65"/>
  <c r="K8" i="66"/>
  <c r="K8" i="69"/>
  <c r="K8" i="15"/>
  <c r="K20" i="15" s="1"/>
  <c r="K8" i="14"/>
  <c r="AD10" i="27"/>
  <c r="F27" i="27"/>
  <c r="R10" i="27"/>
  <c r="B69" i="26"/>
  <c r="G76" i="34"/>
  <c r="G6" i="38"/>
  <c r="I41" i="20"/>
  <c r="E5" i="38"/>
  <c r="E10" i="38" s="1"/>
  <c r="E80" i="34"/>
  <c r="A10" i="40"/>
  <c r="G45" i="58"/>
  <c r="G39" i="58"/>
  <c r="G46" i="58"/>
  <c r="G38" i="58"/>
  <c r="G44" i="58"/>
  <c r="G40" i="58"/>
  <c r="C118" i="13"/>
  <c r="I262" i="13"/>
  <c r="H6" i="34"/>
  <c r="M21" i="3"/>
  <c r="M22" i="3" s="1"/>
  <c r="E26" i="3" s="1"/>
  <c r="F44" i="6" s="1"/>
  <c r="B29" i="3"/>
  <c r="I45" i="58"/>
  <c r="I46" i="58"/>
  <c r="I39" i="58"/>
  <c r="I44" i="58"/>
  <c r="I40" i="58"/>
  <c r="K39" i="58"/>
  <c r="K38" i="58"/>
  <c r="K40" i="58"/>
  <c r="K46" i="58"/>
  <c r="K45" i="58"/>
  <c r="I38" i="58"/>
  <c r="K44" i="58"/>
  <c r="E78" i="34"/>
  <c r="E74" i="34"/>
  <c r="E76" i="34"/>
  <c r="E6" i="34"/>
  <c r="F6" i="34"/>
  <c r="H74" i="34"/>
  <c r="H76" i="34"/>
  <c r="H78" i="34"/>
  <c r="J12" i="22"/>
  <c r="H12" i="22"/>
  <c r="R17" i="26"/>
  <c r="R18" i="26" s="1"/>
  <c r="I12" i="22"/>
  <c r="G12" i="22"/>
  <c r="I32" i="15"/>
  <c r="H102" i="13" s="1"/>
  <c r="I16" i="20"/>
  <c r="E33" i="15"/>
  <c r="K29" i="20"/>
  <c r="D99" i="34" s="1"/>
  <c r="G29" i="20"/>
  <c r="G33" i="20" s="1"/>
  <c r="I29" i="20"/>
  <c r="B22" i="3"/>
  <c r="K16" i="20"/>
  <c r="O21" i="3"/>
  <c r="O22" i="3" s="1"/>
  <c r="G26" i="3" s="1"/>
  <c r="H85" i="13"/>
  <c r="H89" i="7"/>
  <c r="G95" i="7"/>
  <c r="G89" i="7"/>
  <c r="F24" i="26"/>
  <c r="F25" i="26" s="1"/>
  <c r="F74" i="26" s="1"/>
  <c r="Q4" i="27"/>
  <c r="AC4" i="27" s="1"/>
  <c r="I87" i="1"/>
  <c r="I86" i="1"/>
  <c r="F86" i="7"/>
  <c r="F89" i="7"/>
  <c r="F95" i="7"/>
  <c r="F62" i="26"/>
  <c r="F41" i="26"/>
  <c r="J21" i="3"/>
  <c r="J22" i="3" s="1"/>
  <c r="H86" i="7"/>
  <c r="H86" i="1"/>
  <c r="H87" i="1"/>
  <c r="L21" i="3"/>
  <c r="L22" i="3" s="1"/>
  <c r="D26" i="3" s="1"/>
  <c r="D28" i="3" s="1"/>
  <c r="N21" i="3"/>
  <c r="N22" i="3" s="1"/>
  <c r="G87" i="1"/>
  <c r="G86" i="1"/>
  <c r="C44" i="6"/>
  <c r="E84" i="13"/>
  <c r="E85" i="13" s="1"/>
  <c r="E145" i="13"/>
  <c r="E206" i="13" s="1"/>
  <c r="F33" i="15"/>
  <c r="F30" i="15"/>
  <c r="I215" i="13"/>
  <c r="E30" i="15"/>
  <c r="D145" i="13"/>
  <c r="D206" i="13" s="1"/>
  <c r="J32" i="15"/>
  <c r="I143" i="13" s="1"/>
  <c r="E38" i="12"/>
  <c r="C50" i="34"/>
  <c r="C54" i="34"/>
  <c r="E144" i="12"/>
  <c r="E39" i="12"/>
  <c r="J144" i="12"/>
  <c r="J39" i="12"/>
  <c r="S4" i="27"/>
  <c r="AE4" i="27" s="1"/>
  <c r="G20" i="27"/>
  <c r="G38" i="27" s="1"/>
  <c r="H33" i="20"/>
  <c r="G16" i="20"/>
  <c r="G32" i="15"/>
  <c r="F102" i="13" s="1"/>
  <c r="G102" i="13"/>
  <c r="C56" i="7"/>
  <c r="C41" i="7"/>
  <c r="C49" i="7" s="1"/>
  <c r="C60" i="7" s="1"/>
  <c r="C68" i="7" s="1"/>
  <c r="C12" i="7"/>
  <c r="C52" i="7" s="1"/>
  <c r="C18" i="7"/>
  <c r="B18" i="7" s="1"/>
  <c r="C99" i="34"/>
  <c r="L33" i="20"/>
  <c r="J51" i="34"/>
  <c r="K51" i="34"/>
  <c r="I51" i="34"/>
  <c r="K99" i="34"/>
  <c r="K103" i="34" s="1"/>
  <c r="D33" i="20"/>
  <c r="C143" i="13"/>
  <c r="C102" i="13"/>
  <c r="F32" i="26"/>
  <c r="C28" i="14"/>
  <c r="L28" i="14"/>
  <c r="D28" i="14"/>
  <c r="F28" i="14"/>
  <c r="J28" i="14"/>
  <c r="G28" i="14"/>
  <c r="H28" i="14"/>
  <c r="E28" i="14"/>
  <c r="I28" i="14"/>
  <c r="K28" i="14"/>
  <c r="B69" i="32"/>
  <c r="C68" i="32"/>
  <c r="C41" i="14"/>
  <c r="K41" i="14"/>
  <c r="J41" i="14"/>
  <c r="L41" i="14"/>
  <c r="H41" i="14"/>
  <c r="F41" i="14"/>
  <c r="D41" i="14"/>
  <c r="I41" i="14"/>
  <c r="E41" i="14"/>
  <c r="G41" i="14"/>
  <c r="C38" i="5"/>
  <c r="H38" i="5"/>
  <c r="E38" i="5"/>
  <c r="G38" i="5"/>
  <c r="D38" i="5"/>
  <c r="F38" i="5"/>
  <c r="P38" i="5"/>
  <c r="L38" i="5"/>
  <c r="N38" i="5"/>
  <c r="O38" i="5"/>
  <c r="K38" i="5"/>
  <c r="M38" i="5"/>
  <c r="A14" i="5"/>
  <c r="B13" i="5"/>
  <c r="A26" i="5"/>
  <c r="A39" i="5" s="1"/>
  <c r="J13" i="5"/>
  <c r="J26" i="5" s="1"/>
  <c r="J39" i="5" s="1"/>
  <c r="H55" i="27"/>
  <c r="H16" i="27"/>
  <c r="H30" i="27" s="1"/>
  <c r="T15" i="27"/>
  <c r="T16" i="27" s="1"/>
  <c r="J17" i="21"/>
  <c r="E19" i="34" s="1"/>
  <c r="I22" i="27"/>
  <c r="I15" i="27"/>
  <c r="N25" i="5"/>
  <c r="P25" i="5"/>
  <c r="K25" i="5"/>
  <c r="M25" i="5"/>
  <c r="O25" i="5"/>
  <c r="L25" i="5"/>
  <c r="H25" i="5"/>
  <c r="G25" i="5"/>
  <c r="F25" i="5"/>
  <c r="C25" i="5"/>
  <c r="E25" i="5"/>
  <c r="D25" i="5"/>
  <c r="B16" i="14"/>
  <c r="A29" i="14"/>
  <c r="A42" i="14" s="1"/>
  <c r="A17" i="14"/>
  <c r="L27" i="25" a="1"/>
  <c r="G27" i="25" a="1"/>
  <c r="H27" i="25" a="1"/>
  <c r="I27" i="25" a="1"/>
  <c r="O27" i="25" a="1"/>
  <c r="E27" i="25" a="1"/>
  <c r="F27" i="25" a="1"/>
  <c r="K27" i="25" a="1"/>
  <c r="J27" i="25" a="1"/>
  <c r="N27" i="25" a="1"/>
  <c r="P27" i="25" a="1"/>
  <c r="N24" i="25" a="1"/>
  <c r="K24" i="25" a="1"/>
  <c r="L24" i="25" a="1"/>
  <c r="I24" i="25" a="1"/>
  <c r="F24" i="25" a="1"/>
  <c r="E24" i="25" a="1"/>
  <c r="O24" i="25" a="1"/>
  <c r="G24" i="25" a="1"/>
  <c r="H24" i="25" a="1"/>
  <c r="J24" i="25" a="1"/>
  <c r="P24" i="25" a="1"/>
  <c r="N22" i="25" a="1"/>
  <c r="K22" i="25" a="1"/>
  <c r="L22" i="25" a="1"/>
  <c r="O22" i="25" a="1"/>
  <c r="F22" i="25" a="1"/>
  <c r="J22" i="25" a="1"/>
  <c r="P22" i="25" a="1"/>
  <c r="I22" i="25" a="1"/>
  <c r="H22" i="25" a="1"/>
  <c r="G22" i="25" a="1"/>
  <c r="E22" i="25" a="1"/>
  <c r="F6" i="7" a="1"/>
  <c r="D22" i="7" a="1"/>
  <c r="G82" i="7" a="1"/>
  <c r="H17" i="76" a="1"/>
  <c r="G12" i="76" a="1"/>
  <c r="E11" i="58" a="1"/>
  <c r="K39" i="40" a="1"/>
  <c r="H9" i="76" a="1"/>
  <c r="H46" i="40" a="1"/>
  <c r="I45" i="40" a="1"/>
  <c r="D42" i="40" a="1"/>
  <c r="K47" i="40" a="1"/>
  <c r="E44" i="40" a="1"/>
  <c r="D13" i="75" a="1"/>
  <c r="E10" i="86" a="1"/>
  <c r="F19" i="64" a="1"/>
  <c r="L8" i="64" a="1"/>
  <c r="E21" i="40" a="1"/>
  <c r="E13" i="40" a="1"/>
  <c r="E16" i="64" a="1"/>
  <c r="E13" i="58" a="1"/>
  <c r="C10" i="58" a="1"/>
  <c r="E24" i="40" a="1"/>
  <c r="E16" i="40" a="1"/>
  <c r="D21" i="76" a="1"/>
  <c r="D23" i="75" a="1"/>
  <c r="H26" i="58" a="1"/>
  <c r="F19" i="76" a="1"/>
  <c r="E38" i="40" a="1"/>
  <c r="F50" i="40" a="1"/>
  <c r="E10" i="64" a="1"/>
  <c r="L14" i="58" a="1"/>
  <c r="J18" i="75" a="1"/>
  <c r="L20" i="58" a="1"/>
  <c r="D21" i="75" a="1"/>
  <c r="E13" i="81" a="1"/>
  <c r="D51" i="40" a="1"/>
  <c r="I53" i="40" a="1"/>
  <c r="J27" i="75" a="1"/>
  <c r="H23" i="76" a="1"/>
  <c r="M46" i="40" a="1"/>
  <c r="J24" i="76" a="1"/>
  <c r="H32" i="58" a="1"/>
  <c r="B22" i="40" a="1"/>
  <c r="H43" i="40" a="1"/>
  <c r="M42" i="40" a="1"/>
  <c r="H30" i="76" a="1"/>
  <c r="J19" i="64" a="1"/>
  <c r="E10" i="84" a="1"/>
  <c r="H10" i="85" a="1"/>
  <c r="C45" i="40" a="1"/>
  <c r="G43" i="40" a="1"/>
  <c r="E25" i="40" a="1"/>
  <c r="C18" i="58" a="1"/>
  <c r="D48" i="40" a="1"/>
  <c r="C87" i="87" a="1"/>
  <c r="J9" i="75" a="1"/>
  <c r="C9" i="75" a="1"/>
  <c r="D26" i="76" a="1"/>
  <c r="H52" i="40" a="1"/>
  <c r="H10" i="64" a="1"/>
  <c r="M45" i="40" a="1"/>
  <c r="G45" i="40" a="1"/>
  <c r="E12" i="58" a="1"/>
  <c r="K42" i="40" a="1"/>
  <c r="C51" i="40" a="1"/>
  <c r="J12" i="75" a="1"/>
  <c r="G31" i="77" a="1"/>
  <c r="L54" i="40" a="1"/>
  <c r="H15" i="64" a="1"/>
  <c r="L9" i="58" a="1"/>
  <c r="D27" i="76" a="1"/>
  <c r="J12" i="76" a="1"/>
  <c r="G38" i="40" a="1"/>
  <c r="I44" i="40" a="1"/>
  <c r="F17" i="76" a="1"/>
  <c r="H39" i="40" a="1"/>
  <c r="E13" i="25" a="1"/>
  <c r="F13" i="25" a="1"/>
  <c r="H13" i="25" a="1"/>
  <c r="N13" i="25" a="1"/>
  <c r="J13" i="25" a="1"/>
  <c r="K13" i="25" a="1"/>
  <c r="G13" i="25" a="1"/>
  <c r="O13" i="25" a="1"/>
  <c r="P13" i="25" a="1"/>
  <c r="L13" i="25" a="1"/>
  <c r="I13" i="25" a="1"/>
  <c r="E83" i="7" a="1"/>
  <c r="F83" i="7" a="1"/>
  <c r="D83" i="7" a="1"/>
  <c r="G6" i="7" a="1"/>
  <c r="I42" i="40" a="1"/>
  <c r="H45" i="40" a="1"/>
  <c r="J11" i="76" a="1"/>
  <c r="J54" i="40" a="1"/>
  <c r="C52" i="40" a="1"/>
  <c r="D19" i="40" a="1"/>
  <c r="H21" i="21" a="1"/>
  <c r="J23" i="58" a="1"/>
  <c r="M44" i="40" a="1"/>
  <c r="D18" i="75" a="1"/>
  <c r="I11" i="75" a="1"/>
  <c r="B24" i="40" a="1"/>
  <c r="G26" i="76" a="1"/>
  <c r="E13" i="85" a="1"/>
  <c r="L10" i="86" a="1"/>
  <c r="I46" i="40" a="1"/>
  <c r="J32" i="75" a="1"/>
  <c r="F40" i="40" a="1"/>
  <c r="J30" i="75" a="1"/>
  <c r="F46" i="40" a="1"/>
  <c r="F42" i="40" a="1"/>
  <c r="K51" i="40" a="1"/>
  <c r="L21" i="58" a="1"/>
  <c r="L14" i="76" a="1"/>
  <c r="E14" i="25" a="1"/>
  <c r="J14" i="25" a="1"/>
  <c r="I14" i="25" a="1"/>
  <c r="P14" i="25" a="1"/>
  <c r="N14" i="25" a="1"/>
  <c r="O14" i="25" a="1"/>
  <c r="F14" i="25" a="1"/>
  <c r="L14" i="25" a="1"/>
  <c r="G14" i="25" a="1"/>
  <c r="K14" i="25" a="1"/>
  <c r="H14" i="25" a="1"/>
  <c r="C88" i="87" a="1"/>
  <c r="E22" i="7" a="1"/>
  <c r="F22" i="7" a="1"/>
  <c r="G83" i="7" a="1"/>
  <c r="C47" i="40" a="1"/>
  <c r="E19" i="40" a="1"/>
  <c r="K43" i="40" a="1"/>
  <c r="L10" i="84" a="1"/>
  <c r="C18" i="40" a="1"/>
  <c r="I13" i="75" a="1"/>
  <c r="M52" i="40" a="1"/>
  <c r="H24" i="58" a="1"/>
  <c r="E24" i="64" a="1"/>
  <c r="D23" i="76" a="1"/>
  <c r="J47" i="40" a="1"/>
  <c r="G25" i="76" a="1"/>
  <c r="G32" i="76" a="1"/>
  <c r="L13" i="76" a="1"/>
  <c r="H17" i="58" a="1"/>
  <c r="D40" i="40" a="1"/>
  <c r="E14" i="40" a="1"/>
  <c r="D32" i="76" a="1"/>
  <c r="J31" i="75" a="1"/>
  <c r="D26" i="75" a="1"/>
  <c r="J26" i="76" a="1"/>
  <c r="L13" i="85" a="1"/>
  <c r="D14" i="40" a="1"/>
  <c r="C39" i="40" a="1"/>
  <c r="E39" i="40" a="1"/>
  <c r="J38" i="40" a="1"/>
  <c r="H47" i="40" a="1"/>
  <c r="D9" i="75" a="1"/>
  <c r="I39" i="40" a="1"/>
  <c r="E9" i="40" a="1"/>
  <c r="C13" i="40" a="1"/>
  <c r="L17" i="76" a="1"/>
  <c r="D17" i="40" a="1"/>
  <c r="G46" i="40" a="1"/>
  <c r="H13" i="58" a="1"/>
  <c r="O17" i="25" a="1"/>
  <c r="F17" i="25" a="1"/>
  <c r="E17" i="25" a="1"/>
  <c r="N17" i="25" a="1"/>
  <c r="L17" i="25" a="1"/>
  <c r="G17" i="25" a="1"/>
  <c r="I17" i="25" a="1"/>
  <c r="H17" i="25" a="1"/>
  <c r="K17" i="25" a="1"/>
  <c r="P17" i="25" a="1"/>
  <c r="J17" i="25" a="1"/>
  <c r="N15" i="25" a="1"/>
  <c r="L15" i="25" a="1"/>
  <c r="K15" i="25" a="1"/>
  <c r="I15" i="25" a="1"/>
  <c r="H15" i="25" a="1"/>
  <c r="O15" i="25" a="1"/>
  <c r="P15" i="25" a="1"/>
  <c r="G15" i="25" a="1"/>
  <c r="E15" i="25" a="1"/>
  <c r="F15" i="25" a="1"/>
  <c r="J15" i="25" a="1"/>
  <c r="O23" i="25" a="1"/>
  <c r="E23" i="25" a="1"/>
  <c r="K23" i="25" a="1"/>
  <c r="I23" i="25" a="1"/>
  <c r="G23" i="25" a="1"/>
  <c r="H23" i="25" a="1"/>
  <c r="F23" i="25" a="1"/>
  <c r="P23" i="25" a="1"/>
  <c r="L23" i="25" a="1"/>
  <c r="J23" i="25" a="1"/>
  <c r="N23" i="25" a="1"/>
  <c r="F30" i="25" a="1"/>
  <c r="H30" i="25" a="1"/>
  <c r="L30" i="25" a="1"/>
  <c r="G30" i="25" a="1"/>
  <c r="J30" i="25" a="1"/>
  <c r="E30" i="25" a="1"/>
  <c r="K30" i="25" a="1"/>
  <c r="I30" i="25" a="1"/>
  <c r="E6" i="7" a="1"/>
  <c r="G24" i="76" a="1"/>
  <c r="K54" i="40" a="1"/>
  <c r="H54" i="40" a="1"/>
  <c r="L13" i="81" a="1"/>
  <c r="D11" i="76" a="1"/>
  <c r="E13" i="83" a="1"/>
  <c r="E86" i="87" a="1"/>
  <c r="I17" i="75" a="1"/>
  <c r="I30" i="75" a="1"/>
  <c r="E21" i="21" a="1"/>
  <c r="E15" i="64" a="1"/>
  <c r="J23" i="76" a="1"/>
  <c r="D12" i="75" a="1"/>
  <c r="G19" i="64" a="1"/>
  <c r="H38" i="40" a="1"/>
  <c r="D19" i="64" a="1"/>
  <c r="D14" i="76" a="1"/>
  <c r="G39" i="40" a="1"/>
  <c r="L10" i="76" a="1"/>
  <c r="E53" i="40" a="1"/>
  <c r="B15" i="40" a="1"/>
  <c r="L31" i="76" a="1"/>
  <c r="H44" i="40" a="1"/>
  <c r="H42" i="40" a="1"/>
  <c r="B18" i="40" a="1"/>
  <c r="G11" i="76" a="1"/>
  <c r="G20" i="77" a="1"/>
  <c r="E17" i="58" a="1"/>
  <c r="H14" i="76" a="1"/>
  <c r="I48" i="40" a="1"/>
  <c r="I10" i="75" a="1"/>
  <c r="J26" i="58" a="1"/>
  <c r="I32" i="75" a="1"/>
  <c r="D22" i="40" a="1"/>
  <c r="L30" i="58" a="1"/>
  <c r="J46" i="40" a="1"/>
  <c r="I14" i="75" a="1"/>
  <c r="H10" i="86" a="1"/>
  <c r="G10" i="77" a="1"/>
  <c r="G47" i="40" a="1"/>
  <c r="L18" i="76" a="1"/>
  <c r="L12" i="64" a="1"/>
  <c r="L28" i="76" a="1"/>
  <c r="L45" i="40" a="1"/>
  <c r="J43" i="40" a="1"/>
  <c r="G50" i="40" a="1"/>
  <c r="C19" i="75" a="1"/>
  <c r="G23" i="77" a="1"/>
  <c r="I43" i="40" a="1"/>
  <c r="F51" i="40" a="1"/>
  <c r="J34" i="25" a="1"/>
  <c r="G34" i="25" a="1"/>
  <c r="H34" i="25" a="1"/>
  <c r="L34" i="25" a="1"/>
  <c r="F34" i="25" a="1"/>
  <c r="E34" i="25" a="1"/>
  <c r="K34" i="25" a="1"/>
  <c r="I34" i="25" a="1"/>
  <c r="L26" i="25" a="1"/>
  <c r="I26" i="25" a="1"/>
  <c r="E26" i="25" a="1"/>
  <c r="G26" i="25" a="1"/>
  <c r="O26" i="25" a="1"/>
  <c r="K26" i="25" a="1"/>
  <c r="J26" i="25" a="1"/>
  <c r="F26" i="25" a="1"/>
  <c r="N26" i="25" a="1"/>
  <c r="H26" i="25" a="1"/>
  <c r="P26" i="25" a="1"/>
  <c r="E32" i="25" a="1"/>
  <c r="K32" i="25" a="1"/>
  <c r="G32" i="25" a="1"/>
  <c r="J32" i="25" a="1"/>
  <c r="H32" i="25" a="1"/>
  <c r="L32" i="25" a="1"/>
  <c r="F32" i="25" a="1"/>
  <c r="I32" i="25" a="1"/>
  <c r="L28" i="25" a="1"/>
  <c r="G28" i="25" a="1"/>
  <c r="F28" i="25" a="1"/>
  <c r="I28" i="25" a="1"/>
  <c r="J28" i="25" a="1"/>
  <c r="H28" i="25" a="1"/>
  <c r="K28" i="25" a="1"/>
  <c r="N28" i="25" a="1"/>
  <c r="O28" i="25" a="1"/>
  <c r="E28" i="25" a="1"/>
  <c r="P28" i="25" a="1"/>
  <c r="E82" i="7" a="1"/>
  <c r="F47" i="40" a="1"/>
  <c r="K44" i="40" a="1"/>
  <c r="D28" i="75" a="1"/>
  <c r="B19" i="40" a="1"/>
  <c r="J26" i="75" a="1"/>
  <c r="E40" i="40" a="1"/>
  <c r="E43" i="40" a="1"/>
  <c r="L46" i="40" a="1"/>
  <c r="D15" i="40" a="1"/>
  <c r="H27" i="76" a="1"/>
  <c r="C54" i="40" a="1"/>
  <c r="H10" i="84" a="1"/>
  <c r="G30" i="76" a="1"/>
  <c r="J10" i="75" a="1"/>
  <c r="H21" i="58" a="1"/>
  <c r="E13" i="84" a="1"/>
  <c r="M47" i="40" a="1"/>
  <c r="I19" i="75" a="1"/>
  <c r="C46" i="40" a="1"/>
  <c r="D19" i="75" a="1"/>
  <c r="G18" i="76" a="1"/>
  <c r="G10" i="76" a="1"/>
  <c r="H27" i="58" a="1"/>
  <c r="L12" i="58" a="1"/>
  <c r="J23" i="75" a="1"/>
  <c r="L32" i="58" a="1"/>
  <c r="L10" i="81" a="1"/>
  <c r="K38" i="40" a="1"/>
  <c r="L17" i="58" a="1"/>
  <c r="C86" i="87" a="1"/>
  <c r="G48" i="40" a="1"/>
  <c r="C17" i="58" a="1"/>
  <c r="G25" i="77" a="1"/>
  <c r="I47" i="40" a="1"/>
  <c r="G14" i="77" a="1"/>
  <c r="C38" i="40" a="1"/>
  <c r="M54" i="40" a="1"/>
  <c r="C11" i="58" a="1"/>
  <c r="G27" i="77" a="1"/>
  <c r="L48" i="40" a="1"/>
  <c r="L21" i="21" a="1"/>
  <c r="J18" i="58" a="1"/>
  <c r="D25" i="40" a="1"/>
  <c r="J45" i="40" a="1"/>
  <c r="G40" i="40" a="1"/>
  <c r="F82" i="7" a="1"/>
  <c r="J13" i="75" a="1"/>
  <c r="H20" i="76" a="1"/>
  <c r="E13" i="86" a="1"/>
  <c r="J48" i="40" a="1"/>
  <c r="E10" i="83" a="1"/>
  <c r="H33" i="25" a="1"/>
  <c r="L33" i="25" a="1"/>
  <c r="E33" i="25" a="1"/>
  <c r="G33" i="25" a="1"/>
  <c r="F33" i="25" a="1"/>
  <c r="I33" i="25" a="1"/>
  <c r="K33" i="25" a="1"/>
  <c r="J33" i="25" a="1"/>
  <c r="D9" i="40" a="1"/>
  <c r="D39" i="40" a="1"/>
  <c r="L13" i="83" a="1"/>
  <c r="L33" i="58" a="1"/>
  <c r="C23" i="75" a="1"/>
  <c r="K45" i="40" a="1"/>
  <c r="L11" i="58" a="1"/>
  <c r="E11" i="40" a="1"/>
  <c r="E20" i="58" a="1"/>
  <c r="E45" i="40" a="1"/>
  <c r="G30" i="77" a="1"/>
  <c r="J14" i="75" a="1"/>
  <c r="E50" i="40" a="1"/>
  <c r="K50" i="40" a="1"/>
  <c r="H48" i="40" a="1"/>
  <c r="G11" i="77" a="1"/>
  <c r="J21" i="76" a="1"/>
  <c r="C20" i="75" a="1"/>
  <c r="H8" i="64" a="1"/>
  <c r="H13" i="83" a="1"/>
  <c r="L50" i="40" a="1"/>
  <c r="C14" i="40" a="1"/>
  <c r="M43" i="40" a="1"/>
  <c r="F86" i="87" a="1"/>
  <c r="F43" i="40" a="1"/>
  <c r="D27" i="75" a="1"/>
  <c r="J30" i="76" a="1"/>
  <c r="C28" i="58" a="1"/>
  <c r="C44" i="40" a="1"/>
  <c r="C10" i="40" a="1"/>
  <c r="D10" i="40" a="1"/>
  <c r="D45" i="40" a="1"/>
  <c r="L11" i="76" a="1"/>
  <c r="J53" i="40" a="1"/>
  <c r="E10" i="81" a="1"/>
  <c r="C53" i="40" a="1"/>
  <c r="E9" i="58" a="1"/>
  <c r="L24" i="76" a="1"/>
  <c r="H16" i="64" a="1"/>
  <c r="E21" i="64" a="1"/>
  <c r="B9" i="40" a="1"/>
  <c r="E31" i="58" a="1"/>
  <c r="E21" i="88" a="1"/>
  <c r="D33" i="75" a="1"/>
  <c r="J33" i="58" a="1"/>
  <c r="J85" i="87" a="1"/>
  <c r="J50" i="40" a="1"/>
  <c r="L47" i="40" a="1"/>
  <c r="H30" i="58" a="1"/>
  <c r="L38" i="40" a="1"/>
  <c r="L43" i="40" a="1"/>
  <c r="E16" i="25" a="1"/>
  <c r="P16" i="25" a="1"/>
  <c r="O16" i="25" a="1"/>
  <c r="K16" i="25" a="1"/>
  <c r="I16" i="25" a="1"/>
  <c r="J16" i="25" a="1"/>
  <c r="G16" i="25" a="1"/>
  <c r="F16" i="25" a="1"/>
  <c r="H16" i="25" a="1"/>
  <c r="L16" i="25" a="1"/>
  <c r="N16" i="25" a="1"/>
  <c r="D25" i="75" a="1"/>
  <c r="L21" i="64" a="1"/>
  <c r="D18" i="76" a="1"/>
  <c r="H18" i="25" a="1"/>
  <c r="I18" i="25" a="1"/>
  <c r="O18" i="25" a="1"/>
  <c r="K18" i="25" a="1"/>
  <c r="F18" i="25" a="1"/>
  <c r="J18" i="25" a="1"/>
  <c r="L18" i="25" a="1"/>
  <c r="N18" i="25" a="1"/>
  <c r="P18" i="25" a="1"/>
  <c r="G18" i="25" a="1"/>
  <c r="E18" i="25" a="1"/>
  <c r="C6" i="23"/>
  <c r="C7" i="23"/>
  <c r="C21" i="40" a="1"/>
  <c r="J9" i="76" a="1"/>
  <c r="D21" i="40" a="1"/>
  <c r="H12" i="76" a="1"/>
  <c r="G9" i="77" a="1"/>
  <c r="F44" i="40" a="1"/>
  <c r="J25" i="58" a="1"/>
  <c r="J13" i="58" a="1"/>
  <c r="D9" i="76" a="1"/>
  <c r="I23" i="75" a="1"/>
  <c r="K48" i="40" a="1"/>
  <c r="E10" i="85" a="1"/>
  <c r="D53" i="40" a="1"/>
  <c r="D17" i="75" a="1"/>
  <c r="E52" i="40" a="1"/>
  <c r="E48" i="40" a="1"/>
  <c r="L25" i="76" a="1"/>
  <c r="C10" i="75" a="1"/>
  <c r="F38" i="40" a="1"/>
  <c r="D50" i="40" a="1"/>
  <c r="L19" i="58" a="1"/>
  <c r="F27" i="76" a="1"/>
  <c r="D24" i="75" a="1"/>
  <c r="H25" i="76" a="1"/>
  <c r="E54" i="40" a="1"/>
  <c r="L16" i="64" a="1"/>
  <c r="L24" i="58" a="1"/>
  <c r="H10" i="81" a="1"/>
  <c r="E19" i="58" a="1"/>
  <c r="F30" i="76" a="1"/>
  <c r="G54" i="40" a="1"/>
  <c r="D12" i="76" a="1"/>
  <c r="L39" i="40" a="1"/>
  <c r="L15" i="64" a="1"/>
  <c r="E15" i="40" a="1"/>
  <c r="F23" i="76" a="1"/>
  <c r="G86" i="87" a="1"/>
  <c r="G31" i="76" a="1"/>
  <c r="C14" i="58" a="1"/>
  <c r="G33" i="88" a="1"/>
  <c r="G17" i="77" a="1"/>
  <c r="E21" i="58" a="1"/>
  <c r="M48" i="40" a="1"/>
  <c r="D24" i="40" a="1"/>
  <c r="M40" i="40" a="1"/>
  <c r="D19" i="76" a="1"/>
  <c r="E18" i="58" a="1"/>
  <c r="C9" i="58" a="1"/>
  <c r="M39" i="40" a="1"/>
  <c r="D52" i="40" a="1"/>
  <c r="D18" i="40" a="1"/>
  <c r="C42" i="40" a="1"/>
  <c r="L40" i="40" a="1"/>
  <c r="H13" i="81" a="1"/>
  <c r="F54" i="40" a="1"/>
  <c r="L30" i="76" a="1"/>
  <c r="G20" i="76" a="1"/>
  <c r="E29" i="25" a="1"/>
  <c r="I29" i="25" a="1"/>
  <c r="L29" i="25" a="1"/>
  <c r="J29" i="25" a="1"/>
  <c r="F29" i="25" a="1"/>
  <c r="H29" i="25" a="1"/>
  <c r="G29" i="25" a="1"/>
  <c r="K29" i="25" a="1"/>
  <c r="H6" i="7" a="1"/>
  <c r="G21" i="88" a="1"/>
  <c r="I19" i="64" a="1"/>
  <c r="C27" i="75" a="1"/>
  <c r="H10" i="76" a="1"/>
  <c r="L13" i="58" a="1"/>
  <c r="M51" i="40" a="1"/>
  <c r="J24" i="75" a="1"/>
  <c r="E18" i="40" a="1"/>
  <c r="I18" i="75" a="1"/>
  <c r="D24" i="76" a="1"/>
  <c r="D23" i="40" a="1"/>
  <c r="F53" i="40" a="1"/>
  <c r="J52" i="40" a="1"/>
  <c r="H31" i="58" a="1"/>
  <c r="F26" i="76" a="1"/>
  <c r="E26" i="58" a="1"/>
  <c r="F45" i="40" a="1"/>
  <c r="H10" i="83" a="1"/>
  <c r="C24" i="40" a="1"/>
  <c r="H86" i="87" a="1"/>
  <c r="G18" i="77" a="1"/>
  <c r="K53" i="40" a="1"/>
  <c r="D38" i="40" a="1"/>
  <c r="C33" i="58" a="1"/>
  <c r="D11" i="40" a="1"/>
  <c r="F52" i="40" a="1"/>
  <c r="D14" i="75" a="1"/>
  <c r="H26" i="76" a="1"/>
  <c r="C11" i="40" a="1"/>
  <c r="E24" i="58" a="1"/>
  <c r="L9" i="76" a="1"/>
  <c r="D31" i="75" a="1"/>
  <c r="H53" i="40" a="1"/>
  <c r="F12" i="76" a="1"/>
  <c r="L23" i="58" a="1"/>
  <c r="L51" i="40" a="1"/>
  <c r="L13" i="86" a="1"/>
  <c r="D82" i="7" a="1"/>
  <c r="G22" i="7" a="1"/>
  <c r="J13" i="76" a="1"/>
  <c r="I21" i="75" a="1"/>
  <c r="H24" i="76" a="1"/>
  <c r="C30" i="75" a="1"/>
  <c r="F20" i="25" a="1"/>
  <c r="G20" i="25" a="1"/>
  <c r="I20" i="25" a="1"/>
  <c r="L20" i="25" a="1"/>
  <c r="K20" i="25" a="1"/>
  <c r="E20" i="25" a="1"/>
  <c r="H20" i="25" a="1"/>
  <c r="N20" i="25" a="1"/>
  <c r="J20" i="25" a="1"/>
  <c r="O20" i="25" a="1"/>
  <c r="P20" i="25" a="1"/>
  <c r="H82" i="7" a="1"/>
  <c r="G53" i="40" a="1"/>
  <c r="H51" i="40" a="1"/>
  <c r="D47" i="40" a="1"/>
  <c r="C9" i="40" a="1"/>
  <c r="C19" i="40" a="1"/>
  <c r="F13" i="76" a="1"/>
  <c r="C16" i="40" a="1"/>
  <c r="L23" i="76" a="1"/>
  <c r="J11" i="75" a="1"/>
  <c r="E17" i="40" a="1"/>
  <c r="E10" i="40" a="1"/>
  <c r="C13" i="58" a="1"/>
  <c r="J19" i="75" a="1"/>
  <c r="J32" i="76" a="1"/>
  <c r="B23" i="40" a="1"/>
  <c r="B11" i="40" a="1"/>
  <c r="E28" i="58" a="1"/>
  <c r="G12" i="77" a="1"/>
  <c r="L24" i="64" a="1"/>
  <c r="H18" i="76" a="1"/>
  <c r="C31" i="58" a="1"/>
  <c r="E10" i="58" a="1"/>
  <c r="C25" i="40" a="1"/>
  <c r="E47" i="40" a="1"/>
  <c r="I38" i="40" a="1"/>
  <c r="D32" i="75" a="1"/>
  <c r="I51" i="40" a="1"/>
  <c r="F18" i="76" a="1"/>
  <c r="J27" i="76" a="1"/>
  <c r="J39" i="40" a="1"/>
  <c r="C48" i="40" a="1"/>
  <c r="G23" i="76" a="1"/>
  <c r="I54" i="40" a="1"/>
  <c r="F21" i="88" a="1"/>
  <c r="H12" i="58" a="1"/>
  <c r="E22" i="40" a="1"/>
  <c r="G52" i="40" a="1"/>
  <c r="C40" i="40" a="1"/>
  <c r="G19" i="76" a="1"/>
  <c r="E23" i="40" a="1"/>
  <c r="I33" i="75" a="1"/>
  <c r="D43" i="40" a="1"/>
  <c r="H24" i="64" a="1"/>
  <c r="D54" i="40" a="1"/>
  <c r="C17" i="40" a="1"/>
  <c r="C19" i="64" a="1"/>
  <c r="H28" i="58" a="1"/>
  <c r="I40" i="40" a="1"/>
  <c r="G27" i="76" a="1"/>
  <c r="H31" i="25" a="1"/>
  <c r="E31" i="25" a="1"/>
  <c r="K31" i="25" a="1"/>
  <c r="L31" i="25" a="1"/>
  <c r="G31" i="25" a="1"/>
  <c r="F31" i="25" a="1"/>
  <c r="I31" i="25" a="1"/>
  <c r="J31" i="25" a="1"/>
  <c r="E19" i="25" a="1"/>
  <c r="L19" i="25" a="1"/>
  <c r="G19" i="25" a="1"/>
  <c r="N19" i="25" a="1"/>
  <c r="P19" i="25" a="1"/>
  <c r="F19" i="25" a="1"/>
  <c r="K19" i="25" a="1"/>
  <c r="J19" i="25" a="1"/>
  <c r="O19" i="25" a="1"/>
  <c r="H19" i="25" a="1"/>
  <c r="I19" i="25" a="1"/>
  <c r="H22" i="7" a="1"/>
  <c r="J51" i="40" a="1"/>
  <c r="I50" i="40" a="1"/>
  <c r="C15" i="40" a="1"/>
  <c r="L52" i="40" a="1"/>
  <c r="H40" i="40" a="1"/>
  <c r="J9" i="58" a="1"/>
  <c r="F24" i="76" a="1"/>
  <c r="D20" i="75" a="1"/>
  <c r="B21" i="40" a="1"/>
  <c r="J17" i="75" a="1"/>
  <c r="L12" i="76" a="1"/>
  <c r="J25" i="75" a="1"/>
  <c r="H33" i="58" a="1"/>
  <c r="B13" i="40" a="1"/>
  <c r="G19" i="77" a="1"/>
  <c r="H23" i="58" a="1"/>
  <c r="C23" i="40" a="1"/>
  <c r="H18" i="58" a="1"/>
  <c r="B10" i="40" a="1"/>
  <c r="H19" i="58" a="1"/>
  <c r="H13" i="85" a="1"/>
  <c r="G44" i="40" a="1"/>
  <c r="L53" i="40" a="1"/>
  <c r="K40" i="40" a="1"/>
  <c r="L18" i="58" a="1"/>
  <c r="L27" i="58" a="1"/>
  <c r="M38" i="40" a="1"/>
  <c r="I52" i="40" a="1"/>
  <c r="K52" i="40" a="1"/>
  <c r="C14" i="75" a="1"/>
  <c r="D44" i="40" a="1"/>
  <c r="L44" i="40" a="1"/>
  <c r="H9" i="58" a="1"/>
  <c r="C50" i="40" a="1"/>
  <c r="K46" i="40" a="1"/>
  <c r="C22" i="40" a="1"/>
  <c r="P25" i="25" a="1"/>
  <c r="J25" i="25" a="1"/>
  <c r="O25" i="25" a="1"/>
  <c r="E25" i="25" a="1"/>
  <c r="K25" i="25" a="1"/>
  <c r="G25" i="25" a="1"/>
  <c r="L25" i="25" a="1"/>
  <c r="H25" i="25" a="1"/>
  <c r="I25" i="25" a="1"/>
  <c r="N25" i="25" a="1"/>
  <c r="F25" i="25" a="1"/>
  <c r="H21" i="25" a="1"/>
  <c r="F21" i="25" a="1"/>
  <c r="L21" i="25" a="1"/>
  <c r="E21" i="25" a="1"/>
  <c r="O21" i="25" a="1"/>
  <c r="J21" i="25" a="1"/>
  <c r="K21" i="25" a="1"/>
  <c r="G21" i="25" a="1"/>
  <c r="P21" i="25" a="1"/>
  <c r="I21" i="25" a="1"/>
  <c r="N21" i="25" a="1"/>
  <c r="H83" i="7" a="1"/>
  <c r="D6" i="7" a="1"/>
  <c r="G26" i="77" a="1"/>
  <c r="C12" i="58" a="1"/>
  <c r="B25" i="40" a="1"/>
  <c r="I28" i="75" a="1"/>
  <c r="J44" i="40" a="1"/>
  <c r="F39" i="40" a="1"/>
  <c r="G17" i="76" a="1"/>
  <c r="M53" i="40" a="1"/>
  <c r="D85" i="87" a="1"/>
  <c r="E46" i="40" a="1"/>
  <c r="C17" i="75" a="1"/>
  <c r="J40" i="40" a="1"/>
  <c r="F11" i="76" a="1"/>
  <c r="D20" i="76" a="1"/>
  <c r="D16" i="40" a="1"/>
  <c r="M50" i="40" a="1"/>
  <c r="B17" i="40" a="1"/>
  <c r="H21" i="64" a="1"/>
  <c r="D30" i="76" a="1"/>
  <c r="C43" i="40" a="1"/>
  <c r="L27" i="76" a="1"/>
  <c r="E42" i="40" a="1"/>
  <c r="E27" i="58" a="1"/>
  <c r="C18" i="75" a="1"/>
  <c r="C32" i="75" a="1"/>
  <c r="L13" i="84" a="1"/>
  <c r="L10" i="85" a="1"/>
  <c r="L32" i="76" a="1"/>
  <c r="C25" i="75" a="1"/>
  <c r="G28" i="76" a="1"/>
  <c r="D13" i="40" a="1"/>
  <c r="E12" i="64" a="1"/>
  <c r="E51" i="40" a="1"/>
  <c r="L25" i="58" a="1"/>
  <c r="L10" i="58" a="1"/>
  <c r="F28" i="76" a="1"/>
  <c r="J42" i="40" a="1"/>
  <c r="C26" i="75" a="1"/>
  <c r="J28" i="76" a="1"/>
  <c r="B16" i="40" a="1"/>
  <c r="H50" i="40" a="1"/>
  <c r="B14" i="40" a="1"/>
  <c r="H11" i="58" a="1"/>
  <c r="L42" i="40" a="1"/>
  <c r="F25" i="76" a="1"/>
  <c r="G9" i="76" a="1"/>
  <c r="G42" i="40" a="1"/>
  <c r="G51" i="40" a="1"/>
  <c r="F48" i="40" a="1"/>
  <c r="J20" i="75" a="1"/>
  <c r="D46" i="40" a="1"/>
  <c r="D33" i="76" a="1"/>
  <c r="B61" i="26" a="1"/>
  <c r="C85" i="87" a="1"/>
  <c r="J86" i="87" a="1"/>
  <c r="F85" i="87" a="1"/>
  <c r="D6" i="7" l="1"/>
  <c r="H83" i="7"/>
  <c r="N21" i="25"/>
  <c r="I21" i="25"/>
  <c r="P21" i="25"/>
  <c r="G21" i="25"/>
  <c r="K21" i="25"/>
  <c r="J21" i="25"/>
  <c r="O21" i="25"/>
  <c r="E21" i="25"/>
  <c r="M21" i="25" s="1"/>
  <c r="L21" i="25"/>
  <c r="F21" i="25"/>
  <c r="H21" i="25"/>
  <c r="F25" i="25"/>
  <c r="N25" i="25"/>
  <c r="I25" i="25"/>
  <c r="H25" i="25"/>
  <c r="L25" i="25"/>
  <c r="G25" i="25"/>
  <c r="K25" i="25"/>
  <c r="E25" i="25"/>
  <c r="M25" i="25" s="1"/>
  <c r="O25" i="25"/>
  <c r="J25" i="25"/>
  <c r="P25" i="25"/>
  <c r="H22" i="7"/>
  <c r="I19" i="25"/>
  <c r="H19" i="25"/>
  <c r="O19" i="25"/>
  <c r="J19" i="25"/>
  <c r="K19" i="25"/>
  <c r="F19" i="25"/>
  <c r="P19" i="25"/>
  <c r="N19" i="25"/>
  <c r="G19" i="25"/>
  <c r="L19" i="25"/>
  <c r="E19" i="25"/>
  <c r="M19" i="25" s="1"/>
  <c r="J31" i="25"/>
  <c r="I31" i="25"/>
  <c r="F31" i="25"/>
  <c r="G31" i="25"/>
  <c r="L31" i="25"/>
  <c r="K31" i="25"/>
  <c r="E31" i="25"/>
  <c r="M31" i="25" s="1"/>
  <c r="H31" i="25"/>
  <c r="H82" i="7"/>
  <c r="P20" i="25"/>
  <c r="O20" i="25"/>
  <c r="J20" i="25"/>
  <c r="N20" i="25"/>
  <c r="H20" i="25"/>
  <c r="E20" i="25"/>
  <c r="M20" i="25" s="1"/>
  <c r="K20" i="25"/>
  <c r="L20" i="25"/>
  <c r="I20" i="25"/>
  <c r="G20" i="25"/>
  <c r="F20" i="25"/>
  <c r="G22" i="7"/>
  <c r="D82" i="7"/>
  <c r="G21" i="88"/>
  <c r="H6" i="7"/>
  <c r="K29" i="25"/>
  <c r="G29" i="25"/>
  <c r="H29" i="25"/>
  <c r="F29" i="25"/>
  <c r="J29" i="25"/>
  <c r="L29" i="25"/>
  <c r="I29" i="25"/>
  <c r="E29" i="25"/>
  <c r="M29" i="25" s="1"/>
  <c r="E18" i="25"/>
  <c r="M18" i="25" s="1"/>
  <c r="G18" i="25"/>
  <c r="P18" i="25"/>
  <c r="N18" i="25"/>
  <c r="L18" i="25"/>
  <c r="J18" i="25"/>
  <c r="F18" i="25"/>
  <c r="K18" i="25"/>
  <c r="O18" i="25"/>
  <c r="I18" i="25"/>
  <c r="H18" i="25"/>
  <c r="N16" i="25"/>
  <c r="L16" i="25"/>
  <c r="H16" i="25"/>
  <c r="F16" i="25"/>
  <c r="G16" i="25"/>
  <c r="J16" i="25"/>
  <c r="I16" i="25"/>
  <c r="K16" i="25"/>
  <c r="O16" i="25"/>
  <c r="P16" i="25"/>
  <c r="E16" i="25"/>
  <c r="M16" i="25" s="1"/>
  <c r="J33" i="25"/>
  <c r="K33" i="25"/>
  <c r="I33" i="25"/>
  <c r="F33" i="25"/>
  <c r="G33" i="25"/>
  <c r="E33" i="25"/>
  <c r="M33" i="25" s="1"/>
  <c r="L33" i="25"/>
  <c r="H33" i="25"/>
  <c r="F82" i="7"/>
  <c r="E82" i="7"/>
  <c r="P28" i="25"/>
  <c r="E28" i="25"/>
  <c r="M28" i="25" s="1"/>
  <c r="O28" i="25"/>
  <c r="N28" i="25"/>
  <c r="K28" i="25"/>
  <c r="H28" i="25"/>
  <c r="J28" i="25"/>
  <c r="I28" i="25"/>
  <c r="F28" i="25"/>
  <c r="G28" i="25"/>
  <c r="L28" i="25"/>
  <c r="I32" i="25"/>
  <c r="F32" i="25"/>
  <c r="L32" i="25"/>
  <c r="H32" i="25"/>
  <c r="J32" i="25"/>
  <c r="G32" i="25"/>
  <c r="K32" i="25"/>
  <c r="E32" i="25"/>
  <c r="M32" i="25" s="1"/>
  <c r="P26" i="25"/>
  <c r="H26" i="25"/>
  <c r="N26" i="25"/>
  <c r="F26" i="25"/>
  <c r="J26" i="25"/>
  <c r="K26" i="25"/>
  <c r="O26" i="25"/>
  <c r="G26" i="25"/>
  <c r="E26" i="25"/>
  <c r="M26" i="25" s="1"/>
  <c r="I26" i="25"/>
  <c r="L26" i="25"/>
  <c r="I34" i="25"/>
  <c r="K34" i="25"/>
  <c r="E34" i="25"/>
  <c r="M34" i="25" s="1"/>
  <c r="F34" i="25"/>
  <c r="L34" i="25"/>
  <c r="H34" i="25"/>
  <c r="G34" i="25"/>
  <c r="J34" i="25"/>
  <c r="E6" i="7"/>
  <c r="I30" i="25"/>
  <c r="K30" i="25"/>
  <c r="E30" i="25"/>
  <c r="M30" i="25" s="1"/>
  <c r="J30" i="25"/>
  <c r="G30" i="25"/>
  <c r="L30" i="25"/>
  <c r="H30" i="25"/>
  <c r="F30" i="25"/>
  <c r="N23" i="25"/>
  <c r="J23" i="25"/>
  <c r="L23" i="25"/>
  <c r="P23" i="25"/>
  <c r="F23" i="25"/>
  <c r="H23" i="25"/>
  <c r="G23" i="25"/>
  <c r="I23" i="25"/>
  <c r="K23" i="25"/>
  <c r="E23" i="25"/>
  <c r="M23" i="25" s="1"/>
  <c r="O23" i="25"/>
  <c r="J15" i="25"/>
  <c r="F15" i="25"/>
  <c r="E15" i="25"/>
  <c r="M15" i="25" s="1"/>
  <c r="G15" i="25"/>
  <c r="P15" i="25"/>
  <c r="O15" i="25"/>
  <c r="H15" i="25"/>
  <c r="I15" i="25"/>
  <c r="K15" i="25"/>
  <c r="L15" i="25"/>
  <c r="N15" i="25"/>
  <c r="J17" i="25"/>
  <c r="P17" i="25"/>
  <c r="K17" i="25"/>
  <c r="H17" i="25"/>
  <c r="I17" i="25"/>
  <c r="G17" i="25"/>
  <c r="L17" i="25"/>
  <c r="N17" i="25"/>
  <c r="E17" i="25"/>
  <c r="M17" i="25" s="1"/>
  <c r="F17" i="25"/>
  <c r="O17" i="25"/>
  <c r="G83" i="7"/>
  <c r="F22" i="7"/>
  <c r="E22" i="7"/>
  <c r="C88" i="87"/>
  <c r="H14" i="25"/>
  <c r="K14" i="25"/>
  <c r="G14" i="25"/>
  <c r="L14" i="25"/>
  <c r="F14" i="25"/>
  <c r="O14" i="25"/>
  <c r="N14" i="25"/>
  <c r="P14" i="25"/>
  <c r="I14" i="25"/>
  <c r="J14" i="25"/>
  <c r="E14" i="25"/>
  <c r="M14" i="25" s="1"/>
  <c r="G6" i="7"/>
  <c r="D83" i="7"/>
  <c r="F83" i="7"/>
  <c r="E83" i="7"/>
  <c r="I13" i="25"/>
  <c r="L13" i="25"/>
  <c r="P13" i="25"/>
  <c r="O13" i="25"/>
  <c r="G13" i="25"/>
  <c r="K13" i="25"/>
  <c r="J13" i="25"/>
  <c r="N13" i="25"/>
  <c r="H13" i="25"/>
  <c r="F13" i="25"/>
  <c r="E13" i="25"/>
  <c r="M13" i="25" s="1"/>
  <c r="G82" i="7"/>
  <c r="D22" i="7"/>
  <c r="F6" i="7"/>
  <c r="E22" i="25"/>
  <c r="M22" i="25" s="1"/>
  <c r="G22" i="25"/>
  <c r="H22" i="25"/>
  <c r="I22" i="25"/>
  <c r="P22" i="25"/>
  <c r="J22" i="25"/>
  <c r="F22" i="25"/>
  <c r="O22" i="25"/>
  <c r="L22" i="25"/>
  <c r="K22" i="25"/>
  <c r="N22" i="25"/>
  <c r="P24" i="25"/>
  <c r="J24" i="25"/>
  <c r="H24" i="25"/>
  <c r="G24" i="25"/>
  <c r="O24" i="25"/>
  <c r="E24" i="25"/>
  <c r="M24" i="25" s="1"/>
  <c r="F24" i="25"/>
  <c r="I24" i="25"/>
  <c r="L24" i="25"/>
  <c r="K24" i="25"/>
  <c r="N24" i="25"/>
  <c r="P27" i="25"/>
  <c r="N27" i="25"/>
  <c r="J27" i="25"/>
  <c r="K27" i="25"/>
  <c r="F27" i="25"/>
  <c r="E27" i="25"/>
  <c r="M27" i="25" s="1"/>
  <c r="O27" i="25"/>
  <c r="I27" i="25"/>
  <c r="H27" i="25"/>
  <c r="G27" i="25"/>
  <c r="L27" i="25"/>
  <c r="O51" i="38"/>
  <c r="M51" i="38"/>
  <c r="N51" i="38"/>
  <c r="P51" i="38"/>
  <c r="Q51" i="38"/>
  <c r="J27" i="72"/>
  <c r="D16" i="7"/>
  <c r="D18" i="7" s="1"/>
  <c r="C53" i="1"/>
  <c r="K37" i="87"/>
  <c r="AF10" i="26"/>
  <c r="T10" i="26"/>
  <c r="H29" i="26"/>
  <c r="H238" i="13"/>
  <c r="H242" i="13" s="1"/>
  <c r="F127" i="13"/>
  <c r="F129" i="13"/>
  <c r="H7" i="94"/>
  <c r="D186" i="13"/>
  <c r="D187" i="13"/>
  <c r="H74" i="13"/>
  <c r="H225" i="13"/>
  <c r="H246" i="13" s="1"/>
  <c r="L27" i="73"/>
  <c r="B83" i="13"/>
  <c r="B94" i="13" s="1"/>
  <c r="T9" i="27"/>
  <c r="AF9" i="27"/>
  <c r="H26" i="27"/>
  <c r="J74" i="13"/>
  <c r="J225" i="13"/>
  <c r="J246" i="13" s="1"/>
  <c r="D43" i="38"/>
  <c r="D44" i="38" s="1"/>
  <c r="D50" i="34"/>
  <c r="E51" i="34" s="1"/>
  <c r="D32" i="1"/>
  <c r="F48" i="88"/>
  <c r="E48" i="88"/>
  <c r="F50" i="88"/>
  <c r="D41" i="13"/>
  <c r="D42" i="13"/>
  <c r="G187" i="13"/>
  <c r="G186" i="13"/>
  <c r="M14" i="34"/>
  <c r="N85" i="34"/>
  <c r="I31" i="26"/>
  <c r="U12" i="26"/>
  <c r="D238" i="13"/>
  <c r="D242" i="13" s="1"/>
  <c r="D237" i="13"/>
  <c r="D241" i="13" s="1"/>
  <c r="G129" i="13"/>
  <c r="G127" i="13"/>
  <c r="D108" i="13"/>
  <c r="Z21" i="27"/>
  <c r="Z21" i="26"/>
  <c r="H48" i="88"/>
  <c r="F50" i="34"/>
  <c r="F51" i="34" s="1"/>
  <c r="F43" i="38"/>
  <c r="F44" i="38" s="1"/>
  <c r="F54" i="34"/>
  <c r="A86" i="1"/>
  <c r="A84" i="1"/>
  <c r="A85" i="1"/>
  <c r="A87" i="1"/>
  <c r="A94" i="1"/>
  <c r="F4" i="94"/>
  <c r="C55" i="1"/>
  <c r="D55" i="1"/>
  <c r="E83" i="13"/>
  <c r="E94" i="13" s="1"/>
  <c r="F83" i="13"/>
  <c r="F94" i="13" s="1"/>
  <c r="B186" i="13"/>
  <c r="B187" i="13"/>
  <c r="E187" i="13"/>
  <c r="E186" i="13"/>
  <c r="D25" i="27"/>
  <c r="D88" i="1"/>
  <c r="F187" i="13"/>
  <c r="F186" i="13"/>
  <c r="B129" i="13"/>
  <c r="B125" i="13"/>
  <c r="G237" i="13"/>
  <c r="G241" i="13" s="1"/>
  <c r="G238" i="13"/>
  <c r="G242" i="13" s="1"/>
  <c r="C186" i="13"/>
  <c r="C187" i="13"/>
  <c r="I29" i="27"/>
  <c r="U12" i="27"/>
  <c r="T9" i="26"/>
  <c r="AF9" i="26"/>
  <c r="H28" i="26"/>
  <c r="H52" i="26"/>
  <c r="H108" i="13"/>
  <c r="D47" i="27"/>
  <c r="D53" i="1"/>
  <c r="H187" i="13"/>
  <c r="H186" i="13"/>
  <c r="I237" i="13"/>
  <c r="I241" i="13" s="1"/>
  <c r="I24" i="22"/>
  <c r="E41" i="20"/>
  <c r="I48" i="88"/>
  <c r="I50" i="88"/>
  <c r="H50" i="88"/>
  <c r="H42" i="88"/>
  <c r="D96" i="1"/>
  <c r="D51" i="34"/>
  <c r="F42" i="26"/>
  <c r="I18" i="38"/>
  <c r="L42" i="88"/>
  <c r="L50" i="88"/>
  <c r="H27" i="72"/>
  <c r="J5" i="38"/>
  <c r="J10" i="38" s="1"/>
  <c r="J80" i="34"/>
  <c r="AG10" i="26"/>
  <c r="I29" i="26"/>
  <c r="U10" i="26"/>
  <c r="U11" i="26" s="1"/>
  <c r="U13" i="26" s="1"/>
  <c r="U20" i="26" s="1"/>
  <c r="E237" i="13"/>
  <c r="E241" i="13" s="1"/>
  <c r="C96" i="1"/>
  <c r="F42" i="88"/>
  <c r="G50" i="88"/>
  <c r="G42" i="88"/>
  <c r="B225" i="13"/>
  <c r="B246" i="13" s="1"/>
  <c r="B74" i="13"/>
  <c r="J79" i="34"/>
  <c r="J8" i="38" s="1"/>
  <c r="I108" i="13"/>
  <c r="H38" i="7"/>
  <c r="H74" i="7" s="1"/>
  <c r="H88" i="7" s="1"/>
  <c r="H73" i="7"/>
  <c r="H87" i="7" s="1"/>
  <c r="G74" i="13"/>
  <c r="G225" i="13"/>
  <c r="G246" i="13" s="1"/>
  <c r="AE9" i="27"/>
  <c r="G26" i="27"/>
  <c r="S9" i="27"/>
  <c r="E225" i="13"/>
  <c r="E246" i="13" s="1"/>
  <c r="E74" i="13"/>
  <c r="I27" i="72"/>
  <c r="AA10" i="26"/>
  <c r="C29" i="26"/>
  <c r="O10" i="26"/>
  <c r="I225" i="13"/>
  <c r="I246" i="13" s="1"/>
  <c r="I74" i="13"/>
  <c r="Q9" i="26"/>
  <c r="Q11" i="26" s="1"/>
  <c r="Q13" i="26" s="1"/>
  <c r="Q20" i="26" s="1"/>
  <c r="E28" i="26"/>
  <c r="AC9" i="26"/>
  <c r="AC13" i="26" s="1"/>
  <c r="C73" i="7"/>
  <c r="C87" i="7" s="1"/>
  <c r="C38" i="7"/>
  <c r="G73" i="7"/>
  <c r="G87" i="7" s="1"/>
  <c r="G38" i="7"/>
  <c r="G74" i="7" s="1"/>
  <c r="G88" i="7" s="1"/>
  <c r="K27" i="73"/>
  <c r="G260" i="13"/>
  <c r="G262" i="13"/>
  <c r="E69" i="26"/>
  <c r="B58" i="13"/>
  <c r="B62" i="13" s="1"/>
  <c r="G25" i="27"/>
  <c r="G47" i="27"/>
  <c r="AE7" i="27"/>
  <c r="F50" i="20"/>
  <c r="F51" i="20" s="1"/>
  <c r="D52" i="1"/>
  <c r="I187" i="13"/>
  <c r="I186" i="13"/>
  <c r="C75" i="7"/>
  <c r="C89" i="7" s="1"/>
  <c r="C80" i="7"/>
  <c r="C95" i="7" s="1"/>
  <c r="J42" i="88"/>
  <c r="K42" i="88"/>
  <c r="K50" i="88"/>
  <c r="G44" i="38"/>
  <c r="AA10" i="27"/>
  <c r="O10" i="27"/>
  <c r="AC9" i="27"/>
  <c r="Q9" i="27"/>
  <c r="E27" i="73"/>
  <c r="U10" i="27"/>
  <c r="I27" i="27"/>
  <c r="G108" i="13"/>
  <c r="D75" i="7"/>
  <c r="D89" i="7" s="1"/>
  <c r="D80" i="7"/>
  <c r="D95" i="7" s="1"/>
  <c r="E8" i="41"/>
  <c r="Y23" i="41"/>
  <c r="E22" i="3"/>
  <c r="C50" i="88"/>
  <c r="C42" i="88"/>
  <c r="G50" i="34"/>
  <c r="D94" i="13"/>
  <c r="H4" i="94"/>
  <c r="I129" i="13"/>
  <c r="A26" i="40"/>
  <c r="P12" i="23" a="1"/>
  <c r="P13" i="23" s="1"/>
  <c r="F42" i="20"/>
  <c r="E37" i="87"/>
  <c r="D54" i="34"/>
  <c r="D50" i="88"/>
  <c r="D48" i="88"/>
  <c r="D22" i="3"/>
  <c r="D27" i="3" s="1"/>
  <c r="I84" i="1"/>
  <c r="C84" i="1" s="1"/>
  <c r="I94" i="1"/>
  <c r="K27" i="72"/>
  <c r="G27" i="73"/>
  <c r="F27" i="73"/>
  <c r="D29" i="27"/>
  <c r="P12" i="27"/>
  <c r="C74" i="13"/>
  <c r="C225" i="13"/>
  <c r="C246" i="13" s="1"/>
  <c r="F237" i="13"/>
  <c r="F241" i="13" s="1"/>
  <c r="J18" i="38"/>
  <c r="Q12" i="26"/>
  <c r="E31" i="26"/>
  <c r="D74" i="13"/>
  <c r="D225" i="13"/>
  <c r="D246" i="13" s="1"/>
  <c r="C108" i="13"/>
  <c r="F74" i="13"/>
  <c r="F225" i="13"/>
  <c r="F246" i="13" s="1"/>
  <c r="D29" i="3"/>
  <c r="A12" i="40"/>
  <c r="O11" i="26"/>
  <c r="J48" i="88"/>
  <c r="K48" i="88"/>
  <c r="H83" i="13"/>
  <c r="H94" i="13" s="1"/>
  <c r="C48" i="88"/>
  <c r="L27" i="72"/>
  <c r="J76" i="34"/>
  <c r="G83" i="13"/>
  <c r="G94" i="13" s="1"/>
  <c r="A20" i="40"/>
  <c r="H111" i="87"/>
  <c r="F260" i="13"/>
  <c r="G44" i="87"/>
  <c r="H23" i="76"/>
  <c r="G25" i="77"/>
  <c r="D32" i="76"/>
  <c r="G12" i="77"/>
  <c r="G40" i="77" s="1"/>
  <c r="C20" i="75"/>
  <c r="F26" i="76"/>
  <c r="F46" i="76" s="1"/>
  <c r="I23" i="75"/>
  <c r="C19" i="75"/>
  <c r="C23" i="75"/>
  <c r="I28" i="75"/>
  <c r="H10" i="76"/>
  <c r="I14" i="75"/>
  <c r="C30" i="75"/>
  <c r="I10" i="75"/>
  <c r="I38" i="75" s="1"/>
  <c r="F18" i="76"/>
  <c r="G23" i="77"/>
  <c r="G9" i="94" s="1"/>
  <c r="I19" i="75"/>
  <c r="D33" i="76"/>
  <c r="H15" i="64"/>
  <c r="F11" i="76"/>
  <c r="D30" i="76"/>
  <c r="D9" i="76"/>
  <c r="H12" i="76"/>
  <c r="H40" i="76" s="1"/>
  <c r="L12" i="64"/>
  <c r="C26" i="75"/>
  <c r="C46" i="75" s="1"/>
  <c r="J12" i="76"/>
  <c r="J26" i="76"/>
  <c r="J46" i="76" s="1"/>
  <c r="G11" i="77"/>
  <c r="G39" i="77" s="1"/>
  <c r="F27" i="76"/>
  <c r="C9" i="75"/>
  <c r="I21" i="75"/>
  <c r="F23" i="76"/>
  <c r="F24" i="76"/>
  <c r="C27" i="75"/>
  <c r="I33" i="75"/>
  <c r="D18" i="76"/>
  <c r="H14" i="76"/>
  <c r="H25" i="76"/>
  <c r="D26" i="76"/>
  <c r="D46" i="76" s="1"/>
  <c r="E13" i="84"/>
  <c r="F12" i="76"/>
  <c r="I17" i="75"/>
  <c r="C17" i="75"/>
  <c r="G17" i="77"/>
  <c r="F13" i="76"/>
  <c r="J9" i="76"/>
  <c r="D19" i="76"/>
  <c r="F28" i="76"/>
  <c r="D27" i="76"/>
  <c r="D38" i="87" s="1"/>
  <c r="J30" i="76"/>
  <c r="D21" i="76"/>
  <c r="G19" i="64"/>
  <c r="G10" i="77"/>
  <c r="D12" i="76"/>
  <c r="D40" i="76" s="1"/>
  <c r="C25" i="75"/>
  <c r="C45" i="75" s="1"/>
  <c r="I11" i="75"/>
  <c r="I39" i="75" s="1"/>
  <c r="H18" i="76"/>
  <c r="H20" i="76"/>
  <c r="G20" i="77"/>
  <c r="C18" i="75"/>
  <c r="G30" i="77"/>
  <c r="F30" i="76"/>
  <c r="D11" i="76"/>
  <c r="H30" i="76"/>
  <c r="F17" i="76"/>
  <c r="E10" i="81"/>
  <c r="C14" i="75"/>
  <c r="F19" i="76"/>
  <c r="G18" i="77"/>
  <c r="D20" i="76"/>
  <c r="J23" i="76"/>
  <c r="E13" i="81"/>
  <c r="H27" i="76"/>
  <c r="F25" i="76"/>
  <c r="I13" i="75"/>
  <c r="I37" i="87" s="1"/>
  <c r="H17" i="76"/>
  <c r="G31" i="77"/>
  <c r="G14" i="77"/>
  <c r="J27" i="76"/>
  <c r="H24" i="76"/>
  <c r="C10" i="75"/>
  <c r="C38" i="75" s="1"/>
  <c r="C41" i="75" s="1"/>
  <c r="G19" i="77"/>
  <c r="G27" i="77"/>
  <c r="G48" i="87" s="1"/>
  <c r="J28" i="76"/>
  <c r="I30" i="75"/>
  <c r="I18" i="75"/>
  <c r="J11" i="76"/>
  <c r="J39" i="76" s="1"/>
  <c r="J13" i="76"/>
  <c r="J24" i="76"/>
  <c r="I32" i="75"/>
  <c r="H26" i="76"/>
  <c r="H46" i="76" s="1"/>
  <c r="C32" i="75"/>
  <c r="H13" i="83"/>
  <c r="J32" i="76"/>
  <c r="D24" i="76"/>
  <c r="D44" i="76" s="1"/>
  <c r="G9" i="77"/>
  <c r="F9" i="94" s="1"/>
  <c r="H9" i="94" s="1"/>
  <c r="D23" i="76"/>
  <c r="D14" i="76"/>
  <c r="H9" i="76"/>
  <c r="F8" i="94" s="1"/>
  <c r="H8" i="94" s="1"/>
  <c r="G26" i="77"/>
  <c r="G46" i="77" s="1"/>
  <c r="C111" i="87"/>
  <c r="F74" i="7"/>
  <c r="F88" i="7" s="1"/>
  <c r="F58" i="7"/>
  <c r="D74" i="7"/>
  <c r="D88" i="7" s="1"/>
  <c r="D58" i="7"/>
  <c r="B260" i="13"/>
  <c r="B262" i="13"/>
  <c r="D85" i="1"/>
  <c r="C85" i="1"/>
  <c r="C94" i="1"/>
  <c r="D94" i="1"/>
  <c r="D84" i="1"/>
  <c r="E74" i="7"/>
  <c r="E58" i="7"/>
  <c r="G32" i="72"/>
  <c r="B17" i="91"/>
  <c r="B35" i="91" s="1"/>
  <c r="B24" i="91"/>
  <c r="M50" i="34"/>
  <c r="D6" i="91" s="1"/>
  <c r="E46" i="91" s="1"/>
  <c r="C6" i="91"/>
  <c r="D46" i="91" s="1"/>
  <c r="J111" i="87"/>
  <c r="B27" i="27"/>
  <c r="Z10" i="27"/>
  <c r="N10" i="27"/>
  <c r="G111" i="87"/>
  <c r="E15" i="64"/>
  <c r="E13" i="83"/>
  <c r="E10" i="86"/>
  <c r="E12" i="64"/>
  <c r="E13" i="85"/>
  <c r="E21" i="21"/>
  <c r="E21" i="64"/>
  <c r="E10" i="64"/>
  <c r="E16" i="64"/>
  <c r="E13" i="86"/>
  <c r="E10" i="84"/>
  <c r="E10" i="85"/>
  <c r="E24" i="64"/>
  <c r="E10" i="83"/>
  <c r="I46" i="87"/>
  <c r="F111" i="87"/>
  <c r="F38" i="87"/>
  <c r="C112" i="87"/>
  <c r="K46" i="87"/>
  <c r="I38" i="87"/>
  <c r="F78" i="87"/>
  <c r="F110" i="87"/>
  <c r="D85" i="87"/>
  <c r="J85" i="87"/>
  <c r="H17" i="58"/>
  <c r="J33" i="58"/>
  <c r="J110" i="87" s="1"/>
  <c r="L21" i="64"/>
  <c r="L8" i="64"/>
  <c r="E20" i="58"/>
  <c r="E13" i="58"/>
  <c r="E10" i="58"/>
  <c r="E38" i="58" s="1"/>
  <c r="H24" i="58"/>
  <c r="J26" i="58"/>
  <c r="E19" i="58"/>
  <c r="H33" i="58"/>
  <c r="H13" i="58"/>
  <c r="H36" i="87" s="1"/>
  <c r="H12" i="58"/>
  <c r="H40" i="58" s="1"/>
  <c r="G86" i="87"/>
  <c r="J86" i="87"/>
  <c r="E86" i="87"/>
  <c r="F85" i="87"/>
  <c r="E9" i="58"/>
  <c r="H9" i="58"/>
  <c r="H23" i="58"/>
  <c r="E17" i="58"/>
  <c r="L13" i="83"/>
  <c r="E11" i="58"/>
  <c r="E39" i="58" s="1"/>
  <c r="E21" i="58"/>
  <c r="E77" i="87" s="1"/>
  <c r="J18" i="58"/>
  <c r="L10" i="84"/>
  <c r="H26" i="58"/>
  <c r="H21" i="58"/>
  <c r="C85" i="87"/>
  <c r="F86" i="87"/>
  <c r="H18" i="58"/>
  <c r="E12" i="58"/>
  <c r="J13" i="58"/>
  <c r="J36" i="87" s="1"/>
  <c r="L13" i="84"/>
  <c r="H32" i="58"/>
  <c r="E24" i="58"/>
  <c r="E44" i="58" s="1"/>
  <c r="E31" i="58"/>
  <c r="E26" i="58"/>
  <c r="H19" i="58"/>
  <c r="L15" i="64"/>
  <c r="L16" i="64"/>
  <c r="L17" i="64" s="1"/>
  <c r="H86" i="87"/>
  <c r="C86" i="87"/>
  <c r="C87" i="87"/>
  <c r="H27" i="58"/>
  <c r="E28" i="58"/>
  <c r="J25" i="58"/>
  <c r="J45" i="58" s="1"/>
  <c r="H30" i="58"/>
  <c r="H28" i="58"/>
  <c r="H11" i="58"/>
  <c r="H39" i="58" s="1"/>
  <c r="J9" i="58"/>
  <c r="J44" i="87" s="1"/>
  <c r="J23" i="58"/>
  <c r="G5" i="94" s="1"/>
  <c r="L24" i="64"/>
  <c r="E27" i="58"/>
  <c r="H31" i="58"/>
  <c r="L21" i="21"/>
  <c r="E18" i="58"/>
  <c r="G257" i="13"/>
  <c r="L51" i="34"/>
  <c r="K111" i="87"/>
  <c r="F257" i="13"/>
  <c r="D110" i="87"/>
  <c r="N5" i="34"/>
  <c r="O5" i="34" s="1"/>
  <c r="P5" i="34" s="1"/>
  <c r="Q5" i="34" s="1"/>
  <c r="M10" i="34"/>
  <c r="C257" i="13"/>
  <c r="E111" i="87"/>
  <c r="I45" i="87"/>
  <c r="F86" i="39"/>
  <c r="H38" i="87"/>
  <c r="E38" i="87"/>
  <c r="F36" i="87"/>
  <c r="F37" i="87"/>
  <c r="C37" i="87"/>
  <c r="T18" i="26"/>
  <c r="E46" i="87"/>
  <c r="F44" i="87"/>
  <c r="C38" i="87"/>
  <c r="C46" i="87"/>
  <c r="H37" i="87"/>
  <c r="D36" i="87"/>
  <c r="L33" i="58"/>
  <c r="H21" i="64"/>
  <c r="L19" i="58"/>
  <c r="H21" i="21"/>
  <c r="C9" i="58"/>
  <c r="L13" i="58"/>
  <c r="C13" i="58"/>
  <c r="C36" i="87" s="1"/>
  <c r="L14" i="58"/>
  <c r="L32" i="58"/>
  <c r="L9" i="58"/>
  <c r="H24" i="64"/>
  <c r="D6" i="94" s="1"/>
  <c r="H13" i="85"/>
  <c r="L17" i="58"/>
  <c r="L23" i="58"/>
  <c r="L13" i="85"/>
  <c r="C18" i="58"/>
  <c r="C28" i="58"/>
  <c r="H13" i="81"/>
  <c r="L21" i="58"/>
  <c r="C33" i="58"/>
  <c r="C110" i="87" s="1"/>
  <c r="C115" i="87" s="1"/>
  <c r="C10" i="58"/>
  <c r="C38" i="58" s="1"/>
  <c r="H16" i="64"/>
  <c r="L12" i="58"/>
  <c r="C11" i="58"/>
  <c r="C39" i="58" s="1"/>
  <c r="L20" i="58"/>
  <c r="L18" i="58"/>
  <c r="C12" i="58"/>
  <c r="C40" i="58" s="1"/>
  <c r="H10" i="64"/>
  <c r="H10" i="84"/>
  <c r="H8" i="64"/>
  <c r="H78" i="87" s="1"/>
  <c r="G33" i="88"/>
  <c r="L11" i="58"/>
  <c r="L39" i="58" s="1"/>
  <c r="H10" i="85"/>
  <c r="L13" i="86"/>
  <c r="L10" i="86"/>
  <c r="L10" i="85"/>
  <c r="H10" i="81"/>
  <c r="L13" i="81"/>
  <c r="L10" i="81"/>
  <c r="C17" i="58"/>
  <c r="F21" i="88"/>
  <c r="L30" i="58"/>
  <c r="L10" i="58"/>
  <c r="L38" i="58" s="1"/>
  <c r="C14" i="58"/>
  <c r="L25" i="58"/>
  <c r="L45" i="58" s="1"/>
  <c r="H10" i="86"/>
  <c r="E21" i="88"/>
  <c r="C31" i="58"/>
  <c r="L27" i="58"/>
  <c r="L24" i="58"/>
  <c r="L44" i="58" s="1"/>
  <c r="H10" i="83"/>
  <c r="E32" i="72"/>
  <c r="E12" i="84"/>
  <c r="G37" i="87"/>
  <c r="C79" i="87"/>
  <c r="E78" i="87"/>
  <c r="K38" i="87"/>
  <c r="K41" i="87" s="1"/>
  <c r="G45" i="87"/>
  <c r="F77" i="87"/>
  <c r="F46" i="87"/>
  <c r="D46" i="87"/>
  <c r="K45" i="87"/>
  <c r="C78" i="87"/>
  <c r="C77" i="87"/>
  <c r="J32" i="73"/>
  <c r="J12" i="85"/>
  <c r="H45" i="87"/>
  <c r="D44" i="87"/>
  <c r="J77" i="87"/>
  <c r="F32" i="72"/>
  <c r="F12" i="84"/>
  <c r="D77" i="87"/>
  <c r="G40" i="87"/>
  <c r="F29" i="88"/>
  <c r="F45" i="87"/>
  <c r="E45" i="87"/>
  <c r="E29" i="88"/>
  <c r="G80" i="87"/>
  <c r="C17" i="64"/>
  <c r="F17" i="64"/>
  <c r="J30" i="75"/>
  <c r="G11" i="76"/>
  <c r="G39" i="76" s="1"/>
  <c r="D21" i="75"/>
  <c r="J11" i="75"/>
  <c r="J39" i="75" s="1"/>
  <c r="D19" i="75"/>
  <c r="J12" i="75"/>
  <c r="J40" i="75" s="1"/>
  <c r="L31" i="76"/>
  <c r="G19" i="76"/>
  <c r="J19" i="75"/>
  <c r="D27" i="75"/>
  <c r="D25" i="75"/>
  <c r="D45" i="75" s="1"/>
  <c r="D23" i="75"/>
  <c r="L28" i="76"/>
  <c r="J25" i="75"/>
  <c r="J45" i="75" s="1"/>
  <c r="D14" i="75"/>
  <c r="L10" i="76"/>
  <c r="L38" i="76" s="1"/>
  <c r="G25" i="76"/>
  <c r="G45" i="76" s="1"/>
  <c r="D13" i="75"/>
  <c r="L17" i="76"/>
  <c r="D33" i="75"/>
  <c r="D32" i="75"/>
  <c r="I19" i="64"/>
  <c r="L23" i="76"/>
  <c r="G8" i="94" s="1"/>
  <c r="G30" i="76"/>
  <c r="G17" i="76"/>
  <c r="G12" i="76"/>
  <c r="G40" i="76" s="1"/>
  <c r="D28" i="75"/>
  <c r="G32" i="76"/>
  <c r="G27" i="76"/>
  <c r="G38" i="87" s="1"/>
  <c r="G23" i="76"/>
  <c r="J20" i="75"/>
  <c r="G26" i="76"/>
  <c r="G46" i="76" s="1"/>
  <c r="G9" i="76"/>
  <c r="J13" i="75"/>
  <c r="J9" i="75"/>
  <c r="J26" i="75"/>
  <c r="J46" i="75" s="1"/>
  <c r="D17" i="75"/>
  <c r="J17" i="75"/>
  <c r="G31" i="76"/>
  <c r="J31" i="75"/>
  <c r="L9" i="76"/>
  <c r="L30" i="76"/>
  <c r="L18" i="76"/>
  <c r="G10" i="76"/>
  <c r="G38" i="76" s="1"/>
  <c r="J23" i="75"/>
  <c r="G28" i="76"/>
  <c r="L11" i="76"/>
  <c r="L39" i="76" s="1"/>
  <c r="L27" i="76"/>
  <c r="L24" i="76"/>
  <c r="L44" i="76" s="1"/>
  <c r="J18" i="75"/>
  <c r="L13" i="76"/>
  <c r="J14" i="75"/>
  <c r="D18" i="75"/>
  <c r="G18" i="76"/>
  <c r="D12" i="75"/>
  <c r="D40" i="75" s="1"/>
  <c r="D41" i="75" s="1"/>
  <c r="J27" i="75"/>
  <c r="D9" i="75"/>
  <c r="J24" i="75"/>
  <c r="J44" i="75" s="1"/>
  <c r="D20" i="75"/>
  <c r="J32" i="75"/>
  <c r="D24" i="75"/>
  <c r="D44" i="75" s="1"/>
  <c r="G24" i="76"/>
  <c r="G44" i="76" s="1"/>
  <c r="D31" i="75"/>
  <c r="L25" i="76"/>
  <c r="L45" i="76" s="1"/>
  <c r="L32" i="76"/>
  <c r="L14" i="76"/>
  <c r="D26" i="75"/>
  <c r="D46" i="75" s="1"/>
  <c r="L12" i="76"/>
  <c r="L40" i="76" s="1"/>
  <c r="G20" i="76"/>
  <c r="J10" i="75"/>
  <c r="J38" i="75" s="1"/>
  <c r="AF13" i="26"/>
  <c r="L34" i="75"/>
  <c r="L35" i="75" s="1"/>
  <c r="I17" i="64"/>
  <c r="J22" i="38"/>
  <c r="E34" i="75"/>
  <c r="E35" i="75" s="1"/>
  <c r="E48" i="20"/>
  <c r="J47" i="77"/>
  <c r="K34" i="75"/>
  <c r="K35" i="75" s="1"/>
  <c r="D17" i="64"/>
  <c r="J21" i="76"/>
  <c r="J29" i="76"/>
  <c r="C43" i="40"/>
  <c r="D43" i="40"/>
  <c r="E43" i="40"/>
  <c r="F43" i="40"/>
  <c r="G43" i="40"/>
  <c r="H43" i="40"/>
  <c r="I43" i="40"/>
  <c r="J43" i="40"/>
  <c r="K43" i="40"/>
  <c r="L43" i="40"/>
  <c r="M43" i="40"/>
  <c r="B14" i="40"/>
  <c r="B43" i="40" s="1"/>
  <c r="C14" i="40"/>
  <c r="D14" i="40"/>
  <c r="E14" i="40"/>
  <c r="C47" i="40"/>
  <c r="D47" i="40"/>
  <c r="E47" i="40"/>
  <c r="F47" i="40"/>
  <c r="G47" i="40"/>
  <c r="H47" i="40"/>
  <c r="I47" i="40"/>
  <c r="J47" i="40"/>
  <c r="K47" i="40"/>
  <c r="L47" i="40"/>
  <c r="M47" i="40"/>
  <c r="B18" i="40"/>
  <c r="B47" i="40" s="1"/>
  <c r="C18" i="40"/>
  <c r="D18" i="40"/>
  <c r="E18" i="40"/>
  <c r="C54" i="40"/>
  <c r="D54" i="40"/>
  <c r="E54" i="40"/>
  <c r="F54" i="40"/>
  <c r="G54" i="40"/>
  <c r="H54" i="40"/>
  <c r="I54" i="40"/>
  <c r="J54" i="40"/>
  <c r="K54" i="40"/>
  <c r="L54" i="40"/>
  <c r="M54" i="40"/>
  <c r="B25" i="40"/>
  <c r="B54" i="40" s="1"/>
  <c r="C25" i="40"/>
  <c r="D25" i="40"/>
  <c r="E25" i="40"/>
  <c r="C19" i="64"/>
  <c r="C53" i="40"/>
  <c r="D53" i="40"/>
  <c r="E53" i="40"/>
  <c r="F53" i="40"/>
  <c r="G53" i="40"/>
  <c r="H53" i="40"/>
  <c r="I53" i="40"/>
  <c r="J53" i="40"/>
  <c r="K53" i="40"/>
  <c r="L53" i="40"/>
  <c r="M53" i="40"/>
  <c r="B24" i="40"/>
  <c r="B53" i="40" s="1"/>
  <c r="C24" i="40"/>
  <c r="D24" i="40"/>
  <c r="E24" i="40"/>
  <c r="B61" i="26"/>
  <c r="C61" i="26"/>
  <c r="D61" i="26"/>
  <c r="E61" i="26"/>
  <c r="F61" i="26"/>
  <c r="H61" i="26"/>
  <c r="I61" i="26"/>
  <c r="G61" i="26"/>
  <c r="C46" i="40"/>
  <c r="D46" i="40"/>
  <c r="E46" i="40"/>
  <c r="F46" i="40"/>
  <c r="G46" i="40"/>
  <c r="H46" i="40"/>
  <c r="I46" i="40"/>
  <c r="J46" i="40"/>
  <c r="K46" i="40"/>
  <c r="L46" i="40"/>
  <c r="M46" i="40"/>
  <c r="B17" i="40"/>
  <c r="B46" i="40" s="1"/>
  <c r="C17" i="40"/>
  <c r="D17" i="40"/>
  <c r="E17" i="40"/>
  <c r="C48" i="40"/>
  <c r="D48" i="40"/>
  <c r="E48" i="40"/>
  <c r="F48" i="40"/>
  <c r="G48" i="40"/>
  <c r="H48" i="40"/>
  <c r="I48" i="40"/>
  <c r="J48" i="40"/>
  <c r="K48" i="40"/>
  <c r="L48" i="40"/>
  <c r="M48" i="40"/>
  <c r="B19" i="40"/>
  <c r="B48" i="40" s="1"/>
  <c r="C19" i="40"/>
  <c r="D19" i="40"/>
  <c r="E19" i="40"/>
  <c r="J19" i="64"/>
  <c r="C42" i="40"/>
  <c r="D42" i="40"/>
  <c r="E42" i="40"/>
  <c r="F42" i="40"/>
  <c r="G42" i="40"/>
  <c r="H42" i="40"/>
  <c r="I42" i="40"/>
  <c r="J42" i="40"/>
  <c r="K42" i="40"/>
  <c r="L42" i="40"/>
  <c r="M42" i="40"/>
  <c r="B13" i="40"/>
  <c r="B42" i="40" s="1"/>
  <c r="C13" i="40"/>
  <c r="D13" i="40"/>
  <c r="E13" i="40"/>
  <c r="E51" i="40"/>
  <c r="F51" i="40"/>
  <c r="G51" i="40"/>
  <c r="H51" i="40"/>
  <c r="I51" i="40"/>
  <c r="J51" i="40"/>
  <c r="K51" i="40"/>
  <c r="L51" i="40"/>
  <c r="M51" i="40"/>
  <c r="C51" i="40"/>
  <c r="D22" i="40"/>
  <c r="E22" i="40"/>
  <c r="B22" i="40"/>
  <c r="B51" i="40" s="1"/>
  <c r="C45" i="40"/>
  <c r="D45" i="40"/>
  <c r="E45" i="40"/>
  <c r="F45" i="40"/>
  <c r="G45" i="40"/>
  <c r="H45" i="40"/>
  <c r="I45" i="40"/>
  <c r="J45" i="40"/>
  <c r="K45" i="40"/>
  <c r="L45" i="40"/>
  <c r="M45" i="40"/>
  <c r="B16" i="40"/>
  <c r="B45" i="40" s="1"/>
  <c r="C16" i="40"/>
  <c r="D16" i="40"/>
  <c r="E16" i="40"/>
  <c r="E39" i="40"/>
  <c r="F39" i="40"/>
  <c r="G39" i="40"/>
  <c r="H39" i="40"/>
  <c r="I39" i="40"/>
  <c r="J39" i="40"/>
  <c r="K39" i="40"/>
  <c r="L39" i="40"/>
  <c r="M39" i="40"/>
  <c r="C39" i="40"/>
  <c r="D10" i="40"/>
  <c r="E10" i="40"/>
  <c r="B10" i="40"/>
  <c r="B39" i="40" s="1"/>
  <c r="C40" i="40"/>
  <c r="D40" i="40"/>
  <c r="E40" i="40"/>
  <c r="F40" i="40"/>
  <c r="G40" i="40"/>
  <c r="H40" i="40"/>
  <c r="I40" i="40"/>
  <c r="J40" i="40"/>
  <c r="K40" i="40"/>
  <c r="L40" i="40"/>
  <c r="M40" i="40"/>
  <c r="B11" i="40"/>
  <c r="B40" i="40" s="1"/>
  <c r="C11" i="40"/>
  <c r="D11" i="40"/>
  <c r="E11" i="40"/>
  <c r="C44" i="40"/>
  <c r="D44" i="40"/>
  <c r="E44" i="40"/>
  <c r="F44" i="40"/>
  <c r="G44" i="40"/>
  <c r="H44" i="40"/>
  <c r="I44" i="40"/>
  <c r="J44" i="40"/>
  <c r="K44" i="40"/>
  <c r="L44" i="40"/>
  <c r="M44" i="40"/>
  <c r="B15" i="40"/>
  <c r="B44" i="40" s="1"/>
  <c r="C15" i="40"/>
  <c r="D15" i="40"/>
  <c r="E15" i="40"/>
  <c r="E50" i="40"/>
  <c r="F50" i="40"/>
  <c r="G50" i="40"/>
  <c r="H50" i="40"/>
  <c r="I50" i="40"/>
  <c r="J50" i="40"/>
  <c r="K50" i="40"/>
  <c r="L50" i="40"/>
  <c r="M50" i="40"/>
  <c r="C50" i="40"/>
  <c r="D21" i="40"/>
  <c r="E21" i="40"/>
  <c r="B21" i="40"/>
  <c r="B50" i="40" s="1"/>
  <c r="C52" i="40"/>
  <c r="D52" i="40"/>
  <c r="E52" i="40"/>
  <c r="F52" i="40"/>
  <c r="G52" i="40"/>
  <c r="H52" i="40"/>
  <c r="I52" i="40"/>
  <c r="J52" i="40"/>
  <c r="K52" i="40"/>
  <c r="L52" i="40"/>
  <c r="M52" i="40"/>
  <c r="B23" i="40"/>
  <c r="B52" i="40" s="1"/>
  <c r="C23" i="40"/>
  <c r="D23" i="40"/>
  <c r="E23" i="40"/>
  <c r="E38" i="40"/>
  <c r="F38" i="40"/>
  <c r="G38" i="40"/>
  <c r="H38" i="40"/>
  <c r="I38" i="40"/>
  <c r="J38" i="40"/>
  <c r="K38" i="40"/>
  <c r="L38" i="40"/>
  <c r="M38" i="40"/>
  <c r="C38" i="40"/>
  <c r="D9" i="40"/>
  <c r="E9" i="40"/>
  <c r="B9" i="40"/>
  <c r="B38" i="40" s="1"/>
  <c r="D19" i="64"/>
  <c r="F19" i="64"/>
  <c r="E262" i="13"/>
  <c r="C10" i="40"/>
  <c r="D39" i="40"/>
  <c r="C22" i="40"/>
  <c r="D51" i="40"/>
  <c r="C21" i="40"/>
  <c r="D50" i="40"/>
  <c r="C9" i="40"/>
  <c r="D38" i="40"/>
  <c r="E18" i="38"/>
  <c r="AG14" i="26"/>
  <c r="O13" i="26"/>
  <c r="O20" i="26" s="1"/>
  <c r="G50" i="20"/>
  <c r="G51" i="20" s="1"/>
  <c r="F41" i="77"/>
  <c r="J17" i="64"/>
  <c r="J41" i="77"/>
  <c r="D47" i="77"/>
  <c r="H41" i="77"/>
  <c r="K47" i="77"/>
  <c r="J34" i="77"/>
  <c r="D34" i="77"/>
  <c r="I47" i="77"/>
  <c r="C41" i="77"/>
  <c r="K41" i="77"/>
  <c r="G44" i="77"/>
  <c r="G45" i="77"/>
  <c r="G38" i="77"/>
  <c r="L41" i="77"/>
  <c r="F47" i="77"/>
  <c r="I41" i="77"/>
  <c r="E50" i="20"/>
  <c r="H47" i="77"/>
  <c r="C34" i="77"/>
  <c r="E41" i="77"/>
  <c r="K35" i="77"/>
  <c r="E47" i="77"/>
  <c r="I35" i="77"/>
  <c r="L47" i="77"/>
  <c r="L48" i="77" s="1"/>
  <c r="E34" i="77"/>
  <c r="L34" i="77"/>
  <c r="L35" i="77" s="1"/>
  <c r="C47" i="77"/>
  <c r="D41" i="77"/>
  <c r="E39" i="76"/>
  <c r="F39" i="76"/>
  <c r="H44" i="76"/>
  <c r="D45" i="76"/>
  <c r="E45" i="76"/>
  <c r="I46" i="76"/>
  <c r="F45" i="76"/>
  <c r="C40" i="76"/>
  <c r="I40" i="76"/>
  <c r="F40" i="76"/>
  <c r="C44" i="76"/>
  <c r="J44" i="76"/>
  <c r="H39" i="76"/>
  <c r="D38" i="76"/>
  <c r="J38" i="76"/>
  <c r="I39" i="76"/>
  <c r="H45" i="76"/>
  <c r="K38" i="76"/>
  <c r="I45" i="76"/>
  <c r="I44" i="76"/>
  <c r="J40" i="76"/>
  <c r="E38" i="76"/>
  <c r="K40" i="76"/>
  <c r="K46" i="76"/>
  <c r="K44" i="76"/>
  <c r="C39" i="76"/>
  <c r="E40" i="76"/>
  <c r="E44" i="76"/>
  <c r="C45" i="76"/>
  <c r="E46" i="76"/>
  <c r="F44" i="76"/>
  <c r="D34" i="76"/>
  <c r="K39" i="76"/>
  <c r="I38" i="76"/>
  <c r="F38" i="76"/>
  <c r="H38" i="76"/>
  <c r="C46" i="76"/>
  <c r="C38" i="76"/>
  <c r="J45" i="76"/>
  <c r="K45" i="76"/>
  <c r="L46" i="76"/>
  <c r="D39" i="76"/>
  <c r="R11" i="26"/>
  <c r="R13" i="26" s="1"/>
  <c r="R20" i="26" s="1"/>
  <c r="F47" i="75"/>
  <c r="AD8" i="26"/>
  <c r="AD11" i="26" s="1"/>
  <c r="AG13" i="26"/>
  <c r="F41" i="75"/>
  <c r="L47" i="75"/>
  <c r="L48" i="75" s="1"/>
  <c r="C47" i="75"/>
  <c r="J34" i="75"/>
  <c r="J35" i="75" s="1"/>
  <c r="F34" i="75"/>
  <c r="F35" i="75" s="1"/>
  <c r="G38" i="75"/>
  <c r="G40" i="75"/>
  <c r="G39" i="75"/>
  <c r="G46" i="75"/>
  <c r="G44" i="75"/>
  <c r="G45" i="75"/>
  <c r="H41" i="75"/>
  <c r="K47" i="75"/>
  <c r="K41" i="75"/>
  <c r="H34" i="75"/>
  <c r="H35" i="75" s="1"/>
  <c r="H47" i="75"/>
  <c r="P13" i="26"/>
  <c r="P20" i="26" s="1"/>
  <c r="E47" i="75"/>
  <c r="I47" i="75"/>
  <c r="I41" i="75"/>
  <c r="L41" i="75"/>
  <c r="C34" i="75"/>
  <c r="C35" i="75" s="1"/>
  <c r="E41" i="75"/>
  <c r="C10" i="38"/>
  <c r="C18" i="38" s="1"/>
  <c r="D103" i="34"/>
  <c r="AB13" i="26"/>
  <c r="N11" i="26"/>
  <c r="N13" i="26" s="1"/>
  <c r="N20" i="26" s="1"/>
  <c r="AE13" i="26"/>
  <c r="S11" i="26"/>
  <c r="S13" i="26" s="1"/>
  <c r="S20" i="26" s="1"/>
  <c r="AC14" i="26"/>
  <c r="E55" i="26"/>
  <c r="E57" i="26" s="1"/>
  <c r="Z14" i="26"/>
  <c r="H48" i="20"/>
  <c r="Z8" i="26"/>
  <c r="Z11" i="26" s="1"/>
  <c r="Q12" i="23"/>
  <c r="C13" i="23" s="1"/>
  <c r="L79" i="34"/>
  <c r="L8" i="38" s="1"/>
  <c r="K10" i="38"/>
  <c r="K18" i="38" s="1"/>
  <c r="K22" i="38" s="1"/>
  <c r="G79" i="34"/>
  <c r="I48" i="20"/>
  <c r="R12" i="23"/>
  <c r="C14" i="23" s="1"/>
  <c r="F18" i="38"/>
  <c r="AE8" i="26"/>
  <c r="AE11" i="26" s="1"/>
  <c r="E19" i="26"/>
  <c r="S12" i="23"/>
  <c r="H55" i="26"/>
  <c r="H57" i="26" s="1"/>
  <c r="F19" i="26"/>
  <c r="I79" i="34"/>
  <c r="I8" i="38" s="1"/>
  <c r="J9" i="38" s="1"/>
  <c r="D18" i="38"/>
  <c r="AB8" i="26"/>
  <c r="AB11" i="26" s="1"/>
  <c r="D79" i="34"/>
  <c r="D8" i="38" s="1"/>
  <c r="AD13" i="26"/>
  <c r="C45" i="58"/>
  <c r="D38" i="58"/>
  <c r="F39" i="58"/>
  <c r="D45" i="58"/>
  <c r="H44" i="58"/>
  <c r="H45" i="58"/>
  <c r="J46" i="58"/>
  <c r="F38" i="58"/>
  <c r="L40" i="58"/>
  <c r="D46" i="58"/>
  <c r="C44" i="58"/>
  <c r="J38" i="58"/>
  <c r="F46" i="58"/>
  <c r="J39" i="58"/>
  <c r="E40" i="58"/>
  <c r="J44" i="58"/>
  <c r="H38" i="58"/>
  <c r="F45" i="58"/>
  <c r="F44" i="58"/>
  <c r="D44" i="58"/>
  <c r="E45" i="58"/>
  <c r="D39" i="58"/>
  <c r="F40" i="58"/>
  <c r="J40" i="58"/>
  <c r="L46" i="58"/>
  <c r="C46" i="58"/>
  <c r="E46" i="58"/>
  <c r="H46" i="58"/>
  <c r="D40" i="58"/>
  <c r="G39" i="12"/>
  <c r="G144" i="12"/>
  <c r="Z13" i="26"/>
  <c r="J46" i="39"/>
  <c r="C11" i="41"/>
  <c r="J42" i="20"/>
  <c r="J50" i="20"/>
  <c r="AF14" i="26"/>
  <c r="AF8" i="26"/>
  <c r="AF11" i="26" s="1"/>
  <c r="O4" i="27"/>
  <c r="AA4" i="27" s="1"/>
  <c r="C20" i="27"/>
  <c r="C38" i="27" s="1"/>
  <c r="G10" i="38"/>
  <c r="G18" i="38" s="1"/>
  <c r="AD9" i="27"/>
  <c r="F26" i="27"/>
  <c r="R9" i="27"/>
  <c r="F45" i="27"/>
  <c r="F79" i="34"/>
  <c r="F8" i="38" s="1"/>
  <c r="H13" i="26"/>
  <c r="H19" i="26"/>
  <c r="P4" i="27"/>
  <c r="AB4" i="27" s="1"/>
  <c r="D20" i="27"/>
  <c r="D38" i="27" s="1"/>
  <c r="I45" i="27"/>
  <c r="I26" i="27"/>
  <c r="U9" i="27"/>
  <c r="AG9" i="27"/>
  <c r="G55" i="26"/>
  <c r="Z9" i="27"/>
  <c r="B26" i="27"/>
  <c r="B45" i="27"/>
  <c r="N9" i="27"/>
  <c r="H260" i="13"/>
  <c r="H262" i="13"/>
  <c r="G48" i="20"/>
  <c r="I50" i="20"/>
  <c r="I42" i="20"/>
  <c r="I18" i="26"/>
  <c r="U17" i="26"/>
  <c r="U18" i="26" s="1"/>
  <c r="I62" i="26"/>
  <c r="I24" i="26"/>
  <c r="I25" i="26" s="1"/>
  <c r="I41" i="26"/>
  <c r="I42" i="26" s="1"/>
  <c r="K42" i="20"/>
  <c r="K50" i="20"/>
  <c r="C262" i="13"/>
  <c r="C260" i="13"/>
  <c r="AE14" i="26"/>
  <c r="K74" i="34"/>
  <c r="K6" i="34"/>
  <c r="K76" i="34"/>
  <c r="L6" i="34"/>
  <c r="K78" i="34"/>
  <c r="E41" i="26"/>
  <c r="E42" i="26" s="1"/>
  <c r="Q17" i="26"/>
  <c r="Q18" i="26" s="1"/>
  <c r="E62" i="26"/>
  <c r="E24" i="26"/>
  <c r="E25" i="26" s="1"/>
  <c r="B18" i="26"/>
  <c r="B24" i="26"/>
  <c r="B25" i="26" s="1"/>
  <c r="B41" i="26"/>
  <c r="B42" i="26" s="1"/>
  <c r="N17" i="26"/>
  <c r="N18" i="26" s="1"/>
  <c r="B62" i="26"/>
  <c r="D18" i="26"/>
  <c r="P17" i="26"/>
  <c r="P18" i="26" s="1"/>
  <c r="P19" i="26" s="1"/>
  <c r="D62" i="26"/>
  <c r="D24" i="26"/>
  <c r="D25" i="26" s="1"/>
  <c r="D41" i="26"/>
  <c r="D42" i="26" s="1"/>
  <c r="B55" i="26"/>
  <c r="AC8" i="26"/>
  <c r="D48" i="20"/>
  <c r="C48" i="20"/>
  <c r="D50" i="20"/>
  <c r="H20" i="27"/>
  <c r="H38" i="27" s="1"/>
  <c r="T4" i="27"/>
  <c r="AF4" i="27" s="1"/>
  <c r="N4" i="27"/>
  <c r="Z4" i="27" s="1"/>
  <c r="B20" i="27"/>
  <c r="B38" i="27" s="1"/>
  <c r="I55" i="26"/>
  <c r="C55" i="26"/>
  <c r="C24" i="26"/>
  <c r="C25" i="26" s="1"/>
  <c r="C62" i="26"/>
  <c r="C41" i="26"/>
  <c r="C42" i="26" s="1"/>
  <c r="C18" i="26"/>
  <c r="O17" i="26"/>
  <c r="O18" i="26" s="1"/>
  <c r="O19" i="26" s="1"/>
  <c r="I20" i="27"/>
  <c r="I38" i="27" s="1"/>
  <c r="U4" i="27"/>
  <c r="AG4" i="27" s="1"/>
  <c r="H144" i="12"/>
  <c r="H39" i="12"/>
  <c r="G42" i="20"/>
  <c r="H42" i="20"/>
  <c r="H50" i="20"/>
  <c r="B22" i="39"/>
  <c r="N3" i="34"/>
  <c r="C3" i="93" s="1"/>
  <c r="M4" i="38"/>
  <c r="M41" i="38" s="1"/>
  <c r="M34" i="34"/>
  <c r="AA14" i="26"/>
  <c r="AA13" i="26"/>
  <c r="E9" i="41"/>
  <c r="O9" i="41"/>
  <c r="O10" i="41" s="1"/>
  <c r="C10" i="41"/>
  <c r="I39" i="12"/>
  <c r="I144" i="12"/>
  <c r="K48" i="20"/>
  <c r="F35" i="40"/>
  <c r="F6" i="40"/>
  <c r="L42" i="20"/>
  <c r="L50" i="20"/>
  <c r="G62" i="26"/>
  <c r="G24" i="26"/>
  <c r="G25" i="26" s="1"/>
  <c r="G18" i="26"/>
  <c r="G41" i="26"/>
  <c r="G42" i="26" s="1"/>
  <c r="S17" i="26"/>
  <c r="S18" i="26" s="1"/>
  <c r="H30" i="26"/>
  <c r="AB14" i="26"/>
  <c r="F55" i="26"/>
  <c r="O9" i="27"/>
  <c r="C45" i="27"/>
  <c r="C26" i="27"/>
  <c r="AA9" i="27"/>
  <c r="AD14" i="26"/>
  <c r="J48" i="20"/>
  <c r="D45" i="27"/>
  <c r="AB9" i="27"/>
  <c r="D26" i="27"/>
  <c r="P9" i="27"/>
  <c r="L18" i="38"/>
  <c r="G27" i="27"/>
  <c r="AE10" i="27"/>
  <c r="S10" i="27"/>
  <c r="G45" i="27"/>
  <c r="AA8" i="26"/>
  <c r="AA11" i="26" s="1"/>
  <c r="H10" i="38"/>
  <c r="H18" i="38" s="1"/>
  <c r="I22" i="38" s="1"/>
  <c r="D55" i="26"/>
  <c r="AG8" i="26"/>
  <c r="AG11" i="26" s="1"/>
  <c r="G41" i="58"/>
  <c r="G47" i="58"/>
  <c r="E28" i="3"/>
  <c r="E29" i="3" s="1"/>
  <c r="H143" i="13"/>
  <c r="K41" i="58"/>
  <c r="K47" i="58"/>
  <c r="E79" i="34"/>
  <c r="E8" i="38" s="1"/>
  <c r="I47" i="58"/>
  <c r="H79" i="34"/>
  <c r="H8" i="38" s="1"/>
  <c r="I41" i="58"/>
  <c r="F143" i="13"/>
  <c r="E16" i="20"/>
  <c r="F30" i="26"/>
  <c r="F33" i="26" s="1"/>
  <c r="F37" i="26" s="1"/>
  <c r="E29" i="20"/>
  <c r="E33" i="20" s="1"/>
  <c r="H99" i="34"/>
  <c r="H103" i="34" s="1"/>
  <c r="K33" i="20"/>
  <c r="I33" i="20"/>
  <c r="F99" i="34"/>
  <c r="F103" i="34" s="1"/>
  <c r="H44" i="6"/>
  <c r="G28" i="3"/>
  <c r="G29" i="3" s="1"/>
  <c r="F26" i="3"/>
  <c r="F28" i="3" s="1"/>
  <c r="F29" i="3" s="1"/>
  <c r="I102" i="13"/>
  <c r="O51" i="34"/>
  <c r="P51" i="34" s="1"/>
  <c r="Q51" i="34" s="1"/>
  <c r="E44" i="6"/>
  <c r="D214" i="13"/>
  <c r="D215" i="13"/>
  <c r="E12" i="22"/>
  <c r="E32" i="15"/>
  <c r="F12" i="22"/>
  <c r="F32" i="15"/>
  <c r="D85" i="13"/>
  <c r="F29" i="20"/>
  <c r="F16" i="20"/>
  <c r="E215" i="13"/>
  <c r="E214" i="13"/>
  <c r="C103" i="34"/>
  <c r="A15" i="5"/>
  <c r="B14" i="5"/>
  <c r="A27" i="5"/>
  <c r="A40" i="5" s="1"/>
  <c r="J14" i="5"/>
  <c r="J27" i="5" s="1"/>
  <c r="J40" i="5" s="1"/>
  <c r="C42" i="14"/>
  <c r="K42" i="14"/>
  <c r="J42" i="14"/>
  <c r="I42" i="14"/>
  <c r="G42" i="14"/>
  <c r="E42" i="14"/>
  <c r="L42" i="14"/>
  <c r="H42" i="14"/>
  <c r="D42" i="14"/>
  <c r="F42" i="14"/>
  <c r="C39" i="5"/>
  <c r="D39" i="5"/>
  <c r="E39" i="5"/>
  <c r="F39" i="5"/>
  <c r="G39" i="5"/>
  <c r="H39" i="5"/>
  <c r="O39" i="5"/>
  <c r="L39" i="5"/>
  <c r="N39" i="5"/>
  <c r="P39" i="5"/>
  <c r="K39" i="5"/>
  <c r="M39" i="5"/>
  <c r="B17" i="14"/>
  <c r="A30" i="14"/>
  <c r="A43" i="14" s="1"/>
  <c r="A18" i="14"/>
  <c r="C29" i="14"/>
  <c r="L29" i="14"/>
  <c r="D29" i="14"/>
  <c r="E29" i="14"/>
  <c r="I29" i="14"/>
  <c r="F29" i="14"/>
  <c r="J29" i="14"/>
  <c r="G29" i="14"/>
  <c r="H29" i="14"/>
  <c r="K29" i="14"/>
  <c r="I55" i="27"/>
  <c r="I16" i="27"/>
  <c r="I30" i="27" s="1"/>
  <c r="U15" i="27"/>
  <c r="U16" i="27" s="1"/>
  <c r="K17" i="21"/>
  <c r="D19" i="34" s="1"/>
  <c r="N26" i="5"/>
  <c r="K26" i="5"/>
  <c r="L26" i="5"/>
  <c r="O26" i="5"/>
  <c r="P26" i="5"/>
  <c r="M26" i="5"/>
  <c r="F26" i="5"/>
  <c r="C26" i="5"/>
  <c r="H26" i="5"/>
  <c r="G26" i="5"/>
  <c r="E26" i="5"/>
  <c r="D26" i="5"/>
  <c r="C69" i="32"/>
  <c r="B70" i="32"/>
  <c r="I49" i="40" a="1"/>
  <c r="K49" i="40" a="1"/>
  <c r="C49" i="40" a="1"/>
  <c r="G49" i="40" a="1"/>
  <c r="E20" i="40" a="1"/>
  <c r="H49" i="40" a="1"/>
  <c r="C20" i="40" a="1"/>
  <c r="E49" i="40" a="1"/>
  <c r="B20" i="40" a="1"/>
  <c r="F49" i="40" a="1"/>
  <c r="D20" i="40" a="1"/>
  <c r="M49" i="40" a="1"/>
  <c r="J49" i="40" a="1"/>
  <c r="D49" i="40" a="1"/>
  <c r="L49" i="40" a="1"/>
  <c r="H19" i="64" a="1"/>
  <c r="J87" i="87" a="1"/>
  <c r="C12" i="40" a="1"/>
  <c r="G41" i="40" a="1"/>
  <c r="F41" i="40" a="1"/>
  <c r="C41" i="40" a="1"/>
  <c r="B12" i="40" a="1"/>
  <c r="M41" i="40" a="1"/>
  <c r="K41" i="40" a="1"/>
  <c r="H41" i="40" a="1"/>
  <c r="E12" i="40" a="1"/>
  <c r="D41" i="40" a="1"/>
  <c r="L41" i="40" a="1"/>
  <c r="I41" i="40" a="1"/>
  <c r="E41" i="40" a="1"/>
  <c r="D12" i="40" a="1"/>
  <c r="J41" i="40" a="1"/>
  <c r="H85" i="87" a="1"/>
  <c r="E33" i="88" a="1"/>
  <c r="D86" i="87" a="1"/>
  <c r="I86" i="87" a="1"/>
  <c r="F88" i="87" a="1"/>
  <c r="L19" i="64" a="1"/>
  <c r="E19" i="64" a="1"/>
  <c r="J33" i="76" a="1"/>
  <c r="E88" i="87" a="1"/>
  <c r="D55" i="40" a="1"/>
  <c r="M55" i="40" a="1"/>
  <c r="D26" i="40" a="1"/>
  <c r="C26" i="40" a="1"/>
  <c r="C55" i="40" a="1"/>
  <c r="F55" i="40" a="1"/>
  <c r="E26" i="40" a="1"/>
  <c r="H55" i="40" a="1"/>
  <c r="B26" i="40" a="1"/>
  <c r="I55" i="40" a="1"/>
  <c r="K55" i="40" a="1"/>
  <c r="E55" i="40" a="1"/>
  <c r="G55" i="40" a="1"/>
  <c r="J55" i="40" a="1"/>
  <c r="L55" i="40" a="1"/>
  <c r="E85" i="87" a="1"/>
  <c r="G88" i="87" a="1"/>
  <c r="F33" i="88" a="1"/>
  <c r="B54" i="27" a="1"/>
  <c r="D87" i="87" a="1"/>
  <c r="G88" i="87" l="1"/>
  <c r="L55" i="40"/>
  <c r="J55" i="40"/>
  <c r="G55" i="40"/>
  <c r="E55" i="40"/>
  <c r="K55" i="40"/>
  <c r="I55" i="40"/>
  <c r="B26" i="40"/>
  <c r="B55" i="40" s="1"/>
  <c r="H55" i="40"/>
  <c r="E26" i="40"/>
  <c r="F55" i="40"/>
  <c r="C55" i="40"/>
  <c r="C26" i="40"/>
  <c r="D26" i="40"/>
  <c r="M55" i="40"/>
  <c r="D55" i="40"/>
  <c r="J41" i="40"/>
  <c r="D12" i="40"/>
  <c r="E41" i="40"/>
  <c r="I41" i="40"/>
  <c r="L41" i="40"/>
  <c r="D41" i="40"/>
  <c r="H12" i="40" s="1"/>
  <c r="E12" i="40"/>
  <c r="H41" i="40"/>
  <c r="K41" i="40"/>
  <c r="M41" i="40"/>
  <c r="G12" i="40" s="1"/>
  <c r="B12" i="40"/>
  <c r="B41" i="40" s="1"/>
  <c r="C41" i="40"/>
  <c r="F41" i="40"/>
  <c r="G41" i="40"/>
  <c r="C12" i="40"/>
  <c r="L49" i="40"/>
  <c r="D49" i="40"/>
  <c r="J49" i="40"/>
  <c r="M49" i="40"/>
  <c r="D20" i="40"/>
  <c r="F49" i="40"/>
  <c r="B20" i="40"/>
  <c r="B49" i="40" s="1"/>
  <c r="E49" i="40"/>
  <c r="C20" i="40"/>
  <c r="H49" i="40"/>
  <c r="E20" i="40"/>
  <c r="G49" i="40"/>
  <c r="C49" i="40"/>
  <c r="K49" i="40"/>
  <c r="M28" i="40" s="1"/>
  <c r="K68" i="39" s="1"/>
  <c r="I49" i="40"/>
  <c r="F6" i="94"/>
  <c r="H6" i="94" s="1"/>
  <c r="G52" i="88"/>
  <c r="G51" i="88"/>
  <c r="O85" i="34"/>
  <c r="N14" i="34"/>
  <c r="H41" i="7"/>
  <c r="H49" i="7" s="1"/>
  <c r="H60" i="7" s="1"/>
  <c r="H68" i="7" s="1"/>
  <c r="H29" i="7"/>
  <c r="H12" i="7"/>
  <c r="H52" i="7" s="1"/>
  <c r="D79" i="87"/>
  <c r="E88" i="7"/>
  <c r="F29" i="7"/>
  <c r="F41" i="7"/>
  <c r="F49" i="7" s="1"/>
  <c r="F60" i="7" s="1"/>
  <c r="F68" i="7" s="1"/>
  <c r="F12" i="7"/>
  <c r="F52" i="7" s="1"/>
  <c r="G56" i="7"/>
  <c r="G54" i="7"/>
  <c r="G64" i="7" s="1"/>
  <c r="G58" i="7"/>
  <c r="K51" i="88"/>
  <c r="J52" i="88"/>
  <c r="K52" i="88"/>
  <c r="G30" i="73"/>
  <c r="G12" i="85" s="1"/>
  <c r="G33" i="73"/>
  <c r="G16" i="76" s="1"/>
  <c r="K49" i="87"/>
  <c r="K30" i="72"/>
  <c r="K33" i="72"/>
  <c r="K16" i="88" s="1"/>
  <c r="D54" i="7"/>
  <c r="D56" i="7"/>
  <c r="F30" i="73"/>
  <c r="F33" i="73"/>
  <c r="F16" i="76" s="1"/>
  <c r="Q19" i="26"/>
  <c r="T11" i="26"/>
  <c r="T13" i="26" s="1"/>
  <c r="E29" i="7"/>
  <c r="E12" i="7"/>
  <c r="E52" i="7" s="1"/>
  <c r="E41" i="7"/>
  <c r="H51" i="88"/>
  <c r="H52" i="88"/>
  <c r="E52" i="88"/>
  <c r="F51" i="88"/>
  <c r="F52" i="88"/>
  <c r="AC11" i="26"/>
  <c r="C44" i="87"/>
  <c r="F5" i="94"/>
  <c r="H5" i="94" s="1"/>
  <c r="E45" i="6"/>
  <c r="E45" i="7"/>
  <c r="E33" i="73"/>
  <c r="E16" i="76" s="1"/>
  <c r="E30" i="73"/>
  <c r="K30" i="73"/>
  <c r="K33" i="73"/>
  <c r="K16" i="76" s="1"/>
  <c r="I51" i="88"/>
  <c r="I52" i="88"/>
  <c r="L33" i="73"/>
  <c r="L16" i="76" s="1"/>
  <c r="L30" i="73"/>
  <c r="L33" i="72"/>
  <c r="L16" i="88" s="1"/>
  <c r="L30" i="72"/>
  <c r="U19" i="26"/>
  <c r="T19" i="26"/>
  <c r="T21" i="26" s="1"/>
  <c r="J46" i="87"/>
  <c r="C45" i="87"/>
  <c r="G51" i="34"/>
  <c r="H51" i="34"/>
  <c r="I30" i="72"/>
  <c r="I33" i="72"/>
  <c r="I16" i="88" s="1"/>
  <c r="G29" i="7"/>
  <c r="G41" i="7"/>
  <c r="G49" i="7" s="1"/>
  <c r="G60" i="7" s="1"/>
  <c r="G68" i="7" s="1"/>
  <c r="G12" i="7"/>
  <c r="G52" i="7" s="1"/>
  <c r="T20" i="26"/>
  <c r="G6" i="94"/>
  <c r="D51" i="88"/>
  <c r="D52" i="88"/>
  <c r="H33" i="72"/>
  <c r="H16" i="88" s="1"/>
  <c r="H30" i="72"/>
  <c r="E42" i="20"/>
  <c r="D42" i="20"/>
  <c r="E54" i="7"/>
  <c r="E64" i="7" s="1"/>
  <c r="E56" i="7"/>
  <c r="C51" i="88"/>
  <c r="C52" i="88"/>
  <c r="C74" i="7"/>
  <c r="C88" i="7" s="1"/>
  <c r="C58" i="7"/>
  <c r="L52" i="88"/>
  <c r="L51" i="88"/>
  <c r="F56" i="7"/>
  <c r="F54" i="7"/>
  <c r="F64" i="7" s="1"/>
  <c r="P12" i="23"/>
  <c r="C12" i="23" s="1"/>
  <c r="J38" i="87"/>
  <c r="I34" i="75"/>
  <c r="I35" i="75" s="1"/>
  <c r="B16" i="7"/>
  <c r="J30" i="72"/>
  <c r="J33" i="72"/>
  <c r="J16" i="88" s="1"/>
  <c r="H58" i="7"/>
  <c r="B58" i="7" s="1"/>
  <c r="H56" i="7"/>
  <c r="H54" i="7"/>
  <c r="H64" i="7" s="1"/>
  <c r="D29" i="7"/>
  <c r="D41" i="7"/>
  <c r="D49" i="7" s="1"/>
  <c r="D60" i="7" s="1"/>
  <c r="D12" i="7"/>
  <c r="D112" i="87"/>
  <c r="I78" i="87"/>
  <c r="H44" i="87"/>
  <c r="I49" i="87"/>
  <c r="H46" i="87"/>
  <c r="I111" i="87"/>
  <c r="H17" i="64"/>
  <c r="G41" i="76"/>
  <c r="D87" i="87"/>
  <c r="I86" i="87"/>
  <c r="B36" i="39"/>
  <c r="J16" i="39"/>
  <c r="C15" i="23"/>
  <c r="C17" i="91"/>
  <c r="C35" i="91" s="1"/>
  <c r="C24" i="91"/>
  <c r="D24" i="91"/>
  <c r="D17" i="91"/>
  <c r="D35" i="91" s="1"/>
  <c r="M12" i="34"/>
  <c r="I41" i="87"/>
  <c r="E17" i="64"/>
  <c r="F49" i="87"/>
  <c r="E19" i="64"/>
  <c r="E44" i="87"/>
  <c r="E49" i="87" s="1"/>
  <c r="D111" i="87"/>
  <c r="D115" i="87" s="1"/>
  <c r="D37" i="87"/>
  <c r="D41" i="87" s="1"/>
  <c r="H85" i="87"/>
  <c r="D86" i="87"/>
  <c r="E85" i="87"/>
  <c r="F88" i="87"/>
  <c r="J87" i="87"/>
  <c r="E88" i="87"/>
  <c r="L19" i="64"/>
  <c r="G34" i="88"/>
  <c r="G35" i="88" s="1"/>
  <c r="G113" i="87"/>
  <c r="G8" i="38"/>
  <c r="H9" i="38" s="1"/>
  <c r="C82" i="87"/>
  <c r="H110" i="87"/>
  <c r="J47" i="75"/>
  <c r="J48" i="75" s="1"/>
  <c r="E36" i="87"/>
  <c r="E41" i="87" s="1"/>
  <c r="H257" i="13"/>
  <c r="D257" i="13"/>
  <c r="H77" i="87"/>
  <c r="C41" i="87"/>
  <c r="E110" i="87"/>
  <c r="D34" i="75"/>
  <c r="D35" i="75" s="1"/>
  <c r="F33" i="88"/>
  <c r="E33" i="88"/>
  <c r="H19" i="64"/>
  <c r="D45" i="87"/>
  <c r="D49" i="87" s="1"/>
  <c r="G46" i="87"/>
  <c r="G49" i="87" s="1"/>
  <c r="F80" i="87"/>
  <c r="C49" i="87"/>
  <c r="D78" i="87"/>
  <c r="D82" i="87" s="1"/>
  <c r="E80" i="87"/>
  <c r="J45" i="87"/>
  <c r="J49" i="87" s="1"/>
  <c r="J79" i="87"/>
  <c r="J37" i="87"/>
  <c r="J41" i="87" s="1"/>
  <c r="C35" i="77"/>
  <c r="D35" i="77"/>
  <c r="J35" i="77"/>
  <c r="E35" i="77"/>
  <c r="J41" i="75"/>
  <c r="G47" i="76"/>
  <c r="I48" i="77"/>
  <c r="D47" i="75"/>
  <c r="C48" i="75" s="1"/>
  <c r="J50" i="77"/>
  <c r="J51" i="77" s="1"/>
  <c r="S19" i="26"/>
  <c r="J48" i="77"/>
  <c r="J33" i="76"/>
  <c r="B54" i="27"/>
  <c r="C54" i="27"/>
  <c r="D54" i="27"/>
  <c r="E54" i="27"/>
  <c r="F54" i="27"/>
  <c r="G54" i="27"/>
  <c r="H54" i="27"/>
  <c r="I54" i="27"/>
  <c r="L22" i="38"/>
  <c r="E22" i="38"/>
  <c r="F22" i="38"/>
  <c r="H48" i="77"/>
  <c r="J42" i="77"/>
  <c r="C48" i="77"/>
  <c r="K50" i="77"/>
  <c r="E48" i="75"/>
  <c r="H42" i="77"/>
  <c r="R19" i="26"/>
  <c r="R21" i="26" s="1"/>
  <c r="F50" i="77"/>
  <c r="F51" i="77" s="1"/>
  <c r="H73" i="26"/>
  <c r="H75" i="26" s="1"/>
  <c r="F52" i="20"/>
  <c r="F50" i="75"/>
  <c r="F51" i="75" s="1"/>
  <c r="K48" i="77"/>
  <c r="K42" i="77"/>
  <c r="N19" i="26"/>
  <c r="E50" i="77"/>
  <c r="E42" i="77"/>
  <c r="L50" i="77"/>
  <c r="L42" i="77"/>
  <c r="D50" i="77"/>
  <c r="D42" i="77"/>
  <c r="E48" i="77"/>
  <c r="D47" i="76"/>
  <c r="H28" i="40"/>
  <c r="H50" i="77"/>
  <c r="C42" i="77"/>
  <c r="G41" i="77"/>
  <c r="Q21" i="26"/>
  <c r="C50" i="77"/>
  <c r="E51" i="20"/>
  <c r="E52" i="20"/>
  <c r="I42" i="77"/>
  <c r="I50" i="77"/>
  <c r="G47" i="77"/>
  <c r="G48" i="77" s="1"/>
  <c r="D48" i="77"/>
  <c r="C41" i="76"/>
  <c r="I47" i="76"/>
  <c r="C34" i="76"/>
  <c r="F41" i="76"/>
  <c r="E41" i="76"/>
  <c r="I41" i="76"/>
  <c r="E47" i="76"/>
  <c r="L41" i="76"/>
  <c r="D41" i="76"/>
  <c r="K41" i="76"/>
  <c r="J47" i="76"/>
  <c r="H47" i="76"/>
  <c r="K48" i="75"/>
  <c r="F47" i="76"/>
  <c r="C12" i="41"/>
  <c r="X31" i="41" s="1"/>
  <c r="X10" i="41" s="1"/>
  <c r="L47" i="76"/>
  <c r="L48" i="76" s="1"/>
  <c r="D35" i="76"/>
  <c r="K47" i="76"/>
  <c r="C47" i="76"/>
  <c r="H41" i="76"/>
  <c r="J41" i="76"/>
  <c r="E73" i="26"/>
  <c r="K42" i="75"/>
  <c r="K50" i="75"/>
  <c r="I50" i="75"/>
  <c r="G34" i="75"/>
  <c r="H50" i="75"/>
  <c r="H42" i="75"/>
  <c r="H48" i="75"/>
  <c r="G47" i="75"/>
  <c r="D42" i="75"/>
  <c r="E50" i="75"/>
  <c r="E42" i="75"/>
  <c r="C50" i="75"/>
  <c r="C42" i="75"/>
  <c r="G28" i="40"/>
  <c r="L50" i="75"/>
  <c r="L42" i="75"/>
  <c r="G41" i="75"/>
  <c r="K28" i="40"/>
  <c r="D47" i="58"/>
  <c r="F47" i="58"/>
  <c r="F48" i="58" s="1"/>
  <c r="I28" i="40"/>
  <c r="L47" i="58"/>
  <c r="L48" i="58" s="1"/>
  <c r="D22" i="38"/>
  <c r="C22" i="38"/>
  <c r="H41" i="58"/>
  <c r="G42" i="58" s="1"/>
  <c r="C41" i="58"/>
  <c r="F63" i="26"/>
  <c r="F64" i="26" s="1"/>
  <c r="F70" i="26" s="1"/>
  <c r="D63" i="26"/>
  <c r="D64" i="26" s="1"/>
  <c r="D70" i="26" s="1"/>
  <c r="H63" i="26"/>
  <c r="H64" i="26" s="1"/>
  <c r="I63" i="26"/>
  <c r="I64" i="26" s="1"/>
  <c r="I70" i="26" s="1"/>
  <c r="G63" i="26"/>
  <c r="G64" i="26" s="1"/>
  <c r="G70" i="26" s="1"/>
  <c r="C63" i="26"/>
  <c r="C64" i="26" s="1"/>
  <c r="C70" i="26" s="1"/>
  <c r="B63" i="26"/>
  <c r="B64" i="26" s="1"/>
  <c r="B70" i="26" s="1"/>
  <c r="E63" i="26"/>
  <c r="E64" i="26" s="1"/>
  <c r="H33" i="26"/>
  <c r="H37" i="26" s="1"/>
  <c r="H76" i="26"/>
  <c r="H78" i="26" s="1"/>
  <c r="H36" i="26"/>
  <c r="H43" i="26" s="1"/>
  <c r="J36" i="39"/>
  <c r="B63" i="39"/>
  <c r="B76" i="39" s="1"/>
  <c r="B52" i="39"/>
  <c r="C74" i="26"/>
  <c r="C30" i="26"/>
  <c r="F11" i="40"/>
  <c r="G11" i="40"/>
  <c r="K21" i="40"/>
  <c r="J21" i="40"/>
  <c r="I21" i="40"/>
  <c r="M21" i="40"/>
  <c r="L21" i="40"/>
  <c r="H21" i="40"/>
  <c r="G18" i="40"/>
  <c r="F18" i="40"/>
  <c r="K9" i="40"/>
  <c r="H9" i="40"/>
  <c r="L9" i="40"/>
  <c r="I9" i="40"/>
  <c r="M9" i="40"/>
  <c r="J9" i="40"/>
  <c r="G52" i="20"/>
  <c r="H52" i="20"/>
  <c r="H51" i="20"/>
  <c r="C73" i="26"/>
  <c r="C57" i="26"/>
  <c r="D74" i="26"/>
  <c r="D30" i="26"/>
  <c r="J10" i="40"/>
  <c r="K10" i="40"/>
  <c r="I10" i="40"/>
  <c r="H10" i="40"/>
  <c r="L10" i="40"/>
  <c r="M10" i="40"/>
  <c r="H15" i="40"/>
  <c r="K15" i="40"/>
  <c r="J15" i="40"/>
  <c r="M15" i="40"/>
  <c r="L15" i="40"/>
  <c r="I15" i="40"/>
  <c r="H13" i="40"/>
  <c r="L13" i="40"/>
  <c r="K13" i="40"/>
  <c r="J13" i="40"/>
  <c r="I13" i="40"/>
  <c r="M13" i="40"/>
  <c r="M18" i="40"/>
  <c r="K18" i="40"/>
  <c r="J18" i="40"/>
  <c r="L18" i="40"/>
  <c r="H18" i="40"/>
  <c r="I18" i="40"/>
  <c r="D73" i="26"/>
  <c r="D57" i="26"/>
  <c r="I73" i="26"/>
  <c r="I57" i="26"/>
  <c r="G23" i="40"/>
  <c r="F23" i="40"/>
  <c r="M22" i="40"/>
  <c r="L22" i="40"/>
  <c r="H22" i="40"/>
  <c r="I22" i="40"/>
  <c r="J22" i="40"/>
  <c r="K22" i="40"/>
  <c r="K12" i="40"/>
  <c r="L12" i="40"/>
  <c r="M12" i="40"/>
  <c r="I12" i="40"/>
  <c r="J12" i="40"/>
  <c r="G13" i="40"/>
  <c r="F13" i="40"/>
  <c r="I74" i="26"/>
  <c r="I30" i="26"/>
  <c r="F16" i="40"/>
  <c r="G16" i="40"/>
  <c r="F24" i="40"/>
  <c r="G24" i="40"/>
  <c r="H25" i="40"/>
  <c r="I25" i="40"/>
  <c r="M25" i="40"/>
  <c r="L25" i="40"/>
  <c r="J25" i="40"/>
  <c r="K25" i="40"/>
  <c r="G32" i="26"/>
  <c r="G19" i="26"/>
  <c r="D32" i="26"/>
  <c r="D19" i="26"/>
  <c r="P21" i="26" s="1"/>
  <c r="J51" i="20"/>
  <c r="J52" i="20"/>
  <c r="F15" i="40"/>
  <c r="G15" i="40"/>
  <c r="J11" i="40"/>
  <c r="K11" i="40"/>
  <c r="L11" i="40"/>
  <c r="H11" i="40"/>
  <c r="M11" i="40"/>
  <c r="I11" i="40"/>
  <c r="C47" i="58"/>
  <c r="L41" i="58"/>
  <c r="K42" i="58" s="1"/>
  <c r="G74" i="26"/>
  <c r="G30" i="26"/>
  <c r="G9" i="41"/>
  <c r="E10" i="41"/>
  <c r="Q9" i="41"/>
  <c r="Q10" i="41" s="1"/>
  <c r="J23" i="40"/>
  <c r="K23" i="40"/>
  <c r="L23" i="40"/>
  <c r="H23" i="40"/>
  <c r="I23" i="40"/>
  <c r="M23" i="40"/>
  <c r="F12" i="40"/>
  <c r="I16" i="40"/>
  <c r="M16" i="40"/>
  <c r="K16" i="40"/>
  <c r="L16" i="40"/>
  <c r="J16" i="40"/>
  <c r="H16" i="40"/>
  <c r="F41" i="58"/>
  <c r="D41" i="58"/>
  <c r="K79" i="34"/>
  <c r="K8" i="38" s="1"/>
  <c r="I32" i="26"/>
  <c r="I19" i="26"/>
  <c r="O11" i="41"/>
  <c r="O12" i="41" s="1"/>
  <c r="X34" i="41" s="1"/>
  <c r="X13" i="41" s="1"/>
  <c r="E11" i="41"/>
  <c r="F25" i="40"/>
  <c r="G25" i="40"/>
  <c r="D51" i="20"/>
  <c r="C52" i="20"/>
  <c r="D52" i="20"/>
  <c r="J19" i="40"/>
  <c r="I19" i="40"/>
  <c r="L19" i="40"/>
  <c r="H19" i="40"/>
  <c r="K19" i="40"/>
  <c r="M19" i="40"/>
  <c r="G21" i="40"/>
  <c r="F21" i="40"/>
  <c r="F22" i="40"/>
  <c r="G22" i="40"/>
  <c r="L52" i="20"/>
  <c r="L51" i="20"/>
  <c r="B30" i="26"/>
  <c r="B74" i="26"/>
  <c r="I51" i="20"/>
  <c r="I52" i="20"/>
  <c r="G73" i="26"/>
  <c r="G57" i="26"/>
  <c r="F19" i="40"/>
  <c r="G19" i="40"/>
  <c r="G17" i="40"/>
  <c r="F17" i="40"/>
  <c r="J41" i="58"/>
  <c r="I42" i="58" s="1"/>
  <c r="F9" i="40"/>
  <c r="G9" i="40"/>
  <c r="C34" i="58"/>
  <c r="C32" i="26"/>
  <c r="C19" i="26"/>
  <c r="O21" i="26" s="1"/>
  <c r="B32" i="26"/>
  <c r="B19" i="26"/>
  <c r="K24" i="40"/>
  <c r="L24" i="40"/>
  <c r="M24" i="40"/>
  <c r="I24" i="40"/>
  <c r="J24" i="40"/>
  <c r="H24" i="40"/>
  <c r="J47" i="58"/>
  <c r="J48" i="58" s="1"/>
  <c r="J17" i="40"/>
  <c r="K17" i="40"/>
  <c r="M17" i="40"/>
  <c r="I17" i="40"/>
  <c r="L17" i="40"/>
  <c r="H17" i="40"/>
  <c r="F73" i="26"/>
  <c r="F75" i="26" s="1"/>
  <c r="F57" i="26"/>
  <c r="A51" i="38"/>
  <c r="M59" i="38"/>
  <c r="E74" i="26"/>
  <c r="E30" i="26"/>
  <c r="F10" i="40"/>
  <c r="G10" i="40"/>
  <c r="E47" i="58"/>
  <c r="H47" i="58"/>
  <c r="H48" i="58" s="1"/>
  <c r="H6" i="40"/>
  <c r="H35" i="40"/>
  <c r="C22" i="39"/>
  <c r="O3" i="34"/>
  <c r="D3" i="93" s="1"/>
  <c r="N4" i="38"/>
  <c r="N41" i="38" s="1"/>
  <c r="N34" i="34"/>
  <c r="B57" i="26"/>
  <c r="B73" i="26"/>
  <c r="K51" i="20"/>
  <c r="K52" i="20"/>
  <c r="G22" i="38"/>
  <c r="H22" i="38"/>
  <c r="E41" i="58"/>
  <c r="G14" i="40"/>
  <c r="F14" i="40"/>
  <c r="L14" i="40"/>
  <c r="M14" i="40"/>
  <c r="J14" i="40"/>
  <c r="H14" i="40"/>
  <c r="K14" i="40"/>
  <c r="I14" i="40"/>
  <c r="G50" i="58"/>
  <c r="I50" i="58"/>
  <c r="F9" i="38"/>
  <c r="E9" i="38"/>
  <c r="I9" i="38"/>
  <c r="K50" i="58"/>
  <c r="F76" i="26"/>
  <c r="F78" i="26" s="1"/>
  <c r="F36" i="26"/>
  <c r="F43" i="26" s="1"/>
  <c r="J99" i="34"/>
  <c r="J103" i="34" s="1"/>
  <c r="G44" i="6"/>
  <c r="E143" i="13"/>
  <c r="E102" i="13"/>
  <c r="D102" i="13"/>
  <c r="D143" i="13"/>
  <c r="I99" i="34"/>
  <c r="F33" i="20"/>
  <c r="C40" i="5"/>
  <c r="G40" i="5"/>
  <c r="H40" i="5"/>
  <c r="D40" i="5"/>
  <c r="E40" i="5"/>
  <c r="F40" i="5"/>
  <c r="K40" i="5"/>
  <c r="L40" i="5"/>
  <c r="P40" i="5"/>
  <c r="O40" i="5"/>
  <c r="N40" i="5"/>
  <c r="M40" i="5"/>
  <c r="L27" i="5"/>
  <c r="O27" i="5"/>
  <c r="P27" i="5"/>
  <c r="K27" i="5"/>
  <c r="M27" i="5"/>
  <c r="N27" i="5"/>
  <c r="H27" i="5"/>
  <c r="E27" i="5"/>
  <c r="D27" i="5"/>
  <c r="F27" i="5"/>
  <c r="G27" i="5"/>
  <c r="C27" i="5"/>
  <c r="B18" i="14"/>
  <c r="A31" i="14"/>
  <c r="A44" i="14" s="1"/>
  <c r="A19" i="14"/>
  <c r="C43" i="14"/>
  <c r="J43" i="14"/>
  <c r="I43" i="14"/>
  <c r="H43" i="14"/>
  <c r="G43" i="14"/>
  <c r="F43" i="14"/>
  <c r="E43" i="14"/>
  <c r="D43" i="14"/>
  <c r="K43" i="14"/>
  <c r="L43" i="14"/>
  <c r="A16" i="5"/>
  <c r="B15" i="5"/>
  <c r="A28" i="5"/>
  <c r="A41" i="5" s="1"/>
  <c r="J15" i="5"/>
  <c r="J28" i="5" s="1"/>
  <c r="J41" i="5" s="1"/>
  <c r="C70" i="32"/>
  <c r="B71" i="32"/>
  <c r="L17" i="21"/>
  <c r="C19" i="34" s="1"/>
  <c r="C30" i="14"/>
  <c r="L30" i="14"/>
  <c r="D30" i="14"/>
  <c r="H30" i="14"/>
  <c r="E30" i="14"/>
  <c r="I30" i="14"/>
  <c r="F30" i="14"/>
  <c r="J30" i="14"/>
  <c r="K30" i="14"/>
  <c r="G30" i="14"/>
  <c r="H21" i="88" a="1"/>
  <c r="K21" i="88" a="1"/>
  <c r="K21" i="76" a="1"/>
  <c r="I21" i="88" a="1"/>
  <c r="L21" i="76" a="1"/>
  <c r="F21" i="76" a="1"/>
  <c r="L21" i="88" a="1"/>
  <c r="J21" i="88" a="1"/>
  <c r="G21" i="76" a="1"/>
  <c r="E21" i="76" a="1"/>
  <c r="E21" i="76" l="1"/>
  <c r="G21" i="76"/>
  <c r="J21" i="88"/>
  <c r="L21" i="88"/>
  <c r="F21" i="76"/>
  <c r="L21" i="76"/>
  <c r="I21" i="88"/>
  <c r="K21" i="76"/>
  <c r="K21" i="88"/>
  <c r="H21" i="88"/>
  <c r="E32" i="73"/>
  <c r="E12" i="85"/>
  <c r="B24" i="39"/>
  <c r="M16" i="34"/>
  <c r="E29" i="76"/>
  <c r="E49" i="7"/>
  <c r="E60" i="7" s="1"/>
  <c r="E68" i="7" s="1"/>
  <c r="G29" i="76"/>
  <c r="E86" i="7"/>
  <c r="E95" i="7"/>
  <c r="E89" i="7"/>
  <c r="E87" i="7"/>
  <c r="L26" i="40"/>
  <c r="J26" i="40"/>
  <c r="K26" i="40"/>
  <c r="M26" i="40"/>
  <c r="M30" i="40" s="1"/>
  <c r="K65" i="39" s="1"/>
  <c r="H26" i="40"/>
  <c r="H27" i="40" s="1"/>
  <c r="I26" i="40"/>
  <c r="I29" i="40" s="1"/>
  <c r="F87" i="1"/>
  <c r="F86" i="1"/>
  <c r="J29" i="88"/>
  <c r="L12" i="84"/>
  <c r="L32" i="72"/>
  <c r="J32" i="72"/>
  <c r="J12" i="84"/>
  <c r="L29" i="88"/>
  <c r="H49" i="87"/>
  <c r="B56" i="7"/>
  <c r="L32" i="73"/>
  <c r="L12" i="85"/>
  <c r="F29" i="76"/>
  <c r="M20" i="40"/>
  <c r="K20" i="40"/>
  <c r="K29" i="40" s="1"/>
  <c r="H20" i="40"/>
  <c r="H30" i="40" s="1"/>
  <c r="L20" i="40"/>
  <c r="I20" i="40"/>
  <c r="J20" i="40"/>
  <c r="U21" i="26"/>
  <c r="G50" i="76"/>
  <c r="G51" i="76" s="1"/>
  <c r="L29" i="76"/>
  <c r="F32" i="73"/>
  <c r="F12" i="85"/>
  <c r="O14" i="34"/>
  <c r="P85" i="34"/>
  <c r="I29" i="88"/>
  <c r="F20" i="40"/>
  <c r="G20" i="40"/>
  <c r="G30" i="40" s="1"/>
  <c r="I12" i="84"/>
  <c r="I32" i="72"/>
  <c r="D64" i="7"/>
  <c r="B54" i="7"/>
  <c r="B52" i="7"/>
  <c r="D52" i="7"/>
  <c r="B12" i="7"/>
  <c r="H32" i="72"/>
  <c r="H12" i="84"/>
  <c r="K29" i="76"/>
  <c r="K29" i="88"/>
  <c r="D68" i="7"/>
  <c r="B60" i="7"/>
  <c r="H29" i="88"/>
  <c r="K32" i="73"/>
  <c r="K12" i="85"/>
  <c r="K12" i="84"/>
  <c r="K32" i="72"/>
  <c r="F26" i="40"/>
  <c r="G26" i="40"/>
  <c r="M15" i="34"/>
  <c r="K86" i="87"/>
  <c r="D12" i="91"/>
  <c r="F8" i="33"/>
  <c r="F9" i="33" s="1"/>
  <c r="F11" i="33" s="1"/>
  <c r="C36" i="39"/>
  <c r="K36" i="39" s="1"/>
  <c r="K16" i="39"/>
  <c r="G9" i="38"/>
  <c r="A96" i="39"/>
  <c r="K48" i="58"/>
  <c r="I48" i="75"/>
  <c r="F48" i="76"/>
  <c r="J50" i="75"/>
  <c r="J51" i="75" s="1"/>
  <c r="F34" i="88"/>
  <c r="F35" i="88" s="1"/>
  <c r="F113" i="87"/>
  <c r="E257" i="13"/>
  <c r="E34" i="88"/>
  <c r="E35" i="88" s="1"/>
  <c r="E113" i="87"/>
  <c r="J34" i="76"/>
  <c r="J35" i="76" s="1"/>
  <c r="J112" i="87"/>
  <c r="B29" i="39"/>
  <c r="I42" i="75"/>
  <c r="G35" i="75"/>
  <c r="C35" i="76"/>
  <c r="C90" i="87"/>
  <c r="J42" i="75"/>
  <c r="J52" i="77"/>
  <c r="D48" i="75"/>
  <c r="D50" i="75"/>
  <c r="D51" i="75" s="1"/>
  <c r="S21" i="26"/>
  <c r="I48" i="76"/>
  <c r="K51" i="77"/>
  <c r="E48" i="76"/>
  <c r="C48" i="58"/>
  <c r="C48" i="76"/>
  <c r="C42" i="76"/>
  <c r="H48" i="76"/>
  <c r="K52" i="77"/>
  <c r="I50" i="76"/>
  <c r="I51" i="76" s="1"/>
  <c r="C51" i="77"/>
  <c r="C52" i="77"/>
  <c r="D51" i="77"/>
  <c r="D52" i="77"/>
  <c r="G50" i="77"/>
  <c r="G42" i="77"/>
  <c r="F42" i="77"/>
  <c r="L52" i="77"/>
  <c r="L51" i="77"/>
  <c r="G29" i="40"/>
  <c r="F48" i="77"/>
  <c r="H51" i="77"/>
  <c r="H52" i="77"/>
  <c r="I51" i="77"/>
  <c r="I52" i="77"/>
  <c r="E51" i="77"/>
  <c r="E52" i="77"/>
  <c r="E50" i="76"/>
  <c r="E51" i="76" s="1"/>
  <c r="F50" i="76"/>
  <c r="L50" i="76"/>
  <c r="L51" i="76" s="1"/>
  <c r="D48" i="76"/>
  <c r="F42" i="76"/>
  <c r="E42" i="76"/>
  <c r="L42" i="76"/>
  <c r="C50" i="76"/>
  <c r="C51" i="76" s="1"/>
  <c r="K48" i="76"/>
  <c r="I42" i="76"/>
  <c r="H50" i="76"/>
  <c r="G52" i="76" s="1"/>
  <c r="H42" i="76"/>
  <c r="E75" i="26"/>
  <c r="G42" i="76"/>
  <c r="J48" i="76"/>
  <c r="F66" i="26"/>
  <c r="F71" i="26" s="1"/>
  <c r="K42" i="76"/>
  <c r="K50" i="76"/>
  <c r="G48" i="76"/>
  <c r="D50" i="76"/>
  <c r="D42" i="76"/>
  <c r="J42" i="76"/>
  <c r="J50" i="76"/>
  <c r="C51" i="75"/>
  <c r="K30" i="40"/>
  <c r="E51" i="75"/>
  <c r="E52" i="75"/>
  <c r="H51" i="75"/>
  <c r="H52" i="75"/>
  <c r="I51" i="75"/>
  <c r="E48" i="58"/>
  <c r="F50" i="58"/>
  <c r="F51" i="58" s="1"/>
  <c r="G48" i="75"/>
  <c r="F48" i="75"/>
  <c r="G50" i="75"/>
  <c r="G42" i="75"/>
  <c r="F42" i="75"/>
  <c r="L52" i="75"/>
  <c r="L51" i="75"/>
  <c r="K52" i="75"/>
  <c r="K51" i="75"/>
  <c r="H42" i="58"/>
  <c r="G66" i="26"/>
  <c r="G71" i="26" s="1"/>
  <c r="G75" i="26"/>
  <c r="I66" i="26"/>
  <c r="I71" i="26" s="1"/>
  <c r="I48" i="58"/>
  <c r="C42" i="58"/>
  <c r="C75" i="26"/>
  <c r="J42" i="58"/>
  <c r="B66" i="26"/>
  <c r="B71" i="26" s="1"/>
  <c r="K27" i="40"/>
  <c r="G48" i="58"/>
  <c r="D66" i="26"/>
  <c r="D71" i="26" s="1"/>
  <c r="D75" i="26"/>
  <c r="B75" i="26"/>
  <c r="E12" i="41"/>
  <c r="Z31" i="41" s="1"/>
  <c r="Y31" i="41" s="1"/>
  <c r="G27" i="40"/>
  <c r="C50" i="58"/>
  <c r="C51" i="58" s="1"/>
  <c r="J50" i="58"/>
  <c r="J51" i="58" s="1"/>
  <c r="B56" i="27"/>
  <c r="C56" i="27"/>
  <c r="F56" i="27"/>
  <c r="G56" i="27"/>
  <c r="D56" i="27"/>
  <c r="H56" i="27"/>
  <c r="E56" i="27"/>
  <c r="I56" i="27"/>
  <c r="H50" i="58"/>
  <c r="H51" i="58" s="1"/>
  <c r="D48" i="58"/>
  <c r="L42" i="58"/>
  <c r="L50" i="58"/>
  <c r="K52" i="58" s="1"/>
  <c r="C66" i="26"/>
  <c r="C71" i="26" s="1"/>
  <c r="B36" i="26"/>
  <c r="B43" i="26" s="1"/>
  <c r="N21" i="26"/>
  <c r="A52" i="38"/>
  <c r="N59" i="38"/>
  <c r="P3" i="34"/>
  <c r="E3" i="93" s="1"/>
  <c r="O4" i="38"/>
  <c r="O41" i="38" s="1"/>
  <c r="D22" i="39"/>
  <c r="O34" i="34"/>
  <c r="F42" i="58"/>
  <c r="J6" i="40"/>
  <c r="J35" i="40"/>
  <c r="E76" i="26"/>
  <c r="E78" i="26" s="1"/>
  <c r="E33" i="26"/>
  <c r="E37" i="26" s="1"/>
  <c r="E36" i="26"/>
  <c r="E43" i="26" s="1"/>
  <c r="K9" i="38"/>
  <c r="L9" i="38"/>
  <c r="E70" i="26"/>
  <c r="E66" i="26"/>
  <c r="I33" i="26"/>
  <c r="I37" i="26" s="1"/>
  <c r="I36" i="26"/>
  <c r="I43" i="26" s="1"/>
  <c r="I76" i="26"/>
  <c r="I78" i="26" s="1"/>
  <c r="D42" i="58"/>
  <c r="D50" i="58"/>
  <c r="I75" i="26"/>
  <c r="C76" i="26"/>
  <c r="C78" i="26" s="1"/>
  <c r="C33" i="26"/>
  <c r="C37" i="26" s="1"/>
  <c r="C36" i="26"/>
  <c r="C43" i="26" s="1"/>
  <c r="S9" i="41"/>
  <c r="S10" i="41" s="1"/>
  <c r="I9" i="41"/>
  <c r="G33" i="26"/>
  <c r="G37" i="26" s="1"/>
  <c r="G76" i="26"/>
  <c r="G78" i="26" s="1"/>
  <c r="G36" i="26"/>
  <c r="G43" i="26" s="1"/>
  <c r="D76" i="26"/>
  <c r="D78" i="26" s="1"/>
  <c r="D33" i="26"/>
  <c r="D37" i="26" s="1"/>
  <c r="D36" i="26"/>
  <c r="D43" i="26" s="1"/>
  <c r="H70" i="26"/>
  <c r="H66" i="26"/>
  <c r="G11" i="41"/>
  <c r="Q11" i="41"/>
  <c r="Q12" i="41" s="1"/>
  <c r="Z34" i="41" s="1"/>
  <c r="E42" i="58"/>
  <c r="E50" i="58"/>
  <c r="B76" i="26"/>
  <c r="B78" i="26" s="1"/>
  <c r="B33" i="26"/>
  <c r="B37" i="26" s="1"/>
  <c r="G51" i="58"/>
  <c r="I51" i="58"/>
  <c r="K51" i="58"/>
  <c r="M44" i="38"/>
  <c r="N52" i="38" s="1"/>
  <c r="M54" i="34"/>
  <c r="N50" i="34"/>
  <c r="E6" i="91" s="1"/>
  <c r="F46" i="91" s="1"/>
  <c r="I103" i="34"/>
  <c r="M89" i="34"/>
  <c r="A17" i="5"/>
  <c r="B16" i="5"/>
  <c r="A29" i="5"/>
  <c r="A42" i="5" s="1"/>
  <c r="J16" i="5"/>
  <c r="J29" i="5" s="1"/>
  <c r="J42" i="5" s="1"/>
  <c r="C44" i="14"/>
  <c r="K44" i="14"/>
  <c r="J44" i="14"/>
  <c r="L44" i="14"/>
  <c r="I44" i="14"/>
  <c r="H44" i="14"/>
  <c r="G44" i="14"/>
  <c r="F44" i="14"/>
  <c r="E44" i="14"/>
  <c r="D44" i="14"/>
  <c r="C31" i="14"/>
  <c r="L31" i="14"/>
  <c r="D31" i="14"/>
  <c r="G31" i="14"/>
  <c r="H31" i="14"/>
  <c r="E31" i="14"/>
  <c r="I31" i="14"/>
  <c r="F31" i="14"/>
  <c r="J31" i="14"/>
  <c r="K31" i="14"/>
  <c r="C41" i="5"/>
  <c r="G41" i="5"/>
  <c r="H41" i="5"/>
  <c r="D41" i="5"/>
  <c r="E41" i="5"/>
  <c r="F41" i="5"/>
  <c r="O41" i="5"/>
  <c r="P41" i="5"/>
  <c r="L41" i="5"/>
  <c r="M41" i="5"/>
  <c r="N41" i="5"/>
  <c r="K41" i="5"/>
  <c r="B72" i="32"/>
  <c r="C71" i="32"/>
  <c r="L28" i="5"/>
  <c r="O28" i="5"/>
  <c r="P28" i="5"/>
  <c r="M28" i="5"/>
  <c r="K28" i="5"/>
  <c r="N28" i="5"/>
  <c r="E28" i="5"/>
  <c r="G28" i="5"/>
  <c r="D28" i="5"/>
  <c r="H28" i="5"/>
  <c r="F28" i="5"/>
  <c r="C28" i="5"/>
  <c r="B19" i="14"/>
  <c r="A32" i="14"/>
  <c r="A45" i="14" s="1"/>
  <c r="A20" i="14"/>
  <c r="L33" i="88" a="1"/>
  <c r="L33" i="76" a="1"/>
  <c r="E33" i="76" a="1"/>
  <c r="J33" i="88" a="1"/>
  <c r="G33" i="76" a="1"/>
  <c r="F33" i="76" a="1"/>
  <c r="K33" i="88" a="1"/>
  <c r="I33" i="88" a="1"/>
  <c r="K33" i="76" a="1"/>
  <c r="H33" i="88" a="1"/>
  <c r="H33" i="88" l="1"/>
  <c r="H34" i="88" s="1"/>
  <c r="K33" i="76"/>
  <c r="K112" i="87" s="1"/>
  <c r="I33" i="88"/>
  <c r="K33" i="88"/>
  <c r="F33" i="76"/>
  <c r="G33" i="76"/>
  <c r="J33" i="88"/>
  <c r="J34" i="88" s="1"/>
  <c r="E33" i="76"/>
  <c r="L33" i="76"/>
  <c r="L33" i="88"/>
  <c r="L34" i="88" s="1"/>
  <c r="L35" i="88" s="1"/>
  <c r="G79" i="87"/>
  <c r="H29" i="40"/>
  <c r="I30" i="40"/>
  <c r="K79" i="87"/>
  <c r="K80" i="87"/>
  <c r="D86" i="1"/>
  <c r="C86" i="1"/>
  <c r="H80" i="87"/>
  <c r="I27" i="40"/>
  <c r="Q85" i="34"/>
  <c r="Q14" i="34" s="1"/>
  <c r="P14" i="34"/>
  <c r="I80" i="87"/>
  <c r="C87" i="1"/>
  <c r="D87" i="1"/>
  <c r="F79" i="87"/>
  <c r="J80" i="87"/>
  <c r="J82" i="87" s="1"/>
  <c r="M27" i="40"/>
  <c r="K67" i="39" s="1"/>
  <c r="M29" i="40"/>
  <c r="K66" i="39" s="1"/>
  <c r="E79" i="87"/>
  <c r="E82" i="87" s="1"/>
  <c r="C63" i="39"/>
  <c r="C76" i="39" s="1"/>
  <c r="C52" i="39"/>
  <c r="D14" i="91"/>
  <c r="D34" i="91" s="1"/>
  <c r="D32" i="91"/>
  <c r="D36" i="39"/>
  <c r="L36" i="39" s="1"/>
  <c r="L16" i="39"/>
  <c r="E17" i="91"/>
  <c r="E35" i="91" s="1"/>
  <c r="E24" i="91"/>
  <c r="A95" i="39"/>
  <c r="A94" i="39" s="1"/>
  <c r="A93" i="39" s="1"/>
  <c r="A97" i="39"/>
  <c r="A98" i="39" s="1"/>
  <c r="A99" i="39" s="1"/>
  <c r="I52" i="75"/>
  <c r="J52" i="75"/>
  <c r="N44" i="38"/>
  <c r="P53" i="38" s="1"/>
  <c r="C52" i="75"/>
  <c r="D52" i="75"/>
  <c r="E52" i="76"/>
  <c r="F52" i="76"/>
  <c r="F51" i="76"/>
  <c r="L52" i="76"/>
  <c r="G51" i="77"/>
  <c r="G52" i="77"/>
  <c r="F52" i="77"/>
  <c r="K52" i="76"/>
  <c r="K51" i="76"/>
  <c r="J51" i="76"/>
  <c r="J52" i="76"/>
  <c r="D51" i="76"/>
  <c r="D52" i="76"/>
  <c r="C52" i="76"/>
  <c r="I52" i="76"/>
  <c r="H51" i="76"/>
  <c r="H52" i="76"/>
  <c r="F52" i="58"/>
  <c r="G51" i="75"/>
  <c r="G52" i="75"/>
  <c r="F52" i="75"/>
  <c r="I52" i="58"/>
  <c r="J52" i="58"/>
  <c r="Z10" i="41"/>
  <c r="G52" i="58"/>
  <c r="H71" i="26"/>
  <c r="I11" i="41"/>
  <c r="S11" i="41"/>
  <c r="S12" i="41" s="1"/>
  <c r="X35" i="41" s="1"/>
  <c r="X14" i="41" s="1"/>
  <c r="K9" i="41"/>
  <c r="M9" i="41" s="1"/>
  <c r="U9" i="41"/>
  <c r="U10" i="41" s="1"/>
  <c r="P34" i="34"/>
  <c r="Q3" i="34"/>
  <c r="F3" i="93" s="1"/>
  <c r="E22" i="39"/>
  <c r="P4" i="38"/>
  <c r="P41" i="38" s="1"/>
  <c r="D51" i="58"/>
  <c r="D52" i="58"/>
  <c r="E51" i="58"/>
  <c r="E52" i="58"/>
  <c r="H52" i="58"/>
  <c r="C52" i="58"/>
  <c r="E71" i="26"/>
  <c r="L52" i="58"/>
  <c r="L51" i="58"/>
  <c r="L35" i="40"/>
  <c r="L6" i="40"/>
  <c r="O59" i="38"/>
  <c r="A53" i="38"/>
  <c r="Z13" i="41"/>
  <c r="Y34" i="41"/>
  <c r="Q52" i="38"/>
  <c r="O52" i="38"/>
  <c r="P52" i="38"/>
  <c r="O50" i="34"/>
  <c r="F6" i="91" s="1"/>
  <c r="G46" i="91" s="1"/>
  <c r="N54" i="34"/>
  <c r="C29" i="39"/>
  <c r="P68" i="38"/>
  <c r="O68" i="38"/>
  <c r="Q68" i="38"/>
  <c r="M99" i="34"/>
  <c r="N99" i="34" s="1"/>
  <c r="O99" i="34" s="1"/>
  <c r="P99" i="34" s="1"/>
  <c r="Q99" i="34" s="1"/>
  <c r="M90" i="34"/>
  <c r="N90" i="34" s="1"/>
  <c r="O90" i="34" s="1"/>
  <c r="M68" i="38"/>
  <c r="N68" i="38"/>
  <c r="C42" i="5"/>
  <c r="G42" i="5"/>
  <c r="H42" i="5"/>
  <c r="F42" i="5"/>
  <c r="D42" i="5"/>
  <c r="E42" i="5"/>
  <c r="N42" i="5"/>
  <c r="K42" i="5"/>
  <c r="M42" i="5"/>
  <c r="P42" i="5"/>
  <c r="L42" i="5"/>
  <c r="O42" i="5"/>
  <c r="M29" i="5"/>
  <c r="N29" i="5"/>
  <c r="K29" i="5"/>
  <c r="L29" i="5"/>
  <c r="O29" i="5"/>
  <c r="P29" i="5"/>
  <c r="F29" i="5"/>
  <c r="C29" i="5"/>
  <c r="E29" i="5"/>
  <c r="D29" i="5"/>
  <c r="H29" i="5"/>
  <c r="G29" i="5"/>
  <c r="B20" i="14"/>
  <c r="A33" i="14"/>
  <c r="A46" i="14" s="1"/>
  <c r="C45" i="14"/>
  <c r="K45" i="14"/>
  <c r="J45" i="14"/>
  <c r="L45" i="14"/>
  <c r="I45" i="14"/>
  <c r="G45" i="14"/>
  <c r="E45" i="14"/>
  <c r="H45" i="14"/>
  <c r="D45" i="14"/>
  <c r="F45" i="14"/>
  <c r="C32" i="14"/>
  <c r="L32" i="14"/>
  <c r="D32" i="14"/>
  <c r="F32" i="14"/>
  <c r="J32" i="14"/>
  <c r="G32" i="14"/>
  <c r="H32" i="14"/>
  <c r="E32" i="14"/>
  <c r="I32" i="14"/>
  <c r="K32" i="14"/>
  <c r="B73" i="32"/>
  <c r="C73" i="32" s="1"/>
  <c r="C72" i="32"/>
  <c r="B17" i="5"/>
  <c r="A30" i="5"/>
  <c r="A43" i="5" s="1"/>
  <c r="J17" i="5"/>
  <c r="J30" i="5" s="1"/>
  <c r="J43" i="5" s="1"/>
  <c r="H88" i="87" a="1"/>
  <c r="E87" i="87" a="1"/>
  <c r="K87" i="87" a="1"/>
  <c r="I88" i="87" a="1"/>
  <c r="K88" i="87" a="1"/>
  <c r="F87" i="87" a="1"/>
  <c r="G87" i="87" a="1"/>
  <c r="J88" i="87" a="1"/>
  <c r="J88" i="87" l="1"/>
  <c r="G87" i="87"/>
  <c r="F87" i="87"/>
  <c r="K88" i="87"/>
  <c r="I88" i="87"/>
  <c r="K87" i="87"/>
  <c r="E87" i="87"/>
  <c r="H88" i="87"/>
  <c r="K113" i="87"/>
  <c r="K115" i="87" s="1"/>
  <c r="K35" i="88"/>
  <c r="K34" i="76"/>
  <c r="K35" i="76" s="1"/>
  <c r="K34" i="88"/>
  <c r="G34" i="76"/>
  <c r="G35" i="76" s="1"/>
  <c r="G112" i="87"/>
  <c r="L34" i="76"/>
  <c r="L35" i="76"/>
  <c r="E34" i="76"/>
  <c r="E35" i="76" s="1"/>
  <c r="E112" i="87"/>
  <c r="E115" i="87" s="1"/>
  <c r="K82" i="87"/>
  <c r="J113" i="87"/>
  <c r="J115" i="87" s="1"/>
  <c r="J35" i="88"/>
  <c r="F34" i="76"/>
  <c r="F35" i="76" s="1"/>
  <c r="F112" i="87"/>
  <c r="I113" i="87"/>
  <c r="I34" i="88"/>
  <c r="I35" i="88" s="1"/>
  <c r="H113" i="87"/>
  <c r="H35" i="88"/>
  <c r="D63" i="39"/>
  <c r="D76" i="39" s="1"/>
  <c r="D52" i="39"/>
  <c r="E36" i="39"/>
  <c r="E63" i="39" s="1"/>
  <c r="E76" i="39" s="1"/>
  <c r="M16" i="39"/>
  <c r="F17" i="91"/>
  <c r="F35" i="91" s="1"/>
  <c r="F24" i="91"/>
  <c r="Q53" i="38"/>
  <c r="O53" i="38"/>
  <c r="D29" i="39"/>
  <c r="N74" i="38"/>
  <c r="O74" i="38"/>
  <c r="P74" i="38"/>
  <c r="Q74" i="38"/>
  <c r="K11" i="41"/>
  <c r="M11" i="41" s="1"/>
  <c r="U11" i="41"/>
  <c r="U12" i="41" s="1"/>
  <c r="Z35" i="41" s="1"/>
  <c r="Q34" i="34"/>
  <c r="G36" i="39"/>
  <c r="Q4" i="38"/>
  <c r="Q41" i="38" s="1"/>
  <c r="F22" i="39"/>
  <c r="P59" i="38"/>
  <c r="A54" i="38"/>
  <c r="O54" i="34"/>
  <c r="P50" i="34"/>
  <c r="G6" i="91" s="1"/>
  <c r="H46" i="91" s="1"/>
  <c r="O44" i="38"/>
  <c r="Q54" i="38" s="1"/>
  <c r="M74" i="38"/>
  <c r="M75" i="38" s="1"/>
  <c r="M69" i="38"/>
  <c r="P90" i="34"/>
  <c r="C46" i="14"/>
  <c r="C47" i="14" s="1"/>
  <c r="K46" i="14"/>
  <c r="K47" i="14" s="1"/>
  <c r="H46" i="14"/>
  <c r="H47" i="14" s="1"/>
  <c r="F46" i="14"/>
  <c r="F47" i="14" s="1"/>
  <c r="D46" i="14"/>
  <c r="D47" i="14" s="1"/>
  <c r="G46" i="14"/>
  <c r="G47" i="14" s="1"/>
  <c r="I46" i="14"/>
  <c r="I47" i="14" s="1"/>
  <c r="E46" i="14"/>
  <c r="E47" i="14" s="1"/>
  <c r="L46" i="14"/>
  <c r="L47" i="14" s="1"/>
  <c r="J46" i="14"/>
  <c r="J47" i="14" s="1"/>
  <c r="C33" i="14"/>
  <c r="C34" i="14" s="1"/>
  <c r="C15" i="20" s="1"/>
  <c r="C21" i="20" s="1"/>
  <c r="L33" i="14"/>
  <c r="L34" i="14" s="1"/>
  <c r="D33" i="14"/>
  <c r="D34" i="14" s="1"/>
  <c r="E33" i="14"/>
  <c r="E34" i="14" s="1"/>
  <c r="I33" i="14"/>
  <c r="I34" i="14" s="1"/>
  <c r="F33" i="14"/>
  <c r="F34" i="14" s="1"/>
  <c r="J33" i="14"/>
  <c r="J34" i="14" s="1"/>
  <c r="G33" i="14"/>
  <c r="G34" i="14" s="1"/>
  <c r="H82" i="34" s="1"/>
  <c r="H33" i="14"/>
  <c r="H34" i="14" s="1"/>
  <c r="K33" i="14"/>
  <c r="K34" i="14" s="1"/>
  <c r="N30" i="5"/>
  <c r="N31" i="5" s="1"/>
  <c r="F17" i="6" s="1"/>
  <c r="K30" i="5"/>
  <c r="K31" i="5" s="1"/>
  <c r="C17" i="6" s="1"/>
  <c r="L30" i="5"/>
  <c r="L31" i="5" s="1"/>
  <c r="D17" i="6" s="1"/>
  <c r="O30" i="5"/>
  <c r="O31" i="5" s="1"/>
  <c r="G17" i="6" s="1"/>
  <c r="P30" i="5"/>
  <c r="P31" i="5" s="1"/>
  <c r="H17" i="6" s="1"/>
  <c r="M30" i="5"/>
  <c r="M31" i="5" s="1"/>
  <c r="E17" i="6" s="1"/>
  <c r="F30" i="5"/>
  <c r="F31" i="5" s="1"/>
  <c r="G30" i="5"/>
  <c r="G31" i="5" s="1"/>
  <c r="C30" i="5"/>
  <c r="C31" i="5" s="1"/>
  <c r="E30" i="5"/>
  <c r="E31" i="5" s="1"/>
  <c r="D30" i="5"/>
  <c r="D31" i="5" s="1"/>
  <c r="H30" i="5"/>
  <c r="H31" i="5" s="1"/>
  <c r="C43" i="5"/>
  <c r="C44" i="5" s="1"/>
  <c r="D43" i="5"/>
  <c r="D44" i="5" s="1"/>
  <c r="E43" i="5"/>
  <c r="E44" i="5" s="1"/>
  <c r="F43" i="5"/>
  <c r="F44" i="5" s="1"/>
  <c r="G43" i="5"/>
  <c r="G44" i="5" s="1"/>
  <c r="H43" i="5"/>
  <c r="H44" i="5" s="1"/>
  <c r="K43" i="5"/>
  <c r="K44" i="5" s="1"/>
  <c r="K45" i="5" s="1"/>
  <c r="L43" i="5"/>
  <c r="L44" i="5" s="1"/>
  <c r="L45" i="5" s="1"/>
  <c r="O43" i="5"/>
  <c r="O44" i="5" s="1"/>
  <c r="O45" i="5" s="1"/>
  <c r="P43" i="5"/>
  <c r="P44" i="5" s="1"/>
  <c r="P45" i="5" s="1"/>
  <c r="M43" i="5"/>
  <c r="M44" i="5" s="1"/>
  <c r="M45" i="5" s="1"/>
  <c r="N43" i="5"/>
  <c r="N44" i="5" s="1"/>
  <c r="N45" i="5" s="1"/>
  <c r="C9" i="78" a="1"/>
  <c r="L9" i="64" a="1"/>
  <c r="F9" i="64" a="1"/>
  <c r="C9" i="80" a="1"/>
  <c r="D9" i="79" a="1"/>
  <c r="G10" i="6" a="1"/>
  <c r="F9" i="80" a="1"/>
  <c r="D9" i="78" a="1"/>
  <c r="I9" i="80" a="1"/>
  <c r="F10" i="6" a="1"/>
  <c r="C9" i="79" a="1"/>
  <c r="K9" i="82" a="1"/>
  <c r="H9" i="79" a="1"/>
  <c r="H9" i="82" a="1"/>
  <c r="E9" i="78" a="1"/>
  <c r="L9" i="80" a="1"/>
  <c r="E6" i="6" a="1"/>
  <c r="I9" i="79" a="1"/>
  <c r="D10" i="6" a="1"/>
  <c r="G9" i="80" a="1"/>
  <c r="H6" i="6" a="1"/>
  <c r="C10" i="6" a="1"/>
  <c r="J9" i="80" a="1"/>
  <c r="C9" i="64" a="1"/>
  <c r="H10" i="6" a="1"/>
  <c r="D9" i="64" a="1"/>
  <c r="G6" i="6" a="1"/>
  <c r="F9" i="78" a="1"/>
  <c r="I9" i="78" a="1"/>
  <c r="D9" i="80" a="1"/>
  <c r="E9" i="82" a="1"/>
  <c r="G9" i="79" a="1"/>
  <c r="G9" i="82" a="1"/>
  <c r="I9" i="64" a="1"/>
  <c r="C6" i="6" a="1"/>
  <c r="J9" i="78" a="1"/>
  <c r="G9" i="64" a="1"/>
  <c r="F6" i="6" a="1"/>
  <c r="D6" i="6" a="1"/>
  <c r="J9" i="64" a="1"/>
  <c r="L9" i="78" a="1"/>
  <c r="E9" i="80" a="1"/>
  <c r="J9" i="82" a="1"/>
  <c r="J9" i="79" a="1"/>
  <c r="H9" i="80" a="1"/>
  <c r="F9" i="79" a="1"/>
  <c r="L9" i="79" a="1"/>
  <c r="K9" i="79" a="1"/>
  <c r="K9" i="80" a="1"/>
  <c r="G9" i="78" a="1"/>
  <c r="K9" i="78" a="1"/>
  <c r="D9" i="82" a="1"/>
  <c r="K9" i="64" a="1"/>
  <c r="E10" i="6" a="1"/>
  <c r="I9" i="82" a="1"/>
  <c r="H9" i="64" a="1"/>
  <c r="C9" i="82" a="1"/>
  <c r="H9" i="78" a="1"/>
  <c r="E9" i="79" a="1"/>
  <c r="L9" i="82" a="1"/>
  <c r="E9" i="64" a="1"/>
  <c r="F9" i="82" a="1"/>
  <c r="E52" i="39" l="1"/>
  <c r="M36" i="39"/>
  <c r="F36" i="39"/>
  <c r="N36" i="39" s="1"/>
  <c r="N16" i="39"/>
  <c r="G17" i="91"/>
  <c r="G35" i="91" s="1"/>
  <c r="G24" i="91"/>
  <c r="C109" i="87"/>
  <c r="P54" i="34"/>
  <c r="C76" i="87"/>
  <c r="D9" i="82"/>
  <c r="D11" i="82" s="1"/>
  <c r="D27" i="87" s="1"/>
  <c r="F9" i="82"/>
  <c r="F11" i="82" s="1"/>
  <c r="F27" i="87" s="1"/>
  <c r="H9" i="82"/>
  <c r="H11" i="82" s="1"/>
  <c r="H27" i="87" s="1"/>
  <c r="G10" i="6"/>
  <c r="H6" i="6"/>
  <c r="E10" i="6"/>
  <c r="K9" i="82"/>
  <c r="K11" i="82" s="1"/>
  <c r="K27" i="87" s="1"/>
  <c r="G6" i="6"/>
  <c r="H10" i="6"/>
  <c r="C9" i="82"/>
  <c r="C11" i="82" s="1"/>
  <c r="C27" i="87" s="1"/>
  <c r="F6" i="6"/>
  <c r="E6" i="6"/>
  <c r="D10" i="6"/>
  <c r="D6" i="6"/>
  <c r="C10" i="6"/>
  <c r="J9" i="82"/>
  <c r="J11" i="82" s="1"/>
  <c r="J27" i="87" s="1"/>
  <c r="C6" i="6"/>
  <c r="F10" i="6"/>
  <c r="L9" i="82"/>
  <c r="L11" i="82" s="1"/>
  <c r="E9" i="82"/>
  <c r="E11" i="82" s="1"/>
  <c r="E27" i="87" s="1"/>
  <c r="I9" i="82"/>
  <c r="I11" i="82" s="1"/>
  <c r="I27" i="87" s="1"/>
  <c r="G9" i="82"/>
  <c r="G11" i="82" s="1"/>
  <c r="G27" i="87" s="1"/>
  <c r="J9" i="80"/>
  <c r="J11" i="80" s="1"/>
  <c r="J31" i="87" s="1"/>
  <c r="F9" i="80"/>
  <c r="F11" i="80" s="1"/>
  <c r="L9" i="80"/>
  <c r="L11" i="80" s="1"/>
  <c r="C9" i="80"/>
  <c r="C11" i="80" s="1"/>
  <c r="C31" i="87" s="1"/>
  <c r="D9" i="80"/>
  <c r="D11" i="80" s="1"/>
  <c r="D31" i="87" s="1"/>
  <c r="H9" i="80"/>
  <c r="H11" i="80" s="1"/>
  <c r="K9" i="80"/>
  <c r="K11" i="80" s="1"/>
  <c r="K31" i="87" s="1"/>
  <c r="E9" i="80"/>
  <c r="E11" i="80" s="1"/>
  <c r="E31" i="87" s="1"/>
  <c r="I9" i="80"/>
  <c r="I11" i="80" s="1"/>
  <c r="I31" i="87" s="1"/>
  <c r="G9" i="80"/>
  <c r="G11" i="80" s="1"/>
  <c r="J9" i="79"/>
  <c r="J11" i="79" s="1"/>
  <c r="J29" i="87" s="1"/>
  <c r="I9" i="79"/>
  <c r="I11" i="79" s="1"/>
  <c r="G9" i="79"/>
  <c r="G11" i="79" s="1"/>
  <c r="G29" i="87" s="1"/>
  <c r="D9" i="79"/>
  <c r="D11" i="79" s="1"/>
  <c r="D29" i="87" s="1"/>
  <c r="F9" i="79"/>
  <c r="F11" i="79" s="1"/>
  <c r="F29" i="87" s="1"/>
  <c r="L9" i="79"/>
  <c r="L11" i="79" s="1"/>
  <c r="E9" i="79"/>
  <c r="E11" i="79" s="1"/>
  <c r="E29" i="87" s="1"/>
  <c r="H9" i="79"/>
  <c r="H11" i="79" s="1"/>
  <c r="K9" i="79"/>
  <c r="K11" i="79" s="1"/>
  <c r="K29" i="87" s="1"/>
  <c r="C9" i="79"/>
  <c r="C11" i="79" s="1"/>
  <c r="C29" i="87" s="1"/>
  <c r="D9" i="78"/>
  <c r="D11" i="78" s="1"/>
  <c r="D30" i="87" s="1"/>
  <c r="L9" i="78"/>
  <c r="L11" i="78" s="1"/>
  <c r="F9" i="78"/>
  <c r="F11" i="78" s="1"/>
  <c r="F30" i="87" s="1"/>
  <c r="H9" i="78"/>
  <c r="H11" i="78" s="1"/>
  <c r="H30" i="87" s="1"/>
  <c r="K9" i="78"/>
  <c r="K11" i="78" s="1"/>
  <c r="K30" i="87" s="1"/>
  <c r="C9" i="78"/>
  <c r="C11" i="78" s="1"/>
  <c r="C30" i="87" s="1"/>
  <c r="J9" i="78"/>
  <c r="J11" i="78" s="1"/>
  <c r="J30" i="87" s="1"/>
  <c r="E9" i="78"/>
  <c r="E11" i="78" s="1"/>
  <c r="E30" i="87" s="1"/>
  <c r="I9" i="78"/>
  <c r="I11" i="78" s="1"/>
  <c r="I30" i="87" s="1"/>
  <c r="G9" i="78"/>
  <c r="G11" i="78" s="1"/>
  <c r="G30" i="87" s="1"/>
  <c r="D9" i="64"/>
  <c r="D11" i="64" s="1"/>
  <c r="D28" i="87" s="1"/>
  <c r="F9" i="64"/>
  <c r="F11" i="64" s="1"/>
  <c r="F28" i="87" s="1"/>
  <c r="H9" i="64"/>
  <c r="H11" i="64" s="1"/>
  <c r="H28" i="87" s="1"/>
  <c r="K9" i="64"/>
  <c r="K11" i="64" s="1"/>
  <c r="K28" i="87" s="1"/>
  <c r="C9" i="64"/>
  <c r="C11" i="64" s="1"/>
  <c r="C28" i="87" s="1"/>
  <c r="J9" i="64"/>
  <c r="J11" i="64" s="1"/>
  <c r="J28" i="87" s="1"/>
  <c r="L9" i="64"/>
  <c r="L11" i="64" s="1"/>
  <c r="L13" i="64" s="1"/>
  <c r="L14" i="64" s="1"/>
  <c r="L18" i="64" s="1"/>
  <c r="E9" i="64"/>
  <c r="E11" i="64" s="1"/>
  <c r="E28" i="87" s="1"/>
  <c r="I9" i="64"/>
  <c r="I11" i="64" s="1"/>
  <c r="I28" i="87" s="1"/>
  <c r="G9" i="64"/>
  <c r="G11" i="64" s="1"/>
  <c r="G28" i="87" s="1"/>
  <c r="C9" i="21"/>
  <c r="Z14" i="41"/>
  <c r="Y35" i="41"/>
  <c r="F63" i="39"/>
  <c r="F76" i="39" s="1"/>
  <c r="Q59" i="38"/>
  <c r="A55" i="38"/>
  <c r="G52" i="39"/>
  <c r="O36" i="39"/>
  <c r="D34" i="58"/>
  <c r="E34" i="58"/>
  <c r="F34" i="58"/>
  <c r="H34" i="58"/>
  <c r="I34" i="58"/>
  <c r="J34" i="58"/>
  <c r="K34" i="58"/>
  <c r="L34" i="58"/>
  <c r="L35" i="58" s="1"/>
  <c r="C35" i="58"/>
  <c r="H16" i="6"/>
  <c r="I83" i="1" s="1"/>
  <c r="E16" i="6"/>
  <c r="F82" i="1" s="1"/>
  <c r="C16" i="6"/>
  <c r="A31" i="1" s="1"/>
  <c r="G16" i="6"/>
  <c r="H31" i="1" s="1"/>
  <c r="F16" i="6"/>
  <c r="G31" i="1" s="1"/>
  <c r="D15" i="20"/>
  <c r="P44" i="38"/>
  <c r="Q55" i="38" s="1"/>
  <c r="Q56" i="38" s="1"/>
  <c r="Q50" i="34"/>
  <c r="H6" i="91" s="1"/>
  <c r="E29" i="39"/>
  <c r="P54" i="38"/>
  <c r="D16" i="6"/>
  <c r="E82" i="1" s="1"/>
  <c r="N67" i="38"/>
  <c r="N69" i="38" s="1"/>
  <c r="M70" i="38"/>
  <c r="N73" i="38"/>
  <c r="N75" i="38" s="1"/>
  <c r="M76" i="38"/>
  <c r="Q90" i="34"/>
  <c r="B16" i="39" s="1"/>
  <c r="E45" i="5"/>
  <c r="F144" i="13"/>
  <c r="F78" i="13"/>
  <c r="G15" i="20"/>
  <c r="D144" i="13"/>
  <c r="D78" i="13"/>
  <c r="E15" i="20"/>
  <c r="J82" i="34"/>
  <c r="K11" i="22"/>
  <c r="D38" i="34" s="1"/>
  <c r="D45" i="38" s="1"/>
  <c r="D56" i="38" s="1"/>
  <c r="K9" i="21"/>
  <c r="K48" i="14"/>
  <c r="H45" i="5"/>
  <c r="D45" i="5"/>
  <c r="E82" i="34"/>
  <c r="I144" i="13"/>
  <c r="J15" i="20"/>
  <c r="I78" i="13"/>
  <c r="I79" i="13" s="1"/>
  <c r="K82" i="34"/>
  <c r="C144" i="13"/>
  <c r="C78" i="13"/>
  <c r="L11" i="22"/>
  <c r="C38" i="34" s="1"/>
  <c r="L9" i="21"/>
  <c r="L48" i="14"/>
  <c r="D11" i="22"/>
  <c r="D48" i="14"/>
  <c r="D9" i="21"/>
  <c r="C11" i="22"/>
  <c r="C48" i="14"/>
  <c r="J11" i="22"/>
  <c r="J48" i="14"/>
  <c r="J9" i="21"/>
  <c r="G45" i="5"/>
  <c r="C45" i="5"/>
  <c r="K15" i="20"/>
  <c r="D82" i="34"/>
  <c r="F15" i="20"/>
  <c r="E144" i="13"/>
  <c r="I82" i="34"/>
  <c r="E78" i="13"/>
  <c r="C82" i="34"/>
  <c r="L15" i="20"/>
  <c r="E11" i="22"/>
  <c r="E9" i="21"/>
  <c r="E48" i="14"/>
  <c r="F11" i="22"/>
  <c r="F48" i="14"/>
  <c r="F9" i="21"/>
  <c r="G11" i="22"/>
  <c r="G9" i="21"/>
  <c r="G48" i="14"/>
  <c r="F45" i="5"/>
  <c r="G144" i="13"/>
  <c r="G78" i="13"/>
  <c r="H15" i="20"/>
  <c r="G82" i="34"/>
  <c r="H144" i="13"/>
  <c r="H78" i="13"/>
  <c r="I15" i="20"/>
  <c r="F82" i="34"/>
  <c r="B144" i="13"/>
  <c r="B78" i="13"/>
  <c r="L82" i="34"/>
  <c r="L87" i="34" s="1"/>
  <c r="I11" i="22"/>
  <c r="I9" i="21"/>
  <c r="F8" i="34" s="1"/>
  <c r="I48" i="14"/>
  <c r="H11" i="22"/>
  <c r="H48" i="14"/>
  <c r="H9" i="21"/>
  <c r="G8" i="34" s="1"/>
  <c r="F31" i="6" a="1"/>
  <c r="E31" i="6" a="1"/>
  <c r="D31" i="6" a="1"/>
  <c r="C84" i="87" a="1"/>
  <c r="G31" i="6" a="1"/>
  <c r="H31" i="6" a="1"/>
  <c r="F52" i="39" l="1"/>
  <c r="I91" i="1"/>
  <c r="H17" i="91"/>
  <c r="H35" i="91" s="1"/>
  <c r="H24" i="91"/>
  <c r="B6" i="27"/>
  <c r="C84" i="87"/>
  <c r="G95" i="34"/>
  <c r="G9" i="34"/>
  <c r="Q54" i="34"/>
  <c r="Q38" i="34"/>
  <c r="I13" i="64"/>
  <c r="I14" i="64" s="1"/>
  <c r="I103" i="87"/>
  <c r="I62" i="87"/>
  <c r="I70" i="87"/>
  <c r="I12" i="87"/>
  <c r="J105" i="87"/>
  <c r="J72" i="87"/>
  <c r="J64" i="87"/>
  <c r="J14" i="87"/>
  <c r="D102" i="87"/>
  <c r="D69" i="87"/>
  <c r="D61" i="87"/>
  <c r="D11" i="87"/>
  <c r="E13" i="64"/>
  <c r="E14" i="64" s="1"/>
  <c r="E103" i="87"/>
  <c r="E70" i="87"/>
  <c r="E62" i="87"/>
  <c r="E12" i="87"/>
  <c r="C105" i="87"/>
  <c r="C64" i="87"/>
  <c r="C72" i="87"/>
  <c r="C14" i="87"/>
  <c r="D104" i="87"/>
  <c r="D71" i="87"/>
  <c r="D63" i="87"/>
  <c r="D13" i="87"/>
  <c r="F65" i="87"/>
  <c r="F73" i="87"/>
  <c r="K105" i="87"/>
  <c r="K72" i="87"/>
  <c r="K64" i="87"/>
  <c r="K14" i="87"/>
  <c r="G71" i="87"/>
  <c r="G63" i="87"/>
  <c r="G13" i="87"/>
  <c r="J65" i="87"/>
  <c r="J73" i="87"/>
  <c r="J106" i="87"/>
  <c r="J15" i="87"/>
  <c r="K35" i="58"/>
  <c r="K90" i="87"/>
  <c r="J103" i="87"/>
  <c r="J62" i="87"/>
  <c r="J70" i="87"/>
  <c r="J12" i="87"/>
  <c r="H105" i="87"/>
  <c r="H72" i="87"/>
  <c r="H64" i="87"/>
  <c r="H14" i="87"/>
  <c r="I104" i="87"/>
  <c r="I71" i="87"/>
  <c r="I63" i="87"/>
  <c r="G102" i="87"/>
  <c r="G69" i="87"/>
  <c r="G61" i="87"/>
  <c r="G11" i="87"/>
  <c r="C11" i="87"/>
  <c r="C102" i="87"/>
  <c r="C61" i="87"/>
  <c r="C69" i="87"/>
  <c r="F105" i="87"/>
  <c r="F64" i="87"/>
  <c r="F72" i="87"/>
  <c r="F14" i="87"/>
  <c r="J104" i="87"/>
  <c r="J63" i="87"/>
  <c r="J71" i="87"/>
  <c r="J13" i="87"/>
  <c r="I35" i="58"/>
  <c r="K13" i="64"/>
  <c r="K14" i="64" s="1"/>
  <c r="K103" i="87"/>
  <c r="K70" i="87"/>
  <c r="K62" i="87"/>
  <c r="K12" i="87"/>
  <c r="G65" i="87"/>
  <c r="G73" i="87"/>
  <c r="G106" i="87"/>
  <c r="E102" i="87"/>
  <c r="E69" i="87"/>
  <c r="E61" i="87"/>
  <c r="E11" i="87"/>
  <c r="J35" i="58"/>
  <c r="J90" i="87"/>
  <c r="H13" i="64"/>
  <c r="H14" i="64" s="1"/>
  <c r="H103" i="87"/>
  <c r="H62" i="87"/>
  <c r="H70" i="87"/>
  <c r="H12" i="87"/>
  <c r="I102" i="87"/>
  <c r="I69" i="87"/>
  <c r="I61" i="87"/>
  <c r="I11" i="87"/>
  <c r="H35" i="58"/>
  <c r="C12" i="87"/>
  <c r="C103" i="87"/>
  <c r="C70" i="87"/>
  <c r="C62" i="87"/>
  <c r="D105" i="87"/>
  <c r="D72" i="87"/>
  <c r="D64" i="87"/>
  <c r="D14" i="87"/>
  <c r="I65" i="87"/>
  <c r="I73" i="87"/>
  <c r="I106" i="87"/>
  <c r="I15" i="87"/>
  <c r="K102" i="87"/>
  <c r="K69" i="87"/>
  <c r="K61" i="87"/>
  <c r="K11" i="87"/>
  <c r="F35" i="58"/>
  <c r="F103" i="87"/>
  <c r="F62" i="87"/>
  <c r="F70" i="87"/>
  <c r="F12" i="87"/>
  <c r="C13" i="87"/>
  <c r="C104" i="87"/>
  <c r="C71" i="87"/>
  <c r="C63" i="87"/>
  <c r="E73" i="87"/>
  <c r="E65" i="87"/>
  <c r="E15" i="87"/>
  <c r="E35" i="58"/>
  <c r="E90" i="87"/>
  <c r="D13" i="64"/>
  <c r="D14" i="64" s="1"/>
  <c r="D103" i="87"/>
  <c r="D62" i="87"/>
  <c r="D70" i="87"/>
  <c r="D12" i="87"/>
  <c r="K104" i="87"/>
  <c r="K63" i="87"/>
  <c r="K71" i="87"/>
  <c r="K13" i="87"/>
  <c r="K73" i="87"/>
  <c r="K65" i="87"/>
  <c r="K106" i="87"/>
  <c r="K15" i="87"/>
  <c r="D35" i="58"/>
  <c r="D90" i="87"/>
  <c r="G105" i="87"/>
  <c r="G72" i="87"/>
  <c r="G64" i="87"/>
  <c r="G14" i="87"/>
  <c r="H104" i="87"/>
  <c r="H71" i="87"/>
  <c r="H63" i="87"/>
  <c r="H65" i="87"/>
  <c r="H73" i="87"/>
  <c r="H106" i="87"/>
  <c r="J102" i="87"/>
  <c r="J69" i="87"/>
  <c r="J61" i="87"/>
  <c r="J11" i="87"/>
  <c r="H102" i="87"/>
  <c r="H69" i="87"/>
  <c r="H61" i="87"/>
  <c r="H11" i="87"/>
  <c r="G13" i="64"/>
  <c r="G14" i="64" s="1"/>
  <c r="G103" i="87"/>
  <c r="G62" i="87"/>
  <c r="G70" i="87"/>
  <c r="G12" i="87"/>
  <c r="E105" i="87"/>
  <c r="E64" i="87"/>
  <c r="E72" i="87"/>
  <c r="E14" i="87"/>
  <c r="C73" i="87"/>
  <c r="C65" i="87"/>
  <c r="C106" i="87"/>
  <c r="C15" i="87"/>
  <c r="F102" i="87"/>
  <c r="F61" i="87"/>
  <c r="F69" i="87"/>
  <c r="F11" i="87"/>
  <c r="I105" i="87"/>
  <c r="I64" i="87"/>
  <c r="I72" i="87"/>
  <c r="I14" i="87"/>
  <c r="D65" i="87"/>
  <c r="D73" i="87"/>
  <c r="D15" i="87"/>
  <c r="F71" i="87"/>
  <c r="F63" i="87"/>
  <c r="F13" i="87"/>
  <c r="E104" i="87"/>
  <c r="E71" i="87"/>
  <c r="E63" i="87"/>
  <c r="E13" i="87"/>
  <c r="D31" i="6"/>
  <c r="E31" i="6"/>
  <c r="H31" i="6"/>
  <c r="G31" i="6"/>
  <c r="F31" i="6"/>
  <c r="J13" i="82"/>
  <c r="J14" i="82" s="1"/>
  <c r="J25" i="82"/>
  <c r="J22" i="82"/>
  <c r="C22" i="82"/>
  <c r="C13" i="82"/>
  <c r="C14" i="82" s="1"/>
  <c r="C25" i="82"/>
  <c r="G22" i="82"/>
  <c r="G13" i="82"/>
  <c r="G14" i="82" s="1"/>
  <c r="G25" i="82"/>
  <c r="K25" i="82"/>
  <c r="K22" i="82"/>
  <c r="K13" i="82"/>
  <c r="K14" i="82" s="1"/>
  <c r="D22" i="82"/>
  <c r="D13" i="82"/>
  <c r="D14" i="82" s="1"/>
  <c r="D25" i="82"/>
  <c r="I13" i="82"/>
  <c r="I14" i="82" s="1"/>
  <c r="I25" i="82"/>
  <c r="I22" i="82"/>
  <c r="E22" i="82"/>
  <c r="E13" i="82"/>
  <c r="E14" i="82" s="1"/>
  <c r="E25" i="82"/>
  <c r="H13" i="82"/>
  <c r="H14" i="82" s="1"/>
  <c r="H25" i="82"/>
  <c r="H22" i="82"/>
  <c r="L25" i="82"/>
  <c r="L22" i="82"/>
  <c r="L13" i="82"/>
  <c r="L14" i="82" s="1"/>
  <c r="F22" i="82"/>
  <c r="F13" i="82"/>
  <c r="F14" i="82" s="1"/>
  <c r="F25" i="82"/>
  <c r="L25" i="80"/>
  <c r="L22" i="80"/>
  <c r="L13" i="80"/>
  <c r="L14" i="80" s="1"/>
  <c r="L18" i="80" s="1"/>
  <c r="F22" i="80"/>
  <c r="F25" i="80"/>
  <c r="F13" i="80"/>
  <c r="F14" i="80" s="1"/>
  <c r="C22" i="80"/>
  <c r="C13" i="80"/>
  <c r="C14" i="80" s="1"/>
  <c r="C25" i="80"/>
  <c r="D22" i="80"/>
  <c r="D13" i="80"/>
  <c r="D14" i="80" s="1"/>
  <c r="D25" i="80"/>
  <c r="G13" i="80"/>
  <c r="G14" i="80" s="1"/>
  <c r="G22" i="80"/>
  <c r="G25" i="80"/>
  <c r="I25" i="80"/>
  <c r="I13" i="80"/>
  <c r="I14" i="80" s="1"/>
  <c r="I22" i="80"/>
  <c r="K25" i="80"/>
  <c r="K22" i="80"/>
  <c r="K13" i="80"/>
  <c r="K14" i="80" s="1"/>
  <c r="H13" i="80"/>
  <c r="H14" i="80" s="1"/>
  <c r="H25" i="80"/>
  <c r="H22" i="80"/>
  <c r="E22" i="80"/>
  <c r="E25" i="80"/>
  <c r="E13" i="80"/>
  <c r="E14" i="80" s="1"/>
  <c r="J25" i="80"/>
  <c r="J22" i="80"/>
  <c r="J13" i="80"/>
  <c r="J14" i="80" s="1"/>
  <c r="E22" i="79"/>
  <c r="E13" i="79"/>
  <c r="E14" i="79" s="1"/>
  <c r="E25" i="79"/>
  <c r="L25" i="79"/>
  <c r="L22" i="79"/>
  <c r="L13" i="79"/>
  <c r="L14" i="79" s="1"/>
  <c r="L18" i="79" s="1"/>
  <c r="C22" i="79"/>
  <c r="C13" i="79"/>
  <c r="C14" i="79" s="1"/>
  <c r="C25" i="79"/>
  <c r="G22" i="79"/>
  <c r="G13" i="79"/>
  <c r="G14" i="79" s="1"/>
  <c r="G25" i="79"/>
  <c r="H13" i="79"/>
  <c r="H14" i="79" s="1"/>
  <c r="H25" i="79"/>
  <c r="H22" i="79"/>
  <c r="K25" i="79"/>
  <c r="K22" i="79"/>
  <c r="K13" i="79"/>
  <c r="K14" i="79" s="1"/>
  <c r="I13" i="79"/>
  <c r="I14" i="79" s="1"/>
  <c r="I25" i="79"/>
  <c r="I22" i="79"/>
  <c r="F22" i="79"/>
  <c r="F13" i="79"/>
  <c r="F14" i="79" s="1"/>
  <c r="F25" i="79"/>
  <c r="J25" i="79"/>
  <c r="J22" i="79"/>
  <c r="J13" i="79"/>
  <c r="J14" i="79" s="1"/>
  <c r="D22" i="79"/>
  <c r="D13" i="79"/>
  <c r="D14" i="79" s="1"/>
  <c r="D25" i="79"/>
  <c r="J25" i="78"/>
  <c r="J13" i="78"/>
  <c r="J14" i="78" s="1"/>
  <c r="J22" i="78"/>
  <c r="I25" i="78"/>
  <c r="I13" i="78"/>
  <c r="I14" i="78" s="1"/>
  <c r="I22" i="78"/>
  <c r="L25" i="78"/>
  <c r="L13" i="78"/>
  <c r="L14" i="78" s="1"/>
  <c r="L18" i="78" s="1"/>
  <c r="L22" i="78"/>
  <c r="D22" i="78"/>
  <c r="D25" i="78"/>
  <c r="D13" i="78"/>
  <c r="D14" i="78" s="1"/>
  <c r="C22" i="78"/>
  <c r="C25" i="78"/>
  <c r="C13" i="78"/>
  <c r="C14" i="78" s="1"/>
  <c r="G22" i="78"/>
  <c r="G25" i="78"/>
  <c r="G13" i="78"/>
  <c r="G14" i="78" s="1"/>
  <c r="K13" i="78"/>
  <c r="K14" i="78" s="1"/>
  <c r="K22" i="78"/>
  <c r="K25" i="78"/>
  <c r="H25" i="78"/>
  <c r="H13" i="78"/>
  <c r="H14" i="78" s="1"/>
  <c r="H22" i="78"/>
  <c r="E22" i="78"/>
  <c r="E25" i="78"/>
  <c r="E13" i="78"/>
  <c r="E14" i="78" s="1"/>
  <c r="F25" i="78"/>
  <c r="F13" i="78"/>
  <c r="F14" i="78" s="1"/>
  <c r="F22" i="78"/>
  <c r="F13" i="64"/>
  <c r="F14" i="64" s="1"/>
  <c r="F25" i="64"/>
  <c r="D22" i="64"/>
  <c r="F22" i="64"/>
  <c r="J13" i="64"/>
  <c r="J14" i="64" s="1"/>
  <c r="J25" i="64"/>
  <c r="L25" i="64"/>
  <c r="J22" i="64"/>
  <c r="I22" i="64"/>
  <c r="D25" i="64"/>
  <c r="H25" i="64"/>
  <c r="C13" i="64"/>
  <c r="C14" i="64" s="1"/>
  <c r="C25" i="64"/>
  <c r="K25" i="64"/>
  <c r="E25" i="64"/>
  <c r="G22" i="64"/>
  <c r="C22" i="64"/>
  <c r="I6" i="94" s="1"/>
  <c r="J6" i="94" s="1"/>
  <c r="G25" i="64"/>
  <c r="H22" i="64"/>
  <c r="E22" i="64"/>
  <c r="I25" i="64"/>
  <c r="I95" i="1"/>
  <c r="I90" i="1"/>
  <c r="E11" i="6"/>
  <c r="F74" i="1" s="1"/>
  <c r="G34" i="58"/>
  <c r="I33" i="1"/>
  <c r="I82" i="1"/>
  <c r="F83" i="1"/>
  <c r="F11" i="6"/>
  <c r="G74" i="1" s="1"/>
  <c r="E90" i="1"/>
  <c r="F33" i="1"/>
  <c r="K22" i="64"/>
  <c r="L22" i="64"/>
  <c r="H90" i="1"/>
  <c r="G11" i="6"/>
  <c r="H29" i="1" s="1"/>
  <c r="G91" i="1"/>
  <c r="G82" i="1"/>
  <c r="G90" i="1"/>
  <c r="A90" i="1"/>
  <c r="F91" i="1"/>
  <c r="G33" i="1"/>
  <c r="F90" i="1"/>
  <c r="I31" i="1"/>
  <c r="G83" i="1"/>
  <c r="H82" i="1"/>
  <c r="G95" i="1"/>
  <c r="H91" i="1"/>
  <c r="H33" i="1"/>
  <c r="A95" i="1"/>
  <c r="F31" i="1"/>
  <c r="H83" i="1"/>
  <c r="H11" i="6"/>
  <c r="I29" i="1" s="1"/>
  <c r="A82" i="1"/>
  <c r="H95" i="1"/>
  <c r="A33" i="1"/>
  <c r="C11" i="6"/>
  <c r="A29" i="1" s="1"/>
  <c r="E33" i="1"/>
  <c r="A91" i="1"/>
  <c r="E83" i="1"/>
  <c r="A83" i="1"/>
  <c r="E91" i="1"/>
  <c r="F95" i="1"/>
  <c r="F29" i="39"/>
  <c r="Q44" i="38"/>
  <c r="D11" i="6"/>
  <c r="E29" i="1" s="1"/>
  <c r="E95" i="1"/>
  <c r="E31" i="1"/>
  <c r="O73" i="38"/>
  <c r="O75" i="38" s="1"/>
  <c r="N76" i="38"/>
  <c r="M79" i="38"/>
  <c r="O67" i="38"/>
  <c r="O69" i="38" s="1"/>
  <c r="N70" i="38"/>
  <c r="F45" i="1"/>
  <c r="G42" i="38"/>
  <c r="F87" i="34"/>
  <c r="E42" i="38"/>
  <c r="D87" i="34"/>
  <c r="J42" i="38"/>
  <c r="I87" i="34"/>
  <c r="L42" i="38"/>
  <c r="P50" i="38" s="1"/>
  <c r="P56" i="38" s="1"/>
  <c r="K87" i="34"/>
  <c r="K42" i="38"/>
  <c r="J87" i="34"/>
  <c r="I42" i="38"/>
  <c r="H87" i="34"/>
  <c r="H42" i="38"/>
  <c r="G87" i="34"/>
  <c r="D42" i="38"/>
  <c r="D47" i="38" s="1"/>
  <c r="C87" i="34"/>
  <c r="F80" i="39"/>
  <c r="F42" i="38"/>
  <c r="E87" i="34"/>
  <c r="B79" i="13"/>
  <c r="B95" i="13" s="1"/>
  <c r="H79" i="13"/>
  <c r="H95" i="13" s="1"/>
  <c r="D79" i="13"/>
  <c r="D95" i="13" s="1"/>
  <c r="F79" i="13"/>
  <c r="F93" i="13" s="1"/>
  <c r="H21" i="20"/>
  <c r="H34" i="20"/>
  <c r="J34" i="20"/>
  <c r="J21" i="20"/>
  <c r="K11" i="21"/>
  <c r="K26" i="87" s="1"/>
  <c r="D8" i="34"/>
  <c r="J38" i="13"/>
  <c r="G38" i="13"/>
  <c r="G117" i="13"/>
  <c r="H11" i="21"/>
  <c r="H38" i="13"/>
  <c r="H117" i="13"/>
  <c r="I11" i="21"/>
  <c r="B177" i="13"/>
  <c r="B205" i="13"/>
  <c r="B179" i="13"/>
  <c r="G79" i="13"/>
  <c r="F142" i="13"/>
  <c r="F101" i="13"/>
  <c r="I8" i="34"/>
  <c r="E38" i="13"/>
  <c r="E43" i="13" s="1"/>
  <c r="E117" i="13"/>
  <c r="F11" i="21"/>
  <c r="J8" i="34"/>
  <c r="E11" i="21"/>
  <c r="D38" i="13"/>
  <c r="D117" i="13"/>
  <c r="E79" i="13"/>
  <c r="G23" i="6"/>
  <c r="G21" i="6"/>
  <c r="H60" i="1"/>
  <c r="H59" i="1"/>
  <c r="H37" i="1"/>
  <c r="I6" i="27"/>
  <c r="E38" i="34"/>
  <c r="E45" i="38" s="1"/>
  <c r="K8" i="34"/>
  <c r="K11" i="34" s="1"/>
  <c r="C38" i="13"/>
  <c r="C117" i="13"/>
  <c r="D11" i="21"/>
  <c r="C8" i="34"/>
  <c r="L11" i="21"/>
  <c r="D34" i="20"/>
  <c r="D21" i="20"/>
  <c r="I205" i="13"/>
  <c r="I177" i="13"/>
  <c r="I179" i="13"/>
  <c r="H21" i="6"/>
  <c r="H23" i="6"/>
  <c r="I37" i="1"/>
  <c r="I60" i="1"/>
  <c r="I59" i="1"/>
  <c r="D205" i="13"/>
  <c r="D177" i="13"/>
  <c r="D179" i="13"/>
  <c r="F205" i="13"/>
  <c r="F177" i="13"/>
  <c r="F179" i="13"/>
  <c r="H101" i="13"/>
  <c r="H142" i="13"/>
  <c r="F34" i="20"/>
  <c r="F21" i="20"/>
  <c r="A13" i="1"/>
  <c r="A17" i="1" s="1"/>
  <c r="A20" i="1" s="1"/>
  <c r="A45" i="1"/>
  <c r="A43" i="1"/>
  <c r="A15" i="1"/>
  <c r="A22" i="1" s="1"/>
  <c r="A71" i="1"/>
  <c r="L38" i="34"/>
  <c r="E43" i="1"/>
  <c r="E15" i="1"/>
  <c r="E45" i="1"/>
  <c r="E13" i="1"/>
  <c r="E71" i="1"/>
  <c r="F38" i="34"/>
  <c r="F45" i="38" s="1"/>
  <c r="H6" i="27"/>
  <c r="H205" i="13"/>
  <c r="H177" i="13"/>
  <c r="H179" i="13"/>
  <c r="G205" i="13"/>
  <c r="G177" i="13"/>
  <c r="G179" i="13"/>
  <c r="G11" i="21"/>
  <c r="H8" i="34"/>
  <c r="F117" i="13"/>
  <c r="F38" i="13"/>
  <c r="E101" i="13"/>
  <c r="E142" i="13"/>
  <c r="D6" i="27"/>
  <c r="J38" i="34"/>
  <c r="J45" i="38" s="1"/>
  <c r="K21" i="20"/>
  <c r="K34" i="20"/>
  <c r="H45" i="1"/>
  <c r="H13" i="1"/>
  <c r="H17" i="1" s="1"/>
  <c r="H20" i="1" s="1"/>
  <c r="H43" i="1"/>
  <c r="H15" i="1"/>
  <c r="H22" i="1" s="1"/>
  <c r="H71" i="1"/>
  <c r="L8" i="34"/>
  <c r="B117" i="13"/>
  <c r="B38" i="13"/>
  <c r="C11" i="21"/>
  <c r="C142" i="13"/>
  <c r="C101" i="13"/>
  <c r="I43" i="1"/>
  <c r="I15" i="1"/>
  <c r="I22" i="1" s="1"/>
  <c r="I45" i="1"/>
  <c r="I13" i="1"/>
  <c r="I17" i="1" s="1"/>
  <c r="I20" i="1" s="1"/>
  <c r="I71" i="1"/>
  <c r="G34" i="20"/>
  <c r="G21" i="20"/>
  <c r="F43" i="1"/>
  <c r="F15" i="1"/>
  <c r="F22" i="1" s="1"/>
  <c r="I21" i="20"/>
  <c r="I34" i="20"/>
  <c r="G13" i="1"/>
  <c r="G17" i="1" s="1"/>
  <c r="G20" i="1" s="1"/>
  <c r="G43" i="1"/>
  <c r="G15" i="1"/>
  <c r="G22" i="1" s="1"/>
  <c r="G45" i="1"/>
  <c r="G71" i="1"/>
  <c r="D101" i="13"/>
  <c r="D142" i="13"/>
  <c r="I101" i="13"/>
  <c r="I142" i="13"/>
  <c r="C205" i="13"/>
  <c r="C179" i="13"/>
  <c r="C177" i="13"/>
  <c r="G142" i="13"/>
  <c r="G101" i="13"/>
  <c r="C34" i="20"/>
  <c r="B250" i="13"/>
  <c r="G6" i="27"/>
  <c r="G38" i="34"/>
  <c r="G45" i="38" s="1"/>
  <c r="F21" i="6"/>
  <c r="F23" i="6"/>
  <c r="G59" i="1"/>
  <c r="G60" i="1"/>
  <c r="G37" i="1"/>
  <c r="F6" i="27"/>
  <c r="H38" i="34"/>
  <c r="H45" i="38" s="1"/>
  <c r="E6" i="27"/>
  <c r="I38" i="34"/>
  <c r="I45" i="38" s="1"/>
  <c r="L21" i="20"/>
  <c r="L34" i="20"/>
  <c r="E205" i="13"/>
  <c r="E177" i="13"/>
  <c r="E179" i="13"/>
  <c r="C21" i="6"/>
  <c r="C23" i="6"/>
  <c r="A60" i="1"/>
  <c r="A37" i="1"/>
  <c r="A59" i="1"/>
  <c r="E8" i="34"/>
  <c r="I38" i="13"/>
  <c r="I117" i="13"/>
  <c r="J11" i="21"/>
  <c r="B101" i="13"/>
  <c r="B142" i="13"/>
  <c r="C6" i="27"/>
  <c r="K38" i="34"/>
  <c r="C79" i="13"/>
  <c r="I93" i="13"/>
  <c r="I91" i="13"/>
  <c r="I95" i="13"/>
  <c r="D21" i="6"/>
  <c r="D23" i="6"/>
  <c r="E59" i="1"/>
  <c r="E60" i="1"/>
  <c r="E37" i="1"/>
  <c r="E21" i="20"/>
  <c r="E34" i="20"/>
  <c r="E21" i="6"/>
  <c r="E23" i="6"/>
  <c r="F37" i="1"/>
  <c r="F60" i="1"/>
  <c r="F59" i="1"/>
  <c r="I9" i="94" l="1"/>
  <c r="J9" i="94" s="1"/>
  <c r="I7" i="94"/>
  <c r="J7" i="94" s="1"/>
  <c r="I8" i="94"/>
  <c r="J8" i="94" s="1"/>
  <c r="I5" i="94"/>
  <c r="J5" i="94" s="1"/>
  <c r="C60" i="27"/>
  <c r="C62" i="27" s="1"/>
  <c r="K45" i="38"/>
  <c r="K56" i="38" s="1"/>
  <c r="B3" i="91"/>
  <c r="B15" i="91"/>
  <c r="C107" i="87"/>
  <c r="H3" i="91"/>
  <c r="H15" i="91"/>
  <c r="C3" i="91"/>
  <c r="C15" i="91"/>
  <c r="J74" i="87"/>
  <c r="J26" i="87"/>
  <c r="G26" i="87"/>
  <c r="E16" i="33"/>
  <c r="D26" i="87"/>
  <c r="E26" i="87"/>
  <c r="I26" i="87"/>
  <c r="H26" i="87"/>
  <c r="F26" i="87"/>
  <c r="K16" i="87"/>
  <c r="I109" i="87"/>
  <c r="E8" i="33"/>
  <c r="E9" i="33" s="1"/>
  <c r="E11" i="33" s="1"/>
  <c r="C101" i="87"/>
  <c r="C26" i="87"/>
  <c r="C10" i="87"/>
  <c r="D109" i="87"/>
  <c r="E109" i="87"/>
  <c r="K109" i="87"/>
  <c r="F109" i="87"/>
  <c r="H109" i="87"/>
  <c r="G109" i="87"/>
  <c r="L9" i="34"/>
  <c r="L11" i="34"/>
  <c r="J109" i="87"/>
  <c r="F27" i="39"/>
  <c r="H66" i="87"/>
  <c r="K74" i="87"/>
  <c r="H74" i="87"/>
  <c r="K107" i="87"/>
  <c r="G18" i="78"/>
  <c r="G56" i="87"/>
  <c r="G96" i="87" s="1"/>
  <c r="G22" i="87"/>
  <c r="F18" i="78"/>
  <c r="F22" i="87"/>
  <c r="F56" i="87"/>
  <c r="F96" i="87" s="1"/>
  <c r="H53" i="87"/>
  <c r="H93" i="87" s="1"/>
  <c r="H19" i="87"/>
  <c r="D66" i="87"/>
  <c r="E18" i="78"/>
  <c r="E22" i="87"/>
  <c r="E56" i="87"/>
  <c r="E96" i="87" s="1"/>
  <c r="H250" i="13"/>
  <c r="I76" i="87"/>
  <c r="K101" i="87"/>
  <c r="K60" i="87"/>
  <c r="K68" i="87"/>
  <c r="K10" i="87"/>
  <c r="J18" i="78"/>
  <c r="J56" i="87"/>
  <c r="J96" i="87" s="1"/>
  <c r="J22" i="87"/>
  <c r="C18" i="79"/>
  <c r="C55" i="87"/>
  <c r="C95" i="87" s="1"/>
  <c r="C21" i="87"/>
  <c r="E19" i="87"/>
  <c r="E53" i="87"/>
  <c r="E93" i="87" s="1"/>
  <c r="G19" i="87"/>
  <c r="G53" i="87"/>
  <c r="G93" i="87" s="1"/>
  <c r="J66" i="87"/>
  <c r="I107" i="87"/>
  <c r="J107" i="87"/>
  <c r="I18" i="79"/>
  <c r="I21" i="87"/>
  <c r="I55" i="87"/>
  <c r="G18" i="80"/>
  <c r="G23" i="87"/>
  <c r="G57" i="87"/>
  <c r="E16" i="87"/>
  <c r="H18" i="64"/>
  <c r="H20" i="87"/>
  <c r="H54" i="87"/>
  <c r="H94" i="87" s="1"/>
  <c r="C21" i="27"/>
  <c r="C23" i="27" s="1"/>
  <c r="D101" i="87"/>
  <c r="D68" i="87"/>
  <c r="D60" i="87"/>
  <c r="D10" i="87"/>
  <c r="J18" i="64"/>
  <c r="J20" i="87"/>
  <c r="J54" i="87"/>
  <c r="J94" i="87" s="1"/>
  <c r="D18" i="78"/>
  <c r="D22" i="87"/>
  <c r="D56" i="87"/>
  <c r="D96" i="87" s="1"/>
  <c r="K18" i="79"/>
  <c r="K21" i="87"/>
  <c r="K55" i="87"/>
  <c r="K95" i="87" s="1"/>
  <c r="G66" i="87"/>
  <c r="I250" i="13"/>
  <c r="J76" i="87"/>
  <c r="D18" i="79"/>
  <c r="D21" i="87"/>
  <c r="D55" i="87"/>
  <c r="D95" i="87" s="1"/>
  <c r="D18" i="80"/>
  <c r="D23" i="87"/>
  <c r="D57" i="87"/>
  <c r="D97" i="87" s="1"/>
  <c r="C53" i="87"/>
  <c r="C19" i="87"/>
  <c r="G74" i="87"/>
  <c r="F19" i="87"/>
  <c r="F53" i="87"/>
  <c r="F93" i="87" s="1"/>
  <c r="H107" i="87"/>
  <c r="F250" i="13"/>
  <c r="G76" i="87"/>
  <c r="E250" i="13"/>
  <c r="F76" i="87"/>
  <c r="I101" i="87"/>
  <c r="I68" i="87"/>
  <c r="I60" i="87"/>
  <c r="I10" i="87"/>
  <c r="D250" i="13"/>
  <c r="E76" i="87"/>
  <c r="H18" i="80"/>
  <c r="H23" i="87"/>
  <c r="H57" i="87"/>
  <c r="I53" i="87"/>
  <c r="I93" i="87" s="1"/>
  <c r="I19" i="87"/>
  <c r="G18" i="64"/>
  <c r="G20" i="87"/>
  <c r="G54" i="87"/>
  <c r="G94" i="87" s="1"/>
  <c r="G35" i="58"/>
  <c r="J18" i="79"/>
  <c r="J21" i="87"/>
  <c r="J55" i="87"/>
  <c r="J95" i="87" s="1"/>
  <c r="K18" i="80"/>
  <c r="K23" i="87"/>
  <c r="K57" i="87"/>
  <c r="K97" i="87" s="1"/>
  <c r="I66" i="87"/>
  <c r="E32" i="87"/>
  <c r="E101" i="87"/>
  <c r="E60" i="87"/>
  <c r="E68" i="87"/>
  <c r="E10" i="87"/>
  <c r="H18" i="78"/>
  <c r="H22" i="87"/>
  <c r="H56" i="87"/>
  <c r="H96" i="87" s="1"/>
  <c r="G250" i="13"/>
  <c r="H76" i="87"/>
  <c r="F101" i="87"/>
  <c r="F68" i="87"/>
  <c r="F60" i="87"/>
  <c r="F10" i="87"/>
  <c r="J101" i="87"/>
  <c r="J60" i="87"/>
  <c r="J68" i="87"/>
  <c r="J10" i="87"/>
  <c r="G101" i="87"/>
  <c r="G68" i="87"/>
  <c r="G60" i="87"/>
  <c r="G10" i="87"/>
  <c r="H101" i="87"/>
  <c r="H60" i="87"/>
  <c r="H68" i="87"/>
  <c r="H10" i="87"/>
  <c r="C18" i="64"/>
  <c r="C20" i="87"/>
  <c r="C54" i="87"/>
  <c r="E18" i="79"/>
  <c r="E55" i="87"/>
  <c r="E95" i="87" s="1"/>
  <c r="E21" i="87"/>
  <c r="C18" i="80"/>
  <c r="C23" i="87"/>
  <c r="C57" i="87"/>
  <c r="D19" i="87"/>
  <c r="D53" i="87"/>
  <c r="D93" i="87" s="1"/>
  <c r="K32" i="87"/>
  <c r="I74" i="87"/>
  <c r="E66" i="87"/>
  <c r="K18" i="64"/>
  <c r="K20" i="87"/>
  <c r="K54" i="87"/>
  <c r="K94" i="87" s="1"/>
  <c r="F18" i="64"/>
  <c r="F20" i="87"/>
  <c r="F54" i="87"/>
  <c r="F94" i="87" s="1"/>
  <c r="K18" i="78"/>
  <c r="K22" i="87"/>
  <c r="K56" i="87"/>
  <c r="K96" i="87" s="1"/>
  <c r="H18" i="79"/>
  <c r="H21" i="87"/>
  <c r="H55" i="87"/>
  <c r="J19" i="87"/>
  <c r="J53" i="87"/>
  <c r="J93" i="87" s="1"/>
  <c r="K66" i="87"/>
  <c r="E74" i="87"/>
  <c r="C32" i="87"/>
  <c r="E18" i="64"/>
  <c r="E54" i="87"/>
  <c r="E94" i="87" s="1"/>
  <c r="E20" i="87"/>
  <c r="J18" i="80"/>
  <c r="J23" i="87"/>
  <c r="J57" i="87"/>
  <c r="J97" i="87" s="1"/>
  <c r="F18" i="80"/>
  <c r="F23" i="87"/>
  <c r="F57" i="87"/>
  <c r="K19" i="87"/>
  <c r="K53" i="87"/>
  <c r="K93" i="87" s="1"/>
  <c r="C74" i="87"/>
  <c r="G18" i="79"/>
  <c r="G21" i="87"/>
  <c r="G55" i="87"/>
  <c r="G95" i="87" s="1"/>
  <c r="I18" i="80"/>
  <c r="I57" i="87"/>
  <c r="I97" i="87" s="1"/>
  <c r="I23" i="87"/>
  <c r="C66" i="87"/>
  <c r="D32" i="87"/>
  <c r="F18" i="79"/>
  <c r="F55" i="87"/>
  <c r="F95" i="87" s="1"/>
  <c r="F21" i="87"/>
  <c r="F74" i="87"/>
  <c r="D18" i="64"/>
  <c r="D20" i="87"/>
  <c r="D54" i="87"/>
  <c r="D94" i="87" s="1"/>
  <c r="J16" i="87"/>
  <c r="C35" i="20"/>
  <c r="C250" i="13"/>
  <c r="D76" i="87"/>
  <c r="I18" i="78"/>
  <c r="I56" i="87"/>
  <c r="I96" i="87" s="1"/>
  <c r="I22" i="87"/>
  <c r="K76" i="87"/>
  <c r="C18" i="78"/>
  <c r="C56" i="87"/>
  <c r="C22" i="87"/>
  <c r="E18" i="80"/>
  <c r="E23" i="87"/>
  <c r="E57" i="87"/>
  <c r="E97" i="87" s="1"/>
  <c r="D16" i="87"/>
  <c r="F66" i="87"/>
  <c r="J32" i="87"/>
  <c r="C16" i="87"/>
  <c r="D74" i="87"/>
  <c r="I18" i="64"/>
  <c r="I20" i="87"/>
  <c r="I54" i="87"/>
  <c r="I94" i="87" s="1"/>
  <c r="C68" i="87"/>
  <c r="C60" i="87"/>
  <c r="F9" i="85"/>
  <c r="F15" i="85" s="1"/>
  <c r="F9" i="86"/>
  <c r="C9" i="85"/>
  <c r="C15" i="85" s="1"/>
  <c r="C9" i="86"/>
  <c r="C15" i="86" s="1"/>
  <c r="I9" i="85"/>
  <c r="I9" i="86"/>
  <c r="I15" i="86" s="1"/>
  <c r="L9" i="85"/>
  <c r="L15" i="85" s="1"/>
  <c r="L9" i="86"/>
  <c r="L15" i="86" s="1"/>
  <c r="D9" i="85"/>
  <c r="D15" i="85" s="1"/>
  <c r="D9" i="86"/>
  <c r="D15" i="86" s="1"/>
  <c r="J9" i="85"/>
  <c r="J15" i="85" s="1"/>
  <c r="J9" i="86"/>
  <c r="J15" i="86" s="1"/>
  <c r="K9" i="85"/>
  <c r="K15" i="85" s="1"/>
  <c r="K9" i="86"/>
  <c r="K15" i="86" s="1"/>
  <c r="H9" i="85"/>
  <c r="H9" i="86"/>
  <c r="E9" i="85"/>
  <c r="E15" i="85" s="1"/>
  <c r="E9" i="86"/>
  <c r="E15" i="86" s="1"/>
  <c r="G9" i="85"/>
  <c r="G15" i="85" s="1"/>
  <c r="G9" i="86"/>
  <c r="F9" i="83"/>
  <c r="F15" i="83" s="1"/>
  <c r="F9" i="84"/>
  <c r="F15" i="84" s="1"/>
  <c r="C9" i="83"/>
  <c r="C15" i="83" s="1"/>
  <c r="C9" i="84"/>
  <c r="C15" i="84" s="1"/>
  <c r="I9" i="83"/>
  <c r="I15" i="83" s="1"/>
  <c r="I9" i="84"/>
  <c r="I15" i="84" s="1"/>
  <c r="L9" i="83"/>
  <c r="L15" i="83" s="1"/>
  <c r="L9" i="84"/>
  <c r="L15" i="84" s="1"/>
  <c r="D9" i="83"/>
  <c r="D15" i="83" s="1"/>
  <c r="D9" i="84"/>
  <c r="D15" i="84" s="1"/>
  <c r="J9" i="83"/>
  <c r="J15" i="83" s="1"/>
  <c r="J9" i="84"/>
  <c r="J15" i="84" s="1"/>
  <c r="K9" i="83"/>
  <c r="K15" i="83" s="1"/>
  <c r="K9" i="84"/>
  <c r="K15" i="84" s="1"/>
  <c r="H9" i="83"/>
  <c r="H15" i="83" s="1"/>
  <c r="H9" i="84"/>
  <c r="H15" i="84" s="1"/>
  <c r="E9" i="83"/>
  <c r="E15" i="83" s="1"/>
  <c r="E9" i="84"/>
  <c r="E15" i="84" s="1"/>
  <c r="G9" i="83"/>
  <c r="G15" i="83" s="1"/>
  <c r="G9" i="84"/>
  <c r="G15" i="84" s="1"/>
  <c r="F18" i="82"/>
  <c r="F9" i="81"/>
  <c r="C18" i="82"/>
  <c r="C9" i="81"/>
  <c r="C15" i="81" s="1"/>
  <c r="I18" i="82"/>
  <c r="I9" i="81"/>
  <c r="L18" i="82"/>
  <c r="L9" i="81"/>
  <c r="D18" i="82"/>
  <c r="D9" i="81"/>
  <c r="J18" i="82"/>
  <c r="J9" i="81"/>
  <c r="K18" i="82"/>
  <c r="K9" i="81"/>
  <c r="H18" i="82"/>
  <c r="H9" i="81"/>
  <c r="E18" i="82"/>
  <c r="E9" i="81"/>
  <c r="G18" i="82"/>
  <c r="G9" i="81"/>
  <c r="F29" i="1"/>
  <c r="C90" i="1"/>
  <c r="H75" i="1"/>
  <c r="G75" i="1"/>
  <c r="D91" i="1"/>
  <c r="H18" i="6"/>
  <c r="H19" i="6" s="1"/>
  <c r="C82" i="1"/>
  <c r="D83" i="1"/>
  <c r="E18" i="6"/>
  <c r="E19" i="6" s="1"/>
  <c r="F75" i="1"/>
  <c r="C13" i="21"/>
  <c r="C14" i="21" s="1"/>
  <c r="B42" i="27" s="1"/>
  <c r="C83" i="1"/>
  <c r="H74" i="1"/>
  <c r="F18" i="6"/>
  <c r="F19" i="6" s="1"/>
  <c r="C91" i="1"/>
  <c r="G29" i="1"/>
  <c r="D90" i="1"/>
  <c r="D82" i="1"/>
  <c r="D33" i="1"/>
  <c r="G18" i="6"/>
  <c r="G19" i="6" s="1"/>
  <c r="I75" i="1"/>
  <c r="C95" i="1"/>
  <c r="I74" i="1"/>
  <c r="C31" i="1"/>
  <c r="C18" i="6"/>
  <c r="C19" i="6" s="1"/>
  <c r="D31" i="1"/>
  <c r="A75" i="1"/>
  <c r="A74" i="1"/>
  <c r="C33" i="1"/>
  <c r="D95" i="1"/>
  <c r="E75" i="1"/>
  <c r="E74" i="1"/>
  <c r="D18" i="6"/>
  <c r="D19" i="6" s="1"/>
  <c r="N79" i="38"/>
  <c r="O70" i="38"/>
  <c r="P67" i="38"/>
  <c r="P69" i="38" s="1"/>
  <c r="P73" i="38"/>
  <c r="P75" i="38" s="1"/>
  <c r="O76" i="38"/>
  <c r="B93" i="13"/>
  <c r="G47" i="38"/>
  <c r="F47" i="38"/>
  <c r="M50" i="38"/>
  <c r="M56" i="38" s="1"/>
  <c r="M38" i="34" s="1"/>
  <c r="O50" i="38"/>
  <c r="O56" i="38" s="1"/>
  <c r="N50" i="38"/>
  <c r="N56" i="38" s="1"/>
  <c r="F71" i="1"/>
  <c r="C71" i="1" s="1"/>
  <c r="F13" i="1"/>
  <c r="F17" i="1" s="1"/>
  <c r="F20" i="1" s="1"/>
  <c r="F24" i="1" s="1"/>
  <c r="I47" i="38"/>
  <c r="F95" i="13"/>
  <c r="H91" i="13"/>
  <c r="D93" i="13"/>
  <c r="B91" i="13"/>
  <c r="H93" i="13"/>
  <c r="D91" i="13"/>
  <c r="F91" i="13"/>
  <c r="G24" i="1"/>
  <c r="H24" i="1"/>
  <c r="I24" i="1"/>
  <c r="B253" i="13"/>
  <c r="B259" i="13" s="1"/>
  <c r="B261" i="13" s="1"/>
  <c r="B42" i="39" s="1"/>
  <c r="B137" i="13"/>
  <c r="B21" i="27"/>
  <c r="B23" i="27" s="1"/>
  <c r="C22" i="21"/>
  <c r="C25" i="21"/>
  <c r="J46" i="38"/>
  <c r="J56" i="38"/>
  <c r="L45" i="38"/>
  <c r="H37" i="40"/>
  <c r="E220" i="13"/>
  <c r="E60" i="27"/>
  <c r="E62" i="27" s="1"/>
  <c r="I104" i="34"/>
  <c r="F35" i="20"/>
  <c r="H174" i="13"/>
  <c r="H109" i="13"/>
  <c r="E13" i="21"/>
  <c r="J15" i="34" s="1"/>
  <c r="D137" i="13"/>
  <c r="D253" i="13"/>
  <c r="D21" i="27"/>
  <c r="D23" i="27" s="1"/>
  <c r="E25" i="21"/>
  <c r="E22" i="21"/>
  <c r="G93" i="13"/>
  <c r="G91" i="13"/>
  <c r="G95" i="13"/>
  <c r="H128" i="13"/>
  <c r="H126" i="13"/>
  <c r="H125" i="13"/>
  <c r="J137" i="13"/>
  <c r="K25" i="21"/>
  <c r="K22" i="21"/>
  <c r="K13" i="21"/>
  <c r="D15" i="34" s="1"/>
  <c r="C60" i="1"/>
  <c r="D60" i="1"/>
  <c r="C93" i="13"/>
  <c r="C91" i="13"/>
  <c r="C95" i="13"/>
  <c r="B174" i="13"/>
  <c r="B109" i="13"/>
  <c r="E95" i="34"/>
  <c r="E92" i="34"/>
  <c r="E9" i="34"/>
  <c r="E11" i="34"/>
  <c r="E12" i="34"/>
  <c r="E20" i="38"/>
  <c r="A97" i="1"/>
  <c r="A99" i="1" s="1"/>
  <c r="A58" i="1"/>
  <c r="C17" i="7" s="1"/>
  <c r="A47" i="1"/>
  <c r="C9" i="7"/>
  <c r="C11" i="7" s="1"/>
  <c r="C32" i="6"/>
  <c r="C33" i="6" s="1"/>
  <c r="E230" i="13"/>
  <c r="E219" i="13"/>
  <c r="E210" i="13"/>
  <c r="E218" i="13"/>
  <c r="E211" i="13"/>
  <c r="AC6" i="27"/>
  <c r="E24" i="27"/>
  <c r="E46" i="27"/>
  <c r="E48" i="27" s="1"/>
  <c r="G46" i="38"/>
  <c r="G56" i="38"/>
  <c r="C195" i="13"/>
  <c r="C196" i="13"/>
  <c r="I109" i="13"/>
  <c r="I174" i="13"/>
  <c r="F104" i="34"/>
  <c r="H220" i="13"/>
  <c r="H60" i="27"/>
  <c r="H62" i="27" s="1"/>
  <c r="I35" i="20"/>
  <c r="F220" i="13"/>
  <c r="H104" i="34"/>
  <c r="F60" i="27"/>
  <c r="F62" i="27" s="1"/>
  <c r="G35" i="20"/>
  <c r="B50" i="13"/>
  <c r="B56" i="13" s="1"/>
  <c r="B59" i="13" s="1"/>
  <c r="B44" i="13"/>
  <c r="B52" i="13" s="1"/>
  <c r="B61" i="13" s="1"/>
  <c r="D104" i="34"/>
  <c r="K35" i="20"/>
  <c r="D46" i="27"/>
  <c r="D48" i="27" s="1"/>
  <c r="AB6" i="27"/>
  <c r="D24" i="27"/>
  <c r="F128" i="13"/>
  <c r="F126" i="13"/>
  <c r="F125" i="13"/>
  <c r="G196" i="13"/>
  <c r="G195" i="13"/>
  <c r="H230" i="13"/>
  <c r="H211" i="13"/>
  <c r="H219" i="13"/>
  <c r="H210" i="13"/>
  <c r="H218" i="13"/>
  <c r="C45" i="1"/>
  <c r="D45" i="1"/>
  <c r="B46" i="27"/>
  <c r="B48" i="27" s="1"/>
  <c r="B24" i="27"/>
  <c r="Z6" i="27"/>
  <c r="D196" i="13"/>
  <c r="D195" i="13"/>
  <c r="C220" i="13"/>
  <c r="D35" i="20"/>
  <c r="K104" i="34"/>
  <c r="C126" i="13"/>
  <c r="C125" i="13"/>
  <c r="C128" i="13"/>
  <c r="I24" i="27"/>
  <c r="AG6" i="27"/>
  <c r="I46" i="27"/>
  <c r="I48" i="27" s="1"/>
  <c r="H57" i="1"/>
  <c r="H73" i="1"/>
  <c r="G36" i="7"/>
  <c r="H72" i="1"/>
  <c r="H56" i="1"/>
  <c r="E93" i="13"/>
  <c r="E91" i="13"/>
  <c r="E95" i="13"/>
  <c r="J95" i="34"/>
  <c r="J92" i="34"/>
  <c r="J9" i="34"/>
  <c r="J12" i="34"/>
  <c r="J11" i="34"/>
  <c r="J20" i="38"/>
  <c r="I92" i="34"/>
  <c r="I95" i="34"/>
  <c r="I20" i="38"/>
  <c r="I12" i="34"/>
  <c r="I11" i="34"/>
  <c r="I9" i="34"/>
  <c r="B210" i="13"/>
  <c r="B230" i="13"/>
  <c r="B218" i="13"/>
  <c r="B211" i="13"/>
  <c r="B219" i="13"/>
  <c r="H50" i="13"/>
  <c r="H56" i="13" s="1"/>
  <c r="H59" i="13" s="1"/>
  <c r="H44" i="13"/>
  <c r="H52" i="13" s="1"/>
  <c r="H61" i="13" s="1"/>
  <c r="H43" i="13"/>
  <c r="H51" i="13" s="1"/>
  <c r="H60" i="13" s="1"/>
  <c r="H49" i="13"/>
  <c r="H55" i="13" s="1"/>
  <c r="H58" i="13" s="1"/>
  <c r="G43" i="13"/>
  <c r="G51" i="13" s="1"/>
  <c r="G60" i="13" s="1"/>
  <c r="G49" i="13"/>
  <c r="G55" i="13" s="1"/>
  <c r="G58" i="13" s="1"/>
  <c r="G50" i="13"/>
  <c r="G56" i="13" s="1"/>
  <c r="G59" i="13" s="1"/>
  <c r="G44" i="13"/>
  <c r="G52" i="13" s="1"/>
  <c r="G61" i="13" s="1"/>
  <c r="D36" i="7"/>
  <c r="E72" i="1"/>
  <c r="E57" i="1"/>
  <c r="E73" i="1"/>
  <c r="E56" i="1"/>
  <c r="E196" i="13"/>
  <c r="E195" i="13"/>
  <c r="P38" i="34"/>
  <c r="Q57" i="38"/>
  <c r="F49" i="13"/>
  <c r="F55" i="13" s="1"/>
  <c r="F58" i="13" s="1"/>
  <c r="F43" i="13"/>
  <c r="F51" i="13" s="1"/>
  <c r="F60" i="13" s="1"/>
  <c r="F50" i="13"/>
  <c r="F56" i="13" s="1"/>
  <c r="F59" i="13" s="1"/>
  <c r="F44" i="13"/>
  <c r="F52" i="13" s="1"/>
  <c r="F61" i="13" s="1"/>
  <c r="E17" i="1"/>
  <c r="D13" i="21"/>
  <c r="K15" i="34" s="1"/>
  <c r="C137" i="13"/>
  <c r="C253" i="13"/>
  <c r="D25" i="21"/>
  <c r="D22" i="21"/>
  <c r="E46" i="38"/>
  <c r="E56" i="38"/>
  <c r="E57" i="38" s="1"/>
  <c r="E47" i="38"/>
  <c r="E50" i="13"/>
  <c r="E56" i="13" s="1"/>
  <c r="E59" i="13" s="1"/>
  <c r="E44" i="13"/>
  <c r="E52" i="13" s="1"/>
  <c r="E61" i="13" s="1"/>
  <c r="E51" i="13"/>
  <c r="E60" i="13" s="1"/>
  <c r="E49" i="13"/>
  <c r="E55" i="13" s="1"/>
  <c r="E58" i="13" s="1"/>
  <c r="G126" i="13"/>
  <c r="G125" i="13"/>
  <c r="G128" i="13"/>
  <c r="E9" i="7"/>
  <c r="E11" i="7" s="1"/>
  <c r="F97" i="1"/>
  <c r="F99" i="1" s="1"/>
  <c r="F47" i="1"/>
  <c r="E32" i="6"/>
  <c r="F58" i="1"/>
  <c r="E17" i="7" s="1"/>
  <c r="E19" i="7" s="1"/>
  <c r="D60" i="27"/>
  <c r="D62" i="27" s="1"/>
  <c r="D220" i="13"/>
  <c r="J104" i="34"/>
  <c r="E35" i="20"/>
  <c r="C59" i="1"/>
  <c r="D59" i="1"/>
  <c r="I137" i="13"/>
  <c r="J25" i="21"/>
  <c r="J22" i="21"/>
  <c r="I21" i="27"/>
  <c r="I23" i="27" s="1"/>
  <c r="I253" i="13"/>
  <c r="J13" i="21"/>
  <c r="E15" i="34" s="1"/>
  <c r="C36" i="7"/>
  <c r="A73" i="1"/>
  <c r="A56" i="1"/>
  <c r="A57" i="1"/>
  <c r="A72" i="1"/>
  <c r="C104" i="34"/>
  <c r="L35" i="20"/>
  <c r="H46" i="38"/>
  <c r="H56" i="38"/>
  <c r="H47" i="38"/>
  <c r="G24" i="27"/>
  <c r="G46" i="27"/>
  <c r="G48" i="27" s="1"/>
  <c r="AE6" i="27"/>
  <c r="B60" i="27"/>
  <c r="B62" i="27" s="1"/>
  <c r="B220" i="13"/>
  <c r="L104" i="34"/>
  <c r="L105" i="34" s="1"/>
  <c r="L106" i="34" s="1"/>
  <c r="C174" i="13"/>
  <c r="C109" i="13"/>
  <c r="B126" i="13"/>
  <c r="B128" i="13"/>
  <c r="H9" i="34"/>
  <c r="H92" i="34"/>
  <c r="H11" i="34"/>
  <c r="H12" i="34"/>
  <c r="H95" i="34"/>
  <c r="H20" i="38"/>
  <c r="G230" i="13"/>
  <c r="G210" i="13"/>
  <c r="G219" i="13"/>
  <c r="G211" i="13"/>
  <c r="G218" i="13"/>
  <c r="H46" i="27"/>
  <c r="H48" i="27" s="1"/>
  <c r="AF6" i="27"/>
  <c r="H24" i="27"/>
  <c r="C15" i="1"/>
  <c r="E22" i="1"/>
  <c r="D15" i="1"/>
  <c r="A24" i="1"/>
  <c r="F195" i="13"/>
  <c r="F196" i="13"/>
  <c r="D230" i="13"/>
  <c r="D210" i="13"/>
  <c r="D211" i="13"/>
  <c r="D218" i="13"/>
  <c r="D219" i="13"/>
  <c r="I97" i="1"/>
  <c r="I99" i="1" s="1"/>
  <c r="H32" i="6"/>
  <c r="H9" i="7"/>
  <c r="H11" i="7" s="1"/>
  <c r="I58" i="1"/>
  <c r="H17" i="7" s="1"/>
  <c r="H19" i="7" s="1"/>
  <c r="I47" i="1"/>
  <c r="I195" i="13"/>
  <c r="I196" i="13"/>
  <c r="L25" i="21"/>
  <c r="L22" i="21"/>
  <c r="L13" i="21"/>
  <c r="C15" i="34" s="1"/>
  <c r="C43" i="13"/>
  <c r="C51" i="13" s="1"/>
  <c r="C60" i="13" s="1"/>
  <c r="C50" i="13"/>
  <c r="C56" i="13" s="1"/>
  <c r="C59" i="13" s="1"/>
  <c r="C44" i="13"/>
  <c r="C52" i="13" s="1"/>
  <c r="C61" i="13" s="1"/>
  <c r="C49" i="13"/>
  <c r="C55" i="13" s="1"/>
  <c r="C58" i="13" s="1"/>
  <c r="G9" i="7"/>
  <c r="G11" i="7" s="1"/>
  <c r="H58" i="1"/>
  <c r="G17" i="7" s="1"/>
  <c r="G19" i="7" s="1"/>
  <c r="H97" i="1"/>
  <c r="H99" i="1" s="1"/>
  <c r="H47" i="1"/>
  <c r="G32" i="6"/>
  <c r="D128" i="13"/>
  <c r="D126" i="13"/>
  <c r="D125" i="13"/>
  <c r="E137" i="13"/>
  <c r="F25" i="21"/>
  <c r="E253" i="13"/>
  <c r="E259" i="13" s="1"/>
  <c r="F22" i="21"/>
  <c r="E21" i="27"/>
  <c r="E23" i="27" s="1"/>
  <c r="F13" i="21"/>
  <c r="I15" i="34" s="1"/>
  <c r="F174" i="13"/>
  <c r="F109" i="13"/>
  <c r="B195" i="13"/>
  <c r="B196" i="13"/>
  <c r="F95" i="34"/>
  <c r="F92" i="34"/>
  <c r="F9" i="34"/>
  <c r="F12" i="34"/>
  <c r="F11" i="34"/>
  <c r="F20" i="38"/>
  <c r="G92" i="34"/>
  <c r="G96" i="34" s="1"/>
  <c r="G11" i="34"/>
  <c r="G20" i="38"/>
  <c r="G12" i="34"/>
  <c r="I60" i="27"/>
  <c r="I62" i="27" s="1"/>
  <c r="I220" i="13"/>
  <c r="E104" i="34"/>
  <c r="J35" i="20"/>
  <c r="D37" i="1"/>
  <c r="C37" i="1"/>
  <c r="I49" i="13"/>
  <c r="I55" i="13" s="1"/>
  <c r="I58" i="13" s="1"/>
  <c r="I50" i="13"/>
  <c r="I56" i="13" s="1"/>
  <c r="I59" i="13" s="1"/>
  <c r="I44" i="13"/>
  <c r="I52" i="13" s="1"/>
  <c r="I61" i="13" s="1"/>
  <c r="I43" i="13"/>
  <c r="I51" i="13" s="1"/>
  <c r="I60" i="13" s="1"/>
  <c r="I56" i="38"/>
  <c r="I46" i="38"/>
  <c r="F36" i="7"/>
  <c r="G73" i="1"/>
  <c r="G72" i="1"/>
  <c r="G56" i="1"/>
  <c r="G57" i="1"/>
  <c r="H196" i="13"/>
  <c r="H195" i="13"/>
  <c r="F72" i="1"/>
  <c r="F56" i="1"/>
  <c r="E36" i="7"/>
  <c r="F57" i="1"/>
  <c r="F73" i="1"/>
  <c r="D9" i="7"/>
  <c r="D11" i="7" s="1"/>
  <c r="E47" i="1"/>
  <c r="D32" i="6"/>
  <c r="E97" i="1"/>
  <c r="E58" i="1"/>
  <c r="C46" i="27"/>
  <c r="C48" i="27" s="1"/>
  <c r="C66" i="27" s="1"/>
  <c r="AA6" i="27"/>
  <c r="C24" i="27"/>
  <c r="I128" i="13"/>
  <c r="I125" i="13"/>
  <c r="I126" i="13"/>
  <c r="AD6" i="27"/>
  <c r="F46" i="27"/>
  <c r="F48" i="27" s="1"/>
  <c r="F24" i="27"/>
  <c r="G58" i="1"/>
  <c r="F17" i="7" s="1"/>
  <c r="F19" i="7" s="1"/>
  <c r="G97" i="1"/>
  <c r="G99" i="1" s="1"/>
  <c r="G47" i="1"/>
  <c r="F9" i="7"/>
  <c r="F11" i="7" s="1"/>
  <c r="F32" i="6"/>
  <c r="G174" i="13"/>
  <c r="G109" i="13"/>
  <c r="C211" i="13"/>
  <c r="C230" i="13"/>
  <c r="C218" i="13"/>
  <c r="C210" i="13"/>
  <c r="C219" i="13"/>
  <c r="D174" i="13"/>
  <c r="D109" i="13"/>
  <c r="L92" i="34"/>
  <c r="L95" i="34"/>
  <c r="L12" i="34"/>
  <c r="C12" i="91" s="1"/>
  <c r="N11" i="34"/>
  <c r="O11" i="34" s="1"/>
  <c r="P11" i="34" s="1"/>
  <c r="Q11" i="34" s="1"/>
  <c r="L20" i="38"/>
  <c r="J47" i="38"/>
  <c r="E109" i="13"/>
  <c r="E174" i="13"/>
  <c r="F137" i="13"/>
  <c r="G22" i="21"/>
  <c r="F253" i="13"/>
  <c r="F21" i="27"/>
  <c r="F23" i="27" s="1"/>
  <c r="G25" i="21"/>
  <c r="G13" i="21"/>
  <c r="H15" i="34" s="1"/>
  <c r="F46" i="38"/>
  <c r="F56" i="38"/>
  <c r="C43" i="1"/>
  <c r="D43" i="1"/>
  <c r="F230" i="13"/>
  <c r="F218" i="13"/>
  <c r="F211" i="13"/>
  <c r="F219" i="13"/>
  <c r="F210" i="13"/>
  <c r="H36" i="7"/>
  <c r="I72" i="1"/>
  <c r="I56" i="1"/>
  <c r="I57" i="1"/>
  <c r="I73" i="1"/>
  <c r="I230" i="13"/>
  <c r="I211" i="13"/>
  <c r="I218" i="13"/>
  <c r="I210" i="13"/>
  <c r="I219" i="13"/>
  <c r="C12" i="34"/>
  <c r="C11" i="34"/>
  <c r="C9" i="34"/>
  <c r="C20" i="38"/>
  <c r="K12" i="34"/>
  <c r="B12" i="91" s="1"/>
  <c r="K92" i="34"/>
  <c r="K95" i="34"/>
  <c r="K9" i="34"/>
  <c r="K20" i="38"/>
  <c r="D50" i="13"/>
  <c r="D56" i="13" s="1"/>
  <c r="D59" i="13" s="1"/>
  <c r="D44" i="13"/>
  <c r="D52" i="13" s="1"/>
  <c r="D61" i="13" s="1"/>
  <c r="D43" i="13"/>
  <c r="D51" i="13" s="1"/>
  <c r="D60" i="13" s="1"/>
  <c r="D49" i="13"/>
  <c r="D55" i="13" s="1"/>
  <c r="D58" i="13" s="1"/>
  <c r="E128" i="13"/>
  <c r="E125" i="13"/>
  <c r="E126" i="13"/>
  <c r="H137" i="13"/>
  <c r="I22" i="21"/>
  <c r="H21" i="27"/>
  <c r="H23" i="27" s="1"/>
  <c r="H253" i="13"/>
  <c r="H259" i="13" s="1"/>
  <c r="I25" i="21"/>
  <c r="I13" i="21"/>
  <c r="F15" i="34" s="1"/>
  <c r="G137" i="13"/>
  <c r="H22" i="21"/>
  <c r="G253" i="13"/>
  <c r="H25" i="21"/>
  <c r="G21" i="27"/>
  <c r="G23" i="27" s="1"/>
  <c r="H13" i="21"/>
  <c r="G15" i="34" s="1"/>
  <c r="D11" i="34"/>
  <c r="D95" i="34"/>
  <c r="D9" i="34"/>
  <c r="D92" i="34"/>
  <c r="D12" i="34"/>
  <c r="D20" i="38"/>
  <c r="G60" i="27"/>
  <c r="G62" i="27" s="1"/>
  <c r="G220" i="13"/>
  <c r="G104" i="34"/>
  <c r="H35" i="20"/>
  <c r="J84" i="87" a="1"/>
  <c r="K84" i="87" a="1"/>
  <c r="G84" i="87" a="1"/>
  <c r="H84" i="87" a="1"/>
  <c r="E84" i="87" a="1"/>
  <c r="F84" i="87" a="1"/>
  <c r="I84" i="87" a="1"/>
  <c r="D84" i="87" a="1"/>
  <c r="I4" i="94" l="1"/>
  <c r="J4" i="94" s="1"/>
  <c r="K9" i="94" s="1"/>
  <c r="K5" i="94"/>
  <c r="K8" i="94"/>
  <c r="K7" i="94"/>
  <c r="K46" i="38"/>
  <c r="K47" i="38"/>
  <c r="C259" i="13"/>
  <c r="C261" i="13" s="1"/>
  <c r="K24" i="87"/>
  <c r="R48" i="27"/>
  <c r="G3" i="91"/>
  <c r="G15" i="91"/>
  <c r="D3" i="91"/>
  <c r="D15" i="91"/>
  <c r="C37" i="91"/>
  <c r="C38" i="91" s="1"/>
  <c r="C22" i="91"/>
  <c r="C26" i="91" s="1"/>
  <c r="H37" i="91"/>
  <c r="H22" i="91"/>
  <c r="C32" i="91"/>
  <c r="C14" i="91"/>
  <c r="B37" i="91"/>
  <c r="B38" i="91" s="1"/>
  <c r="B22" i="91"/>
  <c r="B26" i="91" s="1"/>
  <c r="B32" i="91"/>
  <c r="B14" i="91"/>
  <c r="B28" i="27"/>
  <c r="C18" i="87"/>
  <c r="I259" i="13"/>
  <c r="I261" i="13" s="1"/>
  <c r="F84" i="87"/>
  <c r="D84" i="87"/>
  <c r="J84" i="87"/>
  <c r="G84" i="87"/>
  <c r="H84" i="87"/>
  <c r="K84" i="87"/>
  <c r="E84" i="87"/>
  <c r="I84" i="87"/>
  <c r="C93" i="87"/>
  <c r="L53" i="87" s="1"/>
  <c r="C96" i="87"/>
  <c r="L56" i="87" s="1"/>
  <c r="C97" i="87"/>
  <c r="C94" i="87"/>
  <c r="L54" i="87" s="1"/>
  <c r="N38" i="34"/>
  <c r="P57" i="38"/>
  <c r="E27" i="39"/>
  <c r="D24" i="87"/>
  <c r="E24" i="87"/>
  <c r="J24" i="87"/>
  <c r="C24" i="87"/>
  <c r="I24" i="87"/>
  <c r="C58" i="87"/>
  <c r="I58" i="87"/>
  <c r="G259" i="13"/>
  <c r="G263" i="13" s="1"/>
  <c r="F259" i="13"/>
  <c r="F263" i="13" s="1"/>
  <c r="D259" i="13"/>
  <c r="D263" i="13" s="1"/>
  <c r="D58" i="87"/>
  <c r="E58" i="87"/>
  <c r="K58" i="87"/>
  <c r="J58" i="87"/>
  <c r="C52" i="87"/>
  <c r="C18" i="21"/>
  <c r="D29" i="1"/>
  <c r="C9" i="22"/>
  <c r="L15" i="34"/>
  <c r="L16" i="34" s="1"/>
  <c r="D75" i="1"/>
  <c r="C75" i="1"/>
  <c r="C29" i="1"/>
  <c r="D74" i="1"/>
  <c r="C74" i="1"/>
  <c r="P76" i="38"/>
  <c r="Q73" i="38"/>
  <c r="Q75" i="38" s="1"/>
  <c r="Q76" i="38" s="1"/>
  <c r="Q67" i="38"/>
  <c r="Q69" i="38" s="1"/>
  <c r="Q70" i="38" s="1"/>
  <c r="P70" i="38"/>
  <c r="O79" i="38"/>
  <c r="D71" i="1"/>
  <c r="O38" i="34"/>
  <c r="I57" i="38"/>
  <c r="O57" i="38"/>
  <c r="C13" i="1"/>
  <c r="D13" i="1"/>
  <c r="N57" i="38"/>
  <c r="F7" i="34"/>
  <c r="E105" i="34"/>
  <c r="E106" i="34" s="1"/>
  <c r="K7" i="34"/>
  <c r="J105" i="34"/>
  <c r="J106" i="34" s="1"/>
  <c r="F33" i="6"/>
  <c r="J7" i="34"/>
  <c r="I105" i="34"/>
  <c r="I106" i="34" s="1"/>
  <c r="E33" i="6"/>
  <c r="H7" i="34"/>
  <c r="G105" i="34"/>
  <c r="G106" i="34" s="1"/>
  <c r="L7" i="34"/>
  <c r="K105" i="34"/>
  <c r="K106" i="34" s="1"/>
  <c r="I7" i="34"/>
  <c r="H105" i="34"/>
  <c r="H106" i="34" s="1"/>
  <c r="H33" i="6"/>
  <c r="D7" i="34"/>
  <c r="C105" i="34"/>
  <c r="C106" i="34" s="1"/>
  <c r="E7" i="34"/>
  <c r="D105" i="34"/>
  <c r="D106" i="34" s="1"/>
  <c r="G7" i="34"/>
  <c r="F105" i="34"/>
  <c r="F106" i="34" s="1"/>
  <c r="G33" i="6"/>
  <c r="D33" i="6"/>
  <c r="E39" i="1" s="1"/>
  <c r="C38" i="6"/>
  <c r="C39" i="6" s="1"/>
  <c r="A39" i="1"/>
  <c r="H76" i="1"/>
  <c r="H77" i="1" s="1"/>
  <c r="F57" i="38"/>
  <c r="E76" i="1"/>
  <c r="E77" i="1" s="1"/>
  <c r="K57" i="38"/>
  <c r="E96" i="34"/>
  <c r="E15" i="38" s="1"/>
  <c r="E19" i="38" s="1"/>
  <c r="G62" i="13"/>
  <c r="I96" i="34"/>
  <c r="I15" i="38" s="1"/>
  <c r="I19" i="38" s="1"/>
  <c r="B63" i="13"/>
  <c r="D62" i="13"/>
  <c r="I76" i="1"/>
  <c r="I77" i="1" s="1"/>
  <c r="E62" i="13"/>
  <c r="D14" i="21"/>
  <c r="J96" i="34"/>
  <c r="J15" i="38" s="1"/>
  <c r="J19" i="38" s="1"/>
  <c r="G76" i="1"/>
  <c r="G77" i="1" s="1"/>
  <c r="I62" i="13"/>
  <c r="H62" i="13"/>
  <c r="I14" i="21"/>
  <c r="G14" i="21"/>
  <c r="F76" i="1"/>
  <c r="F77" i="1" s="1"/>
  <c r="H14" i="21"/>
  <c r="L96" i="34"/>
  <c r="L15" i="38" s="1"/>
  <c r="A76" i="1"/>
  <c r="A77" i="1" s="1"/>
  <c r="J14" i="21"/>
  <c r="C62" i="13"/>
  <c r="E261" i="13"/>
  <c r="E263" i="13"/>
  <c r="H261" i="13"/>
  <c r="H263" i="13"/>
  <c r="G28" i="27"/>
  <c r="G67" i="27"/>
  <c r="C57" i="1"/>
  <c r="D57" i="1"/>
  <c r="G39" i="7"/>
  <c r="G34" i="7"/>
  <c r="G78" i="7"/>
  <c r="G93" i="7" s="1"/>
  <c r="G57" i="7"/>
  <c r="G66" i="7" s="1"/>
  <c r="H235" i="13"/>
  <c r="H236" i="13"/>
  <c r="D50" i="27"/>
  <c r="D66" i="27"/>
  <c r="G57" i="38"/>
  <c r="E66" i="27"/>
  <c r="E50" i="27"/>
  <c r="B172" i="13"/>
  <c r="B193" i="13" s="1"/>
  <c r="B194" i="13"/>
  <c r="D161" i="13"/>
  <c r="D160" i="13"/>
  <c r="D158" i="13"/>
  <c r="D157" i="13"/>
  <c r="L56" i="38"/>
  <c r="L46" i="38"/>
  <c r="L47" i="38"/>
  <c r="G161" i="13"/>
  <c r="G160" i="13"/>
  <c r="G158" i="13"/>
  <c r="G157" i="13"/>
  <c r="F161" i="13"/>
  <c r="F160" i="13"/>
  <c r="F158" i="13"/>
  <c r="F157" i="13"/>
  <c r="D172" i="13"/>
  <c r="D193" i="13" s="1"/>
  <c r="D194" i="13"/>
  <c r="F172" i="13"/>
  <c r="F193" i="13" s="1"/>
  <c r="F194" i="13"/>
  <c r="C67" i="27"/>
  <c r="C28" i="27"/>
  <c r="H67" i="27"/>
  <c r="H28" i="27"/>
  <c r="K96" i="34"/>
  <c r="K15" i="38" s="1"/>
  <c r="H39" i="7"/>
  <c r="H34" i="7"/>
  <c r="H78" i="7"/>
  <c r="H93" i="7" s="1"/>
  <c r="H57" i="7"/>
  <c r="H66" i="7" s="1"/>
  <c r="F28" i="27"/>
  <c r="F67" i="27"/>
  <c r="F32" i="7"/>
  <c r="F13" i="7"/>
  <c r="C50" i="27"/>
  <c r="C47" i="1"/>
  <c r="D47" i="1"/>
  <c r="I63" i="13"/>
  <c r="G16" i="34"/>
  <c r="G22" i="34"/>
  <c r="F16" i="34"/>
  <c r="F22" i="34"/>
  <c r="C22" i="1"/>
  <c r="D22" i="1"/>
  <c r="H50" i="27"/>
  <c r="H66" i="27"/>
  <c r="H22" i="34"/>
  <c r="H16" i="34"/>
  <c r="I67" i="27"/>
  <c r="I28" i="27"/>
  <c r="E63" i="13"/>
  <c r="C161" i="13"/>
  <c r="C160" i="13"/>
  <c r="C158" i="13"/>
  <c r="C157" i="13"/>
  <c r="E20" i="1"/>
  <c r="C17" i="1"/>
  <c r="D17" i="1"/>
  <c r="F63" i="13"/>
  <c r="C72" i="1"/>
  <c r="D72" i="1"/>
  <c r="H63" i="13"/>
  <c r="B235" i="13"/>
  <c r="B236" i="13"/>
  <c r="I16" i="34"/>
  <c r="I22" i="34"/>
  <c r="B66" i="27"/>
  <c r="B50" i="27"/>
  <c r="C32" i="7"/>
  <c r="C91" i="7" s="1"/>
  <c r="C13" i="7"/>
  <c r="K14" i="21"/>
  <c r="J57" i="38"/>
  <c r="B67" i="27"/>
  <c r="F34" i="7"/>
  <c r="F39" i="7"/>
  <c r="F78" i="7"/>
  <c r="F93" i="7" s="1"/>
  <c r="F57" i="7"/>
  <c r="F66" i="7" s="1"/>
  <c r="H32" i="7"/>
  <c r="H13" i="7"/>
  <c r="C194" i="13"/>
  <c r="C172" i="13"/>
  <c r="C193" i="13" s="1"/>
  <c r="F235" i="13"/>
  <c r="F236" i="13"/>
  <c r="E28" i="27"/>
  <c r="E67" i="27"/>
  <c r="E161" i="13"/>
  <c r="E160" i="13"/>
  <c r="E158" i="13"/>
  <c r="E157" i="13"/>
  <c r="C63" i="13"/>
  <c r="G236" i="13"/>
  <c r="G235" i="13"/>
  <c r="H57" i="38"/>
  <c r="C34" i="7"/>
  <c r="C39" i="7"/>
  <c r="C78" i="7"/>
  <c r="C93" i="7" s="1"/>
  <c r="C57" i="7"/>
  <c r="C66" i="7" s="1"/>
  <c r="E13" i="7"/>
  <c r="E32" i="7"/>
  <c r="D56" i="1"/>
  <c r="C56" i="1"/>
  <c r="D34" i="7"/>
  <c r="D39" i="7"/>
  <c r="D78" i="7"/>
  <c r="D93" i="7" s="1"/>
  <c r="D57" i="7"/>
  <c r="E22" i="34"/>
  <c r="E16" i="34"/>
  <c r="D28" i="27"/>
  <c r="D67" i="27"/>
  <c r="E14" i="21"/>
  <c r="H172" i="13"/>
  <c r="H193" i="13" s="1"/>
  <c r="H194" i="13"/>
  <c r="B161" i="13"/>
  <c r="B70" i="27" s="1"/>
  <c r="B160" i="13"/>
  <c r="B158" i="13"/>
  <c r="B157" i="13"/>
  <c r="I236" i="13"/>
  <c r="I235" i="13"/>
  <c r="L22" i="34"/>
  <c r="F37" i="40"/>
  <c r="B27" i="39"/>
  <c r="M82" i="34"/>
  <c r="N82" i="34" s="1"/>
  <c r="C236" i="13"/>
  <c r="C235" i="13"/>
  <c r="I160" i="13"/>
  <c r="I158" i="13"/>
  <c r="I157" i="13"/>
  <c r="I161" i="13"/>
  <c r="D16" i="34"/>
  <c r="D22" i="34"/>
  <c r="E172" i="13"/>
  <c r="E193" i="13" s="1"/>
  <c r="E194" i="13"/>
  <c r="F50" i="27"/>
  <c r="F66" i="27"/>
  <c r="D17" i="7"/>
  <c r="D19" i="7" s="1"/>
  <c r="D58" i="1"/>
  <c r="C58" i="1"/>
  <c r="D32" i="7"/>
  <c r="D13" i="7"/>
  <c r="E39" i="7"/>
  <c r="E34" i="7"/>
  <c r="E57" i="7"/>
  <c r="E66" i="7" s="1"/>
  <c r="E78" i="7"/>
  <c r="E93" i="7" s="1"/>
  <c r="D96" i="34"/>
  <c r="D15" i="38" s="1"/>
  <c r="D19" i="38" s="1"/>
  <c r="H161" i="13"/>
  <c r="H160" i="13"/>
  <c r="H158" i="13"/>
  <c r="H157" i="13"/>
  <c r="D63" i="13"/>
  <c r="K16" i="34"/>
  <c r="K22" i="34"/>
  <c r="C16" i="34"/>
  <c r="C22" i="34"/>
  <c r="N9" i="34"/>
  <c r="G172" i="13"/>
  <c r="G193" i="13" s="1"/>
  <c r="G194" i="13"/>
  <c r="E99" i="1"/>
  <c r="D97" i="1"/>
  <c r="C97" i="1"/>
  <c r="F96" i="34"/>
  <c r="F15" i="38" s="1"/>
  <c r="F14" i="21"/>
  <c r="G32" i="7"/>
  <c r="G13" i="7"/>
  <c r="L14" i="21"/>
  <c r="L15" i="81" s="1"/>
  <c r="D235" i="13"/>
  <c r="D236" i="13"/>
  <c r="H96" i="34"/>
  <c r="H15" i="38" s="1"/>
  <c r="G50" i="27"/>
  <c r="G66" i="27"/>
  <c r="F62" i="13"/>
  <c r="D73" i="1"/>
  <c r="C73" i="1"/>
  <c r="G63" i="13"/>
  <c r="J16" i="34"/>
  <c r="J22" i="34"/>
  <c r="I50" i="27"/>
  <c r="I66" i="27"/>
  <c r="I172" i="13"/>
  <c r="I193" i="13" s="1"/>
  <c r="I194" i="13"/>
  <c r="B263" i="13"/>
  <c r="E236" i="13"/>
  <c r="E235" i="13"/>
  <c r="C19" i="7"/>
  <c r="B19" i="7" s="1"/>
  <c r="L36" i="34" l="1"/>
  <c r="K4" i="94"/>
  <c r="K6" i="94"/>
  <c r="C263" i="13"/>
  <c r="F261" i="13"/>
  <c r="B68" i="27"/>
  <c r="M48" i="27" s="1"/>
  <c r="G37" i="91"/>
  <c r="G22" i="91"/>
  <c r="F3" i="91"/>
  <c r="F15" i="91"/>
  <c r="B69" i="27"/>
  <c r="B71" i="27" s="1"/>
  <c r="E15" i="33"/>
  <c r="B18" i="91"/>
  <c r="B34" i="91"/>
  <c r="B39" i="91" s="1"/>
  <c r="B40" i="91" s="1"/>
  <c r="B41" i="91" s="1"/>
  <c r="C39" i="91"/>
  <c r="C40" i="91" s="1"/>
  <c r="I263" i="13"/>
  <c r="D37" i="91"/>
  <c r="D22" i="91"/>
  <c r="C18" i="91"/>
  <c r="C34" i="91"/>
  <c r="E3" i="91"/>
  <c r="E15" i="91"/>
  <c r="C70" i="27"/>
  <c r="E70" i="27"/>
  <c r="D70" i="27"/>
  <c r="F70" i="27"/>
  <c r="H70" i="27"/>
  <c r="G70" i="27"/>
  <c r="I70" i="27"/>
  <c r="E17" i="33"/>
  <c r="D261" i="13"/>
  <c r="M96" i="34"/>
  <c r="M97" i="34" s="1"/>
  <c r="C92" i="87"/>
  <c r="L77" i="87"/>
  <c r="L85" i="87"/>
  <c r="L61" i="87"/>
  <c r="L69" i="87"/>
  <c r="L80" i="87"/>
  <c r="L88" i="87"/>
  <c r="L72" i="87"/>
  <c r="L64" i="87"/>
  <c r="L78" i="87"/>
  <c r="L86" i="87"/>
  <c r="L62" i="87"/>
  <c r="L70" i="87"/>
  <c r="M79" i="34"/>
  <c r="N79" i="34" s="1"/>
  <c r="D27" i="39"/>
  <c r="C27" i="39"/>
  <c r="G15" i="38"/>
  <c r="G19" i="38" s="1"/>
  <c r="J18" i="87"/>
  <c r="J52" i="87"/>
  <c r="J92" i="87" s="1"/>
  <c r="J98" i="87" s="1"/>
  <c r="H18" i="87"/>
  <c r="H52" i="87"/>
  <c r="H92" i="87" s="1"/>
  <c r="F15" i="81"/>
  <c r="F52" i="87"/>
  <c r="F92" i="87" s="1"/>
  <c r="F18" i="87"/>
  <c r="G18" i="87"/>
  <c r="G52" i="87"/>
  <c r="G92" i="87" s="1"/>
  <c r="I18" i="87"/>
  <c r="I52" i="87"/>
  <c r="I92" i="87" s="1"/>
  <c r="K15" i="81"/>
  <c r="K18" i="87"/>
  <c r="K52" i="87"/>
  <c r="K92" i="87" s="1"/>
  <c r="K98" i="87" s="1"/>
  <c r="G261" i="13"/>
  <c r="D52" i="87"/>
  <c r="D92" i="87" s="1"/>
  <c r="D98" i="87" s="1"/>
  <c r="D18" i="87"/>
  <c r="E15" i="81"/>
  <c r="E52" i="87"/>
  <c r="E92" i="87" s="1"/>
  <c r="E98" i="87" s="1"/>
  <c r="E18" i="87"/>
  <c r="E34" i="81"/>
  <c r="F124" i="13"/>
  <c r="F130" i="13" s="1"/>
  <c r="G15" i="81"/>
  <c r="F34" i="81"/>
  <c r="C141" i="13"/>
  <c r="C159" i="13" s="1"/>
  <c r="D15" i="81"/>
  <c r="J9" i="22"/>
  <c r="J15" i="22" s="1"/>
  <c r="J17" i="22" s="1"/>
  <c r="J15" i="81"/>
  <c r="H141" i="13"/>
  <c r="H159" i="13" s="1"/>
  <c r="I15" i="81"/>
  <c r="L34" i="81"/>
  <c r="K34" i="81"/>
  <c r="H9" i="22"/>
  <c r="H15" i="22" s="1"/>
  <c r="H17" i="22" s="1"/>
  <c r="H15" i="81"/>
  <c r="P79" i="38"/>
  <c r="B40" i="27"/>
  <c r="B41" i="27" s="1"/>
  <c r="Q79" i="38"/>
  <c r="O82" i="34"/>
  <c r="P82" i="34" s="1"/>
  <c r="Q82" i="34" s="1"/>
  <c r="H42" i="27"/>
  <c r="C40" i="27"/>
  <c r="C41" i="27" s="1"/>
  <c r="D9" i="22"/>
  <c r="D15" i="22" s="1"/>
  <c r="D17" i="22" s="1"/>
  <c r="B17" i="7"/>
  <c r="I170" i="13"/>
  <c r="I232" i="13" s="1"/>
  <c r="I9" i="22"/>
  <c r="I15" i="22" s="1"/>
  <c r="I17" i="22" s="1"/>
  <c r="N96" i="34"/>
  <c r="I40" i="27"/>
  <c r="I41" i="27" s="1"/>
  <c r="H170" i="13"/>
  <c r="H232" i="13" s="1"/>
  <c r="H40" i="27"/>
  <c r="H41" i="27" s="1"/>
  <c r="I18" i="21"/>
  <c r="H124" i="13"/>
  <c r="H130" i="13" s="1"/>
  <c r="D76" i="1"/>
  <c r="C76" i="1"/>
  <c r="C15" i="22"/>
  <c r="C17" i="22" s="1"/>
  <c r="D38" i="6"/>
  <c r="D39" i="6" s="1"/>
  <c r="E38" i="6"/>
  <c r="E39" i="6" s="1"/>
  <c r="F39" i="1"/>
  <c r="H39" i="1"/>
  <c r="G38" i="6"/>
  <c r="G39" i="6" s="1"/>
  <c r="H38" i="6"/>
  <c r="H39" i="6" s="1"/>
  <c r="I39" i="1"/>
  <c r="F38" i="6"/>
  <c r="F39" i="6" s="1"/>
  <c r="G39" i="1"/>
  <c r="J21" i="38"/>
  <c r="G5" i="27"/>
  <c r="AE5" i="27" s="1"/>
  <c r="F68" i="27"/>
  <c r="Q48" i="27" s="1"/>
  <c r="H68" i="27"/>
  <c r="C170" i="13"/>
  <c r="C232" i="13" s="1"/>
  <c r="I141" i="13"/>
  <c r="I159" i="13" s="1"/>
  <c r="G40" i="27"/>
  <c r="G41" i="27" s="1"/>
  <c r="G170" i="13"/>
  <c r="G192" i="13" s="1"/>
  <c r="C5" i="27"/>
  <c r="AA5" i="27" s="1"/>
  <c r="C124" i="13"/>
  <c r="C130" i="13" s="1"/>
  <c r="I5" i="27"/>
  <c r="I52" i="27" s="1"/>
  <c r="I57" i="27" s="1"/>
  <c r="I63" i="27" s="1"/>
  <c r="J18" i="21"/>
  <c r="G42" i="27"/>
  <c r="G124" i="13"/>
  <c r="G130" i="13" s="1"/>
  <c r="D18" i="21"/>
  <c r="I124" i="13"/>
  <c r="I130" i="13" s="1"/>
  <c r="G141" i="13"/>
  <c r="G159" i="13" s="1"/>
  <c r="F42" i="27"/>
  <c r="I68" i="27"/>
  <c r="F141" i="13"/>
  <c r="F159" i="13" s="1"/>
  <c r="J16" i="38"/>
  <c r="C42" i="27"/>
  <c r="H5" i="27"/>
  <c r="H52" i="27" s="1"/>
  <c r="H57" i="27" s="1"/>
  <c r="H63" i="27" s="1"/>
  <c r="I42" i="27"/>
  <c r="H18" i="21"/>
  <c r="F170" i="13"/>
  <c r="F232" i="13" s="1"/>
  <c r="G9" i="22"/>
  <c r="G15" i="22" s="1"/>
  <c r="G17" i="22" s="1"/>
  <c r="B124" i="13"/>
  <c r="B130" i="13" s="1"/>
  <c r="F5" i="27"/>
  <c r="AD5" i="27" s="1"/>
  <c r="G18" i="21"/>
  <c r="B5" i="27"/>
  <c r="B52" i="27" s="1"/>
  <c r="B57" i="27" s="1"/>
  <c r="B141" i="13"/>
  <c r="B159" i="13" s="1"/>
  <c r="C68" i="27"/>
  <c r="N48" i="27" s="1"/>
  <c r="F40" i="27"/>
  <c r="F41" i="27" s="1"/>
  <c r="B170" i="13"/>
  <c r="B232" i="13" s="1"/>
  <c r="E68" i="27"/>
  <c r="P48" i="27" s="1"/>
  <c r="L20" i="34"/>
  <c r="L37" i="34"/>
  <c r="C14" i="41"/>
  <c r="E14" i="41" s="1"/>
  <c r="G14" i="41" s="1"/>
  <c r="I14" i="41" s="1"/>
  <c r="K14" i="41" s="1"/>
  <c r="L37" i="40"/>
  <c r="L26" i="34"/>
  <c r="P26" i="34" s="1"/>
  <c r="Q26" i="34" s="1"/>
  <c r="C63" i="7"/>
  <c r="C53" i="7"/>
  <c r="B13" i="7"/>
  <c r="H69" i="27"/>
  <c r="H31" i="27"/>
  <c r="E37" i="34"/>
  <c r="E43" i="34" s="1"/>
  <c r="E45" i="34" s="1"/>
  <c r="E26" i="34"/>
  <c r="E20" i="34"/>
  <c r="F79" i="7"/>
  <c r="F94" i="7" s="1"/>
  <c r="F59" i="7"/>
  <c r="F67" i="7" s="1"/>
  <c r="G77" i="7"/>
  <c r="G92" i="7" s="1"/>
  <c r="G55" i="7"/>
  <c r="G65" i="7" s="1"/>
  <c r="F9" i="22"/>
  <c r="F15" i="22" s="1"/>
  <c r="F17" i="22" s="1"/>
  <c r="E170" i="13"/>
  <c r="F18" i="21"/>
  <c r="E141" i="13"/>
  <c r="E159" i="13" s="1"/>
  <c r="E124" i="13"/>
  <c r="E130" i="13" s="1"/>
  <c r="E42" i="27"/>
  <c r="E40" i="27"/>
  <c r="E41" i="27" s="1"/>
  <c r="E5" i="27"/>
  <c r="D63" i="7"/>
  <c r="D53" i="7"/>
  <c r="D37" i="34"/>
  <c r="D43" i="34" s="1"/>
  <c r="D45" i="34" s="1"/>
  <c r="D20" i="34"/>
  <c r="D26" i="34"/>
  <c r="E9" i="22"/>
  <c r="E15" i="22" s="1"/>
  <c r="E17" i="22" s="1"/>
  <c r="D141" i="13"/>
  <c r="D159" i="13" s="1"/>
  <c r="E18" i="21"/>
  <c r="D170" i="13"/>
  <c r="D124" i="13"/>
  <c r="D130" i="13" s="1"/>
  <c r="D5" i="27"/>
  <c r="D42" i="27"/>
  <c r="D40" i="27"/>
  <c r="D41" i="27" s="1"/>
  <c r="D77" i="7"/>
  <c r="D92" i="7" s="1"/>
  <c r="D55" i="7"/>
  <c r="E53" i="7"/>
  <c r="E63" i="7"/>
  <c r="C77" i="7"/>
  <c r="C92" i="7" s="1"/>
  <c r="C55" i="7"/>
  <c r="C65" i="7" s="1"/>
  <c r="F77" i="7"/>
  <c r="F92" i="7" s="1"/>
  <c r="F55" i="7"/>
  <c r="F65" i="7" s="1"/>
  <c r="K9" i="22"/>
  <c r="K15" i="22" s="1"/>
  <c r="K17" i="22" s="1"/>
  <c r="K18" i="21"/>
  <c r="J141" i="13"/>
  <c r="F37" i="34"/>
  <c r="F43" i="34" s="1"/>
  <c r="F45" i="34" s="1"/>
  <c r="F26" i="34"/>
  <c r="F20" i="34"/>
  <c r="G37" i="34"/>
  <c r="G43" i="34" s="1"/>
  <c r="G45" i="34" s="1"/>
  <c r="G20" i="34"/>
  <c r="G26" i="34"/>
  <c r="H77" i="7"/>
  <c r="H92" i="7" s="1"/>
  <c r="H55" i="7"/>
  <c r="H65" i="7" s="1"/>
  <c r="G79" i="7"/>
  <c r="G94" i="7" s="1"/>
  <c r="G59" i="7"/>
  <c r="G67" i="7" s="1"/>
  <c r="G69" i="27"/>
  <c r="G31" i="27"/>
  <c r="L16" i="38"/>
  <c r="L19" i="38"/>
  <c r="C79" i="7"/>
  <c r="C94" i="7" s="1"/>
  <c r="C59" i="7"/>
  <c r="C67" i="7" s="1"/>
  <c r="H63" i="7"/>
  <c r="H53" i="7"/>
  <c r="J20" i="34"/>
  <c r="J37" i="34"/>
  <c r="J43" i="34" s="1"/>
  <c r="J45" i="34" s="1"/>
  <c r="J26" i="34"/>
  <c r="L9" i="22"/>
  <c r="L15" i="22" s="1"/>
  <c r="L17" i="22" s="1"/>
  <c r="L18" i="21"/>
  <c r="F16" i="38"/>
  <c r="F19" i="38"/>
  <c r="F21" i="38" s="1"/>
  <c r="K20" i="34"/>
  <c r="K26" i="34"/>
  <c r="K37" i="34"/>
  <c r="J28" i="40"/>
  <c r="J8" i="40"/>
  <c r="D66" i="7"/>
  <c r="B57" i="7"/>
  <c r="B31" i="27"/>
  <c r="E21" i="38"/>
  <c r="I69" i="27"/>
  <c r="I31" i="27"/>
  <c r="H20" i="34"/>
  <c r="H37" i="34"/>
  <c r="H43" i="34" s="1"/>
  <c r="H45" i="34" s="1"/>
  <c r="H26" i="34"/>
  <c r="F69" i="27"/>
  <c r="F31" i="27"/>
  <c r="H79" i="7"/>
  <c r="H94" i="7" s="1"/>
  <c r="H59" i="7"/>
  <c r="H67" i="7" s="1"/>
  <c r="C69" i="27"/>
  <c r="C31" i="27"/>
  <c r="L57" i="38"/>
  <c r="M57" i="38"/>
  <c r="D68" i="27"/>
  <c r="O48" i="27" s="1"/>
  <c r="B78" i="39"/>
  <c r="B58" i="39"/>
  <c r="J42" i="39"/>
  <c r="D77" i="1"/>
  <c r="C77" i="1"/>
  <c r="C37" i="34"/>
  <c r="C43" i="34" s="1"/>
  <c r="C45" i="34" s="1"/>
  <c r="C20" i="34"/>
  <c r="C26" i="34"/>
  <c r="E59" i="7"/>
  <c r="E67" i="7" s="1"/>
  <c r="E79" i="7"/>
  <c r="E94" i="7" s="1"/>
  <c r="D79" i="7"/>
  <c r="D94" i="7" s="1"/>
  <c r="D59" i="7"/>
  <c r="C20" i="1"/>
  <c r="D20" i="1"/>
  <c r="E24" i="1"/>
  <c r="G68" i="27"/>
  <c r="H19" i="38"/>
  <c r="G63" i="7"/>
  <c r="G53" i="7"/>
  <c r="C99" i="1"/>
  <c r="D99" i="1"/>
  <c r="O9" i="34"/>
  <c r="N8" i="34"/>
  <c r="E55" i="7"/>
  <c r="E65" i="7" s="1"/>
  <c r="E77" i="7"/>
  <c r="E92" i="7" s="1"/>
  <c r="J37" i="40"/>
  <c r="C13" i="41"/>
  <c r="D69" i="27"/>
  <c r="D71" i="27" s="1"/>
  <c r="D31" i="27"/>
  <c r="E69" i="27"/>
  <c r="E71" i="27" s="1"/>
  <c r="E31" i="27"/>
  <c r="E16" i="38"/>
  <c r="I37" i="34"/>
  <c r="I43" i="34" s="1"/>
  <c r="I45" i="34" s="1"/>
  <c r="I26" i="34"/>
  <c r="I20" i="34"/>
  <c r="F53" i="7"/>
  <c r="F63" i="7"/>
  <c r="K16" i="38"/>
  <c r="K19" i="38"/>
  <c r="K21" i="38" s="1"/>
  <c r="I16" i="38"/>
  <c r="C41" i="91" l="1"/>
  <c r="H71" i="27"/>
  <c r="I71" i="27"/>
  <c r="G71" i="27"/>
  <c r="B18" i="39"/>
  <c r="K64" i="39" s="1"/>
  <c r="E37" i="91"/>
  <c r="E22" i="91"/>
  <c r="F71" i="27"/>
  <c r="K43" i="34"/>
  <c r="K45" i="34" s="1"/>
  <c r="B2" i="91"/>
  <c r="F37" i="91"/>
  <c r="F22" i="91"/>
  <c r="L43" i="34"/>
  <c r="L45" i="34" s="1"/>
  <c r="C2" i="91"/>
  <c r="I105" i="13"/>
  <c r="I111" i="13" s="1"/>
  <c r="S5" i="27"/>
  <c r="S8" i="27" s="1"/>
  <c r="S11" i="27" s="1"/>
  <c r="S17" i="27" s="1"/>
  <c r="T5" i="27"/>
  <c r="T8" i="27" s="1"/>
  <c r="T11" i="27" s="1"/>
  <c r="T17" i="27" s="1"/>
  <c r="C71" i="27"/>
  <c r="L52" i="87"/>
  <c r="G29" i="22"/>
  <c r="G30" i="22" s="1"/>
  <c r="G33" i="22" s="1"/>
  <c r="C29" i="22"/>
  <c r="L60" i="34" s="1"/>
  <c r="L63" i="34" s="1"/>
  <c r="D29" i="22"/>
  <c r="K60" i="34" s="1"/>
  <c r="K63" i="34" s="1"/>
  <c r="M8" i="38"/>
  <c r="M9" i="38" s="1"/>
  <c r="M80" i="34"/>
  <c r="M10" i="38" s="1"/>
  <c r="C98" i="87"/>
  <c r="L76" i="87"/>
  <c r="L84" i="87"/>
  <c r="L68" i="87"/>
  <c r="L60" i="87"/>
  <c r="H16" i="38"/>
  <c r="H21" i="38"/>
  <c r="G16" i="38"/>
  <c r="O79" i="34"/>
  <c r="N80" i="34"/>
  <c r="N8" i="38"/>
  <c r="N9" i="38" s="1"/>
  <c r="U5" i="27"/>
  <c r="U8" i="27" s="1"/>
  <c r="U11" i="27" s="1"/>
  <c r="U17" i="27" s="1"/>
  <c r="J29" i="22"/>
  <c r="J30" i="22" s="1"/>
  <c r="J33" i="22" s="1"/>
  <c r="G105" i="13"/>
  <c r="G111" i="13" s="1"/>
  <c r="H29" i="22"/>
  <c r="G60" i="34" s="1"/>
  <c r="G63" i="34" s="1"/>
  <c r="G66" i="34" s="1"/>
  <c r="G34" i="81"/>
  <c r="I34" i="81"/>
  <c r="J34" i="81"/>
  <c r="H34" i="81"/>
  <c r="D34" i="81"/>
  <c r="B43" i="27"/>
  <c r="C39" i="1"/>
  <c r="AF5" i="27"/>
  <c r="AF8" i="27" s="1"/>
  <c r="AF11" i="27" s="1"/>
  <c r="F192" i="13"/>
  <c r="F197" i="13" s="1"/>
  <c r="O5" i="27"/>
  <c r="O8" i="27" s="1"/>
  <c r="O11" i="27" s="1"/>
  <c r="O13" i="27" s="1"/>
  <c r="G232" i="13"/>
  <c r="G240" i="13" s="1"/>
  <c r="G244" i="13" s="1"/>
  <c r="C43" i="27"/>
  <c r="C105" i="13"/>
  <c r="C111" i="13" s="1"/>
  <c r="B105" i="13"/>
  <c r="B111" i="13" s="1"/>
  <c r="N5" i="27"/>
  <c r="N8" i="27" s="1"/>
  <c r="N11" i="27" s="1"/>
  <c r="N13" i="27" s="1"/>
  <c r="H43" i="27"/>
  <c r="H192" i="13"/>
  <c r="H197" i="13" s="1"/>
  <c r="I192" i="13"/>
  <c r="I197" i="13" s="1"/>
  <c r="AG5" i="27"/>
  <c r="AG13" i="27" s="1"/>
  <c r="I8" i="27"/>
  <c r="I11" i="27" s="1"/>
  <c r="I17" i="27" s="1"/>
  <c r="I34" i="27" s="1"/>
  <c r="G8" i="27"/>
  <c r="G11" i="27" s="1"/>
  <c r="G17" i="27" s="1"/>
  <c r="G34" i="27" s="1"/>
  <c r="F8" i="27"/>
  <c r="F11" i="27" s="1"/>
  <c r="F17" i="27" s="1"/>
  <c r="F34" i="27" s="1"/>
  <c r="G43" i="27"/>
  <c r="G52" i="27"/>
  <c r="G57" i="27" s="1"/>
  <c r="G63" i="27" s="1"/>
  <c r="M15" i="38"/>
  <c r="M19" i="38" s="1"/>
  <c r="M21" i="38" s="1"/>
  <c r="H105" i="13"/>
  <c r="H111" i="13" s="1"/>
  <c r="I43" i="27"/>
  <c r="I29" i="22"/>
  <c r="I30" i="22" s="1"/>
  <c r="I33" i="22" s="1"/>
  <c r="F105" i="13"/>
  <c r="F111" i="13" s="1"/>
  <c r="B8" i="27"/>
  <c r="B11" i="27" s="1"/>
  <c r="B17" i="27" s="1"/>
  <c r="B34" i="27" s="1"/>
  <c r="C8" i="27"/>
  <c r="C11" i="27" s="1"/>
  <c r="C17" i="27" s="1"/>
  <c r="C34" i="27" s="1"/>
  <c r="Z5" i="27"/>
  <c r="Z13" i="27" s="1"/>
  <c r="C52" i="27"/>
  <c r="C57" i="27" s="1"/>
  <c r="C63" i="27" s="1"/>
  <c r="C192" i="13"/>
  <c r="C198" i="13" s="1"/>
  <c r="B192" i="13"/>
  <c r="B53" i="7"/>
  <c r="D39" i="1"/>
  <c r="F43" i="27"/>
  <c r="R5" i="27"/>
  <c r="R8" i="27" s="1"/>
  <c r="R11" i="27" s="1"/>
  <c r="R17" i="27" s="1"/>
  <c r="B63" i="27"/>
  <c r="B59" i="27"/>
  <c r="F52" i="27"/>
  <c r="F57" i="27" s="1"/>
  <c r="F63" i="27" s="1"/>
  <c r="H8" i="27"/>
  <c r="H11" i="27" s="1"/>
  <c r="H17" i="27" s="1"/>
  <c r="H34" i="27" s="1"/>
  <c r="G21" i="38"/>
  <c r="D43" i="27"/>
  <c r="B26" i="39"/>
  <c r="M22" i="34"/>
  <c r="AA8" i="27"/>
  <c r="AA11" i="27" s="1"/>
  <c r="AA14" i="27"/>
  <c r="AA13" i="27"/>
  <c r="D24" i="1"/>
  <c r="C24" i="1"/>
  <c r="L29" i="22"/>
  <c r="H59" i="27"/>
  <c r="H64" i="27" s="1"/>
  <c r="K29" i="22"/>
  <c r="C240" i="13"/>
  <c r="C244" i="13" s="1"/>
  <c r="C239" i="13"/>
  <c r="C243" i="13" s="1"/>
  <c r="B55" i="7"/>
  <c r="D65" i="7"/>
  <c r="D52" i="27"/>
  <c r="D57" i="27" s="1"/>
  <c r="AB5" i="27"/>
  <c r="D8" i="27"/>
  <c r="D11" i="27" s="1"/>
  <c r="E43" i="27"/>
  <c r="E232" i="13"/>
  <c r="E192" i="13"/>
  <c r="I240" i="13"/>
  <c r="I244" i="13" s="1"/>
  <c r="I239" i="13"/>
  <c r="I243" i="13" s="1"/>
  <c r="B239" i="13"/>
  <c r="B243" i="13" s="1"/>
  <c r="B240" i="13"/>
  <c r="B244" i="13" s="1"/>
  <c r="AD14" i="27"/>
  <c r="AD13" i="27"/>
  <c r="AD8" i="27"/>
  <c r="AD11" i="27" s="1"/>
  <c r="I59" i="27"/>
  <c r="I64" i="27" s="1"/>
  <c r="M14" i="41"/>
  <c r="G197" i="13"/>
  <c r="G198" i="13"/>
  <c r="E13" i="41"/>
  <c r="C15" i="41"/>
  <c r="AE13" i="27"/>
  <c r="AE8" i="27"/>
  <c r="AE11" i="27" s="1"/>
  <c r="AE14" i="27"/>
  <c r="H239" i="13"/>
  <c r="H243" i="13" s="1"/>
  <c r="H240" i="13"/>
  <c r="H244" i="13" s="1"/>
  <c r="F91" i="7"/>
  <c r="F85" i="7"/>
  <c r="E29" i="22"/>
  <c r="P5" i="27"/>
  <c r="P8" i="27" s="1"/>
  <c r="P11" i="27" s="1"/>
  <c r="D105" i="13"/>
  <c r="D111" i="13" s="1"/>
  <c r="E85" i="7"/>
  <c r="E91" i="7"/>
  <c r="F29" i="22"/>
  <c r="Q5" i="27"/>
  <c r="Q8" i="27" s="1"/>
  <c r="Q11" i="27" s="1"/>
  <c r="E105" i="13"/>
  <c r="E111" i="13" s="1"/>
  <c r="F239" i="13"/>
  <c r="F243" i="13" s="1"/>
  <c r="F240" i="13"/>
  <c r="F244" i="13" s="1"/>
  <c r="D85" i="7"/>
  <c r="D91" i="7"/>
  <c r="P9" i="34"/>
  <c r="O8" i="34"/>
  <c r="H85" i="7"/>
  <c r="H91" i="7"/>
  <c r="D67" i="7"/>
  <c r="B59" i="7"/>
  <c r="O96" i="34"/>
  <c r="N97" i="34"/>
  <c r="N15" i="38"/>
  <c r="G91" i="7"/>
  <c r="G85" i="7"/>
  <c r="L28" i="40"/>
  <c r="K72" i="39" s="1"/>
  <c r="L8" i="40"/>
  <c r="N10" i="34"/>
  <c r="N12" i="34" s="1"/>
  <c r="I21" i="38"/>
  <c r="J27" i="40"/>
  <c r="J30" i="40"/>
  <c r="J29" i="40"/>
  <c r="L21" i="38"/>
  <c r="D232" i="13"/>
  <c r="D192" i="13"/>
  <c r="AC5" i="27"/>
  <c r="E52" i="27"/>
  <c r="E57" i="27" s="1"/>
  <c r="E8" i="27"/>
  <c r="E11" i="27" s="1"/>
  <c r="F28" i="40"/>
  <c r="F8" i="40"/>
  <c r="T13" i="27" l="1"/>
  <c r="L66" i="34"/>
  <c r="B197" i="13"/>
  <c r="B198" i="13"/>
  <c r="C21" i="91"/>
  <c r="C27" i="91" s="1"/>
  <c r="C28" i="91" s="1"/>
  <c r="C29" i="91" s="1"/>
  <c r="C5" i="91"/>
  <c r="C7" i="91" s="1"/>
  <c r="C9" i="91" s="1"/>
  <c r="K66" i="34"/>
  <c r="B21" i="91"/>
  <c r="B27" i="91" s="1"/>
  <c r="B28" i="91" s="1"/>
  <c r="B29" i="91" s="1"/>
  <c r="B5" i="91"/>
  <c r="B7" i="91" s="1"/>
  <c r="B9" i="91" s="1"/>
  <c r="C30" i="22"/>
  <c r="C33" i="22" s="1"/>
  <c r="G8" i="33"/>
  <c r="E12" i="91"/>
  <c r="H60" i="34"/>
  <c r="H63" i="34" s="1"/>
  <c r="H66" i="34" s="1"/>
  <c r="S13" i="27"/>
  <c r="D30" i="22"/>
  <c r="D33" i="22" s="1"/>
  <c r="E60" i="34"/>
  <c r="E63" i="34" s="1"/>
  <c r="E66" i="34" s="1"/>
  <c r="N10" i="38"/>
  <c r="P79" i="34"/>
  <c r="O80" i="34"/>
  <c r="O8" i="38"/>
  <c r="O9" i="38" s="1"/>
  <c r="M17" i="38"/>
  <c r="M18" i="38" s="1"/>
  <c r="M22" i="38" s="1"/>
  <c r="M44" i="34" s="1"/>
  <c r="U13" i="27"/>
  <c r="H30" i="22"/>
  <c r="H33" i="22" s="1"/>
  <c r="M98" i="34"/>
  <c r="M103" i="34" s="1"/>
  <c r="AF13" i="27"/>
  <c r="AF14" i="27"/>
  <c r="F198" i="13"/>
  <c r="G239" i="13"/>
  <c r="G243" i="13" s="1"/>
  <c r="O17" i="27"/>
  <c r="O19" i="27" s="1"/>
  <c r="G59" i="27"/>
  <c r="G64" i="27" s="1"/>
  <c r="H198" i="13"/>
  <c r="N17" i="27"/>
  <c r="N19" i="27" s="1"/>
  <c r="Z14" i="27"/>
  <c r="I198" i="13"/>
  <c r="G13" i="27"/>
  <c r="G35" i="27" s="1"/>
  <c r="M16" i="38"/>
  <c r="I13" i="27"/>
  <c r="I35" i="27" s="1"/>
  <c r="F13" i="27"/>
  <c r="F35" i="27" s="1"/>
  <c r="AG14" i="27"/>
  <c r="AG8" i="27"/>
  <c r="AG11" i="27" s="1"/>
  <c r="F60" i="34"/>
  <c r="F63" i="34" s="1"/>
  <c r="F66" i="34" s="1"/>
  <c r="Z8" i="27"/>
  <c r="Z11" i="27" s="1"/>
  <c r="H13" i="27"/>
  <c r="H35" i="27" s="1"/>
  <c r="C13" i="27"/>
  <c r="C35" i="27" s="1"/>
  <c r="C197" i="13"/>
  <c r="B13" i="27"/>
  <c r="B35" i="27" s="1"/>
  <c r="R13" i="27"/>
  <c r="C59" i="27"/>
  <c r="C64" i="27" s="1"/>
  <c r="N17" i="38"/>
  <c r="N98" i="34"/>
  <c r="N103" i="34" s="1"/>
  <c r="R19" i="27"/>
  <c r="B64" i="27"/>
  <c r="U19" i="27"/>
  <c r="F59" i="27"/>
  <c r="F64" i="27" s="1"/>
  <c r="S19" i="27"/>
  <c r="C24" i="39"/>
  <c r="C26" i="39" s="1"/>
  <c r="N22" i="34"/>
  <c r="Q17" i="27"/>
  <c r="Q13" i="27"/>
  <c r="P13" i="27"/>
  <c r="P17" i="27"/>
  <c r="D13" i="27"/>
  <c r="D35" i="27" s="1"/>
  <c r="D17" i="27"/>
  <c r="D34" i="27" s="1"/>
  <c r="AC13" i="27"/>
  <c r="AC14" i="27"/>
  <c r="AC8" i="27"/>
  <c r="AC11" i="27" s="1"/>
  <c r="D197" i="13"/>
  <c r="D198" i="13"/>
  <c r="D239" i="13"/>
  <c r="D243" i="13" s="1"/>
  <c r="D240" i="13"/>
  <c r="D244" i="13" s="1"/>
  <c r="N16" i="38"/>
  <c r="N19" i="38"/>
  <c r="N21" i="38" s="1"/>
  <c r="I60" i="34"/>
  <c r="I63" i="34" s="1"/>
  <c r="I66" i="34" s="1"/>
  <c r="F30" i="22"/>
  <c r="F33" i="22" s="1"/>
  <c r="J60" i="34"/>
  <c r="J63" i="34" s="1"/>
  <c r="J66" i="34" s="1"/>
  <c r="E30" i="22"/>
  <c r="E33" i="22" s="1"/>
  <c r="E198" i="13"/>
  <c r="E197" i="13"/>
  <c r="AB14" i="27"/>
  <c r="AB8" i="27"/>
  <c r="AB11" i="27" s="1"/>
  <c r="AB13" i="27"/>
  <c r="D60" i="34"/>
  <c r="D63" i="34" s="1"/>
  <c r="D66" i="34" s="1"/>
  <c r="K30" i="22"/>
  <c r="K33" i="22" s="1"/>
  <c r="F30" i="40"/>
  <c r="K15" i="41" s="1"/>
  <c r="K8" i="41" s="1"/>
  <c r="F29" i="40"/>
  <c r="M15" i="41" s="1"/>
  <c r="M8" i="41" s="1"/>
  <c r="F27" i="40"/>
  <c r="E13" i="27"/>
  <c r="E35" i="27" s="1"/>
  <c r="E17" i="27"/>
  <c r="E34" i="27" s="1"/>
  <c r="T19" i="27"/>
  <c r="O10" i="34"/>
  <c r="O12" i="34" s="1"/>
  <c r="F12" i="91" s="1"/>
  <c r="E240" i="13"/>
  <c r="E244" i="13" s="1"/>
  <c r="E239" i="13"/>
  <c r="E243" i="13" s="1"/>
  <c r="D63" i="27"/>
  <c r="D59" i="27"/>
  <c r="C60" i="34"/>
  <c r="C63" i="34" s="1"/>
  <c r="C66" i="34" s="1"/>
  <c r="L30" i="22"/>
  <c r="L33" i="22" s="1"/>
  <c r="E63" i="27"/>
  <c r="E59" i="27"/>
  <c r="L29" i="40"/>
  <c r="L27" i="40"/>
  <c r="K71" i="39" s="1"/>
  <c r="L30" i="40"/>
  <c r="P96" i="34"/>
  <c r="O97" i="34"/>
  <c r="O15" i="38"/>
  <c r="Q9" i="34"/>
  <c r="Q8" i="34" s="1"/>
  <c r="P8" i="34"/>
  <c r="G13" i="41"/>
  <c r="I13" i="41" s="1"/>
  <c r="K13" i="41" s="1"/>
  <c r="M13" i="41" s="1"/>
  <c r="O13" i="41" s="1"/>
  <c r="E15" i="41"/>
  <c r="O14" i="41"/>
  <c r="Q14" i="41" s="1"/>
  <c r="S14" i="41" s="1"/>
  <c r="U14" i="41" s="1"/>
  <c r="C45" i="91" a="1"/>
  <c r="F45" i="91" l="1"/>
  <c r="F47" i="91" s="1"/>
  <c r="D45" i="91"/>
  <c r="D47" i="91" s="1"/>
  <c r="H45" i="91"/>
  <c r="H47" i="91" s="1"/>
  <c r="H48" i="91" s="1"/>
  <c r="E45" i="91"/>
  <c r="E47" i="91" s="1"/>
  <c r="G45" i="91"/>
  <c r="G47" i="91" s="1"/>
  <c r="C45" i="91"/>
  <c r="C47" i="91" s="1"/>
  <c r="F14" i="91"/>
  <c r="F32" i="91"/>
  <c r="D4" i="91"/>
  <c r="D23" i="91" s="1"/>
  <c r="D26" i="91" s="1"/>
  <c r="D16" i="91"/>
  <c r="E32" i="91"/>
  <c r="E14" i="91"/>
  <c r="N18" i="38"/>
  <c r="N22" i="38" s="1"/>
  <c r="H8" i="33"/>
  <c r="M20" i="38"/>
  <c r="O10" i="38"/>
  <c r="Q79" i="34"/>
  <c r="P8" i="38"/>
  <c r="P9" i="38" s="1"/>
  <c r="P80" i="34"/>
  <c r="U18" i="27"/>
  <c r="N18" i="27"/>
  <c r="S18" i="27"/>
  <c r="R18" i="27"/>
  <c r="T18" i="27"/>
  <c r="O18" i="27"/>
  <c r="O17" i="38"/>
  <c r="O98" i="34"/>
  <c r="O103" i="34" s="1"/>
  <c r="P19" i="27"/>
  <c r="P18" i="27"/>
  <c r="K69" i="39"/>
  <c r="G15" i="41"/>
  <c r="G12" i="41" s="1"/>
  <c r="Q13" i="41"/>
  <c r="O15" i="41"/>
  <c r="O16" i="38"/>
  <c r="O19" i="38"/>
  <c r="O21" i="38" s="1"/>
  <c r="D24" i="39"/>
  <c r="D26" i="39" s="1"/>
  <c r="O22" i="34"/>
  <c r="M10" i="41"/>
  <c r="M12" i="41" s="1"/>
  <c r="Z33" i="41" s="1"/>
  <c r="Z25" i="41"/>
  <c r="P10" i="34"/>
  <c r="P12" i="34" s="1"/>
  <c r="G12" i="91" s="1"/>
  <c r="K70" i="39"/>
  <c r="L92" i="39" s="1"/>
  <c r="I15" i="41"/>
  <c r="I12" i="41" s="1"/>
  <c r="Q18" i="27"/>
  <c r="Q10" i="34"/>
  <c r="Q12" i="34" s="1"/>
  <c r="H12" i="91" s="1"/>
  <c r="Q96" i="34"/>
  <c r="P97" i="34"/>
  <c r="P15" i="38"/>
  <c r="E64" i="27"/>
  <c r="D64" i="27"/>
  <c r="K10" i="41"/>
  <c r="K12" i="41" s="1"/>
  <c r="X33" i="41" s="1"/>
  <c r="X25" i="41"/>
  <c r="Q19" i="27"/>
  <c r="N20" i="38" l="1"/>
  <c r="G32" i="91"/>
  <c r="G14" i="91"/>
  <c r="E34" i="91"/>
  <c r="D36" i="91"/>
  <c r="D38" i="91" s="1"/>
  <c r="D39" i="91" s="1"/>
  <c r="D40" i="91" s="1"/>
  <c r="D41" i="91" s="1"/>
  <c r="D18" i="91"/>
  <c r="H32" i="91"/>
  <c r="H14" i="91"/>
  <c r="F34" i="91"/>
  <c r="I8" i="33"/>
  <c r="J8" i="33"/>
  <c r="O18" i="38"/>
  <c r="O22" i="38" s="1"/>
  <c r="O44" i="34" s="1"/>
  <c r="N44" i="34"/>
  <c r="P10" i="38"/>
  <c r="Q8" i="38"/>
  <c r="Q9" i="38" s="1"/>
  <c r="Q80" i="34"/>
  <c r="B28" i="39"/>
  <c r="B30" i="39" s="1"/>
  <c r="P17" i="38"/>
  <c r="P98" i="34"/>
  <c r="P103" i="34" s="1"/>
  <c r="Y25" i="41"/>
  <c r="X12" i="41"/>
  <c r="Q22" i="34"/>
  <c r="F64" i="39" s="1"/>
  <c r="F24" i="39"/>
  <c r="F26" i="39" s="1"/>
  <c r="E24" i="39"/>
  <c r="E26" i="39" s="1"/>
  <c r="P22" i="34"/>
  <c r="S13" i="41"/>
  <c r="Q15" i="41"/>
  <c r="P16" i="38"/>
  <c r="P19" i="38"/>
  <c r="P21" i="38" s="1"/>
  <c r="I10" i="41"/>
  <c r="I8" i="41" s="1"/>
  <c r="Z24" i="41" s="1"/>
  <c r="Z32" i="41"/>
  <c r="G10" i="41"/>
  <c r="G8" i="41" s="1"/>
  <c r="X24" i="41" s="1"/>
  <c r="X32" i="41"/>
  <c r="Z12" i="41"/>
  <c r="Y33" i="41"/>
  <c r="Q97" i="34"/>
  <c r="Q15" i="38"/>
  <c r="K92" i="39"/>
  <c r="J92" i="39" s="1"/>
  <c r="M92" i="39"/>
  <c r="N92" i="39" s="1"/>
  <c r="B38" i="39" l="1"/>
  <c r="B34" i="39"/>
  <c r="H34" i="91"/>
  <c r="E16" i="91"/>
  <c r="E4" i="91"/>
  <c r="E23" i="91" s="1"/>
  <c r="E26" i="91" s="1"/>
  <c r="G34" i="91"/>
  <c r="F4" i="91"/>
  <c r="F23" i="91" s="1"/>
  <c r="F26" i="91" s="1"/>
  <c r="F16" i="91"/>
  <c r="P18" i="38"/>
  <c r="P20" i="38" s="1"/>
  <c r="O20" i="38"/>
  <c r="C28" i="39"/>
  <c r="C30" i="39" s="1"/>
  <c r="Q10" i="38"/>
  <c r="D28" i="39"/>
  <c r="D30" i="39" s="1"/>
  <c r="Q17" i="38"/>
  <c r="Q98" i="34"/>
  <c r="Q103" i="34" s="1"/>
  <c r="Y24" i="41"/>
  <c r="Z11" i="41"/>
  <c r="Y32" i="41"/>
  <c r="Q16" i="38"/>
  <c r="Q19" i="38"/>
  <c r="Q21" i="38" s="1"/>
  <c r="X11" i="41"/>
  <c r="U13" i="41"/>
  <c r="U15" i="41" s="1"/>
  <c r="S15" i="41"/>
  <c r="D38" i="39" l="1"/>
  <c r="D34" i="39"/>
  <c r="C38" i="39"/>
  <c r="C34" i="39"/>
  <c r="P22" i="38"/>
  <c r="P44" i="34" s="1"/>
  <c r="E28" i="39" s="1"/>
  <c r="E30" i="39" s="1"/>
  <c r="F36" i="91"/>
  <c r="F38" i="91" s="1"/>
  <c r="F39" i="91" s="1"/>
  <c r="F40" i="91" s="1"/>
  <c r="F41" i="91" s="1"/>
  <c r="F18" i="91"/>
  <c r="E36" i="91"/>
  <c r="E38" i="91" s="1"/>
  <c r="E39" i="91" s="1"/>
  <c r="E40" i="91" s="1"/>
  <c r="E41" i="91" s="1"/>
  <c r="E18" i="91"/>
  <c r="Q18" i="38"/>
  <c r="Q20" i="38" s="1"/>
  <c r="E187" i="12"/>
  <c r="D187" i="12"/>
  <c r="E185" i="12"/>
  <c r="D185" i="12"/>
  <c r="C9" i="23"/>
  <c r="Q22" i="38" l="1"/>
  <c r="Q44" i="34" s="1"/>
  <c r="E38" i="39"/>
  <c r="E34" i="39"/>
  <c r="B6" i="39"/>
  <c r="F10" i="39" s="1"/>
  <c r="G4" i="91"/>
  <c r="G23" i="91" s="1"/>
  <c r="G26" i="91" s="1"/>
  <c r="G16" i="91"/>
  <c r="O5" i="23"/>
  <c r="O4" i="23"/>
  <c r="H10" i="73"/>
  <c r="H31" i="73" s="1"/>
  <c r="G104" i="87" s="1"/>
  <c r="G107" i="87" s="1"/>
  <c r="H11" i="73"/>
  <c r="G10" i="73" s="1"/>
  <c r="G31" i="73" s="1"/>
  <c r="I21" i="73"/>
  <c r="H12" i="73"/>
  <c r="H13" i="73"/>
  <c r="H23" i="73" s="1"/>
  <c r="H14" i="73"/>
  <c r="H24" i="73" s="1"/>
  <c r="H15" i="73"/>
  <c r="H25" i="73" s="1"/>
  <c r="H16" i="73"/>
  <c r="I17" i="73"/>
  <c r="I26" i="73" s="1"/>
  <c r="I22" i="73"/>
  <c r="I23" i="73"/>
  <c r="I24" i="73"/>
  <c r="I25" i="73"/>
  <c r="K18" i="39" l="1"/>
  <c r="C39" i="39" s="1"/>
  <c r="L18" i="39"/>
  <c r="D39" i="39" s="1"/>
  <c r="M18" i="39"/>
  <c r="E39" i="39" s="1"/>
  <c r="N18" i="39"/>
  <c r="F12" i="39"/>
  <c r="J3" i="93" s="1"/>
  <c r="B5" i="93" s="1"/>
  <c r="J18" i="39"/>
  <c r="H4" i="91"/>
  <c r="H23" i="91" s="1"/>
  <c r="H26" i="91" s="1"/>
  <c r="H16" i="91"/>
  <c r="G36" i="91"/>
  <c r="G38" i="91" s="1"/>
  <c r="G39" i="91" s="1"/>
  <c r="G40" i="91" s="1"/>
  <c r="G41" i="91" s="1"/>
  <c r="G18" i="91"/>
  <c r="F28" i="39"/>
  <c r="F30" i="39" s="1"/>
  <c r="G32" i="73"/>
  <c r="F104" i="87"/>
  <c r="H21" i="73"/>
  <c r="H17" i="73"/>
  <c r="H26" i="73" s="1"/>
  <c r="I27" i="73"/>
  <c r="H22" i="73"/>
  <c r="C5" i="93" l="1"/>
  <c r="D5" i="93"/>
  <c r="E5" i="93"/>
  <c r="F38" i="39"/>
  <c r="F34" i="39"/>
  <c r="F39" i="39"/>
  <c r="F67" i="39" s="1"/>
  <c r="B39" i="39"/>
  <c r="B67" i="39" s="1"/>
  <c r="D67" i="39"/>
  <c r="C67" i="39"/>
  <c r="E67" i="39"/>
  <c r="H36" i="91"/>
  <c r="H38" i="91" s="1"/>
  <c r="H39" i="91" s="1"/>
  <c r="H40" i="91" s="1"/>
  <c r="H41" i="91" s="1"/>
  <c r="H18" i="91"/>
  <c r="H27" i="73"/>
  <c r="H30" i="73" s="1"/>
  <c r="I30" i="73"/>
  <c r="I33" i="73"/>
  <c r="I16" i="76" s="1"/>
  <c r="I29" i="87" s="1"/>
  <c r="I32" i="87" s="1"/>
  <c r="I21" i="76" a="1"/>
  <c r="F19" i="39" l="1"/>
  <c r="F17" i="39"/>
  <c r="F66" i="39"/>
  <c r="H33" i="73"/>
  <c r="H16" i="76" s="1"/>
  <c r="H29" i="87" s="1"/>
  <c r="I32" i="73"/>
  <c r="I12" i="85"/>
  <c r="I15" i="85" s="1"/>
  <c r="H32" i="73"/>
  <c r="H12" i="85"/>
  <c r="H15" i="85" s="1"/>
  <c r="I21" i="76"/>
  <c r="I29" i="76"/>
  <c r="I33" i="76" a="1"/>
  <c r="I87" i="87" a="1"/>
  <c r="H21" i="76" a="1"/>
  <c r="G38" i="39" l="1"/>
  <c r="F40" i="39" s="1"/>
  <c r="J5" i="93"/>
  <c r="F77" i="39"/>
  <c r="F68" i="39"/>
  <c r="B69" i="39" s="1"/>
  <c r="B72" i="39" s="1"/>
  <c r="B73" i="39" s="1"/>
  <c r="I87" i="87"/>
  <c r="H21" i="76"/>
  <c r="H13" i="87" s="1"/>
  <c r="H29" i="76"/>
  <c r="I79" i="87"/>
  <c r="I13" i="87"/>
  <c r="I16" i="87" s="1"/>
  <c r="I33" i="76"/>
  <c r="F41" i="87"/>
  <c r="G41" i="87"/>
  <c r="H41" i="87"/>
  <c r="F24" i="87"/>
  <c r="G24" i="87"/>
  <c r="H24" i="87"/>
  <c r="F58" i="87"/>
  <c r="G58" i="87"/>
  <c r="H58" i="87"/>
  <c r="E10" i="74"/>
  <c r="E31" i="74" s="1"/>
  <c r="D106" i="87" s="1"/>
  <c r="D107" i="87" s="1"/>
  <c r="F10" i="74"/>
  <c r="F31" i="74" s="1"/>
  <c r="E106" i="87" s="1"/>
  <c r="E107" i="87" s="1"/>
  <c r="G10" i="74"/>
  <c r="G31" i="74" s="1"/>
  <c r="F106" i="87" s="1"/>
  <c r="F107" i="87" s="1"/>
  <c r="F17" i="74"/>
  <c r="F26" i="74" s="1"/>
  <c r="G17" i="74"/>
  <c r="G26" i="74" s="1"/>
  <c r="H17" i="74"/>
  <c r="H26" i="74" s="1"/>
  <c r="F21" i="74"/>
  <c r="G21" i="74"/>
  <c r="H21" i="74"/>
  <c r="F22" i="74"/>
  <c r="G22" i="74"/>
  <c r="H22" i="74"/>
  <c r="F23" i="74"/>
  <c r="G23" i="74"/>
  <c r="H23" i="74"/>
  <c r="F24" i="74"/>
  <c r="G24" i="74"/>
  <c r="H24" i="74"/>
  <c r="F25" i="74"/>
  <c r="G25" i="74"/>
  <c r="H25" i="74"/>
  <c r="H33" i="76" a="1"/>
  <c r="F78" i="39" l="1"/>
  <c r="F79" i="39" s="1"/>
  <c r="H79" i="87"/>
  <c r="I95" i="87"/>
  <c r="I98" i="87" s="1"/>
  <c r="I34" i="76"/>
  <c r="I35" i="76" s="1"/>
  <c r="I112" i="87"/>
  <c r="I115" i="87" s="1"/>
  <c r="H33" i="76"/>
  <c r="H27" i="74"/>
  <c r="H33" i="74" s="1"/>
  <c r="H16" i="77" s="1"/>
  <c r="H31" i="87" s="1"/>
  <c r="H32" i="87" s="1"/>
  <c r="G27" i="74"/>
  <c r="G33" i="74" s="1"/>
  <c r="G16" i="77" s="1"/>
  <c r="G31" i="87" s="1"/>
  <c r="G32" i="87" s="1"/>
  <c r="F27" i="74"/>
  <c r="F33" i="74" s="1"/>
  <c r="F16" i="77" s="1"/>
  <c r="F31" i="87" s="1"/>
  <c r="F32" i="87" s="1"/>
  <c r="I90" i="87"/>
  <c r="I82" i="87"/>
  <c r="E32" i="74"/>
  <c r="H21" i="77" a="1"/>
  <c r="G21" i="77" a="1"/>
  <c r="F21" i="77" a="1"/>
  <c r="H87" i="87" a="1"/>
  <c r="H87" i="87" l="1"/>
  <c r="L87" i="87" s="1"/>
  <c r="H95" i="87"/>
  <c r="L79" i="87" s="1"/>
  <c r="H34" i="76"/>
  <c r="H35" i="76" s="1"/>
  <c r="H112" i="87"/>
  <c r="H30" i="74"/>
  <c r="H12" i="86" s="1"/>
  <c r="H15" i="86" s="1"/>
  <c r="F30" i="74"/>
  <c r="F32" i="74" s="1"/>
  <c r="G30" i="74"/>
  <c r="H21" i="77"/>
  <c r="F21" i="77"/>
  <c r="G21" i="77"/>
  <c r="H29" i="77"/>
  <c r="F29" i="77"/>
  <c r="G29" i="77"/>
  <c r="G33" i="77" a="1"/>
  <c r="G89" i="87" a="1"/>
  <c r="F33" i="77" a="1"/>
  <c r="H89" i="87" a="1"/>
  <c r="H33" i="77" a="1"/>
  <c r="F89" i="87" a="1"/>
  <c r="L63" i="87" l="1"/>
  <c r="L71" i="87"/>
  <c r="H32" i="74"/>
  <c r="F89" i="87"/>
  <c r="H89" i="87"/>
  <c r="G89" i="87"/>
  <c r="F12" i="86"/>
  <c r="F15" i="86" s="1"/>
  <c r="G12" i="86"/>
  <c r="G15" i="86" s="1"/>
  <c r="G32" i="74"/>
  <c r="G33" i="77"/>
  <c r="H33" i="77"/>
  <c r="F33" i="77"/>
  <c r="F114" i="87" s="1"/>
  <c r="F115" i="87" s="1"/>
  <c r="F15" i="87"/>
  <c r="F16" i="87" s="1"/>
  <c r="F81" i="87"/>
  <c r="F34" i="77"/>
  <c r="G81" i="87"/>
  <c r="G15" i="87"/>
  <c r="G16" i="87" s="1"/>
  <c r="H15" i="87"/>
  <c r="H16" i="87" s="1"/>
  <c r="H81" i="87"/>
  <c r="F90" i="87" l="1"/>
  <c r="G97" i="87"/>
  <c r="G98" i="87" s="1"/>
  <c r="H97" i="87"/>
  <c r="H98" i="87" s="1"/>
  <c r="H34" i="77"/>
  <c r="H90" i="87" s="1"/>
  <c r="H114" i="87"/>
  <c r="H115" i="87" s="1"/>
  <c r="F97" i="87"/>
  <c r="G34" i="77"/>
  <c r="G90" i="87" s="1"/>
  <c r="G114" i="87"/>
  <c r="G115" i="87" s="1"/>
  <c r="G82" i="87"/>
  <c r="F82" i="87"/>
  <c r="F35" i="77"/>
  <c r="H82" i="87"/>
  <c r="M57" i="34"/>
  <c r="M63" i="34" s="1"/>
  <c r="N57" i="34"/>
  <c r="N63" i="34" s="1"/>
  <c r="O63" i="34"/>
  <c r="P57" i="34"/>
  <c r="P63" i="34" s="1"/>
  <c r="H35" i="77" l="1"/>
  <c r="L89" i="87"/>
  <c r="L90" i="87" s="1"/>
  <c r="G35" i="77"/>
  <c r="L81" i="87"/>
  <c r="L82" i="87" s="1"/>
  <c r="L57" i="87"/>
  <c r="L58" i="87" s="1"/>
  <c r="L65" i="87"/>
  <c r="L66" i="87" s="1"/>
  <c r="L73" i="87"/>
  <c r="L74" i="87" s="1"/>
  <c r="F98" i="87"/>
  <c r="M37" i="34"/>
  <c r="D2" i="91" s="1"/>
  <c r="D5" i="91" l="1"/>
  <c r="D7" i="91" s="1"/>
  <c r="D9" i="91" s="1"/>
  <c r="C43" i="91"/>
  <c r="C48" i="91" s="1"/>
  <c r="D21" i="91"/>
  <c r="D27" i="91" s="1"/>
  <c r="D28" i="91" s="1"/>
  <c r="D29" i="91" s="1"/>
  <c r="M43" i="34"/>
  <c r="M45" i="34" s="1"/>
  <c r="M68" i="34" s="1"/>
  <c r="M104" i="34"/>
  <c r="M105" i="34" s="1"/>
  <c r="M7" i="34" l="1"/>
  <c r="F13" i="33" s="1"/>
  <c r="F14" i="33" s="1"/>
  <c r="M65" i="34"/>
  <c r="M72" i="34" s="1"/>
  <c r="B23" i="39" s="1"/>
  <c r="B32" i="39" l="1"/>
  <c r="B54" i="39" s="1"/>
  <c r="B55" i="39" s="1"/>
  <c r="B33" i="39"/>
  <c r="F15" i="33"/>
  <c r="J38" i="39" s="1"/>
  <c r="J39" i="39" s="1"/>
  <c r="N61" i="38"/>
  <c r="M62" i="38"/>
  <c r="M81" i="34"/>
  <c r="M87" i="34" s="1"/>
  <c r="M106" i="34" s="1"/>
  <c r="M81" i="38" l="1"/>
  <c r="M82" i="38" s="1"/>
  <c r="M85" i="38" s="1"/>
  <c r="M64" i="38"/>
  <c r="B41" i="39" l="1"/>
  <c r="B49" i="39" s="1"/>
  <c r="A92" i="39"/>
  <c r="F16" i="33"/>
  <c r="F17" i="33" s="1"/>
  <c r="E42" i="39" l="1"/>
  <c r="L42" i="39" s="1"/>
  <c r="B50" i="39"/>
  <c r="I92" i="39"/>
  <c r="B43" i="39" l="1"/>
  <c r="D70" i="39"/>
  <c r="B71" i="39" s="1"/>
  <c r="G9" i="33"/>
  <c r="G11" i="33" s="1"/>
  <c r="G12" i="33"/>
  <c r="H12" i="33" l="1"/>
  <c r="H9" i="33"/>
  <c r="H11" i="33" s="1"/>
  <c r="I9" i="33" l="1"/>
  <c r="I11" i="33" s="1"/>
  <c r="I12" i="33"/>
  <c r="J12" i="33" l="1"/>
  <c r="J9" i="33"/>
  <c r="J11" i="33" s="1"/>
  <c r="G48" i="91"/>
  <c r="G43" i="91"/>
  <c r="J17" i="33"/>
  <c r="J16" i="33"/>
  <c r="E9" i="91"/>
  <c r="E7" i="91"/>
  <c r="E5" i="91"/>
  <c r="P62" i="38"/>
  <c r="P68" i="34"/>
  <c r="N87" i="34"/>
  <c r="N81" i="34"/>
  <c r="N106" i="34"/>
  <c r="N105" i="34"/>
  <c r="D32" i="39"/>
  <c r="D54" i="39"/>
  <c r="D55" i="39"/>
  <c r="G28" i="91"/>
  <c r="G27" i="91"/>
  <c r="F56" i="39"/>
  <c r="G54" i="39"/>
  <c r="E29" i="91"/>
  <c r="G9" i="91"/>
  <c r="G7" i="91"/>
  <c r="G5" i="91"/>
  <c r="N39" i="39"/>
  <c r="H29" i="91"/>
  <c r="D48" i="91"/>
  <c r="D43" i="91"/>
  <c r="E55" i="39"/>
  <c r="E54" i="39"/>
  <c r="E32" i="39"/>
  <c r="Q7" i="34"/>
  <c r="J13" i="33"/>
  <c r="J14" i="33"/>
  <c r="J15" i="33"/>
  <c r="N38" i="39"/>
  <c r="O38" i="39"/>
  <c r="N40" i="39"/>
  <c r="E2" i="91"/>
  <c r="E21" i="91"/>
  <c r="E27" i="91"/>
  <c r="E28" i="91"/>
  <c r="F29" i="91"/>
  <c r="H21" i="91"/>
  <c r="H27" i="91"/>
  <c r="H28" i="91"/>
  <c r="F14" i="39"/>
  <c r="F33" i="39"/>
  <c r="P7" i="34"/>
  <c r="I13" i="33"/>
  <c r="I14" i="33"/>
  <c r="I15" i="33"/>
  <c r="M38" i="39"/>
  <c r="M39" i="39"/>
  <c r="P106" i="34"/>
  <c r="P105" i="34"/>
  <c r="E23" i="39"/>
  <c r="E33" i="39"/>
  <c r="P81" i="34"/>
  <c r="P87" i="34"/>
  <c r="O7" i="34"/>
  <c r="H13" i="33"/>
  <c r="H14" i="33"/>
  <c r="H15" i="33"/>
  <c r="L38" i="39"/>
  <c r="L39" i="39"/>
  <c r="G17" i="33"/>
  <c r="N64" i="38"/>
  <c r="O64" i="38"/>
  <c r="J50" i="39"/>
  <c r="J49" i="39"/>
  <c r="Q87" i="34"/>
  <c r="Q81" i="34"/>
  <c r="F5" i="91"/>
  <c r="F7" i="91"/>
  <c r="F9" i="91"/>
  <c r="Q57" i="34"/>
  <c r="Q63" i="34"/>
  <c r="Q65" i="34"/>
  <c r="C33" i="39"/>
  <c r="B15" i="39"/>
  <c r="G21" i="91"/>
  <c r="G29" i="91"/>
  <c r="F23" i="39"/>
  <c r="F32" i="39"/>
  <c r="F54" i="39"/>
  <c r="F55" i="39"/>
  <c r="H9" i="91"/>
  <c r="H7" i="91"/>
  <c r="H2" i="91"/>
  <c r="H5" i="91"/>
  <c r="H17" i="33"/>
  <c r="P43" i="34"/>
  <c r="P45" i="34"/>
  <c r="P65" i="34"/>
  <c r="E43" i="91"/>
  <c r="E48" i="91"/>
  <c r="Q37" i="34"/>
  <c r="Q43" i="34"/>
  <c r="Q45" i="34"/>
  <c r="Q68" i="34"/>
  <c r="Q62" i="38"/>
  <c r="P81" i="38"/>
  <c r="P82" i="38"/>
  <c r="P85" i="38"/>
  <c r="P15" i="34"/>
  <c r="P16" i="34"/>
  <c r="P37" i="34"/>
  <c r="G2" i="91"/>
  <c r="F43" i="91"/>
  <c r="F48" i="91"/>
  <c r="O62" i="38"/>
  <c r="O68" i="34"/>
  <c r="Q72" i="34"/>
  <c r="F82" i="39"/>
  <c r="F85" i="39"/>
  <c r="F87" i="39"/>
  <c r="D58" i="39"/>
  <c r="P104" i="34"/>
  <c r="Q104" i="34"/>
  <c r="Q105" i="34"/>
  <c r="Q106" i="34"/>
  <c r="B8" i="93"/>
  <c r="F5" i="93"/>
  <c r="O106" i="34"/>
  <c r="O104" i="34"/>
  <c r="O105" i="34"/>
  <c r="G15" i="33"/>
  <c r="K38" i="39"/>
  <c r="K39" i="39"/>
  <c r="J41" i="39"/>
  <c r="J43" i="39"/>
  <c r="F2" i="91"/>
  <c r="F21" i="91"/>
  <c r="F27" i="91"/>
  <c r="F28" i="91"/>
  <c r="Q64" i="38"/>
  <c r="O37" i="34"/>
  <c r="O43" i="34"/>
  <c r="O45" i="34"/>
  <c r="O65" i="34"/>
  <c r="P61" i="38"/>
  <c r="P64" i="38"/>
  <c r="C23" i="39"/>
  <c r="C32" i="39"/>
  <c r="C54" i="39"/>
  <c r="C55" i="39"/>
  <c r="B57" i="39"/>
  <c r="B59" i="39"/>
  <c r="B60" i="39"/>
  <c r="O61" i="38"/>
  <c r="O81" i="38"/>
  <c r="O82" i="38"/>
  <c r="O85" i="38"/>
  <c r="O15" i="34"/>
  <c r="O16" i="34"/>
  <c r="D23" i="39"/>
  <c r="D33" i="39"/>
  <c r="O81" i="34"/>
  <c r="O87" i="34"/>
  <c r="N104" i="34"/>
  <c r="N7" i="34"/>
  <c r="G13" i="33"/>
  <c r="G14" i="33"/>
  <c r="G16" i="33"/>
  <c r="H16" i="33"/>
  <c r="I16" i="33"/>
  <c r="I17" i="33"/>
  <c r="N68" i="34"/>
  <c r="N62" i="38"/>
  <c r="N81" i="38"/>
  <c r="N82" i="38"/>
  <c r="N85" i="38"/>
  <c r="N15" i="34"/>
  <c r="N16" i="34"/>
  <c r="N37" i="34"/>
  <c r="N43" i="34"/>
  <c r="N45" i="34"/>
  <c r="N65" i="34"/>
  <c r="N72" i="34"/>
  <c r="O72" i="34"/>
  <c r="P72" i="34"/>
  <c r="Q61" i="38"/>
  <c r="Q81" i="38"/>
  <c r="Q82" i="38"/>
  <c r="Q85" i="38"/>
  <c r="Q15" i="34"/>
  <c r="Q16" i="34"/>
  <c r="Q25" i="34"/>
  <c r="F4" i="93"/>
  <c r="G4" i="93"/>
  <c r="G5"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Paul-Ary Sigwald</author>
  </authors>
  <commentList>
    <comment ref="A1" authorId="0" shapeId="0" xr:uid="{46FF4947-8330-4DD8-B502-5C5677888F70}">
      <text>
        <r>
          <rPr>
            <b/>
            <sz val="9"/>
            <color indexed="81"/>
            <rFont val="Tahoma"/>
            <charset val="1"/>
          </rPr>
          <t>&lt;?xml version="1.0" encoding="utf-8"?&gt;&lt;Schema xmlns:xsd="http://www.w3.org/2001/XMLSchema" xmlns:xsi="http://www.w3.org/2001/XMLSchema-instance" Version="2" Timestamp="1648152231"&gt;&lt;FQL&gt;&lt;Q&gt;DAL-US^JULIAN(FG_PRICE(NOW,-1AY,W).DATES)&lt;/Q&gt;&lt;R&gt;53&lt;/R&gt;&lt;C&gt;1&lt;/C&gt;&lt;D xsi:type="xsd:long"&gt;44526&lt;/D&gt;&lt;D xsi:type="xsd:long"&gt;44519&lt;/D&gt;&lt;D xsi:type="xsd:long"&gt;44512&lt;/D&gt;&lt;D xsi:type="xsd:long"&gt;44505&lt;/D&gt;&lt;D xsi:type="xsd:long"&gt;44498&lt;/D&gt;&lt;D xsi:type="xsd:long"&gt;44491&lt;/D&gt;&lt;D xsi:type="xsd:long"&gt;44484&lt;/D&gt;&lt;D xsi:type="xsd:long"&gt;44477&lt;/D&gt;&lt;D xsi:type="xsd:long"&gt;44470&lt;/D&gt;&lt;D xsi:type="xsd:long"&gt;44463&lt;/D&gt;&lt;D xsi:type="xsd:long"&gt;44456&lt;/D&gt;&lt;D xsi:type="xsd:long"&gt;44449&lt;/D&gt;&lt;D xsi:type="xsd:long"&gt;44442&lt;/D&gt;&lt;D xsi:type="xsd:long"&gt;44435&lt;/D&gt;&lt;D xsi:type="xsd:long"&gt;44428&lt;/D&gt;&lt;D xsi:type="xsd:long"&gt;44421&lt;/D&gt;&lt;D xsi:type="xsd:long"&gt;44414&lt;/D&gt;&lt;D xsi:type="xsd:long"&gt;44407&lt;/D&gt;&lt;D xsi:type="xsd:long"&gt;44400&lt;/D&gt;&lt;D xsi:type="xsd:long"&gt;44393&lt;/D&gt;&lt;D xsi:type="xsd:long"&gt;44386&lt;/D&gt;&lt;D xsi:type="xsd:long"&gt;44379&lt;/D&gt;&lt;D xsi:type="xsd:long"&gt;44372&lt;/D&gt;&lt;D xsi:type="xsd:long"&gt;44365&lt;/D&gt;&lt;D xsi:type="xsd:long"&gt;44358&lt;/D&gt;&lt;D xsi:type="xsd:long"&gt;44351&lt;/D&gt;&lt;D xsi:type="xsd:long"&gt;44344&lt;/D&gt;&lt;D xsi:type="xsd:long"&gt;44337&lt;/D&gt;&lt;D xsi:type="xsd:long"&gt;44330&lt;/D&gt;&lt;D xsi:type="xsd:long"&gt;44323&lt;/D&gt;&lt;D xsi:type="xsd:long"&gt;44316&lt;/D&gt;&lt;D xsi:type="xsd:long"&gt;44309&lt;/D&gt;&lt;D xsi:type="xsd:long"&gt;44302&lt;/D&gt;&lt;D xsi:type="xsd:long"&gt;44295&lt;/D&gt;&lt;D xsi:type="xsd:long"&gt;44287&lt;/D&gt;&lt;D xsi:type="xsd:long"&gt;44281&lt;/D&gt;&lt;D xsi:type="xsd:long"&gt;44274&lt;/D&gt;&lt;D xsi:type="xsd:long"&gt;44267&lt;/D&gt;&lt;D xsi:type="xsd:long"&gt;44260&lt;/D&gt;&lt;D xsi:type="xsd:long"&gt;44253&lt;/D&gt;&lt;D xsi:type="xsd:long"&gt;44246&lt;/D&gt;&lt;D xsi:type="xsd:long"&gt;44239&lt;/D&gt;&lt;D xsi:type="xsd:long"&gt;44232&lt;/D&gt;&lt;D xsi:type="xsd:long"&gt;44225&lt;/D&gt;&lt;D xsi:type="xsd:long"&gt;44218&lt;/D&gt;&lt;D xsi:type="xsd:long"&gt;44211&lt;/D&gt;&lt;D xsi:type="xsd:long"&gt;44204&lt;/D&gt;&lt;D xsi:type="xsd:long"&gt;44196&lt;/D&gt;&lt;D xsi:type="xsd:long"&gt;44189&lt;/D&gt;&lt;D xsi:type="xsd:long"&gt;44183&lt;/D&gt;&lt;D xsi:type="xsd:long"&gt;44176&lt;/D&gt;&lt;D xsi:type="xsd:long"&gt;44169&lt;/D&gt;&lt;D xsi:type="xsd:long"&gt;44162&lt;/D&gt;&lt;/FQL&gt;&lt;FQL&gt;&lt;Q&gt;DAL-US^FG_COMPANY_NAME&lt;/Q&gt;&lt;R&gt;1&lt;/R&gt;&lt;C&gt;1&lt;/C&gt;&lt;D xsi:type="xsd:string"&gt;Delta Air Lines, Inc.&lt;/D&gt;&lt;/FQL&gt;&lt;FQL&gt;&lt;Q&gt;SP50^FG_COMPANY_NAME&lt;/Q&gt;&lt;R&gt;1&lt;/R&gt;&lt;C&gt;1&lt;/C&gt;&lt;D xsi:type="xsd:string"&gt;S&amp;amp;P 500&lt;/D&gt;&lt;/FQL&gt;&lt;FQL&gt;&lt;Q&gt;FI1320US^FG_COMPANY_NAME&lt;/Q&gt;&lt;R&gt;1&lt;/R&gt;&lt;C&gt;1&lt;/C&gt;&lt;D xsi:type="xsd:string"&gt;United States / Telecommunications Equipment -IND&lt;/D&gt;&lt;/FQL&gt;&lt;FQL&gt;&lt;Q&gt;DAL-US^FG_PRICE(NOW,-1AY,W)&lt;/Q&gt;&lt;R&gt;53&lt;/R&gt;&lt;C&gt;1&lt;/C&gt;&lt;D xsi:type="xsd:double"&gt;36.38&lt;/D&gt;&lt;D xsi:type="xsd:double"&gt;39.69&lt;/D&gt;&lt;D xsi:type="xsd:double"&gt;42.22&lt;/D&gt;&lt;D xsi:type="xsd:double"&gt;44.29&lt;/D&gt;&lt;D xsi:type="xsd:double"&gt;39.13&lt;/D&gt;&lt;D xsi:type="xsd:double"&gt;39.74&lt;/D&gt;&lt;D xsi:type="xsd:double"&gt;40.99&lt;/D&gt;&lt;D xsi:type="xsd:double"&gt;43.38&lt;/D&gt;&lt;D xsi:type="xsd:double"&gt;45.38&lt;/D&gt;&lt;D xsi:type="xsd:double"&gt;43.53&lt;/D&gt;&lt;D xsi:type="xsd:double"&gt;40.11&lt;/D&gt;&lt;D xsi:type="xsd:double"&gt;39.36&lt;/D&gt;&lt;D xsi:type="xsd:double"&gt;40.25&lt;/D&gt;&lt;D xsi:type="xsd:double"&gt;41.52&lt;/D&gt;&lt;D xsi:type="xsd:double"&gt;38.12&lt;/D&gt;&lt;D xsi:type="xsd:double"&gt;39.9&lt;/D&gt;&lt;D xsi:type="xsd:double"&gt;40.32&lt;/D&gt;&lt;D xsi:type="xsd:double"&gt;39.9&lt;/D&gt;&lt;D xsi:type="xsd:double"&gt;40.41&lt;/D&gt;&lt;D xsi:type="xsd:double"&gt;40.06&lt;/D&gt;&lt;D xsi:type="xsd:double"&gt;42.92&lt;/D&gt;&lt;D xsi:type="xsd:double"&gt;44.15&lt;/D&gt;&lt;D xsi:type="xsd:double"&gt;44.43&lt;/D&gt;&lt;D xsi:type="xsd:double"&gt;44.96&lt;/D&gt;&lt;D xsi:type="xsd:double"&gt;46.5&lt;/D&gt;&lt;D xsi:type="xsd:double"&gt;45.98&lt;/D&gt;&lt;D xsi:type="xsd:double"&gt;47.68&lt;/D&gt;&lt;D xsi:type="xsd:double"&gt;45.21&lt;/D&gt;&lt;D xsi:type="xsd:double"&gt;46.31&lt;/D&gt;&lt;D xsi:type="xsd:double"&gt;46.11&lt;/D&gt;&lt;D xsi:type="xsd:double"&gt;46.92&lt;/D&gt;&lt;D xsi:type="xsd:double"&gt;45.8&lt;/D&gt;&lt;D xsi:type="xsd:double"&gt;46.64&lt;/D&gt;&lt;D xsi:type="xsd:double"&gt;49.27&lt;/D&gt;&lt;D xsi:type="xsd:double"&gt;48.83&lt;/D&gt;&lt;D xsi:type="xsd:double"&gt;47.66&lt;/D&gt;&lt;D xsi:type="xsd:double"&gt;49&lt;/D&gt;&lt;D xsi:type="xsd:double"&gt;49.83&lt;/D&gt;&lt;D xsi:type="xsd:double"&gt;46.21&lt;/D&gt;&lt;D xsi:type="xsd:double"&gt;47.94&lt;/D&gt;&lt;D xsi:type="xsd:double"&gt;45.67&lt;/D&gt;&lt;D xsi:type="xsd:double"&gt;43.29&lt;/D&gt;&lt;D xsi:type="xsd:double"&gt;41.15&lt;/D&gt;&lt;D xsi:type="xsd:double"&gt;37.96&lt;/D&gt;&lt;D xsi:type="xsd:double"&gt;40&lt;/D&gt;&lt;D xsi:type="xsd:double"&gt;39.98&lt;/D&gt;&lt;D xsi:type="xsd:double"&gt;40.02&lt;/D&gt;&lt;D xsi:type="xsd:double"&gt;40.21&lt;/D&gt;&lt;D xsi:type="xsd:double"&gt;39.73&lt;/D&gt;&lt;D xsi:type="xsd:double"&gt;40.68&lt;/D&gt;&lt;D xsi:type="xsd:double"&gt;41.74&lt;/D&gt;&lt;D xsi:type="xsd:double"&gt;42.36&lt;/D&gt;&lt;D xsi:type="xsd:double"&gt;41.06&lt;/D&gt;&lt;/FQL&gt;&lt;FQL&gt;&lt;Q&gt;SP50^FG_PRICE(NOW,-1AY,W)&lt;/Q&gt;&lt;R&gt;53&lt;/R&gt;&lt;C&gt;1&lt;/C&gt;&lt;D xsi:type="xsd:double"&gt;4594.62&lt;/D&gt;&lt;D xsi:type="xsd:double"&gt;4697.96&lt;/D&gt;&lt;D xsi:type="xsd:double"&gt;4682.85&lt;/D&gt;&lt;D xsi:type="xsd:double"&gt;4697.53&lt;/D&gt;&lt;D xsi:type="xsd:double"&gt;4605.38&lt;/D&gt;&lt;D xsi:type="xsd:double"&gt;4544.9&lt;/D&gt;&lt;D xsi:type="xsd:double"&gt;4471.37&lt;/D&gt;&lt;D xsi:type="xsd:double"&gt;4391.34&lt;/D&gt;&lt;D xsi:type="xsd:double"&gt;4357.04&lt;/D&gt;&lt;D xsi:type="xsd:double"&gt;4455.48&lt;/D&gt;&lt;D xsi:type="xsd:double"&gt;4432.99&lt;/D&gt;&lt;D xsi:type="xsd:double"&gt;4458.58&lt;/D&gt;&lt;D xsi:type="xsd:double"&gt;4535.43&lt;/D&gt;&lt;D xsi:type="xsd:double"&gt;4509.37&lt;/D&gt;&lt;D xsi:type="xsd:double"&gt;4441.67&lt;/D&gt;&lt;D xsi:type="xsd:double"&gt;4468&lt;/D&gt;&lt;D xsi:type="xsd:double"&gt;4436.52&lt;/D&gt;&lt;D xsi:type="xsd:double"&gt;4395.26&lt;/D&gt;&lt;D xsi:type="xsd:double"&gt;4411.79&lt;/D&gt;&lt;D xsi:type="xsd:double"&gt;4327.16&lt;/D&gt;&lt;D xsi:type="xsd:double"&gt;4369.55&lt;/D&gt;&lt;D xsi:type="xsd:double"&gt;4352.34&lt;/D&gt;&lt;D xsi:type="xsd:double"&gt;4280.7&lt;/D&gt;&lt;D xsi:type="xsd:double"&gt;4166.45&lt;/D&gt;&lt;D xsi:type="xsd:double"&gt;4247.44&lt;/D&gt;&lt;D xsi:type="xsd:double"&gt;4229.89&lt;/D&gt;&lt;D xsi:type="xsd:double"&gt;4204.11&lt;/D&gt;&lt;D xsi:type="xsd:double"&gt;4155.86&lt;/D&gt;&lt;D xsi:type="xsd:double"&gt;4173.85&lt;/D&gt;&lt;D xsi:type="xsd:double"&gt;4232.6&lt;/D&gt;&lt;D xsi:type="xsd:double"&gt;4181.17&lt;/D&gt;&lt;D xsi:type="xsd:double"&gt;4180.17&lt;/D&gt;&lt;D xsi:type="xsd:double"&gt;4185.47&lt;/D&gt;&lt;D xsi:type="xsd:double"&gt;4128.8&lt;/D&gt;&lt;D xsi:type="xsd:double"&gt;4019.87&lt;/D&gt;&lt;D xsi:type="xsd:double"&gt;3974.54&lt;/D&gt;&lt;D xsi:type="xsd:double"&gt;3913.1&lt;/D&gt;&lt;D xsi:type="xsd:double"&gt;3943.34&lt;/D&gt;&lt;D xsi:type="xsd:double"&gt;3841.94&lt;/D&gt;&lt;D xsi:type="xsd:double"&gt;3811.15&lt;/D&gt;&lt;D xsi:type="xsd:double"&gt;3906.71&lt;/D&gt;&lt;D xsi:type="xsd:double"&gt;3934.83&lt;/D&gt;&lt;D xsi:type="xsd:double"&gt;3886.83&lt;/D&gt;&lt;D xsi:type="xsd:double"&gt;3714.24&lt;/D&gt;&lt;D xsi:type="xsd:double"&gt;3841.47&lt;/D&gt;&lt;D xsi:type="xsd:double"&gt;3768.25&lt;/D&gt;&lt;D xsi:type="xsd:double"&gt;3824.68&lt;/D&gt;&lt;D xsi:type="xsd:double"&gt;3756.07&lt;/D&gt;&lt;D xsi:type="xsd:double"&gt;3703.06&lt;/D&gt;&lt;D xsi:type="xsd:double"&gt;3709.41&lt;/D&gt;&lt;D xsi:type="xsd:double"&gt;3663.46&lt;/D&gt;&lt;D xsi:type="xsd:double"&gt;3699.12&lt;/D&gt;&lt;D xsi:type="xsd:double"&gt;3638.35&lt;/D&gt;&lt;/FQL&gt;&lt;FQL&gt;&lt;Q&gt;FI1320US^FG_PRICE(NOW,-1AY,W)&lt;/Q&gt;&lt;R&gt;53&lt;/R&gt;&lt;C&gt;1&lt;/C&gt;&lt;D xsi:type="xsd:double"&gt;326.09116&lt;/D&gt;&lt;D xsi:type="xsd:double"&gt;323.9831&lt;/D&gt;&lt;D xsi:type="xsd:double"&gt;302.4864&lt;/D&gt;&lt;D xsi:type="xsd:double"&gt;304.66522&lt;/D&gt;&lt;D xsi:type="xsd:double"&gt;297.85107&lt;/D&gt;&lt;D xsi:type="xsd:double"&gt;296.0026&lt;/D&gt;&lt;D xsi:type="xsd:double"&gt;288.81335&lt;/D&gt;&lt;D xsi:type="xsd:double"&gt;284.69247&lt;/D&gt;&lt;D xsi:type="xsd:double"&gt;284.49567&lt;/D&gt;&lt;D xsi:type="xsd:double"&gt;293.3291&lt;/D&gt;&lt;D xsi:type="xsd:double"&gt;291.5757&lt;/D&gt;&lt;D xsi:type="xsd:double"&gt;298.16544&lt;/D&gt;&lt;D xsi:type="xsd:double"&gt;308.46146&lt;/D&gt;&lt;D xsi:type="xsd:double"&gt;298.11862&lt;/D&gt;&lt;D xsi:type="xsd:double"&gt;296.6703&lt;/D&gt;&lt;D xsi:type="xsd:double"&gt;299.1947&lt;/D&gt;&lt;D xsi:type="xsd:double"&gt;293.61282&lt;/D&gt;&lt;D xsi:type="xsd:double"&gt;293.44592&lt;/D&gt;&lt;D xsi:type="xsd:double"&gt;297.61154&lt;/D&gt;&lt;D xsi:type="xsd:double"&gt;292.67938&lt;/D&gt;&lt;D xsi:type="xsd:double"&gt;290.90802&lt;/D&gt;&lt;D xsi:type="xsd:double"&gt;281.64932&lt;/D&gt;&lt;D xsi:type="xsd:double"&gt;268.66522&lt;/D&gt;&lt;D xsi:type="xsd:double"&gt;262.8277&lt;/D&gt;&lt;D xsi:type="xsd:double"&gt;257.88318&lt;/D&gt;&lt;D xsi:type="xsd:double"&gt;255.16832&lt;/D&gt;&lt;D xsi:type="xsd:double"&gt;252.48021&lt;/D&gt;&lt;D xsi:type="xsd:double"&gt;253.24666&lt;/D&gt;&lt;D xsi:type="xsd:double"&gt;254.4189&lt;/D&gt;&lt;D xsi:type="xsd:double"&gt;260.597&lt;/D&gt;&lt;D xsi:type="xsd:double"&gt;262.74677&lt;/D&gt;&lt;D xsi:type="xsd:double"&gt;267.7242&lt;/D&gt;&lt;D xsi:type="xsd:double"&gt;267.80646&lt;/D&gt;&lt;D xsi:type="xsd:double"&gt;265.92474&lt;/D&gt;&lt;D xsi:type="xsd:double"&gt;247.40411&lt;/D&gt;&lt;D xsi:type="xsd:double"&gt;244.13794&lt;/D&gt;&lt;D xsi:type="xsd:double"&gt;241.523&lt;/D&gt;&lt;D xsi:type="xsd:double"&gt;243.31004&lt;/D&gt;&lt;D xsi:type="xsd:double"&gt;243.30214&lt;/D&gt;&lt;D xsi:type="xsd:double"&gt;244.05312&lt;/D&gt;&lt;D xsi:type="xsd:double"&gt;261.12354&lt;/D&gt;&lt;D xsi:type="xsd:double"&gt;271.66605&lt;/D&gt;&lt;D xsi:type="xsd:double"&gt;273.3269&lt;/D&gt;&lt;D xsi:type="xsd:double"&gt;265.26083&lt;/D&gt;&lt;D xsi:type="xsd:double"&gt;278.83524&lt;/D&gt;&lt;D xsi:type="xsd:double"&gt;256.2744&lt;/D&gt;&lt;D xsi:type="xsd:double"&gt;265.03604&lt;/D&gt;&lt;D xsi:type="xsd:double"&gt;265.63043&lt;/D&gt;&lt;D xsi:type="xsd:double"&gt;263.93146&lt;/D&gt;&lt;D xsi:type="xsd:double"&gt;254.07156&lt;/D&gt;&lt;D xsi:type="xsd:double"&gt;245.79385&lt;/D&gt;&lt;D xsi:type="xsd:double"&gt;247.10797&lt;/D&gt;&lt;D xsi:type="xsd:double"&gt;234.96002&lt;/D&gt;&lt;/FQL&gt;&lt;FQL&gt;&lt;Q&gt;0^FG_COMPANY_NAME&lt;/Q&gt;&lt;R&gt;0&lt;/R&gt;&lt;C&gt;0&lt;/C&gt;&lt;/FQL&gt;&lt;FQL&gt;&lt;Q&gt;DAL-US^FG_PRICE(0)&lt;/Q&gt;&lt;R&gt;1&lt;/R&gt;&lt;C&gt;1&lt;/C&gt;&lt;D xsi:type="xsd:double"&gt;36.38&lt;/D&gt;&lt;/FQL&gt;&lt;FQL&gt;&lt;Q&gt;DAL-US^FG_MKT_VALUE(0)&lt;/Q&gt;&lt;R&gt;1&lt;/R&gt;&lt;C&gt;1&lt;/C&gt;&lt;D xsi:type="xsd:double"&gt;25402.154&lt;/D&gt;&lt;/FQL&gt;&lt;FQL&gt;&lt;Q&gt;DAL-US^FF_ENTRPR_VAL(ANN_R,0)&lt;/Q&gt;&lt;R&gt;1&lt;/R&gt;&lt;C&gt;1&lt;/C&gt;&lt;D xsi:type="xsd:double"&gt;46833.56&lt;/D&gt;&lt;/FQL&gt;&lt;FQL&gt;&lt;Q&gt;DAL-US^FF_COM_SHS_OUT_EPS_BASIC(ANN_R,0)&lt;/Q&gt;&lt;R&gt;1&lt;/R&gt;&lt;C&gt;1&lt;/C&gt;&lt;D xsi:type="xsd:double"&gt;636&lt;/D&gt;&lt;/FQL&gt;&lt;FQL&gt;&lt;Q&gt;DAL-US^FF_SALES(ANN_R,0)&lt;/Q&gt;&lt;R&gt;1&lt;/R&gt;&lt;C&gt;1&lt;/C&gt;&lt;D xsi:type="xsd:double"&gt;17095&lt;/D&gt;&lt;/FQL&gt;&lt;FQL&gt;&lt;Q&gt;DAL-US^FE_ESTIMATE(SALES,MEDIAN,ANN_ROLL,+5,NOW,,,'')&lt;/Q&gt;&lt;R&gt;0&lt;/R&gt;&lt;C&gt;0&lt;/C&gt;&lt;/FQL&gt;&lt;FQL&gt;&lt;Q&gt;DAL-US^FE_ESTIMATE(EBIT,MEDIAN,ANN_ROLL,+5,NOW,,,'')&lt;/Q&gt;&lt;R&gt;0&lt;/R&gt;&lt;C&gt;0&lt;/C&gt;&lt;/FQL&gt;&lt;FQL&gt;&lt;Q&gt;DAL-US^FE_ESTIMATE(DEP_AMORT_EXP,MEDIAN,ANN_ROLL,+5,NOW,,,'')&lt;/Q&gt;&lt;R&gt;0&lt;/R&gt;&lt;C&gt;0&lt;/C&gt;&lt;/FQL&gt;&lt;FQL&gt;&lt;Q&gt;DAL-US^FE_ESTIMATE(EBITDA,MEDIAN,ANN_ROLL,+5,NOW,,,'')&lt;/Q&gt;&lt;R&gt;0&lt;/R&gt;&lt;C&gt;0&lt;/C&gt;&lt;/FQL&gt;&lt;FQL&gt;&lt;Q&gt;DAL-US^FE_ESTIMATE(EPS,MEDIAN,ANN_ROLL,+5,NOW,,,'')&lt;/Q&gt;&lt;R&gt;0&lt;/R&gt;&lt;C&gt;0&lt;/C&gt;&lt;/FQL&gt;&lt;FQL&gt;&lt;Q&gt;DAL-US^P_BETA_LOCIDX(-1AY,NOW)&lt;/Q&gt;&lt;R&gt;1&lt;/R&gt;&lt;C&gt;1&lt;/C&gt;&lt;D xsi:type="xsd:double"&gt;1.1823977&lt;/D&gt;&lt;/FQL&gt;&lt;FQL&gt;&lt;Q&gt;DAL-US^P_BETA_LOCIDX(-2AY,NOW)&lt;/Q&gt;&lt;R&gt;1&lt;/R&gt;&lt;C&gt;1&lt;/C&gt;&lt;D xsi:type="xsd:double"&gt;1.3011156&lt;/D&gt;&lt;/FQL&gt;&lt;FQL&gt;&lt;Q&gt;DAL-US^P_BETA_LOCIDX(-3AY,NOW)&lt;/Q&gt;&lt;R&gt;1&lt;/R&gt;&lt;C&gt;1&lt;/C&gt;&lt;D xsi:type="xsd:double"&gt;1.2701124&lt;/D&gt;&lt;/FQL&gt;&lt;FQL&gt;&lt;Q&gt;DAL-US^P_BETA_LOCIDX(-5AY,NOW)&lt;/Q&gt;&lt;R&gt;1&lt;/R&gt;&lt;C&gt;1&lt;/C&gt;&lt;D xsi:type="xsd:double"&gt;1.2424848&lt;/D&gt;&lt;/FQL&gt;&lt;FQL&gt;&lt;Q&gt;DAL-US^P_BETA_LOCIDX(-10AY,NOW)&lt;/Q&gt;&lt;R&gt;1&lt;/R&gt;&lt;C&gt;1&lt;/C&gt;&lt;D xsi:type="xsd:double"&gt;1.2452976&lt;/D&gt;&lt;/FQL&gt;&lt;FQL&gt;&lt;Q&gt;^FF_ARPT_SERIES('PAYMENTS FOR TAXES RELATED TO NET SHARE SETTLEMENT OF EQUITY AWARDS',ANN_R,-10AY,0,B,"CF")&lt;/Q&gt;&lt;R&gt;0&lt;/R&gt;&lt;C&gt;0&lt;/C&gt;&lt;/FQL&gt;&lt;FQL&gt;&lt;Q&gt;DAL-US^FF_ARPT_SERIES('PAYMENTS FOR TAXES RELATED TO NET SHARE SETTLEMENT OF EQUITY AWARDS',ANN_R,-10AY,0,B,"CF")&lt;/Q&gt;&lt;R&gt;0&lt;/R&gt;&lt;C&gt;0&lt;/C&gt;&lt;/FQL&gt;&lt;FQL&gt;&lt;Q&gt;^FF_ARPT_SERIES('SHARE-BASED COMPENSATION EXPENSE',ANN_R,-10AY,0,B,"CF")&lt;/Q&gt;&lt;R&gt;0&lt;/R&gt;&lt;C&gt;0&lt;/C&gt;&lt;/FQL&gt;&lt;FQL&gt;&lt;Q&gt;DAL-US^FF_ARPT_SERIES('SHARE-BASED COMPENSATION EXPENSE',ANN_R,-10AY,0,B,"CF")&lt;/Q&gt;&lt;R&gt;0&lt;/R&gt;&lt;C&gt;0&lt;/C&gt;&lt;/FQL&gt;&lt;FQL&gt;&lt;Q&gt;DAL-US^FG_BUS_DESC_BRIEF()[0:26]&lt;/Q&gt;&lt;R&gt;27&lt;/R&gt;&lt;C&gt;1&lt;/C&gt;&lt;D xsi:type="xsd:string"&gt;Delta Air Lines, Inc. engages in the provision of scheduled air&lt;/D&gt;&lt;D xsi:type="xsd:string"&gt;transportation for passengers and cargo. It operates through the Airline&lt;/D&gt;&lt;D xsi:type="xsd:string"&gt;and Refinery segments. The Airline segment provides scheduled air&lt;/D&gt;&lt;D xsi:type="xsd:string"&gt;transportation for passengers and cargo. The Refinery segment consists of&lt;/D&gt;&lt;D xsi:type="xsd:string"&gt;jet fuel and non-jet fuel products. The company was founded by Collett&lt;/D&gt;&lt;D xsi:type="xsd:string"&gt;Everman Woolman in 1928 and is headquartered in Atlanta, GA.&lt;/D&gt;&lt;D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xsi:type="xsd:string"&gt;@NA&lt;/D&gt;&lt;/FQL&gt;&lt;FQL&gt;&lt;Q&gt;DAL-US^FG_GEO_FY(0FY)&lt;/Q&gt;&lt;R&gt;1&lt;/R&gt;&lt;C&gt;1&lt;/C&gt;&lt;D xsi:type="xsd:string"&gt;12/2020&lt;/D&gt;&lt;/FQL&gt;&lt;FQL&gt;&lt;Q&gt;DAL-US^FG_GEO_NAMES(0FY)[0:4]&lt;/Q&gt;&lt;R&gt;5&lt;/R&gt;&lt;C&gt;1&lt;/C&gt;&lt;D xsi:type="xsd:string"&gt;United States&lt;/D&gt;&lt;D xsi:type="xsd:string"&gt;Atlantic&lt;/D&gt;&lt;D xsi:type="xsd:string"&gt;Latin America&lt;/D&gt;&lt;D xsi:type="xsd:string"&gt;Pacific&lt;/D&gt;&lt;D xsi:type="xsd:string"&gt;@NA&lt;/D&gt;&lt;/FQL&gt;&lt;FQL&gt;&lt;Q&gt;DAL-US^FG_PROD_FY(0FY)&lt;/Q&gt;&lt;R&gt;1&lt;/R&gt;&lt;C&gt;1&lt;/C&gt;&lt;D xsi:type="xsd:string"&gt;12/2020&lt;/D&gt;&lt;/FQL&gt;&lt;FQL&gt;&lt;Q&gt;DAL-US^FG_PROD_NAMES(0FY)&lt;/Q&gt;&lt;R&gt;2&lt;/R&gt;&lt;C&gt;1&lt;/C&gt;&lt;D xsi:type="xsd:string"&gt;Airline&lt;/D&gt;&lt;D xsi:type="xsd:string"&gt;Refinery&lt;/D&gt;&lt;/FQL&gt;&lt;FQL&gt;&lt;Q&gt;DAL-US^FG_ADDRESS_L1+", "+FG_ADDRESS_L2&lt;/Q&gt;&lt;R&gt;1&lt;/R&gt;&lt;C&gt;1&lt;/C&gt;&lt;D xsi:type="xsd:string"&gt;Hartsfield-Jackson Atlanta, Atlanta, Georgia 30354 US&lt;/D&gt;&lt;/FQL&gt;&lt;FQL&gt;&lt;Q&gt;DAL-US^FG_EMPLOYEES&lt;/Q&gt;&lt;R&gt;1&lt;/R&gt;&lt;C&gt;1&lt;/C&gt;&lt;D xsi:type="xsd:double"&gt;74000&lt;/D&gt;&lt;/FQL&gt;&lt;FQL&gt;&lt;Q&gt;DUMMY^JULIAN(TODAY)&lt;/Q&gt;&lt;R&gt;1&lt;/R&gt;&lt;C&gt;1&lt;/C&gt;&lt;D xsi:type="xsd:long"&gt;44526&lt;/D&gt;&lt;/FQL&gt;&lt;FQL&gt;&lt;Q&gt;DAL-US^FG_GEO_REVS(0FY)[0:4]&lt;/Q&gt;&lt;R&gt;5&lt;/R&gt;&lt;C&gt;1&lt;/C&gt;&lt;D xsi:type="xsd:double"&gt;13339&lt;/D&gt;&lt;D xsi:type="xsd:double"&gt;1649&lt;/D&gt;&lt;D xsi:type="xsd:double"&gt;1321&lt;/D&gt;&lt;D xsi:type="xsd:double"&gt;786&lt;/D&gt;&lt;D xsi:type="xsd:string"&gt;@NA&lt;/D&gt;&lt;/FQL&gt;&lt;FQL&gt;&lt;Q&gt;DAL-US^FG_GEO_REVS_PCT(0FY)[0:4]/100&lt;/Q&gt;&lt;R&gt;5&lt;/R&gt;&lt;C&gt;1&lt;/C&gt;&lt;D xsi:type="xsd:double"&gt;0.7802866&lt;/D&gt;&lt;D xsi:type="xsd:double"&gt;0.09646095&lt;/D&gt;&lt;D xsi:type="xsd:double"&gt;0.077274054&lt;/D&gt;&lt;D xsi:type="xsd:double"&gt;0.045978356&lt;/D&gt;&lt;D xsi:type="xsd:string"&gt;@NA&lt;/D&gt;&lt;/FQL&gt;&lt;FQL&gt;&lt;Q&gt;DAL-US^FG_GEO_OPER(0FY)[0:4]/100&lt;/Q&gt;&lt;R&gt;5&lt;/R&gt;&lt;C&gt;1&lt;/C&gt;&lt;D xsi:type="xsd:string"&gt;@NA&lt;/D&gt;&lt;D xsi:type="xsd:string"&gt;@NA&lt;/D&gt;&lt;D xsi:type="xsd:string"&gt;@NA&lt;/D&gt;&lt;D xsi:type="xsd:string"&gt;@NA&lt;/D&gt;&lt;D xsi:type="xsd:string"&gt;@NA&lt;/D&gt;&lt;/FQL&gt;&lt;FQL&gt;&lt;Q&gt;DAL-US^FG_GEO_OPER_PCT(0FY)[0:4]/100&lt;/Q&gt;&lt;R&gt;5&lt;/R&gt;&lt;C&gt;1&lt;/C&gt;&lt;D xsi:type="xsd:string"&gt;@NA&lt;/D&gt;&lt;D xsi:type="xsd:string"&gt;@NA&lt;/D&gt;&lt;D xsi:type="xsd:string"&gt;@NA&lt;/D&gt;&lt;D xsi:type="xsd:string"&gt;@NA&lt;/D&gt;&lt;D xsi:type="xsd:string"&gt;@NA&lt;/D&gt;&lt;/FQL&gt;&lt;FQL&gt;&lt;Q&gt;DAL-US^FG_PROD_REVS(0FY)&lt;/Q&gt;&lt;R&gt;2&lt;/R&gt;&lt;C&gt;1&lt;/C&gt;&lt;D xsi:type="xsd:double"&gt;15945&lt;/D&gt;&lt;D xsi:type="xsd:double"&gt;3143&lt;/D&gt;&lt;/FQL&gt;&lt;FQL&gt;&lt;Q&gt;DAL-US^FG_PROD_REVS_PCT(0FY)/100&lt;/Q&gt;&lt;R&gt;2&lt;/R&gt;&lt;C&gt;1&lt;/C&gt;&lt;D xsi:type="xsd:double"&gt;0.8353416&lt;/D&gt;&lt;D xsi:type="xsd:double"&gt;0.16465843&lt;/D&gt;&lt;/FQL&gt;&lt;FQL&gt;&lt;Q&gt;DAL-US^FG_PROD_OPER(0FY)&lt;/Q&gt;&lt;R&gt;2&lt;/R&gt;&lt;C&gt;1&lt;/C&gt;&lt;D xsi:type="xsd:double"&gt;-12253&lt;/D&gt;&lt;D xsi:type="xsd:double"&gt;-216&lt;/D&gt;&lt;/FQL&gt;&lt;FQL&gt;&lt;Q&gt;DAL-US^FG_PROD_OPER_PCT(0FY)/100&lt;/Q&gt;&lt;R&gt;2&lt;/R&gt;&lt;C&gt;1&lt;/C&gt;&lt;D xsi:type="xsd:double"&gt;0.9826771&lt;/D&gt;&lt;D xsi:type="xsd:double"&gt;0.017322961&lt;/D&gt;&lt;/FQL&gt;&lt;FQL&gt;&lt;Q&gt;SP50^JULIAN(FG_PRICE(NOW,-10AY).DATES)&lt;/Q&gt;&lt;R&gt;2519&lt;/R&gt;&lt;C&gt;1&lt;/C&gt;&lt;D xsi:type="xsd:long"&gt;44526&lt;/D&gt;&lt;D xsi:type="xsd:long"&gt;44524&lt;/D&gt;&lt;D xsi:type="xsd:long"&gt;44523&lt;/D&gt;&lt;D xsi:type="xsd:long"&gt;44522&lt;/D&gt;&lt;D xsi:type="xsd:long"&gt;44519&lt;/D&gt;&lt;D xsi:type="xsd:long"&gt;44518&lt;/D&gt;&lt;D xsi:type="xsd:long"&gt;44517&lt;/D&gt;&lt;D xsi:type="xsd:long"&gt;44516&lt;/D&gt;&lt;D xsi:type="xsd:long"&gt;44515&lt;/D&gt;&lt;D xsi:type="xsd:long"&gt;44512&lt;/D&gt;&lt;D xsi:type="xsd:long"&gt;44511&lt;/D&gt;&lt;D xsi:type="xsd:long"&gt;44510&lt;/D&gt;&lt;D xsi:type="xsd:long"&gt;44509&lt;/D&gt;&lt;D xsi:type="xsd:long"&gt;44508&lt;/D&gt;&lt;D xsi:type="xsd:long"&gt;44505&lt;/D&gt;&lt;D xsi:type="xsd:long"&gt;44504&lt;/D&gt;&lt;D xsi:type="xsd:long"&gt;44503&lt;/D&gt;&lt;D xsi:type="xsd:long"&gt;44502&lt;/D&gt;&lt;D xsi:type="xsd:long"&gt;44501&lt;/D&gt;&lt;D xsi:type="xsd:long"&gt;44498&lt;/D&gt;&lt;D xsi:type="xsd:long"&gt;44497&lt;/D&gt;&lt;D xsi:type="xsd:long"&gt;44496&lt;/D&gt;&lt;D xsi:type="xsd:long"&gt;44495&lt;/D&gt;&lt;D xsi:type="xsd:long"&gt;44494&lt;/D&gt;&lt;D xsi:type="xsd:long"&gt;44491&lt;/D&gt;&lt;D xsi:type="xsd:long"&gt;44490&lt;/D&gt;&lt;D xsi:type="xsd:long"&gt;44489&lt;/D&gt;&lt;D xsi:type="xsd:long"&gt;44488&lt;/D&gt;&lt;D xsi:type="xsd:long"&gt;44487&lt;/D&gt;&lt;D xsi:type="xsd:long"&gt;44484&lt;/D&gt;&lt;D xsi:type="xsd:long"&gt;44483&lt;/D&gt;&lt;D xsi:type="xsd:long"&gt;44482&lt;/D&gt;&lt;D xsi:type="xsd:long"&gt;44481&lt;/D&gt;&lt;D xsi:type="xsd:long"&gt;44480&lt;/D&gt;&lt;D xsi:type="xsd:long"&gt;44477&lt;/D&gt;&lt;D xsi:type="xsd:long"&gt;44476&lt;/D&gt;&lt;D xsi:type="xsd:long"&gt;44475&lt;/D&gt;&lt;D xsi:type="xsd:long"&gt;44474&lt;/D&gt;&lt;D xsi:type="xsd:long"&gt;44473&lt;/D&gt;&lt;D xsi:type="xsd:long"&gt;44470&lt;/D&gt;&lt;D xsi:type="xsd:long"&gt;44469&lt;/D&gt;&lt;D xsi:type="xsd:long"&gt;44468&lt;/D&gt;&lt;D xsi:type="xsd:long"&gt;44467&lt;/D&gt;&lt;D xsi:type="xsd:long"&gt;44466&lt;/D&gt;&lt;D xsi:type="xsd:long"&gt;44463&lt;/D&gt;&lt;D xsi:type="xsd:long"&gt;44462&lt;/D&gt;&lt;D xsi:type="xsd:long"&gt;44461&lt;/D&gt;&lt;D xsi:type="xsd:long"&gt;44460&lt;/D&gt;&lt;D xsi:type="xsd:long"&gt;44459&lt;/D&gt;&lt;D xsi:type="xsd:long"&gt;44456&lt;/D&gt;&lt;D xsi:type="xsd:long"&gt;44455&lt;/D&gt;&lt;D xsi:type="xsd:long"&gt;44454&lt;/D&gt;&lt;D xsi:type="xsd:long"&gt;44453&lt;/D&gt;&lt;D xsi:type="xsd:long"&gt;44452&lt;/D&gt;&lt;D xsi:type="xsd:long"&gt;44449&lt;/D&gt;&lt;D xsi:type="xsd:long"&gt;44448&lt;/D&gt;&lt;D xsi:type="xsd:long"&gt;44447&lt;/D&gt;&lt;D xsi:type="xsd:long"&gt;44446&lt;/D&gt;&lt;D xsi:type="xsd:long"&gt;44442&lt;/D&gt;&lt;D xsi:type="xsd:long"&gt;44441&lt;/D&gt;&lt;D xsi:type="xsd:long"&gt;44440&lt;/D&gt;&lt;D xsi:type="xsd:long"&gt;44439&lt;/D&gt;&lt;D xsi:type="xsd:long"&gt;44438&lt;/D&gt;&lt;D xsi:type="xsd:long"&gt;44435&lt;/D&gt;&lt;D xsi:type="xsd:long"&gt;44434&lt;/D&gt;&lt;D xsi:type="xsd:long"&gt;44433&lt;/D&gt;&lt;D xsi:type="xsd:long"&gt;44432&lt;/D&gt;&lt;D xsi:type="xsd:long"&gt;44431&lt;/D&gt;&lt;D xsi:type="xsd:long"&gt;44428&lt;/D&gt;&lt;D xsi:type="xsd:long"&gt;44427&lt;/D&gt;&lt;D xsi:type="xsd:long"&gt;44426&lt;/D&gt;&lt;D xsi:type="xsd:long"&gt;44425&lt;/D&gt;&lt;D xsi:type="xsd:long"&gt;44424&lt;/D&gt;&lt;D xsi:type="xsd:long"&gt;44421&lt;/D&gt;&lt;D xsi:type="xsd:long"&gt;44420&lt;/D&gt;&lt;D xsi:type="xsd:long"&gt;44419&lt;/D&gt;&lt;D xsi:type="xsd:long"&gt;44418&lt;/D&gt;&lt;D xsi:type="xsd:long"&gt;44417&lt;/D&gt;&lt;D xsi:type="xsd:long"&gt;44414&lt;/D&gt;&lt;D xsi:type="xsd:long"&gt;44413&lt;/D&gt;&lt;D xsi:type="xsd:long"&gt;44412&lt;/D&gt;&lt;D xsi:type="xsd:long"&gt;44411&lt;/D&gt;&lt;D xsi:type="xsd:long"&gt;44410&lt;/D&gt;&lt;D xsi:type="xsd:long"&gt;44407&lt;/D&gt;&lt;D xsi:type="xsd:long"&gt;44406&lt;/D&gt;&lt;D xsi:type="xsd:long"&gt;44405&lt;/D&gt;&lt;D xsi:type="xsd:long"&gt;44404&lt;/D&gt;&lt;D xsi:type="xsd:long"&gt;44403&lt;/D&gt;&lt;D xsi:type="xsd:long"&gt;44400&lt;/D&gt;&lt;D xsi:type="xsd:long"&gt;44399&lt;/D&gt;&lt;D xsi:type="xsd:long"&gt;44398&lt;/D&gt;&lt;D xsi:type="xsd:long"&gt;44397&lt;/D&gt;&lt;D xsi:type="xsd:long"&gt;44396&lt;/D&gt;&lt;D xsi:type="xsd:long"&gt;44393&lt;/D&gt;&lt;D xsi:type="xsd:long"&gt;44392&lt;/D&gt;&lt;D xsi:type="xsd:long"&gt;44391&lt;/D&gt;&lt;D xsi:type="xsd:long"&gt;44390&lt;/D&gt;&lt;D xsi:type="xsd:long"&gt;44389&lt;/D&gt;&lt;D xsi:type="xsd:long"&gt;44386&lt;/D&gt;&lt;D xsi:type="xsd:long"&gt;44385&lt;/D&gt;&lt;D xsi:type="xsd:long"&gt;44384&lt;/D&gt;&lt;D xsi:type="xsd:long"&gt;44383&lt;/D&gt;&lt;D xsi:type="xsd:long"&gt;44379&lt;/D&gt;&lt;D xsi:type="xsd:long"&gt;44378&lt;/D&gt;&lt;D xsi:type="xsd:long"&gt;44377&lt;/D&gt;&lt;D xsi:type="xsd:long"&gt;44376&lt;/D&gt;&lt;D xsi:type="xsd:long"&gt;44375&lt;/D&gt;&lt;D xsi:type="xsd:long"&gt;44372&lt;/D&gt;&lt;D xsi:type="xsd:long"&gt;44371&lt;/D&gt;&lt;D xsi:type="xsd:long"&gt;44370&lt;/D&gt;&lt;D xsi:type="xsd:long"&gt;44369&lt;/D&gt;&lt;D xsi:type="xsd:long"&gt;44368&lt;/D&gt;&lt;D xsi:type="xsd:long"&gt;44365&lt;/D&gt;&lt;D xsi:type="xsd:long"&gt;44364&lt;/D&gt;&lt;D xsi:type="xsd:long"&gt;44363&lt;/D&gt;&lt;D xsi:type="xsd:long"&gt;44362&lt;/D&gt;&lt;D xsi:type="xsd:long"&gt;44361&lt;/D&gt;&lt;D xsi:type="xsd:long"&gt;44358&lt;/D&gt;&lt;D xsi:type="xsd:long"&gt;44357&lt;/D&gt;&lt;D xsi:type="xsd:long"&gt;44356&lt;/D&gt;&lt;D xsi:type="xsd:long"&gt;44355&lt;/D&gt;&lt;D xsi:type="xsd:long"&gt;44354&lt;/D&gt;&lt;D xsi:type="xsd:long"&gt;44351&lt;/D&gt;&lt;D xsi:type="xsd:long"&gt;44350&lt;/D&gt;&lt;D xsi:type="xsd:long"&gt;44349&lt;/D&gt;&lt;D xsi:type="xsd:long"&gt;44348&lt;/D&gt;&lt;D xsi:type="xsd:long"&gt;44344&lt;/D&gt;&lt;D xsi:type="xsd:long"&gt;44343&lt;/D&gt;&lt;D xsi:type="xsd:long"&gt;44342&lt;/D&gt;&lt;D xsi:type="xsd:long"&gt;44341&lt;/D&gt;&lt;D xsi:type="xsd:long"&gt;44340&lt;/D&gt;&lt;D xsi:type="xsd:long"&gt;44337&lt;/D&gt;&lt;D xsi:type="xsd:long"&gt;44336&lt;/D&gt;&lt;D xsi:type="xsd:long"&gt;44335&lt;/D&gt;&lt;D xsi:type="xsd:long"&gt;44334&lt;/D&gt;&lt;D xsi:type="xsd:long"&gt;44333&lt;/D&gt;&lt;D xsi:type="xsd:long"&gt;44330&lt;/D&gt;&lt;D xsi:type="xsd:long"&gt;44329&lt;/D&gt;&lt;D xsi:type="xsd:long"&gt;44328&lt;/D&gt;&lt;D xsi:type="xsd:long"&gt;44327&lt;/D&gt;&lt;D xsi:type="xsd:long"&gt;44326&lt;/D&gt;&lt;D xsi:type="xsd:long"&gt;44323&lt;/D&gt;&lt;D xsi:type="xsd:long"&gt;44322&lt;/D&gt;&lt;D xsi:type="xsd:long"&gt;44321&lt;/D&gt;&lt;D xsi:type="xsd:long"&gt;44320&lt;/D&gt;&lt;D xsi:type="xsd:long"&gt;44319&lt;/D&gt;&lt;D xsi:type="xsd:long"&gt;44316&lt;/D&gt;&lt;D xsi:type="xsd:long"&gt;44315&lt;/D&gt;&lt;D xsi:type="xsd:long"&gt;44314&lt;/D&gt;&lt;D xsi:type="xsd:long"&gt;44313&lt;/D&gt;&lt;D xsi:type="xsd:long"&gt;44312&lt;/D&gt;&lt;D xsi:type="xsd:long"&gt;44309&lt;/D&gt;&lt;D xsi:type="xsd:long"&gt;44308&lt;/D&gt;&lt;D xsi:type="xsd:long"&gt;44307&lt;/D&gt;&lt;D xsi:type="xsd:long"&gt;44306&lt;/D&gt;&lt;D xsi:type="xsd:long"&gt;44305&lt;/D&gt;&lt;D xsi:type="xsd:long"&gt;44302&lt;/D&gt;&lt;D xsi:type="xsd:long"&gt;44301&lt;/D&gt;&lt;D xsi:type="xsd:long"&gt;44300&lt;/D&gt;&lt;D xsi:type="xsd:long"&gt;44299&lt;/D&gt;&lt;D xsi:type="xsd:long"&gt;44298&lt;/D&gt;&lt;D xsi:type="xsd:long"&gt;44295&lt;/D&gt;&lt;D xsi:type="xsd:long"&gt;44294&lt;/D&gt;&lt;D xsi:type="xsd:long"&gt;44293&lt;/D&gt;&lt;D xsi:type="xsd:long"&gt;44292&lt;/D&gt;&lt;D xsi:type="xsd:long"&gt;44291&lt;/D&gt;&lt;D xsi:type="xsd:long"&gt;44287&lt;/D&gt;&lt;D xsi:type="xsd:long"&gt;44286&lt;/D&gt;&lt;D xsi:type="xsd:long"&gt;44285&lt;/D&gt;&lt;D xsi:type="xsd:long"&gt;44284&lt;/D&gt;&lt;D xsi:type="xsd:long"&gt;44281&lt;/D&gt;&lt;D xsi:type="xsd:long"&gt;44280&lt;/D&gt;&lt;D xsi:type="xsd:long"&gt;44279&lt;/D&gt;&lt;D xsi:type="xsd:long"&gt;44278&lt;/D&gt;&lt;D xsi:type="xsd:long"&gt;44277&lt;/D&gt;&lt;D xsi:type="xsd:long"&gt;44274&lt;/D&gt;&lt;D xsi:type="xsd:long"&gt;44273&lt;/D&gt;&lt;D xsi:type="xsd:long"&gt;44272&lt;/D&gt;&lt;D xsi:type="xsd:long"&gt;44271&lt;/D&gt;&lt;D xsi:type="xsd:long"&gt;44270&lt;/D&gt;&lt;D xsi:type="xsd:long"&gt;44267&lt;/D&gt;&lt;D xsi:type="xsd:long"&gt;44266&lt;/D&gt;&lt;D xsi:type="xsd:long"&gt;44265&lt;/D&gt;&lt;D xsi:type="xsd:long"&gt;44264&lt;/D&gt;&lt;D xsi:type="xsd:long"&gt;44263&lt;/D&gt;&lt;D xsi:type="xsd:long"&gt;44260&lt;/D&gt;&lt;D xsi:type="xsd:long"&gt;44259&lt;/D&gt;&lt;D xsi:type="xsd:long"&gt;44258&lt;/D&gt;&lt;D xsi:type="xsd:long"&gt;44257&lt;/D&gt;&lt;D xsi:type="xsd:long"&gt;44256&lt;/D&gt;&lt;D xsi:type="xsd:long"&gt;44253&lt;/D&gt;&lt;D xsi:type="xsd:long"&gt;44252&lt;/D&gt;&lt;D xsi:type="xsd:long"&gt;44251&lt;/D&gt;&lt;D xsi:type="xsd:long"&gt;44250&lt;/D&gt;&lt;D xsi:type="xsd:long"&gt;44249&lt;/D&gt;&lt;D xsi:type="xsd:long"&gt;44246&lt;/D&gt;&lt;D xsi:type="xsd:long"&gt;44245&lt;/D&gt;&lt;D xsi:type="xsd:long"&gt;44244&lt;/D&gt;&lt;D xsi:type="xsd:long"&gt;44243&lt;/D&gt;&lt;D xsi:type="xsd:long"&gt;44239&lt;/D&gt;&lt;D xsi:type="xsd:long"&gt;44238&lt;/D&gt;&lt;D xsi:type="xsd:long"&gt;44237&lt;/D&gt;&lt;D xsi:type="xsd:long"&gt;44236&lt;/D&gt;&lt;D xsi:type="xsd:long"&gt;44235&lt;/D&gt;&lt;D xsi:type="xsd:long"&gt;44232&lt;/D&gt;&lt;D xsi:type="xsd:long"&gt;44231&lt;/D&gt;&lt;D xsi:type="xsd:long"&gt;44230&lt;/D&gt;&lt;D xsi:type="xsd:long"&gt;44229&lt;/D&gt;&lt;D xsi:type="xsd:long"&gt;44228&lt;/D&gt;&lt;D xsi:type="xsd:long"&gt;44225&lt;/D&gt;&lt;D xsi:type="xsd:long"&gt;44224&lt;/D&gt;&lt;D xsi:type="xsd:long"&gt;44223&lt;/D&gt;&lt;D xsi:type="xsd:long"&gt;44222&lt;/D&gt;&lt;D xsi:type="xsd:long"&gt;44221&lt;/D&gt;&lt;D xsi:type="xsd:long"&gt;44218&lt;/D&gt;&lt;D xsi:type="xsd:long"&gt;44217&lt;/D&gt;&lt;D xsi:type="xsd:long"&gt;44216&lt;/D&gt;&lt;D xsi:type="xsd:long"&gt;44215&lt;/D&gt;&lt;D xsi:type="xsd:long"&gt;44211&lt;/D&gt;&lt;D xsi:type="xsd:long"&gt;44210&lt;/D&gt;&lt;D xsi:type="xsd:long"&gt;44209&lt;/D&gt;&lt;D xsi:type="xsd:long"&gt;44208&lt;/D&gt;&lt;D xsi:type="xsd:long"&gt;44207&lt;/D&gt;&lt;D xsi:type="xsd:long"&gt;44204&lt;/D&gt;&lt;D xsi:type="xsd:long"&gt;44203&lt;/D&gt;&lt;D xsi:type="xsd:long"&gt;44202&lt;/D&gt;&lt;D xsi:type="xsd:long"&gt;44201&lt;/D&gt;&lt;D xsi:type="xsd:long"&gt;44200&lt;/D&gt;&lt;D xsi:type="xsd:long"&gt;44196&lt;/D&gt;&lt;D xsi:type="xsd:long"&gt;44195&lt;/D&gt;&lt;D xsi:type="xsd:long"&gt;44194&lt;/D&gt;&lt;D xsi:type="xsd:long"&gt;44193&lt;/D&gt;&lt;D xsi:type="xsd:long"&gt;44189&lt;/D&gt;&lt;D xsi:type="xsd:long"&gt;44188&lt;/D&gt;&lt;D xsi:type="xsd:long"&gt;44187&lt;/D&gt;&lt;D xsi:type="xsd:long"&gt;44186&lt;/D&gt;&lt;D xsi:type="xsd:long"&gt;44183&lt;/D&gt;&lt;D xsi:type="xsd:long"&gt;44182&lt;/D&gt;&lt;D xsi:type="xsd:long"&gt;44181&lt;/D&gt;&lt;D xsi:type="xsd:long"&gt;44180&lt;/D&gt;&lt;D xsi:type="xsd:long"&gt;44179&lt;/D&gt;&lt;D xsi:type="xsd:long"&gt;44176&lt;/D&gt;&lt;D xsi:type="xsd:long"&gt;44175&lt;/D&gt;&lt;D xsi:type="xsd:long"&gt;44174&lt;/D&gt;&lt;D xsi:type="xsd:long"&gt;44173&lt;/D&gt;&lt;D xsi:type="xsd:long"&gt;44172&lt;/D&gt;&lt;D xsi:type="xsd:long"&gt;44169&lt;/D&gt;&lt;D xsi:type="xsd:long"&gt;44168&lt;/D&gt;&lt;D xsi:type="xsd:long"&gt;44167&lt;/D&gt;&lt;D xsi:type="xsd:long"&gt;44166&lt;/D&gt;&lt;D xsi:type="xsd:long"&gt;44165&lt;/D&gt;&lt;D xsi:type="xsd:long"&gt;44162&lt;/D&gt;&lt;D xsi:type="xsd:long"&gt;44160&lt;/D&gt;&lt;D xsi:type="xsd:long"&gt;44159&lt;/D&gt;&lt;D xsi:type="xsd:long"&gt;44158&lt;/D&gt;&lt;D xsi:type="xsd:long"&gt;44155&lt;/D&gt;&lt;D xsi:type="xsd:long"&gt;44154&lt;/D&gt;&lt;D xsi:type="xsd:long"&gt;44153&lt;/D&gt;&lt;D xsi:type="xsd:long"&gt;44152&lt;/D&gt;&lt;D xsi:type="xsd:long"&gt;44151&lt;/D&gt;&lt;D xsi:type="xsd:long"&gt;44148&lt;/D&gt;&lt;D xsi:type="xsd:long"&gt;44147&lt;/D&gt;&lt;D xsi:type="xsd:long"&gt;44146&lt;/D&gt;&lt;D xsi:type="xsd:long"&gt;44145&lt;/D&gt;&lt;D xsi:type="xsd:long"&gt;44144&lt;/D&gt;&lt;D xsi:type="xsd:long"&gt;44141&lt;/D&gt;&lt;D xsi:type="xsd:long"&gt;44140&lt;/D&gt;&lt;D xsi:type="xsd:long"&gt;44139&lt;/D&gt;&lt;D xsi:type="xsd:long"&gt;44138&lt;/D&gt;&lt;D xsi:type="xsd:long"&gt;44137&lt;/D&gt;&lt;D xsi:type="xsd:long"&gt;44134&lt;/D&gt;&lt;D xsi:type="xsd:long"&gt;44133&lt;/D&gt;&lt;D xsi:type="xsd:long"&gt;44132&lt;/D&gt;&lt;D xsi:type="xsd:long"&gt;44131&lt;/D&gt;&lt;D xsi:type="xsd:long"&gt;44130&lt;/D&gt;&lt;D xsi:type="xsd:long"&gt;44127&lt;/D&gt;&lt;D xsi:type="xsd:long"&gt;44126&lt;/D&gt;&lt;D xsi:type="xsd:long"&gt;44125&lt;/D&gt;&lt;D xsi:type="xsd:long"&gt;44124&lt;/D&gt;&lt;D xsi:type="xsd:long"&gt;44123&lt;/D&gt;&lt;D xsi:type="xsd:long"&gt;44120&lt;/D&gt;&lt;D xsi:type="xsd:long"&gt;44119&lt;/D&gt;&lt;D xsi:type="xsd:long"&gt;44118&lt;/D&gt;&lt;D xsi:type="xsd:long"&gt;44117&lt;/D&gt;&lt;D xsi:type="xsd:long"&gt;44116&lt;/D&gt;&lt;D xsi:type="xsd:long"&gt;44113&lt;/D&gt;&lt;D xsi:type="xsd:long"&gt;44112&lt;/D&gt;&lt;D xsi:type="xsd:long"&gt;44111&lt;/D&gt;&lt;D xsi:type="xsd:long"&gt;44110&lt;/D&gt;&lt;D xsi:type="xsd:long"&gt;44109&lt;/D&gt;&lt;D xsi:type="xsd:long"&gt;44106&lt;/D&gt;&lt;D xsi:type="xsd:long"&gt;44105&lt;/D&gt;&lt;D xsi:type="xsd:long"&gt;44104&lt;/D&gt;&lt;D xsi:type="xsd:long"&gt;44103&lt;/D&gt;&lt;D xsi:type="xsd:long"&gt;44102&lt;/D&gt;&lt;D xsi:type="xsd:long"&gt;44099&lt;/D&gt;&lt;D xsi:type="xsd:long"&gt;44098&lt;/D&gt;&lt;D xsi:type="xsd:long"&gt;44097&lt;/D&gt;&lt;D xsi:type="xsd:long"&gt;44096&lt;/D&gt;&lt;D xsi:type="xsd:long"&gt;44095&lt;/D&gt;&lt;D xsi:type="xsd:long"&gt;44092&lt;/D&gt;&lt;D xsi:type="xsd:long"&gt;44091&lt;/D&gt;&lt;D xsi:type="xsd:long"&gt;44090&lt;/D&gt;&lt;D xsi:type="xsd:long"&gt;44089&lt;/D&gt;&lt;D xsi:type="xsd:long"&gt;44088&lt;/D&gt;&lt;D xsi:type="xsd:long"&gt;44085&lt;/D&gt;&lt;D xsi:type="xsd:long"&gt;44084&lt;/D&gt;&lt;D xsi:type="xsd:long"&gt;44083&lt;/D&gt;&lt;D xsi:type="xsd:long"&gt;44082&lt;/D&gt;&lt;D xsi:type="xsd:long"&gt;44078&lt;/D&gt;&lt;D xsi:type="xsd:long"&gt;44077&lt;/D&gt;&lt;D xsi:type="xsd:long"&gt;44076&lt;/D&gt;&lt;D xsi:type="xsd:long"&gt;44075&lt;/D&gt;&lt;D xsi:type="xsd:long"&gt;44074&lt;/D&gt;&lt;D xsi:type="xsd:long"&gt;44071&lt;/D&gt;&lt;D xsi:type="xsd:long"&gt;44070&lt;/D&gt;&lt;D xsi:type="xsd:long"&gt;44069&lt;/D&gt;&lt;D xsi:type="xsd:long"&gt;44068&lt;/D&gt;&lt;D xsi:type="xsd:long"&gt;44067&lt;/D&gt;&lt;D xsi:type="xsd:long"&gt;44064&lt;/D&gt;&lt;D xsi:type="xsd:long"&gt;44063&lt;/D&gt;&lt;D xsi:type="xsd:long"&gt;44062&lt;/D&gt;&lt;D xsi:type="xsd:long"&gt;44061&lt;/D&gt;&lt;D xsi:type="xsd:long"&gt;44060&lt;/D&gt;&lt;D xsi:type="xsd:long"&gt;44057&lt;/D&gt;&lt;D xsi:type="xsd:long"&gt;44056&lt;/D&gt;&lt;D xsi:type="xsd:long"&gt;44055&lt;/D&gt;&lt;D xsi:type="xsd:long"&gt;44054&lt;/D&gt;&lt;D xsi:type="xsd:long"&gt;44053&lt;/D&gt;&lt;D xsi:type="xsd:long"&gt;44050&lt;/D&gt;&lt;D xsi:type="xsd:long"&gt;44049&lt;/D&gt;&lt;D xsi:type="xsd:long"&gt;44048&lt;/D&gt;&lt;D xsi:type="xsd:long"&gt;44047&lt;/D&gt;&lt;D xsi:type="xsd:long"&gt;44046&lt;/D&gt;&lt;D xsi:type="xsd:long"&gt;44043&lt;/D&gt;&lt;D xsi:type="xsd:long"&gt;44042&lt;/D&gt;&lt;D xsi:type="xsd:long"&gt;44041&lt;/D&gt;&lt;D xsi:type="xsd:long"&gt;44040&lt;/D&gt;&lt;D xsi:type="xsd:long"&gt;44039&lt;/D&gt;&lt;D xsi:type="xsd:long"&gt;44036&lt;/D&gt;&lt;D xsi:type="xsd:long"&gt;44035&lt;/D&gt;&lt;D xsi:type="xsd:long"&gt;44034&lt;/D&gt;&lt;D xsi:type="xsd:long"&gt;44033&lt;/D&gt;&lt;D xsi:type="xsd:long"&gt;44032&lt;/D&gt;&lt;D xsi:type="xsd:long"&gt;44029&lt;/D&gt;&lt;D xsi:type="xsd:long"&gt;44028&lt;/D&gt;&lt;D xsi:type="xsd:long"&gt;44027&lt;/D&gt;&lt;D xsi:type="xsd:long"&gt;44026&lt;/D&gt;&lt;D xsi:type="xsd:long"&gt;44025&lt;/D&gt;&lt;D xsi:type="xsd:long"&gt;44022&lt;/D&gt;&lt;D xsi:type="xsd:long"&gt;44021&lt;/D&gt;&lt;D xsi:type="xsd:long"&gt;44020&lt;/D&gt;&lt;D xsi:type="xsd:long"&gt;44019&lt;/D&gt;&lt;D xsi:type="xsd:long"&gt;44018&lt;/D&gt;&lt;D xsi:type="xsd:long"&gt;44014&lt;/D&gt;&lt;D xsi:type="xsd:long"&gt;44013&lt;/D&gt;&lt;D xsi:type="xsd:long"&gt;44012&lt;/D&gt;&lt;D xsi:type="xsd:long"&gt;44011&lt;/D&gt;&lt;D xsi:type="xsd:long"&gt;44008&lt;/D&gt;&lt;D xsi:type="xsd:long"&gt;44007&lt;/D&gt;&lt;D xsi:type="xsd:long"&gt;44006&lt;/D&gt;&lt;D xsi:type="xsd:long"&gt;44005&lt;/D&gt;&lt;D xsi:type="xsd:long"&gt;44004&lt;/D&gt;&lt;D xsi:type="xsd:long"&gt;44001&lt;/D&gt;&lt;D xsi:type="xsd:long"&gt;44000&lt;/D&gt;&lt;D xsi:type="xsd:long"&gt;43999&lt;/D&gt;&lt;D xsi:type="xsd:long"&gt;43998&lt;/D&gt;&lt;D xsi:type="xsd:long"&gt;43997&lt;/D&gt;&lt;D xsi:type="xsd:long"&gt;43994&lt;/D&gt;&lt;D xsi:type="xsd:long"&gt;43993&lt;/D&gt;&lt;D xsi:type="xsd:long"&gt;43992&lt;/D&gt;&lt;D xsi:type="xsd:long"&gt;43991&lt;/D&gt;&lt;D xsi:type="xsd:long"&gt;43990&lt;/D&gt;&lt;D xsi:type="xsd:long"&gt;43987&lt;/D&gt;&lt;D xsi:type="xsd:long"&gt;43986&lt;/D&gt;&lt;D xsi:type="xsd:long"&gt;43985&lt;/D&gt;&lt;D xsi:type="xsd:long"&gt;43984&lt;/D&gt;&lt;D xsi:type="xsd:long"&gt;43983&lt;/D&gt;&lt;D xsi:type="xsd:long"&gt;43980&lt;/D&gt;&lt;D xsi:type="xsd:long"&gt;43979&lt;/D&gt;&lt;D xsi:type="xsd:long"&gt;43978&lt;/D&gt;&lt;D xsi:type="xsd:long"&gt;43977&lt;/D&gt;&lt;D xsi:type="xsd:long"&gt;43973&lt;/D&gt;&lt;D xsi:type="xsd:long"&gt;43972&lt;/D&gt;&lt;D xsi:type="xsd:long"&gt;43971&lt;/D&gt;&lt;D xsi:type="xsd:long"&gt;43970&lt;/D&gt;&lt;D xsi:type="xsd:long"&gt;43969&lt;/D&gt;&lt;D xsi:type="xsd:long"&gt;43966&lt;/D&gt;&lt;D xsi:type="xsd:long"&gt;43965&lt;/D&gt;&lt;D xsi:type="xsd:long"&gt;43964&lt;/D&gt;&lt;D xsi:type="xsd:long"&gt;43963&lt;/D&gt;&lt;D xsi:type="xsd:long"&gt;43962&lt;/D&gt;&lt;D xsi:type="xsd:long"&gt;43959&lt;/D&gt;&lt;D xsi:type="xsd:long"&gt;43958&lt;/D&gt;&lt;D xsi:type="xsd:long"&gt;43957&lt;/D&gt;&lt;D xsi:type="xsd:long"&gt;43956&lt;/D&gt;&lt;D xsi:type="xsd:long"&gt;43955&lt;/D&gt;&lt;D xsi:type="xsd:long"&gt;43952&lt;/D&gt;&lt;D xsi:type="xsd:long"&gt;43951&lt;/D&gt;&lt;D xsi:type="xsd:long"&gt;43950&lt;/D&gt;&lt;D xsi:type="xsd:long"&gt;43949&lt;/D&gt;&lt;D xsi:type="xsd:long"&gt;43948&lt;/D&gt;&lt;D xsi:type="xsd:long"&gt;43945&lt;/D&gt;&lt;D xsi:type="xsd:long"&gt;43944&lt;/D&gt;&lt;D xsi:type="xsd:long"&gt;43943&lt;/D&gt;&lt;D xsi:type="xsd:long"&gt;43942&lt;/D&gt;&lt;D xsi:type="xsd:long"&gt;43941&lt;/D&gt;&lt;D xsi:type="xsd:long"&gt;43938&lt;/D&gt;&lt;D xsi:type="xsd:long"&gt;43937&lt;/D&gt;&lt;D xsi:type="xsd:long"&gt;43936&lt;/D&gt;&lt;D xsi:type="xsd:long"&gt;43935&lt;/D&gt;&lt;D xsi:type="xsd:long"&gt;43934&lt;/D&gt;&lt;D xsi:type="xsd:long"&gt;43930&lt;/D&gt;&lt;D xsi:type="xsd:long"&gt;43929&lt;/D&gt;&lt;D xsi:type="xsd:long"&gt;43928&lt;/D&gt;&lt;D xsi:type="xsd:long"&gt;43927&lt;/D&gt;&lt;D xsi:type="xsd:long"&gt;43924&lt;/D&gt;&lt;D xsi:type="xsd:long"&gt;43923&lt;/D&gt;&lt;D xsi:type="xsd:long"&gt;43922&lt;/D&gt;&lt;D xsi:type="xsd:long"&gt;43921&lt;/D&gt;&lt;D xsi:type="xsd:long"&gt;43920&lt;/D&gt;&lt;D xsi:type="xsd:long"&gt;43917&lt;/D&gt;&lt;D xsi:type="xsd:long"&gt;43916&lt;/D&gt;&lt;D xsi:type="xsd:long"&gt;43915&lt;/D&gt;&lt;D xsi:type="xsd:long"&gt;43914&lt;/D&gt;&lt;D xsi:type="xsd:long"&gt;43913&lt;/D&gt;&lt;D xsi:type="xsd:long"&gt;43910&lt;/D&gt;&lt;D xsi:type="xsd:long"&gt;43909&lt;/D&gt;&lt;D xsi:type="xsd:long"&gt;43908&lt;/D&gt;&lt;D xsi:type="xsd:long"&gt;43907&lt;/D&gt;&lt;D xsi:type="xsd:long"&gt;43906&lt;/D&gt;&lt;D xsi:type="xsd:long"&gt;43903&lt;/D&gt;&lt;D xsi:type="xsd:long"&gt;43902&lt;/D&gt;&lt;D xsi:type="xsd:long"&gt;43901&lt;/D&gt;&lt;D xsi:type="xsd:long"&gt;43900&lt;/D&gt;&lt;D xsi:type="xsd:long"&gt;43899&lt;/D&gt;&lt;D xsi:type="xsd:long"&gt;43896&lt;/D&gt;&lt;D xsi:type="xsd:long"&gt;43895&lt;/D&gt;&lt;D xsi:type="xsd:long"&gt;43894&lt;/D&gt;&lt;D xsi:type="xsd:long"&gt;43893&lt;/D&gt;&lt;D xsi:type="xsd:long"&gt;43892&lt;/D&gt;&lt;D xsi:type="xsd:long"&gt;43889&lt;/D&gt;&lt;D xsi:type="xsd:long"&gt;43888&lt;/D&gt;&lt;D xsi:type="xsd:long"&gt;43887&lt;/D&gt;&lt;D xsi:type="xsd:long"&gt;43886&lt;/D&gt;&lt;D xsi:type="xsd:long"&gt;43885&lt;/D&gt;&lt;D xsi:type="xsd:long"&gt;43882&lt;/D&gt;&lt;D xsi:type="xsd:long"&gt;43881&lt;/D&gt;&lt;D xsi:type="xsd:long"&gt;43880&lt;/D&gt;&lt;D xsi:type="xsd:long"&gt;43879&lt;/D&gt;&lt;D xsi:type="xsd:long"&gt;43875&lt;/D&gt;&lt;D xsi:type="xsd:long"&gt;43874&lt;/D&gt;&lt;D xsi:type="xsd:long"&gt;43873&lt;/D&gt;&lt;D xsi:type="xsd:long"&gt;43872&lt;/D&gt;&lt;D xsi:type="xsd:long"&gt;43871&lt;/D&gt;&lt;D xsi:type="xsd:long"&gt;43868&lt;/D&gt;&lt;D xsi:type="xsd:long"&gt;43867&lt;/D&gt;&lt;D xsi:type="xsd:long"&gt;43866&lt;/D&gt;&lt;D xsi:type="xsd:long"&gt;43865&lt;/D&gt;&lt;D xsi:type="xsd:long"&gt;43864&lt;/D&gt;&lt;D xsi:type="xsd:long"&gt;43861&lt;/D&gt;&lt;D xsi:type="xsd:long"&gt;43860&lt;/D&gt;&lt;D xsi:type="xsd:long"&gt;43859&lt;/D&gt;&lt;D xsi:type="xsd:long"&gt;43858&lt;/D&gt;&lt;D xsi:type="xsd:long"&gt;43857&lt;/D&gt;&lt;D xsi:type="xsd:long"&gt;43854&lt;/D&gt;&lt;D xsi:type="xsd:long"&gt;43853&lt;/D&gt;&lt;D xsi:type="xsd:long"&gt;43852&lt;/D&gt;&lt;D xsi:type="xsd:long"&gt;43851&lt;/D&gt;&lt;D xsi:type="xsd:long"&gt;43847&lt;/D&gt;&lt;D xsi:type="xsd:long"&gt;43846&lt;/D&gt;&lt;D xsi:type="xsd:long"&gt;43845&lt;/D&gt;&lt;D xsi:type="xsd:long"&gt;43844&lt;/D&gt;&lt;D xsi:type="xsd:long"&gt;43843&lt;/D&gt;&lt;D xsi:type="xsd:long"&gt;43840&lt;/D&gt;&lt;D xsi:type="xsd:long"&gt;43839&lt;/D&gt;&lt;D xsi:type="xsd:long"&gt;43838&lt;/D&gt;&lt;D xsi:type="xsd:long"&gt;43837&lt;/D&gt;&lt;D xsi:type="xsd:long"&gt;43836&lt;/D&gt;&lt;D xsi:type="xsd:long"&gt;43833&lt;/D&gt;&lt;D xsi:type="xsd:long"&gt;43832&lt;/D&gt;&lt;D xsi:type="xsd:long"&gt;43830&lt;/D&gt;&lt;D xsi:type="xsd:long"&gt;43829&lt;/D&gt;&lt;D xsi:type="xsd:long"&gt;43826&lt;/D&gt;&lt;D xsi:type="xsd:long"&gt;43825&lt;/D&gt;&lt;D xsi:type="xsd:long"&gt;43823&lt;/D&gt;&lt;D xsi:type="xsd:long"&gt;43822&lt;/D&gt;&lt;D xsi:type="xsd:long"&gt;43819&lt;/D&gt;&lt;D xsi:type="xsd:long"&gt;43818&lt;/D&gt;&lt;D xsi:type="xsd:long"&gt;43817&lt;/D&gt;&lt;D xsi:type="xsd:long"&gt;43816&lt;/D&gt;&lt;D xsi:type="xsd:long"&gt;43815&lt;/D&gt;&lt;D xsi:type="xsd:long"&gt;43812&lt;/D&gt;&lt;D xsi:type="xsd:long"&gt;43811&lt;/D&gt;&lt;D xsi:type="xsd:long"&gt;43810&lt;/D&gt;&lt;D xsi:type="xsd:long"&gt;43809&lt;/D&gt;&lt;D xsi:type="xsd:long"&gt;43808&lt;/D&gt;&lt;D xsi:type="xsd:long"&gt;43805&lt;/D&gt;&lt;D xsi:type="xsd:long"&gt;43804&lt;/D&gt;&lt;D xsi:type="xsd:long"&gt;43803&lt;/D&gt;&lt;D xsi:type="xsd:long"&gt;43802&lt;/D&gt;&lt;D xsi:type="xsd:long"&gt;43801&lt;/D&gt;&lt;D xsi:type="xsd:long"&gt;43798&lt;/D&gt;&lt;D xsi:type="xsd:long"&gt;43796&lt;/D&gt;&lt;D xsi:type="xsd:long"&gt;43795&lt;/D&gt;&lt;D xsi:type="xsd:long"&gt;43794&lt;/D&gt;&lt;D xsi:type="xsd:long"&gt;43791&lt;/D&gt;&lt;D xsi:type="xsd:long"&gt;43790&lt;/D&gt;&lt;D xsi:type="xsd:long"&gt;43789&lt;/D&gt;&lt;D xsi:type="xsd:long"&gt;43788&lt;/D&gt;&lt;D xsi:type="xsd:long"&gt;43787&lt;/D&gt;&lt;D xsi:type="xsd:long"&gt;43784&lt;/D&gt;&lt;D xsi:type="xsd:long"&gt;43783&lt;/D&gt;&lt;D xsi:type="xsd:long"&gt;43782&lt;/D&gt;&lt;D xsi:type="xsd:long"&gt;43781&lt;/D&gt;&lt;D xsi:type="xsd:long"&gt;43780&lt;/D&gt;&lt;D xsi:type="xsd:long"&gt;43777&lt;/D&gt;&lt;D xsi:type="xsd:long"&gt;43776&lt;/D&gt;&lt;D xsi:type="xsd:long"&gt;43775&lt;/D&gt;&lt;D xsi:type="xsd:long"&gt;43774&lt;/D&gt;&lt;D xsi:type="xsd:long"&gt;43773&lt;/D&gt;&lt;D xsi:type="xsd:long"&gt;43770&lt;/D&gt;&lt;D xsi:type="xsd:long"&gt;43769&lt;/D&gt;&lt;D xsi:type="xsd:long"&gt;43768&lt;/D&gt;&lt;D xsi:type="xsd:long"&gt;43767&lt;/D&gt;&lt;D xsi:type="xsd:long"&gt;43766&lt;/D&gt;&lt;D xsi:type="xsd:long"&gt;43763&lt;/D&gt;&lt;D xsi:type="xsd:long"&gt;43762&lt;/D&gt;&lt;D xsi:type="xsd:long"&gt;43761&lt;/D&gt;&lt;D xsi:type="xsd:long"&gt;43760&lt;/D&gt;&lt;D xsi:type="xsd:long"&gt;43759&lt;/D&gt;&lt;D xsi:type="xsd:long"&gt;43756&lt;/D&gt;&lt;D xsi:type="xsd:long"&gt;43755&lt;/D&gt;&lt;D xsi:type="xsd:long"&gt;43754&lt;/D&gt;&lt;D xsi:type="xsd:long"&gt;43753&lt;/D&gt;&lt;D xsi:type="xsd:long"&gt;43752&lt;/D&gt;&lt;D xsi:type="xsd:long"&gt;43749&lt;/D&gt;&lt;D xsi:type="xsd:long"&gt;43748&lt;/D&gt;&lt;D xsi:type="xsd:long"&gt;43747&lt;/D&gt;&lt;D xsi:type="xsd:long"&gt;43746&lt;/D&gt;&lt;D xsi:type="xsd:long"&gt;43745&lt;/D&gt;&lt;D xsi:type="xsd:long"&gt;43742&lt;/D&gt;&lt;D xsi:type="xsd:long"&gt;43741&lt;/D&gt;&lt;D xsi:type="xsd:long"&gt;43740&lt;/D&gt;&lt;D xsi:type="xsd:long"&gt;43739&lt;/D&gt;&lt;D xsi:type="xsd:long"&gt;43738&lt;/D&gt;&lt;D xsi:type="xsd:long"&gt;43735&lt;/D&gt;&lt;D xsi:type="xsd:long"&gt;43734&lt;/D&gt;&lt;D xsi:type="xsd:long"&gt;43733&lt;/D&gt;&lt;D xsi:type="xsd:long"&gt;43732&lt;/D&gt;&lt;D xsi:type="xsd:long"&gt;43731&lt;/D&gt;&lt;D xsi:type="xsd:long"&gt;43728&lt;/D&gt;&lt;D xsi:type="xsd:long"&gt;43727&lt;/D&gt;&lt;D xsi:type="xsd:long"&gt;43726&lt;/D&gt;&lt;D xsi:type="xsd:long"&gt;43725&lt;/D&gt;&lt;D xsi:type="xsd:long"&gt;43724&lt;/D&gt;&lt;D xsi:type="xsd:long"&gt;43721&lt;/D&gt;&lt;D xsi:type="xsd:long"&gt;43720&lt;/D&gt;&lt;D xsi:type="xsd:long"&gt;43719&lt;/D&gt;&lt;D xsi:type="xsd:long"&gt;43718&lt;/D&gt;&lt;D xsi:type="xsd:long"&gt;43717&lt;/D&gt;&lt;D xsi:type="xsd:long"&gt;43714&lt;/D&gt;&lt;D xsi:type="xsd:long"&gt;43713&lt;/D&gt;&lt;D xsi:type="xsd:long"&gt;43712&lt;/D&gt;&lt;D xsi:type="xsd:long"&gt;43711&lt;/D&gt;&lt;D xsi:type="xsd:long"&gt;43707&lt;/D&gt;&lt;D xsi:type="xsd:long"&gt;43706&lt;/D&gt;&lt;D xsi:type="xsd:long"&gt;43705&lt;/D&gt;&lt;D xsi:type="xsd:long"&gt;43704&lt;/D&gt;&lt;D xsi:type="xsd:long"&gt;43703&lt;/D&gt;&lt;D xsi:type="xsd:long"&gt;43700&lt;/D&gt;&lt;D xsi:type="xsd:long"&gt;43699&lt;/D&gt;&lt;D xsi:type="xsd:long"&gt;43698&lt;/D&gt;&lt;D xsi:type="xsd:long"&gt;43697&lt;/D&gt;&lt;D xsi:type="xsd:long"&gt;43696&lt;/D&gt;&lt;D xsi:type="xsd:long"&gt;43693&lt;/D&gt;&lt;D xsi:type="xsd:long"&gt;43692&lt;/D&gt;&lt;D xsi:type="xsd:long"&gt;43691&lt;/D&gt;&lt;D xsi:type="xsd:long"&gt;43690&lt;/D&gt;&lt;D xsi:type="xsd:long"&gt;43689&lt;/D&gt;&lt;D xsi:type="xsd:long"&gt;43686&lt;/D&gt;&lt;D xsi:type="xsd:long"&gt;43685&lt;/D&gt;&lt;D xsi:type="xsd:long"&gt;43684&lt;/D&gt;&lt;D xsi:type="xsd:long"&gt;43683&lt;/D&gt;&lt;D xsi:type="xsd:long"&gt;43682&lt;/D&gt;&lt;D xsi:type="xsd:long"&gt;43679&lt;/D&gt;&lt;D xsi:type="xsd:long"&gt;43678&lt;/D&gt;&lt;D xsi:type="xsd:long"&gt;43677&lt;/D&gt;&lt;D xsi:type="xsd:long"&gt;43676&lt;/D&gt;&lt;D xsi:ty</t>
        </r>
      </text>
    </comment>
    <comment ref="A2" authorId="0" shapeId="0" xr:uid="{C0302D15-4406-4502-A3CF-4F468A3181B4}">
      <text>
        <r>
          <rPr>
            <b/>
            <sz val="9"/>
            <color indexed="81"/>
            <rFont val="Tahoma"/>
            <charset val="1"/>
          </rPr>
          <t>pe="xsd:long"&gt;43675&lt;/D&gt;&lt;D xsi:type="xsd:long"&gt;43672&lt;/D&gt;&lt;D xsi:type="xsd:long"&gt;43671&lt;/D&gt;&lt;D xsi:type="xsd:long"&gt;43670&lt;/D&gt;&lt;D xsi:type="xsd:long"&gt;43669&lt;/D&gt;&lt;D xsi:type="xsd:long"&gt;43668&lt;/D&gt;&lt;D xsi:type="xsd:long"&gt;43665&lt;/D&gt;&lt;D xsi:type="xsd:long"&gt;43664&lt;/D&gt;&lt;D xsi:type="xsd:long"&gt;43663&lt;/D&gt;&lt;D xsi:type="xsd:long"&gt;43662&lt;/D&gt;&lt;D xsi:type="xsd:long"&gt;43661&lt;/D&gt;&lt;D xsi:type="xsd:long"&gt;43658&lt;/D&gt;&lt;D xsi:type="xsd:long"&gt;43657&lt;/D&gt;&lt;D xsi:type="xsd:long"&gt;43656&lt;/D&gt;&lt;D xsi:type="xsd:long"&gt;43655&lt;/D&gt;&lt;D xsi:type="xsd:long"&gt;43654&lt;/D&gt;&lt;D xsi:type="xsd:long"&gt;43651&lt;/D&gt;&lt;D xsi:type="xsd:long"&gt;43649&lt;/D&gt;&lt;D xsi:type="xsd:long"&gt;43648&lt;/D&gt;&lt;D xsi:type="xsd:long"&gt;43647&lt;/D&gt;&lt;D xsi:type="xsd:long"&gt;43644&lt;/D&gt;&lt;D xsi:type="xsd:long"&gt;43643&lt;/D&gt;&lt;D xsi:type="xsd:long"&gt;43642&lt;/D&gt;&lt;D xsi:type="xsd:long"&gt;43641&lt;/D&gt;&lt;D xsi:type="xsd:long"&gt;43640&lt;/D&gt;&lt;D xsi:type="xsd:long"&gt;43637&lt;/D&gt;&lt;D xsi:type="xsd:long"&gt;43636&lt;/D&gt;&lt;D xsi:type="xsd:long"&gt;43635&lt;/D&gt;&lt;D xsi:type="xsd:long"&gt;43634&lt;/D&gt;&lt;D xsi:type="xsd:long"&gt;43633&lt;/D&gt;&lt;D xsi:type="xsd:long"&gt;43630&lt;/D&gt;&lt;D xsi:type="xsd:long"&gt;43629&lt;/D&gt;&lt;D xsi:type="xsd:long"&gt;43628&lt;/D&gt;&lt;D xsi:type="xsd:long"&gt;43627&lt;/D&gt;&lt;D xsi:type="xsd:long"&gt;43626&lt;/D&gt;&lt;D xsi:type="xsd:long"&gt;43623&lt;/D&gt;&lt;D xsi:type="xsd:long"&gt;43622&lt;/D&gt;&lt;D xsi:type="xsd:long"&gt;43621&lt;/D&gt;&lt;D xsi:type="xsd:long"&gt;43620&lt;/D&gt;&lt;D xsi:type="xsd:long"&gt;43619&lt;/D&gt;&lt;D xsi:type="xsd:long"&gt;43616&lt;/D&gt;&lt;D xsi:type="xsd:long"&gt;43615&lt;/D&gt;&lt;D xsi:type="xsd:long"&gt;43614&lt;/D&gt;&lt;D xsi:type="xsd:long"&gt;43613&lt;/D&gt;&lt;D xsi:type="xsd:long"&gt;43609&lt;/D&gt;&lt;D xsi:type="xsd:long"&gt;43608&lt;/D&gt;&lt;D xsi:type="xsd:long"&gt;43607&lt;/D&gt;&lt;D xsi:type="xsd:long"&gt;43606&lt;/D&gt;&lt;D xsi:type="xsd:long"&gt;43605&lt;/D&gt;&lt;D xsi:type="xsd:long"&gt;43602&lt;/D&gt;&lt;D xsi:type="xsd:long"&gt;43601&lt;/D&gt;&lt;D xsi:type="xsd:long"&gt;43600&lt;/D&gt;&lt;D xsi:type="xsd:long"&gt;43599&lt;/D&gt;&lt;D xsi:type="xsd:long"&gt;43598&lt;/D&gt;&lt;D xsi:type="xsd:long"&gt;43595&lt;/D&gt;&lt;D xsi:type="xsd:long"&gt;43594&lt;/D&gt;&lt;D xsi:type="xsd:long"&gt;43593&lt;/D&gt;&lt;D xsi:type="xsd:long"&gt;43592&lt;/D&gt;&lt;D xsi:type="xsd:long"&gt;43591&lt;/D&gt;&lt;D xsi:type="xsd:long"&gt;43588&lt;/D&gt;&lt;D xsi:type="xsd:long"&gt;43587&lt;/D&gt;&lt;D xsi:type="xsd:long"&gt;43586&lt;/D&gt;&lt;D xsi:type="xsd:long"&gt;43585&lt;/D&gt;&lt;D xsi:type="xsd:long"&gt;43584&lt;/D&gt;&lt;D xsi:type="xsd:long"&gt;43581&lt;/D&gt;&lt;D xsi:type="xsd:long"&gt;43580&lt;/D&gt;&lt;D xsi:type="xsd:long"&gt;43579&lt;/D&gt;&lt;D xsi:type="xsd:long"&gt;43578&lt;/D&gt;&lt;D xsi:type="xsd:long"&gt;43577&lt;/D&gt;&lt;D xsi:type="xsd:long"&gt;43573&lt;/D&gt;&lt;D xsi:type="xsd:long"&gt;43572&lt;/D&gt;&lt;D xsi:type="xsd:long"&gt;43571&lt;/D&gt;&lt;D xsi:type="xsd:long"&gt;43570&lt;/D&gt;&lt;D xsi:type="xsd:long"&gt;43567&lt;/D&gt;&lt;D xsi:type="xsd:long"&gt;43566&lt;/D&gt;&lt;D xsi:type="xsd:long"&gt;43565&lt;/D&gt;&lt;D xsi:type="xsd:long"&gt;43564&lt;/D&gt;&lt;D xsi:type="xsd:long"&gt;43563&lt;/D&gt;&lt;D xsi:type="xsd:long"&gt;43560&lt;/D&gt;&lt;D xsi:type="xsd:long"&gt;43559&lt;/D&gt;&lt;D xsi:type="xsd:long"&gt;43558&lt;/D&gt;&lt;D xsi:type="xsd:long"&gt;43557&lt;/D&gt;&lt;D xsi:type="xsd:long"&gt;43556&lt;/D&gt;&lt;D xsi:type="xsd:long"&gt;43553&lt;/D&gt;&lt;D xsi:type="xsd:long"&gt;43552&lt;/D&gt;&lt;D xsi:type="xsd:long"&gt;43551&lt;/D&gt;&lt;D xsi:type="xsd:long"&gt;43550&lt;/D&gt;&lt;D xsi:type="xsd:long"&gt;43549&lt;/D&gt;&lt;D xsi:type="xsd:long"&gt;43546&lt;/D&gt;&lt;D xsi:type="xsd:long"&gt;43545&lt;/D&gt;&lt;D xsi:type="xsd:long"&gt;43544&lt;/D&gt;&lt;D xsi:type="xsd:long"&gt;43543&lt;/D&gt;&lt;D xsi:type="xsd:long"&gt;43542&lt;/D&gt;&lt;D xsi:type="xsd:long"&gt;43539&lt;/D&gt;&lt;D xsi:type="xsd:long"&gt;43538&lt;/D&gt;&lt;D xsi:type="xsd:long"&gt;43537&lt;/D&gt;&lt;D xsi:type="xsd:long"&gt;43536&lt;/D&gt;&lt;D xsi:type="xsd:long"&gt;43535&lt;/D&gt;&lt;D xsi:type="xsd:long"&gt;43532&lt;/D&gt;&lt;D xsi:type="xsd:long"&gt;43531&lt;/D&gt;&lt;D xsi:type="xsd:long"&gt;43530&lt;/D&gt;&lt;D xsi:type="xsd:long"&gt;43529&lt;/D&gt;&lt;D xsi:type="xsd:long"&gt;43528&lt;/D&gt;&lt;D xsi:type="xsd:long"&gt;43525&lt;/D&gt;&lt;D xsi:type="xsd:long"&gt;43524&lt;/D&gt;&lt;D xsi:type="xsd:long"&gt;43523&lt;/D&gt;&lt;D xsi:type="xsd:long"&gt;43522&lt;/D&gt;&lt;D xsi:type="xsd:long"&gt;43521&lt;/D&gt;&lt;D xsi:type="xsd:long"&gt;43518&lt;/D&gt;&lt;D xsi:type="xsd:long"&gt;43517&lt;/D&gt;&lt;D xsi:type="xsd:long"&gt;43516&lt;/D&gt;&lt;D xsi:type="xsd:long"&gt;43515&lt;/D&gt;&lt;D xsi:type="xsd:long"&gt;43511&lt;/D&gt;&lt;D xsi:type="xsd:long"&gt;43510&lt;/D&gt;&lt;D xsi:type="xsd:long"&gt;43509&lt;/D&gt;&lt;D xsi:type="xsd:long"&gt;43508&lt;/D&gt;&lt;D xsi:type="xsd:long"&gt;43507&lt;/D&gt;&lt;D xsi:type="xsd:long"&gt;43504&lt;/D&gt;&lt;D xsi:type="xsd:long"&gt;43503&lt;/D&gt;&lt;D xsi:type="xsd:long"&gt;43502&lt;/D&gt;&lt;D xsi:type="xsd:long"&gt;43501&lt;/D&gt;&lt;D xsi:type="xsd:long"&gt;43500&lt;/D&gt;&lt;D xsi:type="xsd:long"&gt;43497&lt;/D&gt;&lt;D xsi:type="xsd:long"&gt;43496&lt;/D&gt;&lt;D xsi:type="xsd:long"&gt;43495&lt;/D&gt;&lt;D xsi:type="xsd:long"&gt;43494&lt;/D&gt;&lt;D xsi:type="xsd:long"&gt;43493&lt;/D&gt;&lt;D xsi:type="xsd:long"&gt;43490&lt;/D&gt;&lt;D xsi:type="xsd:long"&gt;43489&lt;/D&gt;&lt;D xsi:type="xsd:long"&gt;43488&lt;/D&gt;&lt;D xsi:type="xsd:long"&gt;43487&lt;/D&gt;&lt;D xsi:type="xsd:long"&gt;43483&lt;/D&gt;&lt;D xsi:type="xsd:long"&gt;43482&lt;/D&gt;&lt;D xsi:type="xsd:long"&gt;43481&lt;/D&gt;&lt;D xsi:type="xsd:long"&gt;43480&lt;/D&gt;&lt;D xsi:type="xsd:long"&gt;43479&lt;/D&gt;&lt;D xsi:type="xsd:long"&gt;43476&lt;/D&gt;&lt;D xsi:type="xsd:long"&gt;43475&lt;/D&gt;&lt;D xsi:type="xsd:long"&gt;43474&lt;/D&gt;&lt;D xsi:type="xsd:long"&gt;43473&lt;/D&gt;&lt;D xsi:type="xsd:long"&gt;43472&lt;/D&gt;&lt;D xsi:type="xsd:long"&gt;43469&lt;/D&gt;&lt;D xsi:type="xsd:long"&gt;43468&lt;/D&gt;&lt;D xsi:type="xsd:long"&gt;43467&lt;/D&gt;&lt;D xsi:type="xsd:long"&gt;43465&lt;/D&gt;&lt;D xsi:type="xsd:long"&gt;43462&lt;/D&gt;&lt;D xsi:type="xsd:long"&gt;43461&lt;/D&gt;&lt;D xsi:type="xsd:long"&gt;43460&lt;/D&gt;&lt;D xsi:type="xsd:long"&gt;43458&lt;/D&gt;&lt;D xsi:type="xsd:long"&gt;43455&lt;/D&gt;&lt;D xsi:type="xsd:long"&gt;43454&lt;/D&gt;&lt;D xsi:type="xsd:long"&gt;43453&lt;/D&gt;&lt;D xsi:type="xsd:long"&gt;43452&lt;/D&gt;&lt;D xsi:type="xsd:long"&gt;43451&lt;/D&gt;&lt;D xsi:type="xsd:long"&gt;43448&lt;/D&gt;&lt;D xsi:type="xsd:long"&gt;43447&lt;/D&gt;&lt;D xsi:type="xsd:long"&gt;43446&lt;/D&gt;&lt;D xsi:type="xsd:long"&gt;43445&lt;/D&gt;&lt;D xsi:type="xsd:long"&gt;43444&lt;/D&gt;&lt;D xsi:type="xsd:long"&gt;43441&lt;/D&gt;&lt;D xsi:type="xsd:long"&gt;43440&lt;/D&gt;&lt;D xsi:type="xsd:long"&gt;43438&lt;/D&gt;&lt;D xsi:type="xsd:long"&gt;43437&lt;/D&gt;&lt;D xsi:type="xsd:long"&gt;43434&lt;/D&gt;&lt;D xsi:type="xsd:long"&gt;43433&lt;/D&gt;&lt;D xsi:type="xsd:long"&gt;43432&lt;/D&gt;&lt;D xsi:type="xsd:long"&gt;43431&lt;/D&gt;&lt;D xsi:type="xsd:long"&gt;43430&lt;/D&gt;&lt;D xsi:type="xsd:long"&gt;43427&lt;/D&gt;&lt;D xsi:type="xsd:long"&gt;43425&lt;/D&gt;&lt;D xsi:type="xsd:long"&gt;43424&lt;/D&gt;&lt;D xsi:type="xsd:long"&gt;43423&lt;/D&gt;&lt;D xsi:type="xsd:long"&gt;43420&lt;/D&gt;&lt;D xsi:type="xsd:long"&gt;43419&lt;/D&gt;&lt;D xsi:type="xsd:long"&gt;43418&lt;/D&gt;&lt;D xsi:type="xsd:long"&gt;43417&lt;/D&gt;&lt;D xsi:type="xsd:long"&gt;43416&lt;/D&gt;&lt;D xsi:type="xsd:long"&gt;43413&lt;/D&gt;&lt;D xsi:type="xsd:long"&gt;43412&lt;/D&gt;&lt;D xsi:type="xsd:long"&gt;43411&lt;/D&gt;&lt;D xsi:type="xsd:long"&gt;43410&lt;/D&gt;&lt;D xsi:type="xsd:long"&gt;43409&lt;/D&gt;&lt;D xsi:type="xsd:long"&gt;43406&lt;/D&gt;&lt;D xsi:type="xsd:long"&gt;43405&lt;/D&gt;&lt;D xsi:type="xsd:long"&gt;43404&lt;/D&gt;&lt;D xsi:type="xsd:long"&gt;43403&lt;/D&gt;&lt;D xsi:type="xsd:long"&gt;43402&lt;/D&gt;&lt;D xsi:type="xsd:long"&gt;43399&lt;/D&gt;&lt;D xsi:type="xsd:long"&gt;43398&lt;/D&gt;&lt;D xsi:type="xsd:long"&gt;43397&lt;/D&gt;&lt;D xsi:type="xsd:long"&gt;43396&lt;/D&gt;&lt;D xsi:type="xsd:long"&gt;43395&lt;/D&gt;&lt;D xsi:type="xsd:long"&gt;43392&lt;/D&gt;&lt;D xsi:type="xsd:long"&gt;43391&lt;/D&gt;&lt;D xsi:type="xsd:long"&gt;43390&lt;/D&gt;&lt;D xsi:type="xsd:long"&gt;43389&lt;/D&gt;&lt;D xsi:type="xsd:long"&gt;43388&lt;/D&gt;&lt;D xsi:type="xsd:long"&gt;43385&lt;/D&gt;&lt;D xsi:type="xsd:long"&gt;43384&lt;/D&gt;&lt;D xsi:type="xsd:long"&gt;43383&lt;/D&gt;&lt;D xsi:type="xsd:long"&gt;43382&lt;/D&gt;&lt;D xsi:type="xsd:long"&gt;43381&lt;/D&gt;&lt;D xsi:type="xsd:long"&gt;43378&lt;/D&gt;&lt;D xsi:type="xsd:long"&gt;43377&lt;/D&gt;&lt;D xsi:type="xsd:long"&gt;43376&lt;/D&gt;&lt;D xsi:type="xsd:long"&gt;43375&lt;/D&gt;&lt;D xsi:type="xsd:long"&gt;43374&lt;/D&gt;&lt;D xsi:type="xsd:long"&gt;43371&lt;/D&gt;&lt;D xsi:type="xsd:long"&gt;43370&lt;/D&gt;&lt;D xsi:type="xsd:long"&gt;43369&lt;/D&gt;&lt;D xsi:type="xsd:long"&gt;43368&lt;/D&gt;&lt;D xsi:type="xsd:long"&gt;43367&lt;/D&gt;&lt;D xsi:type="xsd:long"&gt;43364&lt;/D&gt;&lt;D xsi:type="xsd:long"&gt;43363&lt;/D&gt;&lt;D xsi:type="xsd:long"&gt;43362&lt;/D&gt;&lt;D xsi:type="xsd:long"&gt;43361&lt;/D&gt;&lt;D xsi:type="xsd:long"&gt;43360&lt;/D&gt;&lt;D xsi:type="xsd:long"&gt;43357&lt;/D&gt;&lt;D xsi:type="xsd:long"&gt;43356&lt;/D&gt;&lt;D xsi:type="xsd:long"&gt;43355&lt;/D&gt;&lt;D xsi:type="xsd:long"&gt;43354&lt;/D&gt;&lt;D xsi:type="xsd:long"&gt;43353&lt;/D&gt;&lt;D xsi:type="xsd:long"&gt;43350&lt;/D&gt;&lt;D xsi:type="xsd:long"&gt;43349&lt;/D&gt;&lt;D xsi:type="xsd:long"&gt;43348&lt;/D&gt;&lt;D xsi:type="xsd:long"&gt;43347&lt;/D&gt;&lt;D xsi:type="xsd:long"&gt;43343&lt;/D&gt;&lt;D xsi:type="xsd:long"&gt;43342&lt;/D&gt;&lt;D xsi:type="xsd:long"&gt;43341&lt;/D&gt;&lt;D xsi:type="xsd:long"&gt;43340&lt;/D&gt;&lt;D xsi:type="xsd:long"&gt;43339&lt;/D&gt;&lt;D xsi:type="xsd:long"&gt;43336&lt;/D&gt;&lt;D xsi:type="xsd:long"&gt;43335&lt;/D&gt;&lt;D xsi:type="xsd:long"&gt;43334&lt;/D&gt;&lt;D xsi:type="xsd:long"&gt;43333&lt;/D&gt;&lt;D xsi:type="xsd:long"&gt;43332&lt;/D&gt;&lt;D xsi:type="xsd:long"&gt;43329&lt;/D&gt;&lt;D xsi:type="xsd:long"&gt;43328&lt;/D&gt;&lt;D xsi:type="xsd:long"&gt;43327&lt;/D&gt;&lt;D xsi:type="xsd:long"&gt;43326&lt;/D&gt;&lt;D xsi:type="xsd:long"&gt;43325&lt;/D&gt;&lt;D xsi:type="xsd:long"&gt;43322&lt;/D&gt;&lt;D xsi:type="xsd:long"&gt;43321&lt;/D&gt;&lt;D xsi:type="xsd:long"&gt;43320&lt;/D&gt;&lt;D xsi:type="xsd:long"&gt;43319&lt;/D&gt;&lt;D xsi:type="xsd:long"&gt;43318&lt;/D&gt;&lt;D xsi:type="xsd:long"&gt;43315&lt;/D&gt;&lt;D xsi:type="xsd:long"&gt;43314&lt;/D&gt;&lt;D xsi:type="xsd:long"&gt;43313&lt;/D&gt;&lt;D xsi:type="xsd:long"&gt;43312&lt;/D&gt;&lt;D xsi:type="xsd:long"&gt;43311&lt;/D&gt;&lt;D xsi:type="xsd:long"&gt;43308&lt;/D&gt;&lt;D xsi:type="xsd:long"&gt;43307&lt;/D&gt;&lt;D xsi:type="xsd:long"&gt;43306&lt;/D&gt;&lt;D xsi:type="xsd:long"&gt;43305&lt;/D&gt;&lt;D xsi:type="xsd:long"&gt;43304&lt;/D&gt;&lt;D xsi:type="xsd:long"&gt;43301&lt;/D&gt;&lt;D xsi:type="xsd:long"&gt;43300&lt;/D&gt;&lt;D xsi:type="xsd:long"&gt;43299&lt;/D&gt;&lt;D xsi:type="xsd:long"&gt;43298&lt;/D&gt;&lt;D xsi:type="xsd:long"&gt;43297&lt;/D&gt;&lt;D xsi:type="xsd:long"&gt;43294&lt;/D&gt;&lt;D xsi:type="xsd:long"&gt;43293&lt;/D&gt;&lt;D xsi:type="xsd:long"&gt;43292&lt;/D&gt;&lt;D xsi:type="xsd:long"&gt;43291&lt;/D&gt;&lt;D xsi:type="xsd:long"&gt;43290&lt;/D&gt;&lt;D xsi:type="xsd:long"&gt;43287&lt;/D&gt;&lt;D xsi:type="xsd:long"&gt;43286&lt;/D&gt;&lt;D xsi:type="xsd:long"&gt;43284&lt;/D&gt;&lt;D xsi:type="xsd:long"&gt;43283&lt;/D&gt;&lt;D xsi:type="xsd:long"&gt;43280&lt;/D&gt;&lt;D xsi:type="xsd:long"&gt;43279&lt;/D&gt;&lt;D xsi:type="xsd:long"&gt;43278&lt;/D&gt;&lt;D xsi:type="xsd:long"&gt;43277&lt;/D&gt;&lt;D xsi:type="xsd:long"&gt;43276&lt;/D&gt;&lt;D xsi:type="xsd:long"&gt;43273&lt;/D&gt;&lt;D xsi:type="xsd:long"&gt;43272&lt;/D&gt;&lt;D xsi:type="xsd:long"&gt;43271&lt;/D&gt;&lt;D xsi:type="xsd:long"&gt;43270&lt;/D&gt;&lt;D xsi:type="xsd:long"&gt;43269&lt;/D&gt;&lt;D xsi:type="xsd:long"&gt;43266&lt;/D&gt;&lt;D xsi:type="xsd:long"&gt;43265&lt;/D&gt;&lt;D xsi:type="xsd:long"&gt;43264&lt;/D&gt;&lt;D xsi:type="xsd:long"&gt;43263&lt;/D&gt;&lt;D xsi:type="xsd:long"&gt;43262&lt;/D&gt;&lt;D xsi:type="xsd:long"&gt;43259&lt;/D&gt;&lt;D xsi:type="xsd:long"&gt;43258&lt;/D&gt;&lt;D xsi:type="xsd:long"&gt;43257&lt;/D&gt;&lt;D xsi:type="xsd:long"&gt;43256&lt;/D&gt;&lt;D xsi:type="xsd:long"&gt;43255&lt;/D&gt;&lt;D xsi:type="xsd:long"&gt;43252&lt;/D&gt;&lt;D xsi:type="xsd:long"&gt;43251&lt;/D&gt;&lt;D xsi:type="xsd:long"&gt;43250&lt;/D&gt;&lt;D xsi:type="xsd:long"&gt;43249&lt;/D&gt;&lt;D xsi:type="xsd:long"&gt;43245&lt;/D&gt;&lt;D xsi:type="xsd:long"&gt;43244&lt;/D&gt;&lt;D xsi:type="xsd:long"&gt;43243&lt;/D&gt;&lt;D xsi:type="xsd:long"&gt;43242&lt;/D&gt;&lt;D xsi:type="xsd:long"&gt;43241&lt;/D&gt;&lt;D xsi:type="xsd:long"&gt;43238&lt;/D&gt;&lt;D xsi:type="xsd:long"&gt;43237&lt;/D&gt;&lt;D xsi:type="xsd:long"&gt;43236&lt;/D&gt;&lt;D xsi:type="xsd:long"&gt;43235&lt;/D&gt;&lt;D xsi:type="xsd:long"&gt;43234&lt;/D&gt;&lt;D xsi:type="xsd:long"&gt;43231&lt;/D&gt;&lt;D xsi:type="xsd:long"&gt;43230&lt;/D&gt;&lt;D xsi:type="xsd:long"&gt;43229&lt;/D&gt;&lt;D xsi:type="xsd:long"&gt;43228&lt;/D&gt;&lt;D xsi:type="xsd:long"&gt;43227&lt;/D&gt;&lt;D xsi:type="xsd:long"&gt;43224&lt;/D&gt;&lt;D xsi:type="xsd:long"&gt;43223&lt;/D&gt;&lt;D xsi:type="xsd:long"&gt;43222&lt;/D&gt;&lt;D xsi:type="xsd:long"&gt;43221&lt;/D&gt;&lt;D xsi:type="xsd:long"&gt;43220&lt;/D&gt;&lt;D xsi:type="xsd:long"&gt;43217&lt;/D&gt;&lt;D xsi:type="xsd:long"&gt;43216&lt;/D&gt;&lt;D xsi:type="xsd:long"&gt;43215&lt;/D&gt;&lt;D xsi:type="xsd:long"&gt;43214&lt;/D&gt;&lt;D xsi:type="xsd:long"&gt;43213&lt;/D&gt;&lt;D xsi:type="xsd:long"&gt;43210&lt;/D&gt;&lt;D xsi:type="xsd:long"&gt;43209&lt;/D&gt;&lt;D xsi:type="xsd:long"&gt;43208&lt;/D&gt;&lt;D xsi:type="xsd:long"&gt;43207&lt;/D&gt;&lt;D xsi:type="xsd:long"&gt;43206&lt;/D&gt;&lt;D xsi:type="xsd:long"&gt;43203&lt;/D&gt;&lt;D xsi:type="xsd:long"&gt;43202&lt;/D&gt;&lt;D xsi:type="xsd:long"&gt;43201&lt;/D&gt;&lt;D xsi:type="xsd:long"&gt;43200&lt;/D&gt;&lt;D xsi:type="xsd:long"&gt;43199&lt;/D&gt;&lt;D xsi:type="xsd:long"&gt;43196&lt;/D&gt;&lt;D xsi:type="xsd:long"&gt;43195&lt;/D&gt;&lt;D xsi:type="xsd:long"&gt;43194&lt;/D&gt;&lt;D xsi:type="xsd:long"&gt;43193&lt;/D&gt;&lt;D xsi:type="xsd:long"&gt;43192&lt;/D&gt;&lt;D xsi:type="xsd:long"&gt;43188&lt;/D&gt;&lt;D xsi:type="xsd:long"&gt;43187&lt;/D&gt;&lt;D xsi:type="xsd:long"&gt;43186&lt;/D&gt;&lt;D xsi:type="xsd:long"&gt;43185&lt;/D&gt;&lt;D xsi:type="xsd:long"&gt;43182&lt;/D&gt;&lt;D xsi:type="xsd:long"&gt;43181&lt;/D&gt;&lt;D xsi:type="xsd:long"&gt;43180&lt;/D&gt;&lt;D xsi:type="xsd:long"&gt;43179&lt;/D&gt;&lt;D xsi:type="xsd:long"&gt;43178&lt;/D&gt;&lt;D xsi:type="xsd:long"&gt;43175&lt;/D&gt;&lt;D xsi:type="xsd:long"&gt;43174&lt;/D&gt;&lt;D xsi:type="xsd:long"&gt;43173&lt;/D&gt;&lt;D xsi:type="xsd:long"&gt;43172&lt;/D&gt;&lt;D xsi:type="xsd:long"&gt;43171&lt;/D&gt;&lt;D xsi:type="xsd:long"&gt;43168&lt;/D&gt;&lt;D xsi:type="xsd:long"&gt;43167&lt;/D&gt;&lt;D xsi:type="xsd:long"&gt;43166&lt;/D&gt;&lt;D xsi:type="xsd:long"&gt;43165&lt;/D&gt;&lt;D xsi:type="xsd:long"&gt;43164&lt;/D&gt;&lt;D xsi:type="xsd:long"&gt;43161&lt;/D&gt;&lt;D xsi:type="xsd:long"&gt;43160&lt;/D&gt;&lt;D xsi:type="xsd:long"&gt;43159&lt;/D&gt;&lt;D xsi:type="xsd:long"&gt;43158&lt;/D&gt;&lt;D xsi:type="xsd:long"&gt;43157&lt;/D&gt;&lt;D xsi:type="xsd:long"&gt;43154&lt;/D&gt;&lt;D xsi:type="xsd:long"&gt;43153&lt;/D&gt;&lt;D xsi:type="xsd:long"&gt;43152&lt;/D&gt;&lt;D xsi:type="xsd:long"&gt;43151&lt;/D&gt;&lt;D xsi:type="xsd:long"&gt;43147&lt;/D&gt;&lt;D xsi:type="xsd:long"&gt;43146&lt;/D&gt;&lt;D xsi:type="xsd:long"&gt;43145&lt;/D&gt;&lt;D xsi:type="xsd:long"&gt;43144&lt;/D&gt;&lt;D xsi:type="xsd:long"&gt;43143&lt;/D&gt;&lt;D xsi:type="xsd:long"&gt;43140&lt;/D&gt;&lt;D xsi:type="xsd:long"&gt;43139&lt;/D&gt;&lt;D xsi:type="xsd:long"&gt;43138&lt;/D&gt;&lt;D xsi:type="xsd:long"&gt;43137&lt;/D&gt;&lt;D xsi:type="xsd:long"&gt;43136&lt;/D&gt;&lt;D xsi:type="xsd:long"&gt;43133&lt;/D&gt;&lt;D xsi:type="xsd:long"&gt;43132&lt;/D&gt;&lt;D xsi:type="xsd:long"&gt;43131&lt;/D&gt;&lt;D xsi:type="xsd:long"&gt;43130&lt;/D&gt;&lt;D xsi:type="xsd:long"&gt;43129&lt;/D&gt;&lt;D xsi:type="xsd:long"&gt;43126&lt;/D&gt;&lt;D xsi:type="xsd:long"&gt;43125&lt;/D&gt;&lt;D xsi:type="xsd:long"&gt;43124&lt;/D&gt;&lt;D xsi:type="xsd:long"&gt;43123&lt;/D&gt;&lt;D xsi:type="xsd:long"&gt;43122&lt;/D&gt;&lt;D xsi:type="xsd:long"&gt;43119&lt;/D&gt;&lt;D xsi:type="xsd:long"&gt;43118&lt;/D&gt;&lt;D xsi:type="xsd:long"&gt;43117&lt;/D&gt;&lt;D xsi:type="xsd:long"&gt;43116&lt;/D&gt;&lt;D xsi:type="xsd:long"&gt;43112&lt;/D&gt;&lt;D xsi:type="xsd:long"&gt;43111&lt;/D&gt;&lt;D xsi:type="xsd:long"&gt;43110&lt;/D&gt;&lt;D xsi:type="xsd:long"&gt;43109&lt;/D&gt;&lt;D xsi:type="xsd:long"&gt;43108&lt;/D&gt;&lt;D xsi:type="xsd:long"&gt;43105&lt;/D&gt;&lt;D xsi:type="xsd:long"&gt;43104&lt;/D&gt;&lt;D xsi:type="xsd:long"&gt;43103&lt;/D&gt;&lt;D xsi:type="xsd:long"&gt;43102&lt;/D&gt;&lt;D xsi:type="xsd:long"&gt;43098&lt;/D&gt;&lt;D xsi:type="xsd:long"&gt;43097&lt;/D&gt;&lt;D xsi:type="xsd:long"&gt;43096&lt;/D&gt;&lt;D xsi:type="xsd:long"&gt;43095&lt;/D&gt;&lt;D xsi:type="xsd:long"&gt;43091&lt;/D&gt;&lt;D xsi:type="xsd:long"&gt;43090&lt;/D&gt;&lt;D xsi:type="xsd:long"&gt;43089&lt;/D&gt;&lt;D xsi:type="xsd:long"&gt;43088&lt;/D&gt;&lt;D xsi:type="xsd:long"&gt;43087&lt;/D&gt;&lt;D xsi:type="xsd:long"&gt;43084&lt;/D&gt;&lt;D xsi:type="xsd:long"&gt;43083&lt;/D&gt;&lt;D xsi:type="xsd:long"&gt;43082&lt;/D&gt;&lt;D xsi:type="xsd:long"&gt;43081&lt;/D&gt;&lt;D xsi:type="xsd:long"&gt;43080&lt;/D&gt;&lt;D xsi:type="xsd:long"&gt;43077&lt;/D&gt;&lt;D xsi:type="xsd:long"&gt;43076&lt;/D&gt;&lt;D xsi:type="xsd:long"&gt;43075&lt;/D&gt;&lt;D xsi:type="xsd:long"&gt;43074&lt;/D&gt;&lt;D xsi:type="xsd:long"&gt;43073&lt;/D&gt;&lt;D xsi:type="xsd:long"&gt;43070&lt;/D&gt;&lt;D xsi:type="xsd:long"&gt;43069&lt;/D&gt;&lt;D xsi:type="xsd:long"&gt;43068&lt;/D&gt;&lt;D xsi:type="xsd:long"&gt;43067&lt;/D&gt;&lt;D xsi:type="xsd:long"&gt;43066&lt;/D&gt;&lt;D xsi:type="xsd:long"&gt;43063&lt;/D&gt;&lt;D xsi:type="xsd:long"&gt;43061&lt;/D&gt;&lt;D xsi:type="xsd:long"&gt;43060&lt;/D&gt;&lt;D xsi:type="xsd:long"&gt;43059&lt;/D&gt;&lt;D xsi:type="xsd:long"&gt;43056&lt;/D&gt;&lt;D xsi:type="xsd:long"&gt;43055&lt;/D&gt;&lt;D xsi:type="xsd:long"&gt;43054&lt;/D&gt;&lt;D xsi:type="xsd:long"&gt;43053&lt;/D&gt;&lt;D xsi:type="xsd:long"&gt;43052&lt;/D&gt;&lt;D xsi:type="xsd:long"&gt;43049&lt;/D&gt;&lt;D xsi:type="xsd:long"&gt;43048&lt;/D&gt;&lt;D xsi:type="xsd:long"&gt;43047&lt;/D&gt;&lt;D xsi:type="xsd:long"&gt;43046&lt;/D&gt;&lt;D xsi:type="xsd:long"&gt;43045&lt;/D&gt;&lt;D xsi:type="xsd:long"&gt;43042&lt;/D&gt;&lt;D xsi:type="xsd:long"&gt;43041&lt;/D&gt;&lt;D xsi:type="xsd:long"&gt;43040&lt;/D&gt;&lt;D xsi:type="xsd:long"&gt;43039&lt;/D&gt;&lt;D xsi:type="xsd:long"&gt;43038&lt;/D&gt;&lt;D xsi:type="xsd:long"&gt;43035&lt;/D&gt;&lt;D xsi:type="xsd:long"&gt;43034&lt;/D&gt;&lt;D xsi:type="xsd:long"&gt;43033&lt;/D&gt;&lt;D xsi:type="xsd:long"&gt;43032&lt;/D&gt;&lt;D xsi:type="xsd:long"&gt;43031&lt;/D&gt;&lt;D xsi:type="xsd:long"&gt;43028&lt;/D&gt;&lt;D xsi:type="xsd:long"&gt;43027&lt;/D&gt;&lt;D xsi:type="xsd:long"&gt;43026&lt;/D&gt;&lt;D xsi:type="xsd:long"&gt;43025&lt;/D&gt;&lt;D xsi:type="xsd:long"&gt;43024&lt;/D&gt;&lt;D xsi:type="xsd:long"&gt;43021&lt;/D&gt;&lt;D xsi:type="xsd:long"&gt;43020&lt;/D&gt;&lt;D xsi:type="xsd:long"&gt;43019&lt;/D&gt;&lt;D xsi:type="xsd:long"&gt;43018&lt;/D&gt;&lt;D xsi:type="xsd:long"&gt;43017&lt;/D&gt;&lt;D xsi:type="xsd:long"&gt;43014&lt;/D&gt;&lt;D xsi:type="xsd:long"&gt;43013&lt;/D&gt;&lt;D xsi:type="xsd:long"&gt;43012&lt;/D&gt;&lt;D xsi:type="xsd:long"&gt;43011&lt;/D&gt;&lt;D xsi:type="xsd:long"&gt;43010&lt;/D&gt;&lt;D xsi:type="xsd:long"&gt;43007&lt;/D&gt;&lt;D xsi:type="xsd:long"&gt;43006&lt;/D&gt;&lt;D xsi:type="xsd:long"&gt;43005&lt;/D&gt;&lt;D xsi:type="xsd:long"&gt;43004&lt;/D&gt;&lt;D xsi:type="xsd:long"&gt;43003&lt;/D&gt;&lt;D xsi:type="xsd:long"&gt;43000&lt;/D&gt;&lt;D xsi:type="xsd:long"&gt;42999&lt;/D&gt;&lt;D xsi:type="xsd:long"&gt;42998&lt;/D&gt;&lt;D xsi:type="xsd:long"&gt;42997&lt;/D&gt;&lt;D xsi:type="xsd:long"&gt;42996&lt;/D&gt;&lt;D xsi:type="xsd:long"&gt;42993&lt;/D&gt;&lt;D xsi:type="xsd:long"&gt;42992&lt;/D&gt;&lt;D xsi:type="xsd:long"&gt;42991&lt;/D&gt;&lt;D xsi:type="xsd:long"&gt;42990&lt;/D&gt;&lt;D xsi:type="xsd:long"&gt;42989&lt;/D&gt;&lt;D xsi:type="xsd:long"&gt;42986&lt;/D&gt;&lt;D xsi:type="xsd:long"&gt;42985&lt;/D&gt;&lt;D xsi:type="xsd:long"&gt;42984&lt;/D&gt;&lt;D xsi:type="xsd:long"&gt;42983&lt;/D&gt;&lt;D xsi:type="xsd:long"&gt;42979&lt;/D&gt;&lt;D xsi:type="xsd:long"&gt;42978&lt;/D&gt;&lt;D xsi:type="xsd:long"&gt;42977&lt;/D&gt;&lt;D xsi:type="xsd:long"&gt;42976&lt;/D&gt;&lt;D xsi:type="xsd:long"&gt;42975&lt;/D&gt;&lt;D xsi:type="xsd:long"&gt;42972&lt;/D&gt;&lt;D xsi:type="xsd:long"&gt;42971&lt;/D&gt;&lt;D xsi:type="xsd:long"&gt;42970&lt;/D&gt;&lt;D xsi:type="xsd:long"&gt;42969&lt;/D&gt;&lt;D xsi:type="xsd:long"&gt;42968&lt;/D&gt;&lt;D xsi:type="xsd:long"&gt;42965&lt;/D&gt;&lt;D xsi:type="xsd:long"&gt;42964&lt;/D&gt;&lt;D xsi:type="xsd:long"&gt;42963&lt;/D&gt;&lt;D xsi:type="xsd:long"&gt;42962&lt;/D&gt;&lt;D xsi:type="xsd:long"&gt;42961&lt;/D&gt;&lt;D xsi:type="xsd:long"&gt;42958&lt;/D&gt;&lt;D xsi:type="xsd:long"&gt;42957&lt;/D&gt;&lt;D xsi:type="xsd:long"&gt;42956&lt;/D&gt;&lt;D xsi:type="xsd:long"&gt;42955&lt;/D&gt;&lt;D xsi:type="xsd:long"&gt;42954&lt;/D&gt;&lt;D xsi:type="xsd:long"&gt;42951&lt;/D&gt;&lt;D xsi:type="xsd:long"&gt;42950&lt;/D&gt;&lt;D xsi:type="xsd:long"&gt;42949&lt;/D&gt;&lt;D xsi:type="xsd:long"&gt;42948&lt;/D&gt;&lt;D xsi:type="xsd:long"&gt;42947&lt;/D&gt;&lt;D xsi:type="xsd:long"&gt;42944&lt;/D&gt;&lt;D xsi:type="xsd:long"&gt;42943&lt;/D&gt;&lt;D xsi:type="xsd:long"&gt;42942&lt;/D&gt;&lt;D xsi:type="xsd:long"&gt;42941&lt;/D&gt;&lt;D xsi:type="xsd:long"&gt;42940&lt;/D&gt;&lt;D xsi:type="xsd:long"&gt;42937&lt;/D&gt;&lt;D xsi:type="xsd:long"&gt;42936&lt;/D&gt;&lt;D xsi:type="xsd:long"&gt;42935&lt;/D&gt;&lt;D xsi:type="xsd:long"&gt;42934&lt;/D&gt;&lt;D xsi:type="xsd:long"&gt;42933&lt;/D&gt;&lt;D xsi:type="xsd:long"&gt;42930&lt;/D&gt;&lt;D xsi:type="xsd:long"&gt;42929&lt;/D&gt;&lt;D xsi:type="xsd:long"&gt;42928&lt;/D&gt;&lt;D xsi:type="xsd:long"&gt;42927&lt;/D&gt;&lt;D xsi:type="xsd:long"&gt;42926&lt;/D&gt;&lt;D xsi:type="xsd:long"&gt;42923&lt;/D&gt;&lt;D xsi:type="xsd:long"&gt;42922&lt;/D&gt;&lt;D xsi:type="xsd:long"&gt;42921&lt;/D&gt;&lt;D xsi:type="xsd:long"&gt;42919&lt;/D&gt;&lt;D xsi:type="xsd:long"&gt;42916&lt;/D&gt;&lt;D xsi:type="xsd:long"&gt;42915&lt;/D&gt;&lt;D xsi:type="xsd:long"&gt;42914&lt;/D&gt;&lt;D xsi:type="xsd:long"&gt;42913&lt;/D&gt;&lt;D xsi:type="xsd:long"&gt;42912&lt;/D&gt;&lt;D xsi:type="xsd:long"&gt;42909&lt;/D&gt;&lt;D xsi:type="xsd:long"&gt;42908&lt;/D&gt;&lt;D xsi:type="xsd:long"&gt;42907&lt;/D&gt;&lt;D xsi:type="xsd:long"&gt;42906&lt;/D&gt;&lt;D xsi:type="xsd:long"&gt;42905&lt;/D&gt;&lt;D xsi:type="xsd:long"&gt;42902&lt;/D&gt;&lt;D xsi:type="xsd:long"&gt;42901&lt;/D&gt;&lt;D xsi:type="xsd:long"&gt;42900&lt;/D&gt;&lt;D xsi:type="xsd:long"&gt;42899&lt;/D&gt;&lt;D xsi:type="xsd:long"&gt;42898&lt;/D&gt;&lt;D xsi:type="xsd:long"&gt;42895&lt;/D&gt;&lt;D xsi:type="xsd:long"&gt;42894&lt;/D&gt;&lt;D xsi:type="xsd:long"&gt;42893&lt;/D&gt;&lt;D xsi:type="xsd:long"&gt;42892&lt;/D&gt;&lt;D xsi:type="xsd:long"&gt;42891&lt;/D&gt;&lt;D xsi:type="xsd:long"&gt;42888&lt;/D&gt;&lt;D xsi:type="xsd:long"&gt;42887&lt;/D&gt;&lt;D xsi:type="xsd:long"&gt;42886&lt;/D&gt;&lt;D xsi:type="xsd:long"&gt;42885&lt;/D&gt;&lt;D xsi:type="xsd:long"&gt;42881&lt;/D&gt;&lt;D xsi:type="xsd:long"&gt;42880&lt;/D&gt;&lt;D xsi:type="xsd:long"&gt;42879&lt;/D&gt;&lt;D xsi:type="xsd:long"&gt;42878&lt;/D&gt;&lt;D xsi:type="xsd:long"&gt;42877&lt;/D&gt;&lt;D xsi:type="xsd:long"&gt;42874&lt;/D&gt;&lt;D xsi:type="xsd:long"&gt;42873&lt;/D&gt;&lt;D xsi:type="xsd:long"&gt;42872&lt;/D&gt;&lt;D xsi:type="xsd:long"&gt;42871&lt;/D&gt;&lt;D xsi:type="xsd:long"&gt;42870&lt;/D&gt;&lt;D xsi:type="xsd:long"&gt;42867&lt;/D&gt;&lt;D xsi:type="xsd:long"&gt;42866&lt;/D&gt;&lt;D xsi:type="xsd:long"&gt;42865&lt;/D&gt;&lt;D xsi:type="xsd:long"&gt;42864&lt;/D&gt;&lt;D xsi:type="xsd:long"&gt;42863&lt;/D&gt;&lt;D xsi:type="xsd:long"&gt;42860&lt;/D&gt;&lt;D xsi:type="xsd:long"&gt;42859&lt;/D&gt;&lt;D xsi:type="xsd:long"&gt;42858&lt;/D&gt;&lt;D xsi:type="xsd:long"&gt;42857&lt;/D&gt;&lt;D xsi:type="xsd:long"&gt;42856&lt;/D&gt;&lt;D xsi:type="xsd:long"&gt;42853&lt;/D&gt;&lt;D xsi:type="xsd:long"&gt;42852&lt;/D&gt;&lt;D xsi:type="xsd:long"&gt;42851&lt;/D&gt;&lt;D xsi:type="xsd:long"&gt;42850&lt;/D&gt;&lt;D xsi:type="xsd:long"&gt;42849&lt;/D&gt;&lt;D xsi:type="xsd:long"&gt;42846&lt;/D&gt;&lt;D xsi:type="xsd:long"&gt;42845&lt;/D&gt;&lt;D xsi:type="xsd:long"&gt;42844&lt;/D&gt;&lt;D xsi:type="xsd:long"&gt;42843&lt;/D&gt;&lt;D xsi:type="xsd:long"&gt;42842&lt;/D&gt;&lt;D xsi:type="xsd:long"&gt;42838&lt;/D&gt;&lt;D xsi:type="xsd:long"&gt;42837&lt;/D&gt;&lt;D xsi:type="xsd:long"&gt;42836&lt;/D&gt;&lt;D xsi:type="xsd:long"&gt;42835&lt;/D&gt;&lt;D xsi:type="xsd:long"&gt;42832&lt;/D&gt;&lt;D xsi:type="xsd:long"&gt;42831&lt;/D&gt;&lt;D xsi:type="xsd:long"&gt;42830&lt;/D&gt;&lt;D xsi:type="xsd:long"&gt;42829&lt;/D&gt;&lt;D xsi:type="xsd:long"&gt;42828&lt;/D&gt;&lt;D xsi:type="xsd:long"&gt;42825&lt;/D&gt;&lt;D xsi:type="xsd:long"&gt;42824&lt;/D&gt;&lt;D xsi:type="xsd:long"&gt;42823&lt;/D&gt;&lt;D xsi:type="xsd:long"&gt;42822&lt;/D&gt;&lt;D xsi:type="xsd:long"&gt;42821&lt;/D&gt;&lt;D xsi:type="xsd:long"&gt;42818&lt;/D&gt;&lt;D xsi:type="xsd:long"&gt;42817&lt;/D&gt;&lt;D xsi:type="xsd:long"&gt;42816&lt;/D&gt;&lt;D xsi:type="xsd:long"&gt;42815&lt;/D&gt;&lt;D xsi:type="xsd:long"&gt;42814&lt;/D&gt;&lt;D xsi:type="xsd:long"&gt;42811&lt;/D&gt;&lt;D xsi:type="xsd:long"&gt;42810&lt;/D&gt;&lt;D xsi:type="xsd:long"&gt;42809&lt;/D&gt;&lt;D xsi:type="xsd:long"&gt;42808&lt;/D&gt;&lt;D xsi:type="xsd:long"&gt;42807&lt;/D&gt;&lt;D xsi:type="xsd:long"&gt;42804&lt;/D&gt;&lt;D xsi:type="xsd:long"&gt;42803&lt;/D&gt;&lt;D xsi:type="xsd:long"&gt;42802&lt;/D&gt;&lt;D xsi:type="xsd:long"&gt;42801&lt;/D&gt;&lt;D xsi:type="xsd:long"&gt;42800&lt;/D&gt;&lt;D xsi:type="xsd:long"&gt;42797&lt;/D&gt;&lt;D xsi:type="xsd:long"&gt;42796&lt;/D&gt;&lt;D xsi:type="xsd:long"&gt;42795&lt;/D&gt;&lt;D xsi:type="xsd:long"&gt;42794&lt;/D&gt;&lt;D xsi:type="xsd:long"&gt;42793&lt;/D&gt;&lt;D xsi:type="xsd:long"&gt;42790&lt;/D&gt;&lt;D xsi:type="xsd:long"&gt;42789&lt;/D&gt;&lt;D xsi:type="xsd:long"&gt;42788&lt;/D&gt;&lt;D xsi:type="xsd:long"&gt;42787&lt;/D&gt;&lt;D xsi:type="xsd:long"&gt;42783&lt;/D&gt;&lt;D xsi:type="xsd:long"&gt;42782&lt;/D&gt;&lt;D xsi:type="xsd:long"&gt;42781&lt;/D&gt;&lt;D xsi:type="xsd:long"&gt;42780&lt;/D&gt;&lt;D xsi:type="xsd:long"&gt;42779&lt;/D&gt;&lt;D xsi:type="xsd:long"&gt;42776&lt;/D&gt;&lt;D xsi:type="xsd:long"&gt;42775&lt;/D&gt;&lt;D xsi:type="xsd:long"&gt;42774&lt;/D&gt;&lt;D xsi:type="xsd:long"&gt;42773&lt;/D&gt;&lt;D xsi:type="xsd:long"&gt;42772&lt;/D&gt;&lt;D xsi:type="xsd:long"&gt;42769&lt;/D&gt;&lt;D xsi:type="xsd:long"&gt;42768&lt;/D&gt;&lt;D xsi:type="xsd:long"&gt;42767&lt;/D&gt;&lt;D xsi:type="xsd:long"&gt;42766&lt;/D&gt;&lt;D xsi:type="xsd:long"&gt;42765&lt;/D&gt;&lt;D xsi:type="xsd:long"&gt;42762&lt;/D&gt;&lt;D xsi:type="xsd:long"&gt;42761&lt;/D&gt;&lt;D xsi:type="xsd:long"&gt;42760&lt;/D&gt;&lt;D xsi:type="xsd:long"&gt;42759&lt;/D&gt;&lt;D xsi:type="xsd:long"&gt;42758&lt;/D&gt;&lt;D xsi:type="xsd:long"&gt;42755&lt;/D&gt;&lt;D xsi:type="xsd:long"&gt;42754&lt;/D&gt;&lt;D xsi:type="xsd:long"&gt;42753&lt;/D&gt;&lt;D xsi:type="xsd:long"&gt;42752&lt;/D&gt;&lt;D xsi:type="xsd:long"&gt;42748&lt;/D&gt;&lt;D xsi:type="xsd:long"&gt;42747&lt;/D&gt;&lt;D xsi:type="xsd:long"&gt;42746&lt;/D&gt;&lt;D xsi:type="xsd:long"&gt;42745&lt;/D&gt;&lt;D xsi:type="xsd:long"&gt;42744&lt;/D&gt;&lt;D xsi:type="xsd:long"&gt;42741&lt;/D&gt;&lt;D xsi:type="xsd:long"&gt;42740&lt;/D&gt;&lt;D xsi:type="xsd:long"&gt;42739&lt;/D&gt;&lt;D xsi:type="xsd:long"&gt;42738&lt;/D&gt;&lt;D xsi:type="xsd:long"&gt;42734&lt;/D&gt;&lt;D xsi:type="xsd:long"&gt;42733&lt;/D&gt;&lt;D xsi:type="xsd:long"&gt;42732&lt;/D&gt;&lt;D xsi:type="xsd:long"&gt;42731&lt;/D&gt;&lt;D xsi:type="xsd:long"&gt;42727&lt;/D&gt;&lt;D xsi:type="xsd:long"&gt;42726&lt;/D&gt;&lt;D xsi:type="xsd:long"&gt;42725&lt;/D&gt;&lt;D xsi:type="xsd:long"&gt;42724&lt;/D&gt;&lt;D xsi:type="xsd:long"&gt;42723&lt;/D&gt;&lt;D xsi:type="xsd:long"&gt;42720&lt;/D&gt;&lt;D xsi:type="xsd:long"&gt;42719&lt;/D&gt;&lt;D xsi:type="xsd:long"&gt;42718&lt;/D&gt;&lt;D xsi:type="xsd:long"&gt;42717&lt;/D&gt;&lt;D xsi:type="xsd:long"&gt;42716&lt;/D&gt;&lt;D xsi:type="xsd:long"&gt;42713&lt;/D&gt;&lt;D xsi:type="xsd:long"&gt;42712&lt;/D&gt;&lt;D xsi:type="xsd:long"&gt;42711&lt;/D&gt;&lt;D xsi:type="xsd:long"&gt;42710&lt;/D&gt;&lt;D xsi:type="xsd:long"&gt;42709&lt;/D&gt;&lt;D xsi:type="xsd:long"&gt;42706&lt;/D&gt;&lt;D xsi:type="xsd:long"&gt;42705&lt;/D&gt;&lt;D xsi:type="xsd:long"&gt;42704&lt;/D&gt;&lt;D xsi:type="xsd:long"&gt;42703&lt;/D&gt;&lt;D xsi:type="xsd:long"&gt;42702&lt;/D&gt;&lt;D xsi:type="xsd:long"&gt;42699&lt;/D&gt;&lt;D xsi:type="xsd:long"&gt;42697&lt;/D&gt;&lt;D xsi:type="xsd:long"&gt;42696&lt;/D&gt;&lt;D xsi:type="xsd:long"&gt;42695&lt;/D&gt;&lt;D xsi:type="xsd:long"&gt;42692&lt;/D&gt;&lt;D xsi:type="xsd:long"&gt;42691&lt;/D&gt;&lt;D xsi:type="xsd:long"&gt;42690&lt;/D&gt;&lt;D xsi:type="xsd:long"&gt;42689&lt;/D&gt;&lt;D xsi:type="xsd:long"&gt;42688&lt;/D&gt;&lt;D xsi:type="xsd:long"&gt;42685&lt;/D&gt;&lt;D xsi:type="xsd:long"&gt;42684&lt;/D&gt;&lt;D xsi:type="xsd:long"&gt;42683&lt;/D&gt;&lt;D xsi:type="xsd:long"&gt;42682&lt;/D&gt;&lt;D xsi:type="xsd:long"&gt;42681&lt;/D&gt;&lt;D xsi:type="xsd:long"&gt;42678&lt;/D&gt;&lt;D xsi:type="xsd:long"&gt;42677&lt;/D&gt;&lt;D xsi:type="xsd:long"&gt;42676&lt;/D&gt;&lt;D xsi:type="xsd:long"&gt;42675&lt;/D&gt;&lt;D xsi:type="xsd:long"&gt;42674&lt;/D&gt;&lt;D xsi:type="xsd:long"&gt;42671&lt;/D&gt;&lt;D xsi:type="xsd:long"&gt;42670&lt;/D&gt;&lt;D xsi:type="xsd:long"&gt;42669&lt;/D&gt;&lt;D xsi:type="xsd:long"&gt;42668&lt;/D&gt;&lt;D xsi:type="xsd:long"&gt;42667&lt;/D&gt;&lt;D xsi:type="xsd:long"&gt;42664&lt;/D&gt;&lt;D xsi:type="xsd:long"&gt;42663&lt;/D&gt;&lt;D xsi:type="xsd:long"&gt;42662&lt;/D&gt;&lt;D xsi:type="xsd:long"&gt;42661&lt;/D&gt;&lt;D xsi:type="xsd:long"&gt;42660&lt;/D&gt;&lt;D xsi:type="xsd:long"&gt;42657&lt;/D&gt;&lt;D xsi:type="xsd:long"&gt;42656&lt;/D&gt;&lt;D xsi:type="xsd:long"&gt;42655&lt;/D&gt;&lt;D xsi:type="xsd:long"&gt;42654&lt;/D&gt;&lt;D xsi:type="xsd:long"&gt;42653&lt;/D&gt;&lt;D xsi:type="xsd:long"&gt;42650&lt;/D&gt;&lt;D xsi:type="xsd:long"&gt;42649&lt;/D&gt;&lt;D xsi:type="xsd:long"&gt;42648&lt;/D&gt;&lt;D xsi:type="xsd:long"&gt;42647&lt;/D&gt;&lt;D xsi:type="xsd:long"&gt;42646&lt;/D&gt;&lt;D xsi:type="xsd:long"&gt;42643&lt;/D&gt;&lt;D xsi:type="xsd:long"&gt;42642&lt;/D&gt;&lt;D xsi:type="xsd:long"&gt;42641&lt;/D&gt;&lt;D xsi:type="xsd:long"&gt;42640&lt;/D&gt;&lt;D xsi:type="xsd:long"&gt;42639&lt;/D&gt;&lt;D xsi:type="xsd:long"&gt;42636&lt;/D&gt;&lt;D xsi:type="xsd:long"&gt;42635&lt;/D&gt;&lt;D xsi:type="xsd:long"&gt;42634&lt;/D&gt;&lt;D xsi:type="xsd:long"&gt;42633&lt;/D&gt;&lt;D xsi:type="xsd:long"&gt;42632&lt;/D&gt;&lt;D xsi:type="xsd:long"&gt;42629&lt;/D&gt;&lt;D xsi:type="xsd:long"&gt;42628&lt;/D&gt;&lt;D xsi:type="xsd:long"&gt;42627&lt;/D&gt;&lt;D xsi:type="xsd:long"&gt;42626&lt;/D&gt;&lt;D xsi:type="xsd:long"&gt;42625&lt;/D&gt;&lt;D xsi:type="xsd:long"&gt;42622&lt;/D&gt;&lt;D xsi:type="xsd:long"&gt;42621&lt;/D&gt;&lt;D xsi:type="xsd:long"&gt;42620&lt;/D&gt;&lt;D xsi:type="xsd:long"&gt;42619&lt;/D&gt;&lt;D xsi:type="xsd:long"&gt;42615&lt;/D&gt;&lt;D xsi:type="xsd:long"&gt;42614&lt;/D&gt;&lt;D xsi:type="xsd:long"&gt;42613&lt;/D&gt;&lt;D xsi:type="xsd:long"&gt;42612&lt;/D&gt;&lt;D xsi:type="xsd:long"&gt;42611&lt;/D&gt;&lt;D xsi:type="xsd:long"&gt;42608&lt;/D&gt;&lt;D xsi:type="xsd:long"&gt;42607&lt;/D&gt;&lt;D xsi:type="xsd:long"&gt;42606&lt;/D&gt;&lt;D xsi:type="xsd:long"&gt;42605&lt;/D&gt;&lt;D xsi:type="xsd:long"&gt;42604&lt;/D&gt;&lt;D xsi:type="xsd:long"&gt;42601&lt;/D&gt;&lt;D xsi:type="xsd:long"&gt;42600&lt;/D&gt;&lt;D xsi:type="xsd:long"&gt;42599&lt;/D&gt;&lt;D xsi:type="xsd:long"&gt;42598&lt;/D&gt;&lt;D xsi:type="xsd:long"&gt;42597&lt;/D&gt;&lt;D xsi:type="xsd:long"&gt;42594&lt;/D&gt;&lt;D xsi:type="xsd:long"&gt;42593&lt;/D&gt;&lt;D xsi:type="xsd:long"&gt;42592&lt;/D&gt;&lt;D xsi:type="xsd:long"&gt;42591&lt;/D&gt;&lt;D xsi:type="xsd:long"&gt;42590&lt;/D&gt;&lt;D xsi:type="xsd:long"&gt;42587&lt;/D&gt;&lt;D xsi:type="xsd:long"&gt;42586&lt;/D&gt;&lt;D xsi:type="xsd:long"&gt;42585&lt;/D&gt;&lt;D xsi:type="xsd:long"&gt;42584&lt;/D&gt;&lt;D xsi:type="xsd:long"&gt;42583&lt;/D&gt;&lt;D xsi:type="xsd:long"&gt;42580&lt;/D&gt;&lt;D xsi:type="xsd:long"&gt;42579&lt;/D&gt;&lt;D xsi:type="xsd:long"&gt;42578&lt;/D&gt;&lt;D xsi:type="xsd:long"&gt;42577&lt;/D&gt;&lt;D xsi:type="xsd:long"&gt;42576&lt;/D&gt;&lt;D xsi:type="xsd:long"&gt;42573&lt;/D&gt;&lt;D xsi:type="xsd:long"&gt;42572&lt;/D&gt;&lt;D xsi:type="xsd:long"&gt;42571&lt;/D&gt;&lt;D xsi:type="xsd:long"&gt;42570&lt;/D&gt;&lt;D xsi:type="xsd:long"&gt;42569&lt;/D&gt;&lt;D xsi:type="xsd:long"&gt;42566&lt;/D&gt;&lt;D xsi:type="xsd:long"&gt;42565&lt;/D&gt;&lt;D xsi:type="xsd:long"&gt;42564&lt;/D&gt;&lt;D xsi:type="xsd:long"&gt;42563&lt;/D&gt;&lt;D xsi:type="xsd:long"&gt;42562&lt;/D&gt;&lt;D xsi:type="xsd:long"&gt;42559&lt;/D&gt;&lt;D xsi:type="xsd:long"&gt;42558&lt;/D&gt;&lt;D xsi:type="xsd:long"&gt;42557&lt;/D&gt;&lt;D xsi:type="xsd:long"&gt;42556&lt;/D&gt;&lt;D xsi:type="xsd:long"&gt;42552&lt;/D&gt;&lt;D xsi:type="xsd:long"&gt;42551&lt;/D&gt;&lt;D xsi:type="xsd:long"&gt;42550&lt;/D&gt;&lt;D xsi:type="xsd:long"&gt;42549&lt;/D&gt;&lt;D xsi:type="xsd:long"&gt;42548&lt;/D&gt;&lt;D xsi:type="xsd:long"&gt;42545&lt;/D&gt;&lt;D xsi:type="xsd:long"&gt;42544&lt;/D&gt;&lt;D xsi:type="xsd:long"&gt;42543&lt;/D&gt;&lt;D xsi:type="xsd:long"&gt;42542&lt;/D&gt;&lt;D xsi:type="xsd:long"&gt;42541&lt;/D&gt;&lt;D xsi:type="xsd:long"&gt;42538&lt;/D&gt;&lt;D xsi:type="xsd:long"&gt;42537&lt;/D&gt;&lt;D xsi:type="xsd:long"&gt;42536&lt;/D&gt;&lt;D xsi:type="xsd:long"&gt;42535&lt;/D&gt;&lt;D xsi:type="xsd:long"&gt;42534&lt;/D&gt;&lt;D xsi:type="xsd:long"&gt;42531&lt;/D&gt;&lt;D xsi:type="xsd:long"&gt;42530&lt;/D&gt;&lt;D xsi:type="xsd:long"&gt;42529&lt;/D&gt;&lt;D xsi:type="xsd:long"&gt;42528&lt;/D&gt;&lt;D xsi:type="xsd:long"&gt;42527&lt;/D&gt;&lt;D xsi:type="xsd:long"&gt;42524&lt;/D&gt;&lt;D xsi:type="xsd:long"&gt;42523&lt;/D&gt;&lt;D xsi:type="xsd:long"&gt;42522&lt;/D&gt;&lt;D xsi:type="xsd:long"&gt;42521&lt;/D&gt;&lt;D xsi:type="xsd:long"&gt;42517&lt;/D&gt;&lt;D xsi:type="xsd:long"&gt;42516&lt;/D&gt;&lt;D xsi:type="xsd:long"&gt;42515&lt;/D&gt;&lt;D xsi:type="xsd:long"&gt;42514&lt;/D&gt;&lt;D xsi:type="xsd:long"&gt;42513&lt;/D&gt;&lt;D xsi:type="xsd:long"&gt;42510&lt;/D&gt;&lt;D xsi:type="xsd:long"&gt;42509&lt;/D&gt;&lt;D xsi:type="xsd:long"&gt;42508&lt;/D&gt;&lt;D xsi:type="xsd:long"&gt;42507&lt;/D&gt;&lt;D xsi:type="xsd:long"&gt;42506&lt;/D&gt;&lt;D xsi:type="xsd:long"&gt;42503&lt;/D&gt;&lt;D xsi:type="xsd:long"&gt;42502&lt;/D&gt;&lt;D xsi:type="xsd:long"&gt;42501&lt;/D&gt;&lt;D xsi:type="xsd:long"&gt;42500&lt;/D&gt;&lt;D xsi:type="xsd:long"&gt;42499&lt;/D&gt;&lt;D xsi:type="xsd:long"&gt;42496&lt;/D&gt;&lt;D xsi:type="xsd:long"&gt;42495&lt;/D&gt;&lt;D xsi:type="xsd:long"&gt;42494&lt;/D&gt;&lt;D xsi:type="xsd:long"&gt;42493&lt;/D&gt;&lt;D xsi:type="xsd:long"&gt;42492&lt;/D&gt;&lt;D xsi:type="xsd:long"&gt;42489&lt;/D&gt;&lt;D xsi:type="xsd:long"&gt;42488&lt;/D&gt;&lt;D xsi:type="xsd:long"&gt;42487&lt;/D&gt;&lt;D xsi:type="xsd:long"&gt;42486&lt;/D&gt;&lt;D xsi:type="xsd:long"&gt;42485&lt;/D&gt;&lt;D xsi:type="xsd:long"&gt;42482&lt;/D&gt;&lt;D xsi:type="xsd:long"&gt;42481&lt;/D&gt;&lt;D xsi:type="xsd:long"&gt;42480&lt;/D&gt;&lt;D xsi:type="xsd:long"&gt;42479&lt;/D&gt;&lt;D xsi:type="xsd:long"&gt;42478&lt;/D&gt;&lt;D xsi:type="xsd:long"&gt;42475&lt;/D&gt;&lt;D xsi:type="xsd:long"&gt;42474&lt;/D&gt;&lt;D xsi:type="xsd:long"&gt;42473&lt;/D&gt;&lt;D xsi:type="xsd:long"&gt;42472&lt;/D&gt;&lt;D xsi:type="xsd:long"&gt;42471&lt;/D&gt;&lt;D xsi:type="xsd:long"&gt;42468&lt;/D&gt;&lt;D xsi:type="xsd:long"&gt;42467&lt;/D&gt;&lt;D xsi:type="xsd:long"&gt;42466&lt;/D&gt;&lt;D xsi:type="xsd:long"&gt;42465&lt;/D&gt;&lt;D xsi:type="xsd:long"&gt;42464&lt;/D&gt;&lt;D xsi:type="xsd:long"&gt;42461&lt;/D&gt;&lt;D xsi:type="xsd:long"&gt;42460&lt;/D&gt;&lt;D xsi:type="xsd:long"&gt;42459&lt;/D&gt;&lt;D xsi:type="xsd:long"&gt;42458&lt;/D&gt;&lt;D xsi:type="xsd:long"&gt;42457&lt;/D&gt;&lt;D xsi:type="xsd:long"&gt;42453&lt;/D&gt;&lt;D xsi:type="xsd:long"&gt;42452&lt;/D&gt;&lt;D xsi:type="xsd:long"&gt;42451&lt;/D&gt;&lt;D xsi:type="xsd:long"&gt;42450&lt;/D&gt;&lt;D xsi:type="xsd:long"&gt;42447&lt;/D&gt;&lt;D xsi:type="xsd:long"&gt;42446&lt;/D&gt;&lt;D xsi:type="xsd:long"&gt;42445&lt;/D&gt;&lt;D xsi:type="xsd:long"&gt;42444&lt;/D&gt;&lt;D xsi:type="xsd:long"&gt;42443&lt;/D&gt;&lt;D xsi:type="xsd:long"&gt;42440&lt;/D&gt;&lt;D xsi:type="xsd:long"&gt;42439&lt;/D&gt;&lt;D xsi:type="xsd:long"&gt;42438&lt;/D&gt;&lt;D xsi:type="xsd:long"&gt;42437&lt;/D&gt;&lt;D xsi:type="xsd:long"&gt;42436&lt;/D&gt;&lt;D xsi:type="xsd:long"&gt;42433&lt;/D&gt;&lt;D xsi:type="xsd:long"&gt;42432&lt;/D&gt;&lt;D xsi:type="xsd:long"&gt;42431&lt;/D&gt;&lt;D xsi:type="xsd:long"&gt;42430&lt;/D&gt;&lt;D xsi:type="xsd:long"&gt;42429&lt;/D&gt;&lt;D xsi:type="xsd:long"&gt;42426&lt;/D&gt;&lt;D xsi:type="xsd:long"&gt;42425&lt;/D&gt;&lt;D xsi:type="xsd:long"&gt;42424&lt;/D&gt;&lt;D xsi:type="xsd:long"&gt;42423&lt;/D&gt;&lt;D xsi:type="xsd:long"&gt;42422&lt;/D&gt;&lt;D xsi:type="xsd:long"&gt;42419&lt;/D&gt;&lt;D xsi:type="xsd:long"&gt;42418&lt;/D&gt;&lt;D xsi:type="xsd:long"&gt;42417&lt;/D&gt;&lt;D xsi:type="xsd:long"&gt;42416&lt;/D&gt;&lt;D xsi:type="xsd:long"&gt;42412&lt;/D&gt;&lt;D xsi:type="xsd:long"&gt;42411&lt;/D&gt;&lt;D xsi:type="xsd:long"&gt;42410&lt;/D&gt;&lt;D xsi:type="xsd:long"&gt;42409&lt;/D&gt;&lt;D xsi:type="xsd:long"&gt;42408&lt;/D&gt;&lt;D xsi:type="xsd:long"&gt;42405&lt;/D&gt;&lt;D xsi:type="xsd:long"&gt;42404&lt;/D&gt;&lt;D xsi:type="xsd:long"&gt;42403&lt;/D&gt;&lt;D xsi:type="xsd:long"&gt;42402&lt;/D&gt;&lt;D xsi:type="xsd:long"&gt;42401&lt;/D&gt;&lt;D xsi:type="xsd:long"&gt;42398&lt;/D&gt;&lt;D xsi:type="xsd:long"&gt;42397&lt;/D&gt;&lt;D xsi:type="xsd:long"&gt;42396&lt;/D&gt;&lt;D xsi:type="xsd:long"&gt;42395&lt;/D&gt;&lt;D xsi:type="xsd:long"&gt;42394&lt;/D&gt;&lt;D xsi:type="xsd:long"&gt;42391&lt;/D&gt;&lt;D xsi:type="xsd:long"&gt;42390&lt;/D&gt;&lt;D xsi:type="xsd:long"&gt;42389&lt;/D&gt;&lt;D xsi:type="xsd:long"&gt;42388&lt;/D&gt;&lt;D xsi:type="xsd:long"&gt;42384&lt;/D&gt;&lt;D xsi:type="xsd:long"&gt;42383&lt;/D&gt;&lt;D xsi:type="xsd:long"&gt;42382&lt;/D&gt;&lt;D xsi:type="xsd:long"&gt;42381&lt;/D&gt;&lt;D xsi:type="xsd:long"&gt;42380&lt;/D&gt;&lt;D xsi:type="xsd:long"&gt;42377&lt;/D&gt;&lt;D xsi:type="xsd:long"&gt;42376&lt;/D&gt;&lt;D xsi:type="xsd:long"&gt;42375&lt;/D&gt;&lt;D xsi:type="xsd:long"&gt;42374&lt;/D&gt;&lt;D xsi:type="xsd:long"&gt;42373&lt;/D&gt;&lt;D xsi:type="xsd:long"&gt;42369&lt;/D&gt;&lt;D xsi:type="xsd:long"&gt;42368&lt;/D&gt;&lt;D xsi:type="xsd:long"&gt;42367&lt;/D&gt;&lt;D xsi:type="xsd:long"&gt;42366&lt;/D&gt;&lt;D xsi:type="xsd:long"&gt;42362&lt;/D&gt;&lt;D xsi:type="xsd:long"&gt;42361&lt;/D&gt;&lt;D xsi:type="xsd:long"&gt;42360&lt;/D&gt;&lt;D xsi:type="xsd:long"&gt;42359&lt;/D&gt;&lt;D xsi:type="xsd:long"&gt;42356&lt;/D&gt;&lt;D xsi:type="xsd:long"&gt;42355&lt;/D&gt;&lt;D xsi:type="xsd:long"&gt;42354&lt;/D&gt;&lt;D xsi:type="xsd:long"&gt;42353&lt;/D&gt;&lt;D xsi:type="xsd:long"&gt;42352&lt;/D&gt;&lt;D xsi:type="xsd:long"&gt;42349&lt;/D&gt;&lt;D xsi:type="xsd:long"&gt;42348&lt;/D&gt;&lt;D xsi:type="xsd:long"&gt;42347&lt;/D&gt;&lt;D xsi:type="xsd:long"&gt;42346&lt;/D&gt;&lt;D xsi:type="xsd:long"&gt;42345&lt;/D&gt;&lt;D xsi:type="xsd:long"&gt;42342&lt;/D&gt;&lt;D xsi:type="xsd:long"&gt;42341&lt;/D&gt;&lt;D xsi:type="xsd:long"&gt;42340&lt;/D&gt;&lt;D xsi:type="xsd:long"&gt;42339&lt;/D&gt;&lt;D xsi:type="xsd:long"&gt;42338&lt;/D&gt;&lt;D xsi:type="xsd:long"&gt;42335&lt;/D&gt;&lt;D xsi:type="xsd:long"&gt;42333&lt;/D&gt;&lt;D xsi:type="xsd:long"&gt;42332&lt;/D&gt;&lt;D xsi:type="xsd:long"&gt;42331&lt;/D&gt;&lt;D xsi:type="xsd:long"&gt;42328&lt;/D&gt;&lt;D xsi:type="xsd:long"&gt;42327&lt;/D&gt;&lt;D xsi:type="xsd:long"&gt;42326&lt;/D&gt;&lt;D xsi:type="xsd:long"&gt;42325&lt;/D&gt;&lt;D xsi:type="xsd:long"&gt;42324&lt;/D&gt;&lt;D xsi:type="xsd:long"&gt;42321&lt;/D&gt;&lt;D xsi:type="xsd:long"&gt;42320&lt;/D&gt;&lt;D xsi:type="xsd:long"&gt;42319&lt;/D&gt;&lt;D xsi:type="xsd:long"&gt;42318&lt;/D&gt;&lt;D xsi:type="xsd:long"&gt;42317&lt;/D&gt;&lt;D xsi:type="xsd:long"&gt;42314&lt;/D&gt;&lt;D xsi:type="xsd:long"&gt;42313&lt;/D&gt;&lt;D xsi:type="xsd:long"&gt;42312&lt;/D&gt;&lt;D xsi:type="xsd:long"&gt;42311&lt;/D&gt;&lt;D xsi:type="xsd:long"&gt;42310&lt;/D&gt;&lt;D xsi:type="xsd:long"&gt;42307&lt;/D&gt;&lt;D xsi:type="xsd:long"&gt;42306&lt;/D&gt;&lt;D xsi:type="xsd:long"&gt;42305&lt;/D&gt;&lt;D xsi:type="xsd:long"&gt;42304&lt;/D&gt;&lt;D xsi:type="xsd:long"&gt;42303&lt;/D&gt;&lt;D xsi:type="xsd:long"&gt;42300&lt;/D&gt;&lt;D xsi:type="xsd:long"&gt;42299&lt;/D&gt;&lt;D xsi:type="xsd:long"&gt;42298&lt;/D&gt;&lt;D xsi:type="xsd:long"&gt;42297&lt;/D&gt;&lt;D xsi:type="xsd:long"&gt;42296&lt;/D&gt;&lt;D xsi:type="xsd:long"&gt;42293&lt;/D&gt;&lt;D xsi:type="xsd:long"&gt;42292&lt;/D&gt;&lt;D xsi:type="xsd:long"&gt;42291&lt;/D&gt;&lt;D xsi:type="xsd:long"&gt;42290&lt;/D&gt;&lt;D xsi:type="xsd:long"&gt;42289&lt;/D&gt;&lt;D xsi:type="xsd:long"&gt;42286&lt;/D&gt;&lt;D xsi:type="xsd:long"&gt;42285&lt;/D&gt;&lt;D xsi:type="xsd:long"&gt;42284&lt;/D&gt;&lt;D xsi:type="xsd:long"&gt;42283&lt;/D&gt;&lt;D xsi:type="xsd:long"&gt;42282&lt;/D&gt;&lt;D xsi:type="xsd:long"&gt;42279&lt;/D&gt;&lt;D xsi:type="xsd:long"&gt;42278&lt;/D&gt;&lt;D xsi:type="xsd:long"&gt;42277&lt;/D&gt;&lt;D xsi:type="xsd:long"&gt;42276&lt;/D&gt;&lt;D xsi:type="xsd:long"&gt;42275&lt;/D&gt;&lt;D xsi:type="xsd:long"&gt;42272&lt;/D&gt;&lt;D xsi:type="xsd:long"&gt;42271&lt;/D&gt;&lt;D xsi:type="xsd:long"&gt;42270&lt;/D&gt;&lt;D xsi:type="xsd:long"&gt;42269&lt;/D&gt;&lt;D xsi:type="xsd:long"&gt;42268&lt;/D&gt;&lt;D xsi:type="xsd:long"&gt;42265&lt;/D&gt;&lt;D xsi:type="xsd:long"&gt;42264&lt;/D&gt;&lt;D xsi:type="xsd:long"&gt;42263&lt;/D&gt;&lt;D xsi:type="xsd:long"&gt;42262&lt;/D&gt;&lt;D xsi:type="xsd:long"&gt;42261&lt;/D&gt;&lt;D xsi:type="xsd:long"&gt;42258&lt;/D&gt;&lt;D xsi:type="xsd:long"&gt;42257&lt;/D&gt;&lt;D xsi:type="xsd:long"&gt;42256&lt;/D&gt;&lt;D xsi:type="xsd:long"&gt;42255&lt;/D&gt;&lt;D xsi:type="xsd:long"&gt;42251&lt;/D&gt;&lt;D xsi:type="xsd:long"&gt;42250&lt;/D&gt;&lt;D xsi:type="xsd:long"&gt;42249&lt;/D&gt;&lt;D xsi:type="xsd:long"&gt;42248&lt;/D&gt;&lt;D xsi:type="xsd:long"&gt;42247&lt;/D&gt;&lt;D xsi:type="xsd:long"&gt;42244&lt;/D&gt;&lt;D xsi:type="xsd:long"&gt;42243&lt;/D&gt;&lt;D xsi:type="xsd:long"&gt;42242&lt;/D&gt;&lt;D xsi:type="xsd:long"&gt;42241&lt;/D&gt;&lt;D xsi:type="xsd:long"&gt;42240&lt;/D&gt;&lt;D xsi:type="xsd:long"&gt;42237&lt;/D&gt;&lt;D xsi:type="xsd:long"&gt;42236&lt;/D&gt;&lt;D xsi:type="xsd:long"&gt;42235&lt;/D&gt;&lt;D xsi:type="xsd:long"&gt;42234&lt;/D&gt;&lt;D xsi:type="xsd:long"&gt;42233&lt;/D&gt;&lt;D xsi:type="xsd:long"&gt;42230&lt;/D&gt;&lt;D xsi:type="xsd:long"&gt;42229&lt;/D&gt;&lt;D xsi:type="xsd:long"&gt;42228&lt;/D&gt;&lt;D xsi:type="xsd:long"&gt;42227&lt;/D&gt;&lt;D xsi:type="xsd:long"&gt;42226&lt;/D&gt;&lt;D xsi:type="xsd:long"&gt;42223&lt;/D&gt;&lt;D xsi:type="xsd:long"&gt;42222&lt;/D&gt;&lt;D xsi:type="xsd:long"&gt;42221&lt;/D&gt;&lt;D xsi:type="xsd:long"&gt;42220&lt;/D&gt;&lt;D xsi:type="xsd:long"&gt;42219&lt;/D&gt;&lt;D xsi:type="xsd:long"&gt;42216&lt;/D&gt;&lt;D xsi:type="xsd:long"&gt;42215&lt;/D&gt;&lt;D xsi:type="xsd:long"&gt;42214&lt;/D&gt;&lt;D xsi:type="xsd:long"&gt;42213&lt;/D&gt;&lt;D xsi:type="xsd:long"&gt;42212&lt;/D&gt;&lt;D xsi:type="xsd:long"&gt;42209&lt;/D&gt;&lt;D xsi:type="xsd:long"&gt;42208&lt;/D&gt;&lt;D xsi:type="xsd:long"&gt;42207&lt;/D&gt;&lt;D xsi:type="xsd:long"&gt;42206&lt;/D&gt;&lt;D xsi:type="xsd:long"&gt;42205&lt;/D&gt;&lt;D xsi:type="xsd:long"&gt;42202&lt;/D&gt;&lt;D xsi:type="xsd:long"&gt;42201&lt;/D&gt;&lt;D xsi:type="xsd:long"&gt;42200&lt;/D&gt;&lt;D xsi:type="xsd:long"&gt;42199&lt;/D&gt;&lt;D xsi:type="xsd:long"&gt;42198&lt;/D&gt;&lt;D xsi:type="xsd:long"&gt;42195&lt;/D&gt;&lt;D xsi:type="xsd:long"&gt;42194&lt;/D&gt;&lt;D xsi:type="xsd:long"&gt;42193&lt;/D&gt;&lt;D xsi:type="xsd:long"&gt;42192&lt;/D&gt;&lt;D xsi:type="xsd:long"&gt;42191&lt;/D&gt;&lt;D xsi:</t>
        </r>
      </text>
    </comment>
    <comment ref="A3" authorId="0" shapeId="0" xr:uid="{04BDC57F-80E8-49B6-B98E-1086D91D5D82}">
      <text>
        <r>
          <rPr>
            <b/>
            <sz val="9"/>
            <color indexed="81"/>
            <rFont val="Tahoma"/>
            <charset val="1"/>
          </rPr>
          <t>type="xsd:long"&gt;42187&lt;/D&gt;&lt;D xsi:type="xsd:long"&gt;42186&lt;/D&gt;&lt;D xsi:type="xsd:long"&gt;42185&lt;/D&gt;&lt;D xsi:type="xsd:long"&gt;42184&lt;/D&gt;&lt;D xsi:type="xsd:long"&gt;42181&lt;/D&gt;&lt;D xsi:type="xsd:long"&gt;42180&lt;/D&gt;&lt;D xsi:type="xsd:long"&gt;42179&lt;/D&gt;&lt;D xsi:type="xsd:long"&gt;42178&lt;/D&gt;&lt;D xsi:type="xsd:long"&gt;42177&lt;/D&gt;&lt;D xsi:type="xsd:long"&gt;42174&lt;/D&gt;&lt;D xsi:type="xsd:long"&gt;42173&lt;/D&gt;&lt;D xsi:type="xsd:long"&gt;42172&lt;/D&gt;&lt;D xsi:type="xsd:long"&gt;42171&lt;/D&gt;&lt;D xsi:type="xsd:long"&gt;42170&lt;/D&gt;&lt;D xsi:type="xsd:long"&gt;42167&lt;/D&gt;&lt;D xsi:type="xsd:long"&gt;42166&lt;/D&gt;&lt;D xsi:type="xsd:long"&gt;42165&lt;/D&gt;&lt;D xsi:type="xsd:long"&gt;42164&lt;/D&gt;&lt;D xsi:type="xsd:long"&gt;42163&lt;/D&gt;&lt;D xsi:type="xsd:long"&gt;42160&lt;/D&gt;&lt;D xsi:type="xsd:long"&gt;42159&lt;/D&gt;&lt;D xsi:type="xsd:long"&gt;42158&lt;/D&gt;&lt;D xsi:type="xsd:long"&gt;42157&lt;/D&gt;&lt;D xsi:type="xsd:long"&gt;42156&lt;/D&gt;&lt;D xsi:type="xsd:long"&gt;42153&lt;/D&gt;&lt;D xsi:type="xsd:long"&gt;42152&lt;/D&gt;&lt;D xsi:type="xsd:long"&gt;42151&lt;/D&gt;&lt;D xsi:type="xsd:long"&gt;42150&lt;/D&gt;&lt;D xsi:type="xsd:long"&gt;42146&lt;/D&gt;&lt;D xsi:type="xsd:long"&gt;42145&lt;/D&gt;&lt;D xsi:type="xsd:long"&gt;42144&lt;/D&gt;&lt;D xsi:type="xsd:long"&gt;42143&lt;/D&gt;&lt;D xsi:type="xsd:long"&gt;42142&lt;/D&gt;&lt;D xsi:type="xsd:long"&gt;42139&lt;/D&gt;&lt;D xsi:type="xsd:long"&gt;42138&lt;/D&gt;&lt;D xsi:type="xsd:long"&gt;42137&lt;/D&gt;&lt;D xsi:type="xsd:long"&gt;42136&lt;/D&gt;&lt;D xsi:type="xsd:long"&gt;42135&lt;/D&gt;&lt;D xsi:type="xsd:long"&gt;42132&lt;/D&gt;&lt;D xsi:type="xsd:long"&gt;42131&lt;/D&gt;&lt;D xsi:type="xsd:long"&gt;42130&lt;/D&gt;&lt;D xsi:type="xsd:long"&gt;42129&lt;/D&gt;&lt;D xsi:type="xsd:long"&gt;42128&lt;/D&gt;&lt;D xsi:type="xsd:long"&gt;42125&lt;/D&gt;&lt;D xsi:type="xsd:long"&gt;42124&lt;/D&gt;&lt;D xsi:type="xsd:long"&gt;42123&lt;/D&gt;&lt;D xsi:type="xsd:long"&gt;42122&lt;/D&gt;&lt;D xsi:type="xsd:long"&gt;42121&lt;/D&gt;&lt;D xsi:type="xsd:long"&gt;42118&lt;/D&gt;&lt;D xsi:type="xsd:long"&gt;42117&lt;/D&gt;&lt;D xsi:type="xsd:long"&gt;42116&lt;/D&gt;&lt;D xsi:type="xsd:long"&gt;42115&lt;/D&gt;&lt;D xsi:type="xsd:long"&gt;42114&lt;/D&gt;&lt;D xsi:type="xsd:long"&gt;42111&lt;/D&gt;&lt;D xsi:type="xsd:long"&gt;42110&lt;/D&gt;&lt;D xsi:type="xsd:long"&gt;42109&lt;/D&gt;&lt;D xsi:type="xsd:long"&gt;42108&lt;/D&gt;&lt;D xsi:type="xsd:long"&gt;42107&lt;/D&gt;&lt;D xsi:type="xsd:long"&gt;42104&lt;/D&gt;&lt;D xsi:type="xsd:long"&gt;42103&lt;/D&gt;&lt;D xsi:type="xsd:long"&gt;42102&lt;/D&gt;&lt;D xsi:type="xsd:long"&gt;42101&lt;/D&gt;&lt;D xsi:type="xsd:long"&gt;42100&lt;/D&gt;&lt;D xsi:type="xsd:long"&gt;42096&lt;/D&gt;&lt;D xsi:type="xsd:long"&gt;42095&lt;/D&gt;&lt;D xsi:type="xsd:long"&gt;42094&lt;/D&gt;&lt;D xsi:type="xsd:long"&gt;42093&lt;/D&gt;&lt;D xsi:type="xsd:long"&gt;42090&lt;/D&gt;&lt;D xsi:type="xsd:long"&gt;42089&lt;/D&gt;&lt;D xsi:type="xsd:long"&gt;42088&lt;/D&gt;&lt;D xsi:type="xsd:long"&gt;42087&lt;/D&gt;&lt;D xsi:type="xsd:long"&gt;42086&lt;/D&gt;&lt;D xsi:type="xsd:long"&gt;42083&lt;/D&gt;&lt;D xsi:type="xsd:long"&gt;42082&lt;/D&gt;&lt;D xsi:type="xsd:long"&gt;42081&lt;/D&gt;&lt;D xsi:type="xsd:long"&gt;42080&lt;/D&gt;&lt;D xsi:type="xsd:long"&gt;42079&lt;/D&gt;&lt;D xsi:type="xsd:long"&gt;42076&lt;/D&gt;&lt;D xsi:type="xsd:long"&gt;42075&lt;/D&gt;&lt;D xsi:type="xsd:long"&gt;42074&lt;/D&gt;&lt;D xsi:type="xsd:long"&gt;42073&lt;/D&gt;&lt;D xsi:type="xsd:long"&gt;42072&lt;/D&gt;&lt;D xsi:type="xsd:long"&gt;42069&lt;/D&gt;&lt;D xsi:type="xsd:long"&gt;42068&lt;/D&gt;&lt;D xsi:type="xsd:long"&gt;42067&lt;/D&gt;&lt;D xsi:type="xsd:long"&gt;42066&lt;/D&gt;&lt;D xsi:type="xsd:long"&gt;42065&lt;/D&gt;&lt;D xsi:type="xsd:long"&gt;42062&lt;/D&gt;&lt;D xsi:type="xsd:long"&gt;42061&lt;/D&gt;&lt;D xsi:type="xsd:long"&gt;42060&lt;/D&gt;&lt;D xsi:type="xsd:long"&gt;42059&lt;/D&gt;&lt;D xsi:type="xsd:long"&gt;42058&lt;/D&gt;&lt;D xsi:type="xsd:long"&gt;42055&lt;/D&gt;&lt;D xsi:type="xsd:long"&gt;42054&lt;/D&gt;&lt;D xsi:type="xsd:long"&gt;42053&lt;/D&gt;&lt;D xsi:type="xsd:long"&gt;42052&lt;/D&gt;&lt;D xsi:type="xsd:long"&gt;42048&lt;/D&gt;&lt;D xsi:type="xsd:long"&gt;42047&lt;/D&gt;&lt;D xsi:type="xsd:long"&gt;42046&lt;/D&gt;&lt;D xsi:type="xsd:long"&gt;42045&lt;/D&gt;&lt;D xsi:type="xsd:long"&gt;42044&lt;/D&gt;&lt;D xsi:type="xsd:long"&gt;42041&lt;/D&gt;&lt;D xsi:type="xsd:long"&gt;42040&lt;/D&gt;&lt;D xsi:type="xsd:long"&gt;42039&lt;/D&gt;&lt;D xsi:type="xsd:long"&gt;42038&lt;/D&gt;&lt;D xsi:type="xsd:long"&gt;42037&lt;/D&gt;&lt;D xsi:type="xsd:long"&gt;42034&lt;/D&gt;&lt;D xsi:type="xsd:long"&gt;42033&lt;/D&gt;&lt;D xsi:type="xsd:long"&gt;42032&lt;/D&gt;&lt;D xsi:type="xsd:long"&gt;42031&lt;/D&gt;&lt;D xsi:type="xsd:long"&gt;42030&lt;/D&gt;&lt;D xsi:type="xsd:long"&gt;42027&lt;/D&gt;&lt;D xsi:type="xsd:long"&gt;42026&lt;/D&gt;&lt;D xsi:type="xsd:long"&gt;42025&lt;/D&gt;&lt;D xsi:type="xsd:long"&gt;42024&lt;/D&gt;&lt;D xsi:type="xsd:long"&gt;42020&lt;/D&gt;&lt;D xsi:type="xsd:long"&gt;42019&lt;/D&gt;&lt;D xsi:type="xsd:long"&gt;42018&lt;/D&gt;&lt;D xsi:type="xsd:long"&gt;42017&lt;/D&gt;&lt;D xsi:type="xsd:long"&gt;42016&lt;/D&gt;&lt;D xsi:type="xsd:long"&gt;42013&lt;/D&gt;&lt;D xsi:type="xsd:long"&gt;42012&lt;/D&gt;&lt;D xsi:type="xsd:long"&gt;42011&lt;/D&gt;&lt;D xsi:type="xsd:long"&gt;42010&lt;/D&gt;&lt;D xsi:type="xsd:long"&gt;42009&lt;/D&gt;&lt;D xsi:type="xsd:long"&gt;42006&lt;/D&gt;&lt;D xsi:type="xsd:long"&gt;42004&lt;/D&gt;&lt;D xsi:type="xsd:long"&gt;42003&lt;/D&gt;&lt;D xsi:type="xsd:long"&gt;42002&lt;/D&gt;&lt;D xsi:type="xsd:long"&gt;41999&lt;/D&gt;&lt;D xsi:type="xsd:long"&gt;41997&lt;/D&gt;&lt;D xsi:type="xsd:long"&gt;41996&lt;/D&gt;&lt;D xsi:type="xsd:long"&gt;41995&lt;/D&gt;&lt;D xsi:type="xsd:long"&gt;41992&lt;/D&gt;&lt;D xsi:type="xsd:long"&gt;41991&lt;/D&gt;&lt;D xsi:type="xsd:long"&gt;41990&lt;/D&gt;&lt;D xsi:type="xsd:long"&gt;41989&lt;/D&gt;&lt;D xsi:type="xsd:long"&gt;41988&lt;/D&gt;&lt;D xsi:type="xsd:long"&gt;41985&lt;/D&gt;&lt;D xsi:type="xsd:long"&gt;41984&lt;/D&gt;&lt;D xsi:type="xsd:long"&gt;41983&lt;/D&gt;&lt;D xsi:type="xsd:long"&gt;41982&lt;/D&gt;&lt;D xsi:type="xsd:long"&gt;41981&lt;/D&gt;&lt;D xsi:type="xsd:long"&gt;41978&lt;/D&gt;&lt;D xsi:type="xsd:long"&gt;41977&lt;/D&gt;&lt;D xsi:type="xsd:long"&gt;41976&lt;/D&gt;&lt;D xsi:type="xsd:long"&gt;41975&lt;/D&gt;&lt;D xsi:type="xsd:long"&gt;41974&lt;/D&gt;&lt;D xsi:type="xsd:long"&gt;41971&lt;/D&gt;&lt;D xsi:type="xsd:long"&gt;41969&lt;/D&gt;&lt;D xsi:type="xsd:long"&gt;41968&lt;/D&gt;&lt;D xsi:type="xsd:long"&gt;41967&lt;/D&gt;&lt;D xsi:type="xsd:long"&gt;41964&lt;/D&gt;&lt;D xsi:type="xsd:long"&gt;41963&lt;/D&gt;&lt;D xsi:type="xsd:long"&gt;41962&lt;/D&gt;&lt;D xsi:type="xsd:long"&gt;41961&lt;/D&gt;&lt;D xsi:type="xsd:long"&gt;41960&lt;/D&gt;&lt;D xsi:type="xsd:long"&gt;41957&lt;/D&gt;&lt;D xsi:type="xsd:long"&gt;41956&lt;/D&gt;&lt;D xsi:type="xsd:long"&gt;41955&lt;/D&gt;&lt;D xsi:type="xsd:long"&gt;41954&lt;/D&gt;&lt;D xsi:type="xsd:long"&gt;41953&lt;/D&gt;&lt;D xsi:type="xsd:long"&gt;41950&lt;/D&gt;&lt;D xsi:type="xsd:long"&gt;41949&lt;/D&gt;&lt;D xsi:type="xsd:long"&gt;41948&lt;/D&gt;&lt;D xsi:type="xsd:long"&gt;41947&lt;/D&gt;&lt;D xsi:type="xsd:long"&gt;41946&lt;/D&gt;&lt;D xsi:type="xsd:long"&gt;41943&lt;/D&gt;&lt;D xsi:type="xsd:long"&gt;41942&lt;/D&gt;&lt;D xsi:type="xsd:long"&gt;41941&lt;/D&gt;&lt;D xsi:type="xsd:long"&gt;41940&lt;/D&gt;&lt;D xsi:type="xsd:long"&gt;41939&lt;/D&gt;&lt;D xsi:type="xsd:long"&gt;41936&lt;/D&gt;&lt;D xsi:type="xsd:long"&gt;41935&lt;/D&gt;&lt;D xsi:type="xsd:long"&gt;41934&lt;/D&gt;&lt;D xsi:type="xsd:long"&gt;41933&lt;/D&gt;&lt;D xsi:type="xsd:long"&gt;41932&lt;/D&gt;&lt;D xsi:type="xsd:long"&gt;41929&lt;/D&gt;&lt;D xsi:type="xsd:long"&gt;41928&lt;/D&gt;&lt;D xsi:type="xsd:long"&gt;41927&lt;/D&gt;&lt;D xsi:type="xsd:long"&gt;41926&lt;/D&gt;&lt;D xsi:type="xsd:long"&gt;41925&lt;/D&gt;&lt;D xsi:type="xsd:long"&gt;41922&lt;/D&gt;&lt;D xsi:type="xsd:long"&gt;41921&lt;/D&gt;&lt;D xsi:type="xsd:long"&gt;41920&lt;/D&gt;&lt;D xsi:type="xsd:long"&gt;41919&lt;/D&gt;&lt;D xsi:type="xsd:long"&gt;41918&lt;/D&gt;&lt;D xsi:type="xsd:long"&gt;41915&lt;/D&gt;&lt;D xsi:type="xsd:long"&gt;41914&lt;/D&gt;&lt;D xsi:type="xsd:long"&gt;41913&lt;/D&gt;&lt;D xsi:type="xsd:long"&gt;41912&lt;/D&gt;&lt;D xsi:type="xsd:long"&gt;41911&lt;/D&gt;&lt;D xsi:type="xsd:long"&gt;41908&lt;/D&gt;&lt;D xsi:type="xsd:long"&gt;41907&lt;/D&gt;&lt;D xsi:type="xsd:long"&gt;41906&lt;/D&gt;&lt;D xsi:type="xsd:long"&gt;41905&lt;/D&gt;&lt;D xsi:type="xsd:long"&gt;41904&lt;/D&gt;&lt;D xsi:type="xsd:long"&gt;41901&lt;/D&gt;&lt;D xsi:type="xsd:long"&gt;41900&lt;/D&gt;&lt;D xsi:type="xsd:long"&gt;41899&lt;/D&gt;&lt;D xsi:type="xsd:long"&gt;41898&lt;/D&gt;&lt;D xsi:type="xsd:long"&gt;41897&lt;/D&gt;&lt;D xsi:type="xsd:long"&gt;41894&lt;/D&gt;&lt;D xsi:type="xsd:long"&gt;41893&lt;/D&gt;&lt;D xsi:type="xsd:long"&gt;41892&lt;/D&gt;&lt;D xsi:type="xsd:long"&gt;41891&lt;/D&gt;&lt;D xsi:type="xsd:long"&gt;41890&lt;/D&gt;&lt;D xsi:type="xsd:long"&gt;41887&lt;/D&gt;&lt;D xsi:type="xsd:long"&gt;41886&lt;/D&gt;&lt;D xsi:type="xsd:long"&gt;41885&lt;/D&gt;&lt;D xsi:type="xsd:long"&gt;41884&lt;/D&gt;&lt;D xsi:type="xsd:long"&gt;41880&lt;/D&gt;&lt;D xsi:type="xsd:long"&gt;41879&lt;/D&gt;&lt;D xsi:type="xsd:long"&gt;41878&lt;/D&gt;&lt;D xsi:type="xsd:long"&gt;41877&lt;/D&gt;&lt;D xsi:type="xsd:long"&gt;41876&lt;/D&gt;&lt;D xsi:type="xsd:long"&gt;41873&lt;/D&gt;&lt;D xsi:type="xsd:long"&gt;41872&lt;/D&gt;&lt;D xsi:type="xsd:long"&gt;41871&lt;/D&gt;&lt;D xsi:type="xsd:long"&gt;41870&lt;/D&gt;&lt;D xsi:type="xsd:long"&gt;41869&lt;/D&gt;&lt;D xsi:type="xsd:long"&gt;41866&lt;/D&gt;&lt;D xsi:type="xsd:long"&gt;41865&lt;/D&gt;&lt;D xsi:type="xsd:long"&gt;41864&lt;/D&gt;&lt;D xsi:type="xsd:long"&gt;41863&lt;/D&gt;&lt;D xsi:type="xsd:long"&gt;41862&lt;/D&gt;&lt;D xsi:type="xsd:long"&gt;41859&lt;/D&gt;&lt;D xsi:type="xsd:long"&gt;41858&lt;/D&gt;&lt;D xsi:type="xsd:long"&gt;41857&lt;/D&gt;&lt;D xsi:type="xsd:long"&gt;41856&lt;/D&gt;&lt;D xsi:type="xsd:long"&gt;41855&lt;/D&gt;&lt;D xsi:type="xsd:long"&gt;41852&lt;/D&gt;&lt;D xsi:type="xsd:long"&gt;41851&lt;/D&gt;&lt;D xsi:type="xsd:long"&gt;41850&lt;/D&gt;&lt;D xsi:type="xsd:long"&gt;41849&lt;/D&gt;&lt;D xsi:type="xsd:long"&gt;41848&lt;/D&gt;&lt;D xsi:type="xsd:long"&gt;41845&lt;/D&gt;&lt;D xsi:type="xsd:long"&gt;41844&lt;/D&gt;&lt;D xsi:type="xsd:long"&gt;41843&lt;/D&gt;&lt;D xsi:type="xsd:long"&gt;41842&lt;/D&gt;&lt;D xsi:type="xsd:long"&gt;41841&lt;/D&gt;&lt;D xsi:type="xsd:long"&gt;41838&lt;/D&gt;&lt;D xsi:type="xsd:long"&gt;41837&lt;/D&gt;&lt;D xsi:type="xsd:long"&gt;41836&lt;/D&gt;&lt;D xsi:type="xsd:long"&gt;41835&lt;/D&gt;&lt;D xsi:type="xsd:long"&gt;41834&lt;/D&gt;&lt;D xsi:type="xsd:long"&gt;41831&lt;/D&gt;&lt;D xsi:type="xsd:long"&gt;41830&lt;/D&gt;&lt;D xsi:type="xsd:long"&gt;41829&lt;/D&gt;&lt;D xsi:type="xsd:long"&gt;41828&lt;/D&gt;&lt;D xsi:type="xsd:long"&gt;41827&lt;/D&gt;&lt;D xsi:type="xsd:long"&gt;41823&lt;/D&gt;&lt;D xsi:type="xsd:long"&gt;41822&lt;/D&gt;&lt;D xsi:type="xsd:long"&gt;41821&lt;/D&gt;&lt;D xsi:type="xsd:long"&gt;41820&lt;/D&gt;&lt;D xsi:type="xsd:long"&gt;41817&lt;/D&gt;&lt;D xsi:type="xsd:long"&gt;41816&lt;/D&gt;&lt;D xsi:type="xsd:long"&gt;41815&lt;/D&gt;&lt;D xsi:type="xsd:long"&gt;41814&lt;/D&gt;&lt;D xsi:type="xsd:long"&gt;41813&lt;/D&gt;&lt;D xsi:type="xsd:long"&gt;41810&lt;/D&gt;&lt;D xsi:type="xsd:long"&gt;41809&lt;/D&gt;&lt;D xsi:type="xsd:long"&gt;41808&lt;/D&gt;&lt;D xsi:type="xsd:long"&gt;41807&lt;/D&gt;&lt;D xsi:type="xsd:long"&gt;41806&lt;/D&gt;&lt;D xsi:type="xsd:long"&gt;41803&lt;/D&gt;&lt;D xsi:type="xsd:long"&gt;41802&lt;/D&gt;&lt;D xsi:type="xsd:long"&gt;41801&lt;/D&gt;&lt;D xsi:type="xsd:long"&gt;41800&lt;/D&gt;&lt;D xsi:type="xsd:long"&gt;41799&lt;/D&gt;&lt;D xsi:type="xsd:long"&gt;41796&lt;/D&gt;&lt;D xsi:type="xsd:long"&gt;41795&lt;/D&gt;&lt;D xsi:type="xsd:long"&gt;41794&lt;/D&gt;&lt;D xsi:type="xsd:long"&gt;41793&lt;/D&gt;&lt;D xsi:type="xsd:long"&gt;41792&lt;/D&gt;&lt;D xsi:type="xsd:long"&gt;41789&lt;/D&gt;&lt;D xsi:type="xsd:long"&gt;41788&lt;/D&gt;&lt;D xsi:type="xsd:long"&gt;41787&lt;/D&gt;&lt;D xsi:type="xsd:long"&gt;41786&lt;/D&gt;&lt;D xsi:type="xsd:long"&gt;41782&lt;/D&gt;&lt;D xsi:type="xsd:long"&gt;41781&lt;/D&gt;&lt;D xsi:type="xsd:long"&gt;41780&lt;/D&gt;&lt;D xsi:type="xsd:long"&gt;41779&lt;/D&gt;&lt;D xsi:type="xsd:long"&gt;41778&lt;/D&gt;&lt;D xsi:type="xsd:long"&gt;41775&lt;/D&gt;&lt;D xsi:type="xsd:long"&gt;41774&lt;/D&gt;&lt;D xsi:type="xsd:long"&gt;41773&lt;/D&gt;&lt;D xsi:type="xsd:long"&gt;41772&lt;/D&gt;&lt;D xsi:type="xsd:long"&gt;41771&lt;/D&gt;&lt;D xsi:type="xsd:long"&gt;41768&lt;/D&gt;&lt;D xsi:type="xsd:long"&gt;41767&lt;/D&gt;&lt;D xsi:type="xsd:long"&gt;41766&lt;/D&gt;&lt;D xsi:type="xsd:long"&gt;41765&lt;/D&gt;&lt;D xsi:type="xsd:long"&gt;41764&lt;/D&gt;&lt;D xsi:type="xsd:long"&gt;41761&lt;/D&gt;&lt;D xsi:type="xsd:long"&gt;41760&lt;/D&gt;&lt;D xsi:type="xsd:long"&gt;41759&lt;/D&gt;&lt;D xsi:type="xsd:long"&gt;41758&lt;/D&gt;&lt;D xsi:type="xsd:long"&gt;41757&lt;/D&gt;&lt;D xsi:type="xsd:long"&gt;41754&lt;/D&gt;&lt;D xsi:type="xsd:long"&gt;41753&lt;/D&gt;&lt;D xsi:type="xsd:long"&gt;41752&lt;/D&gt;&lt;D xsi:type="xsd:long"&gt;41751&lt;/D&gt;&lt;D xsi:type="xsd:long"&gt;41750&lt;/D&gt;&lt;D xsi:type="xsd:long"&gt;41746&lt;/D&gt;&lt;D xsi:type="xsd:long"&gt;41745&lt;/D&gt;&lt;D xsi:type="xsd:long"&gt;41744&lt;/D&gt;&lt;D xsi:type="xsd:long"&gt;41743&lt;/D&gt;&lt;D xsi:type="xsd:long"&gt;41740&lt;/D&gt;&lt;D xsi:type="xsd:long"&gt;41739&lt;/D&gt;&lt;D xsi:type="xsd:long"&gt;41738&lt;/D&gt;&lt;D xsi:type="xsd:long"&gt;41737&lt;/D&gt;&lt;D xsi:type="xsd:long"&gt;41736&lt;/D&gt;&lt;D xsi:type="xsd:long"&gt;41733&lt;/D&gt;&lt;D xsi:type="xsd:long"&gt;41732&lt;/D&gt;&lt;D xsi:type="xsd:long"&gt;41731&lt;/D&gt;&lt;D xsi:type="xsd:long"&gt;41730&lt;/D&gt;&lt;D xsi:type="xsd:long"&gt;41729&lt;/D&gt;&lt;D xsi:type="xsd:long"&gt;41726&lt;/D&gt;&lt;D xsi:type="xsd:long"&gt;41725&lt;/D&gt;&lt;D xsi:type="xsd:long"&gt;41724&lt;/D&gt;&lt;D xsi:type="xsd:long"&gt;41723&lt;/D&gt;&lt;D xsi:type="xsd:long"&gt;41722&lt;/D&gt;&lt;D xsi:type="xsd:long"&gt;41719&lt;/D&gt;&lt;D xsi:type="xsd:long"&gt;41718&lt;/D&gt;&lt;D xsi:type="xsd:long"&gt;41717&lt;/D&gt;&lt;D xsi:type="xsd:long"&gt;41716&lt;/D&gt;&lt;D xsi:type="xsd:long"&gt;41715&lt;/D&gt;&lt;D xsi:type="xsd:long"&gt;41712&lt;/D&gt;&lt;D xsi:type="xsd:long"&gt;41711&lt;/D&gt;&lt;D xsi:type="xsd:long"&gt;41710&lt;/D&gt;&lt;D xsi:type="xsd:long"&gt;41709&lt;/D&gt;&lt;D xsi:type="xsd:long"&gt;41708&lt;/D&gt;&lt;D xsi:type="xsd:long"&gt;41705&lt;/D&gt;&lt;D xsi:type="xsd:long"&gt;41704&lt;/D&gt;&lt;D xsi:type="xsd:long"&gt;41703&lt;/D&gt;&lt;D xsi:type="xsd:long"&gt;41702&lt;/D&gt;&lt;D xsi:type="xsd:long"&gt;41701&lt;/D&gt;&lt;D xsi:type="xsd:long"&gt;41698&lt;/D&gt;&lt;D xsi:type="xsd:long"&gt;41697&lt;/D&gt;&lt;D xsi:type="xsd:long"&gt;41696&lt;/D&gt;&lt;D xsi:type="xsd:long"&gt;41695&lt;/D&gt;&lt;D xsi:type="xsd:long"&gt;41694&lt;/D&gt;&lt;D xsi:type="xsd:long"&gt;41691&lt;/D&gt;&lt;D xsi:type="xsd:long"&gt;41690&lt;/D&gt;&lt;D xsi:type="xsd:long"&gt;41689&lt;/D&gt;&lt;D xsi:type="xsd:long"&gt;41688&lt;/D&gt;&lt;D xsi:type="xsd:long"&gt;41684&lt;/D&gt;&lt;D xsi:type="xsd:long"&gt;41683&lt;/D&gt;&lt;D xsi:type="xsd:long"&gt;41682&lt;/D&gt;&lt;D xsi:type="xsd:long"&gt;41681&lt;/D&gt;&lt;D xsi:type="xsd:long"&gt;41680&lt;/D&gt;&lt;D xsi:type="xsd:long"&gt;41677&lt;/D&gt;&lt;D xsi:type="xsd:long"&gt;41676&lt;/D&gt;&lt;D xsi:type="xsd:long"&gt;41675&lt;/D&gt;&lt;D xsi:type="xsd:long"&gt;41674&lt;/D&gt;&lt;D xsi:type="xsd:long"&gt;41673&lt;/D&gt;&lt;D xsi:type="xsd:long"&gt;41670&lt;/D&gt;&lt;D xsi:type="xsd:long"&gt;41669&lt;/D&gt;&lt;D xsi:type="xsd:long"&gt;41668&lt;/D&gt;&lt;D xsi:type="xsd:long"&gt;41667&lt;/D&gt;&lt;D xsi:type="xsd:long"&gt;41666&lt;/D&gt;&lt;D xsi:type="xsd:long"&gt;41663&lt;/D&gt;&lt;D xsi:type="xsd:long"&gt;41662&lt;/D&gt;&lt;D xsi:type="xsd:long"&gt;41661&lt;/D&gt;&lt;D xsi:type="xsd:long"&gt;41660&lt;/D&gt;&lt;D xsi:type="xsd:long"&gt;41656&lt;/D&gt;&lt;D xsi:type="xsd:long"&gt;41655&lt;/D&gt;&lt;D xsi:type="xsd:long"&gt;41654&lt;/D&gt;&lt;D xsi:type="xsd:long"&gt;41653&lt;/D&gt;&lt;D xsi:type="xsd:long"&gt;41652&lt;/D&gt;&lt;D xsi:type="xsd:long"&gt;41649&lt;/D&gt;&lt;D xsi:type="xsd:long"&gt;41648&lt;/D&gt;&lt;D xsi:type="xsd:long"&gt;41647&lt;/D&gt;&lt;D xsi:type="xsd:long"&gt;41646&lt;/D&gt;&lt;D xsi:type="xsd:long"&gt;41645&lt;/D&gt;&lt;D xsi:type="xsd:long"&gt;41642&lt;/D&gt;&lt;D xsi:type="xsd:long"&gt;41641&lt;/D&gt;&lt;D xsi:type="xsd:long"&gt;41639&lt;/D&gt;&lt;D xsi:type="xsd:long"&gt;41638&lt;/D&gt;&lt;D xsi:type="xsd:long"&gt;41635&lt;/D&gt;&lt;D xsi:type="xsd:long"&gt;41634&lt;/D&gt;&lt;D xsi:type="xsd:long"&gt;41632&lt;/D&gt;&lt;D xsi:type="xsd:long"&gt;41631&lt;/D&gt;&lt;D xsi:type="xsd:long"&gt;41628&lt;/D&gt;&lt;D xsi:type="xsd:long"&gt;41627&lt;/D&gt;&lt;D xsi:type="xsd:long"&gt;41626&lt;/D&gt;&lt;D xsi:type="xsd:long"&gt;41625&lt;/D&gt;&lt;D xsi:type="xsd:long"&gt;41624&lt;/D&gt;&lt;D xsi:type="xsd:long"&gt;41621&lt;/D&gt;&lt;D xsi:type="xsd:long"&gt;41620&lt;/D&gt;&lt;D xsi:type="xsd:long"&gt;41619&lt;/D&gt;&lt;D xsi:type="xsd:long"&gt;41618&lt;/D&gt;&lt;D xsi:type="xsd:long"&gt;41617&lt;/D&gt;&lt;D xsi:type="xsd:long"&gt;41614&lt;/D&gt;&lt;D xsi:type="xsd:long"&gt;41613&lt;/D&gt;&lt;D xsi:type="xsd:long"&gt;41612&lt;/D&gt;&lt;D xsi:type="xsd:long"&gt;41611&lt;/D&gt;&lt;D xsi:type="xsd:long"&gt;41610&lt;/D&gt;&lt;D xsi:type="xsd:long"&gt;41607&lt;/D&gt;&lt;D xsi:type="xsd:long"&gt;41605&lt;/D&gt;&lt;D xsi:type="xsd:long"&gt;41604&lt;/D&gt;&lt;D xsi:type="xsd:long"&gt;41603&lt;/D&gt;&lt;D xsi:type="xsd:long"&gt;41600&lt;/D&gt;&lt;D xsi:type="xsd:long"&gt;41599&lt;/D&gt;&lt;D xsi:type="xsd:long"&gt;41598&lt;/D&gt;&lt;D xsi:type="xsd:long"&gt;41597&lt;/D&gt;&lt;D xsi:type="xsd:long"&gt;41596&lt;/D&gt;&lt;D xsi:type="xsd:long"&gt;41593&lt;/D&gt;&lt;D xsi:type="xsd:long"&gt;41592&lt;/D&gt;&lt;D xsi:type="xsd:long"&gt;41591&lt;/D&gt;&lt;D xsi:type="xsd:long"&gt;41590&lt;/D&gt;&lt;D xsi:type="xsd:long"&gt;41589&lt;/D&gt;&lt;D xsi:type="xsd:long"&gt;41586&lt;/D&gt;&lt;D xsi:type="xsd:long"&gt;41585&lt;/D&gt;&lt;D xsi:type="xsd:long"&gt;41584&lt;/D&gt;&lt;D xsi:type="xsd:long"&gt;41583&lt;/D&gt;&lt;D xsi:type="xsd:long"&gt;41582&lt;/D&gt;&lt;D xsi:type="xsd:long"&gt;41579&lt;/D&gt;&lt;D xsi:type="xsd:long"&gt;41578&lt;/D&gt;&lt;D xsi:type="xsd:long"&gt;41577&lt;/D&gt;&lt;D xsi:type="xsd:long"&gt;41576&lt;/D&gt;&lt;D xsi:type="xsd:long"&gt;41575&lt;/D&gt;&lt;D xsi:type="xsd:long"&gt;41572&lt;/D&gt;&lt;D xsi:type="xsd:long"&gt;41571&lt;/D&gt;&lt;D xsi:type="xsd:long"&gt;41570&lt;/D&gt;&lt;D xsi:type="xsd:long"&gt;41569&lt;/D&gt;&lt;D xsi:type="xsd:long"&gt;41568&lt;/D&gt;&lt;D xsi:type="xsd:long"&gt;41565&lt;/D&gt;&lt;D xsi:type="xsd:long"&gt;41564&lt;/D&gt;&lt;D xsi:type="xsd:long"&gt;41563&lt;/D&gt;&lt;D xsi:type="xsd:long"&gt;41562&lt;/D&gt;&lt;D xsi:type="xsd:long"&gt;41561&lt;/D&gt;&lt;D xsi:type="xsd:long"&gt;41558&lt;/D&gt;&lt;D xsi:type="xsd:long"&gt;41557&lt;/D&gt;&lt;D xsi:type="xsd:long"&gt;41556&lt;/D&gt;&lt;D xsi:type="xsd:long"&gt;41555&lt;/D&gt;&lt;D xsi:type="xsd:long"&gt;41554&lt;/D&gt;&lt;D xsi:type="xsd:long"&gt;41551&lt;/D&gt;&lt;D xsi:type="xsd:long"&gt;41550&lt;/D&gt;&lt;D xsi:type="xsd:long"&gt;41549&lt;/D&gt;&lt;D xsi:type="xsd:long"&gt;41548&lt;/D&gt;&lt;D xsi:type="xsd:long"&gt;41547&lt;/D&gt;&lt;D xsi:type="xsd:long"&gt;41544&lt;/D&gt;&lt;D xsi:type="xsd:long"&gt;41543&lt;/D&gt;&lt;D xsi:type="xsd:long"&gt;41542&lt;/D&gt;&lt;D xsi:type="xsd:long"&gt;41541&lt;/D&gt;&lt;D xsi:type="xsd:long"&gt;41540&lt;/D&gt;&lt;D xsi:type="xsd:long"&gt;41537&lt;/D&gt;&lt;D xsi:type="xsd:long"&gt;41536&lt;/D&gt;&lt;D xsi:type="xsd:long"&gt;41535&lt;/D&gt;&lt;D xsi:type="xsd:long"&gt;41534&lt;/D&gt;&lt;D xsi:type="xsd:long"&gt;41533&lt;/D&gt;&lt;D xsi:type="xsd:long"&gt;41530&lt;/D&gt;&lt;D xsi:type="xsd:long"&gt;41529&lt;/D&gt;&lt;D xsi:type="xsd:long"&gt;41528&lt;/D&gt;&lt;D xsi:type="xsd:long"&gt;41527&lt;/D&gt;&lt;D xsi:type="xsd:long"&gt;41526&lt;/D&gt;&lt;D xsi:type="xsd:long"&gt;41523&lt;/D&gt;&lt;D xsi:type="xsd:long"&gt;41522&lt;/D&gt;&lt;D xsi:type="xsd:long"&gt;41521&lt;/D&gt;&lt;D xsi:type="xsd:long"&gt;41520&lt;/D&gt;&lt;D xsi:type="xsd:long"&gt;41516&lt;/D&gt;&lt;D xsi:type="xsd:long"&gt;41515&lt;/D&gt;&lt;D xsi:type="xsd:long"&gt;41514&lt;/D&gt;&lt;D xsi:type="xsd:long"&gt;41513&lt;/D&gt;&lt;D xsi:type="xsd:long"&gt;41512&lt;/D&gt;&lt;D xsi:type="xsd:long"&gt;41509&lt;/D&gt;&lt;D xsi:type="xsd:long"&gt;41508&lt;/D&gt;&lt;D xsi:type="xsd:long"&gt;41507&lt;/D&gt;&lt;D xsi:type="xsd:long"&gt;41506&lt;/D&gt;&lt;D xsi:type="xsd:long"&gt;41505&lt;/D&gt;&lt;D xsi:type="xsd:long"&gt;41502&lt;/D&gt;&lt;D xsi:type="xsd:long"&gt;41501&lt;/D&gt;&lt;D xsi:type="xsd:long"&gt;41500&lt;/D&gt;&lt;D xsi:type="xsd:long"&gt;41499&lt;/D&gt;&lt;D xsi:type="xsd:long"&gt;41498&lt;/D&gt;&lt;D xsi:type="xsd:long"&gt;41495&lt;/D&gt;&lt;D xsi:type="xsd:long"&gt;41494&lt;/D&gt;&lt;D xsi:type="xsd:long"&gt;41493&lt;/D&gt;&lt;D xsi:type="xsd:long"&gt;41492&lt;/D&gt;&lt;D xsi:type="xsd:long"&gt;41491&lt;/D&gt;&lt;D xsi:type="xsd:long"&gt;41488&lt;/D&gt;&lt;D xsi:type="xsd:long"&gt;41487&lt;/D&gt;&lt;D xsi:type="xsd:long"&gt;41486&lt;/D&gt;&lt;D xsi:type="xsd:long"&gt;41485&lt;/D&gt;&lt;D xsi:type="xsd:long"&gt;41484&lt;/D&gt;&lt;D xsi:type="xsd:long"&gt;41481&lt;/D&gt;&lt;D xsi:type="xsd:long"&gt;41480&lt;/D&gt;&lt;D xsi:type="xsd:long"&gt;41479&lt;/D&gt;&lt;D xsi:type="xsd:long"&gt;41478&lt;/D&gt;&lt;D xsi:type="xsd:long"&gt;41477&lt;/D&gt;&lt;D xsi:type="xsd:long"&gt;41474&lt;/D&gt;&lt;D xsi:type="xsd:long"&gt;41473&lt;/D&gt;&lt;D xsi:type="xsd:long"&gt;41472&lt;/D&gt;&lt;D xsi:type="xsd:long"&gt;41471&lt;/D&gt;&lt;D xsi:type="xsd:long"&gt;41470&lt;/D&gt;&lt;D xsi:type="xsd:long"&gt;41467&lt;/D&gt;&lt;D xsi:type="xsd:long"&gt;41466&lt;/D&gt;&lt;D xsi:type="xsd:long"&gt;41465&lt;/D&gt;&lt;D xsi:type="xsd:long"&gt;41464&lt;/D&gt;&lt;D xsi:type="xsd:long"&gt;41463&lt;/D&gt;&lt;D xsi:type="xsd:long"&gt;41460&lt;/D&gt;&lt;D xsi:type="xsd:long"&gt;41458&lt;/D&gt;&lt;D xsi:type="xsd:long"&gt;41457&lt;/D&gt;&lt;D xsi:type="xsd:long"&gt;41456&lt;/D&gt;&lt;D xsi:type="xsd:long"&gt;41453&lt;/D&gt;&lt;D xsi:type="xsd:long"&gt;41452&lt;/D&gt;&lt;D xsi:type="xsd:long"&gt;41451&lt;/D&gt;&lt;D xsi:type="xsd:long"&gt;41450&lt;/D&gt;&lt;D xsi:type="xsd:long"&gt;41449&lt;/D&gt;&lt;D xsi:type="xsd:long"&gt;41446&lt;/D&gt;&lt;D xsi:type="xsd:long"&gt;41445&lt;/D&gt;&lt;D xsi:type="xsd:long"&gt;41444&lt;/D&gt;&lt;D xsi:type="xsd:long"&gt;41443&lt;/D&gt;&lt;D xsi:type="xsd:long"&gt;41442&lt;/D&gt;&lt;D xsi:type="xsd:long"&gt;41439&lt;/D&gt;&lt;D xsi:type="xsd:long"&gt;41438&lt;/D&gt;&lt;D xsi:type="xsd:long"&gt;41437&lt;/D&gt;&lt;D xsi:type="xsd:long"&gt;41436&lt;/D&gt;&lt;D xsi:type="xsd:long"&gt;41435&lt;/D&gt;&lt;D xsi:type="xsd:long"&gt;41432&lt;/D&gt;&lt;D xsi:type="xsd:long"&gt;41431&lt;/D&gt;&lt;D xsi:type="xsd:long"&gt;41430&lt;/D&gt;&lt;D xsi:type="xsd:long"&gt;41429&lt;/D&gt;&lt;D xsi:type="xsd:long"&gt;41428&lt;/D&gt;&lt;D xsi:type="xsd:long"&gt;41425&lt;/D&gt;&lt;D xsi:type="xsd:long"&gt;41424&lt;/D&gt;&lt;D xsi:type="xsd:long"&gt;41423&lt;/D&gt;&lt;D xsi:type="xsd:long"&gt;41422&lt;/D&gt;&lt;D xsi:type="xsd:long"&gt;41418&lt;/D&gt;&lt;D xsi:type="xsd:long"&gt;41417&lt;/D&gt;&lt;D xsi:type="xsd:long"&gt;41416&lt;/D&gt;&lt;D xsi:type="xsd:long"&gt;41415&lt;/D&gt;&lt;D xsi:type="xsd:long"&gt;41414&lt;/D&gt;&lt;D xsi:type="xsd:long"&gt;41411&lt;/D&gt;&lt;D xsi:type="xsd:long"&gt;41410&lt;/D&gt;&lt;D xsi:type="xsd:long"&gt;41409&lt;/D&gt;&lt;D xsi:type="xsd:long"&gt;41408&lt;/D&gt;&lt;D xsi:type="xsd:long"&gt;41407&lt;/D&gt;&lt;D xsi:type="xsd:long"&gt;41404&lt;/D&gt;&lt;D xsi:type="xsd:long"&gt;41403&lt;/D&gt;&lt;D xsi:type="xsd:long"&gt;41402&lt;/D&gt;&lt;D xsi:type="xsd:long"&gt;41401&lt;/D&gt;&lt;D xsi:type="xsd:long"&gt;41400&lt;/D&gt;&lt;D xsi:type="xsd:long"&gt;41397&lt;/D&gt;&lt;D xsi:type="xsd:long"&gt;41396&lt;/D&gt;&lt;D xsi:type="xsd:long"&gt;41395&lt;/D&gt;&lt;D xsi:type="xsd:long"&gt;41394&lt;/D&gt;&lt;D xsi:type="xsd:long"&gt;41393&lt;/D&gt;&lt;D xsi:type="xsd:long"&gt;41390&lt;/D&gt;&lt;D xsi:type="xsd:long"&gt;41389&lt;/D&gt;&lt;D xsi:type="xsd:long"&gt;41388&lt;/D&gt;&lt;D xsi:type="xsd:long"&gt;41387&lt;/D&gt;&lt;D xsi:type="xsd:long"&gt;41386&lt;/D&gt;&lt;D xsi:type="xsd:long"&gt;41383&lt;/D&gt;&lt;D xsi:type="xsd:long"&gt;41382&lt;/D&gt;&lt;D xsi:type="xsd:long"&gt;41381&lt;/D&gt;&lt;D xsi:type="xsd:long"&gt;41380&lt;/D&gt;&lt;D xsi:type="xsd:long"&gt;41379&lt;/D&gt;&lt;D xsi:type="xsd:long"&gt;41376&lt;/D&gt;&lt;D xsi:type="xsd:long"&gt;41375&lt;/D&gt;&lt;D xsi:type="xsd:long"&gt;41374&lt;/D&gt;&lt;D xsi:type="xsd:long"&gt;41373&lt;/D&gt;&lt;D xsi:type="xsd:long"&gt;41372&lt;/D&gt;&lt;D xsi:type="xsd:long"&gt;41369&lt;/D&gt;&lt;D xsi:type="xsd:long"&gt;41368&lt;/D&gt;&lt;D xsi:type="xsd:long"&gt;41367&lt;/D&gt;&lt;D xsi:type="xsd:long"&gt;41366&lt;/D&gt;&lt;D xsi:type="xsd:long"&gt;41365&lt;/D&gt;&lt;D xsi:type="xsd:long"&gt;41361&lt;/D&gt;&lt;D xsi:type="xsd:long"&gt;41360&lt;/D&gt;&lt;D xsi:type="xsd:long"&gt;41359&lt;/D&gt;&lt;D xsi:type="xsd:long"&gt;41358&lt;/D&gt;&lt;D xsi:type="xsd:long"&gt;41355&lt;/D&gt;&lt;D xsi:type="xsd:long"&gt;41354&lt;/D&gt;&lt;D xsi:type="xsd:long"&gt;41353&lt;/D&gt;&lt;D xsi:type="xsd:long"&gt;41352&lt;/D&gt;&lt;D xsi:type="xsd:long"&gt;41351&lt;/D&gt;&lt;D xsi:type="xsd:long"&gt;41348&lt;/D&gt;&lt;D xsi:type="xsd:long"&gt;41347&lt;/D&gt;&lt;D xsi:type="xsd:long"&gt;41346&lt;/D&gt;&lt;D xsi:type="xsd:long"&gt;41345&lt;/D&gt;&lt;D xsi:type="xsd:long"&gt;41344&lt;/D&gt;&lt;D xsi:type="xsd:long"&gt;41341&lt;/D&gt;&lt;D xsi:type="xsd:long"&gt;41340&lt;/D&gt;&lt;D xsi:type="xsd:long"&gt;41339&lt;/D&gt;&lt;D xsi:type="xsd:long"&gt;41338&lt;/D&gt;&lt;D xsi:type="xsd:long"&gt;41337&lt;/D&gt;&lt;D xsi:type="xsd:long"&gt;41334&lt;/D&gt;&lt;D xsi:type="xsd:long"&gt;41333&lt;/D&gt;&lt;D xsi:type="xsd:long"&gt;41332&lt;/D&gt;&lt;D xsi:type="xsd:long"&gt;41331&lt;/D&gt;&lt;D xsi:type="xsd:long"&gt;41330&lt;/D&gt;&lt;D xsi:type="xsd:long"&gt;41327&lt;/D&gt;&lt;D xsi:type="xsd:long"&gt;41326&lt;/D&gt;&lt;D xsi:type="xsd:long"&gt;41325&lt;/D&gt;&lt;D xsi:type="xsd:long"&gt;41324&lt;/D&gt;&lt;D xsi:type="xsd:long"&gt;41320&lt;/D&gt;&lt;D xsi:type="xsd:long"&gt;41319&lt;/D&gt;&lt;D xsi:type="xsd:long"&gt;41318&lt;/D&gt;&lt;D xsi:type="xsd:long"&gt;41317&lt;/D&gt;&lt;D xsi:type="xsd:long"&gt;41316&lt;/D&gt;&lt;D xsi:type="xsd:long"&gt;41313&lt;/D&gt;&lt;D xsi:type="xsd:long"&gt;41312&lt;/D&gt;&lt;D xsi:type="xsd:long"&gt;41311&lt;/D&gt;&lt;D xsi:type="xsd:long"&gt;41310&lt;/D&gt;&lt;D xsi:type="xsd:long"&gt;41309&lt;/D&gt;&lt;D xsi:type="xsd:long"&gt;41306&lt;/D&gt;&lt;D xsi:type="xsd:long"&gt;41305&lt;/D&gt;&lt;D xsi:type="xsd:long"&gt;41304&lt;/D&gt;&lt;D xsi:type="xsd:long"&gt;41303&lt;/D&gt;&lt;D xsi:type="xsd:long"&gt;41302&lt;/D&gt;&lt;D xsi:type="xsd:long"&gt;41299&lt;/D&gt;&lt;D xsi:type="xsd:long"&gt;41298&lt;/D&gt;&lt;D xsi:type="xsd:long"&gt;41297&lt;/D&gt;&lt;D xsi:type="xsd:long"&gt;41296&lt;/D&gt;&lt;D xsi:type="xsd:long"&gt;41292&lt;/D&gt;&lt;D xsi:type="xsd:long"&gt;41291&lt;/D&gt;&lt;D xsi:type="xsd:long"&gt;41290&lt;/D&gt;&lt;D xsi:type="xsd:long"&gt;41289&lt;/D&gt;&lt;D xsi:type="xsd:long"&gt;41288&lt;/D&gt;&lt;D xsi:type="xsd:long"&gt;41285&lt;/D&gt;&lt;D xsi:type="xsd:long"&gt;41284&lt;/D&gt;&lt;D xsi:type="xsd:long"&gt;41283&lt;/D&gt;&lt;D xsi:type="xsd:long"&gt;41282&lt;/D&gt;&lt;D xsi:type="xsd:long"&gt;41281&lt;/D&gt;&lt;D xsi:type="xsd:long"&gt;41278&lt;/D&gt;&lt;D xsi:type="xsd:long"&gt;41277&lt;/D&gt;&lt;D xsi:type="xsd:long"&gt;41276&lt;/D&gt;&lt;D xsi:type="xsd:long"&gt;41274&lt;/D&gt;&lt;D xsi:type="xsd:long"&gt;41271&lt;/D&gt;&lt;D xsi:type="xsd:long"&gt;41270&lt;/D&gt;&lt;D xsi:type="xsd:long"&gt;41269&lt;/D&gt;&lt;D xsi:type="xsd:long"&gt;41267&lt;/D&gt;&lt;D xsi:type="xsd:long"&gt;41264&lt;/D&gt;&lt;D xsi:type="xsd:long"&gt;41263&lt;/D&gt;&lt;D xsi:type="xsd:long"&gt;41262&lt;/D&gt;&lt;D xsi:type="xsd:long"&gt;41261&lt;/D&gt;&lt;D xsi:type="xsd:long"&gt;41260&lt;/D&gt;&lt;D xsi:type="xsd:long"&gt;41257&lt;/D&gt;&lt;D xsi:type="xsd:long"&gt;41256&lt;/D&gt;&lt;D xsi:type="xsd:long"&gt;41255&lt;/D&gt;&lt;D xsi:type="xsd:long"&gt;41254&lt;/D&gt;&lt;D xsi:type="xsd:long"&gt;41253&lt;/D&gt;&lt;D xsi:type="xsd:long"&gt;41250&lt;/D&gt;&lt;D xsi:type="xsd:long"&gt;41249&lt;/D&gt;&lt;D xsi:type="xsd:long"&gt;41248&lt;/D&gt;&lt;D xsi:type="xsd:long"&gt;41247&lt;/D&gt;&lt;D xsi:type="xsd:long"&gt;41246&lt;/D&gt;&lt;D xsi:type="xsd:long"&gt;41243&lt;/D&gt;&lt;D xsi:type="xsd:long"&gt;41242&lt;/D&gt;&lt;D xsi:type="xsd:long"&gt;41241&lt;/D&gt;&lt;D xsi:type="xsd:long"&gt;41240&lt;/D&gt;&lt;D xsi:type="xsd:long"&gt;41239&lt;/D&gt;&lt;D xsi:type="xsd:long"&gt;41236&lt;/D&gt;&lt;D xsi:type="xsd:long"&gt;41234&lt;/D&gt;&lt;D xsi:type="xsd:long"&gt;41233&lt;/D&gt;&lt;D xsi:type="xsd:long"&gt;41232&lt;/D&gt;&lt;D xsi:type="xsd:long"&gt;41229&lt;/D&gt;&lt;D xsi:type="xsd:long"&gt;41228&lt;/D&gt;&lt;D xsi:type="xsd:long"&gt;41227&lt;/D&gt;&lt;D xsi:type="xsd:long"&gt;41226&lt;/D&gt;&lt;D xsi:type="xsd:long"&gt;41225&lt;/D&gt;&lt;D xsi:type="xsd:long"&gt;41222&lt;/D&gt;&lt;D xsi:type="xsd:long"&gt;41221&lt;/D&gt;&lt;D xsi:type="xsd:long"&gt;41220&lt;/D&gt;&lt;D xsi:type="xsd:long"&gt;41219&lt;/D&gt;&lt;D xsi:type="xsd:long"&gt;41218&lt;/D&gt;&lt;D xsi:type="xsd:long"&gt;41215&lt;/D&gt;&lt;D xsi:type="xsd:long"&gt;41214&lt;/D&gt;&lt;D xsi:type="xsd:long"&gt;41213&lt;/D&gt;&lt;D xsi:type="xsd:long"&gt;41208&lt;/D&gt;&lt;D xsi:type="xsd:long"&gt;41207&lt;/D&gt;&lt;D xsi:type="xsd:long"&gt;41206&lt;/D&gt;&lt;D xsi:type="xsd:long"&gt;41205&lt;/D&gt;&lt;D xsi:type="xsd:long"&gt;41204&lt;/D&gt;&lt;D xsi:type="xsd:long"&gt;41201&lt;/D&gt;&lt;D xsi:type="xsd:long"&gt;41200&lt;/D&gt;&lt;D xsi:type="xsd:long"&gt;41199&lt;/D&gt;&lt;D xsi:type="xsd:long"&gt;41198&lt;/D&gt;&lt;D xsi:type="xsd:long"&gt;41197&lt;/D&gt;&lt;D xsi:type="xsd:long"&gt;41194&lt;/D&gt;&lt;D xsi:type="xsd:long"&gt;41193&lt;/D&gt;&lt;D xsi:type="xsd:long"&gt;41192&lt;/D&gt;&lt;D xsi:type="xsd:long"&gt;41191&lt;/D&gt;&lt;D xsi:type="xsd:long"&gt;41190&lt;/D&gt;&lt;D xsi:type="xsd:long"&gt;41187&lt;/D&gt;&lt;D xsi:type="xsd:long"&gt;41186&lt;/D&gt;&lt;D xsi:type="xsd:long"&gt;41185&lt;/D&gt;&lt;D xsi:type="xsd:long"&gt;41184&lt;/D&gt;&lt;D xsi:type="xsd:long"&gt;41183&lt;/D&gt;&lt;D xsi:type="xsd:long"&gt;41180&lt;/D&gt;&lt;D xsi:type="xsd:long"&gt;41179&lt;/D&gt;&lt;D xsi:type="xsd:long"&gt;41178&lt;/D&gt;&lt;D xsi:type="xsd:long"&gt;41177&lt;/D&gt;&lt;D xsi:type="xsd:long"&gt;41176&lt;/D&gt;&lt;D xsi:type="xsd:long"&gt;41173&lt;/D&gt;&lt;D xsi:type="xsd:long"&gt;41172&lt;/D&gt;&lt;D xsi:type="xsd:long"&gt;41171&lt;/D&gt;&lt;D xsi:type="xsd:long"&gt;41170&lt;/D&gt;&lt;D xsi:type="xsd:long"&gt;41169&lt;/D&gt;&lt;D xsi:type="xsd:long"&gt;41166&lt;/D&gt;&lt;D xsi:type="xsd:long"&gt;41165&lt;/D&gt;&lt;D xsi:type="xsd:long"&gt;41164&lt;/D&gt;&lt;D xsi:type="xsd:long"&gt;41163&lt;/D&gt;&lt;D xsi:type="xsd:long"&gt;41162&lt;/D&gt;&lt;D xsi:type="xsd:long"&gt;41159&lt;/D&gt;&lt;D xsi:type="xsd:long"&gt;41158&lt;/D&gt;&lt;D xsi:type="xsd:long"&gt;41157&lt;/D&gt;&lt;D xsi:type="xsd:long"&gt;41156&lt;/D&gt;&lt;D xsi:type="xsd:long"&gt;41152&lt;/D&gt;&lt;D xsi:type="xsd:long"&gt;41151&lt;/D&gt;&lt;D xsi:type="xsd:long"&gt;41150&lt;/D&gt;&lt;D xsi:type="xsd:long"&gt;41149&lt;/D&gt;&lt;D xsi:type="xsd:long"&gt;41148&lt;/D&gt;&lt;D xsi:type="xsd:long"&gt;41145&lt;/D&gt;&lt;D xsi:type="xsd:long"&gt;41144&lt;/D&gt;&lt;D xsi:type="xsd:long"&gt;41143&lt;/D&gt;&lt;D xsi:type="xsd:long"&gt;41142&lt;/D&gt;&lt;D xsi:type="xsd:long"&gt;41141&lt;/D&gt;&lt;D xsi:type="xsd:long"&gt;41138&lt;/D&gt;&lt;D xsi:type="xsd:long"&gt;41137&lt;/D&gt;&lt;D xsi:type="xsd:long"&gt;41136&lt;/D&gt;&lt;D xsi:type="xsd:long"&gt;41135&lt;/D&gt;&lt;D xsi:type="xsd:long"&gt;41134&lt;/D&gt;&lt;D xsi:type="xsd:long"&gt;41131&lt;/D&gt;&lt;D xsi:type="xsd:long"&gt;41130&lt;/D&gt;&lt;D xsi:type="xsd:long"&gt;41129&lt;/D&gt;&lt;D xsi:type="xsd:long"&gt;41128&lt;/D&gt;&lt;D xsi:type="xsd:long"&gt;41127&lt;/D&gt;&lt;D xsi:type="xsd:long"&gt;41124&lt;/D&gt;&lt;D xsi:type="xsd:long"&gt;41123&lt;/D&gt;&lt;D xsi:type="xsd:long"&gt;41122&lt;/D&gt;&lt;D xsi:type="xsd:long"&gt;41121&lt;/D&gt;&lt;D xsi:type="xsd:long"&gt;41120&lt;/D&gt;&lt;D xsi:type="xsd:long"&gt;41117&lt;/D&gt;&lt;D xsi:type="xsd:long"&gt;41116&lt;/D&gt;&lt;D xsi:type="xsd:long"&gt;41115&lt;/D&gt;&lt;D xsi:type="xsd:long"&gt;41114&lt;/D&gt;&lt;D xsi:type="xsd:long"&gt;41113&lt;/D&gt;&lt;D xsi:type="xsd:long"&gt;41110&lt;/D&gt;&lt;D xsi:type="xsd:long"&gt;41109&lt;/D&gt;&lt;D xsi:type="xsd:long"&gt;41108&lt;/D&gt;&lt;D xsi:type="xsd:long"&gt;41107&lt;/D&gt;&lt;D xsi:type="xsd:long"&gt;41106&lt;/D&gt;&lt;D xsi:type="xsd:long"&gt;41103&lt;/D&gt;&lt;D xsi:type="xsd:long"&gt;41102&lt;/D&gt;&lt;D xsi:type="xsd:long"&gt;41101&lt;/D&gt;&lt;D xsi:type="xsd:long"&gt;41100&lt;/D&gt;&lt;D xsi:type="xsd:long"&gt;41099&lt;/D&gt;&lt;D xsi:type="xsd:long"&gt;41096&lt;/D&gt;&lt;D xsi:type="xsd:long"&gt;41095&lt;/D&gt;&lt;D xsi:type="xsd:long"&gt;41093&lt;/D&gt;&lt;D xsi:type="xsd:long"&gt;41092&lt;/D&gt;&lt;D xsi:type="xsd:long"&gt;41089&lt;/D&gt;&lt;D xsi:type="xsd:long"&gt;41088&lt;/D&gt;&lt;D xsi:type="xsd:long"&gt;41087&lt;/D&gt;&lt;D xsi:type="xsd:long"&gt;41086&lt;/D&gt;&lt;D xsi:type="xsd:long"&gt;41085&lt;/D&gt;&lt;D xsi:type="xsd:long"&gt;41082&lt;/D&gt;&lt;D xsi:type="xsd:long"&gt;41081&lt;/D&gt;&lt;D xsi:type="xsd:long"&gt;41080&lt;/D&gt;&lt;D xsi:type="xsd:long"&gt;41079&lt;/D&gt;&lt;D xsi:type="xsd:long"&gt;41078&lt;/D&gt;&lt;D xsi:type="xsd:long"&gt;41075&lt;/D&gt;&lt;D xsi:type="xsd:long"&gt;41074&lt;/D&gt;&lt;D xsi:type="xsd:long"&gt;41073&lt;/D&gt;&lt;D xsi:type="xsd:long"&gt;41072&lt;/D&gt;&lt;D xsi:type="xsd:long"&gt;41071&lt;/D&gt;&lt;D xsi:type="xsd:long"&gt;41068&lt;/D&gt;&lt;D xsi:type="xsd:long"&gt;41067&lt;/D&gt;&lt;D xsi:type="xsd:long"&gt;41066&lt;/D&gt;&lt;D xsi:type="xsd:long"&gt;41065&lt;/D&gt;&lt;D xsi:type="xsd:long"&gt;41064&lt;/D&gt;&lt;D xsi:type="xsd:long"&gt;41061&lt;/D&gt;&lt;D xsi:type="xsd:long"&gt;41060&lt;/D&gt;&lt;D xsi:type="xsd:long"&gt;41059&lt;/D&gt;&lt;D xsi:type="xsd:long"&gt;41058&lt;/D&gt;&lt;D xsi:type="xsd:long"&gt;41054&lt;/D&gt;&lt;D xsi:type="xsd:long"&gt;41053&lt;/D&gt;&lt;D xsi:type="xsd:long"&gt;41052&lt;/D&gt;&lt;D xsi:type="xsd:long"&gt;41051&lt;/D&gt;&lt;D xsi:type="xsd:long"&gt;41050&lt;/D&gt;&lt;D xsi:type="xsd:long"&gt;41047&lt;/D&gt;&lt;D xsi:type="xsd:long"&gt;41046&lt;/D&gt;&lt;D xsi:type="xsd:long"&gt;41045&lt;/D&gt;&lt;D xsi:type="xsd:long"&gt;41044&lt;/D&gt;&lt;D xsi:type="xsd:long"&gt;41043&lt;/D&gt;&lt;D xsi:type="xsd:long"&gt;41040&lt;/D&gt;&lt;D xsi:type="xsd:long"&gt;41039&lt;/D&gt;&lt;D xsi:type="xsd:long"&gt;41038&lt;/D&gt;&lt;D xsi:type="xsd:long"&gt;41037&lt;/D&gt;&lt;D xsi:type="xsd:long"&gt;41036&lt;/D&gt;&lt;D xsi:type="xsd:long"&gt;41033&lt;/D&gt;&lt;D xsi:type="xsd:long"&gt;41032&lt;/D&gt;&lt;D xsi:type="xsd:long"&gt;41031&lt;/D&gt;&lt;D xsi:type="xsd:long"&gt;41030&lt;/D&gt;&lt;D xsi:type="xsd:long"&gt;41029&lt;/D&gt;&lt;D xsi:type="xsd:long"&gt;41026&lt;/D&gt;&lt;D xsi:type="xsd:long"&gt;41025&lt;/D&gt;&lt;D xsi:type="xsd:long"&gt;41024&lt;/D&gt;&lt;D xsi:type="xsd:long"&gt;41023&lt;/D&gt;&lt;D xsi:type="xsd:long"&gt;41022&lt;/D&gt;&lt;D xsi:type="xsd:long"&gt;41019&lt;/D&gt;&lt;D xsi:type="xsd:long"&gt;41018&lt;/D&gt;&lt;D xsi:type="xsd:long"&gt;41017&lt;/D&gt;&lt;D xsi:type="xsd:long"&gt;41016&lt;/D&gt;&lt;D xsi:type="xsd:long"&gt;41015&lt;/D&gt;&lt;D xsi:type="xsd:long"&gt;41012&lt;/D&gt;&lt;D xsi:type="xsd:long"&gt;41011&lt;/D&gt;&lt;D xsi:type="xsd:long"&gt;41010&lt;/D&gt;&lt;D xsi:type="xsd:long"&gt;41009&lt;/D&gt;&lt;D xsi:type="xsd:long"&gt;41008&lt;/D&gt;&lt;D xsi:type="xsd:long"&gt;41004&lt;/D&gt;&lt;D xsi:type="xsd:long"&gt;41003&lt;/D&gt;&lt;D xsi:type="xsd:long"&gt;41002&lt;/D&gt;&lt;D xsi:type="xsd:long"&gt;41001&lt;/D&gt;&lt;D xsi:type="xsd:long"&gt;40998&lt;/D&gt;&lt;D xsi:type="xsd:long"&gt;40997&lt;/D&gt;&lt;D xsi:type="xsd:long"&gt;40996&lt;/D&gt;&lt;D xsi:type="xsd:long"&gt;40995&lt;/D&gt;&lt;D xsi:type="xsd:long"&gt;40994&lt;/D&gt;&lt;D xsi:type="xsd:long"&gt;40991&lt;/D&gt;&lt;D xsi:type="xsd:long"&gt;40990&lt;/D&gt;&lt;D xsi:type="xsd:long"&gt;40989&lt;/D&gt;&lt;D xsi:type="xsd:long"&gt;40988&lt;/D&gt;&lt;D xsi:type="xsd:long"&gt;40987&lt;/D&gt;&lt;D xsi:type="xsd:long"&gt;40984&lt;/D&gt;&lt;D xsi:type="xsd:long"&gt;40983&lt;/D&gt;&lt;D xsi:type="xsd:long"&gt;40982&lt;/D&gt;&lt;D xsi:type="xsd:long"&gt;40981&lt;/D&gt;&lt;D xsi:type="xsd:long"&gt;40980&lt;/D&gt;&lt;D xsi:type="xsd:long"&gt;40977&lt;/D&gt;&lt;D xsi:type="xsd:long"&gt;40976&lt;/D&gt;&lt;D xsi:type="xsd:long"&gt;40975&lt;/D&gt;&lt;D xsi:type="xsd:long"&gt;40974&lt;/D&gt;&lt;D xsi:type="xsd:long"&gt;40973&lt;/D&gt;&lt;D xsi:type="xsd:long"&gt;40970&lt;/D&gt;&lt;D xsi:type="xsd:long"&gt;40969&lt;/D&gt;&lt;D xsi:type="xsd:long"&gt;40968&lt;/D&gt;&lt;D xsi:type="xsd:long"&gt;40967&lt;/D&gt;&lt;D xsi:type="xsd:long"&gt;40966&lt;/D&gt;&lt;D xsi:type="xsd:long"&gt;40963&lt;/D&gt;&lt;D xsi:type="xsd:long"&gt;40962&lt;/D&gt;&lt;D xsi:type="xsd:long"&gt;40961&lt;/D&gt;&lt;D xsi:type="xsd:long"&gt;40960&lt;/D&gt;&lt;D xsi:type="xsd:long"&gt;40956&lt;/D&gt;&lt;D xsi:type="xsd:long"&gt;40955&lt;/D&gt;&lt;D xsi:type="xsd:long"&gt;40954&lt;/D&gt;&lt;D xsi:type="xsd:long"&gt;40953&lt;/D&gt;&lt;D xsi:type="xsd:long"&gt;40952&lt;/D&gt;&lt;D xsi:type="xsd:long"&gt;40949&lt;/D&gt;&lt;D xsi:type="xsd:long"&gt;40948&lt;/D&gt;&lt;D xsi:type="xsd:long"&gt;40947&lt;/D&gt;&lt;D xsi:type="xsd:long"&gt;40946&lt;/D&gt;&lt;D xsi:type="xsd:long"&gt;40945&lt;/D&gt;&lt;D xsi:type="xsd:long"&gt;40942&lt;/D&gt;&lt;D xsi:type="xsd:long"&gt;40941&lt;/D&gt;&lt;D xsi:type="xsd:long"&gt;40940&lt;/D&gt;&lt;D xsi:type="xsd:long"&gt;40939&lt;/D&gt;&lt;D xsi:type="xsd:long"&gt;40938&lt;/D&gt;&lt;D xsi:type="xsd:long"&gt;40935&lt;/D&gt;&lt;D xsi:type="xsd:long"&gt;40934&lt;/D&gt;&lt;D xsi:type="xsd:long"&gt;40933&lt;/D&gt;&lt;D xsi:type="xsd:long"&gt;40932&lt;/D&gt;&lt;D xsi:type="xsd:long"&gt;40931&lt;/D&gt;&lt;D xsi:type="xsd:long"&gt;40928&lt;/D&gt;&lt;D xsi:type="xsd:long"&gt;40927&lt;/D&gt;&lt;D xsi:type="xsd:long"&gt;40926&lt;/D&gt;&lt;D xsi:type="xsd:long"&gt;40925&lt;/D&gt;&lt;D xsi:type="xsd:long"&gt;40921&lt;/D&gt;&lt;D xsi:type="xsd:long"&gt;40920&lt;/D&gt;&lt;D xsi:type="xsd:long"&gt;40919&lt;/D&gt;&lt;D xsi:type="xsd:long"&gt;40918&lt;/D&gt;&lt;D xsi:type="xsd:long"&gt;40917&lt;/D&gt;&lt;D xsi:type="xsd:long"&gt;40914&lt;/D&gt;&lt;D xsi:type="xsd:long"&gt;40913&lt;/D&gt;&lt;D xsi:type="xsd:long"&gt;40912&lt;/D&gt;&lt;D xsi:type="xsd:long"&gt;40911&lt;/D&gt;&lt;D xsi:type="xsd:long"&gt;40907&lt;/D&gt;&lt;D xsi:type="xsd:long"&gt;40906&lt;/D&gt;&lt;D xsi:type="xsd:long"&gt;40905&lt;/D&gt;&lt;D xsi:type="xsd:long"&gt;40904&lt;/D&gt;&lt;D xsi:type="xsd:long"&gt;40900&lt;/D&gt;&lt;D xsi:type="xsd:long"&gt;40899&lt;/D&gt;&lt;D xsi:type="xsd:long"&gt;40898&lt;/D&gt;&lt;D xsi:type="xsd:long"&gt;40897&lt;/D&gt;&lt;D xsi:type="xsd:long"&gt;40896&lt;/D&gt;&lt;D xsi:type="xsd:long"&gt;40893&lt;/D&gt;&lt;D xsi:type="xsd:long"&gt;40892&lt;/D&gt;&lt;D xsi:type="xsd:long"&gt;40891&lt;/D&gt;&lt;D xsi:type="xsd:long"&gt;40890&lt;/D&gt;&lt;D xsi:type="xsd:long"&gt;40889&lt;/D&gt;&lt;D xsi:type="xsd:long"&gt;40886&lt;/D&gt;&lt;D xsi:type="xsd:long"&gt;40885&lt;/D&gt;&lt;D xsi:type="xsd:long"&gt;40884&lt;/D&gt;&lt;D xsi:type="xsd:long"&gt;40883&lt;/D&gt;&lt;D xsi:type="xsd:long"&gt;40882&lt;/D&gt;&lt;D xsi:type="xsd:long"&gt;40879&lt;/D&gt;&lt;D xsi:type="xsd:long"&gt;40878&lt;/D&gt;&lt;D xsi:type="xsd:long"&gt;40877&lt;/D&gt;&lt;D xsi:type="xsd:long"&gt;40876&lt;/D&gt;&lt;D xsi:type="xsd:long"&gt;40875&lt;/D&gt;&lt;D xsi:type="xsd:long"&gt;40872&lt;/D&gt;&lt;D xsi:type="xsd:long"&gt;40870&lt;/D&gt;&lt;/FQL&gt;&lt;FQL&gt;&lt;Q&gt;SP50^FG_PRICE(NOW,-10AY)&lt;/Q&gt;&lt;R&gt;2519&lt;/R&gt;&lt;C&gt;1&lt;/C&gt;&lt;D xsi:type="xsd:double"&gt;4594.62&lt;/D&gt;&lt;D xsi:type="xsd:double"&gt;4701.46&lt;/D&gt;&lt;D xsi:type="xsd:double"&gt;4690.7&lt;/D&gt;&lt;D xsi:type="xsd:double"&gt;4682.94&lt;/D&gt;&lt;D xsi:type="xsd:double"&gt;4697.96&lt;/D&gt;&lt;D xsi:type="xsd:double"&gt;4704.54&lt;/D&gt;&lt;D xsi:type="xsd:double"&gt;4688.67&lt;/D&gt;&lt;D xsi:type="xsd:double"&gt;4700.9&lt;/D&gt;&lt;D xsi:type="xsd:double"&gt;4682.8&lt;/D&gt;&lt;D xsi:type="xsd:double"&gt;4682.85&lt;/D&gt;&lt;D xsi:type="xsd:double"&gt;4649.27&lt;/D&gt;&lt;D xsi:type="xsd:double"&gt;4646.71&lt;/D&gt;&lt;D xsi:type="xsd:double"&gt;4685.25&lt;/D&gt;&lt;D xsi:type="xsd:double"&gt;4701.7&lt;/D&gt;&lt;D xsi:type="xsd:double"&gt;4697.53&lt;/D&gt;&lt;D xsi:type="xsd:double"&gt;4680.06&lt;/D&gt;&lt;D xsi:type="xsd:double"&gt;4660.57&lt;/D&gt;&lt;D xsi:type="xsd:double"&gt;4630.65&lt;/D&gt;&lt;D xsi:type="xsd:double"&gt;4613.67&lt;/D&gt;&lt;D xsi:type="xsd:double"&gt;4605.38&lt;/D&gt;&lt;D xsi:type="xsd:double"&gt;4596.42&lt;/D&gt;&lt;D xsi:type="xsd:double"&gt;4551.68&lt;/D&gt;&lt;D xsi:type="xsd:double"&gt;4574.79&lt;/D&gt;&lt;D xsi:type="xsd:double"&gt;4566.48&lt;/D&gt;&lt;D xsi:type="xsd:double"&gt;4544.9&lt;/D&gt;&lt;D xsi:type="xsd:double"&gt;4549.78&lt;/D&gt;&lt;D xsi:type="xsd:double"&gt;4536.19&lt;/D&gt;&lt;D xsi:type="xsd:double"&gt;4519.63&lt;/D&gt;&lt;D xsi:type="xsd:double"&gt;4486.46&lt;/D&gt;&lt;D xsi:type="xsd:double"&gt;4471.37&lt;/D&gt;&lt;D xsi:type="xsd:double"&gt;4438.26&lt;/D&gt;&lt;D xsi:type="xsd:double"&gt;4363.8&lt;/D&gt;&lt;D xsi:type="xsd:double"&gt;4350.65&lt;/D&gt;&lt;D xsi:type="xsd:double"&gt;4361.19&lt;/D&gt;&lt;D xsi:type="xsd:double"&gt;4391.34&lt;/D&gt;&lt;D xsi:type="xsd:double"&gt;4399.76&lt;/D&gt;&lt;D xsi:type="xsd:double"&gt;4363.55&lt;/D&gt;&lt;D xsi:type="xsd:double"&gt;4345.72&lt;/D&gt;&lt;D xsi:type="xsd:double"&gt;4300.46&lt;/D&gt;&lt;D xsi:type="xsd:double"&gt;4357.04&lt;/D&gt;&lt;D xsi:type="xsd:double"&gt;4307.54&lt;/D&gt;&lt;D xsi:type="xsd:double"&gt;4359.461&lt;/D&gt;&lt;D xsi:type="xsd:double"&gt;4352.63&lt;/D&gt;&lt;D xsi:type="xsd:double"&gt;4443.11&lt;/D&gt;&lt;D xsi:type="xsd:double"&gt;4455.48&lt;/D&gt;&lt;D xsi:type="xsd:double"&gt;4448.98&lt;/D&gt;&lt;D xsi:type="xsd:double"&gt;4395.64&lt;/D&gt;&lt;D xsi:type="xsd:double"&gt;4354.19&lt;/D&gt;&lt;D xsi:type="xsd:double"&gt;4357.73&lt;/D&gt;&lt;D xsi:type="xsd:double"&gt;4432.99&lt;/D&gt;&lt;D xsi:type="xsd:double"&gt;4473.75&lt;/D&gt;&lt;D xsi:type="xsd:double"&gt;4480.7&lt;/D&gt;&lt;D xsi:type="xsd:double"&gt;4443.05&lt;/D&gt;&lt;D xsi:type="xsd:double"&gt;4468.73&lt;/D&gt;&lt;D xsi:type="xsd:double"&gt;4458.58&lt;/D&gt;&lt;D xsi:type="xsd:double"&gt;4493.28&lt;/D&gt;&lt;D xsi:type="xsd:double"&gt;4514.07&lt;/D&gt;&lt;D xsi:type="xsd:double"&gt;4520.03&lt;/D&gt;&lt;D xsi:type="xsd:double"&gt;4535.43&lt;/D&gt;&lt;D xsi:type="xsd:double"&gt;4536.95&lt;/D&gt;&lt;D xsi:type="xsd:double"&gt;4524.09&lt;/D&gt;&lt;D xsi:type="xsd:double"&gt;4522.68&lt;/D&gt;&lt;D xsi:type="xsd:double"&gt;4528.79&lt;/D&gt;&lt;D xsi:type="xsd:double"&gt;4509.37&lt;/D&gt;&lt;D xsi:type="xsd:double"&gt;4470&lt;/D&gt;&lt;D xsi:type="xsd:double"&gt;4496.19&lt;/D&gt;&lt;D xsi:type="xsd:double"&gt;4486.23&lt;/D&gt;&lt;D xsi:type="xsd:double"&gt;4479.53&lt;/D&gt;&lt;D xsi:type="xsd:double"&gt;4441.67&lt;/D&gt;&lt;D xsi:type="xsd:double"&gt;4405.8&lt;/D&gt;&lt;D xsi:type="xsd:double"&gt;4400.27&lt;/D&gt;&lt;D xsi:type="xsd:double"&gt;4448.08&lt;/D&gt;&lt;D xsi:type="xsd:double"&gt;4479.71&lt;/D&gt;&lt;D xsi:type="xsd:double"&gt;4468&lt;/D&gt;&lt;D xsi:type="xsd:double"&gt;4460.83&lt;/D&gt;&lt;D xsi:type="xsd:double"&gt;4447.7&lt;/D&gt;&lt;D xsi:type="xsd:double"&gt;4436.75&lt;/D&gt;&lt;D xsi:type="xsd:double"&gt;4432.35&lt;/D&gt;&lt;D xsi:type="xsd:double"&gt;4436.52&lt;/D&gt;&lt;D xsi:type="xsd:double"&gt;4429.1&lt;/D&gt;&lt;D xsi:type="xsd:double"&gt;4402.66&lt;/D&gt;&lt;D xsi:type="xsd:double"&gt;4423.15&lt;/D&gt;&lt;D xsi:type="xsd:double"&gt;4387.16&lt;/D&gt;&lt;D xsi:type="xsd:double"&gt;4395.26&lt;/D&gt;&lt;D xsi:type="xsd:double"&gt;4419.15&lt;/D&gt;&lt;D xsi:type="xsd:double"&gt;4400.64&lt;/D&gt;&lt;D xsi:type="xsd:double"&gt;4401.46&lt;/D&gt;&lt;D xsi:type="xsd:double"&gt;4422.3&lt;/D&gt;&lt;D xsi:type="xsd:double"&gt;4411.79&lt;/D&gt;&lt;D xsi:type="xsd:double"&gt;4367.48&lt;/D&gt;&lt;D xsi:type="xsd:double"&gt;4358.69&lt;/D&gt;&lt;D xsi:type="xsd:double"&gt;4323.06&lt;/D&gt;&lt;D xsi:type="xsd:double"&gt;4258.49&lt;/D&gt;&lt;D xsi:type="xsd:double"&gt;4327.16&lt;/D&gt;&lt;D xsi:type="xsd:double"&gt;4360.03&lt;/D&gt;&lt;D xsi:type="xsd:double"&gt;4374.3&lt;/D&gt;&lt;D xsi:type="xsd:double"&gt;4369.21&lt;/D&gt;&lt;D xsi:type="xsd:double"&gt;4384.63&lt;/D&gt;&lt;D xsi:type="xsd:double"&gt;4369.55&lt;/D&gt;&lt;D xsi:type="xsd:double"&gt;4320.82&lt;/D&gt;&lt;D xsi:type="xsd:double"&gt;4358.13&lt;/D&gt;&lt;D xsi:type="xsd:double"&gt;4343.54&lt;/D&gt;&lt;D xsi:type="xsd:double"&gt;4352.34&lt;/D&gt;&lt;D xsi:type="xsd:double"&gt;4319</t>
        </r>
      </text>
    </comment>
    <comment ref="A4" authorId="0" shapeId="0" xr:uid="{57EC56EC-1759-4911-BC84-41A350177291}">
      <text>
        <r>
          <rPr>
            <b/>
            <sz val="9"/>
            <color indexed="81"/>
            <rFont val="Tahoma"/>
            <charset val="1"/>
          </rPr>
          <t>.94&lt;/D&gt;&lt;D xsi:type="xsd:double"&gt;4297.5&lt;/D&gt;&lt;D xsi:type="xsd:double"&gt;4291.8&lt;/D&gt;&lt;D xsi:type="xsd:double"&gt;4290.61&lt;/D&gt;&lt;D xsi:type="xsd:double"&gt;4280.7&lt;/D&gt;&lt;D xsi:type="xsd:double"&gt;4266.49&lt;/D&gt;&lt;D xsi:type="xsd:double"&gt;4241.84&lt;/D&gt;&lt;D xsi:type="xsd:double"&gt;4246.44&lt;/D&gt;&lt;D xsi:type="xsd:double"&gt;4224.79&lt;/D&gt;&lt;D xsi:type="xsd:double"&gt;4166.45&lt;/D&gt;&lt;D xsi:type="xsd:double"&gt;4221.86&lt;/D&gt;&lt;D xsi:type="xsd:double"&gt;4223.7&lt;/D&gt;&lt;D xsi:type="xsd:double"&gt;4246.59&lt;/D&gt;&lt;D xsi:type="xsd:double"&gt;4255.15&lt;/D&gt;&lt;D xsi:type="xsd:double"&gt;4247.44&lt;/D&gt;&lt;D xsi:type="xsd:double"&gt;4239.18&lt;/D&gt;&lt;D xsi:type="xsd:double"&gt;4219.55&lt;/D&gt;&lt;D xsi:type="xsd:double"&gt;4227.26&lt;/D&gt;&lt;D xsi:type="xsd:double"&gt;4226.52&lt;/D&gt;&lt;D xsi:type="xsd:double"&gt;4229.89&lt;/D&gt;&lt;D xsi:type="xsd:double"&gt;4192.85&lt;/D&gt;&lt;D xsi:type="xsd:double"&gt;4208.12&lt;/D&gt;&lt;D xsi:type="xsd:double"&gt;4202.04&lt;/D&gt;&lt;D xsi:type="xsd:double"&gt;4204.11&lt;/D&gt;&lt;D xsi:type="xsd:double"&gt;4200.88&lt;/D&gt;&lt;D xsi:type="xsd:double"&gt;4195.99&lt;/D&gt;&lt;D xsi:type="xsd:double"&gt;4188.13&lt;/D&gt;&lt;D xsi:type="xsd:double"&gt;4197.05&lt;/D&gt;&lt;D xsi:type="xsd:double"&gt;4155.86&lt;/D&gt;&lt;D xsi:type="xsd:double"&gt;4159.12&lt;/D&gt;&lt;D xsi:type="xsd:double"&gt;4115.68&lt;/D&gt;&lt;D xsi:type="xsd:double"&gt;4127.83&lt;/D&gt;&lt;D xsi:type="xsd:double"&gt;4163.29&lt;/D&gt;&lt;D xsi:type="xsd:double"&gt;4173.85&lt;/D&gt;&lt;D xsi:type="xsd:double"&gt;4112.5&lt;/D&gt;&lt;D xsi:type="xsd:double"&gt;4063.04&lt;/D&gt;&lt;D xsi:type="xsd:double"&gt;4152.1&lt;/D&gt;&lt;D xsi:type="xsd:double"&gt;4188.43&lt;/D&gt;&lt;D xsi:type="xsd:double"&gt;4232.6&lt;/D&gt;&lt;D xsi:type="xsd:double"&gt;4201.62&lt;/D&gt;&lt;D xsi:type="xsd:double"&gt;4167.59&lt;/D&gt;&lt;D xsi:type="xsd:double"&gt;4164.66&lt;/D&gt;&lt;D xsi:type="xsd:double"&gt;4192.66&lt;/D&gt;&lt;D xsi:type="xsd:double"&gt;4181.17&lt;/D&gt;&lt;D xsi:type="xsd:double"&gt;4211.47&lt;/D&gt;&lt;D xsi:type="xsd:double"&gt;4183.18&lt;/D&gt;&lt;D xsi:type="xsd:double"&gt;4186.72&lt;/D&gt;&lt;D xsi:type="xsd:double"&gt;4187.62&lt;/D&gt;&lt;D xsi:type="xsd:double"&gt;4180.17&lt;/D&gt;&lt;D xsi:type="xsd:double"&gt;4134.98&lt;/D&gt;&lt;D xsi:type="xsd:double"&gt;4173.42&lt;/D&gt;&lt;D xsi:type="xsd:double"&gt;4134.94&lt;/D&gt;&lt;D xsi:type="xsd:double"&gt;4163.26&lt;/D&gt;&lt;D xsi:type="xsd:double"&gt;4185.47&lt;/D&gt;&lt;D xsi:type="xsd:double"&gt;4170.42&lt;/D&gt;&lt;D xsi:type="xsd:double"&gt;4124.66&lt;/D&gt;&lt;D xsi:type="xsd:double"&gt;4141.59&lt;/D&gt;&lt;D xsi:type="xsd:double"&gt;4127.99&lt;/D&gt;&lt;D xsi:type="xsd:double"&gt;4128.8&lt;/D&gt;&lt;D xsi:type="xsd:double"&gt;4097.17&lt;/D&gt;&lt;D xsi:type="xsd:double"&gt;4079.95&lt;/D&gt;&lt;D xsi:type="xsd:double"&gt;4073.94&lt;/D&gt;&lt;D xsi:type="xsd:double"&gt;4077.91&lt;/D&gt;&lt;D xsi:type="xsd:double"&gt;4019.87&lt;/D&gt;&lt;D xsi:type="xsd:double"&gt;3972.89&lt;/D&gt;&lt;D xsi:type="xsd:double"&gt;3958.55&lt;/D&gt;&lt;D xsi:type="xsd:double"&gt;3971.09&lt;/D&gt;&lt;D xsi:type="xsd:double"&gt;3974.54&lt;/D&gt;&lt;D xsi:type="xsd:double"&gt;3909.52&lt;/D&gt;&lt;D xsi:type="xsd:double"&gt;3889.14&lt;/D&gt;&lt;D xsi:type="xsd:double"&gt;3910.52&lt;/D&gt;&lt;D xsi:type="xsd:double"&gt;3940.59&lt;/D&gt;&lt;D xsi:type="xsd:double"&gt;3913.1&lt;/D&gt;&lt;D xsi:type="xsd:double"&gt;3915.46&lt;/D&gt;&lt;D xsi:type="xsd:double"&gt;3974.12&lt;/D&gt;&lt;D xsi:type="xsd:double"&gt;3962.71&lt;/D&gt;&lt;D xsi:type="xsd:double"&gt;3968.94&lt;/D&gt;&lt;D xsi:type="xsd:double"&gt;3943.34&lt;/D&gt;&lt;D xsi:type="xsd:double"&gt;3939.34&lt;/D&gt;&lt;D xsi:type="xsd:double"&gt;3898.81&lt;/D&gt;&lt;D xsi:type="xsd:double"&gt;3875.44&lt;/D&gt;&lt;D xsi:type="xsd:double"&gt;3821.35&lt;/D&gt;&lt;D xsi:type="xsd:double"&gt;3841.94&lt;/D&gt;&lt;D xsi:type="xsd:double"&gt;3768.47&lt;/D&gt;&lt;D xsi:type="xsd:double"&gt;3819.72&lt;/D&gt;&lt;D xsi:type="xsd:double"&gt;3870.29&lt;/D&gt;&lt;D xsi:type="xsd:double"&gt;3901.82&lt;/D&gt;&lt;D xsi:type="xsd:double"&gt;3811.15&lt;/D&gt;&lt;D xsi:type="xsd:double"&gt;3829.34&lt;/D&gt;&lt;D xsi:type="xsd:double"&gt;3925.43&lt;/D&gt;&lt;D xsi:type="xsd:double"&gt;3881.37&lt;/D&gt;&lt;D xsi:type="xsd:double"&gt;3876.5&lt;/D&gt;&lt;D xsi:type="xsd:double"&gt;3906.71&lt;/D&gt;&lt;D xsi:type="xsd:double"&gt;3913.97&lt;/D&gt;&lt;D xsi:type="xsd:double"&gt;3931.33&lt;/D&gt;&lt;D xsi:type="xsd:double"&gt;3932.59&lt;/D&gt;&lt;D xsi:type="xsd:double"&gt;3934.83&lt;/D&gt;&lt;D xsi:type="xsd:double"&gt;3916.38&lt;/D&gt;&lt;D xsi:type="xsd:double"&gt;3909.88&lt;/D&gt;&lt;D xsi:type="xsd:double"&gt;3911.23&lt;/D&gt;&lt;D xsi:type="xsd:double"&gt;3915.59&lt;/D&gt;&lt;D xsi:type="xsd:double"&gt;3886.83&lt;/D&gt;&lt;D xsi:type="xsd:double"&gt;3871.74&lt;/D&gt;&lt;D xsi:type="xsd:double"&gt;3830.17&lt;/D&gt;&lt;D xsi:type="xsd:double"&gt;3826.31&lt;/D&gt;&lt;D xsi:type="xsd:double"&gt;3773.86&lt;/D&gt;&lt;D xsi:type="xsd:double"&gt;3714.24&lt;/D&gt;&lt;D xsi:type="xsd:double"&gt;3787.38&lt;/D&gt;&lt;D xsi:type="xsd:double"&gt;3750.77&lt;/D&gt;&lt;D xsi:type="xsd:double"&gt;3849.62&lt;/D&gt;&lt;D xsi:type="xsd:double"&gt;3855.36&lt;/D&gt;&lt;D xsi:type="xsd:double"&gt;3841.47&lt;/D&gt;&lt;D xsi:type="xsd:double"&gt;3853.07&lt;/D&gt;&lt;D xsi:type="xsd:double"&gt;3851.85&lt;/D&gt;&lt;D xsi:type="xsd:double"&gt;3798.91&lt;/D&gt;&lt;D xsi:type="xsd:double"&gt;3768.25&lt;/D&gt;&lt;D xsi:type="xsd:double"&gt;3795.54&lt;/D&gt;&lt;D xsi:type="xsd:double"&gt;3809.84&lt;/D&gt;&lt;D xsi:type="xsd:double"&gt;3801.19&lt;/D&gt;&lt;D xsi:type="xsd:double"&gt;3799.61&lt;/D&gt;&lt;D xsi:type="xsd:double"&gt;3824.68&lt;/D&gt;&lt;D xsi:type="xsd:double"&gt;3803.79&lt;/D&gt;&lt;D xsi:type="xsd:double"&gt;3748.14&lt;/D&gt;&lt;D xsi:type="xsd:double"&gt;3726.86&lt;/D&gt;&lt;D xsi:type="xsd:double"&gt;3700.65&lt;/D&gt;&lt;D xsi:type="xsd:double"&gt;3756.07&lt;/D&gt;&lt;D xsi:type="xsd:double"&gt;3732.04&lt;/D&gt;&lt;D xsi:type="xsd:double"&gt;3727.04&lt;/D&gt;&lt;D xsi:type="xsd:double"&gt;3735.36&lt;/D&gt;&lt;D xsi:type="xsd:double"&gt;3703.06&lt;/D&gt;&lt;D xsi:type="xsd:double"&gt;3690.01&lt;/D&gt;&lt;D xsi:type="xsd:double"&gt;3687.26&lt;/D&gt;&lt;D xsi:type="xsd:double"&gt;3694.92&lt;/D&gt;&lt;D xsi:type="xsd:double"&gt;3709.41&lt;/D&gt;&lt;D xsi:type="xsd:double"&gt;3722.48&lt;/D&gt;&lt;D xsi:type="xsd:double"&gt;3701.17&lt;/D&gt;&lt;D xsi:type="xsd:double"&gt;3694.62&lt;/D&gt;&lt;D xsi:type="xsd:double"&gt;3647.49&lt;/D&gt;&lt;D xsi:type="xsd:double"&gt;3663.46&lt;/D&gt;&lt;D xsi:type="xsd:double"&gt;3668.1&lt;/D&gt;&lt;D xsi:type="xsd:double"&gt;3672.82&lt;/D&gt;&lt;D xsi:type="xsd:double"&gt;3702.25&lt;/D&gt;&lt;D xsi:type="xsd:double"&gt;3691.96&lt;/D&gt;&lt;D xsi:type="xsd:double"&gt;3699.12&lt;/D&gt;&lt;D xsi:type="xsd:double"&gt;3666.72&lt;/D&gt;&lt;D xsi:type="xsd:double"&gt;3669.01&lt;/D&gt;&lt;D xsi:type="xsd:double"&gt;3662.45&lt;/D&gt;&lt;D xsi:type="xsd:double"&gt;3621.63&lt;/D&gt;&lt;D xsi:type="xsd:double"&gt;3638.35&lt;/D&gt;&lt;D xsi:type="xsd:double"&gt;3629.65&lt;/D&gt;&lt;D xsi:type="xsd:double"&gt;3635.41&lt;/D&gt;&lt;D xsi:type="xsd:double"&gt;3577.59&lt;/D&gt;&lt;D xsi:type="xsd:double"&gt;3557.54&lt;/D&gt;&lt;D xsi:type="xsd:double"&gt;3581.87&lt;/D&gt;&lt;D xsi:type="xsd:double"&gt;3567.79&lt;/D&gt;&lt;D xsi:type="xsd:double"&gt;3609.53&lt;/D&gt;&lt;D xsi:type="xsd:double"&gt;3626.91&lt;/D&gt;&lt;D xsi:type="xsd:double"&gt;3585.15&lt;/D&gt;&lt;D xsi:type="xsd:double"&gt;3537.01&lt;/D&gt;&lt;D xsi:type="xsd:double"&gt;3572.66&lt;/D&gt;&lt;D xsi:type="xsd:double"&gt;3545.53&lt;/D&gt;&lt;D xsi:type="xsd:double"&gt;3550.5&lt;/D&gt;&lt;D xsi:type="xsd:double"&gt;3509.44&lt;/D&gt;&lt;D xsi:type="xsd:double"&gt;3510.45&lt;/D&gt;&lt;D xsi:type="xsd:double"&gt;3443.44&lt;/D&gt;&lt;D xsi:type="xsd:double"&gt;3369.1567&lt;/D&gt;&lt;D xsi:type="xsd:double"&gt;3310.24&lt;/D&gt;&lt;D xsi:type="xsd:double"&gt;3269.96&lt;/D&gt;&lt;D xsi:type="xsd:double"&gt;3310.11&lt;/D&gt;&lt;D xsi:type="xsd:double"&gt;3271.03&lt;/D&gt;&lt;D xsi:type="xsd:double"&gt;3390.68&lt;/D&gt;&lt;D xsi:type="xsd:double"&gt;3400.97&lt;/D&gt;&lt;D xsi:type="xsd:double"&gt;3465.39&lt;/D&gt;&lt;D xsi:type="xsd:double"&gt;3453.49&lt;/D&gt;&lt;D xsi:type="xsd:double"&gt;3435.56&lt;/D&gt;&lt;D xsi:type="xsd:double"&gt;3443.12&lt;/D&gt;&lt;D xsi:type="xsd:double"&gt;3426.92&lt;/D&gt;&lt;D xsi:type="xsd:double"&gt;3483.81&lt;/D&gt;&lt;D xsi:type="xsd:double"&gt;3483.34&lt;/D&gt;&lt;D xsi:type="xsd:double"&gt;3488.67&lt;/D&gt;&lt;D xsi:type="xsd:double"&gt;3511.93&lt;/D&gt;&lt;D xsi:type="xsd:double"&gt;3534.22&lt;/D&gt;&lt;D xsi:type="xsd:double"&gt;3477.13&lt;/D&gt;&lt;D xsi:type="xsd:double"&gt;3446.83&lt;/D&gt;&lt;D xsi:type="xsd:double"&gt;3419.45&lt;/D&gt;&lt;D xsi:type="xsd:double"&gt;3360.95&lt;/D&gt;&lt;D xsi:type="xsd:double"&gt;3408.63&lt;/D&gt;&lt;D xsi:type="xsd:double"&gt;3348.44&lt;/D&gt;&lt;D xsi:type="xsd:double"&gt;3380.8&lt;/D&gt;&lt;D xsi:type="xsd:double"&gt;3363&lt;/D&gt;&lt;D xsi:type="xsd:double"&gt;3335.47&lt;/D&gt;&lt;D xsi:type="xsd:double"&gt;3351.6&lt;/D&gt;&lt;D xsi:type="xsd:double"&gt;3298.46&lt;/D&gt;&lt;D xsi:type="xsd:double"&gt;3246.59&lt;/D&gt;&lt;D xsi:type="xsd:double"&gt;3236.92&lt;/D&gt;&lt;D xsi:type="xsd:double"&gt;3315.57&lt;/D&gt;&lt;D xsi:type="xsd:double"&gt;3281.06&lt;/D&gt;&lt;D xsi:type="xsd:double"&gt;3319.47&lt;/D&gt;&lt;D xsi:type="xsd:double"&gt;3357.01&lt;/D&gt;&lt;D xsi:type="xsd:double"&gt;3385.49&lt;/D&gt;&lt;D xsi:type="xsd:double"&gt;3401.2&lt;/D&gt;&lt;D xsi:type="xsd:double"&gt;3383.54&lt;/D&gt;&lt;D xsi:type="xsd:double"&gt;3340.97&lt;/D&gt;&lt;D xsi:type="xsd:double"&gt;3339.19&lt;/D&gt;&lt;D xsi:type="xsd:double"&gt;3398.96&lt;/D&gt;&lt;D xsi:type="xsd:double"&gt;3331.84&lt;/D&gt;&lt;D xsi:type="xsd:double"&gt;3426.96&lt;/D&gt;&lt;D xsi:type="xsd:double"&gt;3455.06&lt;/D&gt;&lt;D xsi:type="xsd:double"&gt;3580.84&lt;/D&gt;&lt;D xsi:type="xsd:double"&gt;3526.65&lt;/D&gt;&lt;D xsi:type="xsd:double"&gt;3500.31&lt;/D&gt;&lt;D xsi:type="xsd:double"&gt;3508.01&lt;/D&gt;&lt;D xsi:type="xsd:double"&gt;3484.55&lt;/D&gt;&lt;D xsi:type="xsd:double"&gt;3478.73&lt;/D&gt;&lt;D xsi:type="xsd:double"&gt;3443.62&lt;/D&gt;&lt;D xsi:type="xsd:double"&gt;3431.28&lt;/D&gt;&lt;D xsi:type="xsd:double"&gt;3397.16&lt;/D&gt;&lt;D xsi:type="xsd:double"&gt;3385.51&lt;/D&gt;&lt;D xsi:type="xsd:double"&gt;3374.85&lt;/D&gt;&lt;D xsi:type="xsd:double"&gt;3389.78&lt;/D&gt;&lt;D xsi:type="xsd:double"&gt;3381.99&lt;/D&gt;&lt;D xsi:type="xsd:double"&gt;3372.85&lt;/D&gt;&lt;D xsi:type="xsd:double"&gt;3373.43&lt;/D&gt;&lt;D xsi:type="xsd:double"&gt;3380.35&lt;/D&gt;&lt;D xsi:type="xsd:double"&gt;3333.69&lt;/D&gt;&lt;D xsi:type="xsd:double"&gt;3360.47&lt;/D&gt;&lt;D xsi:type="xsd:double"&gt;3351.28&lt;/D&gt;&lt;D xsi:type="xsd:double"&gt;3349.16&lt;/D&gt;&lt;D xsi:type="xsd:double"&gt;3327.77&lt;/D&gt;&lt;D xsi:type="xsd:double"&gt;3306.51&lt;/D&gt;&lt;D xsi:type="xsd:double"&gt;3294.61&lt;/D&gt;&lt;D xsi:type="xsd:double"&gt;3271.12&lt;/D&gt;&lt;D xsi:type="xsd:double"&gt;3246.22&lt;/D&gt;&lt;D xsi:type="xsd:double"&gt;3258.44&lt;/D&gt;&lt;D xsi:type="xsd:double"&gt;3218.44&lt;/D&gt;&lt;D xsi:type="xsd:double"&gt;3239.41&lt;/D&gt;&lt;D xsi:type="xsd:double"&gt;3215.63&lt;/D&gt;&lt;D xsi:type="xsd:double"&gt;3235.66&lt;/D&gt;&lt;D xsi:type="xsd:double"&gt;3276.02&lt;/D&gt;&lt;D xsi:type="xsd:double"&gt;3257.3&lt;/D&gt;&lt;D xsi:type="xsd:double"&gt;3251.84&lt;/D&gt;&lt;D xsi:type="xsd:double"&gt;3224.73&lt;/D&gt;&lt;D xsi:type="xsd:double"&gt;3215.57&lt;/D&gt;&lt;D xsi:type="xsd:double"&gt;3226.56&lt;/D&gt;&lt;D xsi:type="xsd:double"&gt;3197.52&lt;/D&gt;&lt;D xsi:type="xsd:double"&gt;3155.22&lt;/D&gt;&lt;D xsi:type="xsd:double"&gt;3185.04&lt;/D&gt;&lt;D xsi:type="xsd:double"&gt;3152.05&lt;/D&gt;&lt;D xsi:type="xsd:double"&gt;3169.94&lt;/D&gt;&lt;D xsi:type="xsd:double"&gt;3145.32&lt;/D&gt;&lt;D xsi:type="xsd:double"&gt;3179.72&lt;/D&gt;&lt;D xsi:type="xsd:double"&gt;3130.01&lt;/D&gt;&lt;D xsi:type="xsd:double"&gt;3115.86&lt;/D&gt;&lt;D xsi:type="xsd:double"&gt;3100.29&lt;/D&gt;&lt;D xsi:type="xsd:double"&gt;3053.24&lt;/D&gt;&lt;D xsi:type="xsd:double"&gt;3009.05&lt;/D&gt;&lt;D xsi:type="xsd:double"&gt;3083.76&lt;/D&gt;&lt;D xsi:type="xsd:double"&gt;3050.33&lt;/D&gt;&lt;D xsi:type="xsd:double"&gt;3131.29&lt;/D&gt;&lt;D xsi:type="xsd:double"&gt;3117.86&lt;/D&gt;&lt;D xsi:type="xsd:double"&gt;3097.74&lt;/D&gt;&lt;D xsi:type="xsd:double"&gt;3115.34&lt;/D&gt;&lt;D xsi:type="xsd:double"&gt;3113.49&lt;/D&gt;&lt;D xsi:type="xsd:double"&gt;3124.74&lt;/D&gt;&lt;D xsi:type="xsd:double"&gt;3066.59&lt;/D&gt;&lt;D xsi:type="xsd:double"&gt;3041.31&lt;/D&gt;&lt;D xsi:type="xsd:double"&gt;3002.1&lt;/D&gt;&lt;D xsi:type="xsd:double"&gt;3190.14&lt;/D&gt;&lt;D xsi:type="xsd:double"&gt;3207.18&lt;/D&gt;&lt;D xsi:type="xsd:double"&gt;3232.39&lt;/D&gt;&lt;D xsi:type="xsd:double"&gt;3193.93&lt;/D&gt;&lt;D xsi:type="xsd:double"&gt;3112.35&lt;/D&gt;&lt;D xsi:type="xsd:double"&gt;3122.87&lt;/D&gt;&lt;D xsi:type="xsd:double"&gt;3080.82&lt;/D&gt;&lt;D xsi:type="xsd:double"&gt;3055.73&lt;/D&gt;&lt;D xsi:type="xsd:double"&gt;3044.31&lt;/D&gt;&lt;D xsi:type="xsd:double"&gt;3029.73&lt;/D&gt;&lt;D xsi:type="xsd:double"&gt;3036.13&lt;/D&gt;&lt;D xsi:type="xsd:double"&gt;2991.77&lt;/D&gt;&lt;D xsi:type="xsd:double"&gt;2955.45&lt;/D&gt;&lt;D xsi:type="xsd:double"&gt;2948.51&lt;/D&gt;&lt;D xsi:type="xsd:double"&gt;2971.61&lt;/D&gt;&lt;D xsi:type="xsd:double"&gt;2922.94&lt;/D&gt;&lt;D xsi:type="xsd:double"&gt;2953.91&lt;/D&gt;&lt;D xsi:type="xsd:double"&gt;2863.7&lt;/D&gt;&lt;D xsi:type="xsd:double"&gt;2852.5&lt;/D&gt;&lt;D xsi:type="xsd:double"&gt;2820&lt;/D&gt;&lt;D xsi:type="xsd:double"&gt;2870.12&lt;/D&gt;&lt;D xsi:type="xsd:double"&gt;2930.32&lt;/D&gt;&lt;D xsi:type="xsd:double"&gt;2929.8&lt;/D&gt;&lt;D xsi:type="xsd:double"&gt;2881.19&lt;/D&gt;&lt;D xsi:type="xsd:double"&gt;2848.42&lt;/D&gt;&lt;D xsi:type="xsd:double"&gt;2868.44&lt;/D&gt;&lt;D xsi:type="xsd:double"&gt;2842.74&lt;/D&gt;&lt;D xsi:type="xsd:double"&gt;2830.71&lt;/D&gt;&lt;D xsi:type="xsd:double"&gt;2912.43&lt;/D&gt;&lt;D xsi:type="xsd:double"&gt;2939.51&lt;/D&gt;&lt;D xsi:type="xsd:double"&gt;2863.39&lt;/D&gt;&lt;D xsi:type="xsd:double"&gt;2878.48&lt;/D&gt;&lt;D xsi:type="xsd:double"&gt;2836.74&lt;/D&gt;&lt;D xsi:type="xsd:double"&gt;2797.8&lt;/D&gt;&lt;D xsi:type="xsd:double"&gt;2799.31&lt;/D&gt;&lt;D xsi:type="xsd:double"&gt;2736.56&lt;/D&gt;&lt;D xsi:type="xsd:double"&gt;2823.16&lt;/D&gt;&lt;D xsi:type="xsd:double"&gt;2874.56&lt;/D&gt;&lt;D xsi:type="xsd:double"&gt;2799.55&lt;/D&gt;&lt;D xsi:type="xsd:double"&gt;2783.36&lt;/D&gt;&lt;D xsi:type="xsd:double"&gt;2846.06&lt;/D&gt;&lt;D xsi:type="xsd:double"&gt;2761.63&lt;/D&gt;&lt;D xsi:type="xsd:double"&gt;2789.82&lt;/D&gt;&lt;D xsi:type="xsd:double"&gt;2749.98&lt;/D&gt;&lt;D xsi:type="xsd:double"&gt;2659.41&lt;/D&gt;&lt;D xsi:type="xsd:double"&gt;2663.68&lt;/D&gt;&lt;D xsi:type="xsd:double"&gt;2488.65&lt;/D&gt;&lt;D xsi:type="xsd:double"&gt;2526.9&lt;/D&gt;&lt;D xsi:type="xsd:double"&gt;2470.5&lt;/D&gt;&lt;D xsi:type="xsd:double"&gt;2584.59&lt;/D&gt;&lt;D xsi:type="xsd:double"&gt;2626.65&lt;/D&gt;&lt;D xsi:type="xsd:double"&gt;2541.47&lt;/D&gt;&lt;D xsi:type="xsd:double"&gt;2630.07&lt;/D&gt;&lt;D xsi:type="xsd:double"&gt;2475.56&lt;/D&gt;&lt;D xsi:type="xsd:double"&gt;2447.33&lt;/D&gt;&lt;D xsi:type="xsd:double"&gt;2237.4&lt;/D&gt;&lt;D xsi:type="xsd:double"&gt;2304.92&lt;/D&gt;&lt;D xsi:type="xsd:double"&gt;2409.39&lt;/D&gt;&lt;D xsi:type="xsd:double"&gt;2398.1&lt;/D&gt;&lt;D xsi:type="xsd:double"&gt;2529.19&lt;/D&gt;&lt;D xsi:type="xsd:double"&gt;2386.13&lt;/D&gt;&lt;D xsi:type="xsd:double"&gt;2711.02&lt;/D&gt;&lt;D xsi:type="xsd:double"&gt;2480.64&lt;/D&gt;&lt;D xsi:type="xsd:double"&gt;2741.38&lt;/D&gt;&lt;D xsi:type="xsd:double"&gt;2882.23&lt;/D&gt;&lt;D xsi:type="xsd:double"&gt;2746.56&lt;/D&gt;&lt;D xsi:type="xsd:double"&gt;2972.37&lt;/D&gt;&lt;D xsi:type="xsd:double"&gt;3023.94&lt;/D&gt;&lt;D xsi:type="xsd:double"&gt;3130.12&lt;/D&gt;&lt;D xsi:type="xsd:double"&gt;3003.37&lt;/D&gt;&lt;D xsi:type="xsd:double"&gt;3090.23&lt;/D&gt;&lt;D xsi:type="xsd:double"&gt;2954.22&lt;/D&gt;&lt;D xsi:type="xsd:double"&gt;2978.76&lt;/D&gt;&lt;D xsi:type="xsd:double"&gt;3116.39&lt;/D&gt;&lt;D xsi:type="xsd:double"&gt;3128.21&lt;/D&gt;&lt;D xsi:type="xsd:double"&gt;3225.89&lt;/D&gt;&lt;D xsi:type="xsd:double"&gt;3337.75&lt;/D&gt;&lt;D xsi:type="xsd:double"&gt;3373.23&lt;/D&gt;&lt;D xsi:type="xsd:double"&gt;3386.15&lt;/D&gt;&lt;D xsi:type="xsd:double"&gt;3370.29&lt;/D&gt;&lt;D xsi:type="xsd:double"&gt;3380.16&lt;/D&gt;&lt;D xsi:type="xsd:double"&gt;3373.94&lt;/D&gt;&lt;D xsi:type="xsd:double"&gt;3379.45&lt;/D&gt;&lt;D xsi:type="xsd:double"&gt;3357.75&lt;/D&gt;&lt;D xsi:type="xsd:double"&gt;3352.09&lt;/D&gt;&lt;D xsi:type="xsd:double"&gt;3327.71&lt;/D&gt;&lt;D xsi:type="xsd:double"&gt;3345.78&lt;/D&gt;&lt;D xsi:type="xsd:double"&gt;3334.69&lt;/D&gt;&lt;D xsi:type="xsd:double"&gt;3297.59&lt;/D&gt;&lt;D xsi:type="xsd:double"&gt;3248.92&lt;/D&gt;&lt;D xsi:type="xsd:double"&gt;3225.52&lt;/D&gt;&lt;D xsi:type="xsd:double"&gt;3283.66&lt;/D&gt;&lt;D xsi:type="xsd:double"&gt;3273.4&lt;/D&gt;&lt;D xsi:type="xsd:double"&gt;3276.24&lt;/D&gt;&lt;D xsi:type="xsd:double"&gt;3243.63&lt;/D&gt;&lt;D xsi:type="xsd:double"&gt;3295.47&lt;/D&gt;&lt;D xsi:type="xsd:double"&gt;3325.54&lt;/D&gt;&lt;D xsi:type="xsd:double"&gt;3321.75&lt;/D&gt;&lt;D xsi:type="xsd:double"&gt;3320.79&lt;/D&gt;&lt;D xsi:type="xsd:double"&gt;3329.62&lt;/D&gt;&lt;D xsi:type="xsd:double"&gt;3316.81&lt;/D&gt;&lt;D xsi:type="xsd:double"&gt;3289.29&lt;/D&gt;&lt;D xsi:type="xsd:double"&gt;3283.15&lt;/D&gt;&lt;D xsi:type="xsd:double"&gt;3288.13&lt;/D&gt;&lt;D xsi:type="xsd:double"&gt;3265.35&lt;/D&gt;&lt;D xsi:type="xsd:double"&gt;3274.7&lt;/D&gt;&lt;D xsi:type="xsd:double"&gt;3253.05&lt;/D&gt;&lt;D xsi:type="xsd:double"&gt;3237.18&lt;/D&gt;&lt;D xsi:type="xsd:double"&gt;3246.28&lt;/D&gt;&lt;D xsi:type="xsd:double"&gt;3234.85&lt;/D&gt;&lt;D xsi:type="xsd:double"&gt;3257.85&lt;/D&gt;&lt;D xsi:type="xsd:double"&gt;3230.78&lt;/D&gt;&lt;D xsi:type="xsd:double"&gt;3221.29&lt;/D&gt;&lt;D xsi:type="xsd:double"&gt;3240.02&lt;/D&gt;&lt;D xsi:type="xsd:double"&gt;3239.91&lt;/D&gt;&lt;D xsi:type="xsd:double"&gt;3223.38&lt;/D&gt;&lt;D xsi:type="xsd:double"&gt;3224.01&lt;/D&gt;&lt;D xsi:type="xsd:double"&gt;3221.22&lt;/D&gt;&lt;D xsi:type="xsd:double"&gt;3205.37&lt;/D&gt;&lt;D xsi:type="xsd:double"&gt;3191.14&lt;/D&gt;&lt;D xsi:type="xsd:double"&gt;3192.52&lt;/D&gt;&lt;D xsi:type="xsd:double"&gt;3191.45&lt;/D&gt;&lt;D xsi:type="xsd:double"&gt;3168.8&lt;/D&gt;&lt;D xsi:type="xsd:double"&gt;3168.57&lt;/D&gt;&lt;D xsi:type="xsd:double"&gt;3141.63&lt;/D&gt;&lt;D xsi:type="xsd:double"&gt;3132.52&lt;/D&gt;&lt;D xsi:type="xsd:double"&gt;3135.96&lt;/D&gt;&lt;D xsi:type="xsd:double"&gt;3145.91&lt;/D&gt;&lt;D xsi:type="xsd:double"&gt;3117.43&lt;/D&gt;&lt;D xsi:type="xsd:double"&gt;3112.76&lt;/D&gt;&lt;D xsi:type="xsd:double"&gt;3093.2&lt;/D&gt;&lt;D xsi:type="xsd:double"&gt;3113.87&lt;/D&gt;&lt;D xsi:type="xsd:double"&gt;3140.98&lt;/D&gt;&lt;D xsi:type="xsd:double"&gt;3153.63&lt;/D&gt;&lt;D xsi:type="xsd:double"&gt;3140.52&lt;/D&gt;&lt;D xsi:type="xsd:double"&gt;3133.64&lt;/D&gt;&lt;D xsi:type="xsd:double"&gt;3110.29&lt;/D&gt;&lt;D xsi:type="xsd:double"&gt;3103.54&lt;/D&gt;&lt;D xsi:type="xsd:double"&gt;3108.46&lt;/D&gt;&lt;D xsi:type="xsd:double"&gt;3120.18&lt;/D&gt;&lt;D xsi:type="xsd:double"&gt;3122.03&lt;/D&gt;&lt;D xsi:type="xsd:double"&gt;3120.46&lt;/D&gt;&lt;D xsi:type="xsd:double"&gt;3096.63&lt;/D&gt;&lt;D xsi:type="xsd:double"&gt;3094.04&lt;/D&gt;&lt;D xsi:type="xsd:double"&gt;3091.84&lt;/D&gt;&lt;D xsi:type="xsd:double"&gt;3087.01&lt;/D&gt;&lt;D xsi:type="xsd:double"&gt;3093.08&lt;/D&gt;&lt;D xsi:type="xsd:double"&gt;3085.18&lt;/D&gt;&lt;D xsi:type="xsd:double"&gt;3076.78&lt;/D&gt;&lt;D xsi:type="xsd:double"&gt;3074.62&lt;/D&gt;&lt;D xsi:type="xsd:double"&gt;3078.27&lt;/D&gt;&lt;D xsi:type="xsd:double"&gt;3066.91&lt;/D&gt;&lt;D xsi:type="xsd:double"&gt;3037.56&lt;/D&gt;&lt;D xsi:type="xsd:double"&gt;3046.77&lt;/D&gt;&lt;D xsi:type="xsd:double"&gt;3036.89&lt;/D&gt;&lt;D xsi:type="xsd:double"&gt;3039.42&lt;/D&gt;&lt;D xsi:type="xsd:double"&gt;3022.55&lt;/D&gt;&lt;D xsi:type="xsd:double"&gt;3010.29&lt;/D&gt;&lt;D xsi:type="xsd:double"&gt;3004.52&lt;/D&gt;&lt;D xsi:type="xsd:double"&gt;2995.99&lt;/D&gt;&lt;D xsi:type="xsd:double"&gt;3006.72&lt;/D&gt;&lt;D xsi:type="xsd:double"&gt;2986.2&lt;/D&gt;&lt;D xsi:type="xsd:double"&gt;2997.95&lt;/D&gt;&lt;D xsi:type="xsd:double"&gt;2989.69&lt;/D&gt;&lt;D xsi:type="xsd:double"&gt;2995.68&lt;/D&gt;&lt;D xsi:type="xsd:double"&gt;2966.15&lt;/D&gt;&lt;D xsi:type="xsd:double"&gt;2970.27&lt;/D&gt;&lt;D xsi:type="xsd:double"&gt;2938.13&lt;/D&gt;&lt;D xsi:type="xsd:double"&gt;2919.4&lt;/D&gt;&lt;D xsi:type="xsd:double"&gt;2893.06&lt;/D&gt;&lt;D xsi:type="xsd:double"&gt;2938.79&lt;/D&gt;&lt;D xsi:type="xsd:double"&gt;2952.01&lt;/D&gt;&lt;D xsi:type="xsd:double"&gt;2910.63&lt;/D&gt;&lt;D xsi:type="xsd:double"&gt;2887.61&lt;/D&gt;&lt;D xsi:type="xsd:double"&gt;2940.25&lt;/D&gt;&lt;D xsi:type="xsd:double"&gt;2976.74&lt;/D&gt;&lt;D xsi:type="xsd:double"&gt;2961.79&lt;/D&gt;&lt;D xsi:type="xsd:double"&gt;2977.62&lt;/D&gt;&lt;D xsi:type="xsd:double"&gt;2984.87&lt;/D&gt;&lt;D xsi:type="xsd:double"&gt;2966.6&lt;/D&gt;&lt;D xsi:type="xsd:double"&gt;2991.78&lt;/D&gt;&lt;D xsi:type="xsd:double"&gt;2992.07&lt;/D&gt;&lt;D xsi:type="xsd:double"&gt;3006.79&lt;/D&gt;&lt;D xsi:type="xsd:double"&gt;3006.73&lt;/D&gt;&lt;D xsi:type="xsd:double"&gt;3005.7&lt;/D&gt;&lt;D xsi:type="xsd:double"&gt;2997.96&lt;/D&gt;&lt;D xsi:type="xsd:double"&gt;3007.39&lt;/D&gt;&lt;D xsi:type="xsd:double"&gt;3009.57&lt;/D&gt;&lt;D xsi:type="xsd:double"&gt;3000.93&lt;/D&gt;&lt;D xsi:type="xsd:double"&gt;2979.39&lt;/D&gt;&lt;D xsi:type="xsd:double"&gt;2978.43&lt;/D&gt;&lt;D xsi:type="xsd:double"&gt;2978.71&lt;/D&gt;&lt;D xsi:type="xsd:double"&gt;2976&lt;/D&gt;&lt;D xsi:type="xsd:double"&gt;2937.78&lt;/D&gt;&lt;D xsi:type="xsd:double"&gt;2906.27&lt;/D&gt;&lt;D xsi:type="xsd:double"&gt;2926.46&lt;/D&gt;&lt;D xsi:type="xsd:double"&gt;2924.58&lt;/D&gt;&lt;D xsi:type="xsd:double"&gt;2887.94&lt;/D&gt;&lt;D xsi:type="xsd:double"&gt;2869.16&lt;/D&gt;&lt;D xsi:type="xsd:double"&gt;2878.38&lt;/D&gt;&lt;D xsi:type="xsd:double"&gt;2847.11&lt;/D&gt;&lt;D xsi:type="xsd:double"&gt;2922.95&lt;/D&gt;&lt;D xsi:type="xsd:double"&gt;2924.43&lt;/D&gt;&lt;D xsi:type="xsd:double"&gt;2900.51&lt;/D&gt;&lt;D xsi:type="xsd:double"&gt;2923.65&lt;/D&gt;&lt;D xsi:type="xsd:double"&gt;2888.68&lt;/D&gt;&lt;D xsi:type="xsd:double"&gt;2847.6&lt;/D&gt;&lt;D xsi:type="xsd:double"&gt;2840.6&lt;/D&gt;&lt;D xsi:type="xsd:double"&gt;2926.32&lt;/D&gt;&lt;D xsi:type="xsd:double"&gt;2883.75&lt;/D&gt;&lt;D xsi:type="xsd:double"&gt;2918.65&lt;/D&gt;&lt;D xsi:type="xsd:double"&gt;2938.09&lt;/D&gt;&lt;D xsi:type="xsd:double"&gt;2883.98&lt;/D&gt;&lt;D xsi:type="xsd:double"&gt;2881.77&lt;/D&gt;&lt;D xsi:type="xsd:double"&gt;2844.74&lt;/D&gt;&lt;D xsi:type="xsd:double"&gt;2932.05&lt;/D&gt;&lt;D xsi:type="xsd:double"&gt;2953.56&lt;/D&gt;&lt;D xsi:type="xsd:double"&gt;2980.38&lt;/D&gt;&lt;D xsi:type="xsd:double"&gt;3013.18&lt;/D&gt;&lt;D xsi:type="xsd:double"&gt;3020.97&lt;/D&gt;&lt;D xsi:type="xsd:double"&gt;3025.86&lt;/D&gt;&lt;D xsi:type="xsd:double"&gt;3003.67&lt;/D&gt;&lt;D xsi:type="xsd:double"&gt;3019.56&lt;/D&gt;&lt;D xsi:type="xsd:double"&gt;3005.47&lt;/D&gt;&lt;D xsi:type="xsd:double"&gt;2985.03&lt;/D&gt;&lt;D xsi:type="xsd:double"&gt;2976.61&lt;/D&gt;&lt;D xsi:type="xsd:double"&gt;2995.11&lt;/D&gt;&lt;D xsi:type="xsd:double"&gt;2984.42&lt;/D&gt;&lt;D xsi:type="xsd:double"&gt;3004.04&lt;/D&gt;&lt;D xsi:type="xsd:double"&gt;3014.3&lt;/D&gt;&lt;D xsi:type="xsd:double"&gt;3013.77&lt;/D&gt;&lt;D xsi:type="xsd:double"&gt;2999.91&lt;/D&gt;&lt;D xsi:type="xsd:double"&gt;2993.07&lt;/D&gt;&lt;D xsi:type="xsd:double"&gt;2979.63&lt;/D&gt;&lt;D xsi:type="xsd:double"&gt;2975.95&lt;/D&gt;&lt;D xsi:type="xsd:double"&gt;2990.41&lt;/D&gt;&lt;D xsi:type="xsd:double"&gt;2995.82&lt;/D&gt;&lt;D xsi:type="xsd:double"&gt;2973.01&lt;/D&gt;&lt;D xsi:type="xsd:double"&gt;2964.33&lt;/D&gt;&lt;D xsi:type="xsd:double"&gt;2941.76&lt;/D&gt;&lt;D xsi:type="xsd:double"&gt;2924.92&lt;/D&gt;&lt;D xsi:type="xsd:double"&gt;2913.78&lt;/D&gt;&lt;D xsi:type="xsd:double"&gt;2917.38&lt;/D&gt;&lt;D xsi:type="xsd:double"&gt;2945.35&lt;/D&gt;&lt;D xsi:type="xsd:double"&gt;2950.46&lt;/D&gt;&lt;D xsi:type="xsd:double"&gt;2954.18&lt;/D&gt;&lt;D xsi:type="xsd:double"&gt;2926.46&lt;/D&gt;&lt;D xsi:type="xsd:double"&gt;2917.75&lt;/D&gt;&lt;D xsi:type="xsd:double"&gt;2889.67&lt;/D&gt;&lt;D xsi:type="xsd:double"&gt;2886.98&lt;/D&gt;&lt;D xsi:type="xsd:double"&gt;2891.64&lt;/D&gt;&lt;D xsi:type="xsd:double"&gt;2879.84&lt;/D&gt;&lt;D xsi:type="xsd:double"&gt;2885.72&lt;/D&gt;&lt;D xsi:type="xsd:double"&gt;2886.73&lt;/D&gt;&lt;D xsi:type="xsd:double"&gt;2873.34&lt;/D&gt;&lt;D xsi:type="xsd:double"&gt;2843.49&lt;/D&gt;&lt;D xsi:type="xsd:double"&gt;2826.15&lt;/D&gt;&lt;D xsi:type="xsd:double"&gt;2803.27&lt;/D&gt;&lt;D xsi:type="xsd:double"&gt;2744.45&lt;/D&gt;&lt;D xsi:type="xsd:double"&gt;2752.06&lt;/D&gt;&lt;D xsi:type="xsd:double"&gt;2788.86&lt;/D&gt;&lt;D xsi:type="xsd:double"&gt;2783.02&lt;/D&gt;&lt;D xsi:type="xsd:double"&gt;2802.39&lt;/D&gt;&lt;D xsi:type="xsd:double"&gt;2826.06&lt;/D&gt;&lt;D xsi:type="xsd:double"&gt;2822.24&lt;/D&gt;&lt;D xsi:type="xsd:double"&gt;2856.27&lt;/D&gt;&lt;D xsi:type="xsd:double"&gt;2864.36&lt;/D&gt;&lt;D xsi:type="xsd:double"&gt;2840.23&lt;/D&gt;&lt;D xsi:type="xsd:double"&gt;2859.53&lt;/D&gt;&lt;D xsi:type="xsd:double"&gt;2876.32&lt;/D&gt;&lt;D xsi:type="xsd:double"&gt;2850.96&lt;/D&gt;&lt;D xsi:type="xsd:double"&gt;2834.41&lt;/D&gt;&lt;D xsi:type="xsd:double"&gt;2811.87&lt;/D&gt;&lt;D xsi:type="xsd:double"&gt;2881.4&lt;/D&gt;&lt;D xsi:type="xsd:double"&gt;2870.72&lt;/D&gt;&lt;D xsi:type="xsd:double"&gt;2879.42&lt;/D&gt;&lt;D xsi:type="xsd:double"&gt;2884.05&lt;/D&gt;&lt;D xsi:type="xsd:double"&gt;2932.47&lt;/D&gt;&lt;D xsi:type="xsd:double"&gt;2945.64&lt;/D&gt;&lt;D xsi:type="xsd:double"&gt;2917.52&lt;/D&gt;&lt;D xsi:type="xsd:double"&gt;2923.73&lt;/D&gt;&lt;D xsi:type="xsd:double"&gt;2945.83&lt;/D&gt;&lt;D xsi:type="xsd:double"&gt;2943.03&lt;/D&gt;&lt;D xsi:type="xsd:double"&gt;2939.88&lt;/D&gt;&lt;D xsi:type="xsd:double"&gt;2926.17&lt;/D&gt;&lt;D xsi:type="xsd:double"&gt;2927.25&lt;/D&gt;&lt;D xsi:type="xsd:double"&gt;2933.68&lt;/D&gt;&lt;D xsi:type="xsd:double"&gt;2907.97&lt;/D&gt;&lt;D xsi:type="xsd:double"&gt;2905.03&lt;/D&gt;&lt;D xsi:type="xsd:double"&gt;2900.45&lt;/D&gt;&lt;D xsi:type="xsd:double"&gt;2907.06&lt;/D&gt;&lt;D xsi:type="xsd:double"&gt;2905.58&lt;/D&gt;&lt;D xsi:type="xsd:double"&gt;2907.41&lt;/D&gt;&lt;D xsi:type="xsd:double"&gt;2888.32&lt;/D&gt;&lt;D xsi:type="xsd:double"&gt;2888.21&lt;/D&gt;&lt;D xsi:type="xsd:double"&gt;2878.2&lt;/D&gt;&lt;D xsi:type="xsd:double"&gt;2895.77&lt;/D&gt;&lt;D xsi:type="xsd:double"&gt;2892.74&lt;/D&gt;&lt;D xsi:type="xsd:double"&gt;2879.39&lt;/D&gt;&lt;D xsi:type="xsd:double"&gt;2873.4&lt;/D&gt;&lt;D xsi:type="xsd:double"&gt;2867.24&lt;/D&gt;&lt;D xsi:type="xsd:double"&gt;2867.19&lt;/D&gt;&lt;D xsi:type="xsd:double"&gt;2834.4&lt;/D&gt;&lt;D xsi:type="xsd:double"&gt;2815.44&lt;/D&gt;&lt;D xsi:type="xsd:double"&gt;2805.37&lt;/D&gt;&lt;D xsi:type="xsd:double"&gt;2818.46&lt;/D&gt;&lt;D xsi:type="xsd:double"&gt;2798.36&lt;/D&gt;&lt;D xsi:type="xsd:double"&gt;2800.71&lt;/D&gt;&lt;D xsi:type="xsd:double"&gt;2854.88&lt;/D&gt;&lt;D xsi:type="xsd:double"&gt;2824.23&lt;/D&gt;&lt;D xsi:type="xsd:double"&gt;2832.57&lt;/D&gt;&lt;D xsi:type="xsd:double"&gt;2832.94&lt;/D&gt;&lt;D xsi:type="xsd:double"&gt;2822.48&lt;/D&gt;&lt;D xsi:type="xsd:double"&gt;2808.48&lt;/D&gt;&lt;D xsi:type="xsd:double"&gt;2810.92&lt;/D&gt;&lt;D xsi:type="xsd:double"&gt;2791.52&lt;/D&gt;&lt;D xsi:type="xsd:double"&gt;2783.3&lt;/D&gt;&lt;D xsi:type="xsd:double"&gt;2743.07&lt;/D&gt;&lt;D xsi:type="xsd:double"&gt;2748.93&lt;/D&gt;&lt;D xsi:type="xsd:double"&gt;2771.45&lt;/D&gt;&lt;D xsi:type="xsd:double"&gt;2789.65&lt;/D&gt;&lt;D xsi:type="xsd:double"&gt;2792.81&lt;/D&gt;&lt;D xsi:type="xsd:double"&gt;2803.69&lt;/D&gt;&lt;D xsi:type="xsd:double"&gt;2784.49&lt;/D&gt;&lt;D xsi:type="xsd:double"&gt;2792.38&lt;/D&gt;&lt;D xsi:type="xsd:double"&gt;2793.9&lt;/D&gt;&lt;D xsi:type="xsd:double"&gt;2796.11&lt;/D&gt;&lt;D xsi:type="xsd:double"&gt;2792.67&lt;/D&gt;&lt;D xsi:type="xsd:double"&gt;2774.88&lt;/D&gt;&lt;D xsi:type="xsd:double"&gt;2784.7&lt;/D&gt;&lt;D xsi:type="xsd:double"&gt;2779.76&lt;/D&gt;&lt;D xsi:type="xsd:double"&gt;2775.6&lt;/D&gt;&lt;D xsi:type="xsd:double"&gt;2745.73&lt;/D&gt;&lt;D xsi:type="xsd:double"&gt;2753.03&lt;/D&gt;&lt;D xsi:type="xsd:double"&gt;2744.73&lt;/D&gt;&lt;D xsi:type="xsd:double"&gt;2709.8&lt;/D&gt;&lt;D xsi:type="xsd:double"&gt;2707.88&lt;/D&gt;&lt;D xsi:type="xsd:double"&gt;2706.05&lt;/D&gt;&lt;D xsi:type="xsd:double"&gt;2731.61&lt;/D&gt;&lt;D xsi:type="xsd:double"&gt;2737.7&lt;/D&gt;&lt;D xsi:type="xsd:double"&gt;2724.87&lt;/D&gt;&lt;D xsi:type="xsd:double"&gt;2706.53&lt;/D&gt;&lt;D xsi:type="xsd:double"&gt;2704.1&lt;/D&gt;&lt;D xsi:type="xsd:double"&gt;2681.05&lt;/D&gt;&lt;D xsi:type="xsd:double"&gt;2640&lt;/D&gt;&lt;D xsi:type="xsd:double"&gt;2643.85&lt;/D&gt;&lt;D xsi:type="xsd:double"&gt;2664.76&lt;/D&gt;&lt;D xsi:type="xsd:double"&gt;2642.33&lt;/D&gt;&lt;D xsi:type="xsd:double"&gt;2638.7&lt;/D&gt;&lt;D xsi:type="xsd:double"&gt;2632.9&lt;/D&gt;&lt;D xsi:type="xsd:double"&gt;2670.71&lt;/D&gt;&lt;D xsi:type="xsd:double"&gt;2635.96&lt;/D&gt;&lt;D xsi:type="xsd:double"&gt;2616.1&lt;/D&gt;&lt;D xsi:type="xsd:double"&gt;2610.3&lt;/D&gt;&lt;D xsi:type="xsd:double"&gt;2582.61&lt;/D&gt;&lt;D xsi:type="xsd:double"&gt;2596.26&lt;/D&gt;&lt;D xsi:type="xsd:double"&gt;2596.64&lt;/D&gt;&lt;D xsi:type="xsd:double"&gt;2584.96&lt;/D&gt;&lt;D xsi:type="xsd:double"&gt;2574.41&lt;/D&gt;&lt;D xsi:type="xsd:double"&gt;2549.69&lt;/D&gt;&lt;D xsi:type="xsd:double"&gt;2531.94&lt;/D&gt;&lt;D xsi:type="xsd:double"&gt;2447.89&lt;/D&gt;&lt;D xsi:type="xsd:double"&gt;2510.03&lt;/D&gt;&lt;D xsi:type="xsd:double"&gt;2506.85&lt;/D&gt;&lt;D xsi:type="xsd:double"&gt;2485.74&lt;/D&gt;&lt;D xsi:type="xsd:double"&gt;2488.83&lt;/D&gt;&lt;D xsi:type="xsd:double"&gt;2467.7&lt;/D&gt;&lt;D xsi:type="xsd:double"&gt;2351.1&lt;/D&gt;&lt;D xsi:type="xsd:double"&gt;2416.62&lt;/D&gt;&lt;D xsi:type="xsd:double"&gt;2467.42&lt;/D&gt;&lt;D xsi:type="xsd:double"&gt;2506.96&lt;/D&gt;&lt;D xsi:type="xsd:double"&gt;2546.16&lt;/D&gt;&lt;D xsi:type="xsd:double"&gt;2545.94&lt;/D&gt;&lt;D xsi:type="xsd:double"&gt;2599.95&lt;/D&gt;&lt;D xsi:type="xsd:double"&gt;2650.54&lt;/D&gt;&lt;D xsi:type="xsd:double"&gt;2651.07&lt;/D&gt;&lt;D xsi:type="xsd:double"&gt;2636.78&lt;/D&gt;&lt;D xsi:type="xsd:double"&gt;2637.72&lt;/D&gt;&lt;D xsi:type="xsd:double"&gt;2633.08&lt;/D&gt;&lt;D xsi:type="xsd:double"&gt;2695.95&lt;/D&gt;&lt;D xsi:type="xsd:double"&gt;2700.06&lt;/D&gt;&lt;D xsi:type="xsd:double"&gt;2790.37&lt;/D&gt;&lt;D xsi:type="xsd:double"&gt;2760.17&lt;/D&gt;&lt;D xsi:type="xsd:double"&gt;2737.76&lt;/D&gt;&lt;D xsi:type="xsd:double"&gt;2743.79&lt;/D&gt;&lt;D xsi:type="xsd:double"&gt;2682.17&lt;/D&gt;&lt;D xsi:type="xsd:double"&gt;2673.45&lt;/D&gt;&lt;D xsi:type="xsd:double"&gt;2632.56&lt;/D&gt;&lt;D xsi:type="xsd:double"&gt;2649.93&lt;/D&gt;&lt;D xsi:type="xsd:double"&gt;2641.89&lt;/D&gt;&lt;D xsi:type="xsd:double"&gt;2690.73&lt;/D&gt;&lt;D xsi:type="xsd:double"&gt;2736.27&lt;/D&gt;&lt;D xsi:type="xsd:double"&gt;2730.2&lt;/D&gt;&lt;D xsi:type="xsd:double"&gt;2701.58&lt;/D&gt;&lt;D xsi:type="xsd:double"&gt;2722.18&lt;/D&gt;&lt;D xsi:type="xsd:double"&gt;2726.22&lt;/D&gt;&lt;D xsi:type="xsd:double"&gt;2781.01&lt;/D&gt;&lt;D xsi:type="xsd:double"&gt;2806.83&lt;/D&gt;&lt;D xsi:type="xsd:double"&gt;2813.89&lt;/D&gt;&lt;D xsi:type="xsd:double"&gt;2755.45&lt;/D&gt;&lt;D xsi:type="xsd:double"&gt;2738.31&lt;/D&gt;&lt;D xsi:type="xsd:double"&gt;2723.06&lt;/D&gt;&lt;D xsi:type="xsd:double"&gt;2740.37&lt;/D&gt;&lt;D xsi:type="xsd:double"&gt;2711.74&lt;/D&gt;&lt;D xsi:type="xsd:double"&gt;2682.63&lt;/D&gt;&lt;D xsi:type="xsd:double"&gt;2641.25&lt;/D&gt;&lt;D xsi:type="xsd:double"&gt;2658.69&lt;/D&gt;&lt;D xsi:type="xsd:double"&gt;2705.57&lt;/D&gt;&lt;D xsi:type="xsd:double"&gt;2656.1&lt;/D&gt;&lt;D xsi:type="xsd:double"&gt;2740.69&lt;/D&gt;&lt;D xsi:type="xsd:double"&gt;2755.88&lt;/D&gt;&lt;D xsi:type="xsd:double"&gt;2767.78&lt;/D&gt;&lt;D xsi:type="xsd:double"&gt;2768.78&lt;/D&gt;&lt;D xsi:type="xsd:double"&gt;2809.21&lt;/D&gt;&lt;D xsi:type="xsd:double"&gt;2809.92&lt;/D&gt;&lt;D xsi:type="xsd:double"&gt;2750.79&lt;/D&gt;&lt;D xsi:type="xsd:double"&gt;2767.13&lt;/D&gt;&lt;D xsi:type="xsd:double"&gt;2728.37&lt;/D&gt;&lt;D xsi:type="xsd:double"&gt;2785.68&lt;/D&gt;&lt;D xsi:type="xsd:double"&gt;2880.34&lt;/D&gt;&lt;D xsi:type="xsd:double"&gt;2884.43&lt;/D&gt;&lt;D xsi:type="xsd:double"&gt;2885.57&lt;/D&gt;&lt;D xsi:type="xsd:double"&gt;2901.61&lt;/D&gt;&lt;D xsi:type="xsd:double"&gt;2925.51&lt;/D&gt;&lt;D xsi:type="xsd:double"&gt;2923.43&lt;/D&gt;&lt;D xsi:type="xsd:double"&gt;2924.59&lt;/D&gt;&lt;D xsi:type="xsd:double"&gt;2913.98&lt;/D&gt;&lt;D xsi:type="xsd:double"&gt;2914&lt;/D&gt;&lt;D xsi:type="xsd:double"&gt;2905.97&lt;/D&gt;&lt;D xsi:type="xsd:double"&gt;2915.56&lt;/D&gt;&lt;D xsi:type="xsd:double"&gt;2919.37&lt;/D&gt;&lt;D xsi:type="xsd:double"&gt;2929.67&lt;/D&gt;&lt;D xsi:type="xsd:double"&gt;2930.75&lt;/D&gt;&lt;D xsi:type="xsd:double"&gt;2907.95&lt;/D&gt;&lt;D xsi:type="xsd:double"&gt;2904.31&lt;/D&gt;&lt;D xsi:type="xsd:double"&gt;2888.8&lt;/D&gt;&lt;D xsi:type="xsd:double"&gt;2904.98&lt;/D&gt;&lt;D xsi:type="xsd:double"&gt;2904.18&lt;/D&gt;&lt;D xsi:type="xsd:double"&gt;2888.92&lt;/D&gt;&lt;D xsi:type="xsd:double"&gt;2887.89&lt;/D&gt;&lt;D xsi:type="xsd:double"&gt;2877.13&lt;/D&gt;&lt;D xsi:type="xsd:double"&gt;2871.68&lt;/D&gt;&lt;D xsi:type="xsd:double"&gt;2878.05&lt;/D&gt;&lt;D xsi:type="xsd:double"&gt;2888.6&lt;/D&gt;&lt;D xsi:type="xsd:double"&gt;2896.72&lt;/D&gt;&lt;D xsi:type="xsd:double"&gt;2901.52&lt;/D&gt;&lt;D xsi:type="xsd:double"&gt;2901.13&lt;/D&gt;&lt;D xsi:type="xsd:double"&gt;2914.04&lt;/D&gt;&lt;D xsi:type="xsd:double"&gt;2897.52&lt;/D&gt;&lt;D xsi:type="xsd:double"&gt;2896.74&lt;/D&gt;&lt;D xsi:type="xsd:double"&gt;2874.69&lt;/D&gt;&lt;D xsi:type="xsd:double"&gt;2856.98&lt;/D&gt;&lt;D xsi:type="xsd:double"&gt;2861.82&lt;/D&gt;&lt;D xsi:type="xsd:double"&gt;2862.96&lt;/D&gt;&lt;D xsi:type="xsd:double"&gt;2857.05&lt;/D&gt;&lt;D xsi:type="xsd:double"&gt;2850.13&lt;/D&gt;&lt;D xsi:type="xsd:double"&gt;2840.69&lt;/D&gt;&lt;D xsi:type="xsd:double"&gt;2818.37&lt;/D&gt;&lt;D xsi:type="xsd:double"&gt;2839.96&lt;/D&gt;&lt;D xsi:type="xsd:double"&gt;2821.93&lt;/D&gt;&lt;D xsi:type="xsd:double"&gt;2833.28&lt;/D&gt;&lt;D xsi:type="xsd:double"&gt;2853.58&lt;/D&gt;&lt;D xsi:type="xsd:double"&gt;2857.7&lt;/D&gt;&lt;D xsi:type="xsd:double"&gt;2858.45&lt;/D&gt;&lt;D xsi:type="xsd:double"&gt;2850.4&lt;/D&gt;&lt;D xsi:type="xsd:double"&gt;2840.35&lt;/D&gt;&lt;D xsi:type="xsd:double"&gt;2827.22&lt;/D&gt;&lt;D xsi:type="xsd:double"&gt;2813.36&lt;/D&gt;&lt;D xsi:type="xsd:double"&gt;2816.29&lt;/D&gt;&lt;D xsi:type="xsd:double"&gt;2802.6&lt;/D&gt;&lt;D xsi:type="xsd:double"&gt;2818.82&lt;/D&gt;&lt;D xsi:type="xsd:double"&gt;2837.44&lt;/D&gt;&lt;D xsi:type="xsd:double"&gt;2846.07&lt;/D&gt;&lt;D xsi:type="xsd:double"&gt;2820.4&lt;/D&gt;&lt;D xsi:type="xsd:double"&gt;2806.98&lt;/D&gt;&lt;D xsi:type="xsd:double"&gt;2801.83&lt;/D&gt;&lt;D xsi:type="xsd:double"&gt;2804.49&lt;/D&gt;&lt;D xsi:type="xsd:double"&gt;2815.62&lt;/D&gt;&lt;D xsi:type="xsd:double"&gt;2809.55&lt;/D&gt;&lt;D xsi:type="xsd:double"&gt;2798.43&lt;/D&gt;&lt;D xsi:type="xsd:double"&gt;2801.31&lt;/D&gt;&lt;D xsi:type="xsd:double"&gt;2798.29&lt;/D&gt;&lt;D xsi:type="xsd:double"&gt;2774.02&lt;/D&gt;&lt;D xsi:type="xsd:double"&gt;2793.84&lt;/D&gt;&lt;D xsi:type="xsd:double"&gt;2784.17&lt;/D&gt;&lt;D xsi:type="xsd:double"&gt;2759.82&lt;/D&gt;&lt;D xsi:type="xsd:double"&gt;2736.61&lt;/D&gt;&lt;D xsi:type="xsd:double"&gt;2713.22&lt;/D&gt;&lt;D xsi:type="xsd:double"&gt;2726.71&lt;/D&gt;&lt;D xsi:type="xsd:double"&gt;2718.37&lt;/D&gt;&lt;D xsi:type="xsd:double"&gt;2716.31&lt;/D&gt;&lt;D xsi:type="xsd:double"&gt;2699.63&lt;/D&gt;&lt;D xsi:type="xsd:double"&gt;2723.06&lt;/D&gt;&lt;D xsi:type="xsd:double"&gt;2717.07&lt;/D&gt;&lt;D xsi:type="xsd:double"&gt;2754.88&lt;/D&gt;&lt;D xsi:type="xsd:double"&gt;2749.76&lt;/D&gt;&lt;D xsi:type="xsd:double"&gt;2767.32&lt;/D&gt;&lt;D xsi:type="xsd:double"&gt;2762.59&lt;/D&gt;&lt;D xsi:type="xsd:double"&gt;2773.75&lt;/D&gt;&lt;D xsi:type="xsd:double"&gt;2779.66&lt;/D&gt;&lt;D xsi:type="xsd:double"&gt;2782.49&lt;/D&gt;&lt;D xsi:type="xsd:double"&gt;2775.63&lt;/D&gt;&lt;D xsi:type="xsd:double"&gt;2786.85&lt;/D&gt;&lt;D xsi:type="xsd:double"&gt;2782&lt;/D&gt;&lt;D xsi:type="xsd:double"&gt;2779.03&lt;/D&gt;&lt;D xsi:type="xsd:double"&gt;2770.37&lt;/D&gt;&lt;D xsi:type="xsd:double"&gt;2772.35&lt;/D&gt;&lt;D xsi:type="xsd:double"&gt;2748.8&lt;/D&gt;&lt;D xsi:type="xsd:double"&gt;2746.87&lt;/D&gt;&lt;D xsi:type="xsd:double"&gt;2734.62&lt;/D&gt;&lt;D xsi:type="xsd:double"&gt;2705.27&lt;/D&gt;&lt;D xsi:type="xsd:double"&gt;2724.01&lt;/D&gt;&lt;D xsi:type="xsd:double"&gt;2689.86&lt;/D&gt;&lt;D xsi:type="xsd:double"&gt;2721.33&lt;/D&gt;&lt;D xsi:type="xsd:double"&gt;2727.76&lt;/D&gt;&lt;D xsi:type="xsd:double"&gt;2733.29&lt;/D&gt;&lt;D xsi:type="xsd:double"&gt;2724.44&lt;/D&gt;&lt;D xsi:type="xsd:double"&gt;2733.01&lt;/D&gt;&lt;D xsi:type="xsd:double"&gt;2712.97&lt;/D&gt;&lt;D xsi:type="xsd:double"&gt;2720.13&lt;/D&gt;&lt;D xsi:type="xsd:double"&gt;2722.46&lt;/D&gt;&lt;D xsi:type="xsd:double"&gt;2711.45&lt;/D&gt;&lt;D xsi:type="xsd:double"&gt;2730.13&lt;/D&gt;&lt;D xsi:type="xsd:double"&gt;2727.72&lt;/D&gt;&lt;D xsi:type="xsd:double"&gt;2723.07&lt;/D&gt;&lt;D xsi:type="xsd:double"&gt;2697.79&lt;/D&gt;&lt;D xsi:type="xsd:double"&gt;2671.92&lt;/D&gt;&lt;D xsi:type="xsd:double"&gt;2672.63&lt;/D&gt;&lt;D xsi:type="xsd:double"&gt;2663.42&lt;/D&gt;&lt;D xsi:type="xsd:double"&gt;2629.73&lt;/D&gt;&lt;D xsi:type="xsd:double"&gt;2635.67&lt;/D&gt;&lt;D xsi:type="xsd:double"&gt;2654.8&lt;/D&gt;&lt;D xsi:type="xsd:double"&gt;2648.05&lt;/D&gt;&lt;D xsi:type="xsd:double"&gt;2669.91&lt;/D&gt;&lt;D xsi:type="xsd:double"&gt;2666.94&lt;/D&gt;&lt;D xsi:type="xsd:double"&gt;2639.4&lt;/D&gt;&lt;D xsi:type="xsd:double"&gt;2634.56&lt;/D&gt;&lt;D xsi:type="xsd:double"&gt;2670.29&lt;/D&gt;&lt;D xsi:type="xsd:double"&gt;2670.14&lt;/D&gt;&lt;D xsi:type="xsd:double"&gt;2693.13&lt;/D&gt;&lt;D xsi:type="xsd:double"&gt;2708.64&lt;/D&gt;&lt;D xsi:type="xsd:double"&gt;2706.39&lt;/D&gt;&lt;D xsi:type="xsd:double"&gt;2677.84&lt;/D&gt;&lt;D xsi:type="xsd:double"&gt;2656.3&lt;/D&gt;&lt;D xsi:type="xsd:double"&gt;2663.99&lt;/D&gt;&lt;D xsi:type="xsd:double"&gt;2642.19&lt;/D&gt;&lt;D xsi:type="xsd:double"&gt;2656.87&lt;/D&gt;&lt;D xsi:type="xsd:double"&gt;2613.16&lt;/D&gt;&lt;D xsi:type="xsd:double"&gt;2604.47&lt;/D&gt;&lt;D xsi:type="xsd:double"&gt;2662.84&lt;/D&gt;&lt;D xsi:type="xsd:double"&gt;2644.69&lt;/D&gt;&lt;D xsi:type="xsd:double"&gt;2614.45&lt;/D&gt;&lt;D xsi:type="xsd:double"&gt;2581.88&lt;/D&gt;&lt;D xsi:type="xsd:double"&gt;2640.87&lt;/D&gt;&lt;D xsi:type="xsd:double"&gt;2605&lt;/D&gt;&lt;D xsi:type="xsd:double"&gt;2612.62&lt;/D&gt;&lt;D xsi:type="xsd:double"&gt;2658.55&lt;/D&gt;&lt;D xsi:type="xsd:double"&gt;2588.26&lt;/D&gt;&lt;D xsi:type="xsd:double"&gt;2643.69&lt;/D&gt;&lt;D xsi:type="xsd:double"&gt;2711.93&lt;/D&gt;&lt;D xsi:type="xsd:double"&gt;2716.94&lt;/D&gt;&lt;D xsi:type="xsd:double"&gt;2712.92&lt;/D&gt;&lt;D xsi:type="xsd:double"&gt;2752.01&lt;/D&gt;&lt;D xsi:type="xsd:double"&gt;2747.33&lt;/D&gt;&lt;D xsi:type="xsd:double"&gt;2749.48&lt;/D&gt;&lt;D xsi:type="xsd:double"&gt;2765.31&lt;/D&gt;&lt;D xsi:type="xsd:double"&gt;2783.02&lt;/D&gt;&lt;D xsi:type="xsd:double"&gt;2786.57&lt;/D&gt;&lt;D xsi:type="xsd:double"&gt;2738.97&lt;/D&gt;&lt;D xsi:type="xsd:double"&gt;2726.8&lt;/D&gt;&lt;D xsi:type="xsd:double"&gt;2728.12&lt;/D&gt;&lt;D xsi:type="xsd:double"&gt;2720.94&lt;/D&gt;&lt;D xsi:type="xsd:double"&gt;2691.25&lt;/D&gt;&lt;D xsi:type="xsd:double"&gt;2677.67&lt;/D&gt;&lt;D xsi:type="xsd:double"&gt;2713.83&lt;/D&gt;&lt;D xsi:type="xsd:double"&gt;2744.28&lt;/D&gt;&lt;D xsi:type="xsd:double"&gt;2779.6&lt;/D&gt;&lt;D xsi:type="xsd:double"&gt;2747.3&lt;/D&gt;&lt;D xsi:type="xsd:double"&gt;2703.96&lt;/D&gt;&lt;D xsi:type="xsd:double"&gt;2701.33&lt;/D&gt;&lt;D xsi:type="xsd:double"&gt;2716.26&lt;/D&gt;&lt;D xsi:type="xsd:double"&gt;2732.22&lt;/D&gt;&lt;D xsi:type="xsd:double"&gt;2731.2&lt;/D&gt;&lt;D xsi:type="xsd:double"&gt;2698.63&lt;/D&gt;&lt;D xsi:type="xsd:double"&gt;2662.94&lt;/D&gt;&lt;D xsi:type="xsd:double"&gt;2656&lt;/D&gt;&lt;D xsi:type="xsd:double"&gt;2619.55&lt;/D&gt;&lt;D xsi:type="xsd:double"&gt;2581&lt;/D&gt;&lt;D xsi:type="xsd:double"&gt;2681.66&lt;/D&gt;&lt;D xsi:type="xsd:double"&gt;2695.14&lt;/D&gt;&lt;D xsi:type="xsd:double"&gt;2648.94&lt;/D&gt;&lt;D xsi:type="xsd:double"&gt;2762.13&lt;/D&gt;&lt;D xsi:type="xsd:double"&gt;2821.98&lt;/D&gt;&lt;D xsi:type="xsd:double"&gt;2823.81&lt;/D&gt;&lt;D xsi:type="xsd:double"&gt;2822.43&lt;/D&gt;&lt;D xsi:type="xsd:double"&gt;2853.53&lt;/D&gt;&lt;D xsi:type="xsd:double"&gt;2872.87&lt;/D&gt;&lt;D xsi:type="xsd:double"&gt;2839.25&lt;/D&gt;&lt;D xsi:type="xsd:double"&gt;2837.54&lt;/D&gt;&lt;D xsi:type="xsd:double"&gt;2839.13&lt;/D&gt;&lt;D xsi:type="xsd:double"&gt;2832.97&lt;/D&gt;&lt;D xsi:type="xsd:double"&gt;2810.3&lt;/D&gt;&lt;D xsi:type="xsd:double"&gt;2798.03&lt;/D&gt;&lt;D xsi:type="xsd:double"&gt;2802.56&lt;/D&gt;&lt;D xsi:type="xsd:double"&gt;2776.42&lt;/D&gt;&lt;D xsi:type="xsd:double"&gt;2786.24&lt;/D&gt;&lt;D xsi:type="xsd:double"&gt;2767.56&lt;/D&gt;&lt;D xsi:type="xsd:double"&gt;2748.23&lt;/D&gt;&lt;D xsi:type="xsd:double"&gt;2751.29&lt;/D&gt;&lt;D xsi:type="xsd:double"&gt;2747.71&lt;/D&gt;&lt;D xsi:type="xsd:double"&gt;2743.15&lt;/D&gt;&lt;D xsi:type="xsd:double"&gt;2723.99&lt;/D&gt;&lt;D xsi:type="xsd:double"&gt;2713.06&lt;/D&gt;&lt;D xsi:type="xsd:double"&gt;2695.81&lt;/D&gt;&lt;D xsi:type="xsd:double"&gt;2673.61&lt;/D&gt;&lt;D xsi:type="xsd:double"&gt;2687.54&lt;/D&gt;&lt;D xsi:type="xsd:double"&gt;2682.62&lt;/D&gt;&lt;D xsi:type="xsd:double"&gt;2680.5&lt;/D&gt;&lt;D xsi:type="xsd:double"&gt;2683.34&lt;/D&gt;&lt;D xsi:type="xsd:double"&gt;2684.57&lt;/D&gt;&lt;D xsi:type="xsd:double"&gt;2679.25&lt;/D&gt;&lt;D xsi:type="xsd:double"&gt;2681.47&lt;/D&gt;&lt;D xsi:type="xsd:double"&gt;2690.16&lt;/D&gt;&lt;D xsi:type="xsd:double"&gt;2675.81&lt;/D&gt;&lt;D xsi:type="xsd:double"&gt;2652.01&lt;/D&gt;&lt;D xsi:type="xsd:double"&gt;2662.85&lt;/D&gt;&lt;D xsi:type="xsd:double"&gt;2664.11&lt;/D&gt;&lt;D xsi:type="xsd:double"&gt;2659.99&lt;/D&gt;&lt;D xsi:type="xsd:double"&gt;2651.5&lt;/D&gt;&lt;D xsi:type="xsd:double"&gt;2636.98&lt;/D&gt;&lt;D xsi:type="xsd:double"&gt;2629.27&lt;/D&gt;&lt;D xsi:type="xsd:double"&gt;2629.57&lt;/D&gt;&lt;D xsi:type="xsd:double"&gt;2639.44&lt;/D&gt;&lt;D xsi:type="xsd:double"&gt;2642.22&lt;/D&gt;&lt;D xsi:type="xsd:double"&gt;2647.58&lt;/D&gt;&lt;D xsi:type="xsd:double"&gt;2626.07&lt;/D&gt;&lt;D xsi:type="xsd:double"&gt;2627.04&lt;/D&gt;&lt;D xsi:type="xsd:double"&gt;2601.42&lt;/D&gt;&lt;D xsi:type="xsd:double"&gt;2602.42&lt;/D&gt;&lt;D xsi:type="xsd:double"&gt;2597.08&lt;/D&gt;&lt;D xsi:type="xsd:double"&gt;2599.03&lt;/D&gt;&lt;D xsi:type="xsd:double"&gt;2582.14&lt;/D&gt;&lt;D xsi:type="xsd:double"&gt;2578.85&lt;/D&gt;&lt;D xsi:type="xsd:double"&gt;2585.64&lt;/D&gt;&lt;D xsi:type="xsd:double"&gt;2564.62&lt;/D&gt;&lt;D xsi:type="xsd:double"&gt;2578.87&lt;/D&gt;&lt;D xsi:type="xsd:double"</t>
        </r>
      </text>
    </comment>
    <comment ref="A5" authorId="0" shapeId="0" xr:uid="{B938B5BE-72F9-4072-9DF3-36358186904C}">
      <text>
        <r>
          <rPr>
            <b/>
            <sz val="9"/>
            <color indexed="81"/>
            <rFont val="Tahoma"/>
            <charset val="1"/>
          </rPr>
          <t>&gt;2584.84&lt;/D&gt;&lt;D xsi:type="xsd:double"&gt;2582.3&lt;/D&gt;&lt;D xsi:type="xsd:double"&gt;2584.62&lt;/D&gt;&lt;D xsi:type="xsd:double"&gt;2594.38&lt;/D&gt;&lt;D xsi:type="xsd:double"&gt;2590.64&lt;/D&gt;&lt;D xsi:type="xsd:double"&gt;2591.13&lt;/D&gt;&lt;D xsi:type="xsd:double"&gt;2587.84&lt;/D&gt;&lt;D xsi:type="xsd:double"&gt;2579.85&lt;/D&gt;&lt;D xsi:type="xsd:double"&gt;2579.36&lt;/D&gt;&lt;D xsi:type="xsd:double"&gt;2575.26&lt;/D&gt;&lt;D xsi:type="xsd:double"&gt;2572.83&lt;/D&gt;&lt;D xsi:type="xsd:double"&gt;2581.07&lt;/D&gt;&lt;D xsi:type="xsd:double"&gt;2560.4&lt;/D&gt;&lt;D xsi:type="xsd:double"&gt;2557.15&lt;/D&gt;&lt;D xsi:type="xsd:double"&gt;2569.13&lt;/D&gt;&lt;D xsi:type="xsd:double"&gt;2564.98&lt;/D&gt;&lt;D xsi:type="xsd:double"&gt;2575.21&lt;/D&gt;&lt;D xsi:type="xsd:double"&gt;2562.1&lt;/D&gt;&lt;D xsi:type="xsd:double"&gt;2561.26&lt;/D&gt;&lt;D xsi:type="xsd:double"&gt;2559.36&lt;/D&gt;&lt;D xsi:type="xsd:double"&gt;2557.64&lt;/D&gt;&lt;D xsi:type="xsd:double"&gt;2553.17&lt;/D&gt;&lt;D xsi:type="xsd:double"&gt;2550.93&lt;/D&gt;&lt;D xsi:type="xsd:double"&gt;2555.24&lt;/D&gt;&lt;D xsi:type="xsd:double"&gt;2550.64&lt;/D&gt;&lt;D xsi:type="xsd:double"&gt;2544.73&lt;/D&gt;&lt;D xsi:type="xsd:double"&gt;2549.33&lt;/D&gt;&lt;D xsi:type="xsd:double"&gt;2552.07&lt;/D&gt;&lt;D xsi:type="xsd:double"&gt;2537.74&lt;/D&gt;&lt;D xsi:type="xsd:double"&gt;2534.58&lt;/D&gt;&lt;D xsi:type="xsd:double"&gt;2529.12&lt;/D&gt;&lt;D xsi:type="xsd:double"&gt;2519.36&lt;/D&gt;&lt;D xsi:type="xsd:double"&gt;2510.06&lt;/D&gt;&lt;D xsi:type="xsd:double"&gt;2507.04&lt;/D&gt;&lt;D xsi:type="xsd:double"&gt;2496.84&lt;/D&gt;&lt;D xsi:type="xsd:double"&gt;2496.66&lt;/D&gt;&lt;D xsi:type="xsd:double"&gt;2502.22&lt;/D&gt;&lt;D xsi:type="xsd:double"&gt;2500.6&lt;/D&gt;&lt;D xsi:type="xsd:double"&gt;2508.24&lt;/D&gt;&lt;D xsi:type="xsd:double"&gt;2506.65&lt;/D&gt;&lt;D xsi:type="xsd:double"&gt;2503.87&lt;/D&gt;&lt;D xsi:type="xsd:double"&gt;2500.23&lt;/D&gt;&lt;D xsi:type="xsd:double"&gt;2495.62&lt;/D&gt;&lt;D xsi:type="xsd:double"&gt;2498.37&lt;/D&gt;&lt;D xsi:type="xsd:double"&gt;2496.48&lt;/D&gt;&lt;D xsi:type="xsd:double"&gt;2488.11&lt;/D&gt;&lt;D xsi:type="xsd:double"&gt;2461.43&lt;/D&gt;&lt;D xsi:type="xsd:double"&gt;2465.1&lt;/D&gt;&lt;D xsi:type="xsd:double"&gt;2465.54&lt;/D&gt;&lt;D xsi:type="xsd:double"&gt;2457.85&lt;/D&gt;&lt;D xsi:type="xsd:double"&gt;2476.55&lt;/D&gt;&lt;D xsi:type="xsd:double"&gt;2471.65&lt;/D&gt;&lt;D xsi:type="xsd:double"&gt;2457.59&lt;/D&gt;&lt;D xsi:type="xsd:double"&gt;2446.3&lt;/D&gt;&lt;D xsi:type="xsd:double"&gt;2444.24&lt;/D&gt;&lt;D xsi:type="xsd:double"&gt;2443.05&lt;/D&gt;&lt;D xsi:type="xsd:double"&gt;2438.97&lt;/D&gt;&lt;D xsi:type="xsd:double"&gt;2444.04&lt;/D&gt;&lt;D xsi:type="xsd:double"&gt;2452.51&lt;/D&gt;&lt;D xsi:type="xsd:double"&gt;2428.37&lt;/D&gt;&lt;D xsi:type="xsd:double"&gt;2425.55&lt;/D&gt;&lt;D xsi:type="xsd:double"&gt;2430.01&lt;/D&gt;&lt;D xsi:type="xsd:double"&gt;2468.11&lt;/D&gt;&lt;D xsi:type="xsd:double"&gt;2464.61&lt;/D&gt;&lt;D xsi:type="xsd:double"&gt;2465.84&lt;/D&gt;&lt;D xsi:type="xsd:double"&gt;2441.32&lt;/D&gt;&lt;D xsi:type="xsd:double"&gt;2438.21&lt;/D&gt;&lt;D xsi:type="xsd:double"&gt;2474.02&lt;/D&gt;&lt;D xsi:type="xsd:double"&gt;2474.92&lt;/D&gt;&lt;D xsi:type="xsd:double"&gt;2480.91&lt;/D&gt;&lt;D xsi:type="xsd:double"&gt;2476.83&lt;/D&gt;&lt;D xsi:type="xsd:double"&gt;2472.16&lt;/D&gt;&lt;D xsi:type="xsd:double"&gt;2477.57&lt;/D&gt;&lt;D xsi:type="xsd:double"&gt;2476.35&lt;/D&gt;&lt;D xsi:type="xsd:double"&gt;2470.3&lt;/D&gt;&lt;D xsi:type="xsd:double"&gt;2472.1&lt;/D&gt;&lt;D xsi:type="xsd:double"&gt;2475.42&lt;/D&gt;&lt;D xsi:type="xsd:double"&gt;2477.83&lt;/D&gt;&lt;D xsi:type="xsd:double"&gt;2477.13&lt;/D&gt;&lt;D xsi:type="xsd:double"&gt;2469.91&lt;/D&gt;&lt;D xsi:type="xsd:double"&gt;2472.54&lt;/D&gt;&lt;D xsi:type="xsd:double"&gt;2473.45&lt;/D&gt;&lt;D xsi:type="xsd:double"&gt;2473.83&lt;/D&gt;&lt;D xsi:type="xsd:double"&gt;2460.61&lt;/D&gt;&lt;D xsi:type="xsd:double"&gt;2459.14&lt;/D&gt;&lt;D xsi:type="xsd:double"&gt;2459.27&lt;/D&gt;&lt;D xsi:type="xsd:double"&gt;2447.83&lt;/D&gt;&lt;D xsi:type="xsd:double"&gt;2443.25&lt;/D&gt;&lt;D xsi:type="xsd:double"&gt;2425.53&lt;/D&gt;&lt;D xsi:type="xsd:double"&gt;2427.43&lt;/D&gt;&lt;D xsi:type="xsd:double"&gt;2425.18&lt;/D&gt;&lt;D xsi:type="xsd:double"&gt;2409.75&lt;/D&gt;&lt;D xsi:type="xsd:double"&gt;2432.54&lt;/D&gt;&lt;D xsi:type="xsd:double"&gt;2429.01&lt;/D&gt;&lt;D xsi:type="xsd:double"&gt;2423.41&lt;/D&gt;&lt;D xsi:type="xsd:double"&gt;2419.7&lt;/D&gt;&lt;D xsi:type="xsd:double"&gt;2440.69&lt;/D&gt;&lt;D xsi:type="xsd:double"&gt;2419.38&lt;/D&gt;&lt;D xsi:type="xsd:double"&gt;2439.07&lt;/D&gt;&lt;D xsi:type="xsd:double"&gt;2438.3&lt;/D&gt;&lt;D xsi:type="xsd:double"&gt;2434.5&lt;/D&gt;&lt;D xsi:type="xsd:double"&gt;2435.61&lt;/D&gt;&lt;D xsi:type="xsd:double"&gt;2437.03&lt;/D&gt;&lt;D xsi:type="xsd:double"&gt;2453.46&lt;/D&gt;&lt;D xsi:type="xsd:double"&gt;2433.15&lt;/D&gt;&lt;D xsi:type="xsd:double"&gt;2432.46&lt;/D&gt;&lt;D xsi:type="xsd:double"&gt;2437.92&lt;/D&gt;&lt;D xsi:type="xsd:double"&gt;2440.35&lt;/D&gt;&lt;D xsi:type="xsd:double"&gt;2429.39&lt;/D&gt;&lt;D xsi:type="xsd:double"&gt;2431.77&lt;/D&gt;&lt;D xsi:type="xsd:double"&gt;2433.79&lt;/D&gt;&lt;D xsi:type="xsd:double"&gt;2433.14&lt;/D&gt;&lt;D xsi:type="xsd:double"&gt;2429.33&lt;/D&gt;&lt;D xsi:type="xsd:double"&gt;2436.1&lt;/D&gt;&lt;D xsi:type="xsd:double"&gt;2439.07&lt;/D&gt;&lt;D xsi:type="xsd:double"&gt;2430.06&lt;/D&gt;&lt;D xsi:type="xsd:double"&gt;2411.8&lt;/D&gt;&lt;D xsi:type="xsd:double"&gt;2412.91&lt;/D&gt;&lt;D xsi:type="xsd:double"&gt;2415.82&lt;/D&gt;&lt;D xsi:type="xsd:double"&gt;2415.07&lt;/D&gt;&lt;D xsi:type="xsd:double"&gt;2404.39&lt;/D&gt;&lt;D xsi:type="xsd:double"&gt;2398.42&lt;/D&gt;&lt;D xsi:type="xsd:double"&gt;2394.02&lt;/D&gt;&lt;D xsi:type="xsd:double"&gt;2381.73&lt;/D&gt;&lt;D xsi:type="xsd:double"&gt;2365.72&lt;/D&gt;&lt;D xsi:type="xsd:double"&gt;2357.03&lt;/D&gt;&lt;D xsi:type="xsd:double"&gt;2400.67&lt;/D&gt;&lt;D xsi:type="xsd:double"&gt;2402.32&lt;/D&gt;&lt;D xsi:type="xsd:double"&gt;2390.9&lt;/D&gt;&lt;D xsi:type="xsd:double"&gt;2394.44&lt;/D&gt;&lt;D xsi:type="xsd:double"&gt;2399.63&lt;/D&gt;&lt;D xsi:type="xsd:double"&gt;2396.92&lt;/D&gt;&lt;D xsi:type="xsd:double"&gt;2399.38&lt;/D&gt;&lt;D xsi:type="xsd:double"&gt;2399.29&lt;/D&gt;&lt;D xsi:type="xsd:double"&gt;2389.52&lt;/D&gt;&lt;D xsi:type="xsd:double"&gt;2388.13&lt;/D&gt;&lt;D xsi:type="xsd:double"&gt;2391.17&lt;/D&gt;&lt;D xsi:type="xsd:double"&gt;2388.33&lt;/D&gt;&lt;D xsi:type="xsd:double"&gt;2384.2&lt;/D&gt;&lt;D xsi:type="xsd:double"&gt;2388.77&lt;/D&gt;&lt;D xsi:type="xsd:double"&gt;2387.45&lt;/D&gt;&lt;D xsi:type="xsd:double"&gt;2388.61&lt;/D&gt;&lt;D xsi:type="xsd:double"&gt;2374.15&lt;/D&gt;&lt;D xsi:type="xsd:double"&gt;2348.69&lt;/D&gt;&lt;D xsi:type="xsd:double"&gt;2355.84&lt;/D&gt;&lt;D xsi:type="xsd:double"&gt;2338.17&lt;/D&gt;&lt;D xsi:type="xsd:double"&gt;2342.19&lt;/D&gt;&lt;D xsi:type="xsd:double"&gt;2349.01&lt;/D&gt;&lt;D xsi:type="xsd:double"&gt;2328.95&lt;/D&gt;&lt;D xsi:type="xsd:double"&gt;2344.93&lt;/D&gt;&lt;D xsi:type="xsd:double"&gt;2353.78&lt;/D&gt;&lt;D xsi:type="xsd:double"&gt;2357.16&lt;/D&gt;&lt;D xsi:type="xsd:double"&gt;2355.54&lt;/D&gt;&lt;D xsi:type="xsd:double"&gt;2357.49&lt;/D&gt;&lt;D xsi:type="xsd:double"&gt;2352.95&lt;/D&gt;&lt;D xsi:type="xsd:double"&gt;2360.16&lt;/D&gt;&lt;D xsi:type="xsd:double"&gt;2358.84&lt;/D&gt;&lt;D xsi:type="xsd:double"&gt;2362.72&lt;/D&gt;&lt;D xsi:type="xsd:double"&gt;2368.06&lt;/D&gt;&lt;D xsi:type="xsd:double"&gt;2361.13&lt;/D&gt;&lt;D xsi:type="xsd:double"&gt;2358.57&lt;/D&gt;&lt;D xsi:type="xsd:double"&gt;2341.59&lt;/D&gt;&lt;D xsi:type="xsd:double"&gt;2343.98&lt;/D&gt;&lt;D xsi:type="xsd:double"&gt;2345.96&lt;/D&gt;&lt;D xsi:type="xsd:double"&gt;2348.45&lt;/D&gt;&lt;D xsi:type="xsd:double"&gt;2344.02&lt;/D&gt;&lt;D xsi:type="xsd:double"&gt;2373.47&lt;/D&gt;&lt;D xsi:type="xsd:double"&gt;2378.25&lt;/D&gt;&lt;D xsi:type="xsd:double"&gt;2381.38&lt;/D&gt;&lt;D xsi:type="xsd:double"&gt;2385.26&lt;/D&gt;&lt;D xsi:type="xsd:double"&gt;2365.45&lt;/D&gt;&lt;D xsi:type="xsd:double"&gt;2373.47&lt;/D&gt;&lt;D xsi:type="xsd:double"&gt;2372.6&lt;/D&gt;&lt;D xsi:type="xsd:double"&gt;2364.87&lt;/D&gt;&lt;D xsi:type="xsd:double"&gt;2362.98&lt;/D&gt;&lt;D xsi:type="xsd:double"&gt;2368.39&lt;/D&gt;&lt;D xsi:type="xsd:double"&gt;2375.31&lt;/D&gt;&lt;D xsi:type="xsd:double"&gt;2383.12&lt;/D&gt;&lt;D xsi:type="xsd:double"&gt;2381.92&lt;/D&gt;&lt;D xsi:type="xsd:double"&gt;2395.96&lt;/D&gt;&lt;D xsi:type="xsd:double"&gt;2363.64&lt;/D&gt;&lt;D xsi:type="xsd:double"&gt;2369.75&lt;/D&gt;&lt;D xsi:type="xsd:double"&gt;2367.34&lt;/D&gt;&lt;D xsi:type="xsd:double"&gt;2363.81&lt;/D&gt;&lt;D xsi:type="xsd:double"&gt;2362.82&lt;/D&gt;&lt;D xsi:type="xsd:double"&gt;2365.38&lt;/D&gt;&lt;D xsi:type="xsd:double"&gt;2351.16&lt;/D&gt;&lt;D xsi:type="xsd:double"&gt;2347.22&lt;/D&gt;&lt;D xsi:type="xsd:double"&gt;2349.25&lt;/D&gt;&lt;D xsi:type="xsd:double"&gt;2337.58&lt;/D&gt;&lt;D xsi:type="xsd:double"&gt;2328.25&lt;/D&gt;&lt;D xsi:type="xsd:double"&gt;2316.1&lt;/D&gt;&lt;D xsi:type="xsd:double"&gt;2307.87&lt;/D&gt;&lt;D xsi:type="xsd:double"&gt;2294.67&lt;/D&gt;&lt;D xsi:type="xsd:double"&gt;2293.08&lt;/D&gt;&lt;D xsi:type="xsd:double"&gt;2292.56&lt;/D&gt;&lt;D xsi:type="xsd:double"&gt;2297.42&lt;/D&gt;&lt;D xsi:type="xsd:double"&gt;2280.85&lt;/D&gt;&lt;D xsi:type="xsd:double"&gt;2279.55&lt;/D&gt;&lt;D xsi:type="xsd:double"&gt;2278.87&lt;/D&gt;&lt;D xsi:type="xsd:double"&gt;2280.9&lt;/D&gt;&lt;D xsi:type="xsd:double"&gt;2294.69&lt;/D&gt;&lt;D xsi:type="xsd:double"&gt;2296.68&lt;/D&gt;&lt;D xsi:type="xsd:double"&gt;2298.37&lt;/D&gt;&lt;D xsi:type="xsd:double"&gt;2280.07&lt;/D&gt;&lt;D xsi:type="xsd:double"&gt;2265.2&lt;/D&gt;&lt;D xsi:type="xsd:double"&gt;2271.31&lt;/D&gt;&lt;D xsi:type="xsd:double"&gt;2263.69&lt;/D&gt;&lt;D xsi:type="xsd:double"&gt;2271.89&lt;/D&gt;&lt;D xsi:type="xsd:double"&gt;2267.89&lt;/D&gt;&lt;D xsi:type="xsd:double"&gt;2274.64&lt;/D&gt;&lt;D xsi:type="xsd:double"&gt;2270.44&lt;/D&gt;&lt;D xsi:type="xsd:double"&gt;2275.32&lt;/D&gt;&lt;D xsi:type="xsd:double"&gt;2268.9&lt;/D&gt;&lt;D xsi:type="xsd:double"&gt;2268.9&lt;/D&gt;&lt;D xsi:type="xsd:double"&gt;2276.98&lt;/D&gt;&lt;D xsi:type="xsd:double"&gt;2269&lt;/D&gt;&lt;D xsi:type="xsd:double"&gt;2270.75&lt;/D&gt;&lt;D xsi:type="xsd:double"&gt;2257.83&lt;/D&gt;&lt;D xsi:type="xsd:double"&gt;2238.83&lt;/D&gt;&lt;D xsi:type="xsd:double"&gt;2249.26&lt;/D&gt;&lt;D xsi:type="xsd:double"&gt;2249.92&lt;/D&gt;&lt;D xsi:type="xsd:double"&gt;2268.88&lt;/D&gt;&lt;D xsi:type="xsd:double"&gt;2263.79&lt;/D&gt;&lt;D xsi:type="xsd:double"&gt;2260.96&lt;/D&gt;&lt;D xsi:type="xsd:double"&gt;2265.18&lt;/D&gt;&lt;D xsi:type="xsd:double"&gt;2270.76&lt;/D&gt;&lt;D xsi:type="xsd:double"&gt;2262.53&lt;/D&gt;&lt;D xsi:type="xsd:double"&gt;2258.07&lt;/D&gt;&lt;D xsi:type="xsd:double"&gt;2262.03&lt;/D&gt;&lt;D xsi:type="xsd:double"&gt;2253.28&lt;/D&gt;&lt;D xsi:type="xsd:double"&gt;2271.72&lt;/D&gt;&lt;D xsi:type="xsd:double"&gt;2256.96&lt;/D&gt;&lt;D xsi:type="xsd:double"&gt;2259.53&lt;/D&gt;&lt;D xsi:type="xsd:double"&gt;2246.19&lt;/D&gt;&lt;D xsi:type="xsd:double"&gt;2241.35&lt;/D&gt;&lt;D xsi:type="xsd:double"&gt;2212.23&lt;/D&gt;&lt;D xsi:type="xsd:double"&gt;2204.71&lt;/D&gt;&lt;D xsi:type="xsd:double"&gt;2191.95&lt;/D&gt;&lt;D xsi:type="xsd:double"&gt;2191.08&lt;/D&gt;&lt;D xsi:type="xsd:double"&gt;2198.81&lt;/D&gt;&lt;D xsi:type="xsd:double"&gt;2204.66&lt;/D&gt;&lt;D xsi:type="xsd:double"&gt;2201.72&lt;/D&gt;&lt;D xsi:type="xsd:double"&gt;2213.35&lt;/D&gt;&lt;D xsi:type="xsd:double"&gt;2204.72&lt;/D&gt;&lt;D xsi:type="xsd:double"&gt;2202.94&lt;/D&gt;&lt;D xsi:type="xsd:double"&gt;2198.18&lt;/D&gt;&lt;D xsi:type="xsd:double"&gt;2181.9&lt;/D&gt;&lt;D xsi:type="xsd:double"&gt;2187.12&lt;/D&gt;&lt;D xsi:type="xsd:double"&gt;2176.94&lt;/D&gt;&lt;D xsi:type="xsd:double"&gt;2180.39&lt;/D&gt;&lt;D xsi:type="xsd:double"&gt;2164.2&lt;/D&gt;&lt;D xsi:type="xsd:double"&gt;2164.45&lt;/D&gt;&lt;D xsi:type="xsd:double"&gt;2167.48&lt;/D&gt;&lt;D xsi:type="xsd:double"&gt;2163.26&lt;/D&gt;&lt;D xsi:type="xsd:double"&gt;2139.56&lt;/D&gt;&lt;D xsi:type="xsd:double"&gt;2131.52&lt;/D&gt;&lt;D xsi:type="xsd:double"&gt;2085.18&lt;/D&gt;&lt;D xsi:type="xsd:double"&gt;2088.66&lt;/D&gt;&lt;D xsi:type="xsd:double"&gt;2097.94&lt;/D&gt;&lt;D xsi:type="xsd:double"&gt;2111.72&lt;/D&gt;&lt;D xsi:type="xsd:double"&gt;2126.15&lt;/D&gt;&lt;D xsi:type="xsd:double"&gt;2126.41&lt;/D&gt;&lt;D xsi:type="xsd:double"&gt;2133.04&lt;/D&gt;&lt;D xsi:type="xsd:double"&gt;2139.43&lt;/D&gt;&lt;D xsi:type="xsd:double"&gt;2143.16&lt;/D&gt;&lt;D xsi:type="xsd:double"&gt;2151.33&lt;/D&gt;&lt;D xsi:type="xsd:double"&gt;2141.16&lt;/D&gt;&lt;D xsi:type="xsd:double"&gt;2141.34&lt;/D&gt;&lt;D xsi:type="xsd:double"&gt;2144.29&lt;/D&gt;&lt;D xsi:type="xsd:double"&gt;2139.6&lt;/D&gt;&lt;D xsi:type="xsd:double"&gt;2126.5&lt;/D&gt;&lt;D xsi:type="xsd:double"&gt;2132.98&lt;/D&gt;&lt;D xsi:type="xsd:double"&gt;2132.55&lt;/D&gt;&lt;D xsi:type="xsd:double"&gt;2139.18&lt;/D&gt;&lt;D xsi:type="xsd:double"&gt;2136.73&lt;/D&gt;&lt;D xsi:type="xsd:double"&gt;2163.66&lt;/D&gt;&lt;D xsi:type="xsd:double"&gt;2153.74&lt;/D&gt;&lt;D xsi:type="xsd:double"&gt;2160.77&lt;/D&gt;&lt;D xsi:type="xsd:double"&gt;2159.73&lt;/D&gt;&lt;D xsi:type="xsd:double"&gt;2150.49&lt;/D&gt;&lt;D xsi:type="xsd:double"&gt;2161.2&lt;/D&gt;&lt;D xsi:type="xsd:double"&gt;2168.27&lt;/D&gt;&lt;D xsi:type="xsd:double"&gt;2151.13&lt;/D&gt;&lt;D xsi:type="xsd:double"&gt;2171.37&lt;/D&gt;&lt;D xsi:type="xsd:double"&gt;2159.93&lt;/D&gt;&lt;D xsi:type="xsd:double"&gt;2146.1&lt;/D&gt;&lt;D xsi:type="xsd:double"&gt;2164.69&lt;/D&gt;&lt;D xsi:type="xsd:double"&gt;2177.18&lt;/D&gt;&lt;D xsi:type="xsd:double"&gt;2163.12&lt;/D&gt;&lt;D xsi:type="xsd:double"&gt;2139.76&lt;/D&gt;&lt;D xsi:type="xsd:double"&gt;2139.12&lt;/D&gt;&lt;D xsi:type="xsd:double"&gt;2139.16&lt;/D&gt;&lt;D xsi:type="xsd:double"&gt;2147.26&lt;/D&gt;&lt;D xsi:type="xsd:double"&gt;2125.77&lt;/D&gt;&lt;D xsi:type="xsd:double"&gt;2127.02&lt;/D&gt;&lt;D xsi:type="xsd:double"&gt;2159.04&lt;/D&gt;&lt;D xsi:type="xsd:double"&gt;2127.81&lt;/D&gt;&lt;D xsi:type="xsd:double"&gt;2181.3&lt;/D&gt;&lt;D xsi:type="xsd:double"&gt;2186.16&lt;/D&gt;&lt;D xsi:type="xsd:double"&gt;2186.48&lt;/D&gt;&lt;D xsi:type="xsd:double"&gt;2179.98&lt;/D&gt;&lt;D xsi:type="xsd:double"&gt;2170.86&lt;/D&gt;&lt;D xsi:type="xsd:double"&gt;2170.95&lt;/D&gt;&lt;D xsi:type="xsd:double"&gt;2176.12&lt;/D&gt;&lt;D xsi:type="xsd:double"&gt;2180.38&lt;/D&gt;&lt;D xsi:type="xsd:double"&gt;2169.04&lt;/D&gt;&lt;D xsi:type="xsd:double"&gt;2172.47&lt;/D&gt;&lt;D xsi:type="xsd:double"&gt;2175.44&lt;/D&gt;&lt;D xsi:type="xsd:double"&gt;2186.9&lt;/D&gt;&lt;D xsi:type="xsd:double"&gt;2182.64&lt;/D&gt;&lt;D xsi:type="xsd:double"&gt;2183.87&lt;/D&gt;&lt;D xsi:type="xsd:double"&gt;2187.02&lt;/D&gt;&lt;D xsi:type="xsd:double"&gt;2182.22&lt;/D&gt;&lt;D xsi:type="xsd:double"&gt;2178.15&lt;/D&gt;&lt;D xsi:type="xsd:double"&gt;2190.15&lt;/D&gt;&lt;D xsi:type="xsd:double"&gt;2184.05&lt;/D&gt;&lt;D xsi:type="xsd:double"&gt;2185.79&lt;/D&gt;&lt;D xsi:type="xsd:double"&gt;2175.49&lt;/D&gt;&lt;D xsi:type="xsd:double"&gt;2181.74&lt;/D&gt;&lt;D xsi:type="xsd:double"&gt;2180.89&lt;/D&gt;&lt;D xsi:type="xsd:double"&gt;2182.87&lt;/D&gt;&lt;D xsi:type="xsd:double"&gt;2164.25&lt;/D&gt;&lt;D xsi:type="xsd:double"&gt;2163.79&lt;/D&gt;&lt;D xsi:type="xsd:double"&gt;2157.03&lt;/D&gt;&lt;D xsi:type="xsd:double"&gt;2170.84&lt;/D&gt;&lt;D xsi:type="xsd:double"&gt;2173.6&lt;/D&gt;&lt;D xsi:type="xsd:double"&gt;2170.06&lt;/D&gt;&lt;D xsi:type="xsd:double"&gt;2166.58&lt;/D&gt;&lt;D xsi:type="xsd:double"&gt;2169.18&lt;/D&gt;&lt;D xsi:type="xsd:double"&gt;2168.48&lt;/D&gt;&lt;D xsi:type="xsd:double"&gt;2175.03&lt;/D&gt;&lt;D xsi:type="xsd:double"&gt;2165.17&lt;/D&gt;&lt;D xsi:type="xsd:double"&gt;2173.02&lt;/D&gt;&lt;D xsi:type="xsd:double"&gt;2163.78&lt;/D&gt;&lt;D xsi:type="xsd:double"&gt;2166.89&lt;/D&gt;&lt;D xsi:type="xsd:double"&gt;2161.74&lt;/D&gt;&lt;D xsi:type="xsd:double"&gt;2163.75&lt;/D&gt;&lt;D xsi:type="xsd:double"&gt;2152.43&lt;/D&gt;&lt;D xsi:type="xsd:double"&gt;2152.14&lt;/D&gt;&lt;D xsi:type="xsd:double"&gt;2137.16&lt;/D&gt;&lt;D xsi:type="xsd:double"&gt;2129.9&lt;/D&gt;&lt;D xsi:type="xsd:double"&gt;2097.9&lt;/D&gt;&lt;D xsi:type="xsd:double"&gt;2099.73&lt;/D&gt;&lt;D xsi:type="xsd:double"&gt;2088.55&lt;/D&gt;&lt;D xsi:type="xsd:double"&gt;2102.95&lt;/D&gt;&lt;D xsi:type="xsd:double"&gt;2098.86&lt;/D&gt;&lt;D xsi:type="xsd:double"&gt;2070.77&lt;/D&gt;&lt;D xsi:type="xsd:double"&gt;2036.09&lt;/D&gt;&lt;D xsi:type="xsd:double"&gt;2000.54&lt;/D&gt;&lt;D xsi:type="xsd:double"&gt;2037.41&lt;/D&gt;&lt;D xsi:type="xsd:double"&gt;2113.32&lt;/D&gt;&lt;D xsi:type="xsd:double"&gt;2085.45&lt;/D&gt;&lt;D xsi:type="xsd:double"&gt;2088.9&lt;/D&gt;&lt;D xsi:type="xsd:double"&gt;2083.25&lt;/D&gt;&lt;D xsi:type="xsd:double"&gt;2071.22&lt;/D&gt;&lt;D xsi:type="xsd:double"&gt;2077.99&lt;/D&gt;&lt;D xsi:type="xsd:double"&gt;2071.5&lt;/D&gt;&lt;D xsi:type="xsd:double"&gt;2075.32&lt;/D&gt;&lt;D xsi:type="xsd:double"&gt;2079.06&lt;/D&gt;&lt;D xsi:type="xsd:double"&gt;2096.07&lt;/D&gt;&lt;D xsi:type="xsd:double"&gt;2115.48&lt;/D&gt;&lt;D xsi:type="xsd:double"&gt;2119.12&lt;/D&gt;&lt;D xsi:type="xsd:double"&gt;2112.13&lt;/D&gt;&lt;D xsi:type="xsd:double"&gt;2109.41&lt;/D&gt;&lt;D xsi:type="xsd:double"&gt;2099.13&lt;/D&gt;&lt;D xsi:type="xsd:double"&gt;2105.26&lt;/D&gt;&lt;D xsi:type="xsd:double"&gt;2099.33&lt;/D&gt;&lt;D xsi:type="xsd:double"&gt;2096.96&lt;/D&gt;&lt;D xsi:type="xsd:double"&gt;2099.06&lt;/D&gt;&lt;D xsi:type="xsd:double"&gt;2090.1&lt;/D&gt;&lt;D xsi:type="xsd:double"&gt;2090.54&lt;/D&gt;&lt;D xsi:type="xsd:double"&gt;2076.06&lt;/D&gt;&lt;D xsi:type="xsd:double"&gt;2048.04&lt;/D&gt;&lt;D xsi:type="xsd:double"&gt;2052.32&lt;/D&gt;&lt;D xsi:type="xsd:double"&gt;2040.04&lt;/D&gt;&lt;D xsi:type="xsd:double"&gt;2047.63&lt;/D&gt;&lt;D xsi:type="xsd:double"&gt;2047.21&lt;/D&gt;&lt;D xsi:type="xsd:double"&gt;2066.66&lt;/D&gt;&lt;D xsi:type="xsd:double"&gt;2046.61&lt;/D&gt;&lt;D xsi:type="xsd:double"&gt;2064.11&lt;/D&gt;&lt;D xsi:type="xsd:double"&gt;2064.46&lt;/D&gt;&lt;D xsi:type="xsd:double"&gt;2084.39&lt;/D&gt;&lt;D xsi:type="xsd:double"&gt;2058.69&lt;/D&gt;&lt;D xsi:type="xsd:double"&gt;2057.14&lt;/D&gt;&lt;D xsi:type="xsd:double"&gt;2050.63&lt;/D&gt;&lt;D xsi:type="xsd:double"&gt;2051.12&lt;/D&gt;&lt;D xsi:type="xsd:double"&gt;2063.37&lt;/D&gt;&lt;D xsi:type="xsd:double"&gt;2081.43&lt;/D&gt;&lt;D xsi:type="xsd:double"&gt;2065.3&lt;/D&gt;&lt;D xsi:type="xsd:double"&gt;2075.81&lt;/D&gt;&lt;D xsi:type="xsd:double"&gt;2095.15&lt;/D&gt;&lt;D xsi:type="xsd:double"&gt;2091.7&lt;/D&gt;&lt;D xsi:type="xsd:double"&gt;2087.79&lt;/D&gt;&lt;D xsi:type="xsd:double"&gt;2091.58&lt;/D&gt;&lt;D xsi:type="xsd:double"&gt;2091.48&lt;/D&gt;&lt;D xsi:type="xsd:double"&gt;2102.4&lt;/D&gt;&lt;D xsi:type="xsd:double"&gt;2100.8&lt;/D&gt;&lt;D xsi:type="xsd:double"&gt;2094.34&lt;/D&gt;&lt;D xsi:type="xsd:double"&gt;2080.73&lt;/D&gt;&lt;D xsi:type="xsd:double"&gt;2082.78&lt;/D&gt;&lt;D xsi:type="xsd:double"&gt;2082.42&lt;/D&gt;&lt;D xsi:type="xsd:double"&gt;2061.72&lt;/D&gt;&lt;D xsi:type="xsd:double"&gt;2041.99&lt;/D&gt;&lt;D xsi:type="xsd:double"&gt;2047.6&lt;/D&gt;&lt;D xsi:type="xsd:double"&gt;2041.91&lt;/D&gt;&lt;D xsi:type="xsd:double"&gt;2066.66&lt;/D&gt;&lt;D xsi:type="xsd:double"&gt;2045.17&lt;/D&gt;&lt;D xsi:type="xsd:double"&gt;2066.13&lt;/D&gt;&lt;D xsi:type="xsd:double"&gt;2072.78&lt;/D&gt;&lt;D xsi:type="xsd:double"&gt;2059.74&lt;/D&gt;&lt;D xsi:type="xsd:double"&gt;2063.95&lt;/D&gt;&lt;D xsi:type="xsd:double"&gt;2055.01&lt;/D&gt;&lt;D xsi:type="xsd:double"&gt;2037.05&lt;/D&gt;&lt;D xsi:type="xsd:double"&gt;2035.94&lt;/D&gt;&lt;D xsi:type="xsd:double"&gt;2036.71&lt;/D&gt;&lt;D xsi:type="xsd:double"&gt;2049.8&lt;/D&gt;&lt;D xsi:type="xsd:double"&gt;2051.6&lt;/D&gt;&lt;D xsi:type="xsd:double"&gt;2049.58&lt;/D&gt;&lt;D xsi:type="xsd:double"&gt;2040.59&lt;/D&gt;&lt;D xsi:type="xsd:double"&gt;2027.22&lt;/D&gt;&lt;D xsi:type="xsd:double"&gt;2015.93&lt;/D&gt;&lt;D xsi:type="xsd:double"&gt;2019.64&lt;/D&gt;&lt;D xsi:type="xsd:double"&gt;2022.19&lt;/D&gt;&lt;D xsi:type="xsd:double"&gt;1989.57&lt;/D&gt;&lt;D xsi:type="xsd:double"&gt;1989.26&lt;/D&gt;&lt;D xsi:type="xsd:double"&gt;1979.26&lt;/D&gt;&lt;D xsi:type="xsd:double"&gt;2001.76&lt;/D&gt;&lt;D xsi:type="xsd:double"&gt;1999.99&lt;/D&gt;&lt;D xsi:type="xsd:double"&gt;1993.4&lt;/D&gt;&lt;D xsi:type="xsd:double"&gt;1986.45&lt;/D&gt;&lt;D xsi:type="xsd:double"&gt;1978.35&lt;/D&gt;&lt;D xsi:type="xsd:double"&gt;1932.23&lt;/D&gt;&lt;D xsi:type="xsd:double"&gt;1948.05&lt;/D&gt;&lt;D xsi:type="xsd:double"&gt;1951.7&lt;/D&gt;&lt;D xsi:type="xsd:double"&gt;1929.8&lt;/D&gt;&lt;D xsi:type="xsd:double"&gt;1921.27&lt;/D&gt;&lt;D xsi:type="xsd:double"&gt;1945.5&lt;/D&gt;&lt;D xsi:type="xsd:double"&gt;1917.78&lt;/D&gt;&lt;D xsi:type="xsd:double"&gt;1917.83&lt;/D&gt;&lt;D xsi:type="xsd:double"&gt;1926.82&lt;/D&gt;&lt;D xsi:type="xsd:double"&gt;1895.58&lt;/D&gt;&lt;D xsi:type="xsd:double"&gt;1864.78&lt;/D&gt;&lt;D xsi:type="xsd:double"&gt;1829.08&lt;/D&gt;&lt;D xsi:type="xsd:double"&gt;1851.86&lt;/D&gt;&lt;D xsi:type="xsd:double"&gt;1852.21&lt;/D&gt;&lt;D xsi:type="xsd:double"&gt;1853.44&lt;/D&gt;&lt;D xsi:type="xsd:double"&gt;1880.05&lt;/D&gt;&lt;D xsi:type="xsd:double"&gt;1915.45&lt;/D&gt;&lt;D xsi:type="xsd:double"&gt;1912.53&lt;/D&gt;&lt;D xsi:type="xsd:double"&gt;1903.03&lt;/D&gt;&lt;D xsi:type="xsd:double"&gt;1939.38&lt;/D&gt;&lt;D xsi:type="xsd:double"&gt;1940.24&lt;/D&gt;&lt;D xsi:type="xsd:double"&gt;1893.36&lt;/D&gt;&lt;D xsi:type="xsd:double"&gt;1882.95&lt;/D&gt;&lt;D xsi:type="xsd:double"&gt;1903.63&lt;/D&gt;&lt;D xsi:type="xsd:double"&gt;1877.08&lt;/D&gt;&lt;D xsi:type="xsd:double"&gt;1906.9&lt;/D&gt;&lt;D xsi:type="xsd:double"&gt;1868.99&lt;/D&gt;&lt;D xsi:type="xsd:double"&gt;1859.33&lt;/D&gt;&lt;D xsi:type="xsd:double"&gt;1881.33&lt;/D&gt;&lt;D xsi:type="xsd:double"&gt;1880.33&lt;/D&gt;&lt;D xsi:type="xsd:double"&gt;1921.84&lt;/D&gt;&lt;D xsi:type="xsd:double"&gt;1890.28&lt;/D&gt;&lt;D xsi:type="xsd:double"&gt;1938.68&lt;/D&gt;&lt;D xsi:type="xsd:double"&gt;1923.67&lt;/D&gt;&lt;D xsi:type="xsd:double"&gt;1922.03&lt;/D&gt;&lt;D xsi:type="xsd:double"&gt;1943.09&lt;/D&gt;&lt;D xsi:type="xsd:double"&gt;1990.26&lt;/D&gt;&lt;D xsi:type="xsd:double"&gt;2016.71&lt;/D&gt;&lt;D xsi:type="xsd:double"&gt;2012.66&lt;/D&gt;&lt;D xsi:type="xsd:double"&gt;2043.94&lt;/D&gt;&lt;D xsi:type="xsd:double"&gt;2063.36&lt;/D&gt;&lt;D xsi:type="xsd:double"&gt;2078.36&lt;/D&gt;&lt;D xsi:type="xsd:double"&gt;2056.5&lt;/D&gt;&lt;D xsi:type="xsd:double"&gt;2060.99&lt;/D&gt;&lt;D xsi:type="xsd:double"&gt;2064.29&lt;/D&gt;&lt;D xsi:type="xsd:double"&gt;2038.97&lt;/D&gt;&lt;D xsi:type="xsd:double"&gt;2021.15&lt;/D&gt;&lt;D xsi:type="xsd:double"&gt;2005.55&lt;/D&gt;&lt;D xsi:type="xsd:double"&gt;2041.89&lt;/D&gt;&lt;D xsi:type="xsd:double"&gt;2073.07&lt;/D&gt;&lt;D xsi:type="xsd:double"&gt;2043.41&lt;/D&gt;&lt;D xsi:type="xsd:double"&gt;2021.94&lt;/D&gt;&lt;D xsi:type="xsd:double"&gt;2012.37&lt;/D&gt;&lt;D xsi:type="xsd:double"&gt;2052.23&lt;/D&gt;&lt;D xsi:type="xsd:double"&gt;2047.62&lt;/D&gt;&lt;D xsi:type="xsd:double"&gt;2063.59&lt;/D&gt;&lt;D xsi:type="xsd:double"&gt;2077.07&lt;/D&gt;&lt;D xsi:type="xsd:double"&gt;2091.69&lt;/D&gt;&lt;D xsi:type="xsd:double"&gt;2049.62&lt;/D&gt;&lt;D xsi:type="xsd:double"&gt;2079.51&lt;/D&gt;&lt;D xsi:type="xsd:double"&gt;2102.63&lt;/D&gt;&lt;D xsi:type="xsd:double"&gt;2080.41&lt;/D&gt;&lt;D xsi:type="xsd:double"&gt;2090.11&lt;/D&gt;&lt;D xsi:type="xsd:double"&gt;2088.87&lt;/D&gt;&lt;D xsi:type="xsd:double"&gt;2089.14&lt;/D&gt;&lt;D xsi:type="xsd:double"&gt;2086.59&lt;/D&gt;&lt;D xsi:type="xsd:double"&gt;2089.17&lt;/D&gt;&lt;D xsi:type="xsd:double"&gt;2081.24&lt;/D&gt;&lt;D xsi:type="xsd:double"&gt;2083.58&lt;/D&gt;&lt;D xsi:type="xsd:double"&gt;2050.44&lt;/D&gt;&lt;D xsi:type="xsd:double"&gt;2053.19&lt;/D&gt;&lt;D xsi:type="xsd:double"&gt;2023.04&lt;/D&gt;&lt;D xsi:type="xsd:double"&gt;2045.97&lt;/D&gt;&lt;D xsi:type="xsd:double"&gt;2075&lt;/D&gt;&lt;D xsi:type="xsd:double"&gt;2081.72&lt;/D&gt;&lt;D xsi:type="xsd:double"&gt;2078.58&lt;/D&gt;&lt;D xsi:type="xsd:double"&gt;2099.2&lt;/D&gt;&lt;D xsi:type="xsd:double"&gt;2099.93&lt;/D&gt;&lt;D xsi:type="xsd:double"&gt;2102.31&lt;/D&gt;&lt;D xsi:type="xsd:double"&gt;2109.79&lt;/D&gt;&lt;D xsi:type="xsd:double"&gt;2104.05&lt;/D&gt;&lt;D xsi:type="xsd:double"&gt;2079.36&lt;/D&gt;&lt;D xsi:type="xsd:double"&gt;2089.41&lt;/D&gt;&lt;D xsi:type="xsd:double"&gt;2090.35&lt;/D&gt;&lt;D xsi:type="xsd:double"&gt;2065.89&lt;/D&gt;&lt;D xsi:type="xsd:double"&gt;2071.18&lt;/D&gt;&lt;D xsi:type="xsd:double"&gt;2075.15&lt;/D&gt;&lt;D xsi:type="xsd:double"&gt;2052.51&lt;/D&gt;&lt;D xsi:type="xsd:double"&gt;2018.94&lt;/D&gt;&lt;D xsi:type="xsd:double"&gt;2030.77&lt;/D&gt;&lt;D xsi:type="xsd:double"&gt;2033.66&lt;/D&gt;&lt;D xsi:type="xsd:double"&gt;2033.11&lt;/D&gt;&lt;D xsi:type="xsd:double"&gt;2023.86&lt;/D&gt;&lt;D xsi:type="xsd:double"&gt;1994.24&lt;/D&gt;&lt;D xsi:type="xsd:double"&gt;2003.69&lt;/D&gt;&lt;D xsi:type="xsd:double"&gt;2017.46&lt;/D&gt;&lt;D xsi:type="xsd:double"&gt;2014.89&lt;/D&gt;&lt;D xsi:type="xsd:double"&gt;2013.43&lt;/D&gt;&lt;D xsi:type="xsd:double"&gt;1995.83&lt;/D&gt;&lt;D xsi:type="xsd:double"&gt;1979.92&lt;/D&gt;&lt;D xsi:type="xsd:double"&gt;1987.05&lt;/D&gt;&lt;D xsi:type="xsd:double"&gt;1951.36&lt;/D&gt;&lt;D xsi:type="xsd:double"&gt;1923.82&lt;/D&gt;&lt;D xsi:type="xsd:double"&gt;1920.03&lt;/D&gt;&lt;D xsi:type="xsd:double"&gt;1884.09&lt;/D&gt;&lt;D xsi:type="xsd:double"&gt;1881.77&lt;/D&gt;&lt;D xsi:type="xsd:double"&gt;1931.34&lt;/D&gt;&lt;D xsi:type="xsd:double"&gt;1932.24&lt;/D&gt;&lt;D xsi:type="xsd:double"&gt;1938.76&lt;/D&gt;&lt;D xsi:type="xsd:double"&gt;1942.74&lt;/D&gt;&lt;D xsi:type="xsd:double"&gt;1966.97&lt;/D&gt;&lt;D xsi:type="xsd:double"&gt;1958.03&lt;/D&gt;&lt;D xsi:type="xsd:double"&gt;1990.2&lt;/D&gt;&lt;D xsi:type="xsd:double"&gt;1995.31&lt;/D&gt;&lt;D xsi:type="xsd:double"&gt;1978.09&lt;/D&gt;&lt;D xsi:type="xsd:double"&gt;1953.03&lt;/D&gt;&lt;D xsi:type="xsd:double"&gt;1961.05&lt;/D&gt;&lt;D xsi:type="xsd:double"&gt;1952.29&lt;/D&gt;&lt;D xsi:type="xsd:double"&gt;1942.04&lt;/D&gt;&lt;D xsi:type="xsd:double"&gt;1969.41&lt;/D&gt;&lt;D xsi:type="xsd:double"&gt;1921.22&lt;/D&gt;&lt;D xsi:type="xsd:double"&gt;1951.13&lt;/D&gt;&lt;D xsi:type="xsd:double"&gt;1948.86&lt;/D&gt;&lt;D xsi:type="xsd:double"&gt;1913.85&lt;/D&gt;&lt;D xsi:type="xsd:double"&gt;1972.18&lt;/D&gt;&lt;D xsi:type="xsd:double"&gt;1988.87&lt;/D&gt;&lt;D xsi:type="xsd:double"&gt;1987.66&lt;/D&gt;&lt;D xsi:type="xsd:double"&gt;1940.51&lt;/D&gt;&lt;D xsi:type="xsd:double"&gt;1867.61&lt;/D&gt;&lt;D xsi:type="xsd:double"&gt;1893.21&lt;/D&gt;&lt;D xsi:type="xsd:double"&gt;1970.89&lt;/D&gt;&lt;D xsi:type="xsd:double"&gt;2035.73&lt;/D&gt;&lt;D xsi:type="xsd:double"&gt;2079.61&lt;/D&gt;&lt;D xsi:type="xsd:double"&gt;2096.92&lt;/D&gt;&lt;D xsi:type="xsd:double"&gt;2102.44&lt;/D&gt;&lt;D xsi:type="xsd:double"&gt;2091.54&lt;/D&gt;&lt;D xsi:type="xsd:double"&gt;2083.39&lt;/D&gt;&lt;D xsi:type="xsd:double"&gt;2086.05&lt;/D&gt;&lt;D xsi:type="xsd:double"&gt;2084.07&lt;/D&gt;&lt;D xsi:type="xsd:double"&gt;2104.18&lt;/D&gt;&lt;D xsi:type="xsd:double"&gt;2077.57&lt;/D&gt;&lt;D xsi:type="xsd:double"&gt;2083.56&lt;/D&gt;&lt;D xsi:type="xsd:double"&gt;2099.84&lt;/D&gt;&lt;D xsi:type="xsd:double"&gt;2093.32&lt;/D&gt;&lt;D xsi:type="xsd:double"&gt;2098.04&lt;/D&gt;&lt;D xsi:type="xsd:double"&gt;2103.84&lt;/D&gt;&lt;D xsi:type="xsd:double"&gt;2108.63&lt;/D&gt;&lt;D xsi:type="xsd:double"&gt;2108.57&lt;/D&gt;&lt;D xsi:type="xsd:double"&gt;2093.25&lt;/D&gt;&lt;D xsi:type="xsd:double"&gt;2067.64&lt;/D&gt;&lt;D xsi:type="xsd:double"&gt;2079.65&lt;/D&gt;&lt;D xsi:type="xsd:double"&gt;2102.15&lt;/D&gt;&lt;D xsi:type="xsd:double"&gt;2114.15&lt;/D&gt;&lt;D xsi:type="xsd:double"&gt;2119.21&lt;/D&gt;&lt;D xsi:type="xsd:double"&gt;2128.28&lt;/D&gt;&lt;D xsi:type="xsd:double"&gt;2126.64&lt;/D&gt;&lt;D xsi:type="xsd:double"&gt;2124.29&lt;/D&gt;&lt;D xsi:type="xsd:double"&gt;2107.4&lt;/D&gt;&lt;D xsi:type="xsd:double"&gt;2108.95&lt;/D&gt;&lt;D xsi:type="xsd:double"&gt;2099.6&lt;/D&gt;&lt;D xsi:type="xsd:double"&gt;2076.62&lt;/D&gt;&lt;D xsi:type="xsd:double"&gt;2051.31&lt;/D&gt;&lt;D xsi:type="xsd:double"&gt;2046.68&lt;/D&gt;&lt;D xsi:type="xsd:double"&gt;2081.34&lt;/D&gt;&lt;D xsi:type="xsd:double"&gt;2068.76&lt;/D&gt;&lt;D xsi:type="xsd:double"&gt;2076.78&lt;/D&gt;&lt;D xsi:type="xsd:double"&gt;2077.42&lt;/D&gt;&lt;D xsi:type="xsd:double"&gt;2063.11&lt;/D&gt;&lt;D xsi:type="xsd:double"&gt;2057.64&lt;/D&gt;&lt;D xsi:type="xsd:double"&gt;2101.49&lt;/D&gt;&lt;D xsi:type="xsd:double"&gt;2102.31&lt;/D&gt;&lt;D xsi:type="xsd:double"&gt;2108.58&lt;/D&gt;&lt;D xsi:type="xsd:double"&gt;2124.2&lt;/D&gt;&lt;D xsi:type="xsd:double"&gt;2122.85&lt;/D&gt;&lt;D xsi:type="xsd:double"&gt;2109.99&lt;/D&gt;&lt;D xsi:type="xsd:double"&gt;2121.24&lt;/D&gt;&lt;D xsi:type="xsd:double"&gt;2100.44&lt;/D&gt;&lt;D xsi:type="xsd:double"&gt;2096.29&lt;/D&gt;&lt;D xsi:type="xsd:double"&gt;2084.43&lt;/D&gt;&lt;D xsi:type="xsd:double"&gt;2094.11&lt;/D&gt;&lt;D xsi:type="xsd:double"&gt;2108.86&lt;/D&gt;&lt;D xsi:type="xsd:double"&gt;2105.2&lt;/D&gt;&lt;D xsi:type="xsd:double"&gt;2080.15&lt;/D&gt;&lt;D xsi:type="xsd:double"&gt;2079.28&lt;/D&gt;&lt;D xsi:type="xsd:double"&gt;2092.83&lt;/D&gt;&lt;D xsi:type="xsd:double"&gt;2095.84&lt;/D&gt;&lt;D xsi:type="xsd:double"&gt;2114.07&lt;/D&gt;&lt;D xsi:type="xsd:double"&gt;2109.6&lt;/D&gt;&lt;D xsi:type="xsd:double"&gt;2111.73&lt;/D&gt;&lt;D xsi:type="xsd:double"&gt;2107.39&lt;/D&gt;&lt;D xsi:type="xsd:double"&gt;2120.79&lt;/D&gt;&lt;D xsi:type="xsd:double"&gt;2123.48&lt;/D&gt;&lt;D xsi:type="xsd:double"&gt;2104.2&lt;/D&gt;&lt;D xsi:type="xsd:double"&gt;2126.06&lt;/D&gt;&lt;D xsi:type="xsd:double"&gt;2130.82&lt;/D&gt;&lt;D xsi:type="xsd:double"&gt;2125.85&lt;/D&gt;&lt;D xsi:type="xsd:double"&gt;2127.83&lt;/D&gt;&lt;D xsi:type="xsd:double"&gt;2129.2&lt;/D&gt;&lt;D xsi:type="xsd:double"&gt;2122.73&lt;/D&gt;&lt;D xsi:type="xsd:double"&gt;2121.1&lt;/D&gt;&lt;D xsi:type="xsd:double"&gt;2098.48&lt;/D&gt;&lt;D xsi:type="xsd:double"&gt;2099.12&lt;/D&gt;&lt;D xsi:type="xsd:double"&gt;2105.33&lt;/D&gt;&lt;D xsi:type="xsd:double"&gt;2116.1&lt;/D&gt;&lt;D xsi:type="xsd:double"&gt;2088&lt;/D&gt;&lt;D xsi:type="xsd:double"&gt;2080.15&lt;/D&gt;&lt;D xsi:type="xsd:double"&gt;2089.46&lt;/D&gt;&lt;D xsi:type="xsd:double"&gt;2114.49&lt;/D&gt;&lt;D xsi:type="xsd:double"&gt;2108.29&lt;/D&gt;&lt;D xsi:type="xsd:double"&gt;2085.51&lt;/D&gt;&lt;D xsi:type="xsd:double"&gt;2106.85&lt;/D&gt;&lt;D xsi:type="xsd:double"&gt;2114.76&lt;/D&gt;&lt;D xsi:type="xsd:double"&gt;2108.92&lt;/D&gt;&lt;D xsi:type="xsd:double"&gt;2117.69&lt;/D&gt;&lt;D xsi:type="xsd:double"&gt;2112.93&lt;/D&gt;&lt;D xsi:type="xsd:double"&gt;2107.96&lt;/D&gt;&lt;D xsi:type="xsd:double"&gt;2097.29&lt;/D&gt;&lt;D xsi:type="xsd:double"&gt;2100.4&lt;/D&gt;&lt;D xsi:type="xsd:double"&gt;2081.18&lt;/D&gt;&lt;D xsi:type="xsd:double"&gt;2104.99&lt;/D&gt;&lt;D xsi:type="xsd:double"&gt;2106.63&lt;/D&gt;&lt;D xsi:type="xsd:double"&gt;2095.84&lt;/D&gt;&lt;D xsi:type="xsd:double"&gt;2092.43&lt;/D&gt;&lt;D xsi:type="xsd:double"&gt;2102.06&lt;/D&gt;&lt;D xsi:type="xsd:double"&gt;2091.18&lt;/D&gt;&lt;D xsi:type="xsd:double"&gt;2081.9&lt;/D&gt;&lt;D xsi:type="xsd:double"&gt;2076.33&lt;/D&gt;&lt;D xsi:type="xsd:double"&gt;2080.62&lt;/D&gt;&lt;D xsi:type="xsd:double"&gt;2066.96&lt;/D&gt;&lt;D xsi:type="xsd:double"&gt;2059.69&lt;/D&gt;&lt;D xsi:type="xsd:double"&gt;2067.89&lt;/D&gt;&lt;D xsi:type="xsd:double"&gt;2086.24&lt;/D&gt;&lt;D xsi:type="xsd:double"&gt;2061.02&lt;/D&gt;&lt;D xsi:type="xsd:double"&gt;2056.15&lt;/D&gt;&lt;D xsi:type="xsd:double"&gt;2061.05&lt;/D&gt;&lt;D xsi:type="xsd:double"&gt;2091.5&lt;/D&gt;&lt;D xsi:type="xsd:double"&gt;2104.42&lt;/D&gt;&lt;D xsi:type="xsd:double"&gt;2108.1&lt;/D&gt;&lt;D xsi:type="xsd:double"&gt;2089.27&lt;/D&gt;&lt;D xsi:type="xsd:double"&gt;2099.5&lt;/D&gt;&lt;D xsi:type="xsd:double"&gt;2074.28&lt;/D&gt;&lt;D xsi:type="xsd:double"&gt;2081.19&lt;/D&gt;&lt;D xsi:type="xsd:double"&gt;2053.4&lt;/D&gt;&lt;D xsi:type="xsd:double"&gt;2065.95&lt;/D&gt;&lt;D xsi:type="xsd:double"&gt;2040.24&lt;/D&gt;&lt;D xsi:type="xsd:double"&gt;2044.16&lt;/D&gt;&lt;D xsi:type="xsd:double"&gt;2079.43&lt;/D&gt;&lt;D xsi:type="xsd:double"&gt;2071.26&lt;/D&gt;&lt;D xsi:type="xsd:double"&gt;2101.04&lt;/D&gt;&lt;D xsi:type="xsd:double"&gt;2098.53&lt;/D&gt;&lt;D xsi:type="xsd:double"&gt;2107.78&lt;/D&gt;&lt;D xsi:type="xsd:double"&gt;2117.39&lt;/D&gt;&lt;D xsi:type="xsd:double"&gt;2104.5&lt;/D&gt;&lt;D xsi:type="xsd:double"&gt;2110.74&lt;/D&gt;&lt;D xsi:type="xsd:double"&gt;2113.86&lt;/D&gt;&lt;D xsi:type="xsd:double"&gt;2115.48&lt;/D&gt;&lt;D xsi:type="xsd:double"&gt;2109.66&lt;/D&gt;&lt;D xsi:type="xsd:double"&gt;2110.3&lt;/D&gt;&lt;D xsi:type="xsd:double"&gt;2097.45&lt;/D&gt;&lt;D xsi:type="xsd:double"&gt;2099.68&lt;/D&gt;&lt;D xsi:type="xsd:double"&gt;2100.34&lt;/D&gt;&lt;D xsi:type="xsd:double"&gt;2096.99&lt;/D&gt;&lt;D xsi:type="xsd:double"&gt;2088.48&lt;/D&gt;&lt;D xsi:type="xsd:double"&gt;2068.53&lt;/D&gt;&lt;D xsi:type="xsd:double"&gt;2068.59&lt;/D&gt;&lt;D xsi:type="xsd:double"&gt;2046.74&lt;/D&gt;&lt;D xsi:type="xsd:double"&gt;2055.47&lt;/D&gt;&lt;D xsi:type="xsd:double"&gt;2062.52&lt;/D&gt;&lt;D xsi:type="xsd:double"&gt;2041.51&lt;/D&gt;&lt;D xsi:type="xsd:double"&gt;2050.03&lt;/D&gt;&lt;D xsi:type="xsd:double"&gt;2020.85&lt;/D&gt;&lt;D xsi:type="xsd:double"&gt;1994.99&lt;/D&gt;&lt;D xsi:type="xsd:double"&gt;2021.25&lt;/D&gt;&lt;D xsi:type="xsd:double"&gt;2002.16&lt;/D&gt;&lt;D xsi:type="xsd:double"&gt;2029.55&lt;/D&gt;&lt;D xsi:type="xsd:double"&gt;2057.09&lt;/D&gt;&lt;D xsi:type="xsd:double"&gt;2051.82&lt;/D&gt;&lt;D xsi:type="xsd:double"&gt;2063.15&lt;/D&gt;&lt;D xsi:type="xsd:double"&gt;2032.12&lt;/D&gt;&lt;D xsi:type="xsd:double"&gt;2022.55&lt;/D&gt;&lt;D xsi:type="xsd:double"&gt;2019.42&lt;/D&gt;&lt;D xsi:type="xsd:double"&gt;1992.67&lt;/D&gt;&lt;D xsi:type="xsd:double"&gt;2011.27&lt;/D&gt;&lt;D xsi:type="xsd:double"&gt;2023.03&lt;/D&gt;&lt;D xsi:type="xsd:double"&gt;2028.26&lt;/D&gt;&lt;D xsi:type="xsd:double"&gt;2044.81&lt;/D&gt;&lt;D xsi:type="xsd:double"&gt;2062.14&lt;/D&gt;&lt;D xsi:type="xsd:double"&gt;2025.9&lt;/D&gt;&lt;D xsi:type="xsd:double"&gt;2002.61&lt;/D&gt;&lt;D xsi:type="xsd:double"&gt;2020.58&lt;/D&gt;&lt;D xsi:type="xsd:double"&gt;2058.2&lt;/D&gt;&lt;D xsi:type="xsd:double"&gt;2058.9&lt;/D&gt;&lt;D xsi:type="xsd:double"&gt;2080.35&lt;/D&gt;&lt;D xsi:type="xsd:double"&gt;2090.57&lt;/D&gt;&lt;D xsi:type="xsd:double"&gt;2088.77&lt;/D&gt;&lt;D xsi:type="xsd:double"&gt;2081.88&lt;/D&gt;&lt;D xsi:type="xsd:double"&gt;2082.17&lt;/D&gt;&lt;D xsi:type="xsd:double"&gt;2078.54&lt;/D&gt;&lt;D xsi:type="xsd:double"&gt;2070.65&lt;/D&gt;&lt;D xsi:type="xsd:double"&gt;2061.23&lt;/D&gt;&lt;D xsi:type="xsd:double"&gt;2012.89&lt;/D&gt;&lt;D xsi:type="xsd:double"&gt;1972.74&lt;/D&gt;&lt;D xsi:type="xsd:double"&gt;1989.63&lt;/D&gt;&lt;D xsi:type="xsd:double"&gt;2002.33&lt;/D&gt;&lt;D xsi:type="xsd:double"&gt;2035.33&lt;/D&gt;&lt;D xsi:type="xsd:double"&gt;2026.14&lt;/D&gt;&lt;D xsi:type="xsd:double"&gt;2059.82&lt;/D&gt;&lt;D xsi:type="xsd:double"&gt;2060.31&lt;/D&gt;&lt;D xsi:type="xsd:double"&gt;2075.37&lt;/D&gt;&lt;D xsi:type="xsd:double"&gt;2071.92&lt;/D&gt;&lt;D xsi:type="xsd:double"&gt;2074.33&lt;/D&gt;&lt;D xsi:type="xsd:double"&gt;2066.55&lt;/D&gt;&lt;D xsi:type="xsd:double"&gt;2053.44&lt;/D&gt;&lt;D xsi:type="xsd:double"&gt;2067.56&lt;/D&gt;&lt;D xsi:type="xsd:double"&gt;2072.83&lt;/D&gt;&lt;D xsi:type="xsd:double"&gt;2067.03&lt;/D&gt;&lt;D xsi:type="xsd:double"&gt;2069.41&lt;/D&gt;&lt;D xsi:type="xsd:double"&gt;2063.5&lt;/D&gt;&lt;D xsi:type="xsd:double"&gt;2052.75&lt;/D&gt;&lt;D xsi:type="xsd:double"&gt;2048.72&lt;/D&gt;&lt;D xsi:type="xsd:double"&gt;2051.8&lt;/D&gt;&lt;D xsi:type="xsd:double"&gt;2041.32&lt;/D&gt;&lt;D xsi:type="xsd:double"&gt;2039.82&lt;/D&gt;&lt;D xsi:type="xsd:double"&gt;2039.33&lt;/D&gt;&lt;D xsi:type="xsd:double"&gt;2038.25&lt;/D&gt;&lt;D xsi:type="xsd:double"&gt;2039.68&lt;/D&gt;&lt;D xsi:type="xsd:double"&gt;2038.26&lt;/D&gt;&lt;D xsi:type="xsd:double"&gt;2031.92&lt;/D&gt;&lt;D xsi:type="xsd:double"&gt;2031.21&lt;/D&gt;&lt;D xsi:type="xsd:double"&gt;2023.57&lt;/D&gt;&lt;D xsi:type="xsd:double"&gt;2012.1&lt;/D&gt;&lt;D xsi:type="xsd:double"&gt;2017.81&lt;/D&gt;&lt;D xsi:type="xsd:double"&gt;2018.05&lt;/D&gt;&lt;D xsi:type="xsd:double"&gt;1994.65&lt;/D&gt;&lt;D xsi:type="xsd:double"&gt;1982.3&lt;/D&gt;&lt;D xsi:type="xsd:double"&gt;1985.05&lt;/D&gt;&lt;D xsi:type="xsd:double"&gt;1961.63&lt;/D&gt;&lt;D xsi:type="xsd:double"&gt;1964.58&lt;/D&gt;&lt;D xsi:type="xsd:double"&gt;1950.82&lt;/D&gt;&lt;D xsi:type="xsd:double"&gt;1927.11&lt;/D&gt;&lt;D xsi:type="xsd:double"&gt;1941.28&lt;/D&gt;&lt;D xsi:type="xsd:double"&gt;1904.01&lt;/D&gt;&lt;D xsi:type="xsd:double"&gt;1886.76&lt;/D&gt;&lt;D xsi:type="xsd:double"&gt;1862.76&lt;/D&gt;&lt;D xsi:type="xsd:double"&gt;1862.49&lt;/D&gt;&lt;D xsi:type="xsd:double"&gt;1877.7&lt;/D&gt;&lt;D xsi:type="xsd:double"&gt;1874.74&lt;/D&gt;&lt;D xsi:type="xsd:double"&gt;1906.13&lt;/D&gt;&lt;D xsi:type="xsd:double"&gt;1928.21&lt;/D&gt;&lt;D xsi:type="xsd:double"&gt;1968.89&lt;/D&gt;&lt;D xsi:type="xsd:double"&gt;1935.1&lt;/D&gt;&lt;D xsi:type="xsd:double"&gt;1964.82&lt;/D&gt;&lt;D xsi:type="xsd:double"&gt;1967.9&lt;/D&gt;&lt;D xsi:type="xsd:double"&gt;1946.17&lt;/D&gt;&lt;D xsi:type="xsd:double"&gt;1946.16&lt;/D&gt;&lt;D xsi:type="xsd:double"&gt;1972.29&lt;/D&gt;&lt;D xsi:type="xsd:double"&gt;1977.8&lt;/D&gt;&lt;D xsi:type="xsd:double"&gt;1982.85&lt;/D&gt;&lt;D xsi:type="xsd:double"&gt;1965.99&lt;/D&gt;&lt;D xsi:type="xsd:double"&gt;1998.3&lt;/D&gt;&lt;D xsi:type="xsd:double"&gt;1982.77&lt;/D&gt;&lt;D xsi:type="xsd:double"&gt;1994.29&lt;/D&gt;&lt;D xsi:type="xsd:double"&gt;2010.4&lt;/D&gt;&lt;D xsi:type="xsd:double"&gt;2011.36&lt;/D&gt;&lt;D xsi:type="xsd:double"&gt;2001.57&lt;/D&gt;&lt;D xsi:type="xsd:double"&gt;1998.98&lt;/D&gt;&lt;D xsi:type="xsd:double"&gt;1984.13&lt;/D&gt;&lt;D xsi:type="xsd:double"&gt;1985.54&lt;/D&gt;&lt;D xsi:type="xsd:double"&gt;1997.45&lt;/D&gt;&lt;D xsi:type="xsd:double"&gt;1995.69&lt;/D&gt;&lt;D xsi:type="xsd:double"&gt;1988.44&lt;/D&gt;&lt;D xsi:type="xsd:double"&gt;2001.54&lt;/D&gt;&lt;D xsi:type="xsd:double"&gt;2007.71&lt;/D&gt;&lt;D xsi:type="xsd:double"&gt;1997.65&lt;/D&gt;&lt;D xsi:type="xsd:double"&gt;2000.72&lt;/D&gt;&lt;D xsi:type="xsd:double"&gt;2002.28&lt;/D&gt;&lt;D xsi:type="xsd:double"&gt;2003.37&lt;/D&gt;&lt;D xsi:type="xsd:double"&gt;1996.74&lt;/D&gt;&lt;D xsi:type="xsd:double"&gt;2000.12&lt;/D&gt;&lt;D xsi:type="xsd:double"&gt;2000.02&lt;/D&gt;&lt;D xsi:type="xsd:double"&gt;1997.92&lt;/D&gt;&lt;D xsi:type="xsd:double"&gt;1988.4&lt;/D&gt;&lt;D xsi:type="xsd:double"&gt;1992.37&lt;/D&gt;&lt;D xsi:type="xsd:double"&gt;1986.51&lt;/D&gt;&lt;D xsi:type="xsd:double"&gt;1981.6&lt;/D&gt;&lt;D xsi:type="xsd:double"&gt;1971.74&lt;/D&gt;&lt;D xsi:type="xsd:double"&gt;1955.06&lt;/D&gt;&lt;D xsi:type="xsd:double"&gt;1955.18&lt;/D&gt;&lt;D xsi:type="xsd:double"&gt;1946.72&lt;/D&gt;&lt;D xsi:type="xsd:double"&gt;1933.75&lt;/D&gt;&lt;D xsi:type="xsd:double"&gt;1936.92&lt;/D&gt;&lt;D xsi:type="xsd:double"&gt;1931.59&lt;/D&gt;&lt;D xsi:type="xsd:double"&gt;1909.57&lt;/D&gt;&lt;D xsi:type="xsd:double"&gt;1920.24&lt;/D&gt;&lt;D xsi:type="xsd:double"&gt;1920.21&lt;/D&gt;&lt;D xsi:type="xsd:double"&gt;1938.99&lt;/D&gt;&lt;D xsi:type="xsd:double"&gt;1925.15&lt;/D&gt;&lt;D xsi:type="xsd:double"&gt;1930.67&lt;/D&gt;&lt;D xsi:type="xsd:double"&gt;1970.07&lt;/D&gt;&lt;D xsi:type="xsd:double"&gt;1969.95&lt;/D&gt;&lt;D xsi:type="xsd:double"&gt;1978.91&lt;/D&gt;&lt;D xsi:type="xsd:double"&gt;1978.34&lt;/D&gt;&lt;D xsi:type="xsd:double"&gt;1987.98&lt;/D&gt;&lt;D xsi:type="xsd:double"&gt;1987.01&lt;/D&gt;&lt;D xsi:type="xsd:double"&gt;1983.53&lt;/D&gt;&lt;D xsi:type="xsd:double"&gt;1973.63&lt;/D&gt;&lt;D xsi:type="xsd:double"&gt;1978.22&lt;/D&gt;&lt;D xsi:type="xsd:double"&gt;1958.12&lt;/D&gt;&lt;D xsi:type="xsd:double"&gt;1981.57&lt;/D&gt;&lt;D xsi:type="xsd:double"&gt;1973.28&lt;/D&gt;&lt;D xsi:type="xsd:double"&gt;1977.1&lt;/D&gt;&lt;D xsi:type="xsd:double"&gt;1967.57&lt;/D&gt;&lt;D xsi:type="xsd:double"&gt;1964.68&lt;/D&gt;&lt;D xsi:type="xsd:double"&gt;1972.83&lt;/D&gt;&lt;D xsi:type="xsd:double"&gt;1963.71&lt;/D&gt;&lt;D xsi:type="xsd:double"&gt;1977.65&lt;/D&gt;&lt;D xsi:type="xsd:double"&gt;1985.44&lt;/D&gt;&lt;D xsi:type="xsd:double"&gt;1974.62&lt;/D&gt;&lt;D xsi:type="xsd:double"&gt;1973.32&lt;/D&gt;&lt;D xsi:type="xsd:double"&gt;1960.23&lt;/D&gt;&lt;D xsi:type="xsd:double"&gt;1960.96&lt;/D&gt;&lt;D xsi:type="xsd:double"&gt;1957.22&lt;/D&gt;&lt;D xsi:type="xsd:double"&gt;1959.53&lt;/D&gt;&lt;D xsi:type="xsd:double"&gt;1949.98&lt;/D&gt;&lt;D xsi:type="xsd:double"&gt;1962.61&lt;/D&gt;&lt;D xsi:type="xsd:double"&gt;1962.87&lt;/D&gt;&lt;D xsi:type="xsd:double"&gt;1959.48&lt;/D&gt;&lt;D xsi:type="xsd:double"&gt;1956.98&lt;/D&gt;&lt;D xsi:type="xsd:double"&gt;1941.99&lt;/D&gt;&lt;D xsi:type="xsd:double"&gt;1937.78&lt;/D&gt;&lt;D xsi:type="xsd:double"&gt;1936.16&lt;/D&gt;&lt;D xsi:type="xsd:double"&gt;1930.11&lt;/D&gt;&lt;D xsi:type="xsd:double"&gt;1943.89&lt;/D&gt;&lt;D xsi:type="xsd:double"&gt;1950.79&lt;/D&gt;&lt;D xsi:type="xsd:double"&gt;1951.27&lt;/D&gt;&lt;D xsi:type="xsd:double"&gt;1949.44&lt;/D&gt;&lt;D xsi:type="xsd:double"&gt;1940.46&lt;/D&gt;&lt;D xsi:type="xsd:double"&gt;1927.88&lt;/D&gt;&lt;D xsi:type="xsd:double"&gt;1924.24&lt;/D&gt;&lt;D xsi:type="xsd:double"&gt;1924.97&lt;/D&gt;&lt;D xsi:type="xsd:double"&gt;1923.57&lt;/D&gt;&lt;D xsi:type="xsd:double"&gt;1920.03&lt;/D&gt;&lt;D xsi:type="xsd:double"&gt;1909.78&lt;/D&gt;&lt;D xsi:type="xsd:double"&gt;1911.91&lt;/D&gt;&lt;D xsi:type="xsd:double"&gt;1900.53&lt;/D&gt;&lt;D xsi:type="xsd:double"&gt;1892.49&lt;/D&gt;&lt;D xsi:type="xsd:double"&gt;1888.03&lt;/D&gt;&lt;D xsi:type="xsd:double"&gt;1872.83&lt;/D&gt;&lt;D xsi:type="xsd:double"&gt;1885.08&lt;/D&gt;&lt;D xsi:type="xsd:double"&gt;1877.86&lt;/D&gt;&lt;D xsi:type="xsd:double"&gt;1870.85&lt;/D&gt;&lt;D xsi:type="xsd:double"&gt;1888.53&lt;/D&gt;&lt;D xsi:type="xsd:double"&gt;1897.45&lt;/D&gt;&lt;D xsi:type="xsd:double"&gt;1896.65&lt;/D&gt;&lt;D xsi:type="xsd:double"&gt;1878.48&lt;/D&gt;&lt;D xsi:type="xsd:double"&gt;1875.63&lt;/D&gt;&lt;D xsi:type="xsd:double"&gt;1878.21&lt;/D&gt;&lt;D xsi:type="xsd:double"&gt;1867.72&lt;/D&gt;&lt;D xsi:type="xsd:double"&gt;1884.66&lt;/D&gt;&lt;D xsi:type="xsd:double"&gt;1881.14&lt;/D&gt;&lt;D xsi:type="xsd:double"&gt;1883.68&lt;/D&gt;&lt;D xsi:type="xsd:double"&gt;1883.95&lt;/D&gt;&lt;D xsi:type="xsd:double"&gt;1878.33&lt;/D&gt;&lt;D xsi:type="xsd:double"&gt;1869.43&lt;/D&gt;&lt;D xsi:type="xsd:double"&gt;1863.4&lt;/D&gt;&lt;D xsi:type="xsd:double"&gt;1878.61&lt;/D&gt;&lt;D xsi:type="xsd:double"&gt;1875.39&lt;/D&gt;&lt;D xsi:type="xsd:double"&gt;1879.55&lt;/D&gt;&lt;D xsi:type="xsd:double"&gt;1871.89&lt;/D&gt;&lt;D xsi:type="xsd:double"&gt;1864.85&lt;/D&gt;&lt;D xsi:type="xsd:double"&gt;1862.31&lt;/D&gt;&lt;D xsi:type="xsd:double"&gt;1842.98&lt;/D&gt;&lt;D xsi:type="xsd:double"&gt;1830.61&lt;/D&gt;&lt;D xsi:type="xsd:double"&gt;1815.69&lt;/D&gt;&lt;D xsi:type="xsd:double"&gt;1833.08&lt;/D&gt;&lt;D xsi:type="xsd:double"&gt;1872.18&lt;/D&gt;&lt;D xsi:type="xsd:double"&gt;1851.96&lt;/D&gt;&lt;D xsi:type="xsd:double"&gt;1845.04&lt;/D&gt;&lt;D xsi:type="xsd:double"&gt;1865.09&lt;/D&gt;&lt;D xsi:type="xsd:double"&gt;1888.77&lt;/D&gt;&lt;D xsi:type="xsd:double"&gt;1890.9&lt;/D&gt;&lt;D xsi:type="xsd</t>
        </r>
      </text>
    </comment>
    <comment ref="A6" authorId="0" shapeId="0" xr:uid="{61A82A30-90E0-473F-AD91-BBB253197900}">
      <text>
        <r>
          <rPr>
            <b/>
            <sz val="9"/>
            <color indexed="81"/>
            <rFont val="Tahoma"/>
            <charset val="1"/>
          </rPr>
          <t>:double"&gt;1885.52&lt;/D&gt;&lt;D xsi:type="xsd:double"&gt;1872.34&lt;/D&gt;&lt;D xsi:type="xsd:double"&gt;1857.62&lt;/D&gt;&lt;D xsi:type="xsd:double"&gt;1849.04&lt;/D&gt;&lt;D xsi:type="xsd:double"&gt;1852.56&lt;/D&gt;&lt;D xsi:type="xsd:double"&gt;1865.62&lt;/D&gt;&lt;D xsi:type="xsd:double"&gt;1857.44&lt;/D&gt;&lt;D xsi:type="xsd:double"&gt;1866.52&lt;/D&gt;&lt;D xsi:type="xsd:double"&gt;1872.01&lt;/D&gt;&lt;D xsi:type="xsd:double"&gt;1860.77&lt;/D&gt;&lt;D xsi:type="xsd:double"&gt;1872.25&lt;/D&gt;&lt;D xsi:type="xsd:double"&gt;1858.83&lt;/D&gt;&lt;D xsi:type="xsd:double"&gt;1841.13&lt;/D&gt;&lt;D xsi:type="xsd:double"&gt;1846.34&lt;/D&gt;&lt;D xsi:type="xsd:double"&gt;1868.2&lt;/D&gt;&lt;D xsi:type="xsd:double"&gt;1867.63&lt;/D&gt;&lt;D xsi:type="xsd:double"&gt;1877.17&lt;/D&gt;&lt;D xsi:type="xsd:double"&gt;1878.04&lt;/D&gt;&lt;D xsi:type="xsd:double"&gt;1877.03&lt;/D&gt;&lt;D xsi:type="xsd:double"&gt;1873.81&lt;/D&gt;&lt;D xsi:type="xsd:double"&gt;1873.91&lt;/D&gt;&lt;D xsi:type="xsd:double"&gt;1845.73&lt;/D&gt;&lt;D xsi:type="xsd:double"&gt;1859.45&lt;/D&gt;&lt;D xsi:type="xsd:double"&gt;1854.29&lt;/D&gt;&lt;D xsi:type="xsd:double"&gt;1845.16&lt;/D&gt;&lt;D xsi:type="xsd:double"&gt;1845.12&lt;/D&gt;&lt;D xsi:type="xsd:double"&gt;1847.61&lt;/D&gt;&lt;D xsi:type="xsd:double"&gt;1836.25&lt;/D&gt;&lt;D xsi:type="xsd:double"&gt;1839.78&lt;/D&gt;&lt;D xsi:type="xsd:double"&gt;1828.75&lt;/D&gt;&lt;D xsi:type="xsd:double"&gt;1840.76&lt;/D&gt;&lt;D xsi:type="xsd:double"&gt;1838.63&lt;/D&gt;&lt;D xsi:type="xsd:double"&gt;1829.83&lt;/D&gt;&lt;D xsi:type="xsd:double"&gt;1819.26&lt;/D&gt;&lt;D xsi:type="xsd:double"&gt;1819.75&lt;/D&gt;&lt;D xsi:type="xsd:double"&gt;1799.84&lt;/D&gt;&lt;D xsi:type="xsd:double"&gt;1797.02&lt;/D&gt;&lt;D xsi:type="xsd:double"&gt;1773.43&lt;/D&gt;&lt;D xsi:type="xsd:double"&gt;1751.64&lt;/D&gt;&lt;D xsi:type="xsd:double"&gt;1755.2&lt;/D&gt;&lt;D xsi:type="xsd:double"&gt;1741.89&lt;/D&gt;&lt;D xsi:type="xsd:double"&gt;1782.59&lt;/D&gt;&lt;D xsi:type="xsd:double"&gt;1794.19&lt;/D&gt;&lt;D xsi:type="xsd:double"&gt;1774.2&lt;/D&gt;&lt;D xsi:type="xsd:double"&gt;1792.5&lt;/D&gt;&lt;D xsi:type="xsd:double"&gt;1781.56&lt;/D&gt;&lt;D xsi:type="xsd:double"&gt;1790.29&lt;/D&gt;&lt;D xsi:type="xsd:double"&gt;1828.46&lt;/D&gt;&lt;D xsi:type="xsd:double"&gt;1844.86&lt;/D&gt;&lt;D xsi:type="xsd:double"&gt;1843.8&lt;/D&gt;&lt;D xsi:type="xsd:double"&gt;1838.7&lt;/D&gt;&lt;D xsi:type="xsd:double"&gt;1845.89&lt;/D&gt;&lt;D xsi:type="xsd:double"&gt;1848.38&lt;/D&gt;&lt;D xsi:type="xsd:double"&gt;1838.88&lt;/D&gt;&lt;D xsi:type="xsd:double"&gt;1819.2&lt;/D&gt;&lt;D xsi:type="xsd:double"&gt;1842.37&lt;/D&gt;&lt;D xsi:type="xsd:double"&gt;1838.13&lt;/D&gt;&lt;D xsi:type="xsd:double"&gt;1837.49&lt;/D&gt;&lt;D xsi:type="xsd:double"&gt;1837.88&lt;/D&gt;&lt;D xsi:type="xsd:double"&gt;1826.77&lt;/D&gt;&lt;D xsi:type="xsd:double"&gt;1831.37&lt;/D&gt;&lt;D xsi:type="xsd:double"&gt;1831.98&lt;/D&gt;&lt;D xsi:type="xsd:double"&gt;1848.36&lt;/D&gt;&lt;D xsi:type="xsd:double"&gt;1841.07&lt;/D&gt;&lt;D xsi:type="xsd:double"&gt;1841.4&lt;/D&gt;&lt;D xsi:type="xsd:double"&gt;1842.02&lt;/D&gt;&lt;D xsi:type="xsd:double"&gt;1833.32&lt;/D&gt;&lt;D xsi:type="xsd:double"&gt;1827.99&lt;/D&gt;&lt;D xsi:type="xsd:double"&gt;1818.32&lt;/D&gt;&lt;D xsi:type="xsd:double"&gt;1809.6&lt;/D&gt;&lt;D xsi:type="xsd:double"&gt;1810.65&lt;/D&gt;&lt;D xsi:type="xsd:double"&gt;1781&lt;/D&gt;&lt;D xsi:type="xsd:double"&gt;1786.54&lt;/D&gt;&lt;D xsi:type="xsd:double"&gt;1775.32&lt;/D&gt;&lt;D xsi:type="xsd:double"&gt;1775.5&lt;/D&gt;&lt;D xsi:type="xsd:double"&gt;1782.22&lt;/D&gt;&lt;D xsi:type="xsd:double"&gt;1802.62&lt;/D&gt;&lt;D xsi:type="xsd:double"&gt;1808.37&lt;/D&gt;&lt;D xsi:type="xsd:double"&gt;1805.09&lt;/D&gt;&lt;D xsi:type="xsd:double"&gt;1785.03&lt;/D&gt;&lt;D xsi:type="xsd:double"&gt;1792.81&lt;/D&gt;&lt;D xsi:type="xsd:double"&gt;1795.15&lt;/D&gt;&lt;D xsi:type="xsd:double"&gt;1800.9&lt;/D&gt;&lt;D xsi:type="xsd:double"&gt;1805.81&lt;/D&gt;&lt;D xsi:type="xsd:double"&gt;1807.23&lt;/D&gt;&lt;D xsi:type="xsd:double"&gt;1802.75&lt;/D&gt;&lt;D xsi:type="xsd:double"&gt;1802.48&lt;/D&gt;&lt;D xsi:type="xsd:double"&gt;1804.76&lt;/D&gt;&lt;D xsi:type="xsd:double"&gt;1795.85&lt;/D&gt;&lt;D xsi:type="xsd:double"&gt;1781.37&lt;/D&gt;&lt;D xsi:type="xsd:double"&gt;1787.87&lt;/D&gt;&lt;D xsi:type="xsd:double"&gt;1791.53&lt;/D&gt;&lt;D xsi:type="xsd:double"&gt;1798.18&lt;/D&gt;&lt;D xsi:type="xsd:double"&gt;1790.62&lt;/D&gt;&lt;D xsi:type="xsd:double"&gt;1782&lt;/D&gt;&lt;D xsi:type="xsd:double"&gt;1767.69&lt;/D&gt;&lt;D xsi:type="xsd:double"&gt;1771.89&lt;/D&gt;&lt;D xsi:type="xsd:double"&gt;1770.61&lt;/D&gt;&lt;D xsi:type="xsd:double"&gt;1747.15&lt;/D&gt;&lt;D xsi:type="xsd:double"&gt;1770.49&lt;/D&gt;&lt;D xsi:type="xsd:double"&gt;1762.97&lt;/D&gt;&lt;D xsi:type="xsd:double"&gt;1767.93&lt;/D&gt;&lt;D xsi:type="xsd:double"&gt;1761.64&lt;/D&gt;&lt;D xsi:type="xsd:double"&gt;1756.54&lt;/D&gt;&lt;D xsi:type="xsd:double"&gt;1763.31&lt;/D&gt;&lt;D xsi:type="xsd:double"&gt;1771.95&lt;/D&gt;&lt;D xsi:type="xsd:double"&gt;1762.11&lt;/D&gt;&lt;D xsi:type="xsd:double"&gt;1759.77&lt;/D&gt;&lt;D xsi:type="xsd:double"&gt;1752.07&lt;/D&gt;&lt;D xsi:type="xsd:double"&gt;1746.38&lt;/D&gt;&lt;D xsi:type="xsd:double"&gt;1754.67&lt;/D&gt;&lt;D xsi:type="xsd:double"&gt;1744.66&lt;/D&gt;&lt;D xsi:type="xsd:double"&gt;1744.5&lt;/D&gt;&lt;D xsi:type="xsd:double"&gt;1733.15&lt;/D&gt;&lt;D xsi:type="xsd:double"&gt;1721.54&lt;/D&gt;&lt;D xsi:type="xsd:double"&gt;1698.06&lt;/D&gt;&lt;D xsi:type="xsd:double"&gt;1710.14&lt;/D&gt;&lt;D xsi:type="xsd:double"&gt;1703.2&lt;/D&gt;&lt;D xsi:type="xsd:double"&gt;1692.56&lt;/D&gt;&lt;D xsi:type="xsd:double"&gt;1656.4&lt;/D&gt;&lt;D xsi:type="xsd:double"&gt;1655.45&lt;/D&gt;&lt;D xsi:type="xsd:double"&gt;1676.12&lt;/D&gt;&lt;D xsi:type="xsd:double"&gt;1690.5&lt;/D&gt;&lt;D xsi:type="xsd:double"&gt;1678.66&lt;/D&gt;&lt;D xsi:type="xsd:double"&gt;1693.87&lt;/D&gt;&lt;D xsi:type="xsd:double"&gt;1695&lt;/D&gt;&lt;D xsi:type="xsd:double"&gt;1681.55&lt;/D&gt;&lt;D xsi:type="xsd:double"&gt;1691.75&lt;/D&gt;&lt;D xsi:type="xsd:double"&gt;1698.67&lt;/D&gt;&lt;D xsi:type="xsd:double"&gt;1692.77&lt;/D&gt;&lt;D xsi:type="xsd:double"&gt;1697.42&lt;/D&gt;&lt;D xsi:type="xsd:double"&gt;1701.84&lt;/D&gt;&lt;D xsi:type="xsd:double"&gt;1709.91&lt;/D&gt;&lt;D xsi:type="xsd:double"&gt;1722.34&lt;/D&gt;&lt;D xsi:type="xsd:double"&gt;1725.52&lt;/D&gt;&lt;D xsi:type="xsd:double"&gt;1704.76&lt;/D&gt;&lt;D xsi:type="xsd:double"&gt;1697.6&lt;/D&gt;&lt;D xsi:type="xsd:double"&gt;1687.99&lt;/D&gt;&lt;D xsi:type="xsd:double"&gt;1683.42&lt;/D&gt;&lt;D xsi:type="xsd:double"&gt;1689.13&lt;/D&gt;&lt;D xsi:type="xsd:double"&gt;1683.99&lt;/D&gt;&lt;D xsi:type="xsd:double"&gt;1671.71&lt;/D&gt;&lt;D xsi:type="xsd:double"&gt;1655.17&lt;/D&gt;&lt;D xsi:type="xsd:double"&gt;1655.08&lt;/D&gt;&lt;D xsi:type="xsd:double"&gt;1653.08&lt;/D&gt;&lt;D xsi:type="xsd:double"&gt;1639.77&lt;/D&gt;&lt;D xsi:type="xsd:double"&gt;1632.97&lt;/D&gt;&lt;D xsi:type="xsd:double"&gt;1638.17&lt;/D&gt;&lt;D xsi:type="xsd:double"&gt;1634.96&lt;/D&gt;&lt;D xsi:type="xsd:double"&gt;1630.48&lt;/D&gt;&lt;D xsi:type="xsd:double"&gt;1656.78&lt;/D&gt;&lt;D xsi:type="xsd:double"&gt;1663.5&lt;/D&gt;&lt;D xsi:type="xsd:double"&gt;1656.96&lt;/D&gt;&lt;D xsi:type="xsd:double"&gt;1642.8&lt;/D&gt;&lt;D xsi:type="xsd:double"&gt;1652.35&lt;/D&gt;&lt;D xsi:type="xsd:double"&gt;1646.06&lt;/D&gt;&lt;D xsi:type="xsd:double"&gt;1655.83&lt;/D&gt;&lt;D xsi:type="xsd:double"&gt;1661.32&lt;/D&gt;&lt;D xsi:type="xsd:double"&gt;1685.39&lt;/D&gt;&lt;D xsi:type="xsd:double"&gt;1694.16&lt;/D&gt;&lt;D xsi:type="xsd:double"&gt;1689.47&lt;/D&gt;&lt;D xsi:type="xsd:double"&gt;1691.42&lt;/D&gt;&lt;D xsi:type="xsd:double"&gt;1697.48&lt;/D&gt;&lt;D xsi:type="xsd:double"&gt;1690.91&lt;/D&gt;&lt;D xsi:type="xsd:double"&gt;1697.37&lt;/D&gt;&lt;D xsi:type="xsd:double"&gt;1707.14&lt;/D&gt;&lt;D xsi:type="xsd:double"&gt;1709.67&lt;/D&gt;&lt;D xsi:type="xsd:double"&gt;1706.87&lt;/D&gt;&lt;D xsi:type="xsd:double"&gt;1685.73&lt;/D&gt;&lt;D xsi:type="xsd:double"&gt;1685.96&lt;/D&gt;&lt;D xsi:type="xsd:double"&gt;1685.33&lt;/D&gt;&lt;D xsi:type="xsd:double"&gt;1691.65&lt;/D&gt;&lt;D xsi:type="xsd:double"&gt;1690.25&lt;/D&gt;&lt;D xsi:type="xsd:double"&gt;1685.94&lt;/D&gt;&lt;D xsi:type="xsd:double"&gt;1692.39&lt;/D&gt;&lt;D xsi:type="xsd:double"&gt;1695.53&lt;/D&gt;&lt;D xsi:type="xsd:double"&gt;1692.09&lt;/D&gt;&lt;D xsi:type="xsd:double"&gt;1689.37&lt;/D&gt;&lt;D xsi:type="xsd:double"&gt;1680.91&lt;/D&gt;&lt;D xsi:type="xsd:double"&gt;1676.26&lt;/D&gt;&lt;D xsi:type="xsd:double"&gt;1682.5&lt;/D&gt;&lt;D xsi:type="xsd:double"&gt;1680.19&lt;/D&gt;&lt;D xsi:type="xsd:double"&gt;1675.02&lt;/D&gt;&lt;D xsi:type="xsd:double"&gt;1652.62&lt;/D&gt;&lt;D xsi:type="xsd:double"&gt;1652.32&lt;/D&gt;&lt;D xsi:type="xsd:double"&gt;1640.46&lt;/D&gt;&lt;D xsi:type="xsd:double"&gt;1631.89&lt;/D&gt;&lt;D xsi:type="xsd:double"&gt;1615.41&lt;/D&gt;&lt;D xsi:type="xsd:double"&gt;1614.08&lt;/D&gt;&lt;D xsi:type="xsd:double"&gt;1614.96&lt;/D&gt;&lt;D xsi:type="xsd:double"&gt;1606.28&lt;/D&gt;&lt;D xsi:type="xsd:double"&gt;1613.2&lt;/D&gt;&lt;D xsi:type="xsd:double"&gt;1603.26&lt;/D&gt;&lt;D xsi:type="xsd:double"&gt;1588.03&lt;/D&gt;&lt;D xsi:type="xsd:double"&gt;1573.09&lt;/D&gt;&lt;D xsi:type="xsd:double"&gt;1592.43&lt;/D&gt;&lt;D xsi:type="xsd:double"&gt;1588.19&lt;/D&gt;&lt;D xsi:type="xsd:double"&gt;1628.93&lt;/D&gt;&lt;D xsi:type="xsd:double"&gt;1651.81&lt;/D&gt;&lt;D xsi:type="xsd:double"&gt;1639.04&lt;/D&gt;&lt;D xsi:type="xsd:double"&gt;1626.73&lt;/D&gt;&lt;D xsi:type="xsd:double"&gt;1636.36&lt;/D&gt;&lt;D xsi:type="xsd:double"&gt;1612.52&lt;/D&gt;&lt;D xsi:type="xsd:double"&gt;1626.13&lt;/D&gt;&lt;D xsi:type="xsd:double"&gt;1642.81&lt;/D&gt;&lt;D xsi:type="xsd:double"&gt;1643.38&lt;/D&gt;&lt;D xsi:type="xsd:double"&gt;1622.56&lt;/D&gt;&lt;D xsi:type="xsd:double"&gt;1608.9&lt;/D&gt;&lt;D xsi:type="xsd:double"&gt;1631.38&lt;/D&gt;&lt;D xsi:type="xsd:double"&gt;1640.42&lt;/D&gt;&lt;D xsi:type="xsd:double"&gt;1630.74&lt;/D&gt;&lt;D xsi:type="xsd:double"&gt;1654.41&lt;/D&gt;&lt;D xsi:type="xsd:double"&gt;1648.36&lt;/D&gt;&lt;D xsi:type="xsd:double"&gt;1660.06&lt;/D&gt;&lt;D xsi:type="xsd:double"&gt;1649.6&lt;/D&gt;&lt;D xsi:type="xsd:double"&gt;1650.51&lt;/D&gt;&lt;D xsi:type="xsd:double"&gt;1655.35&lt;/D&gt;&lt;D xsi:type="xsd:double"&gt;1669.16&lt;/D&gt;&lt;D xsi:type="xsd:double"&gt;1666.29&lt;/D&gt;&lt;D xsi:type="xsd:double"&gt;1667.47&lt;/D&gt;&lt;D xsi:type="xsd:double"&gt;1650.47&lt;/D&gt;&lt;D xsi:type="xsd:double"&gt;1658.78&lt;/D&gt;&lt;D xsi:type="xsd:double"&gt;1650.34&lt;/D&gt;&lt;D xsi:type="xsd:double"&gt;1633.77&lt;/D&gt;&lt;D xsi:type="xsd:double"&gt;1633.7&lt;/D&gt;&lt;D xsi:type="xsd:double"&gt;1626.67&lt;/D&gt;&lt;D xsi:type="xsd:double"&gt;1632.69&lt;/D&gt;&lt;D xsi:type="xsd:double"&gt;1625.96&lt;/D&gt;&lt;D xsi:type="xsd:double"&gt;1617.5&lt;/D&gt;&lt;D xsi:type="xsd:double"&gt;1614.42&lt;/D&gt;&lt;D xsi:type="xsd:double"&gt;1597.59&lt;/D&gt;&lt;D xsi:type="xsd:double"&gt;1582.7&lt;/D&gt;&lt;D xsi:type="xsd:double"&gt;1597.57&lt;/D&gt;&lt;D xsi:type="xsd:double"&gt;1593.61&lt;/D&gt;&lt;D xsi:type="xsd:double"&gt;1582.24&lt;/D&gt;&lt;D xsi:type="xsd:double"&gt;1585.16&lt;/D&gt;&lt;D xsi:type="xsd:double"&gt;1578.79&lt;/D&gt;&lt;D xsi:type="xsd:double"&gt;1578.78&lt;/D&gt;&lt;D xsi:type="xsd:double"&gt;1562.5&lt;/D&gt;&lt;D xsi:type="xsd:double"&gt;1555.25&lt;/D&gt;&lt;D xsi:type="xsd:double"&gt;1541.61&lt;/D&gt;&lt;D xsi:type="xsd:double"&gt;1552.01&lt;/D&gt;&lt;D xsi:type="xsd:double"&gt;1574.57&lt;/D&gt;&lt;D xsi:type="xsd:double"&gt;1552.36&lt;/D&gt;&lt;D xsi:type="xsd:double"&gt;1588.85&lt;/D&gt;&lt;D xsi:type="xsd:double"&gt;1593.37&lt;/D&gt;&lt;D xsi:type="xsd:double"&gt;1587.73&lt;/D&gt;&lt;D xsi:type="xsd:double"&gt;1568.61&lt;/D&gt;&lt;D xsi:type="xsd:double"&gt;1563.07&lt;/D&gt;&lt;D xsi:type="xsd:double"&gt;1553.28&lt;/D&gt;&lt;D xsi:type="xsd:double"&gt;1559.98&lt;/D&gt;&lt;D xsi:type="xsd:double"&gt;1553.69&lt;/D&gt;&lt;D xsi:type="xsd:double"&gt;1570.25&lt;/D&gt;&lt;D xsi:type="xsd:double"&gt;1562.17&lt;/D&gt;&lt;D xsi:type="xsd:double"&gt;1569.19&lt;/D&gt;&lt;D xsi:type="xsd:double"&gt;1562.85&lt;/D&gt;&lt;D xsi:type="xsd:double"&gt;1563.77&lt;/D&gt;&lt;D xsi:type="xsd:double"&gt;1551.69&lt;/D&gt;&lt;D xsi:type="xsd:double"&gt;1556.89&lt;/D&gt;&lt;D xsi:type="xsd:double"&gt;1545.8&lt;/D&gt;&lt;D xsi:type="xsd:double"&gt;1558.71&lt;/D&gt;&lt;D xsi:type="xsd:double"&gt;1548.34&lt;/D&gt;&lt;D xsi:type="xsd:double"&gt;1552.1&lt;/D&gt;&lt;D xsi:type="xsd:double"&gt;1560.7&lt;/D&gt;&lt;D xsi:type="xsd:double"&gt;1563.23&lt;/D&gt;&lt;D xsi:type="xsd:double"&gt;1554.52&lt;/D&gt;&lt;D xsi:type="xsd:double"&gt;1552.48&lt;/D&gt;&lt;D xsi:type="xsd:double"&gt;1556.22&lt;/D&gt;&lt;D xsi:type="xsd:double"&gt;1551.18&lt;/D&gt;&lt;D xsi:type="xsd:double"&gt;1544.26&lt;/D&gt;&lt;D xsi:type="xsd:double"&gt;1541.46&lt;/D&gt;&lt;D xsi:type="xsd:double"&gt;1539.79&lt;/D&gt;&lt;D xsi:type="xsd:double"&gt;1525.2&lt;/D&gt;&lt;D xsi:type="xsd:double"&gt;1518.2&lt;/D&gt;&lt;D xsi:type="xsd:double"&gt;1514.68&lt;/D&gt;&lt;D xsi:type="xsd:double"&gt;1515.99&lt;/D&gt;&lt;D xsi:type="xsd:double"&gt;1496.94&lt;/D&gt;&lt;D xsi:type="xsd:double"&gt;1487.85&lt;/D&gt;&lt;D xsi:type="xsd:double"&gt;1515.6&lt;/D&gt;&lt;D xsi:type="xsd:double"&gt;1502.42&lt;/D&gt;&lt;D xsi:type="xsd:double"&gt;1511.95&lt;/D&gt;&lt;D xsi:type="xsd:double"&gt;1530.94&lt;/D&gt;&lt;D xsi:type="xsd:double"&gt;1519.79&lt;/D&gt;&lt;D xsi:type="xsd:double"&gt;1521.38&lt;/D&gt;&lt;D xsi:type="xsd:double"&gt;1520.33&lt;/D&gt;&lt;D xsi:type="xsd:double"&gt;1519.43&lt;/D&gt;&lt;D xsi:type="xsd:double"&gt;1517.01&lt;/D&gt;&lt;D xsi:type="xsd:double"&gt;1517.93&lt;/D&gt;&lt;D xsi:type="xsd:double"&gt;1509.39&lt;/D&gt;&lt;D xsi:type="xsd:double"&gt;1512.12&lt;/D&gt;&lt;D xsi:type="xsd:double"&gt;1511.29&lt;/D&gt;&lt;D xsi:type="xsd:double"&gt;1495.71&lt;/D&gt;&lt;D xsi:type="xsd:double"&gt;1513.17&lt;/D&gt;&lt;D xsi:type="xsd:double"&gt;1498.11&lt;/D&gt;&lt;D xsi:type="xsd:double"&gt;1501.96&lt;/D&gt;&lt;D xsi:type="xsd:double"&gt;1507.84&lt;/D&gt;&lt;D xsi:type="xsd:double"&gt;1500.18&lt;/D&gt;&lt;D xsi:type="xsd:double"&gt;1502.96&lt;/D&gt;&lt;D xsi:type="xsd:double"&gt;1494.82&lt;/D&gt;&lt;D xsi:type="xsd:double"&gt;1494.81&lt;/D&gt;&lt;D xsi:type="xsd:double"&gt;1492.56&lt;/D&gt;&lt;D xsi:type="xsd:double"&gt;1485.98&lt;/D&gt;&lt;D xsi:type="xsd:double"&gt;1480.94&lt;/D&gt;&lt;D xsi:type="xsd:double"&gt;1472.63&lt;/D&gt;&lt;D xsi:type="xsd:double"&gt;1472.34&lt;/D&gt;&lt;D xsi:type="xsd:double"&gt;1470.68&lt;/D&gt;&lt;D xsi:type="xsd:double"&gt;1472.05&lt;/D&gt;&lt;D xsi:type="xsd:double"&gt;1472.12&lt;/D&gt;&lt;D xsi:type="xsd:double"&gt;1461.02&lt;/D&gt;&lt;D xsi:type="xsd:double"&gt;1457.15&lt;/D&gt;&lt;D xsi:type="xsd:double"&gt;1461.89&lt;/D&gt;&lt;D xsi:type="xsd:double"&gt;1466.47&lt;/D&gt;&lt;D xsi:type="xsd:double"&gt;1459.37&lt;/D&gt;&lt;D xsi:type="xsd:double"&gt;1462.42&lt;/D&gt;&lt;D xsi:type="xsd:double"&gt;1426.19&lt;/D&gt;&lt;D xsi:type="xsd:double"&gt;1402.43&lt;/D&gt;&lt;D xsi:type="xsd:double"&gt;1418.1&lt;/D&gt;&lt;D xsi:type="xsd:double"&gt;1419.83&lt;/D&gt;&lt;D xsi:type="xsd:double"&gt;1426.66&lt;/D&gt;&lt;D xsi:type="xsd:double"&gt;1430.15&lt;/D&gt;&lt;D xsi:type="xsd:double"&gt;1443.69&lt;/D&gt;&lt;D xsi:type="xsd:double"&gt;1435.81&lt;/D&gt;&lt;D xsi:type="xsd:double"&gt;1446.79&lt;/D&gt;&lt;D xsi:type="xsd:double"&gt;1430.36&lt;/D&gt;&lt;D xsi:type="xsd:double"&gt;1413.58&lt;/D&gt;&lt;D xsi:type="xsd:double"&gt;1419.45&lt;/D&gt;&lt;D xsi:type="xsd:double"&gt;1428.48&lt;/D&gt;&lt;D xsi:type="xsd:double"&gt;1427.84&lt;/D&gt;&lt;D xsi:type="xsd:double"&gt;1418.55&lt;/D&gt;&lt;D xsi:type="xsd:double"&gt;1418.07&lt;/D&gt;&lt;D xsi:type="xsd:double"&gt;1413.94&lt;/D&gt;&lt;D xsi:type="xsd:double"&gt;1409.28&lt;/D&gt;&lt;D xsi:type="xsd:double"&gt;1407.05&lt;/D&gt;&lt;D xsi:type="xsd:double"&gt;1409.46&lt;/D&gt;&lt;D xsi:type="xsd:double"&gt;1416.18&lt;/D&gt;&lt;D xsi:type="xsd:double"&gt;1415.95&lt;/D&gt;&lt;D xsi:type="xsd:double"&gt;1409.93&lt;/D&gt;&lt;D xsi:type="xsd:double"&gt;1398.94&lt;/D&gt;&lt;D xsi:type="xsd:double"&gt;1406.29&lt;/D&gt;&lt;D xsi:type="xsd:double"&gt;1409.15&lt;/D&gt;&lt;D xsi:type="xsd:double"&gt;1391.03&lt;/D&gt;&lt;D xsi:type="xsd:double"&gt;1387.81&lt;/D&gt;&lt;D xsi:type="xsd:double"&gt;1386.89&lt;/D&gt;&lt;D xsi:type="xsd:double"&gt;1359.88&lt;/D&gt;&lt;D xsi:type="xsd:double"&gt;1353.33&lt;/D&gt;&lt;D xsi:type="xsd:double"&gt;1355.49&lt;/D&gt;&lt;D xsi:type="xsd:double"&gt;1374.53&lt;/D&gt;&lt;D xsi:type="xsd:double"&gt;1380.029&lt;/D&gt;&lt;D xsi:type="xsd:double"&gt;1379.85&lt;/D&gt;&lt;D xsi:type="xsd:double"&gt;1377.51&lt;/D&gt;&lt;D xsi:type="xsd:double"&gt;1394.53&lt;/D&gt;&lt;D xsi:type="xsd:double"&gt;1428.39&lt;/D&gt;&lt;D xsi:type="xsd:double"&gt;1417.26&lt;/D&gt;&lt;D xsi:type="xsd:double"&gt;1414.2&lt;/D&gt;&lt;D xsi:type="xsd:double"&gt;1427.5891&lt;/D&gt;&lt;D xsi:type="xsd:double"&gt;1412.16&lt;/D&gt;&lt;D xsi:type="xsd:double"&gt;1411.94&lt;/D&gt;&lt;D xsi:type="xsd:double"&gt;1412.97&lt;/D&gt;&lt;D xsi:type="xsd:double"&gt;1408.75&lt;/D&gt;&lt;D xsi:type="xsd:double"&gt;1413.11&lt;/D&gt;&lt;D xsi:type="xsd:double"&gt;1433.819&lt;/D&gt;&lt;D xsi:type="xsd:double"&gt;1433.19&lt;/D&gt;&lt;D xsi:type="xsd:double"&gt;1457.34&lt;/D&gt;&lt;D xsi:type="xsd:double"&gt;1460.91&lt;/D&gt;&lt;D xsi:type="xsd:double"&gt;1454.92&lt;/D&gt;&lt;D xsi:type="xsd:double"&gt;1440.13&lt;/D&gt;&lt;D xsi:type="xsd:double"&gt;1428.59&lt;/D&gt;&lt;D xsi:type="xsd:double"&gt;1432.84&lt;/D&gt;&lt;D xsi:type="xsd:double"&gt;1432.56&lt;/D&gt;&lt;D xsi:type="xsd:double"&gt;1441.48&lt;/D&gt;&lt;D xsi:type="xsd:double"&gt;1455.88&lt;/D&gt;&lt;D xsi:type="xsd:double"&gt;1460.93&lt;/D&gt;&lt;D xsi:type="xsd:double"&gt;1461.4&lt;/D&gt;&lt;D xsi:type="xsd:double"&gt;1450.99&lt;/D&gt;&lt;D xsi:type="xsd:double"&gt;1445.75&lt;/D&gt;&lt;D xsi:type="xsd:double"&gt;1444.49&lt;/D&gt;&lt;D xsi:type="xsd:double"&gt;1440.67&lt;/D&gt;&lt;D xsi:type="xsd:double"&gt;1447.15&lt;/D&gt;&lt;D xsi:type="xsd:double"&gt;1433.32&lt;/D&gt;&lt;D xsi:type="xsd:double"&gt;1441.59&lt;/D&gt;&lt;D xsi:type="xsd:double"&gt;1456.89&lt;/D&gt;&lt;D xsi:type="xsd:double"&gt;1460.15&lt;/D&gt;&lt;D xsi:type="xsd:double"&gt;1460.26&lt;/D&gt;&lt;D xsi:type="xsd:double"&gt;1461.05&lt;/D&gt;&lt;D xsi:type="xsd:double"&gt;1459.32&lt;/D&gt;&lt;D xsi:type="xsd:double"&gt;1461.19&lt;/D&gt;&lt;D xsi:type="xsd:double"&gt;1465.77&lt;/D&gt;&lt;D xsi:type="xsd:double"&gt;1459.99&lt;/D&gt;&lt;D xsi:type="xsd:double"&gt;1436.56&lt;/D&gt;&lt;D xsi:type="xsd:double"&gt;1433.56&lt;/D&gt;&lt;D xsi:type="xsd:double"&gt;1429.08&lt;/D&gt;&lt;D xsi:type="xsd:double"&gt;1437.92&lt;/D&gt;&lt;D xsi:type="xsd:double"&gt;1432.12&lt;/D&gt;&lt;D xsi:type="xsd:double"&gt;1403.44&lt;/D&gt;&lt;D xsi:type="xsd:double"&gt;1404.94&lt;/D&gt;&lt;D xsi:type="xsd:double"&gt;1406.58&lt;/D&gt;&lt;D xsi:type="xsd:double"&gt;1399.48&lt;/D&gt;&lt;D xsi:type="xsd:double"&gt;1410.49&lt;/D&gt;&lt;D xsi:type="xsd:double"&gt;1409.3&lt;/D&gt;&lt;D xsi:type="xsd:double"&gt;1410.44&lt;/D&gt;&lt;D xsi:type="xsd:double"&gt;1411.13&lt;/D&gt;&lt;D xsi:type="xsd:double"&gt;1402.08&lt;/D&gt;&lt;D xsi:type="xsd:double"&gt;1413.49&lt;/D&gt;&lt;D xsi:type="xsd:double"&gt;1413.17&lt;/D&gt;&lt;D xsi:type="xsd:double"&gt;1418.13&lt;/D&gt;&lt;D xsi:type="xsd:double"&gt;1418.16&lt;/D&gt;&lt;D xsi:type="xsd:double"&gt;1415.51&lt;/D&gt;&lt;D xsi:type="xsd:double"&gt;1405.53&lt;/D&gt;&lt;D xsi:type="xsd:double"&gt;1403.93&lt;/D&gt;&lt;D xsi:type="xsd:double"&gt;1404.11&lt;/D&gt;&lt;D xsi:type="xsd:double"&gt;1405.87&lt;/D&gt;&lt;D xsi:type="xsd:double"&gt;1402.8&lt;/D&gt;&lt;D xsi:type="xsd:double"&gt;1402.22&lt;/D&gt;&lt;D xsi:type="xsd:double"&gt;1401.35&lt;/D&gt;&lt;D xsi:type="xsd:double"&gt;1394.23&lt;/D&gt;&lt;D xsi:type="xsd:double"&gt;1390.99&lt;/D&gt;&lt;D xsi:type="xsd:double"&gt;1365&lt;/D&gt;&lt;D xsi:type="xsd:double"&gt;1375.136&lt;/D&gt;&lt;D xsi:type="xsd:double"&gt;1379.32&lt;/D&gt;&lt;D xsi:type="xsd:double"&gt;1385.3&lt;/D&gt;&lt;D xsi:type="xsd:double"&gt;1385.97&lt;/D&gt;&lt;D xsi:type="xsd:double"&gt;1360.02&lt;/D&gt;&lt;D xsi:type="xsd:double"&gt;1337.89&lt;/D&gt;&lt;D xsi:type="xsd:double"&gt;1338.31&lt;/D&gt;&lt;D xsi:type="xsd:double"&gt;1350.52&lt;/D&gt;&lt;D xsi:type="xsd:double"&gt;1362.66&lt;/D&gt;&lt;D xsi:type="xsd:double"&gt;1376.51&lt;/D&gt;&lt;D xsi:type="xsd:double"&gt;1372.78&lt;/D&gt;&lt;D xsi:type="xsd:double"&gt;1363.67&lt;/D&gt;&lt;D xsi:type="xsd:double"&gt;1353.64&lt;/D&gt;&lt;D xsi:type="xsd:double"&gt;1356.78&lt;/D&gt;&lt;D xsi:type="xsd:double"&gt;1334.76&lt;/D&gt;&lt;D xsi:type="xsd:double"&gt;1341.45&lt;/D&gt;&lt;D xsi:type="xsd:double"&gt;1341.47&lt;/D&gt;&lt;D xsi:type="xsd:double"&gt;1352.46&lt;/D&gt;&lt;D xsi:type="xsd:double"&gt;1354.68&lt;/D&gt;&lt;D xsi:type="xsd:double"&gt;1367.58&lt;/D&gt;&lt;D xsi:type="xsd:double"&gt;1374.02&lt;/D&gt;&lt;D xsi:type="xsd:double"&gt;1365.51&lt;/D&gt;&lt;D xsi:type="xsd:double"&gt;1362.16&lt;/D&gt;&lt;D xsi:type="xsd:double"&gt;1329.04&lt;/D&gt;&lt;D xsi:type="xsd:double"&gt;1331.85&lt;/D&gt;&lt;D xsi:type="xsd:double"&gt;1319.99&lt;/D&gt;&lt;D xsi:type="xsd:double"&gt;1313.72&lt;/D&gt;&lt;D xsi:type="xsd:double"&gt;1335.02&lt;/D&gt;&lt;D xsi:type="xsd:double"&gt;1325.51&lt;/D&gt;&lt;D xsi:type="xsd:double"&gt;1355.69&lt;/D&gt;&lt;D xsi:type="xsd:double"&gt;1357.98&lt;/D&gt;&lt;D xsi:type="xsd:double"&gt;1344.78&lt;/D&gt;&lt;D xsi:type="xsd:double"&gt;1342.84&lt;/D&gt;&lt;D xsi:type="xsd:double"&gt;1329.1&lt;/D&gt;&lt;D xsi:type="xsd:double"&gt;1314.88&lt;/D&gt;&lt;D xsi:type="xsd:double"&gt;1324.18&lt;/D&gt;&lt;D xsi:type="xsd:double"&gt;1308.93&lt;/D&gt;&lt;D xsi:type="xsd:double"&gt;1325.66&lt;/D&gt;&lt;D xsi:type="xsd:double"&gt;1314.99&lt;/D&gt;&lt;D xsi:type="xsd:double"&gt;1315.13&lt;/D&gt;&lt;D xsi:type="xsd:double"&gt;1285.5&lt;/D&gt;&lt;D xsi:type="xsd:double"&gt;1278.18&lt;/D&gt;&lt;D xsi:type="xsd:double"&gt;1278.04&lt;/D&gt;&lt;D xsi:type="xsd:double"&gt;1310.33&lt;/D&gt;&lt;D xsi:type="xsd:double"&gt;1313.32&lt;/D&gt;&lt;D xsi:type="xsd:double"&gt;1332.42&lt;/D&gt;&lt;D xsi:type="xsd:double"&gt;1317.82&lt;/D&gt;&lt;D xsi:type="xsd:double"&gt;1320.679&lt;/D&gt;&lt;D xsi:type="xsd:double"&gt;1318.86&lt;/D&gt;&lt;D xsi:type="xsd:double"&gt;1316.63&lt;/D&gt;&lt;D xsi:type="xsd:double"&gt;1315.99&lt;/D&gt;&lt;D xsi:type="xsd:double"&gt;1295.22&lt;/D&gt;&lt;D xsi:type="xsd:double"&gt;1304.86&lt;/D&gt;&lt;D xsi:type="xsd:double"&gt;1324.8&lt;/D&gt;&lt;D xsi:type="xsd:double"&gt;1330.66&lt;/D&gt;&lt;D xsi:type="xsd:double"&gt;1338.35&lt;/D&gt;&lt;D xsi:type="xsd:double"&gt;1353.39&lt;/D&gt;&lt;D xsi:type="xsd:double"&gt;1357.99&lt;/D&gt;&lt;D xsi:type="xsd:double"&gt;1354.58&lt;/D&gt;&lt;D xsi:type="xsd:double"&gt;1363.72&lt;/D&gt;&lt;D xsi:type="xsd:double"&gt;1369.58&lt;/D&gt;&lt;D xsi:type="xsd:double"&gt;1369.1&lt;/D&gt;&lt;D xsi:type="xsd:double"&gt;1391.57&lt;/D&gt;&lt;D xsi:type="xsd:double"&gt;1402.31&lt;/D&gt;&lt;D xsi:type="xsd:double"&gt;1405.82&lt;/D&gt;&lt;D xsi:type="xsd:double"&gt;1397.91&lt;/D&gt;&lt;D xsi:type="xsd:double"&gt;1403.36&lt;/D&gt;&lt;D xsi:type="xsd:double"&gt;1399.98&lt;/D&gt;&lt;D xsi:type="xsd:double"&gt;1390.69&lt;/D&gt;&lt;D xsi:type="xsd:double"&gt;1371.97&lt;/D&gt;&lt;D xsi:type="xsd:double"&gt;1366.94&lt;/D&gt;&lt;D xsi:type="xsd:double"&gt;1378.53&lt;/D&gt;&lt;D xsi:type="xsd:double"&gt;1376.92&lt;/D&gt;&lt;D xsi:type="xsd:double"&gt;1385.14&lt;/D&gt;&lt;D xsi:type="xsd:double"&gt;1390.78&lt;/D&gt;&lt;D xsi:type="xsd:double"&gt;1369.57&lt;/D&gt;&lt;D xsi:type="xsd:double"&gt;1370.26&lt;/D&gt;&lt;D xsi:type="xsd:double"&gt;1387.57&lt;/D&gt;&lt;D xsi:type="xsd:double"&gt;1368.71&lt;/D&gt;&lt;D xsi:type="xsd:double"&gt;1358.59&lt;/D&gt;&lt;D xsi:type="xsd:double"&gt;1382.2&lt;/D&gt;&lt;D xsi:type="xsd:double"&gt;1398.08&lt;/D&gt;&lt;D xsi:type="xsd:double"&gt;1398.96&lt;/D&gt;&lt;D xsi:type="xsd:double"&gt;1413.38&lt;/D&gt;&lt;D xsi:type="xsd:double"&gt;1419.04&lt;/D&gt;&lt;D xsi:type="xsd:double"&gt;1408.47&lt;/D&gt;&lt;D xsi:type="xsd:double"&gt;1403.28&lt;/D&gt;&lt;D xsi:type="xsd:double"&gt;1405.54&lt;/D&gt;&lt;D xsi:type="xsd:double"&gt;1412.52&lt;/D&gt;&lt;D xsi:type="xsd:double"&gt;1416.51&lt;/D&gt;&lt;D xsi:type="xsd:double"&gt;1397.11&lt;/D&gt;&lt;D xsi:type="xsd:double"&gt;1392.78&lt;/D&gt;&lt;D xsi:type="xsd:double"&gt;1402.89&lt;/D&gt;&lt;D xsi:type="xsd:double"&gt;1405.52&lt;/D&gt;&lt;D xsi:type="xsd:double"&gt;1409.75&lt;/D&gt;&lt;D xsi:type="xsd:double"&gt;1404.17&lt;/D&gt;&lt;D xsi:type="xsd:double"&gt;1402.6&lt;/D&gt;&lt;D xsi:type="xsd:double"&gt;1394.28&lt;/D&gt;&lt;D xsi:type="xsd:double"&gt;1395.95&lt;/D&gt;&lt;D xsi:type="xsd:double"&gt;1371.09&lt;/D&gt;&lt;D xsi:type="xsd:double"&gt;1370.87&lt;/D&gt;&lt;D xsi:type="xsd:double"&gt;1365.91&lt;/D&gt;&lt;D xsi:type="xsd:double"&gt;1352.63&lt;/D&gt;&lt;D xsi:type="xsd:double"&gt;1343.36&lt;/D&gt;&lt;D xsi:type="xsd:double"&gt;1364.33&lt;/D&gt;&lt;D xsi:type="xsd:double"&gt;1369.63&lt;/D&gt;&lt;D xsi:type="xsd:double"&gt;1374.09&lt;/D&gt;&lt;D xsi:type="xsd:double"&gt;1365.68&lt;/D&gt;&lt;D xsi:type="xsd:double"&gt;1372.18&lt;/D&gt;&lt;D xsi:type="xsd:double"&gt;1367.59&lt;/D&gt;&lt;D xsi:type="xsd:double"&gt;1365.74&lt;/D&gt;&lt;D xsi:type="xsd:double"&gt;1363.46&lt;/D&gt;&lt;D xsi:type="xsd:double"&gt;1357.66&lt;/D&gt;&lt;D xsi:type="xsd:double"&gt;1362.21&lt;/D&gt;&lt;D xsi:type="xsd:double"&gt;1361.23&lt;/D&gt;&lt;D xsi:type="xsd:double"&gt;1358.04&lt;/D&gt;&lt;D xsi:type="xsd:double"&gt;1343.23&lt;/D&gt;&lt;D xsi:type="xsd:double"&gt;1350.5&lt;/D&gt;&lt;D xsi:type="xsd:double"&gt;1351.77&lt;/D&gt;&lt;D xsi:type="xsd:double"&gt;1342.64&lt;/D&gt;&lt;D xsi:type="xsd:double"&gt;1351.95&lt;/D&gt;&lt;D xsi:type="xsd:double"&gt;1349.96&lt;/D&gt;&lt;D xsi:type="xsd:double"&gt;1347.05&lt;/D&gt;&lt;D xsi:type="xsd:double"&gt;1344.33&lt;/D&gt;&lt;D xsi:type="xsd:double"&gt;1344.9&lt;/D&gt;&lt;D xsi:type="xsd:double"&gt;1325.54&lt;/D&gt;&lt;D xsi:type="xsd:double"&gt;1324.09&lt;/D&gt;&lt;D xsi:type="xsd:double"&gt;1312.41&lt;/D&gt;&lt;D xsi:type="xsd:double"&gt;1313.01&lt;/D&gt;&lt;D xsi:type="xsd:double"&gt;1316.33&lt;/D&gt;&lt;D xsi:type="xsd:double"&gt;1318.43&lt;/D&gt;&lt;D xsi:type="xsd:double"&gt;1326.06&lt;/D&gt;&lt;D xsi:type="xsd:double"&gt;1314.65&lt;/D&gt;&lt;D xsi:type="xsd:double"&gt;1316&lt;/D&gt;&lt;D xsi:type="xsd:double"&gt;1315.38&lt;/D&gt;&lt;D xsi:type="xsd:double"&gt;1314.5&lt;/D&gt;&lt;D xsi:type="xsd:double"&gt;1308.04&lt;/D&gt;&lt;D xsi:type="xsd:double"&gt;1293.67&lt;/D&gt;&lt;D xsi:type="xsd:double"&gt;1289.09&lt;/D&gt;&lt;D xsi:type="xsd:double"&gt;1295.5&lt;/D&gt;&lt;D xsi:type="xsd:double"&gt;1292.48&lt;/D&gt;&lt;D xsi:type="xsd:double"&gt;1292.08&lt;/D&gt;&lt;D xsi:type="xsd:double"&gt;1280.7&lt;/D&gt;&lt;D xsi:type="xsd:double"&gt;1277.81&lt;/D&gt;&lt;D xsi:type="xsd:double"&gt;1281.06&lt;/D&gt;&lt;D xsi:type="xsd:double"&gt;1277.3&lt;/D&gt;&lt;D xsi:type="xsd:double"&gt;1277.06&lt;/D&gt;&lt;D xsi:type="xsd:double"&gt;1257.6&lt;/D&gt;&lt;D xsi:type="xsd:double"&gt;1263.02&lt;/D&gt;&lt;D xsi:type="xsd:double"&gt;1249.64&lt;/D&gt;&lt;D xsi:type="xsd:double"&gt;1265.43&lt;/D&gt;&lt;D xsi:type="xsd:double"&gt;1265.33&lt;/D&gt;&lt;D xsi:type="xsd:double"&gt;1254&lt;/D&gt;&lt;D xsi:type="xsd:double"&gt;1243.72&lt;/D&gt;&lt;D xsi:type="xsd:double"&gt;1241.3&lt;/D&gt;&lt;D xsi:type="xsd:double"&gt;1205.35&lt;/D&gt;&lt;D xsi:type="xsd:double"&gt;1219.66&lt;/D&gt;&lt;D xsi:type="xsd:double"&gt;1215.75&lt;/D&gt;&lt;D xsi:type="xsd:double"&gt;1211.82&lt;/D&gt;&lt;D xsi:type="xsd:double"&gt;1225.73&lt;/D&gt;&lt;D xsi:type="xsd:double"&gt;1236.47&lt;/D&gt;&lt;D xsi:type="xsd:double"&gt;1255.19&lt;/D&gt;&lt;D xsi:type="xsd:double"&gt;1234.35&lt;/D&gt;&lt;D xsi:type="xsd:double"&gt;1261.01&lt;/D&gt;&lt;D xsi:type="xsd:double"&gt;1258.47&lt;/D&gt;&lt;D xsi:type="xsd:double"&gt;1257.08&lt;/D&gt;&lt;D xsi:type="xsd:double"&gt;1244.28&lt;/D&gt;&lt;D xsi:type="xsd:double"&gt;1244.58&lt;/D&gt;&lt;D xsi:type="xsd:double"&gt;1246.96&lt;/D&gt;&lt;D xsi:type="xsd:double"&gt;1195.19&lt;/D&gt;&lt;D xsi:type="xsd:double"&gt;1192.55&lt;/D&gt;&lt;D xsi:type="xsd:double"&gt;1158.67&lt;/D&gt;&lt;D xsi:type="xsd:double"&gt;1161.79&lt;/D&gt;&lt;/FQL&gt;&lt;FQL&gt;&lt;Q&gt;DAL-US^FG_PRICE(NOW,-10AY)&lt;/Q&gt;&lt;R&gt;2519&lt;/R&gt;&lt;C&gt;1&lt;/C&gt;&lt;D xsi:type="xsd:double"&gt;36.38&lt;/D&gt;&lt;D xsi:type="xsd:double"&gt;39.69&lt;/D&gt;&lt;D xsi:type="xsd:double"&gt;39.53&lt;/D&gt;&lt;D xsi:type="xsd:double"&gt;39.77&lt;/D&gt;&lt;D xsi:type="xsd:double"&gt;39.69&lt;/D&gt;&lt;D xsi:type="xsd:double"&gt;40.12&lt;/D&gt;&lt;D xsi:type="xsd:double"&gt;40.71&lt;/D&gt;&lt;D xsi:type="xsd:double"&gt;41.04&lt;/D&gt;&lt;D xsi:type="xsd:double"&gt;42.38&lt;/D&gt;&lt;D xsi:type="xsd:double"&gt;42.22&lt;/D&gt;&lt;D xsi:type="xsd:double"&gt;43.45&lt;/D&gt;&lt;D xsi:type="xsd:double"&gt;43.71&lt;/D&gt;&lt;D xsi:type="xsd:double"&gt;44.53&lt;/D&gt;&lt;D xsi:type="xsd:double"&gt;44.65&lt;/D&gt;&lt;D xsi:type="xsd:double"&gt;44.29&lt;/D&gt;&lt;D xsi:type="xsd:double"&gt;40.99&lt;/D&gt;&lt;D xsi:type="xsd:double"&gt;41.24&lt;/D&gt;&lt;D xsi:type="xsd:double"&gt;40.39&lt;/D&gt;&lt;D xsi:type="xsd:double"&gt;40.42&lt;/D&gt;&lt;D xsi:type="xsd:double"&gt;39.13&lt;/D&gt;&lt;D xsi:type="xsd:double"&gt;39.15&lt;/D&gt;&lt;D xsi:type="xsd:double"&gt;39.07&lt;/D&gt;&lt;D xsi:type="xsd:double"&gt;39.71&lt;/D&gt;&lt;D xsi:type="xsd:double"&gt;39.51&lt;/D&gt;&lt;D xsi:type="xsd:double"&gt;39.74&lt;/D&gt;&lt;D xsi:type="xsd:double"&gt;40.4&lt;/D&gt;&lt;D xsi:type="xsd:double"&gt;40.3&lt;/D&gt;&lt;D xsi:type="xsd:double"&gt;40.45&lt;/D&gt;&lt;D xsi:type="xsd:double"&gt;41.01&lt;/D&gt;&lt;D xsi:type="xsd:double"&gt;40.99&lt;/D&gt;&lt;D xsi:type="xsd:double"&gt;41.2&lt;/D&gt;&lt;D xsi:type="xsd:double"&gt;41.03&lt;/D&gt;&lt;D xsi:type="xsd:double"&gt;43.54&lt;/D&gt;&lt;D xsi:type="xsd:double"&gt;43.19&lt;/D&gt;&lt;D xsi:type="xsd:double"&gt;43.38&lt;/D&gt;&lt;D xsi:type="xsd:double"&gt;43.68&lt;/D&gt;&lt;D xsi:type="xsd:double"&gt;44.02&lt;/D&gt;&lt;D xsi:type="xsd:double"&gt;44.74&lt;/D&gt;&lt;D xsi:type="xsd:double"&gt;44.96&lt;/D&gt;&lt;D xsi:type="xsd:double"&gt;45.38&lt;/D&gt;&lt;D xsi:type="xsd:double"&gt;42.61&lt;/D&gt;&lt;D xsi:type="xsd:double"&gt;43.36&lt;/D&gt;&lt;D xsi:type="xsd:double"&gt;43.44&lt;/D&gt;&lt;D xsi:type="xsd:double"&gt;43.78&lt;/D&gt;&lt;D xsi:type="xsd:double"&gt;43.53&lt;/D&gt;&lt;D xsi:type="xsd:double"&gt;42.59&lt;/D&gt;&lt;D xsi:type="xsd:double"&gt;41.59&lt;/D&gt;&lt;D xsi:type="xsd:double"&gt;40.36&lt;/D&gt;&lt;D xsi:type="xsd:double"&gt;40.78&lt;/D&gt;&lt;D xsi:type="xsd:double"&gt;40.11&lt;/D&gt;&lt;D xsi:type="xsd:double"&gt;40.22&lt;/D&gt;&lt;D xsi:type="xsd:double"&gt;39.64&lt;/D&gt;&lt;D xsi:type="xsd:double"&gt;39.44&lt;/D&gt;&lt;D xsi:type="xsd:double"&gt;40.18&lt;/D&gt;&lt;D xsi:type="xsd:double"&gt;39.36&lt;/D&gt;&lt;D xsi:type="xsd:double"&gt;41.09&lt;/D&gt;&lt;D xsi:type="xsd:double"&gt;39.65&lt;/D&gt;&lt;D xsi:type="xsd:double"&gt;40.35&lt;/D&gt;&lt;D xsi:type="xsd:double"&gt;40.25&lt;/D&gt;&lt;D xsi:type="xsd:double"&gt;40.82&lt;/D&gt;&lt;D xsi:type="xsd:double"&gt;40.4&lt;/D&gt;&lt;D xsi:type="xsd:double"&gt;40.44&lt;/D&gt;&lt;D xsi:type="xsd:double"&gt;39.91&lt;/D&gt;&lt;D xsi:type="xsd:double"&gt;41.52&lt;/D&gt;&lt;D xsi:type="xsd:double"&gt;40.77&lt;/D&gt;&lt;D xsi:type="xsd:double"&gt;41.3&lt;/D&gt;&lt;D xsi:type="xsd:double"&gt;40.53&lt;/D&gt;&lt;D xsi:type="xsd:double"&gt;39.21&lt;/D&gt;&lt;D xsi:type="xsd:double"&gt;38.12&lt;/D&gt;&lt;D xsi:type="xsd:double"&gt;37.93&lt;/D&gt;&lt;D xsi:type="xsd:double"&gt;38.65&lt;/D&gt;&lt;D xsi:type="xsd:double"&gt;38.78&lt;/D&gt;&lt;D xsi:type="xsd:double"&gt;39.93&lt;/D&gt;&lt;D xsi:type="xsd:double"&gt;39.9&lt;/D&gt;&lt;D xsi:type="xsd:double"&gt;40.53&lt;/D&gt;&lt;D xsi:type="xsd:double"&gt;41.3&lt;/D&gt;&lt;D xsi:type="xsd:double"&gt;40.46&lt;/D&gt;&lt;D xsi:type="xsd:double"&gt;39.29&lt;/D&gt;&lt;D xsi:type="xsd:double"&gt;40.32&lt;/D&gt;&lt;D xsi:type="xsd:double"&gt;39.99&lt;/D&gt;&lt;D xsi:type="xsd:double"&gt;38.35&lt;/D&gt;&lt;D xsi:type="xsd:double"&gt;39.77&lt;/D&gt;&lt;D xsi:type="xsd:double"&gt;39.45&lt;/D&gt;&lt;D xsi:type="xsd:double"&gt;39.9&lt;/D&gt;&lt;D xsi:type="xsd:double"&gt;41.23&lt;/D&gt;&lt;D xsi:type="xsd:double"&gt;41.3&lt;/D&gt;&lt;D xsi:type="xsd:double"&gt;40.96&lt;/D&gt;&lt;D xsi:type="xsd:double"&gt;41.67&lt;/D&gt;&lt;D xsi:type="xsd:double"&gt;40.41&lt;/D&gt;&lt;D xsi:type="xsd:double"&gt;41.06&lt;/D&gt;&lt;D xsi:type="xsd:double"&gt;41.61&lt;/D&gt;&lt;D xsi:type="xsd:double"&gt;40.66&lt;/D&gt;&lt;D xsi:type="xsd:double"&gt;38.56&lt;/D&gt;&lt;D xsi:type="xsd:double"&gt;40.06&lt;/D&gt;&lt;D xsi:type="xsd:double"&gt;41.35&lt;/D&gt;&lt;D xsi:type="xsd:double"&gt;40.68&lt;/D&gt;&lt;D xsi:type="xsd:double"&gt;41.33&lt;/D&gt;&lt;D xsi:type="xsd:double"&gt;42.85&lt;/D&gt;&lt;D xsi:type="xsd:double"&gt;42.92&lt;/D&gt;&lt;D xsi:type="xsd:double"&gt;42.07&lt;/D&gt;&lt;D xsi:type="xsd:double"&gt;42.54&lt;/D&gt;&lt;D xsi:type="xsd:double"&gt;43.24&lt;/D&gt;&lt;D xsi:type="xsd:double"&gt;44.15&lt;/D&gt;&lt;D xsi:type="xsd:double"&gt;44.23&lt;/D&gt;&lt;D xsi:type="xsd:double"&gt;43.26&lt;/D&gt;&lt;D xsi:type="xsd:double"&gt;42.87&lt;/D&gt;&lt;D xsi:type="xsd:double"&gt;43.12&lt;/D&gt;&lt;D xsi:type="xsd:double"&gt;44.43&lt;/D&gt;&lt;D xsi:type="xsd:double"&gt;44.91&lt;/D&gt;&lt;D xsi:type="xsd:double"&gt;45.27&lt;/D&gt;&lt;D xsi:type="xsd:double"&gt;45.37&lt;/D&gt;&lt;D xsi:type="xsd:double"&gt;45.77&lt;/D&gt;&lt;D xsi:type="xsd:double"&gt;44.96&lt;/D&gt;&lt;D xsi:type="xsd:double"&gt;44.57&lt;/D&gt;&lt;D xsi:type="xsd:double"&gt;45.52&lt;/D&gt;&lt;D xsi:type="xsd:double"&gt;45.53&lt;/D&gt;&lt;D xsi:type="xsd:double"&gt;45.9&lt;/D&gt;&lt;D xsi:type="xsd:double"&gt;46.5&lt;/D&gt;&lt;D xsi:type="xsd:double"&gt;46.28&lt;/D&gt;&lt;D xsi:type="xsd:double"&gt;46.52&lt;/D&gt;&lt;D xsi:type="xsd:double"&gt;47.04&lt;/D&gt;&lt;D xsi:type="xsd:double"&gt;46.08&lt;/D&gt;&lt;D xsi:type="xsd:double"&gt;45.98&lt;/D&gt;&lt;D xsi:type="xsd:double"&gt;46.13&lt;/D&gt;&lt;D xsi:type="xsd:double"&gt;47.77&lt;/D&gt;&lt;D xsi:type="xsd:double"&gt;47.7&lt;/D&gt;&lt;D xsi:type="xsd:double"&gt;47.68&lt;/D&gt;&lt;D xsi:type="xsd:double"&gt;48.05&lt;/D&gt;&lt;D xsi:type="xsd:double"&gt;47.49&lt;/D&gt;&lt;D xsi:type="xsd:double"&gt;46.67&lt;/D&gt;&lt;D xsi:type="xsd:double"&gt;46.17&lt;/D&gt;&lt;D xsi:type="xsd:double"&gt;45.21&lt;/D&gt;&lt;D xsi:type="xsd:double"&gt;45.41&lt;/D&gt;&lt;D xsi:type="xsd:double"&gt;46.14&lt;/D&gt;&lt;D xsi:type="xsd:double"&gt;46.73&lt;/D&gt;&lt;D xsi:type="xsd:double"&gt;46.75&lt;/D&gt;&lt;D xsi:type="xsd:double"&gt;46.31&lt;/D&gt;&lt;D xsi:type="xsd:double"&gt;43.97&lt;/D&gt;&lt;D xsi:type="xsd:double"&gt;43.03&lt;/D&gt;&lt;D xsi:type="xsd:double"&gt;44.52&lt;/D&gt;&lt;D xsi:type="xsd:double"&gt;45.43&lt;/D&gt;&lt;D xsi:type="xsd:double"&gt;46.11&lt;/D&gt;&lt;D xsi:type="xsd:double"&gt;44.93&lt;/D&gt;&lt;D xsi:type="xsd:double"&gt;45.2&lt;/D&gt;&lt;D xsi:type="xsd:double"&gt;44.66&lt;/D&gt;&lt;D xsi:type="xsd:double"&gt;46.57&lt;/D&gt;&lt;D xsi:type="xsd:double"&gt;46.92&lt;/D&gt;&lt;D xsi:type="xsd:double"&gt;46.38&lt;/D&gt;&lt;D xsi:type="xsd:double"&gt;46.44&lt;/D&gt;&lt;D xsi:type="xsd:double"&gt;46.34&lt;/D&gt;&lt;D xsi:type="xsd:double"&gt;46.61&lt;/D&gt;&lt;D xsi:type="xsd:double"&gt;45.8&lt;/D&gt;&lt;D xsi:type="xsd:double"&gt;44.65&lt;/D&gt;&lt;D xsi:type="xsd:double"&gt;45.7&lt;/D&gt;&lt;D xsi:type="xsd:double"&gt;44.45&lt;/D&gt;&lt;D xsi:type="xsd:double"&gt;46.15&lt;/D&gt;&lt;D xsi:type="xsd:double"&gt;46.64&lt;/D&gt;&lt;D xsi:type="xsd:double"&gt;46.82&lt;/D&gt;&lt;D xsi:type="xsd:double"&gt;48.17&lt;/D&gt;&lt;D xsi:type="xsd:double"&gt;48.26&lt;/D&gt;&lt;D xsi:type="xsd:double"&gt;48.82&lt;/D&gt;&lt;D xsi:type="xsd:double"&gt;49.27&lt;/D&gt;&lt;D xsi:type="xsd:double"&gt;49.81&lt;/D&gt;&lt;D xsi:type="xsd:double"&gt;50.2&lt;/D&gt;&lt;D xsi:type="xsd:double"&gt;51.65&lt;/D&gt;&lt;D xsi:type="xsd:double"&gt;50.25&lt;/D&gt;&lt;D xsi:type="xsd:double"&gt;48.83&lt;/D&gt;&lt;D xsi:type="xsd:double"&gt;48.28&lt;/D&gt;&lt;D xsi:type="xsd:double"&gt;48.9&lt;/D&gt;&lt;D xsi:type="xsd:double"&gt;47.32&lt;/D&gt;&lt;D xsi:type="xsd:double"&gt;47.66&lt;/D&gt;&lt;D xsi:type="xsd:double"&gt;47.01&lt;/D&gt;&lt;D xsi:type="xsd:double"&gt;45.61&lt;/D&gt;&lt;D xsi:type="xsd:double"&gt;45.64&lt;/D&gt;&lt;D xsi:type="xsd:double"&gt;47.97&lt;/D&gt;&lt;D xsi:type="xsd:double"&gt;49&lt;/D&gt;&lt;D xsi:type="xsd:double"&gt;49.18&lt;/D&gt;&lt;D xsi:type="xsd:double"&gt;50.44&lt;/D&gt;&lt;D xsi:type="xsd:double"&gt;49.39&lt;/D&gt;&lt;D xsi:type="xsd:double"&gt;50.99&lt;/D&gt;&lt;D xsi:type="xsd:double"&gt;49.83&lt;/D&gt;&lt;D xsi:type="xsd:double"&gt;48.32&lt;/D&gt;&lt;D xsi:type="xsd:double"&gt;47.8&lt;/D&gt;&lt;D xsi:type="xsd:double"&gt;47.62&lt;/D&gt;&lt;D xsi:type="xsd:double"&gt;47.88&lt;/D&gt;&lt;D xsi:type="xsd:double"&gt;46.21&lt;/D&gt;&lt;D xsi:type="xsd:double"&gt;46.96&lt;/D&gt;&lt;D xsi:type="xsd:double"&gt;48.35&lt;/D&gt;&lt;D xsi:type="xsd:double"&gt;48.23&lt;/D&gt;&lt;D xsi:type="xsd:double"&gt;48.06&lt;/D&gt;&lt;D xsi:type="xsd:double"&gt;47.94&lt;/D&gt;&lt;D xsi:type="xsd:double"&gt;48.25&lt;/D&gt;&lt;D xsi:type="xsd:double"&gt;49.6&lt;/D&gt;&lt;D xsi:type="xsd:double"&gt;48.34&lt;/D&gt;&lt;D xsi:type="xsd:double"&gt;47.74&lt;/D&gt;&lt;D xsi:type="xsd:double"&gt;45.67&lt;/D&gt;&lt;D xsi:type="xsd:double"&gt;44.38&lt;/D&gt;&lt;D xsi:type="xsd:double"&gt;44.39&lt;/D&gt;&lt;D xsi:type="xsd:double"&gt;44.65&lt;/D&gt;&lt;D xsi:type="xsd:double"&gt;43.29&lt;/D&gt;&lt;D xsi:type="xsd:double"&gt;42.72&lt;/D&gt;&lt;D xsi:type="xsd:double"&gt;42.9&lt;/D&gt;&lt;D xsi:type="xsd:double"&gt;42.51&lt;/D&gt;&lt;D xsi:type="xsd:double"&gt;43.24&lt;/D&gt;&lt;D xsi:type="xsd:double"&gt;41.15&lt;/D&gt;&lt;D xsi:type="xsd:double"&gt;40.93&lt;/D&gt;&lt;D xsi:type="xsd:double"&gt;39.78&lt;/D&gt;&lt;D xsi:type="xsd:double"&gt;38.8&lt;/D&gt;&lt;D xsi:type="xsd:double"&gt;37.82&lt;/D&gt;&lt;D xsi:type="xsd:double"&gt;37.96&lt;/D&gt;&lt;D xsi:type="xsd:double"&gt;40.08&lt;/D&gt;&lt;D xsi:type="xsd:double"&gt;38.52&lt;/D&gt;&lt;D xsi:type="xsd:double"&gt;39.32&lt;/D&gt;&lt;D xsi:type="xsd:double"&gt;38.9&lt;/D&gt;&lt;D xsi:type="xsd:double"&gt;40&lt;/D&gt;&lt;D xsi:type="xsd:double"&gt;40.67&lt;/D&gt;&lt;D xsi:type="xsd:double"&gt;41.62&lt;/D&gt;&lt;D xsi:type="xsd:double"&gt;40.31&lt;/D&gt;&lt;D xsi:type="xsd:double"&gt;39.98&lt;/D&gt;&lt;D xsi:type="xsd:double"&gt;41.47&lt;/D&gt;&lt;D xsi:type="xsd:double"&gt;40.45&lt;/D&gt;&lt;D xsi:type="xsd:double"&gt;40.3&lt;/D&gt;&lt;D xsi:type="xsd:double"&gt;39.41&lt;/D&gt;&lt;D xsi:type="xsd:double"&gt;40.02&lt;/D&gt;&lt;D xsi:type="xsd:double"&gt;40.23&lt;/D&gt;&lt;D xsi:type="xsd:double"&gt;40.38&lt;/D&gt;&lt;D xsi:type="xsd:double"&gt;39.55&lt;/D&gt;&lt;D xsi:type="xsd:double"&gt;38.73&lt;/D&gt;&lt;D xsi:type="xsd:double"&gt;40.21&lt;/D&gt;&lt;D xsi:type="xsd:double"&gt;40.56&lt;/D&gt;&lt;D xsi:type="xsd:double"&gt;40.03&lt;/D&gt;&lt;D xsi:type="xsd:double"&gt;40.15&lt;/D&gt;&lt;D xsi:type="xsd:double"&gt;39.73&lt;/D&gt;&lt;D xsi:type="xsd:double"&gt;40.24&lt;/D&gt;&lt;D xsi:type="xsd:double"&gt;38.94&lt;/D&gt;&lt;D xsi:type="xsd:double"&gt;40.14&lt;/D&gt;&lt;D xsi:type="xsd:double"&gt;40.68&lt;/D&gt;&lt;D xsi:type="xsd:double"&gt;41.11&lt;/D&gt;&lt;D xsi:type="xsd:double"&gt;41.08&lt;/D&gt;&lt;D xsi:type="xsd:double"&gt;41.85&lt;/D&gt;&lt;D xsi:type="xsd:double"&gt;40.69&lt;/D&gt;&lt;D xsi:type="xsd:double"&gt;41.74&lt;/D&gt;&lt;D xsi:type="xsd:double"&gt;42.62&lt;/D&gt;&lt;D xsi:type="xsd:double"&gt;42.11&lt;/D&gt;&lt;D xsi:type="xsd:double"&gt;42.41&lt;/D&gt;&lt;D xsi:type="xsd:double"&gt;42.35&lt;/D&gt;&lt;D xsi:type="xsd:double"&gt;42.36&lt;/D&gt;&lt;D xsi:type="xsd:double"&gt;42.95&lt;/D&gt;&lt;D xsi:type="xsd:double"&gt;41.07&lt;/D&gt;&lt;D xsi:type="xsd:double"&gt;39.96&lt;/D&gt;&lt;D xsi:type="xsd:double"&gt;40.25&lt;/D&gt;&lt;D xsi:type="xsd:double"&gt;41.06&lt;/D&gt;&lt;D xsi:type="xsd:double"&gt;41.29&lt;/D&gt;&lt;D xsi:type="xsd:double"&gt;41.26&lt;/D&gt;&lt;D xsi:type="xsd:double"&gt;38.79&lt;/D&gt;&lt;D xsi:type="xsd:double"&gt;37.13&lt;/D&gt;&lt;D xsi:type="xsd:double"&gt;37.91&lt;/D&gt;&lt;D xsi:type="xsd:double"&gt;37.91&lt;/D&gt;&lt;D xsi:type="xsd:double"&gt;37.6&lt;/D&gt;&lt;D xsi:type="xsd:double"&gt;38&lt;/D&gt;&lt;D xsi:type="xsd:double"&gt;36.46&lt;/D&gt;&lt;D xsi:type="xsd:double"&gt;34.38&lt;/D&gt;&lt;D xsi:type="xsd:double"&gt;35.02&lt;/D&gt;&lt;D xsi:type="xsd:double"&gt;37.04&lt;/D&gt;&lt;D xsi:type="xsd:double"&gt;36.77&lt;/D&gt;&lt;D xsi:type="xsd:double"&gt;31.42&lt;/D&gt;&lt;D xsi:type="xsd:double"&gt;31.98&lt;/D&gt;&lt;D xsi:type="xsd:double"&gt;30.43&lt;/D&gt;&lt;D xsi:type="xsd:double"&gt;30.9&lt;/D&gt;&lt;D xsi:type="xsd:double"&gt;30.22&lt;/D&gt;&lt;D xsi:type="xsd:double"&gt;30.64&lt;/D&gt;&lt;D xsi:type="xsd:double"&gt;30.76&lt;/D&gt;&lt;D xsi:type="xsd:double"&gt;29.65&lt;/D&gt;&lt;D xsi:type="xsd:double"&gt;30.71&lt;/D&gt;&lt;D xsi:type="xsd:double"&gt;31.93&lt;/D&gt;&lt;D xsi:type="xsd:double"&gt;34&lt;/D&gt;&lt;D xsi:type="xsd:double"&gt;33.72&lt;/D&gt;&lt;D xsi:type="xsd:double"&gt;31.5&lt;/D&gt;&lt;D xsi:type="xsd:double"&gt;31.98&lt;/D&gt;&lt;D xsi:type="xsd:double"&gt;31.5&lt;/D&gt;&lt;D xsi:type="xsd:double"&gt;31.47&lt;/D&gt;&lt;D xsi:type="xsd:double"&gt;31.34&lt;/D&gt;&lt;D xsi:type="xsd:double"&gt;31.76&lt;/D&gt;&lt;D xsi:type="xsd:double"&gt;31.77&lt;/D&gt;&lt;D xsi:type="xsd:double"&gt;32.64&lt;/D&gt;&lt;D xsi:type="xsd:double"&gt;32.81&lt;/D&gt;&lt;D xsi:type="xsd:double"&gt;32.68&lt;/D&gt;&lt;D xsi:type="xsd:double"&gt;32.15&lt;/D&gt;&lt;D xsi:type="xsd:double"&gt;31.06&lt;/D&gt;&lt;D xsi:type="xsd:double"&gt;32&lt;/D&gt;&lt;D xsi:type="xsd:double"&gt;31.75&lt;/D&gt;&lt;D xsi:type="xsd:double"&gt;31.1&lt;/D&gt;&lt;D xsi:type="xsd:double"&gt;30.58&lt;/D&gt;&lt;D xsi:type="xsd:double"&gt;30.61&lt;/D&gt;&lt;D xsi:type="xsd:double"&gt;31.34&lt;/D&gt;&lt;D xsi:type="xsd:double"&gt;29.78&lt;/D&gt;&lt;D xsi:type="xsd:double"&gt;29.01&lt;/D&gt;&lt;D xsi:type="xsd:double"&gt;29.56&lt;/D&gt;&lt;D xsi:type="xsd:double"&gt;30.22&lt;/D&gt;&lt;D xsi:type="xsd:double"&gt;29.82&lt;/D&gt;&lt;D xsi:type="xsd:double"&gt;32.84&lt;/D&gt;&lt;D xsi:type="xsd:double"&gt;33.96&lt;/D&gt;&lt;D xsi:type="xsd:double"&gt;34.57&lt;/D&gt;&lt;D xsi:type="xsd:double"&gt;33.51&lt;/D&gt;&lt;D xsi:type="xsd:double"&gt;32.82&lt;/D&gt;&lt;D xsi:type="xsd:double"&gt;31.7&lt;/D&gt;&lt;D xsi:type="xsd:double"&gt;31.79&lt;/D&gt;&lt;D xsi:type="xsd:double"&gt;31.76&lt;/D&gt;&lt;D xsi:type="xsd:double"&gt;32.54&lt;/D&gt;&lt;D xsi:type="xsd:double"&gt;31.77&lt;/D&gt;&lt;D xsi:type="xsd:double"&gt;31.22&lt;/D&gt;&lt;D xsi:type="xsd:double"&gt;31.14&lt;/D&gt;&lt;D xsi:type="xsd:double"&gt;30.71&lt;/D&gt;&lt;D xsi:type="xsd:double"&gt;30.85&lt;/D&gt;&lt;D xsi:type="xsd:double"&gt;31.99&lt;/D&gt;&lt;D xsi:type="xsd:double"&gt;30.82&lt;/D&gt;&lt;D xsi:type="xsd:double"&gt;29.95&lt;/D&gt;&lt;D xsi:type="xsd:double"&gt;30.1&lt;/D&gt;&lt;D xsi:type="xsd:double"&gt;29.8&lt;/D&gt;&lt;D xsi:type="xsd:double"&gt;27.27&lt;/D&gt;&lt;D xsi:type="xsd:double"&gt;27.62&lt;/D&gt;&lt;D xsi:type="xsd:double"&gt;27.67&lt;/D&gt;&lt;D xsi:type="xsd:double"&gt;27.63&lt;/D&gt;&lt;D xsi:type="xsd:double"&gt;28.02&lt;/D&gt;&lt;D xsi:type="xsd:double"&gt;28.95&lt;/D&gt;&lt;D xsi:type="xsd:double"&gt;28.7&lt;/D&gt;&lt;D xsi:type="xsd:double"&gt;29.09&lt;/D&gt;&lt;D xsi:type="xsd:double"&gt;29.64&lt;/D&gt;&lt;D xsi:type="xsd:double"&gt;29.34&lt;/D&gt;&lt;D xsi:type="xsd:double"&gt;27.18&lt;/D&gt;&lt;D xsi:type="xsd:double"&gt;27.08&lt;/D&gt;&lt;D xsi:type="xsd:double"&gt;26.47&lt;/D&gt;&lt;D xsi:type="xsd:double"&gt;25.67&lt;/D&gt;&lt;D xsi:type="xsd:double"&gt;25.2&lt;/D&gt;&lt;D xsi:type="xsd:double"&gt;24.97&lt;/D&gt;&lt;D xsi:type="xsd:double"&gt;24.94&lt;/D&gt;&lt;D xsi:type="xsd:double"&gt;25.72&lt;/D&gt;&lt;D xsi:type="xsd:double"&gt;25.94&lt;/D&gt;&lt;D xsi:type="xsd:double"&gt;25.5&lt;/D&gt;&lt;D xsi:type="xsd:double"&gt;25.96&lt;/D&gt;&lt;D xsi:type="xsd:double"&gt;26.78&lt;/</t>
        </r>
      </text>
    </comment>
    <comment ref="A7" authorId="0" shapeId="0" xr:uid="{CAB473F1-0AB6-477E-8E00-8348A52F77AB}">
      <text>
        <r>
          <rPr>
            <b/>
            <sz val="9"/>
            <color indexed="81"/>
            <rFont val="Tahoma"/>
            <charset val="1"/>
          </rPr>
          <t>D&gt;&lt;D xsi:type="xsd:double"&gt;26.25&lt;/D&gt;&lt;D xsi:type="xsd:double"&gt;26.43&lt;/D&gt;&lt;D xsi:type="xsd:double"&gt;26.22&lt;/D&gt;&lt;D xsi:type="xsd:double"&gt;27.05&lt;/D&gt;&lt;D xsi:type="xsd:double"&gt;27.26&lt;/D&gt;&lt;D xsi:type="xsd:double"&gt;28.6&lt;/D&gt;&lt;D xsi:type="xsd:double"&gt;26.11&lt;/D&gt;&lt;D xsi:type="xsd:double"&gt;26.82&lt;/D&gt;&lt;D xsi:type="xsd:double"&gt;27.09&lt;/D&gt;&lt;D xsi:type="xsd:double"&gt;25.65&lt;/D&gt;&lt;D xsi:type="xsd:double"&gt;27.01&lt;/D&gt;&lt;D xsi:type="xsd:double"&gt;27.01&lt;/D&gt;&lt;D xsi:type="xsd:double"&gt;28.44&lt;/D&gt;&lt;D xsi:type="xsd:double"&gt;27.72&lt;/D&gt;&lt;D xsi:type="xsd:double"&gt;27.7&lt;/D&gt;&lt;D xsi:type="xsd:double"&gt;28.05&lt;/D&gt;&lt;D xsi:type="xsd:double"&gt;28.61&lt;/D&gt;&lt;D xsi:type="xsd:double"&gt;26.91&lt;/D&gt;&lt;D xsi:type="xsd:double"&gt;28.01&lt;/D&gt;&lt;D xsi:type="xsd:double"&gt;27.34&lt;/D&gt;&lt;D xsi:type="xsd:double"&gt;29.64&lt;/D&gt;&lt;D xsi:type="xsd:double"&gt;29.31&lt;/D&gt;&lt;D xsi:type="xsd:double"&gt;29.51&lt;/D&gt;&lt;D xsi:type="xsd:double"&gt;30.79&lt;/D&gt;&lt;D xsi:type="xsd:double"&gt;30.72&lt;/D&gt;&lt;D xsi:type="xsd:double"&gt;31.3&lt;/D&gt;&lt;D xsi:type="xsd:double"&gt;30.46&lt;/D&gt;&lt;D xsi:type="xsd:double"&gt;30.43&lt;/D&gt;&lt;D xsi:type="xsd:double"&gt;27.2&lt;/D&gt;&lt;D xsi:type="xsd:double"&gt;31.64&lt;/D&gt;&lt;D xsi:type="xsd:double"&gt;34.17&lt;/D&gt;&lt;D xsi:type="xsd:double"&gt;36.97&lt;/D&gt;&lt;D xsi:type="xsd:double"&gt;34.16&lt;/D&gt;&lt;D xsi:type="xsd:double"&gt;32.38&lt;/D&gt;&lt;D xsi:type="xsd:double"&gt;28.47&lt;/D&gt;&lt;D xsi:type="xsd:double"&gt;26.41&lt;/D&gt;&lt;D xsi:type="xsd:double"&gt;26.17&lt;/D&gt;&lt;D xsi:type="xsd:double"&gt;25.21&lt;/D&gt;&lt;D xsi:type="xsd:double"&gt;25.66&lt;/D&gt;&lt;D xsi:type="xsd:double"&gt;26.32&lt;/D&gt;&lt;D xsi:type="xsd:double"&gt;25.65&lt;/D&gt;&lt;D xsi:type="xsd:double"&gt;22.69&lt;/D&gt;&lt;D xsi:type="xsd:double"&gt;23.16&lt;/D&gt;&lt;D xsi:type="xsd:double"&gt;22.72&lt;/D&gt;&lt;D xsi:type="xsd:double"&gt;21.76&lt;/D&gt;&lt;D xsi:type="xsd:double"&gt;21.86&lt;/D&gt;&lt;D xsi:type="xsd:double"&gt;19.19&lt;/D&gt;&lt;D xsi:type="xsd:double"&gt;19.38&lt;/D&gt;&lt;D xsi:type="xsd:double"&gt;19.41&lt;/D&gt;&lt;D xsi:type="xsd:double"&gt;21.03&lt;/D&gt;&lt;D xsi:type="xsd:double"&gt;22.01&lt;/D&gt;&lt;D xsi:type="xsd:double"&gt;22.72&lt;/D&gt;&lt;D xsi:type="xsd:double"&gt;21.68&lt;/D&gt;&lt;D xsi:type="xsd:double"&gt;21&lt;/D&gt;&lt;D xsi:type="xsd:double"&gt;21.71&lt;/D&gt;&lt;D xsi:type="xsd:double"&gt;22.57&lt;/D&gt;&lt;D xsi:type="xsd:double"&gt;24.12&lt;/D&gt;&lt;D xsi:type="xsd:double"&gt;25.91&lt;/D&gt;&lt;D xsi:type="xsd:double"&gt;27.32&lt;/D&gt;&lt;D xsi:type="xsd:double"&gt;24.34&lt;/D&gt;&lt;D xsi:type="xsd:double"&gt;22.16&lt;/D&gt;&lt;D xsi:type="xsd:double"&gt;22.41&lt;/D&gt;&lt;D xsi:type="xsd:double"&gt;22.48&lt;/D&gt;&lt;D xsi:type="xsd:double"&gt;22.47&lt;/D&gt;&lt;D xsi:type="xsd:double"&gt;23.1&lt;/D&gt;&lt;D xsi:type="xsd:double"&gt;23.64&lt;/D&gt;&lt;D xsi:type="xsd:double"&gt;24.27&lt;/D&gt;&lt;D xsi:type="xsd:double"&gt;22.78&lt;/D&gt;&lt;D xsi:type="xsd:double"&gt;24.35&lt;/D&gt;&lt;D xsi:type="xsd:double"&gt;24.54&lt;/D&gt;&lt;D xsi:type="xsd:double"&gt;23.25&lt;/D&gt;&lt;D xsi:type="xsd:double"&gt;24.39&lt;/D&gt;&lt;D xsi:type="xsd:double"&gt;23.23&lt;/D&gt;&lt;D xsi:type="xsd:double"&gt;22.25&lt;/D&gt;&lt;D xsi:type="xsd:double"&gt;22.32&lt;/D&gt;&lt;D xsi:type="xsd:double"&gt;22.48&lt;/D&gt;&lt;D xsi:type="xsd:double"&gt;22.68&lt;/D&gt;&lt;D xsi:type="xsd:double"&gt;23.87&lt;/D&gt;&lt;D xsi:type="xsd:double"&gt;28.53&lt;/D&gt;&lt;D xsi:type="xsd:double"&gt;28.67&lt;/D&gt;&lt;D xsi:type="xsd:double"&gt;29.55&lt;/D&gt;&lt;D xsi:type="xsd:double"&gt;31.7&lt;/D&gt;&lt;D xsi:type="xsd:double"&gt;31.1&lt;/D&gt;&lt;D xsi:type="xsd:double"&gt;26.89&lt;/D&gt;&lt;D xsi:type="xsd:double"&gt;22.22&lt;/D&gt;&lt;D xsi:type="xsd:double"&gt;21.35&lt;/D&gt;&lt;D xsi:type="xsd:double"&gt;21.51&lt;/D&gt;&lt;D xsi:type="xsd:double"&gt;23.49&lt;/D&gt;&lt;D xsi:type="xsd:double"&gt;31.74&lt;/D&gt;&lt;D xsi:type="xsd:double"&gt;35.81&lt;/D&gt;&lt;D xsi:type="xsd:double"&gt;38.36&lt;/D&gt;&lt;D xsi:type="xsd:double"&gt;33.71&lt;/D&gt;&lt;D xsi:type="xsd:double"&gt;42.67&lt;/D&gt;&lt;D xsi:type="xsd:double"&gt;45.47&lt;/D&gt;&lt;D xsi:type="xsd:double"&gt;43.52&lt;/D&gt;&lt;D xsi:type="xsd:double"&gt;45.89&lt;/D&gt;&lt;D xsi:type="xsd:double"&gt;45.01&lt;/D&gt;&lt;D xsi:type="xsd:double"&gt;48.5&lt;/D&gt;&lt;D xsi:type="xsd:double"&gt;46.18&lt;/D&gt;&lt;D xsi:type="xsd:double"&gt;47.16&lt;/D&gt;&lt;D xsi:type="xsd:double"&gt;46.13&lt;/D&gt;&lt;D xsi:type="xsd:double"&gt;48.19&lt;/D&gt;&lt;D xsi:type="xsd:double"&gt;49.59&lt;/D&gt;&lt;D xsi:type="xsd:double"&gt;50.89&lt;/D&gt;&lt;D xsi:type="xsd:double"&gt;54.23&lt;/D&gt;&lt;D xsi:type="xsd:double"&gt;57.87&lt;/D&gt;&lt;D xsi:type="xsd:double"&gt;58.38&lt;/D&gt;&lt;D xsi:type="xsd:double"&gt;58.51&lt;/D&gt;&lt;D xsi:type="xsd:double"&gt;58.72&lt;/D&gt;&lt;D xsi:type="xsd:double"&gt;58.9&lt;/D&gt;&lt;D xsi:type="xsd:double"&gt;59.13&lt;/D&gt;&lt;D xsi:type="xsd:double"&gt;59.47&lt;/D&gt;&lt;D xsi:type="xsd:double"&gt;58.66&lt;/D&gt;&lt;D xsi:type="xsd:double"&gt;57.71&lt;/D&gt;&lt;D xsi:type="xsd:double"&gt;57.92&lt;/D&gt;&lt;D xsi:type="xsd:double"&gt;58.18&lt;/D&gt;&lt;D xsi:type="xsd:double"&gt;58.89&lt;/D&gt;&lt;D xsi:type="xsd:double"&gt;57.93&lt;/D&gt;&lt;D xsi:type="xsd:double"&gt;56.04&lt;/D&gt;&lt;D xsi:type="xsd:double"&gt;55.74&lt;/D&gt;&lt;D xsi:type="xsd:double"&gt;57.1&lt;/D&gt;&lt;D xsi:type="xsd:double"&gt;56.65&lt;/D&gt;&lt;D xsi:type="xsd:double"&gt;57.48&lt;/D&gt;&lt;D xsi:type="xsd:double"&gt;56.83&lt;/D&gt;&lt;D xsi:type="xsd:double"&gt;58.81&lt;/D&gt;&lt;D xsi:type="xsd:double"&gt;60.27&lt;/D&gt;&lt;D xsi:type="xsd:double"&gt;59.64&lt;/D&gt;&lt;D xsi:type="xsd:double"&gt;60.34&lt;/D&gt;&lt;D xsi:type="xsd:double"&gt;62.03&lt;/D&gt;&lt;D xsi:type="xsd:double"&gt;61.88&lt;/D&gt;&lt;D xsi:type="xsd:double"&gt;61.62&lt;/D&gt;&lt;D xsi:type="xsd:double"&gt;61.45&lt;/D&gt;&lt;D xsi:type="xsd:double"&gt;59.49&lt;/D&gt;&lt;D xsi:type="xsd:double"&gt;59.24&lt;/D&gt;&lt;D xsi:type="xsd:double"&gt;58.96&lt;/D&gt;&lt;D xsi:type="xsd:double"&gt;58.85&lt;/D&gt;&lt;D xsi:type="xsd:double"&gt;57.61&lt;/D&gt;&lt;D xsi:type="xsd:double"&gt;57.66&lt;/D&gt;&lt;D xsi:type="xsd:double"&gt;58.06&lt;/D&gt;&lt;D xsi:type="xsd:double"&gt;59.04&lt;/D&gt;&lt;D xsi:type="xsd:double"&gt;58.48&lt;/D&gt;&lt;D xsi:type="xsd:double"&gt;58.66&lt;/D&gt;&lt;D xsi:type="xsd:double"&gt;59.08&lt;/D&gt;&lt;D xsi:type="xsd:double"&gt;59.56&lt;/D&gt;&lt;D xsi:type="xsd:double"&gt;59.39&lt;/D&gt;&lt;D xsi:type="xsd:double"&gt;59.44&lt;/D&gt;&lt;D xsi:type="xsd:double"&gt;58.97&lt;/D&gt;&lt;D xsi:type="xsd:double"&gt;59.14&lt;/D&gt;&lt;D xsi:type="xsd:double"&gt;58.58&lt;/D&gt;&lt;D xsi:type="xsd:double"&gt;58.69&lt;/D&gt;&lt;D xsi:type="xsd:double"&gt;58.42&lt;/D&gt;&lt;D xsi:type="xsd:double"&gt;56.73&lt;/D&gt;&lt;D xsi:type="xsd:double"&gt;56.69&lt;/D&gt;&lt;D xsi:type="xsd:double"&gt;55.08&lt;/D&gt;&lt;D xsi:type="xsd:double"&gt;55.53&lt;/D&gt;&lt;D xsi:type="xsd:double"&gt;55.8&lt;/D&gt;&lt;D xsi:type="xsd:double"&gt;56.14&lt;/D&gt;&lt;D xsi:type="xsd:double"&gt;55.88&lt;/D&gt;&lt;D xsi:type="xsd:double"&gt;56.06&lt;/D&gt;&lt;D xsi:type="xsd:double"&gt;55.62&lt;/D&gt;&lt;D xsi:type="xsd:double"&gt;56.75&lt;/D&gt;&lt;D xsi:type="xsd:double"&gt;57.31&lt;/D&gt;&lt;D xsi:type="xsd:double"&gt;57.07&lt;/D&gt;&lt;D xsi:type="xsd:double"&gt;57.46&lt;/D&gt;&lt;D xsi:type="xsd:double"&gt;56.35&lt;/D&gt;&lt;D xsi:type="xsd:double"&gt;56.11&lt;/D&gt;&lt;D xsi:type="xsd:double"&gt;55.31&lt;/D&gt;&lt;D xsi:type="xsd:double"&gt;55.67&lt;/D&gt;&lt;D xsi:type="xsd:double"&gt;57.07&lt;/D&gt;&lt;D xsi:type="xsd:double"&gt;57.08&lt;/D&gt;&lt;D xsi:type="xsd:double"&gt;56.85&lt;/D&gt;&lt;D xsi:type="xsd:double"&gt;56.55&lt;/D&gt;&lt;D xsi:type="xsd:double"&gt;56.5&lt;/D&gt;&lt;D xsi:type="xsd:double"&gt;57.22&lt;/D&gt;&lt;D xsi:type="xsd:double"&gt;57.21&lt;/D&gt;&lt;D xsi:type="xsd:double"&gt;57.58&lt;/D&gt;&lt;D xsi:type="xsd:double"&gt;57.66&lt;/D&gt;&lt;D xsi:type="xsd:double"&gt;57.58&lt;/D&gt;&lt;D xsi:type="xsd:double"&gt;57.51&lt;/D&gt;&lt;D xsi:type="xsd:double"&gt;56.88&lt;/D&gt;&lt;D xsi:type="xsd:double"&gt;56.02&lt;/D&gt;&lt;D xsi:type="xsd:double"&gt;55.08&lt;/D&gt;&lt;D xsi:type="xsd:double"&gt;55.32&lt;/D&gt;&lt;D xsi:type="xsd:double"&gt;55.38&lt;/D&gt;&lt;D xsi:type="xsd:double"&gt;55.17&lt;/D&gt;&lt;D xsi:type="xsd:double"&gt;54.6&lt;/D&gt;&lt;D xsi:type="xsd:double"&gt;53.79&lt;/D&gt;&lt;D xsi:type="xsd:double"&gt;53.81&lt;/D&gt;&lt;D xsi:type="xsd:double"&gt;54.65&lt;/D&gt;&lt;D xsi:type="xsd:double"&gt;54.58&lt;/D&gt;&lt;D xsi:type="xsd:double"&gt;53.83&lt;/D&gt;&lt;D xsi:type="xsd:double"&gt;53.37&lt;/D&gt;&lt;D xsi:type="xsd:double"&gt;53.17&lt;/D&gt;&lt;D xsi:type="xsd:double"&gt;53.64&lt;/D&gt;&lt;D xsi:type="xsd:double"&gt;52.99&lt;/D&gt;&lt;D xsi:type="xsd:double"&gt;52.95&lt;/D&gt;&lt;D xsi:type="xsd:double"&gt;53.1&lt;/D&gt;&lt;D xsi:type="xsd:double"&gt;53.92&lt;/D&gt;&lt;D xsi:type="xsd:double"&gt;53.2&lt;/D&gt;&lt;D xsi:type="xsd:double"&gt;53.36&lt;/D&gt;&lt;D xsi:type="xsd:double"&gt;53.81&lt;/D&gt;&lt;D xsi:type="xsd:double"&gt;52.83&lt;/D&gt;&lt;D xsi:type="xsd:double"&gt;54.35&lt;/D&gt;&lt;D xsi:type="xsd:double"&gt;57.01&lt;/D&gt;&lt;D xsi:type="xsd:double"&gt;57.6&lt;/D&gt;&lt;D xsi:type="xsd:double"&gt;58.28&lt;/D&gt;&lt;D xsi:type="xsd:double"&gt;58.78&lt;/D&gt;&lt;D xsi:type="xsd:double"&gt;58.31&lt;/D&gt;&lt;D xsi:type="xsd:double"&gt;58&lt;/D&gt;&lt;D xsi:type="xsd:double"&gt;58.02&lt;/D&gt;&lt;D xsi:type="xsd:double"&gt;58.63&lt;/D&gt;&lt;D xsi:type="xsd:double"&gt;58.69&lt;/D&gt;&lt;D xsi:type="xsd:double"&gt;59.31&lt;/D&gt;&lt;D xsi:type="xsd:double"&gt;59.37&lt;/D&gt;&lt;D xsi:type="xsd:double"&gt;59.07&lt;/D&gt;&lt;D xsi:type="xsd:double"&gt;60.01&lt;/D&gt;&lt;D xsi:type="xsd:double"&gt;59.44&lt;/D&gt;&lt;D xsi:type="xsd:double"&gt;58.78&lt;/D&gt;&lt;D xsi:type="xsd:double"&gt;58.64&lt;/D&gt;&lt;D xsi:type="xsd:double"&gt;58.11&lt;/D&gt;&lt;D xsi:type="xsd:double"&gt;57.98&lt;/D&gt;&lt;D xsi:type="xsd:double"&gt;58.19&lt;/D&gt;&lt;D xsi:type="xsd:double"&gt;57.23&lt;/D&gt;&lt;D xsi:type="xsd:double"&gt;57.29&lt;/D&gt;&lt;D xsi:type="xsd:double"&gt;57.86&lt;/D&gt;&lt;D xsi:type="xsd:double"&gt;57.88&lt;/D&gt;&lt;D xsi:type="xsd:double"&gt;56.68&lt;/D&gt;&lt;D xsi:type="xsd:double"&gt;56.14&lt;/D&gt;&lt;D xsi:type="xsd:double"&gt;56.28&lt;/D&gt;&lt;D xsi:type="xsd:double"&gt;56.2&lt;/D&gt;&lt;D xsi:type="xsd:double"&gt;57.96&lt;/D&gt;&lt;D xsi:type="xsd:double"&gt;58.01&lt;/D&gt;&lt;D xsi:type="xsd:double"&gt;57.68&lt;/D&gt;&lt;D xsi:type="xsd:double"&gt;58.19&lt;/D&gt;&lt;D xsi:type="xsd:double"&gt;58.04&lt;/D&gt;&lt;D xsi:type="xsd:double"&gt;57.11&lt;/D&gt;&lt;D xsi:type="xsd:double"&gt;57.23&lt;/D&gt;&lt;D xsi:type="xsd:double"&gt;58.84&lt;/D&gt;&lt;D xsi:type="xsd:double"&gt;58.66&lt;/D&gt;&lt;D xsi:type="xsd:double"&gt;59.53&lt;/D&gt;&lt;D xsi:type="xsd:double"&gt;60.03&lt;/D&gt;&lt;D xsi:type="xsd:double"&gt;59.24&lt;/D&gt;&lt;D xsi:type="xsd:double"&gt;58.79&lt;/D&gt;&lt;D xsi:type="xsd:double"&gt;57.82&lt;/D&gt;&lt;D xsi:type="xsd:double"&gt;60.13&lt;/D&gt;&lt;D xsi:type="xsd:double"&gt;60.32&lt;/D&gt;&lt;D xsi:type="xsd:double"&gt;61.04&lt;/D&gt;&lt;D xsi:type="xsd:double"&gt;62.63&lt;/D&gt;&lt;D xsi:type="xsd:double"&gt;62.46&lt;/D&gt;&lt;D xsi:type="xsd:double"&gt;62.16&lt;/D&gt;&lt;D xsi:type="xsd:double"&gt;62.23&lt;/D&gt;&lt;D xsi:type="xsd:double"&gt;63.16&lt;/D&gt;&lt;D xsi:type="xsd:double"&gt;63.09&lt;/D&gt;&lt;D xsi:type="xsd:double"&gt;61.29&lt;/D&gt;&lt;D xsi:type="xsd:double"&gt;60.91&lt;/D&gt;&lt;D xsi:type="xsd:double"&gt;62.66&lt;/D&gt;&lt;D xsi:type="xsd:double"&gt;62.25&lt;/D&gt;&lt;D xsi:type="xsd:double"&gt;63.16&lt;/D&gt;&lt;D xsi:type="xsd:double"&gt;61.7&lt;/D&gt;&lt;D xsi:type="xsd:double"&gt;61.65&lt;/D&gt;&lt;D xsi:type="xsd:double"&gt;60.16&lt;/D&gt;&lt;D xsi:type="xsd:double"&gt;59.47&lt;/D&gt;&lt;D xsi:type="xsd:double"&gt;58.96&lt;/D&gt;&lt;D xsi:type="xsd:double"&gt;59.37&lt;/D&gt;&lt;D xsi:type="xsd:double"&gt;58.7&lt;/D&gt;&lt;D xsi:type="xsd:double"&gt;59.15&lt;/D&gt;&lt;D xsi:type="xsd:double"&gt;58.54&lt;/D&gt;&lt;D xsi:type="xsd:double"&gt;57.79&lt;/D&gt;&lt;D xsi:type="xsd:double"&gt;56.75&lt;/D&gt;&lt;D xsi:type="xsd:double"&gt;56.82&lt;/D&gt;&lt;D xsi:type="xsd:double"&gt;56.38&lt;/D&gt;&lt;D xsi:type="xsd:double"&gt;55.92&lt;/D&gt;&lt;D xsi:type="xsd:double"&gt;56.07&lt;/D&gt;&lt;D xsi:type="xsd:double"&gt;55.99&lt;/D&gt;&lt;D xsi:type="xsd:double"&gt;55.97&lt;/D&gt;&lt;D xsi:type="xsd:double"&gt;56.36&lt;/D&gt;&lt;D xsi:type="xsd:double"&gt;56.03&lt;/D&gt;&lt;D xsi:type="xsd:double"&gt;55.67&lt;/D&gt;&lt;D xsi:type="xsd:double"&gt;55.99&lt;/D&gt;&lt;D xsi:type="xsd:double"&gt;56.52&lt;/D&gt;&lt;D xsi:type="xsd:double"&gt;55.45&lt;/D&gt;&lt;D xsi:type="xsd:double"&gt;54.88&lt;/D&gt;&lt;D xsi:type="xsd:double"&gt;54.73&lt;/D&gt;&lt;D xsi:type="xsd:double"&gt;55.07&lt;/D&gt;&lt;D xsi:type="xsd:double"&gt;54.69&lt;/D&gt;&lt;D xsi:type="xsd:double"&gt;54.94&lt;/D&gt;&lt;D xsi:type="xsd:double"&gt;54.31&lt;/D&gt;&lt;D xsi:type="xsd:double"&gt;52.1&lt;/D&gt;&lt;D xsi:type="xsd:double"&gt;51.5&lt;/D&gt;&lt;D xsi:type="xsd:double"&gt;53.03&lt;/D&gt;&lt;D xsi:type="xsd:double"&gt;53.21&lt;/D&gt;&lt;D xsi:type="xsd:double"&gt;53.88&lt;/D&gt;&lt;D xsi:type="xsd:double"&gt;54.12&lt;/D&gt;&lt;D xsi:type="xsd:double"&gt;54&lt;/D&gt;&lt;D xsi:type="xsd:double"&gt;54.06&lt;/D&gt;&lt;D xsi:type="xsd:double"&gt;54.83&lt;/D&gt;&lt;D xsi:type="xsd:double"&gt;54.28&lt;/D&gt;&lt;D xsi:type="xsd:double"&gt;54.89&lt;/D&gt;&lt;D xsi:type="xsd:double"&gt;55.38&lt;/D&gt;&lt;D xsi:type="xsd:double"&gt;55.05&lt;/D&gt;&lt;D xsi:type="xsd:double"&gt;55.25&lt;/D&gt;&lt;D xsi:type="xsd:double"&gt;54.8&lt;/D&gt;&lt;D xsi:type="xsd:double"&gt;56.62&lt;/D&gt;&lt;D xsi:type="xsd:double"&gt;56.59&lt;/D&gt;&lt;D xsi:type="xsd:double"&gt;56.45&lt;/D&gt;&lt;D xsi:type="xsd:double"&gt;57.17&lt;/D&gt;&lt;D xsi:type="xsd:double"&gt;57.73&lt;/D&gt;&lt;D xsi:type="xsd:double"&gt;57.8&lt;/D&gt;&lt;D xsi:type="xsd:double"&gt;57.66&lt;/D&gt;&lt;D xsi:type="xsd:double"&gt;57.18&lt;/D&gt;&lt;D xsi:type="xsd:double"&gt;58.29&lt;/D&gt;&lt;D xsi:type="xsd:double"&gt;57.73&lt;/D&gt;&lt;D xsi:type="xsd:double"&gt;57.11&lt;/D&gt;&lt;D xsi:type="xsd:double"&gt;56.71&lt;/D&gt;&lt;D xsi:type="xsd:double"&gt;57.85&lt;/D&gt;&lt;D xsi:type="xsd:double"&gt;58.24&lt;/D&gt;&lt;D xsi:type="xsd:double"&gt;57.75&lt;/D&gt;&lt;D xsi:type="xsd:double"&gt;58.17&lt;/D&gt;&lt;D xsi:type="xsd:double"&gt;58.43&lt;/D&gt;&lt;D xsi:type="xsd:double"&gt;58.11&lt;/D&gt;&lt;D xsi:type="xsd:double"&gt;57.45&lt;/D&gt;&lt;D xsi:type="xsd:double"&gt;58.05&lt;/D&gt;&lt;D xsi:type="xsd:double"&gt;58.39&lt;/D&gt;&lt;D xsi:type="xsd:double"&gt;57.86&lt;/D&gt;&lt;D xsi:type="xsd:double"&gt;56.95&lt;/D&gt;&lt;D xsi:type="xsd:double"&gt;57.71&lt;/D&gt;&lt;D xsi:type="xsd:double"&gt;57.73&lt;/D&gt;&lt;D xsi:type="xsd:double"&gt;57.22&lt;/D&gt;&lt;D xsi:type="xsd:double"&gt;57&lt;/D&gt;&lt;D xsi:type="xsd:double"&gt;55.33&lt;/D&gt;&lt;D xsi:type="xsd:double"&gt;52.18&lt;/D&gt;&lt;D xsi:type="xsd:double"&gt;51.65&lt;/D&gt;&lt;D xsi:type="xsd:double"&gt;50.32&lt;/D&gt;&lt;D xsi:type="xsd:double"&gt;49.97&lt;/D&gt;&lt;D xsi:type="xsd:double"&gt;49.09&lt;/D&gt;&lt;D xsi:type="xsd:double"&gt;49.03&lt;/D&gt;&lt;D xsi:type="xsd:double"&gt;49.76&lt;/D&gt;&lt;D xsi:type="xsd:double"&gt;50.3&lt;/D&gt;&lt;D xsi:type="xsd:double"&gt;49.87&lt;/D&gt;&lt;D xsi:type="xsd:double"&gt;50.96&lt;/D&gt;&lt;D xsi:type="xsd:double"&gt;50.74&lt;/D&gt;&lt;D xsi:type="xsd:double"&gt;51.19&lt;/D&gt;&lt;D xsi:type="xsd:double"&gt;50.94&lt;/D&gt;&lt;D xsi:type="xsd:double"&gt;51.02&lt;/D&gt;&lt;D xsi:type="xsd:double"&gt;50.67&lt;/D&gt;&lt;D xsi:type="xsd:double"&gt;51.12&lt;/D&gt;&lt;D xsi:type="xsd:double"&gt;49.59&lt;/D&gt;&lt;D xsi:type="xsd:double"&gt;49.59&lt;/D&gt;&lt;D xsi:type="xsd:double"&gt;49.71&lt;/D&gt;&lt;D xsi:type="xsd:double"&gt;49.72&lt;/D&gt;&lt;D xsi:type="xsd:double"&gt;48.79&lt;/D&gt;&lt;D xsi:type="xsd:double"&gt;48.96&lt;/D&gt;&lt;D xsi:type="xsd:double"&gt;49.58&lt;/D&gt;&lt;D xsi:type="xsd:double"&gt;50.43&lt;/D&gt;&lt;D xsi:type="xsd:double"&gt;51.12&lt;/D&gt;&lt;D xsi:type="xsd:double"&gt;51.41&lt;/D&gt;&lt;D xsi:type="xsd:double"&gt;51.52&lt;/D&gt;&lt;D xsi:type="xsd:double"&gt;51.48&lt;/D&gt;&lt;D xsi:type="xsd:double"&gt;51.24&lt;/D&gt;&lt;D xsi:type="xsd:double"&gt;51.82&lt;/D&gt;&lt;D xsi:type="xsd:double"&gt;51.08&lt;/D&gt;&lt;D xsi:type="xsd:double"&gt;50.48&lt;/D&gt;&lt;D xsi:type="xsd:double"&gt;50.41&lt;/D&gt;&lt;D xsi:type="xsd:double"&gt;49.89&lt;/D&gt;&lt;D xsi:type="xsd:double"&gt;50.61&lt;/D&gt;&lt;D xsi:type="xsd:double"&gt;50.47&lt;/D&gt;&lt;D xsi:type="xsd:double"&gt;50.41&lt;/D&gt;&lt;D xsi:type="xsd:double"&gt;50.52&lt;/D&gt;&lt;D xsi:type="xsd:double"&gt;50.54&lt;/D&gt;&lt;D xsi:type="xsd:double"&gt;50.34&lt;/D&gt;&lt;D xsi:type="xsd:double"&gt;49.92&lt;/D&gt;&lt;D xsi:type="xsd:double"&gt;49.43&lt;/D&gt;&lt;D xsi:type="xsd:double"&gt;50.27&lt;/D&gt;&lt;D xsi:type="xsd:double"&gt;48.22&lt;/D&gt;&lt;D xsi:type="xsd:double"&gt;48.01&lt;/D&gt;&lt;D xsi:type="xsd:double"&gt;47.69&lt;/D&gt;&lt;D xsi:type="xsd:double"&gt;47.52&lt;/D&gt;&lt;D xsi:type="xsd:double"&gt;47.3&lt;/D&gt;&lt;D xsi:type="xsd:double"&gt;47.1&lt;/D&gt;&lt;D xsi:type="xsd:double"&gt;48.11&lt;/D&gt;&lt;D xsi:type="xsd:double"&gt;48.22&lt;/D&gt;&lt;D xsi:type="xsd:double"&gt;47.5&lt;/D&gt;&lt;D xsi:type="xsd:double"&gt;47.83&lt;/D&gt;&lt;D xsi:type="xsd:double"&gt;47.75&lt;/D&gt;&lt;D xsi:type="xsd:double"&gt;48.56&lt;/D&gt;&lt;D xsi:type="xsd:double"&gt;48.73&lt;/D&gt;&lt;D xsi:type="xsd:double"&gt;48.47&lt;/D&gt;&lt;D xsi:type="xsd:double"&gt;47.47&lt;/D&gt;&lt;D xsi:type="xsd:double"&gt;47.85&lt;/D&gt;&lt;D xsi:type="xsd:double"&gt;47.79&lt;/D&gt;&lt;D xsi:type="xsd:double"&gt;45.61&lt;/D&gt;&lt;D xsi:type="xsd:double"&gt;50.09&lt;/D&gt;&lt;D xsi:type="xsd:double"&gt;49.9&lt;/D&gt;&lt;D xsi:type="xsd:double"&gt;50.18&lt;/D&gt;&lt;D xsi:type="xsd:double"&gt;50.5&lt;/D&gt;&lt;D xsi:type="xsd:double"&gt;50.41&lt;/D&gt;&lt;D xsi:type="xsd:double"&gt;47.96&lt;/D&gt;&lt;D xsi:type="xsd:double"&gt;49.45&lt;/D&gt;&lt;D xsi:type="xsd:double"&gt;50.91&lt;/D&gt;&lt;D xsi:type="xsd:double"&gt;51.93&lt;/D&gt;&lt;D xsi:type="xsd:double"&gt;52.95&lt;/D&gt;&lt;D xsi:type="xsd:double"&gt;52.39&lt;/D&gt;&lt;D xsi:type="xsd:double"&gt;53.51&lt;/D&gt;&lt;D xsi:type="xsd:double"&gt;53.55&lt;/D&gt;&lt;D xsi:type="xsd:double"&gt;56.27&lt;/D&gt;&lt;D xsi:type="xsd:double"&gt;55.89&lt;/D&gt;&lt;D xsi:type="xsd:double"&gt;56.32&lt;/D&gt;&lt;D xsi:type="xsd:double"&gt;56.07&lt;/D&gt;&lt;D xsi:type="xsd:double"&gt;58.08&lt;/D&gt;&lt;D xsi:type="xsd:double"&gt;56.94&lt;/D&gt;&lt;D xsi:type="xsd:double"&gt;60.12&lt;/D&gt;&lt;D xsi:type="xsd:double"&gt;60.71&lt;/D&gt;&lt;D xsi:type="xsd:double"&gt;58.86&lt;/D&gt;&lt;D xsi:type="xsd:double"&gt;58.87&lt;/D&gt;&lt;D xsi:type="xsd:double"&gt;58.31&lt;/D&gt;&lt;D xsi:type="xsd:double"&gt;56.71&lt;/D&gt;&lt;D xsi:type="xsd:double"&gt;57.16&lt;/D&gt;&lt;D xsi:type="xsd:double"&gt;55.97&lt;/D&gt;&lt;D xsi:type="xsd:double"&gt;55.41&lt;/D&gt;&lt;D xsi:type="xsd:double"&gt;56.19&lt;/D&gt;&lt;D xsi:type="xsd:double"&gt;55.9&lt;/D&gt;&lt;D xsi:type="xsd:double"&gt;56.1&lt;/D&gt;&lt;D xsi:type="xsd:double"&gt;56.43&lt;/D&gt;&lt;D xsi:type="xsd:double"&gt;56.82&lt;/D&gt;&lt;D xsi:type="xsd:double"&gt;56.7&lt;/D&gt;&lt;D xsi:type="xsd:double"&gt;56.65&lt;/D&gt;&lt;D xsi:type="xsd:double"&gt;56.73&lt;/D&gt;&lt;D xsi:type="xsd:double"&gt;56.79&lt;/D&gt;&lt;D xsi:type="xsd:double"&gt;55.47&lt;/D&gt;&lt;D xsi:type="xsd:double"&gt;56.05&lt;/D&gt;&lt;D xsi:type="xsd:double"&gt;56.12&lt;/D&gt;&lt;D xsi:type="xsd:double"&gt;56.04&lt;/D&gt;&lt;D xsi:type="xsd:double"&gt;54.73&lt;/D&gt;&lt;D xsi:type="xsd:double"&gt;55.12&lt;/D&gt;&lt;D xsi:type="xsd:double"&gt;53.42&lt;/D&gt;&lt;D xsi:type="xsd:double"&gt;53.28&lt;/D&gt;&lt;D xsi:type="xsd:double"&gt;53.71&lt;/D&gt;&lt;D xsi:type="xsd:double"&gt;51.51&lt;/D&gt;&lt;D xsi:type="xsd:double"&gt;53.45&lt;/D&gt;&lt;D xsi:type="xsd:double"&gt;54.24&lt;/D&gt;&lt;D xsi:type="xsd:double"&gt;53.39&lt;/D&gt;&lt;D xsi:type="xsd:double"&gt;53.13&lt;/D&gt;&lt;D xsi:type="xsd:double"&gt;54.3&lt;/D&gt;&lt;D xsi:type="xsd:double"&gt;53.11&lt;/D&gt;&lt;D xsi:type="xsd:double"&gt;51.84&lt;/D&gt;&lt;D xsi:type="xsd:double"&gt;52.05&lt;/D&gt;&lt;D xsi:type="xsd:double"&gt;51.48&lt;/D&gt;&lt;D xsi:type="xsd:double"&gt;49.71&lt;/D&gt;&lt;D xsi:type="xsd:double"&gt;50.86&lt;/D&gt;&lt;D xsi:type="xsd:double"&gt;52.14&lt;/D&gt;&lt;D xsi:type="xsd:double"&gt;52.7&lt;/D&gt;&lt;D xsi:type="xsd:double"&gt;53.56&lt;/D&gt;&lt;D xsi:type="xsd:double"&gt;54.32&lt;/D&gt;&lt;D xsi:type="xsd:double"&gt;54.69&lt;/D&gt;&lt;D xsi:type="xsd:double"&gt;56.6&lt;/D&gt;&lt;D xsi:type="xsd:double"&gt;57.83&lt;/D&gt;&lt;D xsi:type="xsd:double"&gt;58&lt;/D&gt;&lt;D xsi:type="xsd:double"&gt;57.51&lt;/D&gt;&lt;D xsi:type="xsd:double"&gt;57.1&lt;/D&gt;&lt;D xsi:type="xsd:double"&gt;57.41&lt;/D&gt;&lt;D xsi:type="xsd:double"&gt;59.61&lt;/D&gt;&lt;D xsi:type="xsd:double"&gt;58.13&lt;/D&gt;&lt;D xsi:type="xsd:double"&gt;57.9&lt;/D&gt;&lt;D xsi:type="xsd:double"&gt;57.83&lt;/D&gt;&lt;D xsi:type="xsd:double"&gt;57.96&lt;/D&gt;&lt;D xsi:type="xsd:double"&gt;57.93&lt;/D&gt;&lt;D xsi:type="xsd:double"&gt;57.82&lt;/D&gt;&lt;D xsi:type="xsd:double"&gt;57.39&lt;/D&gt;&lt;D xsi:type="xsd:double"&gt;58.27&lt;/D&gt;&lt;D xsi:type="xsd:double"&gt;57.56&lt;/D&gt;&lt;D xsi:type="xsd:double"&gt;56.86&lt;/D&gt;&lt;D xsi:type="xsd:double"&gt;56.44&lt;/D&gt;&lt;D xsi:type="xsd:double"&gt;57.21&lt;/D&gt;&lt;D xsi:type="xsd:double"&gt;58.88&lt;/D&gt;&lt;D xsi:type="xsd:double"&gt;58.48&lt;/D&gt;&lt;D xsi:type="xsd:double"&gt;58.44&lt;/D&gt;&lt;D xsi:type="xsd:double"&gt;58.52&lt;/D&gt;&lt;D xsi:type="xsd:double"&gt;58.79&lt;/D&gt;&lt;D xsi:type="xsd:double"&gt;57.75&lt;/D&gt;&lt;D xsi:type="xsd:double"&gt;57.18&lt;/D&gt;&lt;D xsi:type="xsd:double"&gt;56.94&lt;/D&gt;&lt;D xsi:type="xsd:double"&gt;56.91&lt;/D&gt;&lt;D xsi:type="xsd:double"&gt;57.6&lt;/D&gt;&lt;D xsi:type="xsd:double"&gt;57.42&lt;/D&gt;&lt;D xsi:type="xsd:double"&gt;55.65&lt;/D&gt;&lt;D xsi:type="xsd:double"&gt;55.45&lt;/D&gt;&lt;D xsi:type="xsd:double"&gt;55.23&lt;/D&gt;&lt;D xsi:type="xsd:double"&gt;54.76&lt;/D&gt;&lt;D xsi:type="xsd:double"&gt;54.22&lt;/D&gt;&lt;D xsi:type="xsd:double"&gt;54.71&lt;/D&gt;&lt;D xsi:type="xsd:double"&gt;55.34&lt;/D&gt;&lt;D xsi:type="xsd:double"&gt;55.23&lt;/D&gt;&lt;D xsi:type="xsd:double"&gt;54.7&lt;/D&gt;&lt;D xsi:type="xsd:double"&gt;54.42&lt;/D&gt;&lt;D xsi:type="xsd:double"&gt;54.26&lt;/D&gt;&lt;D xsi:type="xsd:double"&gt;53.91&lt;/D&gt;&lt;D xsi:type="xsd:double"&gt;53.59&lt;/D&gt;&lt;D xsi:type="xsd:double"&gt;54.42&lt;/D&gt;&lt;D xsi:type="xsd:double"&gt;53.79&lt;/D&gt;&lt;D xsi:type="xsd:double"&gt;54.46&lt;/D&gt;&lt;D xsi:type="xsd:double"&gt;53.98&lt;/D&gt;&lt;D xsi:type="xsd:double"&gt;51.66&lt;/D&gt;&lt;D xsi:type="xsd:double"&gt;51.68&lt;/D&gt;&lt;D xsi:type="xsd:double"&gt;52.24&lt;/D&gt;&lt;D xsi:type="xsd:double"&gt;51.99&lt;/D&gt;&lt;D xsi:type="xsd:double"&gt;53&lt;/D&gt;&lt;D xsi:type="xsd:double"&gt;52.8&lt;/D&gt;&lt;D xsi:type="xsd:double"&gt;51.14&lt;/D&gt;&lt;D xsi:type="xsd:double"&gt;50.67&lt;/D&gt;&lt;D xsi:type="xsd:double"&gt;50.77&lt;/D&gt;&lt;D xsi:type="xsd:double"&gt;50.73&lt;/D&gt;&lt;D xsi:type="xsd:double"&gt;49.84&lt;/D&gt;&lt;D xsi:type="xsd:double"&gt;50.6&lt;/D&gt;&lt;D xsi:type="xsd:double"&gt;50.51&lt;/D&gt;&lt;D xsi:type="xsd:double"&gt;49.58&lt;/D&gt;&lt;D xsi:type="xsd:double"&gt;49.26&lt;/D&gt;&lt;D xsi:type="xsd:double"&gt;48.78&lt;/D&gt;&lt;D xsi:type="xsd:double"&gt;49.92&lt;/D&gt;&lt;D xsi:type="xsd:double"&gt;49.54&lt;/D&gt;&lt;D xsi:type="xsd:double"&gt;49.8&lt;/D&gt;&lt;D xsi:type="xsd:double"&gt;49.89&lt;/D&gt;&lt;D xsi:type="xsd:double"&gt;51.07&lt;/D&gt;&lt;D xsi:type="xsd:double"&gt;51.31&lt;/D&gt;&lt;D xsi:type="xsd:double"&gt;52.72&lt;/D&gt;&lt;D xsi:type="xsd:double"&gt;53.73&lt;/D&gt;&lt;D xsi:type="xsd:double"&gt;53.84&lt;/D&gt;&lt;D xsi:type="xsd:double"&gt;53.78&lt;/D&gt;&lt;D xsi:type="xsd:double"&gt;54.8&lt;/D&gt;&lt;D xsi:type="xsd:double"&gt;55.18&lt;/D&gt;&lt;D xsi:type="xsd:double"&gt;54.9&lt;/D&gt;&lt;D xsi:type="xsd:double"&gt;54.65&lt;/D&gt;&lt;D xsi:type="xsd:double"&gt;54.55&lt;/D&gt;&lt;D xsi:type="xsd:double"&gt;54.89&lt;/D&gt;&lt;D xsi:type="xsd:double"&gt;54.09&lt;/D&gt;&lt;D xsi:type="xsd:double"&gt;53.46&lt;/D&gt;&lt;D xsi:type="xsd:double"&gt;54.17&lt;/D&gt;&lt;D xsi:type="xsd:double"&gt;54.67&lt;/D&gt;&lt;D xsi:type="xsd:double"&gt;55.19&lt;/D&gt;&lt;D xsi:type="xsd:double"&gt;54.42&lt;/D&gt;&lt;D xsi:type="xsd:double"&gt;54.05&lt;/D&gt;&lt;D xsi:type="xsd:double"&gt;54.31&lt;/D&gt;&lt;D xsi:type="xsd:double"&gt;54.23&lt;/D&gt;&lt;D xsi:type="xsd:double"&gt;55.87&lt;/D&gt;&lt;D xsi:type="xsd:double"&gt;54.4&lt;/D&gt;&lt;D xsi:type="xsd:double"&gt;53.4&lt;/D&gt;&lt;D xsi:type="xsd:double"&gt;53.52&lt;/D&gt;&lt;D xsi:type="xsd:double"&gt;53.98&lt;/D&gt;&lt;D xsi:type="xsd:double"&gt;52.95&lt;/D&gt;&lt;D xsi:type="xsd:double"&gt;53.1&lt;/D&gt;&lt;D xsi:type="xsd:double"&gt;53.48&lt;/D&gt;&lt;D xsi:type="xsd:double"&gt;52.37&lt;/D&gt;&lt;D xsi:type="xsd:double"&gt;52.09&lt;/D&gt;&lt;D xsi:type="xsd:double"&gt;52.9&lt;/D&gt;&lt;D xsi:type="xsd:double"&gt;52.06&lt;/D&gt;&lt;D xsi:type="xsd:double"&gt;51.62&lt;/D&gt;&lt;D xsi:type="xsd:double"&gt;52.37&lt;/D&gt;&lt;D xsi:type="xsd:double"&gt;51.9&lt;/D&gt;&lt;D xsi:type="xsd:double"&gt;52.34&lt;/D&gt;&lt;D xsi:type="xsd:double"&gt;51.79&lt;/D&gt;&lt;D xsi:type="xsd:double"&gt;52.36&lt;/D&gt;&lt;D xsi:type="xsd:double"&gt;52.74&lt;/D&gt;&lt;D xsi:type="xsd:double"&gt;52.22&lt;/D&gt;&lt;D xsi:type="xsd:double"&gt;53.5&lt;/D&gt;&lt;D xsi:type="xsd:double"&gt;53.13&lt;/D&gt;&lt;D xsi:type="xsd:double"&gt;54.65&lt;/D&gt;&lt;D xsi:type="xsd:double"&gt;53.81&lt;/D&gt;&lt;D xsi:type="xsd:double"&gt;54.61&lt;/D&gt;&lt;D xsi:type="xsd:double"&gt;55.4&lt;/D&gt;&lt;D xsi:type="xsd:double"&gt;55.07&lt;/D&gt;&lt;D xsi:type="xsd:double"&gt;55.21&lt;/D&gt;&lt;D xsi:type="xsd:double"&gt;54.55&lt;/D&gt;&lt;D xsi:type="xsd:double"&gt;54.3&lt;/D&gt;&lt;D xsi:type="xsd:double"&gt;52.92&lt;/D&gt;&lt;D xsi:type="xsd:double"&gt;52.98&lt;/D&gt;&lt;D xsi:type="xsd:double"&gt;51.47&lt;/D&gt;&lt;D xsi:type="xsd:double"&gt;52.36&lt;/D&gt;&lt;D xsi:type="xsd:double"&gt;52.56&lt;/D&gt;&lt;D xsi:type="xsd:double"&gt;53.05&lt;/D&gt;&lt;D xsi:type="xsd:double"&gt;54.21&lt;/D&gt;&lt;D xsi:type="xsd:double"&gt;53.86&lt;/D&gt;&lt;D xsi:type="xsd:double"&gt;53.72&lt;/D&gt;&lt;D xsi:type="xsd:double"&gt;51.95&lt;/D&gt;&lt;D xsi:type="xsd:double"&gt;54.81&lt;/D&gt;&lt;D xsi:type="xsd:double"&gt;53.93&lt;/D&gt;&lt;D xsi:type="xsd:double"&gt;54.26&lt;/D&gt;&lt;D xsi:type="xsd:double"&gt;55.06&lt;/D&gt;&lt;D xsi:type="xsd:double"&gt;53.9&lt;/D&gt;&lt;D xsi:type="xsd:double"&gt;54.67&lt;/D&gt;&lt;D xsi:type="xsd:double"&gt;55.95&lt;/D&gt;&lt;D xsi:type="xsd:double"&gt;56.5&lt;/D&gt;&lt;D xsi:type="xsd:double"&gt;55.96&lt;/D&gt;&lt;D xsi:type="xsd:double"&gt;56.69&lt;/D&gt;&lt;D xsi:type="xsd:double"&gt;56.34&lt;/D&gt;&lt;D xsi:type="xsd:double"&gt;56.15&lt;/D&gt;&lt;D xsi:type="xsd:double"&gt;56.59&lt;/D&gt;&lt;D xsi:type="xsd:double"&gt;56.16&lt;/D&gt;&lt;D xsi:type="xsd:double"&gt;56.09&lt;/D&gt;&lt;D xsi:type="xsd:double"&gt;54.64&lt;/D&gt;&lt;D xsi:type="xsd:double"&gt;53.53&lt;/D&gt;&lt;D xsi:type="xsd:double"&gt;53.84&lt;/D&gt;&lt;D xsi:type="xsd:double"&gt;53.79&lt;/D&gt;&lt;D xsi:type="xsd:double"&gt;53.26&lt;/D&gt;&lt;D xsi:type="xsd:double"&gt;53.35&lt;/D&gt;&lt;D xsi:type="xsd:double"&gt;53.9&lt;/D&gt;&lt;D xsi:type="xsd:double"&gt;53.62&lt;/D&gt;&lt;D xsi:type="xsd:double"&gt;54.69&lt;/D&gt;&lt;D xsi:type="xsd:double"&gt;53.46&lt;/D&gt;&lt;D xsi:type="xsd:double"&gt;52.55&lt;/D&gt;&lt;D xsi:type="xsd:double"&gt;53.16&lt;/D&gt;&lt;D xsi:type="xsd:double"&gt;52.47&lt;/D&gt;&lt;D xsi:type="xsd:double"&gt;52.85&lt;/D&gt;&lt;D xsi:type="xsd:double"&gt;52.95&lt;/D&gt;&lt;D xsi:type="xsd:double"&gt;52.2&lt;/D&gt;&lt;D xsi:type="xsd:double"&gt;52.17&lt;/D&gt;&lt;D xsi:type="xsd:double"&gt;52.05&lt;/D&gt;&lt;D xsi:type="xsd:double"&gt;50.46&lt;/D&gt;&lt;D xsi:type="xsd:double"&gt;51.23&lt;/D&gt;&lt;D xsi:type="xsd:double"&gt;53.85&lt;/D&gt;&lt;D xsi:type="xsd:double"&gt;53.1&lt;/D&gt;&lt;D xsi:type="xsd:double"&gt;52.52&lt;/D&gt;&lt;D xsi:type="xsd:double"&gt;54.62&lt;/D&gt;&lt;D xsi:type="xsd:double"&gt;56.42&lt;/D&gt;&lt;D xsi:type="xsd:double"&gt;56.77&lt;/D&gt;&lt;D xsi:type="xsd:double"&gt;56.12&lt;/D&gt;&lt;D xsi:type="xsd:double"&gt;55.76&lt;/D&gt;&lt;D xsi:type="xsd:double"&gt;55.26&lt;/D&gt;&lt;D xsi:type="xsd:double"&gt;54.81&lt;/D&gt;&lt;D xsi:type="xsd:double"&gt;56.8&lt;/D&gt;&lt;D xsi:type="xsd:double"&gt;59.93&lt;/D&gt;&lt;D xsi:type="xsd:double"&gt;60.13&lt;/D&gt;&lt;D xsi:type="xsd:double"&gt;60.01&lt;/D&gt;&lt;D xsi:type="xsd:double"&gt;59.45&lt;/D&gt;&lt;D xsi:type="xsd:double"&gt;59.72&lt;/D&gt;&lt;D xsi:type="xsd:double"&gt;59.35&lt;/D&gt;&lt;D xsi:type="xsd:double"&gt;59.83&lt;/D&gt;&lt;D xsi:type="xsd:double"&gt;58.52&lt;/D&gt;&lt;D xsi:type="xsd:double"&gt;55.86&lt;/D&gt;&lt;D xsi:type="xsd:double"&gt;54.17&lt;/D&gt;&lt;D xsi:type="xsd:double"&gt;54.68&lt;/D&gt;&lt;D xsi:type="xsd:double"&gt;55.97&lt;/D&gt;&lt;D xsi:type="xsd:double"&gt;55.69&lt;/D&gt;&lt;D xsi:type="xsd:double"&gt;55.69&lt;/D&gt;&lt;D xsi:type="xsd:double"&gt;56.74&lt;/D&gt;&lt;D xsi:type="xsd:double"&gt;56&lt;/D&gt;&lt;D xsi:type="xsd:double"&gt;56.35&lt;/D&gt;&lt;D xsi:type="xsd:double"&gt;56.12&lt;/D&gt;&lt;D xsi:type="xsd:double"&gt;56.43&lt;/D&gt;&lt;D xsi:type="xsd:double"&gt;56.03&lt;/D&gt;&lt;D xsi:type="xsd:double"&gt;56.03&lt;/D&gt;&lt;D xsi:type="xsd:double"&gt;56.22&lt;/D&gt;&lt;D xsi:type="xsd:double"&gt;55.75&lt;/D&gt;&lt;D xsi:type="xsd:double"&gt;56.07&lt;/D&gt;&lt;D xsi:type="xsd:double"&gt;56.1&lt;/D&gt;&lt;D xsi:type="xsd:double"&gt;55.25&lt;/D&gt;&lt;D xsi:type="xsd:double"&gt;53.63&lt;/D&gt;&lt;D xsi:type="xsd:double"&gt;53.62&lt;/D&gt;&lt;D xsi:type="xsd:double"&gt;54.37&lt;/D&gt;&lt;D xsi:type="xsd:double"&gt;53.46&lt;/D&gt;&lt;D xsi:type="xsd:double"&gt;53.41&lt;/D&gt;&lt;D xsi:type="xsd:double"&gt;52.3&lt;/D&gt;&lt;D xsi:type="xsd:double"&gt;52.39&lt;/D&gt;&lt;D xsi:type="xsd:double"&gt;52.91&lt;/D&gt;&lt;D xsi:type="xsd:double"&gt;52.06&lt;/D&gt;&lt;D xsi:type="xsd:double"&gt;52.92&lt;/D&gt;&lt;D xsi:type="xsd:double"&gt;52.1&lt;/D&gt;&lt;D xsi:type="xsd:double"&gt;50.58&lt;/D&gt;&lt;D xsi:type="xsd:double"&gt;49.59&lt;/D&gt;&lt;D xsi:type="xsd:double"&gt;50.11&lt;/D&gt;&lt;D xsi:type="xsd:double"&gt;50.41&lt;/D&gt;&lt;D xsi:type="xsd:double"&gt;50.67&lt;/D&gt;&lt;D xsi:type="xsd:double"&gt;49.79&lt;/D&gt;&lt;D xsi:type="xsd:double"&gt;49.82&lt;/D&gt;&lt;D xsi:type="xsd:double"&gt;50.45&lt;/D&gt;&lt;D xsi:type="xsd:double"&gt;49.33&lt;/D&gt;&lt;D xsi:type="xsd:double"&gt;48.9&lt;/D&gt;&lt;D xsi:type="xsd:double"&gt;48.86&lt;/D&gt;&lt;D xsi:type="xsd:double"&gt;48.89&lt;/D&gt;&lt;D xsi:type="xsd:double"&gt;49.19&lt;/D&gt;&lt;D xsi:type="xsd:double"&gt;50.06&lt;/D&gt;&lt;D xsi:type="xsd:double"&gt;49.91&lt;/D&gt;&lt;D xsi:type="xsd:double"&gt;50.57&lt;/D&gt;&lt;D xsi:type="xsd:double"&gt;50.4&lt;/D&gt;&lt;D xsi:type="xsd:double"&gt;50.34&lt;/D&gt;&lt;D xsi:type="xsd:double"&gt;50.35&lt;/D&gt;&lt;D xsi:type="xsd:double"&gt;50.03&lt;/D&gt;&lt;D xsi:type="xsd:double"&gt;50.33&lt;/D&gt;&lt;D xsi:type="xsd:double"&gt;50.56&lt;/D&gt;&lt;D xsi:type="xsd:double"&gt;50.93&lt;/D&gt;&lt;D xsi:type="xsd:double"&gt;52.24&lt;/D&gt;&lt;D xsi:type="xsd:double"&gt;53.18&lt;/D&gt;&lt;D xsi:type="xsd:double"&gt;52.28&lt;/D&gt;&lt;D xsi:type="xsd:double"&gt;53.27&lt;/D&gt;&lt;D xsi:type="xsd:double"&gt;52.27&lt;/D&gt;&lt;D xsi:type="xsd:double"&gt;52.86&lt;/D&gt;&lt;D xsi:type="xsd:double"&gt;52.76&lt;/D&gt;&lt;D xsi:type="xsd:double"&gt;53.62&lt;/D&gt;&lt;D xsi:type="xsd:double"&gt;53.96&lt;/D&gt;&lt;D xsi:type="xsd:double"&gt;53.11&lt;/D&gt;&lt;D xsi:type="xsd:double"&gt;53.07&lt;/D&gt;&lt;D xsi:type="xsd:double"&gt;52.7&lt;/D&gt;&lt;D xsi:type="xsd:double"&gt;51.74&lt;/D&gt;&lt;D xsi:type="xsd:double"&gt;52.01&lt;/D&gt;&lt;D xsi:type="xsd:double"&gt;51.68&lt;/D&gt;&lt;D xsi:type="xsd:double"&gt;51.56&lt;/D&gt;&lt;D xsi:type="xsd:double"&gt;51.25&lt;/D&gt;&lt;D xsi:type="xsd:double"&gt;48.07&lt;/D&gt;&lt;D xsi:type="xsd:double"&gt;48.22&lt;/D&gt;&lt;D xsi:type="xsd:double"&gt;48.31&lt;/D&gt;&lt;D xsi:type="xsd:double"&gt;47.72&lt;/D&gt;&lt;D xsi:type="xsd:double"&gt;48.5&lt;/D&gt;&lt;D xsi:type="xsd:double"&gt;48.32&lt;/D&gt;&lt;D xsi:type="xsd:double"&gt;48.47&lt;/D&gt;&lt;D xsi:type="xsd:double"&gt;48.16&lt;/D&gt;&lt;D xsi:type="xsd:double"&gt;48.04&lt;/D&gt;&lt;D xsi:type="xsd:double"&gt;47.9&lt;/D&gt;&lt;D xsi:type="xsd:double"&gt;47.96&lt;/D&gt;&lt;D xsi:type="xsd:double"&gt;48.25&lt;/D&gt;&lt;D xsi:type="xsd:double"&gt;48.27&lt;/D&gt;&lt;D xsi:type="xsd:double"&gt;48.98&lt;/D&gt;&lt;D xsi:type="xsd:double"&gt;49.04&lt;/D&gt;&lt;D xsi:type="xsd:double"&gt;48.82&lt;/D&gt;&lt;D xsi:type="xsd:double"&gt;47.45&lt;/D&gt;&lt;D xsi:type="xsd:double"&gt;47.12&lt;/D&gt;&lt;D xsi:type="xsd:double"&gt;47.39&lt;/D&gt;&lt;D xsi:type="xsd:double"&gt;45.84&lt;/D&gt;&lt;D xsi:type="xsd:double"&gt;47.52&lt;/D&gt;&lt;D xsi:type="xsd:double"&gt;47.19&lt;/D&gt;&lt;D xsi:type="xsd:double"&gt;46.83&lt;/D&gt;&lt;D xsi:type="xsd:double"&gt;46.62&lt;/D&gt;&lt;D xsi:type="xsd:double"&gt;46.95&lt;/D&gt;&lt;D xsi:type="xsd:double"&gt;46.68&lt;/D&gt;&lt;D xsi:type="xsd:double"&gt;45.21&lt;/D&gt;&lt;D xsi:type="xsd:double"&gt;46.18&lt;/D&gt;&lt;D xsi:type="xsd:double"&gt;47.15&lt;/D&gt;&lt;D xsi:type="xsd:double"&gt;47.81&lt;/D&gt;&lt;D xsi:type="xsd:double"&gt;47.53&lt;/D&gt;&lt;D xsi:type="xsd:double"&gt;47.53&lt;/D&gt;&lt;D xsi:type="xsd:double"&gt;50.13&lt;/D&gt;&lt;D xsi:type="xsd:double"&gt;49.92&lt;/D&gt;&lt;D xsi:type="xsd:double"&gt;50.07&lt;/D&gt;&lt;D xsi:type="xsd:double"&gt;49.48&lt;/D&gt;&lt;D xsi:type="xsd:double"&gt;49.04&lt;/D&gt;&lt;D xsi:type="xsd:double"&gt;49.67&lt;/D&gt;&lt;D xsi:type="xsd:double"&gt;50.31&lt;/D&gt;&lt;D xsi:type="xsd:double"&gt;50.75&lt;/D&gt;&lt;D xsi:type="xsd:double"&gt;50.61&lt;/D&gt;&lt;D xsi:type="xsd:double"&gt;50.57&lt;/D&gt;&lt;D xsi:type="xsd:double"&gt;50.01&lt;/D&gt;&lt;D xsi:type="xsd:double"&gt;50.07&lt;/D&gt;&lt;D xsi:type="xsd:double"&gt;49.36&lt;/D&gt;&lt;D xsi:type="xsd:double"&gt;50.33&lt;/D&gt;&lt;D xsi:type="xsd:double"&gt;50.08&lt;/D&gt;&lt;D xsi:type="xsd:double"&gt;51.13&lt;/D&gt;&lt;D xsi:type="xsd:double"&gt;51.14&lt;/D&gt;&lt;D xsi:type="xsd:double"&gt;51.53&lt;/D&gt;&lt;D xsi:type="xsd:double"&gt;52.26&lt;/D&gt;&lt;D xsi:type="xsd:double"&gt;52.83&lt;/D&gt;&lt;D xsi:type="xsd:double"&gt;53.79&lt;/D&gt;&lt;D xsi:type="xsd:double"&gt;53.96&lt;/D&gt;&lt;D xsi:type="xsd:double"&gt;54.64&lt;/D&gt;&lt;D xsi:type="xsd:double"&gt;55.13&lt;/D&gt;&lt;D xsi:type="xsd:double"&gt;54.5&lt;/D&gt;&lt;D xsi:type="xsd:double"&gt;55.48&lt;/D&gt;&lt;D xsi:type="xsd:double"&gt;54.28&lt;/D&gt;&lt;D xsi:type="xsd:double"&gt;54.81&lt;/D&gt;&lt;D xsi:type="xsd:double"&gt;55.46&lt;/D&gt;&lt;D xsi:type="xsd:double"&gt;54.37&lt;/D&gt;&lt;D xsi:type="xsd:double"&gt;54.33&lt;/D&gt;&lt;D xsi:type="xsd:double"&gt;54.06&lt;/D&gt;&lt;D xsi:type="xsd:double"&gt;53.74&lt;/D&gt;&lt;D xsi:type="xsd:double"&gt;53.87&lt;/D&gt;&lt;D xsi:type="xsd:double"&gt;53.84&lt;/D&gt;&lt;D xsi:type="xsd:double"&gt;52.84&lt;/D&gt;&lt;D xsi:type="xsd:double"&gt;52.87&lt;/D&gt;&lt;D xsi:type="xsd:double"&gt;52.92&lt;/D&gt;&lt;D xsi:type="xsd:double"&gt;52.81&lt;/D&gt;&lt;D xsi:type="xsd:double"&gt;52.27&lt;/D&gt;&lt;D xsi:type="xsd:double"&gt;51.76&lt;/D&gt;&lt;D xsi:type="xsd:double"&gt;52.51&lt;/D&gt;&lt;D xsi:type="xsd:double"&gt;52&lt;/D&gt;&lt;D xsi:type="xsd:double"&gt;51.56&lt;/D&gt;&lt;D xsi:type="xsd:double"&gt;51.91&lt;/D&gt;&lt;D xsi:type="xsd:double"&gt;51.87&lt;/D&gt;&lt;D xsi:type="xsd:double"&gt;52.25&lt;/D&gt;&lt;D xsi:type="xsd:double"&gt;53.01&lt;/D&gt;&lt;D xsi:type="xsd:double"&gt;52.84&lt;/D&gt;&lt;D xsi:type="xsd:double"&gt;52.27&lt;/D&gt;&lt;D xsi:type="xsd:double"&gt;51.23&lt;/D&gt;&lt;D xsi:type="xsd:double"&gt;51.39&lt;/D&gt;&lt;D xsi:type="xsd:double"&gt;51.19&lt;/D&gt;&lt;D xsi:type="xsd:double"&gt;49.85&lt;/D&gt;&lt;D xsi:type="xsd:double"&gt;49.13&lt;/D&gt;&lt;D xsi:type="xsd:double"&gt;49.06&lt;/D&gt;&lt;D xsi:type="xsd:double"&gt;50.8&lt;/D&gt;&lt;D xsi:type="xsd:double"&gt;50.4&lt;/D&gt;&lt;D xsi:type="xsd:double"&gt;48.87&lt;/D&gt;&lt;D xsi:type="xsd:double"&gt;48.59&lt;/D&gt;&lt;D xsi:type="xsd:double"&gt;48.49&lt;/D&gt;&lt;D xsi:type="xsd:double"&gt;48.2&lt;/D&gt;&lt;D xsi:type="xsd:double"&gt;47.66&lt;/D&gt;&lt;D xsi:type="xsd:double"&gt;47.74&lt;/D&gt;&lt;D xsi:type="xsd:double"&gt;49.51&lt;/D&gt;&lt;D xsi:type="xsd:double"&gt;49.51&lt;/D&gt;&lt;D xsi:type="xsd:double"&gt;48.99&lt;/D&gt;&lt;D xsi:type="xsd:double"&gt;49.69&lt;/D&gt;&lt;D xsi:type="xsd:double"&gt;49.97&lt;/D&gt;&lt;D xsi:type="xsd:double"&gt;49.56&lt;/D&gt;&lt;D xsi:type="xsd:double"&gt;48.52&lt;/D&gt;&lt;D xsi:type="xsd:double"&gt;48.7&lt;/D&gt;&lt;D xsi:type="xsd:double"&gt;48.64&lt;/D&gt;&lt;D xsi:type="xsd:double"&gt;48.31&lt;/D&gt;&lt;D xsi:type="xsd:double"&gt;47.83&lt;/D&gt;&lt;D xsi:type="xsd:double"&gt;45.4&lt;/D&gt;&lt;D xsi:type="xsd:double"&gt;45.44&lt;/D&gt;&lt;D xsi:type="xsd:double"&gt;45.74&lt;/D&gt;&lt;D xsi:type="xsd:double"&gt;46.37&lt;/D&gt;&lt;D xsi:type="xsd:double"&gt;46.73&lt;/D&gt;&lt;D xsi:type="xsd:double"&gt;46.81&lt;/D&gt;&lt;D xsi:type="xsd:double"&gt;45.53&lt;/D&gt;&lt;D xsi:type="xsd:double"&gt;45.93&lt;/D&gt;&lt;D xsi:type="xsd:double"&gt;45.08&lt;/D&gt;&lt;D xsi:type="xsd:double"&gt;44.41&lt;/D&gt;&lt;D xsi:type="xsd:double"&gt;44.35&lt;/D&gt;&lt;D xsi:type="xsd:double"&gt;44.03&lt;/D&gt;&lt;D xsi:type="xsd:double"&gt;45.05&lt;/D&gt;&lt;D xsi:type="xsd:double"&gt;45.29&lt;/D&gt;&lt;D xsi:type="xsd:double"&gt;44.97&lt;/D&gt;&lt;D xsi:type="xsd:double"&gt;45.17&lt;/D&gt;&lt;D xsi:type="xsd:double"&gt;45.26&lt;/D&gt;&lt;D xsi:type="xsd:double"&gt;45.08&lt;/D&gt;&lt;D xsi:type="xsd:double"&gt;45.11&lt;/D&gt;&lt;D xsi:type="xsd:double"&gt;46.32&lt;/D&gt;&lt;D xsi:type="xsd:double"&gt;45.96&lt;/D&gt;&lt;D xsi:type="xsd:double"&gt;46.27&lt;/D&gt;&lt;D xsi:type="xsd:double"&gt;45.95&lt;/D&gt;&lt;D xsi:type="xsd:double"&gt;46.53&lt;/D&gt;&lt;D xsi:type="xsd:double"&gt;46.1&lt;/D&gt;&lt;D xsi:type="xsd:double"&gt;46&lt;/D&gt;&lt;D xsi:type="xsd:double"&gt;45.92&lt;/D&gt;&lt;D xsi:type="xsd:double"&gt;45.74&lt;/D&gt;&lt;D xsi:type="xsd:double"&gt;45.52&lt;/D&gt;&lt;D xsi:type="xsd:double"&gt;46.85&lt;/D&gt;&lt;D xsi:type="xsd:double"&gt;46.51&lt;/D&gt;&lt;D xsi:type="xsd:double"&gt;47.41&lt;/D&gt;&lt;D xsi:type="xsd:double"&gt;47.19&lt;/D&gt;&lt;D xsi:type="xsd:double"&gt;46.28&lt;/D&gt;&lt;D xsi:type="xsd:double"&gt;47.35&lt;/D&gt;&lt;D xsi:type="xsd:double"&gt;47.91&lt;/D&gt;&lt;D xsi:type="xsd:double"&gt;47.25&lt;/D&gt;&lt;D xsi:type="xsd:double"&gt;47.67&lt;/D&gt;&lt;D xsi:type="xsd:double"&gt;47.64&lt;/D&gt;&lt;D xsi:type="xsd:double"&gt;48.85&lt;/D&gt;&lt;D xsi:type="xsd:double"&gt;50.13&lt;/D&gt;&lt;D xsi:type="xsd:double"&gt;49.96&lt;/D&gt;&lt;D xsi:type="xsd:double"&gt;51.03&lt;/D&gt;&lt;D xsi:type="xsd:double"&gt;49.93&lt;/D&gt;&lt;D xsi:type="xsd:double"&gt;50.44&lt;/D&gt;&lt;D xsi:type="xsd:double"&gt;50.46&lt;/D&gt;&lt;D xsi:type="xsd:double"&gt;50.48&lt;/D&gt;&lt;D xsi:type="xsd:double"&gt;50.93&lt;/D&gt;&lt;D xsi:type="xsd:double"&gt;51.21&lt;/D&gt;&lt;D xsi:type="xsd:double"&gt;51.23&lt;/D&gt;&lt;D xsi:type="xsd:double"&gt;50.83&lt;/D&gt;&lt;D xsi:type="xsd:double"&gt;51.17&lt;/D&gt;&lt;D xsi:type="xsd:double"&gt;49.86&lt;/D&gt;&lt;D xsi:type="xsd:double"&gt;50.06&lt;/D&gt;&lt;D xsi:type="xsd:double"&gt;49.26&lt;/D&gt;&lt;D xsi:type="xsd:double"&gt;49.33&lt;/D&gt;&lt;D xsi:type="xsd:double"&gt;48.1&lt;/D&gt;&lt;D xsi:type="xsd:double"&gt;48.15&lt;/D&gt;&lt;D xsi:type="xsd:double"&gt;48.26&lt;/D&gt;&lt;D xsi:type="xsd:double"&gt;47.81&lt;/D&gt;&lt;D xsi:type="xsd:double"&gt;47.38&lt;/D&gt;&lt;D xsi:type="xsd:double"&gt;47.26&lt;/D&gt;&lt;D xsi:type="xsd:double"&gt;47.24&lt;/D&gt;&lt;D xsi:type="xsd:double"&gt;47.67&lt;/D&gt;&lt;D xsi:type="xsd:double"&gt;49.7&lt;/D&gt;&lt;D xsi:type="xsd:double"&gt;50.9&lt;/D&gt;&lt;D xsi:type="xsd:double"&gt;50.19&lt;/D&gt;&lt;D xsi:type="xsd:double"&gt;49.44&lt;/D&gt;&lt;D xsi:type="xsd:double"&gt;48.77&lt;/D&gt;&lt;D xsi:type="xsd:double"&gt;50.5&lt;/D&gt;&lt;D xsi:type="xsd:double"&gt;49.7&lt;/D&gt;&lt;D xsi:type="xsd:double"&gt;50.3&lt;/D&gt;&lt;D xsi:type="xsd:double"&gt;50.33&lt;/D&gt;&lt;D xsi:type="xsd:double"&gt;51.23&lt;/D&gt;&lt;D xsi:type="xsd:double"&gt;50.89&lt;/D&gt;&lt;D xsi:type="xsd:double"&gt;51.44&lt;/D&gt;&lt;D xsi:type="xsd:double"&gt;50.93&lt;/D&gt;&lt;D xsi:type="xsd:double"&gt;49.69&lt;/D&gt;&lt;D xsi:type="xsd:double"&gt;49.68&lt;/D&gt;&lt;D xsi:type="xsd:double"&gt;49.73&lt;/D&gt;&lt;D xsi:type="xsd:double"&gt;50.7&lt;/D&gt;&lt;D xsi:type="xsd:double"&gt;49.48&lt;/D&gt;&lt;D xsi:type="xsd:double"&gt;49.19&lt;/D&gt;&lt;D xsi:type="xsd:double"&gt;49.31&lt;/D&gt;&lt;D xsi:type="xsd:double"&gt;49.51&lt;/D&gt;&lt;D xsi:type="xsd:double"&gt;50.36&lt;/D&gt;&lt;D xsi:type="xsd:double"&gt;49.89&lt;/D&gt;&lt;D xsi:type="xsd:double"&gt;49.8&lt;/D&gt;&lt;D xsi:type="xsd:double"&gt;50.92&lt;/D&gt;&lt;D xsi:type="xsd:double"&gt;50.76&lt;/D&gt;&lt;D xsi:type="xsd:double"&gt;50.42&lt;/D&gt;&lt;D xsi:type="xsd:double"&gt;50.16&lt;/D&gt;&lt;D xsi:type="xsd:double"&gt;50.5&lt;/D&gt;&lt;D xsi:type="xsd:double"&gt;49.82&lt;/D&gt;&lt;D xsi:type="xsd:double"&gt;49.66&lt;/D&gt;&lt;D xsi:type="xsd:double"&gt;49.97&lt;/D&gt;&lt;D xsi:type="xsd:double"&gt;51.78&lt;/D&gt;&lt;D xsi:type="xsd:double"&gt;51.35&lt;/D&gt;&lt;D xsi:type="xsd:double"&gt;51.1&lt;/D&gt;&lt;D xsi:type="xsd:double"&gt;49.43&lt;/D&gt;&lt;D xsi:type="xsd:double"&gt;47.82&lt;/D&gt;&lt;D xsi:type="xsd:double"&gt;48.31&lt;/D&gt;&lt;D xsi:type="xsd:double"&gt;47.77&lt;/D&gt;&lt;D xsi:type="xsd:double"&gt;48.18&lt;/D&gt;&lt;D xsi:type="xsd:double"&gt;48.59&lt;/D&gt;&lt;D xsi:type="xsd:double"&gt;48.49&lt;/D&gt;&lt;D xsi:type="xsd:double"&gt;49.24&lt;/D&gt;&lt;D xsi:type="xsd:double"&gt;49.21&lt;/D&gt;&lt;D xsi:type="xsd:double"&gt;48.9&lt;/D&gt;&lt;D xsi:type="xsd:double"&gt;48.61&lt;/D&gt;&lt;D xsi:type="xsd:double"&gt;48.9&lt;/D&gt;&lt;D xsi:type="xsd:double"&gt;48.51&lt;/D&gt;&lt;D xsi:type="xsd:double"&gt;47.38&lt;/D&gt;&lt;D xsi:type="xsd:double"&gt;47.65&lt;/D&gt;&lt;D xsi:type="xsd:double"&gt;47.47&lt;/D&gt;&lt;D xsi:type="xsd:double"&gt;46.38&lt;/D&gt;&lt;D xsi:type="xsd:double"&gt;45.95&lt;/D&gt;&lt;D xsi:type="xsd:double"&gt;45.25&lt;/D&gt;&lt;D xsi:type="xsd:double"&gt;44.53&lt;/D&gt;&lt;D xsi:type="xsd:double"&gt;44.21&lt;/D&gt;&lt;D xsi:type="xsd:double"&gt;42.88&lt;/D&gt;&lt;D xsi:type="xsd:double"&gt;41.92&lt;/D&gt;&lt;D xsi:type="xsd:double"&gt;41.93&lt;/D&gt;&lt;D xsi:type="xsd:double"&gt;41.88&lt;/D&gt;&lt;D xsi:type="xsd:double"&gt;41.77&lt;/D&gt;&lt;D xsi:type="xsd:double"&gt;41.34&lt;/D&gt;&lt;D xsi:type="xsd:double"&gt;41.47&lt;/D&gt;&lt;D xsi:type="xsd:double"&gt;41.4&lt;/D&gt;&lt;D xsi:type="xsd:double"&gt;41.21&lt;/D&gt;&lt;D xsi:type="xsd:double"&gt;41.37&lt;/D&gt;&lt;D xsi:type="xsd:double"&gt;41.17&lt;/D&gt;&lt;D xsi:type="xsd:double"&gt;41.46&lt;/D&gt;&lt;D xsi:type="xsd:double"&gt;40.9&lt;/D&gt;&lt;D xsi:type="xsd:double"&gt;39.46&lt;/D&gt;&lt;D xsi:type="xsd:double"&gt;39.35&lt;/D&gt;&lt;D xsi:type="xsd:double"&gt;40.04&lt;/D&gt;&lt;D xsi:type="xsd:double"&gt;40.01&lt;/D&gt;&lt;D xsi:type="xsd:double"&gt;39.27&lt;/D&gt;&lt;D xsi:type="xsd:double"&gt;38.94&lt;/D&gt;&lt;D xsi:type="xsd:double"&gt;39.77&lt;/D&gt;&lt;D xsi:type="xsd:double"&gt;38.95&lt;/D&gt;&lt;D xsi:type="xsd:double"&gt;39.94&lt;/D&gt;&lt;D xsi:type="xsd:double"&gt;40.32&lt;/D&gt;&lt;D xsi:type="xsd:double"&gt;40.15&lt;/D&gt;&lt;D xsi:type="xsd:double"&gt;39.98&lt;/D&gt;&lt;D xsi:type="xsd:double"&gt;39.36&lt;/D&gt;&lt;D xsi:type="xsd:double"&gt;39.03&lt;/D&gt;&lt;D xsi:type="xsd:double"&gt;39.23&lt;/D&gt;&lt;D xsi:type="xsd:double"&gt;39.21&lt;/D&gt;&lt;D xsi:type="xsd:double"&gt;38.04&lt;/D&gt;&lt;D xsi:type="xsd:double"&gt;38.78&lt;/D&gt;&lt;D xsi:type="xsd:double"&gt;38.5&lt;/D&gt;&lt;D xsi:type="xsd:double"&gt;38.05&lt;/D&gt;&lt;D xsi:type="xsd:double"&gt;37.63&lt;/D&gt;&lt;D xsi:type="xsd:double"&gt;37.57&lt;/D&gt;&lt;</t>
        </r>
      </text>
    </comment>
    <comment ref="A8" authorId="0" shapeId="0" xr:uid="{D1523E2A-C566-4FD0-B8C0-846C09B2B781}">
      <text>
        <r>
          <rPr>
            <b/>
            <sz val="9"/>
            <color indexed="81"/>
            <rFont val="Tahoma"/>
            <charset val="1"/>
          </rPr>
          <t>D xsi:type="xsd:double"&gt;36.77&lt;/D&gt;&lt;D xsi:type="xsd:double"&gt;37.29&lt;/D&gt;&lt;D xsi:type="xsd:double"&gt;37.12&lt;/D&gt;&lt;D xsi:type="xsd:double"&gt;37.53&lt;/D&gt;&lt;D xsi:type="xsd:double"&gt;38.44&lt;/D&gt;&lt;D xsi:type="xsd:double"&gt;37.75&lt;/D&gt;&lt;D xsi:type="xsd:double"&gt;39.29&lt;/D&gt;&lt;D xsi:type="xsd:double"&gt;38.9&lt;/D&gt;&lt;D xsi:type="xsd:double"&gt;36.82&lt;/D&gt;&lt;D xsi:type="xsd:double"&gt;37.17&lt;/D&gt;&lt;D xsi:type="xsd:double"&gt;36.82&lt;/D&gt;&lt;D xsi:type="xsd:double"&gt;36.75&lt;/D&gt;&lt;D xsi:type="xsd:double"&gt;37.16&lt;/D&gt;&lt;D xsi:type="xsd:double"&gt;36.55&lt;/D&gt;&lt;D xsi:type="xsd:double"&gt;36.09&lt;/D&gt;&lt;D xsi:type="xsd:double"&gt;36.47&lt;/D&gt;&lt;D xsi:type="xsd:double"&gt;36.77&lt;/D&gt;&lt;D xsi:type="xsd:double"&gt;36.69&lt;/D&gt;&lt;D xsi:type="xsd:double"&gt;36.61&lt;/D&gt;&lt;D xsi:type="xsd:double"&gt;36.77&lt;/D&gt;&lt;D xsi:type="xsd:double"&gt;37.07&lt;/D&gt;&lt;D xsi:type="xsd:double"&gt;37.51&lt;/D&gt;&lt;D xsi:type="xsd:double"&gt;36.94&lt;/D&gt;&lt;D xsi:type="xsd:double"&gt;36.92&lt;/D&gt;&lt;D xsi:type="xsd:double"&gt;36.35&lt;/D&gt;&lt;D xsi:type="xsd:double"&gt;36.7&lt;/D&gt;&lt;D xsi:type="xsd:double"&gt;36.48&lt;/D&gt;&lt;D xsi:type="xsd:double"&gt;37.15&lt;/D&gt;&lt;D xsi:type="xsd:double"&gt;37.44&lt;/D&gt;&lt;D xsi:type="xsd:double"&gt;37.67&lt;/D&gt;&lt;D xsi:type="xsd:double"&gt;36.54&lt;/D&gt;&lt;D xsi:type="xsd:double"&gt;36.48&lt;/D&gt;&lt;D xsi:type="xsd:double"&gt;36.39&lt;/D&gt;&lt;D xsi:type="xsd:double"&gt;39.48&lt;/D&gt;&lt;D xsi:type="xsd:double"&gt;38.75&lt;/D&gt;&lt;D xsi:type="xsd:double"&gt;39.36&lt;/D&gt;&lt;D xsi:type="xsd:double"&gt;38.54&lt;/D&gt;&lt;D xsi:type="xsd:double"&gt;39.03&lt;/D&gt;&lt;D xsi:type="xsd:double"&gt;38.96&lt;/D&gt;&lt;D xsi:type="xsd:double"&gt;38.96&lt;/D&gt;&lt;D xsi:type="xsd:double"&gt;38.52&lt;/D&gt;&lt;D xsi:type="xsd:double"&gt;40.21&lt;/D&gt;&lt;D xsi:type="xsd:double"&gt;40.53&lt;/D&gt;&lt;D xsi:type="xsd:double"&gt;40.1&lt;/D&gt;&lt;D xsi:type="xsd:double"&gt;39.98&lt;/D&gt;&lt;D xsi:type="xsd:double"&gt;40.98&lt;/D&gt;&lt;D xsi:type="xsd:double"&gt;39.56&lt;/D&gt;&lt;D xsi:type="xsd:double"&gt;40.21&lt;/D&gt;&lt;D xsi:type="xsd:double"&gt;38.12&lt;/D&gt;&lt;D xsi:type="xsd:double"&gt;37.37&lt;/D&gt;&lt;D xsi:type="xsd:double"&gt;36.37&lt;/D&gt;&lt;D xsi:type="xsd:double"&gt;35.58&lt;/D&gt;&lt;D xsi:type="xsd:double"&gt;35.62&lt;/D&gt;&lt;D xsi:type="xsd:double"&gt;36.77&lt;/D&gt;&lt;D xsi:type="xsd:double"&gt;36.43&lt;/D&gt;&lt;D xsi:type="xsd:double"&gt;36.24&lt;/D&gt;&lt;D xsi:type="xsd:double"&gt;34.67&lt;/D&gt;&lt;D xsi:type="xsd:double"&gt;33.36&lt;/D&gt;&lt;D xsi:type="xsd:double"&gt;35.18&lt;/D&gt;&lt;D xsi:type="xsd:double"&gt;38.31&lt;/D&gt;&lt;D xsi:type="xsd:double"&gt;38.55&lt;/D&gt;&lt;D xsi:type="xsd:double"&gt;38.67&lt;/D&gt;&lt;D xsi:type="xsd:double"&gt;38.09&lt;/D&gt;&lt;D xsi:type="xsd:double"&gt;38.01&lt;/D&gt;&lt;D xsi:type="xsd:double"&gt;38.02&lt;/D&gt;&lt;D xsi:type="xsd:double"&gt;38.89&lt;/D&gt;&lt;D xsi:type="xsd:double"&gt;39.11&lt;/D&gt;&lt;D xsi:type="xsd:double"&gt;40.57&lt;/D&gt;&lt;D xsi:type="xsd:double"&gt;42.04&lt;/D&gt;&lt;D xsi:type="xsd:double"&gt;42.4&lt;/D&gt;&lt;D xsi:type="xsd:double"&gt;41.85&lt;/D&gt;&lt;D xsi:type="xsd:double"&gt;42.1&lt;/D&gt;&lt;D xsi:type="xsd:double"&gt;41.28&lt;/D&gt;&lt;D xsi:type="xsd:double"&gt;41.57&lt;/D&gt;&lt;D xsi:type="xsd:double"&gt;42.45&lt;/D&gt;&lt;D xsi:type="xsd:double"&gt;43.51&lt;/D&gt;&lt;D xsi:type="xsd:double"&gt;43.46&lt;/D&gt;&lt;D xsi:type="xsd:double"&gt;43.12&lt;/D&gt;&lt;D xsi:type="xsd:double"&gt;42.76&lt;/D&gt;&lt;D xsi:type="xsd:double"&gt;43.5&lt;/D&gt;&lt;D xsi:type="xsd:double"&gt;43.63&lt;/D&gt;&lt;D xsi:type="xsd:double"&gt;42.95&lt;/D&gt;&lt;D xsi:type="xsd:double"&gt;43.1&lt;/D&gt;&lt;D xsi:type="xsd:double"&gt;43.1&lt;/D&gt;&lt;D xsi:type="xsd:double"&gt;43.86&lt;/D&gt;&lt;D xsi:type="xsd:double"&gt;43.67&lt;/D&gt;&lt;D xsi:type="xsd:double"&gt;43&lt;/D&gt;&lt;D xsi:type="xsd:double"&gt;41.6&lt;/D&gt;&lt;D xsi:type="xsd:double"&gt;41.07&lt;/D&gt;&lt;D xsi:type="xsd:double"&gt;42.3&lt;/D&gt;&lt;D xsi:type="xsd:double"&gt;42.95&lt;/D&gt;&lt;D xsi:type="xsd:double"&gt;42.4&lt;/D&gt;&lt;D xsi:type="xsd:double"&gt;42.04&lt;/D&gt;&lt;D xsi:type="xsd:double"&gt;41.75&lt;/D&gt;&lt;D xsi:type="xsd:double"&gt;41.43&lt;/D&gt;&lt;D xsi:type="xsd:double"&gt;42.92&lt;/D&gt;&lt;D xsi:type="xsd:double"&gt;42.17&lt;/D&gt;&lt;D xsi:type="xsd:double"&gt;41.67&lt;/D&gt;&lt;D xsi:type="xsd:double"&gt;42.86&lt;/D&gt;&lt;D xsi:type="xsd:double"&gt;43.69&lt;/D&gt;&lt;D xsi:type="xsd:double"&gt;43.59&lt;/D&gt;&lt;D xsi:type="xsd:double"&gt;43.93&lt;/D&gt;&lt;D xsi:type="xsd:double"&gt;44.62&lt;/D&gt;&lt;D xsi:type="xsd:double"&gt;44.97&lt;/D&gt;&lt;D xsi:type="xsd:double"&gt;46.6&lt;/D&gt;&lt;D xsi:type="xsd:double"&gt;46.87&lt;/D&gt;&lt;D xsi:type="xsd:double"&gt;46.55&lt;/D&gt;&lt;D xsi:type="xsd:double"&gt;47.5&lt;/D&gt;&lt;D xsi:type="xsd:double"&gt;48.49&lt;/D&gt;&lt;D xsi:type="xsd:double"&gt;48.04&lt;/D&gt;&lt;D xsi:type="xsd:double"&gt;46.63&lt;/D&gt;&lt;D xsi:type="xsd:double"&gt;46.55&lt;/D&gt;&lt;D xsi:type="xsd:double"&gt;46.29&lt;/D&gt;&lt;D xsi:type="xsd:double"&gt;45.8&lt;/D&gt;&lt;D xsi:type="xsd:double"&gt;47.2&lt;/D&gt;&lt;D xsi:type="xsd:double"&gt;47.16&lt;/D&gt;&lt;D xsi:type="xsd:double"&gt;47.15&lt;/D&gt;&lt;D xsi:type="xsd:double"&gt;47.01&lt;/D&gt;&lt;D xsi:type="xsd:double"&gt;48.68&lt;/D&gt;&lt;D xsi:type="xsd:double"&gt;49.33&lt;/D&gt;&lt;D xsi:type="xsd:double"&gt;49.13&lt;/D&gt;&lt;D xsi:type="xsd:double"&gt;48.2&lt;/D&gt;&lt;D xsi:type="xsd:double"&gt;47.84&lt;/D&gt;&lt;D xsi:type="xsd:double"&gt;48.91&lt;/D&gt;&lt;D xsi:type="xsd:double"&gt;49.39&lt;/D&gt;&lt;D xsi:type="xsd:double"&gt;50.12&lt;/D&gt;&lt;D xsi:type="xsd:double"&gt;50.05&lt;/D&gt;&lt;D xsi:type="xsd:double"&gt;48.62&lt;/D&gt;&lt;D xsi:type="xsd:double"&gt;48.77&lt;/D&gt;&lt;D xsi:type="xsd:double"&gt;47.76&lt;/D&gt;&lt;D xsi:type="xsd:double"&gt;47.89&lt;/D&gt;&lt;D xsi:type="xsd:double"&gt;47.69&lt;/D&gt;&lt;D xsi:type="xsd:double"&gt;47&lt;/D&gt;&lt;D xsi:type="xsd:double"&gt;46.74&lt;/D&gt;&lt;D xsi:type="xsd:double"&gt;46.22&lt;/D&gt;&lt;D xsi:type="xsd:double"&gt;48.39&lt;/D&gt;&lt;D xsi:type="xsd:double"&gt;48.67&lt;/D&gt;&lt;D xsi:type="xsd:double"&gt;48.79&lt;/D&gt;&lt;D xsi:type="xsd:double"&gt;48.55&lt;/D&gt;&lt;D xsi:type="xsd:double"&gt;48.9&lt;/D&gt;&lt;D xsi:type="xsd:double"&gt;48.24&lt;/D&gt;&lt;D xsi:type="xsd:double"&gt;47.86&lt;/D&gt;&lt;D xsi:type="xsd:double"&gt;49.2&lt;/D&gt;&lt;D xsi:type="xsd:double"&gt;48.94&lt;/D&gt;&lt;D xsi:type="xsd:double"&gt;48.95&lt;/D&gt;&lt;D xsi:type="xsd:double"&gt;48.82&lt;/D&gt;&lt;D xsi:type="xsd:double"&gt;46.72&lt;/D&gt;&lt;D xsi:type="xsd:double"&gt;46.46&lt;/D&gt;&lt;D xsi:type="xsd:double"&gt;46.1&lt;/D&gt;&lt;D xsi:type="xsd:double"&gt;44.58&lt;/D&gt;&lt;D xsi:type="xsd:double"&gt;42.99&lt;/D&gt;&lt;D xsi:type="xsd:double"&gt;42.7&lt;/D&gt;&lt;D xsi:type="xsd:double"&gt;43.27&lt;/D&gt;&lt;D xsi:type="xsd:double"&gt;41.98&lt;/D&gt;&lt;D xsi:type="xsd:double"&gt;40.77&lt;/D&gt;&lt;D xsi:type="xsd:double"&gt;42.01&lt;/D&gt;&lt;D xsi:type="xsd:double"&gt;44.04&lt;/D&gt;&lt;D xsi:type="xsd:double"&gt;43.8&lt;/D&gt;&lt;D xsi:type="xsd:double"&gt;43.61&lt;/D&gt;&lt;D xsi:type="xsd:double"&gt;45.21&lt;/D&gt;&lt;D xsi:type="xsd:double"&gt;44.29&lt;/D&gt;&lt;D xsi:type="xsd:double"&gt;43.2&lt;/D&gt;&lt;D xsi:type="xsd:double"&gt;44.72&lt;/D&gt;&lt;D xsi:type="xsd:double"&gt;46.11&lt;/D&gt;&lt;D xsi:type="xsd:double"&gt;45.94&lt;/D&gt;&lt;D xsi:type="xsd:double"&gt;46.76&lt;/D&gt;&lt;D xsi:type="xsd:double"&gt;46.52&lt;/D&gt;&lt;D xsi:type="xsd:double"&gt;45.69&lt;/D&gt;&lt;D xsi:type="xsd:double"&gt;45.96&lt;/D&gt;&lt;D xsi:type="xsd:double"&gt;44.5&lt;/D&gt;&lt;D xsi:type="xsd:double"&gt;45.34&lt;/D&gt;&lt;D xsi:type="xsd:double"&gt;44.94&lt;/D&gt;&lt;D xsi:type="xsd:double"&gt;46.96&lt;/D&gt;&lt;D xsi:type="xsd:double"&gt;46.74&lt;/D&gt;&lt;D xsi:type="xsd:double"&gt;46.61&lt;/D&gt;&lt;D xsi:type="xsd:double"&gt;47&lt;/D&gt;&lt;D xsi:type="xsd:double"&gt;48.93&lt;/D&gt;&lt;D xsi:type="xsd:double"&gt;48.57&lt;/D&gt;&lt;D xsi:type="xsd:double"&gt;48.66&lt;/D&gt;&lt;D xsi:type="xsd:double"&gt;50.69&lt;/D&gt;&lt;D xsi:type="xsd:double"&gt;51.17&lt;/D&gt;&lt;D xsi:type="xsd:double"&gt;52.17&lt;/D&gt;&lt;D xsi:type="xsd:double"&gt;51.95&lt;/D&gt;&lt;D xsi:type="xsd:double"&gt;52.26&lt;/D&gt;&lt;D xsi:type="xsd:double"&gt;51.74&lt;/D&gt;&lt;D xsi:type="xsd:double"&gt;51.75&lt;/D&gt;&lt;D xsi:type="xsd:double"&gt;51.46&lt;/D&gt;&lt;D xsi:type="xsd:double"&gt;49.96&lt;/D&gt;&lt;D xsi:type="xsd:double"&gt;51.03&lt;/D&gt;&lt;D xsi:type="xsd:double"&gt;52.12&lt;/D&gt;&lt;D xsi:type="xsd:double"&gt;51.15&lt;/D&gt;&lt;D xsi:type="xsd:double"&gt;50.18&lt;/D&gt;&lt;D xsi:type="xsd:double"&gt;49.28&lt;/D&gt;&lt;D xsi:type="xsd:double"&gt;51.28&lt;/D&gt;&lt;D xsi:type="xsd:double"&gt;49.51&lt;/D&gt;&lt;D xsi:type="xsd:double"&gt;50.27&lt;/D&gt;&lt;D xsi:type="xsd:double"&gt;51.78&lt;/D&gt;&lt;D xsi:type="xsd:double"&gt;49.78&lt;/D&gt;&lt;D xsi:type="xsd:double"&gt;48.22&lt;/D&gt;&lt;D xsi:type="xsd:double"&gt;48.33&lt;/D&gt;&lt;D xsi:type="xsd:double"&gt;47.67&lt;/D&gt;&lt;D xsi:type="xsd:double"&gt;46.46&lt;/D&gt;&lt;D xsi:type="xsd:double"&gt;47.14&lt;/D&gt;&lt;D xsi:type="xsd:double"&gt;46.87&lt;/D&gt;&lt;D xsi:type="xsd:double"&gt;47.24&lt;/D&gt;&lt;D xsi:type="xsd:double"&gt;48.74&lt;/D&gt;&lt;D xsi:type="xsd:double"&gt;48.76&lt;/D&gt;&lt;D xsi:type="xsd:double"&gt;48.51&lt;/D&gt;&lt;D xsi:type="xsd:double"&gt;47.75&lt;/D&gt;&lt;D xsi:type="xsd:double"&gt;47.77&lt;/D&gt;&lt;D xsi:type="xsd:double"&gt;47.93&lt;/D&gt;&lt;D xsi:type="xsd:double"&gt;48.99&lt;/D&gt;&lt;D xsi:type="xsd:double"&gt;49.98&lt;/D&gt;&lt;D xsi:type="xsd:double"&gt;49.98&lt;/D&gt;&lt;D xsi:type="xsd:double"&gt;50.3&lt;/D&gt;&lt;D xsi:type="xsd:double"&gt;50.63&lt;/D&gt;&lt;D xsi:type="xsd:double"&gt;51.2&lt;/D&gt;&lt;D xsi:type="xsd:double"&gt;50.54&lt;/D&gt;&lt;D xsi:type="xsd:double"&gt;50.66&lt;/D&gt;&lt;D xsi:type="xsd:double"&gt;51&lt;/D&gt;&lt;D xsi:type="xsd:double"&gt;50.7&lt;/D&gt;&lt;D xsi:type="xsd:double"&gt;50.84&lt;/D&gt;&lt;D xsi:type="xsd:double"&gt;50.5&lt;/D&gt;&lt;D xsi:type="xsd:double"&gt;50.14&lt;/D&gt;&lt;D xsi:type="xsd:double"&gt;50.87&lt;/D&gt;&lt;D xsi:type="xsd:double"&gt;51.32&lt;/D&gt;&lt;D xsi:type="xsd:double"&gt;51&lt;/D&gt;&lt;D xsi:type="xsd:double"&gt;50.81&lt;/D&gt;&lt;D xsi:type="xsd:double"&gt;49.44&lt;/D&gt;&lt;D xsi:type="xsd:double"&gt;50.15&lt;/D&gt;&lt;D xsi:type="xsd:double"&gt;50.27&lt;/D&gt;&lt;D xsi:type="xsd:double"&gt;49.12&lt;/D&gt;&lt;D xsi:type="xsd:double"&gt;48.93&lt;/D&gt;&lt;D xsi:type="xsd:double"&gt;48.59&lt;/D&gt;&lt;D xsi:type="xsd:double"&gt;47.73&lt;/D&gt;&lt;D xsi:type="xsd:double"&gt;48.5&lt;/D&gt;&lt;D xsi:type="xsd:double"&gt;47.21&lt;/D&gt;&lt;D xsi:type="xsd:double"&gt;45.96&lt;/D&gt;&lt;D xsi:type="xsd:double"&gt;45.99&lt;/D&gt;&lt;D xsi:type="xsd:double"&gt;45.09&lt;/D&gt;&lt;D xsi:type="xsd:double"&gt;46.96&lt;/D&gt;&lt;D xsi:type="xsd:double"&gt;44.87&lt;/D&gt;&lt;D xsi:type="xsd:double"&gt;45.41&lt;/D&gt;&lt;D xsi:type="xsd:double"&gt;44.87&lt;/D&gt;&lt;D xsi:type="xsd:double"&gt;44.04&lt;/D&gt;&lt;D xsi:type="xsd:double"&gt;44.66&lt;/D&gt;&lt;D xsi:type="xsd:double"&gt;46.04&lt;/D&gt;&lt;D xsi:type="xsd:double"&gt;45.91&lt;/D&gt;&lt;D xsi:type="xsd:double"&gt;46.59&lt;/D&gt;&lt;D xsi:type="xsd:double"&gt;46.46&lt;/D&gt;&lt;D xsi:type="xsd:double"&gt;47.25&lt;/D&gt;&lt;D xsi:type="xsd:double"&gt;46.67&lt;/D&gt;&lt;D xsi:type="xsd:double"&gt;47.49&lt;/D&gt;&lt;D xsi:type="xsd:double"&gt;47.09&lt;/D&gt;&lt;D xsi:type="xsd:double"&gt;46.89&lt;/D&gt;&lt;D xsi:type="xsd:double"&gt;46.89&lt;/D&gt;&lt;D xsi:type="xsd:double"&gt;46.92&lt;/D&gt;&lt;D xsi:type="xsd:double"&gt;46.49&lt;/D&gt;&lt;D xsi:type="xsd:double"&gt;46.01&lt;/D&gt;&lt;D xsi:type="xsd:double"&gt;46.59&lt;/D&gt;&lt;D xsi:type="xsd:double"&gt;45.4&lt;/D&gt;&lt;D xsi:type="xsd:double"&gt;45.06&lt;/D&gt;&lt;D xsi:type="xsd:double"&gt;45.99&lt;/D&gt;&lt;D xsi:type="xsd:double"&gt;43.77&lt;/D&gt;&lt;D xsi:type="xsd:double"&gt;43.78&lt;/D&gt;&lt;D xsi:type="xsd:double"&gt;43.94&lt;/D&gt;&lt;D xsi:type="xsd:double"&gt;43.86&lt;/D&gt;&lt;D xsi:type="xsd:double"&gt;43.7&lt;/D&gt;&lt;D xsi:type="xsd:double"&gt;41.37&lt;/D&gt;&lt;D xsi:type="xsd:double"&gt;42.15&lt;/D&gt;&lt;D xsi:type="xsd:double"&gt;43.6&lt;/D&gt;&lt;D xsi:type="xsd:double"&gt;45.71&lt;/D&gt;&lt;D xsi:type="xsd:double"&gt;47.08&lt;/D&gt;&lt;D xsi:type="xsd:double"&gt;47.36&lt;/D&gt;&lt;D xsi:type="xsd:double"&gt;47.99&lt;/D&gt;&lt;D xsi:type="xsd:double"&gt;47.63&lt;/D&gt;&lt;D xsi:type="xsd:double"&gt;47.45&lt;/D&gt;&lt;D xsi:type="xsd:double"&gt;46.6&lt;/D&gt;&lt;D xsi:type="xsd:double"&gt;47.1&lt;/D&gt;&lt;D xsi:type="xsd:double"&gt;46.32&lt;/D&gt;&lt;D xsi:type="xsd:double"&gt;46.35&lt;/D&gt;&lt;D xsi:type="xsd:double"&gt;46.04&lt;/D&gt;&lt;D xsi:type="xsd:double"&gt;46.3&lt;/D&gt;&lt;D xsi:type="xsd:double"&gt;46.35&lt;/D&gt;&lt;D xsi:type="xsd:double"&gt;45.73&lt;/D&gt;&lt;D xsi:type="xsd:double"&gt;44.34&lt;/D&gt;&lt;D xsi:type="xsd:double"&gt;44.03&lt;/D&gt;&lt;D xsi:type="xsd:double"&gt;44.18&lt;/D&gt;&lt;D xsi:type="xsd:double"&gt;44.91&lt;/D&gt;&lt;D xsi:type="xsd:double"&gt;43.93&lt;/D&gt;&lt;D xsi:type="xsd:double"&gt;44.1&lt;/D&gt;&lt;D xsi:type="xsd:double"&gt;45.16&lt;/D&gt;&lt;D xsi:type="xsd:double"&gt;45.22&lt;/D&gt;&lt;D xsi:type="xsd:double"&gt;44.65&lt;/D&gt;&lt;D xsi:type="xsd:double"&gt;44.09&lt;/D&gt;&lt;D xsi:type="xsd:double"&gt;44.94&lt;/D&gt;&lt;D xsi:type="xsd:double"&gt;44.47&lt;/D&gt;&lt;D xsi:type="xsd:double"&gt;43.99&lt;/D&gt;&lt;D xsi:type="xsd:double"&gt;43.66&lt;/D&gt;&lt;D xsi:type="xsd:double"&gt;43.37&lt;/D&gt;&lt;D xsi:type="xsd:double"&gt;42.46&lt;/D&gt;&lt;D xsi:type="xsd:double"&gt;40.55&lt;/D&gt;&lt;D xsi:type="xsd:double"&gt;40.17&lt;/D&gt;&lt;D xsi:type="xsd:double"&gt;41.18&lt;/D&gt;&lt;D xsi:type="xsd:double"&gt;40.48&lt;/D&gt;&lt;D xsi:type="xsd:double"&gt;40&lt;/D&gt;&lt;D xsi:type="xsd:double"&gt;40.27&lt;/D&gt;&lt;D xsi:type="xsd:double"&gt;41.08&lt;/D&gt;&lt;D xsi:type="xsd:double"&gt;41.12&lt;/D&gt;&lt;D xsi:type="xsd:double"&gt;42.35&lt;/D&gt;&lt;D xsi:type="xsd:double"&gt;42.6&lt;/D&gt;&lt;D xsi:type="xsd:double"&gt;42.66&lt;/D&gt;&lt;D xsi:type="xsd:double"&gt;43.1&lt;/D&gt;&lt;D xsi:type="xsd:double"&gt;42.93&lt;/D&gt;&lt;D xsi:type="xsd:double"&gt;41.99&lt;/D&gt;&lt;D xsi:type="xsd:double"&gt;41.35&lt;/D&gt;&lt;D xsi:type="xsd:double"&gt;40.8&lt;/D&gt;&lt;D xsi:type="xsd:double"&gt;40.57&lt;/D&gt;&lt;D xsi:type="xsd:double"&gt;40.7&lt;/D&gt;&lt;D xsi:type="xsd:double"&gt;41.14&lt;/D&gt;&lt;D xsi:type="xsd:double"&gt;40.8&lt;/D&gt;&lt;D xsi:type="xsd:double"&gt;41.06&lt;/D&gt;&lt;D xsi:type="xsd:double"&gt;40.72&lt;/D&gt;&lt;D xsi:type="xsd:double"&gt;40.75&lt;/D&gt;&lt;D xsi:type="xsd:double"&gt;42.9&lt;/D&gt;&lt;D xsi:type="xsd:double"&gt;42.92&lt;/D&gt;&lt;D xsi:type="xsd:double"&gt;43.24&lt;/D&gt;&lt;D xsi:type="xsd:double"&gt;43.21&lt;/D&gt;&lt;D xsi:type="xsd:double"&gt;44.35&lt;/D&gt;&lt;D xsi:type="xsd:double"&gt;42.92&lt;/D&gt;&lt;D xsi:type="xsd:double"&gt;42.25&lt;/D&gt;&lt;D xsi:type="xsd:double"&gt;42.53&lt;/D&gt;&lt;D xsi:type="xsd:double"&gt;41.85&lt;/D&gt;&lt;D xsi:type="xsd:double"&gt;43.18&lt;/D&gt;&lt;D xsi:type="xsd:double"&gt;43.75&lt;/D&gt;&lt;D xsi:type="xsd:double"&gt;43.62&lt;/D&gt;&lt;D xsi:type="xsd:double"&gt;46.21&lt;/D&gt;&lt;D xsi:type="xsd:double"&gt;47.37&lt;/D&gt;&lt;D xsi:type="xsd:double"&gt;47&lt;/D&gt;&lt;D xsi:type="xsd:double"&gt;47.4&lt;/D&gt;&lt;D xsi:type="xsd:double"&gt;46.78&lt;/D&gt;&lt;D xsi:type="xsd:double"&gt;46.1&lt;/D&gt;&lt;D xsi:type="xsd:double"&gt;46.81&lt;/D&gt;&lt;D xsi:type="xsd:double"&gt;46.17&lt;/D&gt;&lt;D xsi:type="xsd:double"&gt;45.36&lt;/D&gt;&lt;D xsi:type="xsd:double"&gt;44.06&lt;/D&gt;&lt;D xsi:type="xsd:double"&gt;43.9&lt;/D&gt;&lt;D xsi:type="xsd:double"&gt;45.29&lt;/D&gt;&lt;D xsi:type="xsd:double"&gt;45.66&lt;/D&gt;&lt;D xsi:type="xsd:double"&gt;44.64&lt;/D&gt;&lt;D xsi:type="xsd:double"&gt;45.03&lt;/D&gt;&lt;D xsi:type="xsd:double"&gt;46.2&lt;/D&gt;&lt;D xsi:type="xsd:double"&gt;46.45&lt;/D&gt;&lt;D xsi:type="xsd:double"&gt;46.98&lt;/D&gt;&lt;D xsi:type="xsd:double"&gt;46.43&lt;/D&gt;&lt;D xsi:type="xsd:double"&gt;46.53&lt;/D&gt;&lt;D xsi:type="xsd:double"&gt;46.23&lt;/D&gt;&lt;D xsi:type="xsd:double"&gt;45.73&lt;/D&gt;&lt;D xsi:type="xsd:double"&gt;44.76&lt;/D&gt;&lt;D xsi:type="xsd:double"&gt;44.99&lt;/D&gt;&lt;D xsi:type="xsd:double"&gt;44.2&lt;/D&gt;&lt;D xsi:type="xsd:double"&gt;43.08&lt;/D&gt;&lt;D xsi:type="xsd:double"&gt;43.07&lt;/D&gt;&lt;D xsi:type="xsd:double"&gt;43.23&lt;/D&gt;&lt;D xsi:type="xsd:double"&gt;43.14&lt;/D&gt;&lt;D xsi:type="xsd:double"&gt;43.29&lt;/D&gt;&lt;D xsi:type="xsd:double"&gt;41.64&lt;/D&gt;&lt;D xsi:type="xsd:double"&gt;41.76&lt;/D&gt;&lt;D xsi:type="xsd:double"&gt;42.25&lt;/D&gt;&lt;D xsi:type="xsd:double"&gt;43.26&lt;/D&gt;&lt;D xsi:type="xsd:double"&gt;44.96&lt;/D&gt;&lt;D xsi:type="xsd:double"&gt;45.56&lt;/D&gt;&lt;D xsi:type="xsd:double"&gt;44.88&lt;/D&gt;&lt;D xsi:type="xsd:double"&gt;44.09&lt;/D&gt;&lt;D xsi:type="xsd:double"&gt;44.52&lt;/D&gt;&lt;D xsi:type="xsd:double"&gt;46.03&lt;/D&gt;&lt;D xsi:type="xsd:double"&gt;46.58&lt;/D&gt;&lt;D xsi:type="xsd:double"&gt;47.42&lt;/D&gt;&lt;D xsi:type="xsd:double"&gt;47.26&lt;/D&gt;&lt;D xsi:type="xsd:double"&gt;45.81&lt;/D&gt;&lt;D xsi:type="xsd:double"&gt;46.65&lt;/D&gt;&lt;D xsi:type="xsd:double"&gt;46.16&lt;/D&gt;&lt;D xsi:type="xsd:double"&gt;45.5&lt;/D&gt;&lt;D xsi:type="xsd:double"&gt;45.33&lt;/D&gt;&lt;D xsi:type="xsd:double"&gt;44.02&lt;/D&gt;&lt;D xsi:type="xsd:double"&gt;43.42&lt;/D&gt;&lt;D xsi:type="xsd:double"&gt;44.57&lt;/D&gt;&lt;D xsi:type="xsd:double"&gt;43.78&lt;/D&gt;&lt;D xsi:type="xsd:double"&gt;44.39&lt;/D&gt;&lt;D xsi:type="xsd:double"&gt;45.15&lt;/D&gt;&lt;D xsi:type="xsd:double"&gt;45.78&lt;/D&gt;&lt;D xsi:type="xsd:double"&gt;45.39&lt;/D&gt;&lt;D xsi:type="xsd:double"&gt;44.52&lt;/D&gt;&lt;D xsi:type="xsd:double"&gt;45.92&lt;/D&gt;&lt;D xsi:type="xsd:double"&gt;46.84&lt;/D&gt;&lt;D xsi:type="xsd:double"&gt;48.03&lt;/D&gt;&lt;D xsi:type="xsd:double"&gt;47.19&lt;/D&gt;&lt;D xsi:type="xsd:double"&gt;47.44&lt;/D&gt;&lt;D xsi:type="xsd:double"&gt;45.92&lt;/D&gt;&lt;D xsi:type="xsd:double"&gt;45.27&lt;/D&gt;&lt;D xsi:type="xsd:double"&gt;44.76&lt;/D&gt;&lt;D xsi:type="xsd:double"&gt;44.5&lt;/D&gt;&lt;D xsi:type="xsd:double"&gt;44.81&lt;/D&gt;&lt;D xsi:type="xsd:double"&gt;44.98&lt;/D&gt;&lt;D xsi:type="xsd:double"&gt;45.32&lt;/D&gt;&lt;D xsi:type="xsd:double"&gt;44.45&lt;/D&gt;&lt;D xsi:type="xsd:double"&gt;45.51&lt;/D&gt;&lt;D xsi:type="xsd:double"&gt;46.14&lt;/D&gt;&lt;D xsi:type="xsd:double"&gt;46.96&lt;/D&gt;&lt;D xsi:type="xsd:double"&gt;46.01&lt;/D&gt;&lt;D xsi:type="xsd:double"&gt;46.51&lt;/D&gt;&lt;D xsi:type="xsd:double"&gt;47.31&lt;/D&gt;&lt;D xsi:type="xsd:double"&gt;50.21&lt;/D&gt;&lt;D xsi:type="xsd:double"&gt;48.46&lt;/D&gt;&lt;D xsi:type="xsd:double"&gt;49.18&lt;/D&gt;&lt;D xsi:type="xsd:double"&gt;50.15&lt;/D&gt;&lt;D xsi:type="xsd:double"&gt;50.56&lt;/D&gt;&lt;D xsi:type="xsd:double"&gt;50.7&lt;/D&gt;&lt;D xsi:type="xsd:double"&gt;49.18&lt;/D&gt;&lt;D xsi:type="xsd:double"&gt;49.17&lt;/D&gt;&lt;D xsi:type="xsd:double"&gt;45.84&lt;/D&gt;&lt;D xsi:type="xsd:double"&gt;45.05&lt;/D&gt;&lt;D xsi:type="xsd:double"&gt;45.31&lt;/D&gt;&lt;D xsi:type="xsd:double"&gt;46.61&lt;/D&gt;&lt;D xsi:type="xsd:double"&gt;46.06&lt;/D&gt;&lt;D xsi:type="xsd:double"&gt;46.88&lt;/D&gt;&lt;D xsi:type="xsd:double"&gt;48.19&lt;/D&gt;&lt;D xsi:type="xsd:double"&gt;46.97&lt;/D&gt;&lt;D xsi:type="xsd:double"&gt;47.22&lt;/D&gt;&lt;D xsi:type="xsd:double"&gt;48.36&lt;/D&gt;&lt;D xsi:type="xsd:double"&gt;49.18&lt;/D&gt;&lt;D xsi:type="xsd:double"&gt;49.19&lt;/D&gt;&lt;D xsi:type="xsd:double"&gt;49.23&lt;/D&gt;&lt;D xsi:type="xsd:double"&gt;48.78&lt;/D&gt;&lt;D xsi:type="xsd:double"&gt;48.39&lt;/D&gt;&lt;D xsi:type="xsd:double"&gt;48.05&lt;/D&gt;&lt;D xsi:type="xsd:double"&gt;47.13&lt;/D&gt;&lt;D xsi:type="xsd:double"&gt;47.41&lt;/D&gt;&lt;D xsi:type="xsd:double"&gt;47.38&lt;/D&gt;&lt;D xsi:type="xsd:double"&gt;46.77&lt;/D&gt;&lt;D xsi:type="xsd:double"&gt;46.17&lt;/D&gt;&lt;D xsi:type="xsd:double"&gt;45.38&lt;/D&gt;&lt;D xsi:type="xsd:double"&gt;47.8&lt;/D&gt;&lt;D xsi:type="xsd:double"&gt;47.68&lt;/D&gt;&lt;D xsi:type="xsd:double"&gt;48.33&lt;/D&gt;&lt;D xsi:type="xsd:double"&gt;46.22&lt;/D&gt;&lt;D xsi:type="xsd:double"&gt;46.33&lt;/D&gt;&lt;D xsi:type="xsd:double"&gt;47.34&lt;/D&gt;&lt;D xsi:type="xsd:double"&gt;47.28&lt;/D&gt;&lt;D xsi:type="xsd:double"&gt;46.42&lt;/D&gt;&lt;D xsi:type="xsd:double"&gt;44.75&lt;/D&gt;&lt;D xsi:type="xsd:double"&gt;44.67&lt;/D&gt;&lt;D xsi:type="xsd:double"&gt;45.62&lt;/D&gt;&lt;D xsi:type="xsd:double"&gt;46.67&lt;/D&gt;&lt;D xsi:type="xsd:double"&gt;44.24&lt;/D&gt;&lt;D xsi:type="xsd:double"&gt;44.08&lt;/D&gt;&lt;D xsi:type="xsd:double"&gt;43.51&lt;/D&gt;&lt;D xsi:type="xsd:double"&gt;43.09&lt;/D&gt;&lt;D xsi:type="xsd:double"&gt;43.96&lt;/D&gt;&lt;D xsi:type="xsd:double"&gt;44.45&lt;/D&gt;&lt;D xsi:type="xsd:double"&gt;44.79&lt;/D&gt;&lt;D xsi:type="xsd:double"&gt;43.43&lt;/D&gt;&lt;D xsi:type="xsd:double"&gt;43.75&lt;/D&gt;&lt;D xsi:type="xsd:double"&gt;44.08&lt;/D&gt;&lt;D xsi:type="xsd:double"&gt;43.4&lt;/D&gt;&lt;D xsi:type="xsd:double"&gt;43.84&lt;/D&gt;&lt;D xsi:type="xsd:double"&gt;43.37&lt;/D&gt;&lt;D xsi:type="xsd:double"&gt;42.69&lt;/D&gt;&lt;D xsi:type="xsd:double"&gt;42.9&lt;/D&gt;&lt;D xsi:type="xsd:double"&gt;41.87&lt;/D&gt;&lt;D xsi:type="xsd:double"&gt;42.32&lt;/D&gt;&lt;D xsi:type="xsd:double"&gt;40.61&lt;/D&gt;&lt;D xsi:type="xsd:double"&gt;40.23&lt;/D&gt;&lt;D xsi:type="xsd:double"&gt;39.14&lt;/D&gt;&lt;D xsi:type="xsd:double"&gt;39.58&lt;/D&gt;&lt;D xsi:type="xsd:double"&gt;39.84&lt;/D&gt;&lt;D xsi:type="xsd:double"&gt;39.75&lt;/D&gt;&lt;D xsi:type="xsd:double"&gt;39.44&lt;/D&gt;&lt;D xsi:type="xsd:double"&gt;37.92&lt;/D&gt;&lt;D xsi:type="xsd:double"&gt;37.3&lt;/D&gt;&lt;D xsi:type="xsd:double"&gt;37.48&lt;/D&gt;&lt;D xsi:type="xsd:double"&gt;36.04&lt;/D&gt;&lt;D xsi:type="xsd:double"&gt;34.39&lt;/D&gt;&lt;D xsi:type="xsd:double"&gt;33.32&lt;/D&gt;&lt;D xsi:type="xsd:double"&gt;32.38&lt;/D&gt;&lt;D xsi:type="xsd:double"&gt;32.79&lt;/D&gt;&lt;D xsi:type="xsd:double"&gt;30.9&lt;/D&gt;&lt;D xsi:type="xsd:double"&gt;32.91&lt;/D&gt;&lt;D xsi:type="xsd:double"&gt;33.71&lt;/D&gt;&lt;D xsi:type="xsd:double"&gt;34.81&lt;/D&gt;&lt;D xsi:type="xsd:double"&gt;35.27&lt;/D&gt;&lt;D xsi:type="xsd:double"&gt;36.11&lt;/D&gt;&lt;D xsi:type="xsd:double"&gt;36.95&lt;/D&gt;&lt;D xsi:type="xsd:double"&gt;35.28&lt;/D&gt;&lt;D xsi:type="xsd:double"&gt;34.9&lt;/D&gt;&lt;D xsi:type="xsd:double"&gt;36.15&lt;/D&gt;&lt;D xsi:type="xsd:double"&gt;36&lt;/D&gt;&lt;D xsi:type="xsd:double"&gt;36.52&lt;/D&gt;&lt;D xsi:type="xsd:double"&gt;36.66&lt;/D&gt;&lt;D xsi:type="xsd:double"&gt;37.66&lt;/D&gt;&lt;D xsi:type="xsd:double"&gt;37.7&lt;/D&gt;&lt;D xsi:type="xsd:double"&gt;37.95&lt;/D&gt;&lt;D xsi:type="xsd:double"&gt;38.64&lt;/D&gt;&lt;D xsi:type="xsd:double"&gt;39.44&lt;/D&gt;&lt;D xsi:type="xsd:double"&gt;38.94&lt;/D&gt;&lt;D xsi:type="xsd:double"&gt;39.52&lt;/D&gt;&lt;D xsi:type="xsd:double"&gt;39.2&lt;/D&gt;&lt;D xsi:type="xsd:double"&gt;39.69&lt;/D&gt;&lt;D xsi:type="xsd:double"&gt;39.56&lt;/D&gt;&lt;D xsi:type="xsd:double"&gt;39.55&lt;/D&gt;&lt;D xsi:type="xsd:double"&gt;38.82&lt;/D&gt;&lt;D xsi:type="xsd:double"&gt;39.04&lt;/D&gt;&lt;D xsi:type="xsd:double"&gt;39.22&lt;/D&gt;&lt;D xsi:type="xsd:double"&gt;39.29&lt;/D&gt;&lt;D xsi:type="xsd:double"&gt;38.82&lt;/D&gt;&lt;D xsi:type="xsd:double"&gt;40.93&lt;/D&gt;&lt;D xsi:type="xsd:double"&gt;39.58&lt;/D&gt;&lt;D xsi:type="xsd:double"&gt;39.89&lt;/D&gt;&lt;D xsi:type="xsd:double"&gt;40.16&lt;/D&gt;&lt;D xsi:type="xsd:double"&gt;39.9&lt;/D&gt;&lt;D xsi:type="xsd:double"&gt;40.52&lt;/D&gt;&lt;D xsi:type="xsd:double"&gt;40.41&lt;/D&gt;&lt;D xsi:type="xsd:double"&gt;39.91&lt;/D&gt;&lt;D xsi:type="xsd:double"&gt;40.52&lt;/D&gt;&lt;D xsi:type="xsd:double"&gt;39.54&lt;/D&gt;&lt;D xsi:type="xsd:double"&gt;39.51&lt;/D&gt;&lt;D xsi:type="xsd:double"&gt;38.53&lt;/D&gt;&lt;D xsi:type="xsd:double"&gt;38.4&lt;/D&gt;&lt;D xsi:type="xsd:double"&gt;37.27&lt;/D&gt;&lt;D xsi:type="xsd:double"&gt;36.51&lt;/D&gt;&lt;D xsi:type="xsd:double"&gt;36.69&lt;/D&gt;&lt;D xsi:type="xsd:double"&gt;36.24&lt;/D&gt;&lt;D xsi:type="xsd:double"&gt;35.61&lt;/D&gt;&lt;D xsi:type="xsd:double"&gt;36.02&lt;/D&gt;&lt;D xsi:type="xsd:double"&gt;36.23&lt;/D&gt;&lt;D xsi:type="xsd:double"&gt;37.28&lt;/D&gt;&lt;D xsi:type="xsd:double"&gt;37.58&lt;/D&gt;&lt;D xsi:type="xsd:double"&gt;37.46&lt;/D&gt;&lt;D xsi:type="xsd:double"&gt;37.84&lt;/D&gt;&lt;D xsi:type="xsd:double"&gt;37.68&lt;/D&gt;&lt;D xsi:type="xsd:double"&gt;38.19&lt;/D&gt;&lt;D xsi:type="xsd:double"&gt;38.06&lt;/D&gt;&lt;D xsi:type="xsd:double"&gt;38.07&lt;/D&gt;&lt;D xsi:type="xsd:double"&gt;39.15&lt;/D&gt;&lt;D xsi:type="xsd:double"&gt;37.68&lt;/D&gt;&lt;D xsi:type="xsd:double"&gt;37.15&lt;/D&gt;&lt;D xsi:type="xsd:double"&gt;37.18&lt;/D&gt;&lt;D xsi:type="xsd:double"&gt;36.57&lt;/D&gt;&lt;D xsi:type="xsd:double"&gt;37.87&lt;/D&gt;&lt;D xsi:type="xsd:double"&gt;38.03&lt;/D&gt;&lt;D xsi:type="xsd:double"&gt;37.38&lt;/D&gt;&lt;D xsi:type="xsd:double"&gt;37.23&lt;/D&gt;&lt;D xsi:type="xsd:double"&gt;37.45&lt;/D&gt;&lt;D xsi:type="xsd:double"&gt;36.96&lt;/D&gt;&lt;D xsi:type="xsd:double"&gt;36.44&lt;/D&gt;&lt;D xsi:type="xsd:double"&gt;36.9&lt;/D&gt;&lt;D xsi:type="xsd:double"&gt;38.6&lt;/D&gt;&lt;D xsi:type="xsd:double"&gt;38.24&lt;/D&gt;&lt;D xsi:type="xsd:double"&gt;40.31&lt;/D&gt;&lt;D xsi:type="xsd:double"&gt;38.72&lt;/D&gt;&lt;D xsi:type="xsd:double"&gt;39.33&lt;/D&gt;&lt;D xsi:type="xsd:double"&gt;39.3&lt;/D&gt;&lt;D xsi:type="xsd:double"&gt;39.35&lt;/D&gt;&lt;D xsi:type="xsd:double"&gt;38.57&lt;/D&gt;&lt;D xsi:type="xsd:double"&gt;39.07&lt;/D&gt;&lt;D xsi:type="xsd:double"&gt;39.57&lt;/D&gt;&lt;D xsi:type="xsd:double"&gt;39.62&lt;/D&gt;&lt;D xsi:type="xsd:double"&gt;39.75&lt;/D&gt;&lt;D xsi:type="xsd:double"&gt;39.49&lt;/D&gt;&lt;D xsi:type="xsd:double"&gt;38.84&lt;/D&gt;&lt;D xsi:type="xsd:double"&gt;39.24&lt;/D&gt;&lt;D xsi:type="xsd:double"&gt;38.5&lt;/D&gt;&lt;D xsi:type="xsd:double"&gt;40.71&lt;/D&gt;&lt;D xsi:type="xsd:double"&gt;41.92&lt;/D&gt;&lt;D xsi:type="xsd:double"&gt;41.87&lt;/D&gt;&lt;D xsi:type="xsd:double"&gt;42.23&lt;/D&gt;&lt;D xsi:type="xsd:double"&gt;41.5&lt;/D&gt;&lt;D xsi:type="xsd:double"&gt;42.17&lt;/D&gt;&lt;D xsi:type="xsd:double"&gt;41.15&lt;/D&gt;&lt;D xsi:type="xsd:double"&gt;40.77&lt;/D&gt;&lt;D xsi:type="xsd:double"&gt;39.91&lt;/D&gt;&lt;D xsi:type="xsd:double"&gt;40.14&lt;/D&gt;&lt;D xsi:type="xsd:double"&gt;40.27&lt;/D&gt;&lt;D xsi:type="xsd:double"&gt;39.46&lt;/D&gt;&lt;D xsi:type="xsd:double"&gt;39.16&lt;/D&gt;&lt;D xsi:type="xsd:double"&gt;38.63&lt;/D&gt;&lt;D xsi:type="xsd:double"&gt;38.34&lt;/D&gt;&lt;D xsi:type="xsd:double"&gt;37.83&lt;/D&gt;&lt;D xsi:type="xsd:double"&gt;38.39&lt;/D&gt;&lt;D xsi:type="xsd:double"&gt;37.86&lt;/D&gt;&lt;D xsi:type="xsd:double"&gt;38.13&lt;/D&gt;&lt;D xsi:type="xsd:double"&gt;38.44&lt;/D&gt;&lt;D xsi:type="xsd:double"&gt;38.78&lt;/D&gt;&lt;D xsi:type="xsd:double"&gt;38.65&lt;/D&gt;&lt;D xsi:type="xsd:double"&gt;37.67&lt;/D&gt;&lt;D xsi:type="xsd:double"&gt;37.7&lt;/D&gt;&lt;D xsi:type="xsd:double"&gt;38.24&lt;/D&gt;&lt;D xsi:type="xsd:double"&gt;37.69&lt;/D&gt;&lt;D xsi:type="xsd:double"&gt;37.55&lt;/D&gt;&lt;D xsi:type="xsd:double"&gt;37.23&lt;/D&gt;&lt;D xsi:type="xsd:double"&gt;37.12&lt;/D&gt;&lt;D xsi:type="xsd:double"&gt;36.83&lt;/D&gt;&lt;D xsi:type="xsd:double"&gt;36.74&lt;/D&gt;&lt;D xsi:type="xsd:double"&gt;35.84&lt;/D&gt;&lt;D xsi:type="xsd:double"&gt;36.07&lt;/D&gt;&lt;D xsi:type="xsd:double"&gt;36.73&lt;/D&gt;&lt;D xsi:type="xsd:double"&gt;37.09&lt;/D&gt;&lt;D xsi:type="xsd:double"&gt;34.95&lt;/D&gt;&lt;D xsi:type="xsd:double"&gt;33.94&lt;/D&gt;&lt;D xsi:type="xsd:double"&gt;33.76&lt;/D&gt;&lt;D xsi:type="xsd:double"&gt;33.62&lt;/D&gt;&lt;D xsi:type="xsd:double"&gt;31.91&lt;/D&gt;&lt;D xsi:type="xsd:double"&gt;31.73&lt;/D&gt;&lt;D xsi:type="xsd:double"&gt;32.52&lt;/D&gt;&lt;D xsi:type="xsd:double"&gt;33.01&lt;/D&gt;&lt;D xsi:type="xsd:double"&gt;34.73&lt;/D&gt;&lt;D xsi:type="xsd:double"&gt;33.51&lt;/D&gt;&lt;D xsi:type="xsd:double"&gt;33.99&lt;/D&gt;&lt;D xsi:type="xsd:double"&gt;34.61&lt;/D&gt;&lt;D xsi:type="xsd:double"&gt;35.37&lt;/D&gt;&lt;D xsi:type="xsd:double"&gt;35.7&lt;/D&gt;&lt;D xsi:type="xsd:double"&gt;35.75&lt;/D&gt;&lt;D xsi:type="xsd:double"&gt;34.65&lt;/D&gt;&lt;D xsi:type="xsd:double"&gt;33.53&lt;/D&gt;&lt;D xsi:type="xsd:double"&gt;34.13&lt;/D&gt;&lt;D xsi:type="xsd:double"&gt;33.96&lt;/D&gt;&lt;D xsi:type="xsd:double"&gt;34.43&lt;/D&gt;&lt;D xsi:type="xsd:double"&gt;33.32&lt;/D&gt;&lt;D xsi:type="xsd:double"&gt;32.73&lt;/D&gt;&lt;D xsi:type="xsd:double"&gt;33.64&lt;/D&gt;&lt;D xsi:type="xsd:double"&gt;33.73&lt;/D&gt;&lt;D xsi:type="xsd:double"&gt;34.07&lt;/D&gt;&lt;D xsi:type="xsd:double"&gt;34.2&lt;/D&gt;&lt;D xsi:type="xsd:double"&gt;34.12&lt;/D&gt;&lt;D xsi:type="xsd:double"&gt;33.58&lt;/D&gt;&lt;D xsi:type="xsd:double"&gt;34.5&lt;/D&gt;&lt;D xsi:type="xsd:double"&gt;34.92&lt;/D&gt;&lt;D xsi:type="xsd:double"&gt;35.17&lt;/D&gt;&lt;D xsi:type="xsd:double"&gt;35.36&lt;/D&gt;&lt;D xsi:type="xsd:double"&gt;35.37&lt;/D&gt;&lt;D xsi:type="xsd:double"&gt;34.72&lt;/D&gt;&lt;D xsi:type="xsd:double"&gt;34.45&lt;/D&gt;&lt;D xsi:type="xsd:double"&gt;32.59&lt;/D&gt;&lt;D xsi:type="xsd:double"&gt;33.21&lt;/D&gt;&lt;D xsi:type="xsd:double"&gt;33.32&lt;/D&gt;&lt;D xsi:type="xsd:double"&gt;33.51&lt;/D&gt;&lt;D xsi:type="xsd:double"&gt;33.24&lt;/D&gt;&lt;D xsi:type="xsd:double"&gt;32.45&lt;/D&gt;&lt;D xsi:type="xsd:double"&gt;31.76&lt;/D&gt;&lt;D xsi:type="xsd:double"&gt;31.84&lt;/D&gt;&lt;D xsi:type="xsd:double"&gt;30.57&lt;/D&gt;&lt;D xsi:type="xsd:double"&gt;30.92&lt;/D&gt;&lt;D xsi:type="xsd:double"&gt;31.34&lt;/D&gt;&lt;D xsi:type="xsd:double"&gt;31.35&lt;/D&gt;&lt;D xsi:type="xsd:double"&gt;31.13&lt;/D&gt;&lt;D xsi:type="xsd:double"&gt;31.41&lt;/D&gt;&lt;D xsi:type="xsd:double"&gt;31.21&lt;/D&gt;&lt;D xsi:type="xsd:double"&gt;31.65&lt;/D&gt;&lt;D xsi:type="xsd:double"&gt;30.89&lt;/D&gt;&lt;D xsi:type="xsd:double"&gt;30.02&lt;/D&gt;&lt;D xsi:type="xsd:double"&gt;29.94&lt;/D&gt;&lt;D xsi:type="xsd:double"&gt;29.38&lt;/D&gt;&lt;D xsi:type="xsd:double"&gt;30.61&lt;/D&gt;&lt;D xsi:type="xsd:double"&gt;30.58&lt;/D&gt;&lt;D xsi:type="xsd:double"&gt;29.92&lt;/D&gt;&lt;D xsi:type="xsd:double"&gt;30.9&lt;/D&gt;&lt;D xsi:type="xsd:double"&gt;30.59&lt;/D&gt;&lt;D xsi:type="xsd:double"&gt;31.11&lt;/D&gt;&lt;D xsi:type="xsd:double"&gt;32.5&lt;/D&gt;&lt;D xsi:type="xsd:double"&gt;32.84&lt;/D&gt;&lt;D xsi:type="xsd:double"&gt;32.08&lt;/D&gt;&lt;D xsi:type="xsd:double"&gt;31.07&lt;/D&gt;&lt;D xsi:type="xsd:double"&gt;31.58&lt;/D&gt;&lt;D xsi:type="xsd:double"&gt;31.5&lt;/D&gt;&lt;D xsi:type="xsd:double"&gt;32.01&lt;/D&gt;&lt;D xsi:type="xsd:double"&gt;30.92&lt;/D&gt;&lt;D xsi:type="xsd:double"&gt;31.47&lt;/D&gt;&lt;D xsi:type="xsd:double"&gt;31.06&lt;/D&gt;&lt;D xsi:type="xsd:double"&gt;29.8&lt;/D&gt;&lt;D xsi:type="xsd:double"&gt;28.78&lt;/D&gt;&lt;D xsi:type="xsd:double"&gt;29.29&lt;/D&gt;&lt;D xsi:type="xsd:double"&gt;29.23&lt;/D&gt;&lt;D xsi:type="xsd:double"&gt;27.7&lt;/D&gt;&lt;D xsi:type="xsd:double"&gt;27.47&lt;/D&gt;&lt;D xsi:type="xsd:double"&gt;27.19&lt;/D&gt;&lt;D xsi:type="xsd:double"&gt;27.03&lt;/D&gt;&lt;D xsi:type="xsd:double"&gt;27.88&lt;/D&gt;&lt;D xsi:type="xsd:double"&gt;27.84&lt;/D&gt;&lt;D xsi:type="xsd:double"&gt;27.57&lt;/D&gt;&lt;D xsi:type="xsd:double"&gt;27.55&lt;/D&gt;&lt;D xsi:type="xsd:double"&gt;27.51&lt;/D&gt;&lt;D xsi:type="xsd:double"&gt;27.11&lt;/D&gt;&lt;D xsi:type="xsd:double"&gt;26.94&lt;/D&gt;&lt;D xsi:type="xsd:double"&gt;27.92&lt;/D&gt;&lt;D xsi:type="xsd:double"&gt;28.37&lt;/D&gt;&lt;D xsi:type="xsd:double"&gt;28.21&lt;/D&gt;&lt;D xsi:type="xsd:double"&gt;27.66&lt;/D&gt;&lt;D xsi:type="xsd:double"&gt;28.77&lt;/D&gt;&lt;D xsi:type="xsd:double"&gt;28.88&lt;/D&gt;&lt;D xsi:type="xsd:double"&gt;28.23&lt;/D&gt;&lt;D xsi:type="xsd:double"&gt;27.94&lt;/D&gt;&lt;D xsi:type="xsd:double"&gt;27.61&lt;/D&gt;&lt;D xsi:type="xsd:double"&gt;28.05&lt;/D&gt;&lt;D xsi:type="xsd:double"&gt;29&lt;/D&gt;&lt;D xsi:type="xsd:double"&gt;28.98&lt;/D&gt;&lt;D xsi:type="xsd:double"&gt;29.34&lt;/D&gt;&lt;D xsi:type="xsd:double"&gt;29.04&lt;/D&gt;&lt;D xsi:type="xsd:double"&gt;29.17&lt;/D&gt;&lt;D xsi:type="xsd:double"&gt;28.6&lt;/D&gt;&lt;D xsi:type="xsd:double"&gt;28.04&lt;/D&gt;&lt;D xsi:type="xsd:double"&gt;27.71&lt;/D&gt;&lt;D xsi:type="xsd:double"&gt;27.85&lt;/D&gt;&lt;D xsi:type="xsd:double"&gt;28.12&lt;/D&gt;&lt;D xsi:type="xsd:double"&gt;28.12&lt;/D&gt;&lt;D xsi:type="xsd:double"&gt;27.94&lt;/D&gt;&lt;D xsi:type="xsd:double"&gt;27.79&lt;/D&gt;&lt;D xsi:type="xsd:double"&gt;28.12&lt;/D&gt;&lt;D xsi:type="xsd:double"&gt;27.47&lt;/D&gt;&lt;D xsi:type="xsd:double"&gt;26.89&lt;/D&gt;&lt;D xsi:type="xsd:double"&gt;26.68&lt;/D&gt;&lt;D xsi:type="xsd:double"&gt;26.88&lt;/D&gt;&lt;D xsi:type="xsd:double"&gt;27.46&lt;/D&gt;&lt;D xsi:type="xsd:double"&gt;27.44&lt;/D&gt;&lt;D xsi:type="xsd:double"&gt;26.7&lt;/D&gt;&lt;D xsi:type="xsd:double"&gt;26.38&lt;/D&gt;&lt;D xsi:type="xsd:double"&gt;26.48&lt;/D&gt;&lt;D xsi:type="xsd:double"&gt;26.35&lt;/D&gt;&lt;D xsi:type="xsd:double"&gt;26.14&lt;/D&gt;&lt;D xsi:type="xsd:double"&gt;26.31&lt;/D&gt;&lt;D xsi:type="xsd:double"&gt;26.32&lt;/D&gt;&lt;D xsi:type="xsd:double"&gt;25.61&lt;/D&gt;&lt;D xsi:type="xsd:double"&gt;25.49&lt;/D&gt;&lt;D xsi:type="xsd:double"&gt;24.69&lt;/D&gt;&lt;D xsi:type="xsd:double"&gt;25.01&lt;/D&gt;&lt;D xsi:type="xsd:double"&gt;24.79&lt;/D&gt;&lt;D xsi:type="xsd:double"&gt;24.42&lt;/D&gt;&lt;D xsi:type="xsd:double"&gt;24.02&lt;/D&gt;&lt;D xsi:type="xsd:double"&gt;24.11&lt;/D&gt;&lt;D xsi:type="xsd:double"&gt;24.4&lt;/D&gt;&lt;D xsi:type="xsd:double"&gt;24.51&lt;/D&gt;&lt;D xsi:type="xsd:double"&gt;24.25&lt;/D&gt;&lt;D xsi:type="xsd:double"&gt;24.23&lt;/D&gt;&lt;D xsi:type="xsd:double"&gt;24.85&lt;/D&gt;&lt;D xsi:type="xsd:double"&gt;25.19&lt;/D&gt;&lt;D xsi:type="xsd:double"&gt;24.54&lt;/D&gt;&lt;D xsi:type="xsd:double"&gt;24.25&lt;/D&gt;&lt;D xsi:type="xsd:double"&gt;24.21&lt;/D&gt;&lt;D xsi:type="xsd:double"&gt;23.59&lt;/D&gt;&lt;D xsi:type="xsd:double"&gt;23.57&lt;/D&gt;&lt;D xsi:type="xsd:double"&gt;24.01&lt;/D&gt;&lt;D xsi:type="xsd:double"&gt;23.81&lt;/D&gt;&lt;D xsi:type="xsd:double"&gt;23.76&lt;/D&gt;&lt;D xsi:type="xsd:double"&gt;23.32&lt;/D&gt;&lt;D xsi:type="xsd:double"&gt;23.3&lt;/D&gt;&lt;D xsi:type="xsd:double"&gt;23.45&lt;/D&gt;&lt;D xsi:type="xsd:double"&gt;23.31&lt;/D&gt;&lt;D xsi:type="xsd:double"&gt;23.32&lt;/D&gt;&lt;D xsi:type="xsd:double"&gt;23.15&lt;/D&gt;&lt;D xsi:type="xsd:double"&gt;22.47&lt;/D&gt;&lt;D xsi:type="xsd:double"&gt;22.17&lt;/D&gt;&lt;D xsi:type="xsd:double"&gt;22.42&lt;/D&gt;&lt;D xsi:type="xsd:double"&gt;22.63&lt;/D&gt;&lt;D xsi:type="xsd:double"&gt;21.76&lt;/D&gt;&lt;D xsi:type="xsd:double"&gt;19.89&lt;/D&gt;&lt;D xsi:type="xsd:double"&gt;20.25&lt;/D&gt;&lt;D xsi:type="xsd:double"&gt;20.31&lt;/D&gt;&lt;D xsi:type="xsd:double"&gt;19.84&lt;/D&gt;&lt;D xsi:type="xsd:double"&gt;19.73&lt;/D&gt;&lt;D xsi:type="xsd:double"&gt;19.64&lt;/D&gt;&lt;D xsi:type="xsd:double"&gt;19.13&lt;/D&gt;&lt;D xsi:type="xsd:double"&gt;19.11&lt;/D&gt;&lt;D xsi:type="xsd:double"&gt;20.27&lt;/D&gt;&lt;D xsi:type="xsd:double"&gt;20.12&lt;/D&gt;&lt;D xsi:type="xsd:double"&gt;20.25&lt;/D&gt;&lt;D xsi:type="xsd:double"&gt;19.56&lt;/D&gt;&lt;D xsi:type="xsd:double"&gt;19.19&lt;/D&gt;&lt;D xsi:type="xsd:double"&gt;19.13&lt;/D&gt;&lt;D xsi:type="xsd:double"&gt;19.83&lt;/D&gt;&lt;D xsi:type="xsd:double"&gt;19.53&lt;/D&gt;&lt;D xsi:type="xsd:double"&gt;19.04&lt;/D&gt;&lt;D xsi:type="xsd:double"&gt;19.55&lt;/D&gt;&lt;D xsi:type="xsd:double"&gt;21.04&lt;/D&gt;&lt;D xsi:type="xsd:double"&gt;20.57&lt;/D&gt;&lt;D xsi:type="xsd:double"&gt;21.06&lt;/D&gt;&lt;D xsi:type="xsd:double"&gt;20.98&lt;/D&gt;&lt;D xsi:type="xsd:double"&gt;20.98&lt;/D&gt;&lt;D xsi:type="xsd:double"&gt;21.71&lt;/D&gt;&lt;D xsi:type="xsd:double"&gt;21.95&lt;/D&gt;&lt;D xsi:type="xsd:double"&gt;22.05&lt;/D&gt;&lt;D xsi:type="xsd:double"&gt;21.23&lt;/D&gt;&lt;D xsi:type="xsd:double"&gt;21.19&lt;/D&gt;&lt;D xsi:type="xsd:double"&gt;21.32&lt;/D&gt;&lt;D xsi:type="xsd:double"&gt;21.9&lt;/D&gt;&lt;D xsi:type="xsd:double"&gt;21.48&lt;/D&gt;&lt;D xsi:type="xsd:double"&gt;20.8&lt;/D&gt;&lt;D xsi:type="xsd:double"&gt;20.45&lt;/D&gt;&lt;D xsi:type="xsd:double"&gt;20.37&lt;/D&gt;&lt;D xsi:type="xsd:double"&gt;20.29&lt;/D&gt;&lt;D xsi:type="xsd:double"&gt;20.56&lt;/D&gt;&lt;D xsi:type="xsd:double"&gt;19.92&lt;/D&gt;&lt;D xsi:type="xsd:double"&gt;19.29&lt;/D&gt;&lt;D xsi:type="xsd:double"&gt;19.44&lt;/D&gt;&lt;D xsi:type="xsd:double"&gt;19.29&lt;/D&gt;&lt;D xsi:type="xsd:double"&gt;18.86&lt;/D&gt;&lt;D xsi:type="xsd:double"&gt;18.7&lt;/D&gt;&lt;D xsi:type="xsd:double"&gt;19.33&lt;/D&gt;&lt;D xsi:type="xsd:double"&gt;19.03&lt;/D&gt;&lt;D xsi:type="xsd:double"&gt;19&lt;/D&gt;&lt;D xsi:type="xsd:double"&gt;18.41&lt;/D&gt;&lt;D xsi:type="xsd:double"&gt;18.99&lt;/D&gt;&lt;D xsi:type="xsd:double"&gt;19.36&lt;/D&gt;&lt;D xsi:type="xsd:double"&gt;18.71&lt;/D&gt;&lt;D xsi:type="xsd:double"&gt;18.69&lt;/D&gt;&lt;D xsi:type="xsd:double"&gt;18.41&lt;/D&gt;&lt;D xsi:type="xsd:double"&gt;18.15&lt;/D&gt;&lt;D xsi:type="xsd:double"&gt;17.36&lt;/D&gt;&lt;D xsi:type="xsd:double"&gt;18.28&lt;/D&gt;&lt;D xsi:type="xsd:double"&gt;18.41&lt;/D&gt;&lt;D xsi:type="xsd:double"&gt;18.69&lt;/D&gt;&lt;D xsi:type="xsd:double"&gt;18.97&lt;/D&gt;&lt;D xsi:type="xsd:double"&gt;18.82&lt;/D&gt;&lt;D xsi:type="xsd:double"&gt;18.85&lt;/D&gt;&lt;D xsi:type="xsd:double"&gt;18.71&lt;/D&gt;&lt;D xsi:type="xsd:double"&gt;18.07&lt;/D&gt;&lt;D xsi:type="xsd:double"&gt;18.52&lt;/D&gt;&lt;D xsi:type="xsd:double"&gt;18.59&lt;/D&gt;&lt;D xsi:type="xsd:double"&gt;18.38&lt;/D&gt;&lt;D xsi:type="xsd:double"&gt;17.49&lt;/D&gt;&lt;D xsi:type="xsd:double"&gt;17.56&lt;/D&gt;&lt;D xsi:type="xsd:double"&gt;18.09&lt;/D&gt;&lt;D xsi:type="xsd:double"&gt;17.81&lt;/D&gt;&lt;D xsi:type="xsd:double"&gt;18.01&lt;/D&gt;&lt;D xsi:type="xsd:double"&gt;18.1&lt;/D&gt;&lt;D xsi:type="xsd:double"&gt;18.08&lt;/D&gt;&lt;D xsi:type="xsd:double"&gt;18.72&lt;/D&gt;&lt;D xsi:type="xsd:double"&gt;18.93&lt;/D&gt;&lt;D xsi:type="xsd:double"&gt;18.49&lt;/D&gt;&lt;D xsi:type="xsd:double"&gt;18.18&lt;/D&gt;&lt;D xsi:type="xsd:double"&gt;18.13&lt;/D&gt;&lt;D xsi:type="xsd:double"&gt;18.36&lt;/D&gt;&lt;D xsi:type="xsd:double"&gt;18.54&lt;/D&gt;&lt;D xsi:type="xsd:double"&gt;18.64&lt;/D&gt;&lt;D xsi:type="xsd:double"&gt;18.96&lt;/D&gt;&lt;D xsi:type="xsd:double"&gt;18.25&lt;/D&gt;&lt;D xsi:type="xsd:double"&gt;17.89&lt;/D&gt;&lt;D xsi:type="xsd:double"&gt;18.13&lt;/D&gt;&lt;D xsi:type="xsd:double"&gt;17.7&lt;/D&gt;&lt;D xsi:type="xsd:double"&gt;18.66&lt;/D&gt;&lt;D xsi:type="xsd:double"&gt;18.08&lt;/D&gt;&lt;D xsi:type="xsd:double"&gt;18.06&lt;/D&gt;&lt;D xsi:type="xsd:double"&gt;17.96&lt;/D&gt;&lt;D xsi:type="xsd:double"&gt;17.49&lt;/D&gt;&lt;D xsi:type="xsd:double"&gt;16.84&lt;/D&gt;&lt;D xsi:type="xsd:double"&gt;17.14&lt;/D&gt;&lt;D xsi:type="xsd:double"&gt;16.95&lt;/D&gt;&lt;D xsi:type="xsd:double"&gt;16.81&lt;/D&gt;&lt;D xsi:type="xsd:double"&gt;16.29&lt;/D&gt;&lt;D xsi:type="xsd:double"&gt;16.47&lt;/D&gt;&lt;D xsi:type="xsd:double"&gt;16.72&lt;/D&gt;&lt;D xsi:type="xsd:double"&gt;15.14&lt;/D&gt;&lt;D xsi:type="xsd:double"&gt;15.26&lt;/D&gt;&lt;D xsi:type="xsd:double"&gt;15.15&lt;/D&gt;&lt;D xsi:type="xsd:double"&gt;15.53&lt;/D&gt;&lt;D xsi:type="xsd:double"&gt;15.87&lt;/D&gt;&lt;D xsi:type="xsd:double"&gt;14.91&lt;/D&gt;&lt;D xsi:type="xsd:double"&gt;15.48&lt;/D&gt;&lt;D xsi:type="xsd:double"&gt;15.55&lt;/D&gt;&lt;D xsi:type="xsd:double"&gt;15.25&lt;/D&gt;&lt;D xsi:type="xsd:double"&gt;14.8&lt;/D&gt;&lt;D xsi:type="xsd:double"&gt;14.93&lt;/D&gt;&lt;D xsi:type="xsd:double"&gt;14.39&lt;/D&gt;&lt;D xsi:type="xsd:double"&gt;14.75&lt;/D&gt;&lt;D xsi:type="xsd:double"&gt;14.56&lt;/D&gt;&lt;D xsi:type="xsd:double"&gt;14.94&lt;/D&gt;&lt;D xsi:type="xsd:double"&gt;16.25&lt;/D&gt;&lt;D xsi:type="xsd:double"&gt;16.51&lt;/D&gt;&lt;D xsi:type="xsd:double"&gt;16.59&lt;/D&gt;&lt;D xsi:type="xsd:double"&gt;16.55&lt;/D&gt;&lt;D xsi:type="xsd:double"&gt;16.31&lt;/D&gt;&lt;D xsi:type="xsd:double"&gt;16.71&lt;/D&gt;&lt;D xsi:type="xsd:double"&gt;16.84&lt;/D&gt;&lt;D xsi:type="xsd:double"&gt;17.07&lt;/D&gt;&lt;D xsi:type="xsd:double"&gt;16.54&lt;/D&gt;&lt;D xsi:type="xsd:double"&gt;16.27&lt;/D&gt;&lt;D xsi:type="xsd:double"&gt;16&lt;/D&gt;&lt;D xsi:type="xsd:double"&gt;16.28&lt;/D&gt;&lt;D xsi:type="xsd:double"&gt;16.36&lt;/D&gt;&lt;D xsi:type="xsd:double"&gt;16.03&lt;/D&gt;&lt;D xsi:type="xsd:double"&gt;16.23&lt;/D&gt;&lt;D xsi:type="xsd:double"&gt;16.24&lt;/D&gt;&lt;D xsi:type="xsd:double"&gt;15.9&lt;/D&gt;&lt;D xsi:type="xsd:double"&gt;15.67&lt;/D&gt;&lt;D xsi:type="xsd:double"&gt;15.86&lt;/D&gt;&lt;D xsi:type="xsd:double"&gt;15.65&lt;/D&gt;&lt;D xsi:type="xsd:double"&gt;14.82&lt;/D&gt;&lt;D xsi:type="xsd:double"&gt;14.27&lt;/D&gt;&lt;D xsi:type="xsd:double"&gt;14.27&lt;/D&gt;&lt;D xsi:type="xsd:double"&gt;13.9&lt;/D&gt;&lt;D xsi:type="xsd:double"&gt;14.02&lt;/D&gt;&lt;D xsi:type="xsd:double"&gt;13.75&lt;/D&gt;&lt;D xsi:type="xsd:double"&gt;13.56&lt;/D&gt;&lt;D xsi:type="xsd:double"&gt;13.82&lt;/D&gt;&lt;D xsi:type="xsd:double"&gt;14.3&lt;/D&gt;&lt;D xsi:type="xsd:double"&gt;14.45&lt;/D&gt;&lt;D xsi:type="xsd:double"&gt;14.24&lt;/D&gt;&lt;D xsi:type="xsd:double"&gt;14.78&lt;/D&gt;&lt;D xsi:type="xsd:double"&gt;14.5&lt;/D&gt;&lt;D xsi:type="xsd:double"&gt;14.69&lt;/D&gt;&lt;D xsi:type="xsd:double"&gt;14.62&lt;/D&gt;&lt;D xsi:type="xsd:double"&gt;14.86&lt;/D&gt;&lt;D xsi:type="xsd:double"&gt;14.47&lt;/D&gt;&lt;D xsi:type="xsd:double"&gt;13.93&lt;/D&gt;&lt;D xsi:type="xsd:double"&gt;13.86&lt;/D&gt;&lt;D xsi:type="xsd:double"&gt;13.82&lt;/D&gt;&lt;D xsi:type="xsd:double"&gt;13.89&lt;/D&gt;&lt;D xsi:type="xsd:double"&gt;13.84&lt;/D&gt;&lt;D xsi:type="xsd:double"&gt;13.68&lt;/D&gt;&lt;D xsi:type="xsd:double"&gt;13.94&lt;/D&gt;&lt;D xsi:type="xsd:double"&gt;14.17&lt;/D&gt;&lt;D xsi:type="xsd:double"&gt;13.93&lt;/D&gt;&lt;D xsi:type="xsd:double"&gt;13.78&lt;/D&gt;&lt;D xsi:type="xsd:double"&gt;14.01&lt;/D&gt;&lt;D xsi:type="xsd:double"&gt;13.61&lt;/D&gt;&lt;D xsi:type="xsd:double"&gt;13.83&lt;/D&gt;&lt;D xsi:type="xsd:double"&gt;13.92&lt;/D&gt;&lt;D xsi:type="xsd:double"&gt;13.63&lt;/D&gt;&lt;D xsi:type="xsd:double"&gt;13.44&lt;/D&gt;&lt;D xsi:type="xsd:double"&gt;13.35&lt;/D&gt;&lt;D xsi:type="xsd:double"&gt;13.3&lt;/D&gt;&lt;D xsi:type="xsd:double"&gt;13.11&lt;/D&gt;&lt;D xsi:type="xsd:double"&gt;12.98&lt;/D&gt;&lt;D xsi:type="xsd:double"&gt;12.99&lt;/D&gt;&lt;D xsi:type="xsd:double"&gt;12.98&lt;/D&gt;&lt;D xsi:type="xsd:double"&gt;12.58&lt;/D&gt;&lt;D xsi:type="xsd:double"&gt;12.23&lt;/D&gt;&lt;D xsi:type="xsd:double"&gt;11.87&lt;/D&gt;&lt;D xsi:type="xsd:double"&gt;11.5&lt;/D&gt;&lt;D xsi:type="xsd:double"&gt;11.57&lt;/D&gt;&lt;D xsi:type="xsd:double"&gt;11.65&lt;/D&gt;&lt;D xsi:type="xsd:double"&gt;11.78&lt;/D&gt;&lt;D xsi:type="xsd:double"&gt;11.86&lt;/D&gt;&lt;D xsi:type="xsd:double"&gt;11.94&lt;/D&gt;&lt;D xsi:type="xsd:double"&gt;11.83&lt;/D&gt;&lt;D xsi:type="xsd:double"&gt;11.53&lt;/D&gt;&lt;D xsi:type="xsd:double"&gt;11.23&lt;/D&gt;&lt;D xsi:type="xsd:double"&gt;11.22&lt;/D&gt;&lt;D xsi:type="xsd:double"&gt;11.29&lt;/D&gt;&lt;D xsi:type="xsd:double"&gt;10.72&lt;/D&gt;&lt;D xsi:type="xsd:double"&gt;10.66&lt;/D&gt;&lt;D xsi:type="xsd:double"&gt;10.14&lt;/D&gt;&lt;D xsi:type="xsd:double"&gt;10.11&lt;/D&gt;&lt;D xsi:type="xsd:double"&gt;10.02&lt;/D&gt;&lt;D xsi:type="xsd:double"&gt;9.71&lt;/D&gt;&lt;D xsi:type="xsd:double"&gt;9.73&lt;/D&gt;&lt;D xsi:type="xsd:double"&gt;9.62&lt;/D&gt;&lt;D xsi:type="xsd:double"&gt;10&lt;/D&gt;&lt;D xsi:type="xsd:double"&gt;10.05&lt;/D&gt;&lt;D xsi:type="xsd:double"&gt;10&lt;/D&gt;&lt;D xsi:type="xsd:double"&gt;9.82&lt;/D&gt;&lt;D xsi:type="xsd:double"&gt;9.8&lt;/D&gt;&lt;D xsi:type="xsd:double"&gt;9.84&lt;/D&gt;&lt;D xsi:type="xsd:double"&gt;9.72&lt;/D&gt;&lt;D xsi:type="xsd:double"&gt;9.68&lt;/D&gt;&lt;D xsi:type="xsd:double"&gt;9.55&lt;/D&gt;&lt;D xsi:type="xsd:double"&gt;9.33&lt;/D&gt;&lt;D xsi:type="xsd:double"&gt;9.49&lt;/D&gt;&lt;D xsi:type="xsd:double"&gt;9.56&lt;/D&gt;&lt;D xsi:type="xsd:double"&gt;10.21</t>
        </r>
      </text>
    </comment>
    <comment ref="A9" authorId="0" shapeId="0" xr:uid="{5F627859-303F-487D-8907-E3211B68F72B}">
      <text>
        <r>
          <rPr>
            <b/>
            <sz val="9"/>
            <color indexed="81"/>
            <rFont val="Tahoma"/>
            <charset val="1"/>
          </rPr>
          <t>&lt;/D&gt;&lt;D xsi:type="xsd:double"&gt;10.3&lt;/D&gt;&lt;D xsi:type="xsd:double"&gt;10.19&lt;/D&gt;&lt;D xsi:type="xsd:double"&gt;10.29&lt;/D&gt;&lt;D xsi:type="xsd:double"&gt;9.94&lt;/D&gt;&lt;D xsi:type="xsd:double"&gt;10.04&lt;/D&gt;&lt;D xsi:type="xsd:double"&gt;9.77&lt;/D&gt;&lt;D xsi:type="xsd:double"&gt;9.7&lt;/D&gt;&lt;D xsi:type="xsd:double"&gt;9.7&lt;/D&gt;&lt;D xsi:type="xsd:double"&gt;9.63&lt;/D&gt;&lt;D xsi:type="xsd:double"&gt;9.64&lt;/D&gt;&lt;D xsi:type="xsd:double"&gt;9.64&lt;/D&gt;&lt;D xsi:type="xsd:double"&gt;10.04&lt;/D&gt;&lt;D xsi:type="xsd:double"&gt;10.15&lt;/D&gt;&lt;D xsi:type="xsd:double"&gt;10.14&lt;/D&gt;&lt;D xsi:type="xsd:double"&gt;10&lt;/D&gt;&lt;D xsi:type="xsd:double"&gt;10.21&lt;/D&gt;&lt;D xsi:type="xsd:double"&gt;10.19&lt;/D&gt;&lt;D xsi:type="xsd:double"&gt;9.99&lt;/D&gt;&lt;D xsi:type="xsd:double"&gt;10.11&lt;/D&gt;&lt;D xsi:type="xsd:double"&gt;10.02&lt;/D&gt;&lt;D xsi:type="xsd:double"&gt;9.75&lt;/D&gt;&lt;D xsi:type="xsd:double"&gt;9.84&lt;/D&gt;&lt;D xsi:type="xsd:double"&gt;9.89&lt;/D&gt;&lt;D xsi:type="xsd:double"&gt;10.13&lt;/D&gt;&lt;D xsi:type="xsd:double"&gt;10.28&lt;/D&gt;&lt;D xsi:type="xsd:double"&gt;10.14&lt;/D&gt;&lt;D xsi:type="xsd:double"&gt;10.16&lt;/D&gt;&lt;D xsi:type="xsd:double"&gt;9.77&lt;/D&gt;&lt;D xsi:type="xsd:double"&gt;9.47&lt;/D&gt;&lt;D xsi:type="xsd:double"&gt;9.16&lt;/D&gt;&lt;D xsi:type="xsd:double"&gt;9.23&lt;/D&gt;&lt;D xsi:type="xsd:double"&gt;9.16&lt;/D&gt;&lt;D xsi:type="xsd:double"&gt;9.02&lt;/D&gt;&lt;D xsi:type="xsd:double"&gt;9.13&lt;/D&gt;&lt;D xsi:type="xsd:double"&gt;9.065&lt;/D&gt;&lt;D xsi:type="xsd:double"&gt;9.15&lt;/D&gt;&lt;D xsi:type="xsd:double"&gt;9.37&lt;/D&gt;&lt;D xsi:type="xsd:double"&gt;8.96&lt;/D&gt;&lt;D xsi:type="xsd:double"&gt;9.23&lt;/D&gt;&lt;D xsi:type="xsd:double"&gt;9.27&lt;/D&gt;&lt;D xsi:type="xsd:double"&gt;9.45&lt;/D&gt;&lt;D xsi:type="xsd:double"&gt;9.5&lt;/D&gt;&lt;D xsi:type="xsd:double"&gt;9.28&lt;/D&gt;&lt;D xsi:type="xsd:double"&gt;9.38&lt;/D&gt;&lt;D xsi:type="xsd:double"&gt;9.28&lt;/D&gt;&lt;D xsi:type="xsd:double"&gt;9.2&lt;/D&gt;&lt;D xsi:type="xsd:double"&gt;8.88&lt;/D&gt;&lt;D xsi:type="xsd:double"&gt;8.56&lt;/D&gt;&lt;D xsi:type="xsd:double"&gt;8.65&lt;/D&gt;&lt;D xsi:type="xsd:double"&gt;8.55&lt;/D&gt;&lt;D xsi:type="xsd:double"&gt;8.61&lt;/D&gt;&lt;D xsi:type="xsd:double"&gt;8.7&lt;/D&gt;&lt;D xsi:type="xsd:double"&gt;9.06&lt;/D&gt;&lt;D xsi:type="xsd:double"&gt;9.11&lt;/D&gt;&lt;D xsi:type="xsd:double"&gt;9.15&lt;/D&gt;&lt;D xsi:type="xsd:double"&gt;9.53&lt;/D&gt;&lt;D xsi:type="xsd:double"&gt;9.71&lt;/D&gt;&lt;D xsi:type="xsd:double"&gt;9.46&lt;/D&gt;&lt;D xsi:type="xsd:double"&gt;9.13&lt;/D&gt;&lt;D xsi:type="xsd:double"&gt;9.03&lt;/D&gt;&lt;D xsi:type="xsd:double"&gt;9.26&lt;/D&gt;&lt;D xsi:type="xsd:double"&gt;9.28&lt;/D&gt;&lt;D xsi:type="xsd:double"&gt;9.26&lt;/D&gt;&lt;D xsi:type="xsd:double"&gt;9.06&lt;/D&gt;&lt;D xsi:type="xsd:double"&gt;9.07&lt;/D&gt;&lt;D xsi:type="xsd:double"&gt;9.39&lt;/D&gt;&lt;D xsi:type="xsd:double"&gt;9.32&lt;/D&gt;&lt;D xsi:type="xsd:double"&gt;9.37&lt;/D&gt;&lt;D xsi:type="xsd:double"&gt;9.29&lt;/D&gt;&lt;D xsi:type="xsd:double"&gt;9.23&lt;/D&gt;&lt;D xsi:type="xsd:double"&gt;9.48&lt;/D&gt;&lt;D xsi:type="xsd:double"&gt;9.65&lt;/D&gt;&lt;D xsi:type="xsd:double"&gt;9.47&lt;/D&gt;&lt;D xsi:type="xsd:double"&gt;9.42&lt;/D&gt;&lt;D xsi:type="xsd:double"&gt;9.41&lt;/D&gt;&lt;D xsi:type="xsd:double"&gt;9.47&lt;/D&gt;&lt;D xsi:type="xsd:double"&gt;9.33&lt;/D&gt;&lt;D xsi:type="xsd:double"&gt;9.66&lt;/D&gt;&lt;D xsi:type="xsd:double"&gt;9.94&lt;/D&gt;&lt;D xsi:type="xsd:double"&gt;10&lt;/D&gt;&lt;D xsi:type="xsd:double"&gt;10.23&lt;/D&gt;&lt;D xsi:type="xsd:double"&gt;10.8&lt;/D&gt;&lt;D xsi:type="xsd:double"&gt;10.97&lt;/D&gt;&lt;D xsi:type="xsd:double"&gt;10.82&lt;/D&gt;&lt;D xsi:type="xsd:double"&gt;10.75&lt;/D&gt;&lt;D xsi:type="xsd:double"&gt;11.09&lt;/D&gt;&lt;D xsi:type="xsd:double"&gt;10.72&lt;/D&gt;&lt;D xsi:type="xsd:double"&gt;10.91&lt;/D&gt;&lt;D xsi:type="xsd:double"&gt;11&lt;/D&gt;&lt;D xsi:type="xsd:double"&gt;10.63&lt;/D&gt;&lt;D xsi:type="xsd:double"&gt;10.76&lt;/D&gt;&lt;D xsi:type="xsd:double"&gt;11.12&lt;/D&gt;&lt;D xsi:type="xsd:double"&gt;10.95&lt;/D&gt;&lt;D xsi:type="xsd:double"&gt;11.16&lt;/D&gt;&lt;D xsi:type="xsd:double"&gt;11.07&lt;/D&gt;&lt;D xsi:type="xsd:double"&gt;11.14&lt;/D&gt;&lt;D xsi:type="xsd:double"&gt;10.52&lt;/D&gt;&lt;D xsi:type="xsd:double"&gt;11.04&lt;/D&gt;&lt;D xsi:type="xsd:double"&gt;11.23&lt;/D&gt;&lt;D xsi:type="xsd:double"&gt;11.21&lt;/D&gt;&lt;D xsi:type="xsd:double"&gt;10.91&lt;/D&gt;&lt;D xsi:type="xsd:double"&gt;10.63&lt;/D&gt;&lt;D xsi:type="xsd:double"&gt;10.26&lt;/D&gt;&lt;D xsi:type="xsd:double"&gt;10.45&lt;/D&gt;&lt;D xsi:type="xsd:double"&gt;10.29&lt;/D&gt;&lt;D xsi:type="xsd:double"&gt;10.04&lt;/D&gt;&lt;D xsi:type="xsd:double"&gt;10.17&lt;/D&gt;&lt;D xsi:type="xsd:double"&gt;10.38&lt;/D&gt;&lt;D xsi:type="xsd:double"&gt;10.28&lt;/D&gt;&lt;D xsi:type="xsd:double"&gt;10.61&lt;/D&gt;&lt;D xsi:type="xsd:double"&gt;10.58&lt;/D&gt;&lt;D xsi:type="xsd:double"&gt;10.18&lt;/D&gt;&lt;D xsi:type="xsd:double"&gt;11.51&lt;/D&gt;&lt;D xsi:type="xsd:double"&gt;12.1&lt;/D&gt;&lt;D xsi:type="xsd:double"&gt;11.75&lt;/D&gt;&lt;D xsi:type="xsd:double"&gt;11.8&lt;/D&gt;&lt;D xsi:type="xsd:double"&gt;11.37&lt;/D&gt;&lt;D xsi:type="xsd:double"&gt;11.27&lt;/D&gt;&lt;D xsi:type="xsd:double"&gt;10.74&lt;/D&gt;&lt;D xsi:type="xsd:double"&gt;10.54&lt;/D&gt;&lt;D xsi:type="xsd:double"&gt;10.58&lt;/D&gt;&lt;D xsi:type="xsd:double"&gt;10.14&lt;/D&gt;&lt;D xsi:type="xsd:double"&gt;10.41&lt;/D&gt;&lt;D xsi:type="xsd:double"&gt;11.39&lt;/D&gt;&lt;D xsi:type="xsd:double"&gt;11.17&lt;/D&gt;&lt;D xsi:type="xsd:double"&gt;11.43&lt;/D&gt;&lt;D xsi:type="xsd:double"&gt;11.37&lt;/D&gt;&lt;D xsi:type="xsd:double"&gt;11.03&lt;/D&gt;&lt;D xsi:type="xsd:double"&gt;10.91&lt;/D&gt;&lt;D xsi:type="xsd:double"&gt;11.17&lt;/D&gt;&lt;D xsi:type="xsd:double"&gt;11.17&lt;/D&gt;&lt;D xsi:type="xsd:double"&gt;11&lt;/D&gt;&lt;D xsi:type="xsd:double"&gt;10.96&lt;/D&gt;&lt;D xsi:type="xsd:double"&gt;10.87&lt;/D&gt;&lt;D xsi:type="xsd:double"&gt;11.05&lt;/D&gt;&lt;D xsi:type="xsd:double"&gt;10.96&lt;/D&gt;&lt;D xsi:type="xsd:double"&gt;10.82&lt;/D&gt;&lt;D xsi:type="xsd:double"&gt;10.4&lt;/D&gt;&lt;D xsi:type="xsd:double"&gt;10.48&lt;/D&gt;&lt;D xsi:type="xsd:double"&gt;10.48&lt;/D&gt;&lt;D xsi:type="xsd:double"&gt;10.39&lt;/D&gt;&lt;D xsi:type="xsd:double"&gt;10.75&lt;/D&gt;&lt;D xsi:type="xsd:double"&gt;10.82&lt;/D&gt;&lt;D xsi:type="xsd:double"&gt;10.53&lt;/D&gt;&lt;D xsi:type="xsd:double"&gt;10.44&lt;/D&gt;&lt;D xsi:type="xsd:double"&gt;10.25&lt;/D&gt;&lt;D xsi:type="xsd:double"&gt;10.13&lt;/D&gt;&lt;D xsi:type="xsd:double"&gt;10.26&lt;/D&gt;&lt;D xsi:type="xsd:double"&gt;9.91&lt;/D&gt;&lt;D xsi:type="xsd:double"&gt;9.81&lt;/D&gt;&lt;D xsi:type="xsd:double"&gt;10.29&lt;/D&gt;&lt;D xsi:type="xsd:double"&gt;10.37&lt;/D&gt;&lt;D xsi:type="xsd:double"&gt;10.48&lt;/D&gt;&lt;D xsi:type="xsd:double"&gt;10.32&lt;/D&gt;&lt;D xsi:type="xsd:double"&gt;10.01&lt;/D&gt;&lt;D xsi:type="xsd:double"&gt;9.915&lt;/D&gt;&lt;D xsi:type="xsd:double"&gt;10.07&lt;/D&gt;&lt;D xsi:type="xsd:double"&gt;10&lt;/D&gt;&lt;D xsi:type="xsd:double"&gt;9.81&lt;/D&gt;&lt;D xsi:type="xsd:double"&gt;9.88&lt;/D&gt;&lt;D xsi:type="xsd:double"&gt;9.62&lt;/D&gt;&lt;D xsi:type="xsd:double"&gt;9.53&lt;/D&gt;&lt;D xsi:type="xsd:double"&gt;9.74&lt;/D&gt;&lt;D xsi:type="xsd:double"&gt;9.53&lt;/D&gt;&lt;D xsi:type="xsd:double"&gt;9.31&lt;/D&gt;&lt;D xsi:type="xsd:double"&gt;9.21&lt;/D&gt;&lt;D xsi:type="xsd:double"&gt;9.63&lt;/D&gt;&lt;D xsi:type="xsd:double"&gt;9.3&lt;/D&gt;&lt;D xsi:type="xsd:double"&gt;9.31&lt;/D&gt;&lt;D xsi:type="xsd:double"&gt;9.19&lt;/D&gt;&lt;D xsi:type="xsd:double"&gt;9.37&lt;/D&gt;&lt;D xsi:type="xsd:double"&gt;9.47&lt;/D&gt;&lt;D xsi:type="xsd:double"&gt;9.37&lt;/D&gt;&lt;D xsi:type="xsd:double"&gt;9.36&lt;/D&gt;&lt;D xsi:type="xsd:double"&gt;9.67&lt;/D&gt;&lt;D xsi:type="xsd:double"&gt;9.77&lt;/D&gt;&lt;D xsi:type="xsd:double"&gt;9.64&lt;/D&gt;&lt;D xsi:type="xsd:double"&gt;9.81&lt;/D&gt;&lt;D xsi:type="xsd:double"&gt;9.9&lt;/D&gt;&lt;D xsi:type="xsd:double"&gt;9.66&lt;/D&gt;&lt;D xsi:type="xsd:double"&gt;9.53&lt;/D&gt;&lt;D xsi:type="xsd:double"&gt;9.69&lt;/D&gt;&lt;D xsi:type="xsd:double"&gt;9.93&lt;/D&gt;&lt;D xsi:type="xsd:double"&gt;10.05&lt;/D&gt;&lt;D xsi:type="xsd:double"&gt;10.83&lt;/D&gt;&lt;D xsi:type="xsd:double"&gt;10.93&lt;/D&gt;&lt;D xsi:type="xsd:double"&gt;10.83&lt;/D&gt;&lt;D xsi:type="xsd:double"&gt;10.94&lt;/D&gt;&lt;D xsi:type="xsd:double"&gt;11.15&lt;/D&gt;&lt;D xsi:type="xsd:double"&gt;10.89&lt;/D&gt;&lt;D xsi:type="xsd:double"&gt;11.12&lt;/D&gt;&lt;D xsi:type="xsd:double"&gt;10.99&lt;/D&gt;&lt;D xsi:type="xsd:double"&gt;10.97&lt;/D&gt;&lt;D xsi:type="xsd:double"&gt;10.99&lt;/D&gt;&lt;D xsi:type="xsd:double"&gt;11.3&lt;/D&gt;&lt;D xsi:type="xsd:double"&gt;11.1&lt;/D&gt;&lt;D xsi:type="xsd:double"&gt;10.9&lt;/D&gt;&lt;D xsi:type="xsd:double"&gt;10.55&lt;/D&gt;&lt;D xsi:type="xsd:double"&gt;10.77&lt;/D&gt;&lt;D xsi:type="xsd:double"&gt;10.39&lt;/D&gt;&lt;D xsi:type="xsd:double"&gt;10.17&lt;/D&gt;&lt;D xsi:type="xsd:double"&gt;9.96&lt;/D&gt;&lt;D xsi:type="xsd:double"&gt;9.38&lt;/D&gt;&lt;D xsi:type="xsd:double"&gt;9.29&lt;/D&gt;&lt;D xsi:type="xsd:double"&gt;9.41&lt;/D&gt;&lt;D xsi:type="xsd:double"&gt;9.33&lt;/D&gt;&lt;D xsi:type="xsd:double"&gt;8.92&lt;/D&gt;&lt;D xsi:type="xsd:double"&gt;8.73&lt;/D&gt;&lt;D xsi:type="xsd:double"&gt;8.85&lt;/D&gt;&lt;D xsi:type="xsd:double"&gt;8.87&lt;/D&gt;&lt;D xsi:type="xsd:double"&gt;8.61&lt;/D&gt;&lt;D xsi:type="xsd:double"&gt;8.27&lt;/D&gt;&lt;D xsi:type="xsd:double"&gt;8.28&lt;/D&gt;&lt;D xsi:type="xsd:double"&gt;8.32&lt;/D&gt;&lt;D xsi:type="xsd:double"&gt;8.33&lt;/D&gt;&lt;D xsi:type="xsd:double"&gt;8.01&lt;/D&gt;&lt;D xsi:type="xsd:double"&gt;8.04&lt;/D&gt;&lt;D xsi:type="xsd:double"&gt;8.09&lt;/D&gt;&lt;D xsi:type="xsd:double"&gt;8.09&lt;/D&gt;&lt;D xsi:type="xsd:double"&gt;8.12&lt;/D&gt;&lt;D xsi:type="xsd:double"&gt;8.18&lt;/D&gt;&lt;D xsi:type="xsd:double"&gt;8.33&lt;/D&gt;&lt;D xsi:type="xsd:double"&gt;8.36&lt;/D&gt;&lt;D xsi:type="xsd:double"&gt;8.47&lt;/D&gt;&lt;D xsi:type="xsd:double"&gt;8.63&lt;/D&gt;&lt;D xsi:type="xsd:double"&gt;8.51&lt;/D&gt;&lt;D xsi:type="xsd:double"&gt;9.02&lt;/D&gt;&lt;D xsi:type="xsd:double"&gt;8.59&lt;/D&gt;&lt;D xsi:type="xsd:double"&gt;8.15&lt;/D&gt;&lt;D xsi:type="xsd:double"&gt;7.99&lt;/D&gt;&lt;D xsi:type="xsd:double"&gt;8.5&lt;/D&gt;&lt;D xsi:type="xsd:double"&gt;8.5&lt;/D&gt;&lt;D xsi:type="xsd:double"&gt;8.18&lt;/D&gt;&lt;D xsi:type="xsd:double"&gt;8.56&lt;/D&gt;&lt;D xsi:type="xsd:double"&gt;8.47&lt;/D&gt;&lt;D xsi:type="xsd:double"&gt;8.61&lt;/D&gt;&lt;D xsi:type="xsd:double"&gt;8.41&lt;/D&gt;&lt;D xsi:type="xsd:double"&gt;8.52&lt;/D&gt;&lt;D xsi:type="xsd:double"&gt;8.12&lt;/D&gt;&lt;D xsi:type="xsd:double"&gt;7.8&lt;/D&gt;&lt;D xsi:type="xsd:double"&gt;7.43&lt;/D&gt;&lt;D xsi:type="xsd:double"&gt;7.12&lt;/D&gt;&lt;D xsi:type="xsd:double"&gt;7.12&lt;/D&gt;&lt;/FQL&gt;&lt;FQL&gt;&lt;Q&gt;SP50^FG_PRICE(NOW,-5AY)&lt;/Q&gt;&lt;R&gt;1261&lt;/R&gt;&lt;C&gt;1&lt;/C&gt;&lt;D xsi:type="xsd:double"&gt;4594.62&lt;/D&gt;&lt;D xsi:type="xsd:double"&gt;4701.46&lt;/D&gt;&lt;D xsi:type="xsd:double"&gt;4690.7&lt;/D&gt;&lt;D xsi:type="xsd:double"&gt;4682.94&lt;/D&gt;&lt;D xsi:type="xsd:double"&gt;4697.96&lt;/D&gt;&lt;D xsi:type="xsd:double"&gt;4704.54&lt;/D&gt;&lt;D xsi:type="xsd:double"&gt;4688.67&lt;/D&gt;&lt;D xsi:type="xsd:double"&gt;4700.9&lt;/D&gt;&lt;D xsi:type="xsd:double"&gt;4682.8&lt;/D&gt;&lt;D xsi:type="xsd:double"&gt;4682.85&lt;/D&gt;&lt;D xsi:type="xsd:double"&gt;4649.27&lt;/D&gt;&lt;D xsi:type="xsd:double"&gt;4646.71&lt;/D&gt;&lt;D xsi:type="xsd:double"&gt;4685.25&lt;/D&gt;&lt;D xsi:type="xsd:double"&gt;4701.7&lt;/D&gt;&lt;D xsi:type="xsd:double"&gt;4697.53&lt;/D&gt;&lt;D xsi:type="xsd:double"&gt;4680.06&lt;/D&gt;&lt;D xsi:type="xsd:double"&gt;4660.57&lt;/D&gt;&lt;D xsi:type="xsd:double"&gt;4630.65&lt;/D&gt;&lt;D xsi:type="xsd:double"&gt;4613.67&lt;/D&gt;&lt;D xsi:type="xsd:double"&gt;4605.38&lt;/D&gt;&lt;D xsi:type="xsd:double"&gt;4596.42&lt;/D&gt;&lt;D xsi:type="xsd:double"&gt;4551.68&lt;/D&gt;&lt;D xsi:type="xsd:double"&gt;4574.79&lt;/D&gt;&lt;D xsi:type="xsd:double"&gt;4566.48&lt;/D&gt;&lt;D xsi:type="xsd:double"&gt;4544.9&lt;/D&gt;&lt;D xsi:type="xsd:double"&gt;4549.78&lt;/D&gt;&lt;D xsi:type="xsd:double"&gt;4536.19&lt;/D&gt;&lt;D xsi:type="xsd:double"&gt;4519.63&lt;/D&gt;&lt;D xsi:type="xsd:double"&gt;4486.46&lt;/D&gt;&lt;D xsi:type="xsd:double"&gt;4471.37&lt;/D&gt;&lt;D xsi:type="xsd:double"&gt;4438.26&lt;/D&gt;&lt;D xsi:type="xsd:double"&gt;4363.8&lt;/D&gt;&lt;D xsi:type="xsd:double"&gt;4350.65&lt;/D&gt;&lt;D xsi:type="xsd:double"&gt;4361.19&lt;/D&gt;&lt;D xsi:type="xsd:double"&gt;4391.34&lt;/D&gt;&lt;D xsi:type="xsd:double"&gt;4399.76&lt;/D&gt;&lt;D xsi:type="xsd:double"&gt;4363.55&lt;/D&gt;&lt;D xsi:type="xsd:double"&gt;4345.72&lt;/D&gt;&lt;D xsi:type="xsd:double"&gt;4300.46&lt;/D&gt;&lt;D xsi:type="xsd:double"&gt;4357.04&lt;/D&gt;&lt;D xsi:type="xsd:double"&gt;4307.54&lt;/D&gt;&lt;D xsi:type="xsd:double"&gt;4359.461&lt;/D&gt;&lt;D xsi:type="xsd:double"&gt;4352.63&lt;/D&gt;&lt;D xsi:type="xsd:double"&gt;4443.11&lt;/D&gt;&lt;D xsi:type="xsd:double"&gt;4455.48&lt;/D&gt;&lt;D xsi:type="xsd:double"&gt;4448.98&lt;/D&gt;&lt;D xsi:type="xsd:double"&gt;4395.64&lt;/D&gt;&lt;D xsi:type="xsd:double"&gt;4354.19&lt;/D&gt;&lt;D xsi:type="xsd:double"&gt;4357.73&lt;/D&gt;&lt;D xsi:type="xsd:double"&gt;4432.99&lt;/D&gt;&lt;D xsi:type="xsd:double"&gt;4473.75&lt;/D&gt;&lt;D xsi:type="xsd:double"&gt;4480.7&lt;/D&gt;&lt;D xsi:type="xsd:double"&gt;4443.05&lt;/D&gt;&lt;D xsi:type="xsd:double"&gt;4468.73&lt;/D&gt;&lt;D xsi:type="xsd:double"&gt;4458.58&lt;/D&gt;&lt;D xsi:type="xsd:double"&gt;4493.28&lt;/D&gt;&lt;D xsi:type="xsd:double"&gt;4514.07&lt;/D&gt;&lt;D xsi:type="xsd:double"&gt;4520.03&lt;/D&gt;&lt;D xsi:type="xsd:double"&gt;4535.43&lt;/D&gt;&lt;D xsi:type="xsd:double"&gt;4536.95&lt;/D&gt;&lt;D xsi:type="xsd:double"&gt;4524.09&lt;/D&gt;&lt;D xsi:type="xsd:double"&gt;4522.68&lt;/D&gt;&lt;D xsi:type="xsd:double"&gt;4528.79&lt;/D&gt;&lt;D xsi:type="xsd:double"&gt;4509.37&lt;/D&gt;&lt;D xsi:type="xsd:double"&gt;4470&lt;/D&gt;&lt;D xsi:type="xsd:double"&gt;4496.19&lt;/D&gt;&lt;D xsi:type="xsd:double"&gt;4486.23&lt;/D&gt;&lt;D xsi:type="xsd:double"&gt;4479.53&lt;/D&gt;&lt;D xsi:type="xsd:double"&gt;4441.67&lt;/D&gt;&lt;D xsi:type="xsd:double"&gt;4405.8&lt;/D&gt;&lt;D xsi:type="xsd:double"&gt;4400.27&lt;/D&gt;&lt;D xsi:type="xsd:double"&gt;4448.08&lt;/D&gt;&lt;D xsi:type="xsd:double"&gt;4479.71&lt;/D&gt;&lt;D xsi:type="xsd:double"&gt;4468&lt;/D&gt;&lt;D xsi:type="xsd:double"&gt;4460.83&lt;/D&gt;&lt;D xsi:type="xsd:double"&gt;4447.7&lt;/D&gt;&lt;D xsi:type="xsd:double"&gt;4436.75&lt;/D&gt;&lt;D xsi:type="xsd:double"&gt;4432.35&lt;/D&gt;&lt;D xsi:type="xsd:double"&gt;4436.52&lt;/D&gt;&lt;D xsi:type="xsd:double"&gt;4429.1&lt;/D&gt;&lt;D xsi:type="xsd:double"&gt;4402.66&lt;/D&gt;&lt;D xsi:type="xsd:double"&gt;4423.15&lt;/D&gt;&lt;D xsi:type="xsd:double"&gt;4387.16&lt;/D&gt;&lt;D xsi:type="xsd:double"&gt;4395.26&lt;/D&gt;&lt;D xsi:type="xsd:double"&gt;4419.15&lt;/D&gt;&lt;D xsi:type="xsd:double"&gt;4400.64&lt;/D&gt;&lt;D xsi:type="xsd:double"&gt;4401.46&lt;/D&gt;&lt;D xsi:type="xsd:double"&gt;4422.3&lt;/D&gt;&lt;D xsi:type="xsd:double"&gt;4411.79&lt;/D&gt;&lt;D xsi:type="xsd:double"&gt;4367.48&lt;/D&gt;&lt;D xsi:type="xsd:double"&gt;4358.69&lt;/D&gt;&lt;D xsi:type="xsd:double"&gt;4323.06&lt;/D&gt;&lt;D xsi:type="xsd:double"&gt;4258.49&lt;/D&gt;&lt;D xsi:type="xsd:double"&gt;4327.16&lt;/D&gt;&lt;D xsi:type="xsd:double"&gt;4360.03&lt;/D&gt;&lt;D xsi:type="xsd:double"&gt;4374.3&lt;/D&gt;&lt;D xsi:type="xsd:double"&gt;4369.21&lt;/D&gt;&lt;D xsi:type="xsd:double"&gt;4384.63&lt;/D&gt;&lt;D xsi:type="xsd:double"&gt;4369.55&lt;/D&gt;&lt;D xsi:type="xsd:double"&gt;4320.82&lt;/D&gt;&lt;D xsi:type="xsd:double"&gt;4358.13&lt;/D&gt;&lt;D xsi:type="xsd:double"&gt;4343.54&lt;/D&gt;&lt;D xsi:type="xsd:double"&gt;4352.34&lt;/D&gt;&lt;D xsi:type="xsd:double"&gt;4319.94&lt;/D&gt;&lt;D xsi:type="xsd:double"&gt;4297.5&lt;/D&gt;&lt;D xsi:type="xsd:double"&gt;4291.8&lt;/D&gt;&lt;D xsi:type="xsd:double"&gt;4290.61&lt;/D&gt;&lt;D xsi:type="xsd:double"&gt;4280.7&lt;/D&gt;&lt;D xsi:type="xsd:double"&gt;4266.49&lt;/D&gt;&lt;D xsi:type="xsd:double"&gt;4241.84&lt;/D&gt;&lt;D xsi:type="xsd:double"&gt;4246.44&lt;/D&gt;&lt;D xsi:type="xsd:double"&gt;4224.79&lt;/D&gt;&lt;D xsi:type="xsd:double"&gt;4166.45&lt;/D&gt;&lt;D xsi:type="xsd:double"&gt;4221.86&lt;/D&gt;&lt;D xsi:type="xsd:double"&gt;4223.7&lt;/D&gt;&lt;D xsi:type="xsd:double"&gt;4246.59&lt;/D&gt;&lt;D xsi:type="xsd:double"&gt;4255.15&lt;/D&gt;&lt;D xsi:type="xsd:double"&gt;4247.44&lt;/D&gt;&lt;D xsi:type="xsd:double"&gt;4239.18&lt;/D&gt;&lt;D xsi:type="xsd:double"&gt;4219.55&lt;/D&gt;&lt;D xsi:type="xsd:double"&gt;4227.26&lt;/D&gt;&lt;D xsi:type="xsd:double"&gt;4226.52&lt;/D&gt;&lt;D xsi:type="xsd:double"&gt;4229.89&lt;/D&gt;&lt;D xsi:type="xsd:double"&gt;4192.85&lt;/D&gt;&lt;D xsi:type="xsd:double"&gt;4208.12&lt;/D&gt;&lt;D xsi:type="xsd:double"&gt;4202.04&lt;/D&gt;&lt;D xsi:type="xsd:double"&gt;4204.11&lt;/D&gt;&lt;D xsi:type="xsd:double"&gt;4200.88&lt;/D&gt;&lt;D xsi:type="xsd:double"&gt;4195.99&lt;/D&gt;&lt;D xsi:type="xsd:double"&gt;4188.13&lt;/D&gt;&lt;D xsi:type="xsd:double"&gt;4197.05&lt;/D&gt;&lt;D xsi:type="xsd:double"&gt;4155.86&lt;/D&gt;&lt;D xsi:type="xsd:double"&gt;4159.12&lt;/D&gt;&lt;D xsi:type="xsd:double"&gt;4115.68&lt;/D&gt;&lt;D xsi:type="xsd:double"&gt;4127.83&lt;/D&gt;&lt;D xsi:type="xsd:double"&gt;4163.29&lt;/D&gt;&lt;D xsi:type="xsd:double"&gt;4173.85&lt;/D&gt;&lt;D xsi:type="xsd:double"&gt;4112.5&lt;/D&gt;&lt;D xsi:type="xsd:double"&gt;4063.04&lt;/D&gt;&lt;D xsi:type="xsd:double"&gt;4152.1&lt;/D&gt;&lt;D xsi:type="xsd:double"&gt;4188.43&lt;/D&gt;&lt;D xsi:type="xsd:double"&gt;4232.6&lt;/D&gt;&lt;D xsi:type="xsd:double"&gt;4201.62&lt;/D&gt;&lt;D xsi:type="xsd:double"&gt;4167.59&lt;/D&gt;&lt;D xsi:type="xsd:double"&gt;4164.66&lt;/D&gt;&lt;D xsi:type="xsd:double"&gt;4192.66&lt;/D&gt;&lt;D xsi:type="xsd:double"&gt;4181.17&lt;/D&gt;&lt;D xsi:type="xsd:double"&gt;4211.47&lt;/D&gt;&lt;D xsi:type="xsd:double"&gt;4183.18&lt;/D&gt;&lt;D xsi:type="xsd:double"&gt;4186.72&lt;/D&gt;&lt;D xsi:type="xsd:double"&gt;4187.62&lt;/D&gt;&lt;D xsi:type="xsd:double"&gt;4180.17&lt;/D&gt;&lt;D xsi:type="xsd:double"&gt;4134.98&lt;/D&gt;&lt;D xsi:type="xsd:double"&gt;4173.42&lt;/D&gt;&lt;D xsi:type="xsd:double"&gt;4134.94&lt;/D&gt;&lt;D xsi:type="xsd:double"&gt;4163.26&lt;/D&gt;&lt;D xsi:type="xsd:double"&gt;4185.47&lt;/D&gt;&lt;D xsi:type="xsd:double"&gt;4170.42&lt;/D&gt;&lt;D xsi:type="xsd:double"&gt;4124.66&lt;/D&gt;&lt;D xsi:type="xsd:double"&gt;4141.59&lt;/D&gt;&lt;D xsi:type="xsd:double"&gt;4127.99&lt;/D&gt;&lt;D xsi:type="xsd:double"&gt;4128.8&lt;/D&gt;&lt;D xsi:type="xsd:double"&gt;4097.17&lt;/D&gt;&lt;D xsi:type="xsd:double"&gt;4079.95&lt;/D&gt;&lt;D xsi:type="xsd:double"&gt;4073.94&lt;/D&gt;&lt;D xsi:type="xsd:double"&gt;4077.91&lt;/D&gt;&lt;D xsi:type="xsd:double"&gt;4019.87&lt;/D&gt;&lt;D xsi:type="xsd:double"&gt;3972.89&lt;/D&gt;&lt;D xsi:type="xsd:double"&gt;3958.55&lt;/D&gt;&lt;D xsi:type="xsd:double"&gt;3971.09&lt;/D&gt;&lt;D xsi:type="xsd:double"&gt;3974.54&lt;/D&gt;&lt;D xsi:type="xsd:double"&gt;3909.52&lt;/D&gt;&lt;D xsi:type="xsd:double"&gt;3889.14&lt;/D&gt;&lt;D xsi:type="xsd:double"&gt;3910.52&lt;/D&gt;&lt;D xsi:type="xsd:double"&gt;3940.59&lt;/D&gt;&lt;D xsi:type="xsd:double"&gt;3913.1&lt;/D&gt;&lt;D xsi:type="xsd:double"&gt;3915.46&lt;/D&gt;&lt;D xsi:type="xsd:double"&gt;3974.12&lt;/D&gt;&lt;D xsi:type="xsd:double"&gt;3962.71&lt;/D&gt;&lt;D xsi:type="xsd:double"&gt;3968.94&lt;/D&gt;&lt;D xsi:type="xsd:double"&gt;3943.34&lt;/D&gt;&lt;D xsi:type="xsd:double"&gt;3939.34&lt;/D&gt;&lt;D xsi:type="xsd:double"&gt;3898.81&lt;/D&gt;&lt;D xsi:type="xsd:double"&gt;3875.44&lt;/D&gt;&lt;D xsi:type="xsd:double"&gt;3821.35&lt;/D&gt;&lt;D xsi:type="xsd:double"&gt;3841.94&lt;/D&gt;&lt;D xsi:type="xsd:double"&gt;3768.47&lt;/D&gt;&lt;D xsi:type="xsd:double"&gt;3819.72&lt;/D&gt;&lt;D xsi:type="xsd:double"&gt;3870.29&lt;/D&gt;&lt;D xsi:type="xsd:double"&gt;3901.82&lt;/D&gt;&lt;D xsi:type="xsd:double"&gt;3811.15&lt;/D&gt;&lt;D xsi:type="xsd:double"&gt;3829.34&lt;/D&gt;&lt;D xsi:type="xsd:double"&gt;3925.43&lt;/D&gt;&lt;D xsi:type="xsd:double"&gt;3881.37&lt;/D&gt;&lt;D xsi:type="xsd:double"&gt;3876.5&lt;/D&gt;&lt;D xsi:type="xsd:double"&gt;3906.71&lt;/D&gt;&lt;D xsi:type="xsd:double"&gt;3913.97&lt;/D&gt;&lt;D xsi:type="xsd:double"&gt;3931.33&lt;/D&gt;&lt;D xsi:type="xsd:double"&gt;3932.59&lt;/D&gt;&lt;D xsi:type="xsd:double"&gt;3934.83&lt;/D&gt;&lt;D xsi:type="xsd:double"&gt;3916.38&lt;/D&gt;&lt;D xsi:type="xsd:double"&gt;3909.88&lt;/D&gt;&lt;D xsi:type="xsd:double"&gt;3911.23&lt;/D&gt;&lt;D xsi:type="xsd:double"&gt;3915.59&lt;/D&gt;&lt;D xsi:type="xsd:double"&gt;3886.83&lt;/D&gt;&lt;D xsi:type="xsd:double"&gt;3871.74&lt;/D&gt;&lt;D xsi:type="xsd:double"&gt;3830.17&lt;/D&gt;&lt;D xsi:type="xsd:double"&gt;3826.31&lt;/D&gt;&lt;D xsi:type="xsd:double"&gt;3773.86&lt;/D&gt;&lt;D xsi:type="xsd:double"&gt;3714.24&lt;/D&gt;&lt;D xsi:type="xsd:double"&gt;3787.38&lt;/D&gt;&lt;D xsi:type="xsd:double"&gt;3750.77&lt;/D&gt;&lt;D xsi:type="xsd:double"&gt;3849.62&lt;/D&gt;&lt;D xsi:type="xsd:double"&gt;3855.36&lt;/D&gt;&lt;D xsi:type="xsd:double"&gt;3841.47&lt;/D&gt;&lt;D xsi:type="xsd:double"&gt;3853.07&lt;/D&gt;&lt;D xsi:type="xsd:double"&gt;3851.85&lt;/D&gt;&lt;D xsi:type="xsd:double"&gt;3798.91&lt;/D&gt;&lt;D xsi:type="xsd:double"&gt;3768.25&lt;/D&gt;&lt;D xsi:type="xsd:double"&gt;3795.54&lt;/D&gt;&lt;D xsi:type="xsd:double"&gt;3809.84&lt;/D&gt;&lt;D xsi:type="xsd:double"&gt;3801.19&lt;/D&gt;&lt;D xsi:type="xsd:double"&gt;3799.61&lt;/D&gt;&lt;D xsi:type="xsd:double"&gt;3824.68&lt;/D&gt;&lt;D xsi:type="xsd:double"&gt;3803.79&lt;/D&gt;&lt;D xsi:type="xsd:double"&gt;3748.14&lt;/D&gt;&lt;D xsi:type="xsd:double"&gt;3726.86&lt;/D&gt;&lt;D xsi:type="xsd:double"&gt;3700.65&lt;/D&gt;&lt;D xsi:type="xsd:double"&gt;3756.07&lt;/D&gt;&lt;D xsi:type="xsd:double"&gt;3732.04&lt;/D&gt;&lt;D xsi:type="xsd:double"&gt;3727.04&lt;/D&gt;&lt;D xsi:type="xsd:double"&gt;3735.36&lt;/D&gt;&lt;D xsi:type="xsd:double"&gt;3703.06&lt;/D&gt;&lt;D xsi:type="xsd:double"&gt;3690.01&lt;/D&gt;&lt;D xsi:type="xsd:double"&gt;3687.26&lt;/D&gt;&lt;D xsi:type="xsd:double"&gt;3694.92&lt;/D&gt;&lt;D xsi:type="xsd:double"&gt;3709.41&lt;/D&gt;&lt;D xsi:type="xsd:double"&gt;3722.48&lt;/D&gt;&lt;D xsi:type="xsd:double"&gt;3701.17&lt;/D&gt;&lt;D xsi:type="xsd:double"&gt;3694.62&lt;/D&gt;&lt;D xsi:type="xsd:double"&gt;3647.49&lt;/D&gt;&lt;D xsi:type="xsd:double"&gt;3663.46&lt;/D&gt;&lt;D xsi:type="xsd:double"&gt;3668.1&lt;/D&gt;&lt;D xsi:type="xsd:double"&gt;3672.82&lt;/D&gt;&lt;D xsi:type="xsd:double"&gt;3702.25&lt;/D&gt;&lt;D xsi:type="xsd:double"&gt;3691.96&lt;/D&gt;&lt;D xsi:type="xsd:double"&gt;3699.12&lt;/D&gt;&lt;D xsi:type="xsd:double"&gt;3666.72&lt;/D&gt;&lt;D xsi:type="xsd:double"&gt;3669.01&lt;/D&gt;&lt;D xsi:type="xsd:double"&gt;3662.45&lt;/D&gt;&lt;D xsi:type="xsd:double"&gt;3621.63&lt;/D&gt;&lt;D xsi:type="xsd:double"&gt;3638.35&lt;/D&gt;&lt;D xsi:type="xsd:double"&gt;3629.65&lt;/D&gt;&lt;D xsi:type="xsd:double"&gt;3635.41&lt;/D&gt;&lt;D xsi:type="xsd:double"&gt;3577.59&lt;/D&gt;&lt;D xsi:type="xsd:double"&gt;3557.54&lt;/D&gt;&lt;D xsi:type="xsd:double"&gt;3581.87&lt;/D&gt;&lt;D xsi:type="xsd:double"&gt;3567.79&lt;/D&gt;&lt;D xsi:type="xsd:double"&gt;3609.53&lt;/D&gt;&lt;D xsi:type="xsd:double"&gt;3626.91&lt;/D&gt;&lt;D xsi:type="xsd:double"&gt;3585.15&lt;/D&gt;&lt;D xsi:type="xsd:double"&gt;3537.01&lt;/D&gt;&lt;D xsi:type="xsd:double"&gt;3572.66&lt;/D&gt;&lt;D xsi:type="xsd:double"&gt;3545.53&lt;/D&gt;&lt;D xsi:type="xsd:double"&gt;3550.5&lt;/D&gt;&lt;D xsi:type="xsd:double"&gt;3509.44&lt;/D&gt;&lt;D xsi:type="xsd:double"&gt;3510.45&lt;/D&gt;&lt;D xsi:type="xsd:double"&gt;3443.44&lt;/D&gt;&lt;D xsi:type="xsd:double"&gt;3369.1567&lt;/D&gt;&lt;D xsi:type="xsd:double"&gt;3310.24&lt;/D&gt;&lt;D xsi:type="xsd:double"&gt;3269.96&lt;/D&gt;&lt;D xsi:type="xsd:double"&gt;3310.11&lt;/D&gt;&lt;D xsi:type="xsd:double"&gt;3271.03&lt;/D&gt;&lt;D xsi:type="xsd:double"&gt;3390.68&lt;/D&gt;&lt;D xsi:type="xsd:double"&gt;3400.97&lt;/D&gt;&lt;D xsi:type="xsd:double"&gt;3465.39&lt;/D&gt;&lt;D xsi:type="xsd:double"&gt;3453.49&lt;/D&gt;&lt;D xsi:type="xsd:double"&gt;3435.56&lt;/D&gt;&lt;D xsi:type="xsd:double"&gt;3443.12&lt;/D&gt;&lt;D xsi:type="xsd:double"&gt;3426.92&lt;/D&gt;&lt;D xsi:type="xsd:double"&gt;3483.81&lt;/D&gt;&lt;D xsi:type="xsd:double"&gt;3483.34&lt;/D&gt;&lt;D xsi:type="xsd:double"&gt;3488.67&lt;/D&gt;&lt;D xsi:type="xsd:double"&gt;3511.93&lt;/D&gt;&lt;D xsi:type="xsd:double"&gt;3534.22&lt;/D&gt;&lt;D xsi:type="xsd:double"&gt;3477.13&lt;/D&gt;&lt;D xsi:type="xsd:double"&gt;3446.83&lt;/D&gt;&lt;D xsi:type="xsd:double"&gt;3419.45&lt;/D&gt;&lt;D xsi:type="xsd:double"&gt;3360.95&lt;/D&gt;&lt;D xsi:type="xsd:double"&gt;3408.63&lt;/D&gt;&lt;D xsi:type="xsd:double"&gt;3348.44&lt;/D&gt;&lt;D xsi:type="xsd:double"&gt;3380.8&lt;/D&gt;&lt;D xsi:type="xsd:double"&gt;3363&lt;/D&gt;&lt;D xsi:type="xsd:double"&gt;3335.47&lt;/D&gt;&lt;D xsi:type="xsd:double"&gt;3351.6&lt;/D&gt;&lt;D xsi:type="xsd:double"&gt;3298.46&lt;/D&gt;&lt;D xsi:type="xsd:double"&gt;3246.59&lt;/D&gt;&lt;D xsi:type="xsd:double"&gt;3236.92&lt;/D&gt;&lt;D xsi:type="xsd:double"&gt;3315.57&lt;/D&gt;&lt;D xsi:type="xsd:double"&gt;3281.06&lt;/D&gt;&lt;D xsi:type="xsd:double"&gt;3319.47&lt;/D&gt;&lt;D xsi:type="xsd:double"&gt;3357.01&lt;/D&gt;&lt;D xsi:type="xsd:double"&gt;3385.49&lt;/D&gt;&lt;D xsi:type="xsd:double"&gt;3401.2&lt;/D&gt;&lt;D xsi:type="xsd:double"&gt;3383.54&lt;/D&gt;&lt;D xsi:type="xsd:double"&gt;3340.97&lt;/D&gt;&lt;D xsi:type="xsd:double"&gt;3339.19&lt;/D&gt;&lt;D xsi:type="xsd:double"&gt;3398.96&lt;/D&gt;&lt;D xsi:type="xsd:double"&gt;3331.84&lt;/D&gt;&lt;D xsi:type="xsd:double"&gt;3426.96&lt;/D&gt;&lt;D xsi:type="xsd:double"&gt;3455.06&lt;/D&gt;&lt;D xsi:type="xsd:double"&gt;3580.84&lt;/D&gt;&lt;D xsi:type="xsd:double"&gt;3526.65&lt;/D&gt;&lt;D xsi:type="xsd:double"&gt;3500.31&lt;/D&gt;&lt;D xsi:type="xsd:double"&gt;3508.01&lt;/D&gt;&lt;D xsi:type="xsd:double"&gt;3484.55&lt;/D&gt;&lt;D xsi:type="xsd:double"&gt;3478.73&lt;/D&gt;&lt;D xsi:type="xsd:double"&gt;3443.62&lt;/D&gt;&lt;D xsi:type="xsd:double"&gt;3431.28&lt;/D&gt;&lt;D xsi:type="xsd:double"&gt;3397.16&lt;/D&gt;&lt;D xsi:type="xsd:double"&gt;3385.51&lt;/D&gt;&lt;D xsi:type="xsd:double"&gt;3374.85&lt;/D&gt;&lt;D xsi:type="xsd:double"&gt;3389.78&lt;/D&gt;&lt;D xsi:type="xsd:double"&gt;3381.99&lt;/D&gt;&lt;D xsi:type="xsd:double"&gt;3372.85&lt;/D&gt;&lt;D xsi:type="xsd:double"&gt;3373.43&lt;/D&gt;&lt;D xsi:type="xsd:double"&gt;3380.35&lt;/D&gt;&lt;D xsi:type="xsd:double"&gt;3333.69&lt;/D&gt;&lt;D xsi:type="xsd:double"&gt;3360.47&lt;/D&gt;&lt;D xsi:type="xsd:double"&gt;3351.28&lt;/D&gt;&lt;D xsi:type="xsd:double"&gt;3349.16&lt;/D&gt;&lt;D xsi:type="xsd:double"&gt;3327.77&lt;/D&gt;&lt;D xsi:type="xsd:double"&gt;3306.51&lt;/D&gt;&lt;D xsi:type="xsd:double"&gt;3294.61&lt;/D&gt;&lt;D xsi:type="xsd:double"&gt;3271.12&lt;/D&gt;&lt;D xsi:type="xsd:double"&gt;3246.22&lt;/D&gt;&lt;D xsi:type="xsd:double"&gt;3258.44&lt;/D&gt;&lt;D xsi:type="xsd:double"&gt;3218.44&lt;/D&gt;&lt;D xsi:type="xsd:double"&gt;3239.41&lt;/D&gt;&lt;D xsi:type="xsd:double"&gt;3215.63&lt;/D&gt;&lt;D xsi:type="xsd:double"&gt;3235.66&lt;/D&gt;&lt;D xsi:type="xsd:double"&gt;3276.02&lt;/D&gt;&lt;D xsi:type="xsd:double"&gt;3257.3&lt;/D&gt;&lt;D xsi:type="xsd:double"&gt;3251.84&lt;/D&gt;&lt;D xsi:type="xsd:double"&gt;3224.73&lt;/D&gt;&lt;D xsi:type="xsd:double"&gt;3215.57&lt;/D&gt;&lt;D xsi:type="xsd:double"&gt;3226.56&lt;/D&gt;&lt;D xsi:type="xsd:double"&gt;3197.52&lt;/D&gt;&lt;D xsi:type="xsd:double"&gt;3155.22&lt;/D&gt;&lt;D xsi:type="xsd:double"&gt;3185.04&lt;/D&gt;&lt;D xsi:type="xsd:double"&gt;3152.05&lt;/D&gt;&lt;D xsi:type="xsd:double"&gt;3169.94&lt;/D&gt;&lt;D xsi:type="xsd:double"&gt;3145.32&lt;/D&gt;&lt;D xsi:type="xsd:double"&gt;3179.72&lt;/D&gt;&lt;D xsi:type="xsd:double"&gt;3130.01&lt;/D&gt;&lt;D xsi:type="xsd:double"&gt;3115.86&lt;/D&gt;&lt;D xsi:type="xsd:double"&gt;3100.29&lt;/D&gt;&lt;D xsi:type="xsd:double"&gt;3053.24&lt;/D&gt;&lt;D xsi:type="xsd:double"&gt;3009.05&lt;/D&gt;&lt;D xsi:type="xsd:double"&gt;3083.76&lt;/D&gt;&lt;D xsi:type="xsd:double"&gt;3050.33&lt;/D&gt;&lt;D xsi:type="xsd:double"&gt;3131.29&lt;/D&gt;&lt;D xsi:type="xsd:double"&gt;3117.86&lt;/D&gt;&lt;D xsi:type="xsd:double"&gt;3097.74&lt;/D&gt;&lt;D xsi:type="xsd:double"&gt;3115.34&lt;/D&gt;&lt;D xsi:type="xsd:double"&gt;3113.49&lt;/D&gt;&lt;D xsi:type="xsd:double"&gt;3124.74&lt;/D&gt;&lt;D xsi:type="xsd:double"&gt;3066.59&lt;/D&gt;&lt;D xsi:type="xsd:double"&gt;3041.31&lt;/D&gt;&lt;D xsi:type="xsd:double"&gt;3002.1&lt;/D&gt;&lt;D xsi:type="xsd:double"&gt;3190.14&lt;/D&gt;&lt;D xsi:type="xsd:double"&gt;3207.18&lt;/D&gt;&lt;D xsi:type="xsd:double"&gt;3232.39&lt;/D&gt;&lt;D xsi:type="xsd:double"&gt;3193.93&lt;/D&gt;&lt;D xsi:type="xsd:double"&gt;3112.35&lt;/D&gt;&lt;D xsi:type="xsd:double"&gt;3122.87&lt;/D&gt;&lt;D xsi:type="xsd:double"&gt;3080.82&lt;/D&gt;&lt;D xsi:type="xsd:double"&gt;3055.73&lt;/D&gt;&lt;D xsi:type="xsd:double"&gt;3044.31&lt;/D&gt;&lt;D xsi:type="xsd:double"&gt;3029.73&lt;/D&gt;&lt;D xsi:type="xsd:double"&gt;3036.13&lt;/D&gt;&lt;D xsi:type="xsd:double"&gt;2991.77&lt;/D&gt;&lt;D xsi:type="xsd:double"&gt;2955.45&lt;/D&gt;&lt;D xsi:type="xsd:double"&gt;2948.51&lt;/D&gt;&lt;D xsi:type="xsd:double"&gt;2971.61&lt;/D&gt;&lt;D xsi:type="xsd:double"&gt;2922.94&lt;/D&gt;&lt;D xsi:type="xsd:double"&gt;2953.91&lt;/D&gt;&lt;D xsi:type="xsd:double"&gt;2863.7&lt;/D&gt;&lt;D xsi:type="xsd:double"&gt;2852.5&lt;/D&gt;&lt;D xsi:type="xsd:double"&gt;2820&lt;/D&gt;&lt;D xsi:type="xsd:double"&gt;2870.12&lt;/D&gt;&lt;D xsi:type="xsd:double"&gt;2930.32&lt;/D&gt;&lt;D xsi:type="xsd:double"&gt;2929.8&lt;/D&gt;&lt;D xsi:type="xsd:double"&gt;2881.19&lt;/D&gt;&lt;D xsi:type="xsd:double"&gt;2848.42&lt;/D&gt;&lt;D xsi:type="xsd:double"&gt;2868.44&lt;/D&gt;&lt;D xsi:type="xsd:double"&gt;2842.74&lt;/D&gt;&lt;D xsi:type="xsd:double"&gt;2830.71&lt;/D&gt;&lt;D xsi:type="xsd:double"&gt;2912.43&lt;/D&gt;&lt;D xsi:type="xsd:double"&gt;2939.51&lt;/D&gt;&lt;D xsi:type="xsd:double"&gt;2863.39&lt;/D&gt;&lt;D xsi:type="xsd:double"&gt;2878.48&lt;/D&gt;&lt;D xsi:type="xsd:double"&gt;2836.74&lt;/D&gt;&lt;D xsi:type="xsd:double"&gt;2797.8&lt;/D&gt;&lt;D xsi:type="xsd:double"&gt;2799.31&lt;/D&gt;&lt;D xsi:type="xsd:double"&gt;2736.56&lt;/D&gt;&lt;D xsi:type="xsd:double"&gt;2823.16&lt;/D&gt;&lt;D xsi:type="xsd:double"&gt;2874.56&lt;/D&gt;&lt;D xsi:type="xsd:double"&gt;2799.55&lt;/D&gt;&lt;D xsi:type="xsd:double"&gt;2783.36&lt;/D&gt;&lt;D xsi:type="xsd:double"&gt;2846.06&lt;/D&gt;&lt;D xsi:type="xsd:double"&gt;2761.63&lt;/D&gt;&lt;D xsi:type="xsd:double"&gt;2789.82&lt;/D&gt;&lt;D xsi:type="xsd:double"&gt;2749.98&lt;/D&gt;&lt;D xsi:type="xsd:double"&gt;2659.41&lt;/D&gt;&lt;D xsi:type="xsd:double"&gt;2663.68&lt;/D&gt;&lt;D xsi:type="xsd:double"&gt;2488.65&lt;/D&gt;&lt;D xsi:type="xsd:double"&gt;2526.9&lt;/D&gt;&lt;D xsi:type="xsd:double"&gt;2470.5&lt;/D&gt;&lt;D xsi:type="xsd:double"&gt;2584.59&lt;/D&gt;&lt;D xsi:type="xsd:double"&gt;2626.65&lt;/D&gt;&lt;D xsi:type="xsd:double"&gt;2541.47&lt;/D&gt;&lt;D xsi:type="xsd:double"&gt;2630.07&lt;/D&gt;&lt;D xsi:type="xsd:double"&gt;2475.56&lt;/D&gt;&lt;D xsi:type="xsd:double"&gt;2447.33&lt;/D&gt;&lt;D xsi:type="xsd:double"&gt;2237.4&lt;/D&gt;&lt;D xsi:type="xsd:double"&gt;2304.92&lt;/D&gt;&lt;D xsi:type="xsd:double"&gt;2409.39&lt;/D&gt;&lt;D xsi:type="xsd:double"&gt;2398.1&lt;/D&gt;&lt;D xsi:type="xsd:double"&gt;2529.19&lt;/D&gt;&lt;D xsi:type="xsd:double"&gt;2386.13&lt;/D&gt;&lt;D xsi:type="xsd:double"&gt;2711.02&lt;/D&gt;&lt;D xsi:type="xsd:double"&gt;2480.64&lt;/D&gt;&lt;D xsi:type="xsd:double"&gt;2741.38&lt;/D&gt;&lt;D xsi:type="xsd:double"&gt;2882.23&lt;/D&gt;&lt;D xsi:type="xsd:double"&gt;2746.56&lt;/D&gt;&lt;D xsi:type="xsd:double"&gt;2972.37&lt;/D&gt;&lt;D xsi:type="xsd:double"&gt;3023.94&lt;/D&gt;&lt;D xsi:type="xsd:double"&gt;3130.12&lt;/D&gt;&lt;D xsi:type="xsd:double"&gt;3003.37&lt;/D&gt;&lt;D xsi:type="xsd:double"&gt;3090.23&lt;/D&gt;&lt;D xsi:type="xsd:double"&gt;2954.22&lt;/D&gt;&lt;D xsi:type="xsd:double"&gt;2978.76&lt;/D&gt;&lt;D xsi:type="xsd:double"&gt;3116.39&lt;/D&gt;&lt;D xsi:type="xsd:double"&gt;3128.21&lt;/D&gt;&lt;D xsi:type="xsd:double"&gt;3225.89&lt;/D&gt;&lt;D xsi:type="xsd:double"&gt;3337.75&lt;/D&gt;&lt;D xsi:type="xsd:double"&gt;3373.23&lt;/D&gt;&lt;D xsi:type="xsd:double"&gt;3386.15&lt;/D&gt;&lt;D xsi:type="xsd:double"&gt;3370.29&lt;/D&gt;&lt;D xsi:type="xsd:double"&gt;3380.16&lt;/D&gt;&lt;D xsi:type="xsd:double"&gt;3373.94&lt;/D&gt;&lt;D xsi:type="xsd:double"&gt;3379.45&lt;/D&gt;&lt;D xsi:type="xsd:double"&gt;3357.75&lt;/D&gt;&lt;D xsi:type="xsd:double"&gt;3352.09&lt;/D&gt;&lt;D xsi:type="xsd:double"&gt;3327.71&lt;/D&gt;&lt;D xsi:type="xsd:double"&gt;3345.78&lt;/D&gt;&lt;D xsi:type="xsd:double"&gt;3334.69&lt;/D&gt;&lt;D xsi:type="xsd:double"&gt;3297.59&lt;/D&gt;&lt;D xsi:type="xsd:double"&gt;3248.92&lt;/D&gt;&lt;D xsi:type="xsd:double"&gt;3225.52&lt;/D&gt;&lt;D xsi:type="xsd:double"&gt;3283.66&lt;/D&gt;&lt;D xsi:type="xsd:double"&gt;3273.4&lt;/D&gt;&lt;D xsi:type="xsd:double"&gt;3276.24&lt;/D&gt;&lt;D xsi:type="xsd:double"&gt;3243.63&lt;/D&gt;&lt;D xsi:type="xsd:double"&gt;3295.47&lt;/D&gt;&lt;D xsi:type="xsd:double"&gt;3325.54&lt;/D&gt;&lt;D xsi:type="xsd:double"&gt;3321.75&lt;/D&gt;&lt;D xsi:type="xsd:double"&gt;3320.79&lt;/D&gt;&lt;D xsi:type="xsd:double"&gt;3329.62&lt;/D&gt;&lt;D xsi:type="xsd:double"&gt;3316.81&lt;/D&gt;&lt;D xsi:type="xsd:double"&gt;3289.29&lt;/D&gt;&lt;D xsi:type="xsd:double"&gt;3283.15&lt;/D&gt;&lt;D xsi:type="xsd:double"&gt;3288.13&lt;/D&gt;&lt;D xsi:type="xsd:double"&gt;3265.35&lt;/D&gt;&lt;D xsi:type="xsd:double"&gt;3274.7&lt;/D&gt;&lt;D xsi:type="xsd:double"&gt;3253.05&lt;/D&gt;&lt;D xsi:type="xsd:double"&gt;3237.18&lt;/D&gt;&lt;D xsi:type="xsd:double"&gt;3246.28&lt;/D&gt;&lt;D xsi:type="xsd:double"&gt;3234.85&lt;/D&gt;&lt;D xsi:type="xsd:double"&gt;3257.85&lt;/D&gt;&lt;D xsi:type="xsd:double"&gt;3230.78&lt;/D&gt;&lt;D xsi:type="xsd:double"&gt;3221.29&lt;/D&gt;&lt;D xsi:type="xsd:double"&gt;3240.02&lt;/D&gt;&lt;D xsi:type="xsd:double"&gt;3239.91&lt;/D&gt;&lt;D xsi:type="xsd:double"&gt;3223.38&lt;/D&gt;&lt;D xsi:type="xsd:double"&gt;3224.01&lt;/D&gt;&lt;D xsi:type="xsd:double"&gt;3221.22&lt;/D&gt;&lt;D xsi:type="xsd:double"&gt;3205.37&lt;/D&gt;&lt;D xsi:type="xsd:double"&gt;3191.14&lt;/D&gt;&lt;D xsi:type="xsd:double"&gt;3192.52&lt;/D&gt;&lt;D xsi:type="xsd:double"&gt;3191.45&lt;/D&gt;&lt;D xsi:type="xsd:double"&gt;3168.8&lt;/D&gt;&lt;D xsi:type="xsd:double"&gt;3168.57&lt;/D&gt;&lt;D xsi:type="xsd:double"&gt;3141.63&lt;/D&gt;&lt;D xsi:type="xsd:double"&gt;3132.52&lt;/D&gt;&lt;D xsi:type="xsd:double"&gt;3135.96&lt;/D&gt;&lt;D xsi:type="xsd:double"&gt;3145.91&lt;/D&gt;&lt;D xsi:type="xsd:double"&gt;3117.43&lt;/D&gt;&lt;D xsi:type="xsd:double"&gt;3112.76&lt;/D&gt;&lt;D xsi:type="xsd:double"&gt;3093.2&lt;/D&gt;&lt;D xsi:type="xsd:double"&gt;3113.87&lt;/D&gt;&lt;D xsi:type="xsd:double"&gt;3140.98&lt;/D&gt;&lt;D xsi:type="xsd:double"&gt;3153.63&lt;/D&gt;&lt;D xsi:type="xsd:double"&gt;3140.52&lt;/D&gt;&lt;D xsi:type="xsd:double"&gt;3133.64&lt;/D&gt;&lt;D xsi:type="xsd:double"&gt;3110.29&lt;/D&gt;&lt;D xsi:type="xsd:double"&gt;3103.54&lt;/D&gt;&lt;D xsi:type="xsd:double"&gt;3108.46&lt;/D&gt;&lt;D xsi:type="xsd:double"&gt;3120.18&lt;/D&gt;&lt;D xsi:type="xsd:double"&gt;3122.03&lt;/D&gt;&lt;D xsi:type="xsd:double"&gt;3120.46&lt;/D&gt;&lt;D xsi:type="xsd:double"&gt;3096.63&lt;/D&gt;&lt;D xsi:type="xsd:double"&gt;3094.04&lt;/D&gt;&lt;D xsi:type="xsd:double"&gt;3091.84&lt;/D&gt;&lt;D xsi:type="xsd:double"&gt;3087.01&lt;/D&gt;&lt;D xsi:type="xsd:double"&gt;3093.08&lt;/D&gt;&lt;D xsi:type="xsd:double"&gt;3085.18&lt;/D&gt;&lt;D xsi:type="xsd:double"&gt;3076.78&lt;/D&gt;&lt;D xsi:type="xsd:double"&gt;3074.62&lt;/D&gt;&lt;D xsi:type="xsd:double"&gt;3078.27&lt;/D&gt;&lt;D xsi:type="xsd:double"&gt;3066.91&lt;/D&gt;&lt;D xsi:type="xsd:double"&gt;3037.56&lt;/D&gt;&lt;D xsi:type="xsd:double"&gt;3046.77&lt;/D&gt;&lt;D xsi:type="xsd:double"&gt;3036.89&lt;/D&gt;&lt;D xsi:type="xsd:double"&gt;3039.42&lt;/D&gt;&lt;D xsi:type="xsd:double"&gt;3022.55&lt;/D&gt;&lt;D xsi:type="xsd:double"&gt;3010.29&lt;/D&gt;&lt;D xsi:type="xsd:double"&gt;3004.52&lt;/D&gt;&lt;D xsi:type="xsd:double"&gt;2995.99&lt;/D&gt;&lt;D xsi:type="xsd:double"&gt;3006.72&lt;/D&gt;&lt;D xsi:type="xsd:double"&gt;2986.2&lt;/D&gt;&lt;D xsi:type="xsd:double"&gt;2997.95&lt;/D&gt;&lt;D xsi:type="xsd:double"&gt;2989.69&lt;/D&gt;&lt;D xsi:type="xsd:double"&gt;2995.68&lt;/D&gt;&lt;D xsi:type="xsd:double"&gt;2966.15&lt;/D&gt;&lt;D xsi:type="xsd:double"&gt;2970.27&lt;/D&gt;&lt;D xsi:type="xsd:double"&gt;2938.13&lt;/D&gt;&lt;D xsi:type="xsd:double"&gt;2919.4&lt;/D&gt;&lt;D xsi:type="xsd:double"&gt;2893.06&lt;/D&gt;&lt;D xsi:type="xsd:double"&gt;2938.79&lt;/D&gt;&lt;D xsi:type="xsd:double"&gt;2952.01&lt;/D&gt;&lt;D xsi:type="xsd:double"&gt;2910.63&lt;/D&gt;&lt;D xsi:type="xsd:double"&gt;2887.61&lt;/D&gt;&lt;D xsi:type="xsd:double"&gt;2940.25&lt;/D&gt;&lt;D xsi:type="xsd:double"&gt;2976.74&lt;/D&gt;&lt;D xsi:type="xsd:double"&gt;2961.79&lt;/D&gt;&lt;D xsi:type="xsd:double"&gt;2977.62&lt;/D&gt;&lt;D xsi:type="xsd:double"&gt;2984.87&lt;/D&gt;&lt;D xsi:type="xsd:double"&gt;2966.6&lt;/D&gt;&lt;D xsi:type="xsd:double"&gt;2991.78&lt;/D&gt;&lt;D xsi:type="xsd:double"&gt;2992.07&lt;/D&gt;&lt;D xsi:type="xsd:double"&gt;3006.79&lt;/D&gt;&lt;D xsi:type="xsd:double"&gt;3006.73&lt;/D&gt;&lt;D xsi:type="xsd:double"&gt;3005.7&lt;/D&gt;&lt;D xsi:type="xsd:double"&gt;2997.96&lt;/D&gt;&lt;D xsi:type="xsd:double"&gt;3007.39&lt;/D&gt;&lt;D xsi:type="xsd:double"&gt;3009.57&lt;/D&gt;&lt;D xsi:type="xsd:double"&gt;3000.93&lt;/D&gt;&lt;D xsi:type="xsd:double"&gt;2979.39&lt;/D&gt;&lt;D xsi:type="xsd:double"&gt;2978.43&lt;/D&gt;&lt;D xsi:type="xsd:double"&gt;2978.71&lt;/D&gt;&lt;D xsi:type="xsd:double"&gt;2976&lt;/D&gt;&lt;D xsi:type="xsd:double"&gt;2937.78&lt;/D&gt;&lt;D xsi:type="xsd:double"&gt;2906.27&lt;/D&gt;&lt;D xsi:type="xsd:double"&gt;2926.46&lt;/D&gt;&lt;D xsi:type="xsd:double"&gt;2924.58&lt;/D&gt;&lt;D xsi:type="xsd:double"&gt;2887.94&lt;/D&gt;&lt;D xsi:type="xsd:double"&gt;2869.16&lt;/D&gt;&lt;D xsi:type="xsd:double"&gt;2878.38&lt;/D&gt;&lt;D xsi:type="xsd:double"&gt;2847.11&lt;/D&gt;&lt;D xsi:type="xsd:double"&gt;2922.95&lt;/D&gt;&lt;D xsi:type="xsd:double"&gt;2924.43&lt;/D&gt;&lt;D xsi:type="xsd:double"&gt;2900.51&lt;/D&gt;&lt;D xsi:type="xsd:double"&gt;2923.65&lt;/D&gt;&lt;D xsi:type="xsd:double"&gt;2888.68&lt;/D&gt;&lt;D xsi:type="xsd:double"&gt;2847.6&lt;/D&gt;&lt;D xsi:type="xsd:double"&gt;2840.6&lt;/D&gt;&lt;D xsi:type="xsd:double"&gt;2926.32&lt;/D&gt;&lt;D xsi:type="xsd:double"&gt;2883.75&lt;/D&gt;&lt;D xsi:type="xsd:double"&gt;2918.65&lt;/D&gt;&lt;D xsi:type="xsd:double"&gt;2938.09&lt;/D&gt;&lt;D xsi:type="xsd:double"&gt;2883.98&lt;/D&gt;&lt;D xsi:type="xsd:double"&gt;2881.77&lt;/D&gt;&lt;D xsi:type="xsd:double"&gt;2844.74&lt;/D&gt;&lt;D xsi:type="xsd:double"&gt;2932.05&lt;/D&gt;&lt;D xsi:type="xsd:double"&gt;2953.56&lt;/D&gt;&lt;D xsi:type="xsd:double"&gt;2980.38&lt;/D&gt;&lt;D xsi:type="xsd:double"&gt;3013.18&lt;/D&gt;&lt;D xsi:type="xsd:double"&gt;3020.97&lt;/D&gt;&lt;D xsi:type="xsd:double"&gt;3025.86&lt;/D&gt;&lt;D xsi:type="xsd:double"&gt;3003.67&lt;/D&gt;&lt;D xsi:type="xsd:double"&gt;3019.56&lt;/D&gt;&lt;D xsi:type="xsd:double"&gt;3005.47&lt;/D&gt;&lt;D xsi:type="xsd:double"&gt;2985.03&lt;/D&gt;&lt;D xsi:type="xsd:double"&gt;2976.61&lt;/D&gt;&lt;D xsi:type="xsd:double"&gt;2995.11&lt;/D&gt;&lt;D xsi:type="xsd:double"&gt;2984.42&lt;/D&gt;&lt;D xsi:type="xsd:double"&gt;3004.04&lt;/D&gt;&lt;D xsi:type="xsd:double"&gt;3014.3&lt;/D&gt;&lt;D xsi:type="xsd:double"&gt;3013.77&lt;/D&gt;&lt;D xsi:type="xsd:double"&gt;2999.91&lt;/D&gt;&lt;D xsi:type="xsd:double"&gt;2993.07&lt;/D&gt;&lt;D xsi:type="xsd:double"&gt;2979.63&lt;/D&gt;&lt;D xsi:type="xsd:double"&gt;2975.95&lt;/D&gt;&lt;D xsi:type="xsd:double"&gt;2990.41&lt;/D&gt;&lt;D xsi:type="xsd:double"&gt;2995.82&lt;/D&gt;&lt;D xsi:type="xsd:double"&gt;2973.01&lt;/D&gt;&lt;D xsi:type="xsd:double"&gt;2964.33&lt;/D&gt;&lt;D xsi:type="xsd:double"&gt;2941.76&lt;/D&gt;&lt;D xsi:type="xsd:double"&gt;2924.92&lt;/D&gt;&lt;D xsi:type="xsd:double"&gt;2913.78&lt;/D&gt;&lt;D xsi:type="xsd:double"&gt;2917.38&lt;/D&gt;&lt;D xsi:type="xsd:double"&gt;2945.35&lt;/D&gt;&lt;D xsi:type="xsd:double"&gt;2950.46&lt;/D&gt;&lt;D xsi:type="xsd:double"&gt;2954.18&lt;/D&gt;&lt;D xsi:type="xsd:double"&gt;2926.46&lt;/D&gt;&lt;D xsi:type="xsd:double"&gt;2917.75&lt;/D&gt;&lt;D xsi:type="xsd:double"&gt;2889.67&lt;/D&gt;&lt;D xsi:type="xsd:double"&gt;2886.98&lt;/D&gt;&lt;D xsi:type="xsd:double"&gt;2891.64&lt;/D&gt;&lt;D xsi:type="xsd:double"&gt;2879.84&lt;/D&gt;&lt;D xsi:type="xsd:double"&gt;2885.72&lt;/D&gt;&lt;D xsi:type="xsd:double"&gt;2886.73&lt;/D&gt;&lt;D xsi:type="xsd:double"&gt;2873.34&lt;/D&gt;&lt;D xsi:type="xsd:double"&gt;2843.49&lt;/D&gt;&lt;D xsi:type="xsd:double"&gt;2826.15&lt;/D&gt;&lt;D xsi:type="xsd:double"&gt;2803.27&lt;/D&gt;&lt;D xsi:type="xsd:double"&gt;2744.45&lt;/D&gt;&lt;D xsi:type="xsd:double"&gt;2752.06&lt;/D&gt;&lt;D xsi:type="xsd:double"&gt;2788.86&lt;/D&gt;&lt;D xsi:type="xsd:double"&gt;2783.02&lt;/D&gt;&lt;D xsi:type="xsd:double"&gt;2802.39&lt;/D&gt;&lt;D xsi:type="xsd:double"&gt;2826.06&lt;/D&gt;&lt;D xsi:type="xsd:double"&gt;2822.24&lt;/D&gt;&lt;D xsi:type="xsd:double"&gt;2856.27&lt;/D&gt;&lt;D xsi:type="xsd:double"&gt;2864.36&lt;/D&gt;&lt;D xsi:type="xsd:double"&gt;2840.23&lt;/D&gt;&lt;D xsi:type="xsd:double"&gt;2859.53&lt;/D&gt;&lt;D xsi:type="xsd:double"&gt;2876.32&lt;/D&gt;&lt;D xsi:type="xsd:double"&gt;2850.96&lt;/D&gt;&lt;D xsi:type="xsd:double"&gt;2834.41&lt;/D&gt;&lt;D xsi:type="xsd:double"&gt;2811.87&lt;/D&gt;&lt;D xsi:type="xsd:double"&gt;2881.4&lt;/D&gt;&lt;D xsi:type="xsd:double"&gt;2870.72&lt;/D&gt;&lt;D xsi:type="xsd:double"&gt;2879.42&lt;/D&gt;&lt;D xsi:type="xsd:double"&gt;2884.05&lt;/D&gt;&lt;D xsi:type="xsd:double"&gt;2932.47&lt;/D&gt;&lt;D xsi:type="xsd:double"&gt;2945.64&lt;/D&gt;&lt;D xsi:type="xsd:double"&gt;2917.52&lt;/D&gt;&lt;D xsi:type="xsd:double"&gt;2923.73&lt;/D&gt;&lt;D xsi:type="xsd:double"&gt;2945.83&lt;/D&gt;&lt;D xsi:type="xsd:double"&gt;2943.03&lt;/D&gt;&lt;D xsi:type="xsd:double"&gt;2939.88&lt;/D&gt;&lt;D xsi:type="xsd:double"&gt;2926.17&lt;/D&gt;&lt;D xsi:type="xsd:double"&gt;2927.25&lt;/D&gt;&lt;D xsi:type="xsd:double"&gt;2933.68&lt;/D&gt;&lt;D xsi:type="xsd:double"&gt;2907.97&lt;/D&gt;&lt;D xsi:type="xsd:double"&gt;2905.03&lt;/D&gt;&lt;D xsi:type="xsd:double"&gt;2900.45&lt;/D&gt;&lt;D xsi:type="xsd:double"&gt;2907.06&lt;/D&gt;&lt;D xsi:type="xsd:double"&gt;2905.58&lt;/D&gt;&lt;D xsi:type="xsd:double"&gt;2907.41&lt;/D&gt;&lt;D xsi:type="xsd:double"&gt;2888.32&lt;/D&gt;&lt;D xsi:type="xsd:double"&gt;2888.21&lt;/D&gt;&lt;D xsi:type="xsd:double"&gt;2878.2&lt;/D&gt;&lt;D xsi:type="xsd:double"&gt;2895.77&lt;/D&gt;&lt;D xsi:type="xsd:double"&gt;2892.74&lt;/D&gt;&lt;D xsi:type="xsd:double"&gt;2879.39&lt;/D&gt;&lt;D xsi:type="xsd:double"&gt;2873.4&lt;/D&gt;&lt;D xsi:type="xsd:double"&gt;2867.24&lt;/D&gt;&lt;D xsi:type="xsd:double"&gt;2867.19&lt;/D&gt;&lt;D xsi:type="xsd:double"&gt;2834.4&lt;/D&gt;&lt;D xsi:type="xsd:double"&gt;2815.44&lt;/D&gt;&lt;D xsi:type="xsd:double"&gt;2805.37&lt;/D&gt;&lt;D xsi:type="xsd:double"&gt;2818.46&lt;/D&gt;&lt;D xsi:type="xsd:double"&gt;2798.36&lt;/D&gt;&lt;D xsi:type="xsd:double"&gt;2800.71&lt;/D&gt;&lt;D xsi:type="xsd:double"&gt;2854.88&lt;/D&gt;&lt;D xsi:type="xsd:double"&gt;2824.23&lt;/D&gt;&lt;D xsi:type="xsd:double"&gt;2832.57&lt;/D&gt;&lt;D xsi:type="xsd:double"&gt;2832.94&lt;/D&gt;&lt;D xsi:type="xsd:double"&gt;2822.48&lt;/D&gt;&lt;D xsi:type="xsd:double"&gt;2808.48&lt;/D&gt;&lt;D xsi:type="xsd:double"&gt;2810.92&lt;/D&gt;&lt;D xsi:t</t>
        </r>
      </text>
    </comment>
    <comment ref="A10" authorId="0" shapeId="0" xr:uid="{A847B4F0-531A-4703-AECA-351B2AFE99A5}">
      <text>
        <r>
          <rPr>
            <b/>
            <sz val="9"/>
            <color indexed="81"/>
            <rFont val="Tahoma"/>
            <charset val="1"/>
          </rPr>
          <t>ype="xsd:double"&gt;2791.52&lt;/D&gt;&lt;D xsi:type="xsd:double"&gt;2783.3&lt;/D&gt;&lt;D xsi:type="xsd:double"&gt;2743.07&lt;/D&gt;&lt;D xsi:type="xsd:double"&gt;2748.93&lt;/D&gt;&lt;D xsi:type="xsd:double"&gt;2771.45&lt;/D&gt;&lt;D xsi:type="xsd:double"&gt;2789.65&lt;/D&gt;&lt;D xsi:type="xsd:double"&gt;2792.81&lt;/D&gt;&lt;D xsi:type="xsd:double"&gt;2803.69&lt;/D&gt;&lt;D xsi:type="xsd:double"&gt;2784.49&lt;/D&gt;&lt;D xsi:type="xsd:double"&gt;2792.38&lt;/D&gt;&lt;D xsi:type="xsd:double"&gt;2793.9&lt;/D&gt;&lt;D xsi:type="xsd:double"&gt;2796.11&lt;/D&gt;&lt;D xsi:type="xsd:double"&gt;2792.67&lt;/D&gt;&lt;D xsi:type="xsd:double"&gt;2774.88&lt;/D&gt;&lt;D xsi:type="xsd:double"&gt;2784.7&lt;/D&gt;&lt;D xsi:type="xsd:double"&gt;2779.76&lt;/D&gt;&lt;D xsi:type="xsd:double"&gt;2775.6&lt;/D&gt;&lt;D xsi:type="xsd:double"&gt;2745.73&lt;/D&gt;&lt;D xsi:type="xsd:double"&gt;2753.03&lt;/D&gt;&lt;D xsi:type="xsd:double"&gt;2744.73&lt;/D&gt;&lt;D xsi:type="xsd:double"&gt;2709.8&lt;/D&gt;&lt;D xsi:type="xsd:double"&gt;2707.88&lt;/D&gt;&lt;D xsi:type="xsd:double"&gt;2706.05&lt;/D&gt;&lt;D xsi:type="xsd:double"&gt;2731.61&lt;/D&gt;&lt;D xsi:type="xsd:double"&gt;2737.7&lt;/D&gt;&lt;D xsi:type="xsd:double"&gt;2724.87&lt;/D&gt;&lt;D xsi:type="xsd:double"&gt;2706.53&lt;/D&gt;&lt;D xsi:type="xsd:double"&gt;2704.1&lt;/D&gt;&lt;D xsi:type="xsd:double"&gt;2681.05&lt;/D&gt;&lt;D xsi:type="xsd:double"&gt;2640&lt;/D&gt;&lt;D xsi:type="xsd:double"&gt;2643.85&lt;/D&gt;&lt;D xsi:type="xsd:double"&gt;2664.76&lt;/D&gt;&lt;D xsi:type="xsd:double"&gt;2642.33&lt;/D&gt;&lt;D xsi:type="xsd:double"&gt;2638.7&lt;/D&gt;&lt;D xsi:type="xsd:double"&gt;2632.9&lt;/D&gt;&lt;D xsi:type="xsd:double"&gt;2670.71&lt;/D&gt;&lt;D xsi:type="xsd:double"&gt;2635.96&lt;/D&gt;&lt;D xsi:type="xsd:double"&gt;2616.1&lt;/D&gt;&lt;D xsi:type="xsd:double"&gt;2610.3&lt;/D&gt;&lt;D xsi:type="xsd:double"&gt;2582.61&lt;/D&gt;&lt;D xsi:type="xsd:double"&gt;2596.26&lt;/D&gt;&lt;D xsi:type="xsd:double"&gt;2596.64&lt;/D&gt;&lt;D xsi:type="xsd:double"&gt;2584.96&lt;/D&gt;&lt;D xsi:type="xsd:double"&gt;2574.41&lt;/D&gt;&lt;D xsi:type="xsd:double"&gt;2549.69&lt;/D&gt;&lt;D xsi:type="xsd:double"&gt;2531.94&lt;/D&gt;&lt;D xsi:type="xsd:double"&gt;2447.89&lt;/D&gt;&lt;D xsi:type="xsd:double"&gt;2510.03&lt;/D&gt;&lt;D xsi:type="xsd:double"&gt;2506.85&lt;/D&gt;&lt;D xsi:type="xsd:double"&gt;2485.74&lt;/D&gt;&lt;D xsi:type="xsd:double"&gt;2488.83&lt;/D&gt;&lt;D xsi:type="xsd:double"&gt;2467.7&lt;/D&gt;&lt;D xsi:type="xsd:double"&gt;2351.1&lt;/D&gt;&lt;D xsi:type="xsd:double"&gt;2416.62&lt;/D&gt;&lt;D xsi:type="xsd:double"&gt;2467.42&lt;/D&gt;&lt;D xsi:type="xsd:double"&gt;2506.96&lt;/D&gt;&lt;D xsi:type="xsd:double"&gt;2546.16&lt;/D&gt;&lt;D xsi:type="xsd:double"&gt;2545.94&lt;/D&gt;&lt;D xsi:type="xsd:double"&gt;2599.95&lt;/D&gt;&lt;D xsi:type="xsd:double"&gt;2650.54&lt;/D&gt;&lt;D xsi:type="xsd:double"&gt;2651.07&lt;/D&gt;&lt;D xsi:type="xsd:double"&gt;2636.78&lt;/D&gt;&lt;D xsi:type="xsd:double"&gt;2637.72&lt;/D&gt;&lt;D xsi:type="xsd:double"&gt;2633.08&lt;/D&gt;&lt;D xsi:type="xsd:double"&gt;2695.95&lt;/D&gt;&lt;D xsi:type="xsd:double"&gt;2700.06&lt;/D&gt;&lt;D xsi:type="xsd:double"&gt;2790.37&lt;/D&gt;&lt;D xsi:type="xsd:double"&gt;2760.17&lt;/D&gt;&lt;D xsi:type="xsd:double"&gt;2737.76&lt;/D&gt;&lt;D xsi:type="xsd:double"&gt;2743.79&lt;/D&gt;&lt;D xsi:type="xsd:double"&gt;2682.17&lt;/D&gt;&lt;D xsi:type="xsd:double"&gt;2673.45&lt;/D&gt;&lt;D xsi:type="xsd:double"&gt;2632.56&lt;/D&gt;&lt;D xsi:type="xsd:double"&gt;2649.93&lt;/D&gt;&lt;D xsi:type="xsd:double"&gt;2641.89&lt;/D&gt;&lt;D xsi:type="xsd:double"&gt;2690.73&lt;/D&gt;&lt;D xsi:type="xsd:double"&gt;2736.27&lt;/D&gt;&lt;D xsi:type="xsd:double"&gt;2730.2&lt;/D&gt;&lt;D xsi:type="xsd:double"&gt;2701.58&lt;/D&gt;&lt;D xsi:type="xsd:double"&gt;2722.18&lt;/D&gt;&lt;D xsi:type="xsd:double"&gt;2726.22&lt;/D&gt;&lt;D xsi:type="xsd:double"&gt;2781.01&lt;/D&gt;&lt;D xsi:type="xsd:double"&gt;2806.83&lt;/D&gt;&lt;D xsi:type="xsd:double"&gt;2813.89&lt;/D&gt;&lt;D xsi:type="xsd:double"&gt;2755.45&lt;/D&gt;&lt;D xsi:type="xsd:double"&gt;2738.31&lt;/D&gt;&lt;D xsi:type="xsd:double"&gt;2723.06&lt;/D&gt;&lt;D xsi:type="xsd:double"&gt;2740.37&lt;/D&gt;&lt;D xsi:type="xsd:double"&gt;2711.74&lt;/D&gt;&lt;D xsi:type="xsd:double"&gt;2682.63&lt;/D&gt;&lt;D xsi:type="xsd:double"&gt;2641.25&lt;/D&gt;&lt;D xsi:type="xsd:double"&gt;2658.69&lt;/D&gt;&lt;D xsi:type="xsd:double"&gt;2705.57&lt;/D&gt;&lt;D xsi:type="xsd:double"&gt;2656.1&lt;/D&gt;&lt;D xsi:type="xsd:double"&gt;2740.69&lt;/D&gt;&lt;D xsi:type="xsd:double"&gt;2755.88&lt;/D&gt;&lt;D xsi:type="xsd:double"&gt;2767.78&lt;/D&gt;&lt;D xsi:type="xsd:double"&gt;2768.78&lt;/D&gt;&lt;D xsi:type="xsd:double"&gt;2809.21&lt;/D&gt;&lt;D xsi:type="xsd:double"&gt;2809.92&lt;/D&gt;&lt;D xsi:type="xsd:double"&gt;2750.79&lt;/D&gt;&lt;D xsi:type="xsd:double"&gt;2767.13&lt;/D&gt;&lt;D xsi:type="xsd:double"&gt;2728.37&lt;/D&gt;&lt;D xsi:type="xsd:double"&gt;2785.68&lt;/D&gt;&lt;D xsi:type="xsd:double"&gt;2880.34&lt;/D&gt;&lt;D xsi:type="xsd:double"&gt;2884.43&lt;/D&gt;&lt;D xsi:type="xsd:double"&gt;2885.57&lt;/D&gt;&lt;D xsi:type="xsd:double"&gt;2901.61&lt;/D&gt;&lt;D xsi:type="xsd:double"&gt;2925.51&lt;/D&gt;&lt;D xsi:type="xsd:double"&gt;2923.43&lt;/D&gt;&lt;D xsi:type="xsd:double"&gt;2924.59&lt;/D&gt;&lt;D xsi:type="xsd:double"&gt;2913.98&lt;/D&gt;&lt;D xsi:type="xsd:double"&gt;2914&lt;/D&gt;&lt;D xsi:type="xsd:double"&gt;2905.97&lt;/D&gt;&lt;D xsi:type="xsd:double"&gt;2915.56&lt;/D&gt;&lt;D xsi:type="xsd:double"&gt;2919.37&lt;/D&gt;&lt;D xsi:type="xsd:double"&gt;2929.67&lt;/D&gt;&lt;D xsi:type="xsd:double"&gt;2930.75&lt;/D&gt;&lt;D xsi:type="xsd:double"&gt;2907.95&lt;/D&gt;&lt;D xsi:type="xsd:double"&gt;2904.31&lt;/D&gt;&lt;D xsi:type="xsd:double"&gt;2888.8&lt;/D&gt;&lt;D xsi:type="xsd:double"&gt;2904.98&lt;/D&gt;&lt;D xsi:type="xsd:double"&gt;2904.18&lt;/D&gt;&lt;D xsi:type="xsd:double"&gt;2888.92&lt;/D&gt;&lt;D xsi:type="xsd:double"&gt;2887.89&lt;/D&gt;&lt;D xsi:type="xsd:double"&gt;2877.13&lt;/D&gt;&lt;D xsi:type="xsd:double"&gt;2871.68&lt;/D&gt;&lt;D xsi:type="xsd:double"&gt;2878.05&lt;/D&gt;&lt;D xsi:type="xsd:double"&gt;2888.6&lt;/D&gt;&lt;D xsi:type="xsd:double"&gt;2896.72&lt;/D&gt;&lt;D xsi:type="xsd:double"&gt;2901.52&lt;/D&gt;&lt;D xsi:type="xsd:double"&gt;2901.13&lt;/D&gt;&lt;D xsi:type="xsd:double"&gt;2914.04&lt;/D&gt;&lt;D xsi:type="xsd:double"&gt;2897.52&lt;/D&gt;&lt;D xsi:type="xsd:double"&gt;2896.74&lt;/D&gt;&lt;D xsi:type="xsd:double"&gt;2874.69&lt;/D&gt;&lt;D xsi:type="xsd:double"&gt;2856.98&lt;/D&gt;&lt;D xsi:type="xsd:double"&gt;2861.82&lt;/D&gt;&lt;D xsi:type="xsd:double"&gt;2862.96&lt;/D&gt;&lt;D xsi:type="xsd:double"&gt;2857.05&lt;/D&gt;&lt;D xsi:type="xsd:double"&gt;2850.13&lt;/D&gt;&lt;D xsi:type="xsd:double"&gt;2840.69&lt;/D&gt;&lt;D xsi:type="xsd:double"&gt;2818.37&lt;/D&gt;&lt;D xsi:type="xsd:double"&gt;2839.96&lt;/D&gt;&lt;D xsi:type="xsd:double"&gt;2821.93&lt;/D&gt;&lt;D xsi:type="xsd:double"&gt;2833.28&lt;/D&gt;&lt;D xsi:type="xsd:double"&gt;2853.58&lt;/D&gt;&lt;D xsi:type="xsd:double"&gt;2857.7&lt;/D&gt;&lt;D xsi:type="xsd:double"&gt;2858.45&lt;/D&gt;&lt;D xsi:type="xsd:double"&gt;2850.4&lt;/D&gt;&lt;D xsi:type="xsd:double"&gt;2840.35&lt;/D&gt;&lt;D xsi:type="xsd:double"&gt;2827.22&lt;/D&gt;&lt;D xsi:type="xsd:double"&gt;2813.36&lt;/D&gt;&lt;D xsi:type="xsd:double"&gt;2816.29&lt;/D&gt;&lt;D xsi:type="xsd:double"&gt;2802.6&lt;/D&gt;&lt;D xsi:type="xsd:double"&gt;2818.82&lt;/D&gt;&lt;D xsi:type="xsd:double"&gt;2837.44&lt;/D&gt;&lt;D xsi:type="xsd:double"&gt;2846.07&lt;/D&gt;&lt;D xsi:type="xsd:double"&gt;2820.4&lt;/D&gt;&lt;D xsi:type="xsd:double"&gt;2806.98&lt;/D&gt;&lt;D xsi:type="xsd:double"&gt;2801.83&lt;/D&gt;&lt;D xsi:type="xsd:double"&gt;2804.49&lt;/D&gt;&lt;D xsi:type="xsd:double"&gt;2815.62&lt;/D&gt;&lt;D xsi:type="xsd:double"&gt;2809.55&lt;/D&gt;&lt;D xsi:type="xsd:double"&gt;2798.43&lt;/D&gt;&lt;D xsi:type="xsd:double"&gt;2801.31&lt;/D&gt;&lt;D xsi:type="xsd:double"&gt;2798.29&lt;/D&gt;&lt;D xsi:type="xsd:double"&gt;2774.02&lt;/D&gt;&lt;D xsi:type="xsd:double"&gt;2793.84&lt;/D&gt;&lt;D xsi:type="xsd:double"&gt;2784.17&lt;/D&gt;&lt;D xsi:type="xsd:double"&gt;2759.82&lt;/D&gt;&lt;D xsi:type="xsd:double"&gt;2736.61&lt;/D&gt;&lt;D xsi:type="xsd:double"&gt;2713.22&lt;/D&gt;&lt;D xsi:type="xsd:double"&gt;2726.71&lt;/D&gt;&lt;D xsi:type="xsd:double"&gt;2718.37&lt;/D&gt;&lt;D xsi:type="xsd:double"&gt;2716.31&lt;/D&gt;&lt;D xsi:type="xsd:double"&gt;2699.63&lt;/D&gt;&lt;D xsi:type="xsd:double"&gt;2723.06&lt;/D&gt;&lt;D xsi:type="xsd:double"&gt;2717.07&lt;/D&gt;&lt;D xsi:type="xsd:double"&gt;2754.88&lt;/D&gt;&lt;D xsi:type="xsd:double"&gt;2749.76&lt;/D&gt;&lt;D xsi:type="xsd:double"&gt;2767.32&lt;/D&gt;&lt;D xsi:type="xsd:double"&gt;2762.59&lt;/D&gt;&lt;D xsi:type="xsd:double"&gt;2773.75&lt;/D&gt;&lt;D xsi:type="xsd:double"&gt;2779.66&lt;/D&gt;&lt;D xsi:type="xsd:double"&gt;2782.49&lt;/D&gt;&lt;D xsi:type="xsd:double"&gt;2775.63&lt;/D&gt;&lt;D xsi:type="xsd:double"&gt;2786.85&lt;/D&gt;&lt;D xsi:type="xsd:double"&gt;2782&lt;/D&gt;&lt;D xsi:type="xsd:double"&gt;2779.03&lt;/D&gt;&lt;D xsi:type="xsd:double"&gt;2770.37&lt;/D&gt;&lt;D xsi:type="xsd:double"&gt;2772.35&lt;/D&gt;&lt;D xsi:type="xsd:double"&gt;2748.8&lt;/D&gt;&lt;D xsi:type="xsd:double"&gt;2746.87&lt;/D&gt;&lt;D xsi:type="xsd:double"&gt;2734.62&lt;/D&gt;&lt;D xsi:type="xsd:double"&gt;2705.27&lt;/D&gt;&lt;D xsi:type="xsd:double"&gt;2724.01&lt;/D&gt;&lt;D xsi:type="xsd:double"&gt;2689.86&lt;/D&gt;&lt;D xsi:type="xsd:double"&gt;2721.33&lt;/D&gt;&lt;D xsi:type="xsd:double"&gt;2727.76&lt;/D&gt;&lt;D xsi:type="xsd:double"&gt;2733.29&lt;/D&gt;&lt;D xsi:type="xsd:double"&gt;2724.44&lt;/D&gt;&lt;D xsi:type="xsd:double"&gt;2733.01&lt;/D&gt;&lt;D xsi:type="xsd:double"&gt;2712.97&lt;/D&gt;&lt;D xsi:type="xsd:double"&gt;2720.13&lt;/D&gt;&lt;D xsi:type="xsd:double"&gt;2722.46&lt;/D&gt;&lt;D xsi:type="xsd:double"&gt;2711.45&lt;/D&gt;&lt;D xsi:type="xsd:double"&gt;2730.13&lt;/D&gt;&lt;D xsi:type="xsd:double"&gt;2727.72&lt;/D&gt;&lt;D xsi:type="xsd:double"&gt;2723.07&lt;/D&gt;&lt;D xsi:type="xsd:double"&gt;2697.79&lt;/D&gt;&lt;D xsi:type="xsd:double"&gt;2671.92&lt;/D&gt;&lt;D xsi:type="xsd:double"&gt;2672.63&lt;/D&gt;&lt;D xsi:type="xsd:double"&gt;2663.42&lt;/D&gt;&lt;D xsi:type="xsd:double"&gt;2629.73&lt;/D&gt;&lt;D xsi:type="xsd:double"&gt;2635.67&lt;/D&gt;&lt;D xsi:type="xsd:double"&gt;2654.8&lt;/D&gt;&lt;D xsi:type="xsd:double"&gt;2648.05&lt;/D&gt;&lt;D xsi:type="xsd:double"&gt;2669.91&lt;/D&gt;&lt;D xsi:type="xsd:double"&gt;2666.94&lt;/D&gt;&lt;D xsi:type="xsd:double"&gt;2639.4&lt;/D&gt;&lt;D xsi:type="xsd:double"&gt;2634.56&lt;/D&gt;&lt;D xsi:type="xsd:double"&gt;2670.29&lt;/D&gt;&lt;D xsi:type="xsd:double"&gt;2670.14&lt;/D&gt;&lt;D xsi:type="xsd:double"&gt;2693.13&lt;/D&gt;&lt;D xsi:type="xsd:double"&gt;2708.64&lt;/D&gt;&lt;D xsi:type="xsd:double"&gt;2706.39&lt;/D&gt;&lt;D xsi:type="xsd:double"&gt;2677.84&lt;/D&gt;&lt;D xsi:type="xsd:double"&gt;2656.3&lt;/D&gt;&lt;D xsi:type="xsd:double"&gt;2663.99&lt;/D&gt;&lt;D xsi:type="xsd:double"&gt;2642.19&lt;/D&gt;&lt;D xsi:type="xsd:double"&gt;2656.87&lt;/D&gt;&lt;D xsi:type="xsd:double"&gt;2613.16&lt;/D&gt;&lt;D xsi:type="xsd:double"&gt;2604.47&lt;/D&gt;&lt;D xsi:type="xsd:double"&gt;2662.84&lt;/D&gt;&lt;D xsi:type="xsd:double"&gt;2644.69&lt;/D&gt;&lt;D xsi:type="xsd:double"&gt;2614.45&lt;/D&gt;&lt;D xsi:type="xsd:double"&gt;2581.88&lt;/D&gt;&lt;D xsi:type="xsd:double"&gt;2640.87&lt;/D&gt;&lt;D xsi:type="xsd:double"&gt;2605&lt;/D&gt;&lt;D xsi:type="xsd:double"&gt;2612.62&lt;/D&gt;&lt;D xsi:type="xsd:double"&gt;2658.55&lt;/D&gt;&lt;D xsi:type="xsd:double"&gt;2588.26&lt;/D&gt;&lt;D xsi:type="xsd:double"&gt;2643.69&lt;/D&gt;&lt;D xsi:type="xsd:double"&gt;2711.93&lt;/D&gt;&lt;D xsi:type="xsd:double"&gt;2716.94&lt;/D&gt;&lt;D xsi:type="xsd:double"&gt;2712.92&lt;/D&gt;&lt;D xsi:type="xsd:double"&gt;2752.01&lt;/D&gt;&lt;D xsi:type="xsd:double"&gt;2747.33&lt;/D&gt;&lt;D xsi:type="xsd:double"&gt;2749.48&lt;/D&gt;&lt;D xsi:type="xsd:double"&gt;2765.31&lt;/D&gt;&lt;D xsi:type="xsd:double"&gt;2783.02&lt;/D&gt;&lt;D xsi:type="xsd:double"&gt;2786.57&lt;/D&gt;&lt;D xsi:type="xsd:double"&gt;2738.97&lt;/D&gt;&lt;D xsi:type="xsd:double"&gt;2726.8&lt;/D&gt;&lt;D xsi:type="xsd:double"&gt;2728.12&lt;/D&gt;&lt;D xsi:type="xsd:double"&gt;2720.94&lt;/D&gt;&lt;D xsi:type="xsd:double"&gt;2691.25&lt;/D&gt;&lt;D xsi:type="xsd:double"&gt;2677.67&lt;/D&gt;&lt;D xsi:type="xsd:double"&gt;2713.83&lt;/D&gt;&lt;D xsi:type="xsd:double"&gt;2744.28&lt;/D&gt;&lt;D xsi:type="xsd:double"&gt;2779.6&lt;/D&gt;&lt;D xsi:type="xsd:double"&gt;2747.3&lt;/D&gt;&lt;D xsi:type="xsd:double"&gt;2703.96&lt;/D&gt;&lt;D xsi:type="xsd:double"&gt;2701.33&lt;/D&gt;&lt;D xsi:type="xsd:double"&gt;2716.26&lt;/D&gt;&lt;D xsi:type="xsd:double"&gt;2732.22&lt;/D&gt;&lt;D xsi:type="xsd:double"&gt;2731.2&lt;/D&gt;&lt;D xsi:type="xsd:double"&gt;2698.63&lt;/D&gt;&lt;D xsi:type="xsd:double"&gt;2662.94&lt;/D&gt;&lt;D xsi:type="xsd:double"&gt;2656&lt;/D&gt;&lt;D xsi:type="xsd:double"&gt;2619.55&lt;/D&gt;&lt;D xsi:type="xsd:double"&gt;2581&lt;/D&gt;&lt;D xsi:type="xsd:double"&gt;2681.66&lt;/D&gt;&lt;D xsi:type="xsd:double"&gt;2695.14&lt;/D&gt;&lt;D xsi:type="xsd:double"&gt;2648.94&lt;/D&gt;&lt;D xsi:type="xsd:double"&gt;2762.13&lt;/D&gt;&lt;D xsi:type="xsd:double"&gt;2821.98&lt;/D&gt;&lt;D xsi:type="xsd:double"&gt;2823.81&lt;/D&gt;&lt;D xsi:type="xsd:double"&gt;2822.43&lt;/D&gt;&lt;D xsi:type="xsd:double"&gt;2853.53&lt;/D&gt;&lt;D xsi:type="xsd:double"&gt;2872.87&lt;/D&gt;&lt;D xsi:type="xsd:double"&gt;2839.25&lt;/D&gt;&lt;D xsi:type="xsd:double"&gt;2837.54&lt;/D&gt;&lt;D xsi:type="xsd:double"&gt;2839.13&lt;/D&gt;&lt;D xsi:type="xsd:double"&gt;2832.97&lt;/D&gt;&lt;D xsi:type="xsd:double"&gt;2810.3&lt;/D&gt;&lt;D xsi:type="xsd:double"&gt;2798.03&lt;/D&gt;&lt;D xsi:type="xsd:double"&gt;2802.56&lt;/D&gt;&lt;D xsi:type="xsd:double"&gt;2776.42&lt;/D&gt;&lt;D xsi:type="xsd:double"&gt;2786.24&lt;/D&gt;&lt;D xsi:type="xsd:double"&gt;2767.56&lt;/D&gt;&lt;D xsi:type="xsd:double"&gt;2748.23&lt;/D&gt;&lt;D xsi:type="xsd:double"&gt;2751.29&lt;/D&gt;&lt;D xsi:type="xsd:double"&gt;2747.71&lt;/D&gt;&lt;D xsi:type="xsd:double"&gt;2743.15&lt;/D&gt;&lt;D xsi:type="xsd:double"&gt;2723.99&lt;/D&gt;&lt;D xsi:type="xsd:double"&gt;2713.06&lt;/D&gt;&lt;D xsi:type="xsd:double"&gt;2695.81&lt;/D&gt;&lt;D xsi:type="xsd:double"&gt;2673.61&lt;/D&gt;&lt;D xsi:type="xsd:double"&gt;2687.54&lt;/D&gt;&lt;D xsi:type="xsd:double"&gt;2682.62&lt;/D&gt;&lt;D xsi:type="xsd:double"&gt;2680.5&lt;/D&gt;&lt;D xsi:type="xsd:double"&gt;2683.34&lt;/D&gt;&lt;D xsi:type="xsd:double"&gt;2684.57&lt;/D&gt;&lt;D xsi:type="xsd:double"&gt;2679.25&lt;/D&gt;&lt;D xsi:type="xsd:double"&gt;2681.47&lt;/D&gt;&lt;D xsi:type="xsd:double"&gt;2690.16&lt;/D&gt;&lt;D xsi:type="xsd:double"&gt;2675.81&lt;/D&gt;&lt;D xsi:type="xsd:double"&gt;2652.01&lt;/D&gt;&lt;D xsi:type="xsd:double"&gt;2662.85&lt;/D&gt;&lt;D xsi:type="xsd:double"&gt;2664.11&lt;/D&gt;&lt;D xsi:type="xsd:double"&gt;2659.99&lt;/D&gt;&lt;D xsi:type="xsd:double"&gt;2651.5&lt;/D&gt;&lt;D xsi:type="xsd:double"&gt;2636.98&lt;/D&gt;&lt;D xsi:type="xsd:double"&gt;2629.27&lt;/D&gt;&lt;D xsi:type="xsd:double"&gt;2629.57&lt;/D&gt;&lt;D xsi:type="xsd:double"&gt;2639.44&lt;/D&gt;&lt;D xsi:type="xsd:double"&gt;2642.22&lt;/D&gt;&lt;D xsi:type="xsd:double"&gt;2647.58&lt;/D&gt;&lt;D xsi:type="xsd:double"&gt;2626.07&lt;/D&gt;&lt;D xsi:type="xsd:double"&gt;2627.04&lt;/D&gt;&lt;D xsi:type="xsd:double"&gt;2601.42&lt;/D&gt;&lt;D xsi:type="xsd:double"&gt;2602.42&lt;/D&gt;&lt;D xsi:type="xsd:double"&gt;2597.08&lt;/D&gt;&lt;D xsi:type="xsd:double"&gt;2599.03&lt;/D&gt;&lt;D xsi:type="xsd:double"&gt;2582.14&lt;/D&gt;&lt;D xsi:type="xsd:double"&gt;2578.85&lt;/D&gt;&lt;D xsi:type="xsd:double"&gt;2585.64&lt;/D&gt;&lt;D xsi:type="xsd:double"&gt;2564.62&lt;/D&gt;&lt;D xsi:type="xsd:double"&gt;2578.87&lt;/D&gt;&lt;D xsi:type="xsd:double"&gt;2584.84&lt;/D&gt;&lt;D xsi:type="xsd:double"&gt;2582.3&lt;/D&gt;&lt;D xsi:type="xsd:double"&gt;2584.62&lt;/D&gt;&lt;D xsi:type="xsd:double"&gt;2594.38&lt;/D&gt;&lt;D xsi:type="xsd:double"&gt;2590.64&lt;/D&gt;&lt;D xsi:type="xsd:double"&gt;2591.13&lt;/D&gt;&lt;D xsi:type="xsd:double"&gt;2587.84&lt;/D&gt;&lt;D xsi:type="xsd:double"&gt;2579.85&lt;/D&gt;&lt;D xsi:type="xsd:double"&gt;2579.36&lt;/D&gt;&lt;D xsi:type="xsd:double"&gt;2575.26&lt;/D&gt;&lt;D xsi:type="xsd:double"&gt;2572.83&lt;/D&gt;&lt;D xsi:type="xsd:double"&gt;2581.07&lt;/D&gt;&lt;D xsi:type="xsd:double"&gt;2560.4&lt;/D&gt;&lt;D xsi:type="xsd:double"&gt;2557.15&lt;/D&gt;&lt;D xsi:type="xsd:double"&gt;2569.13&lt;/D&gt;&lt;D xsi:type="xsd:double"&gt;2564.98&lt;/D&gt;&lt;D xsi:type="xsd:double"&gt;2575.21&lt;/D&gt;&lt;D xsi:type="xsd:double"&gt;2562.1&lt;/D&gt;&lt;D xsi:type="xsd:double"&gt;2561.26&lt;/D&gt;&lt;D xsi:type="xsd:double"&gt;2559.36&lt;/D&gt;&lt;D xsi:type="xsd:double"&gt;2557.64&lt;/D&gt;&lt;D xsi:type="xsd:double"&gt;2553.17&lt;/D&gt;&lt;D xsi:type="xsd:double"&gt;2550.93&lt;/D&gt;&lt;D xsi:type="xsd:double"&gt;2555.24&lt;/D&gt;&lt;D xsi:type="xsd:double"&gt;2550.64&lt;/D&gt;&lt;D xsi:type="xsd:double"&gt;2544.73&lt;/D&gt;&lt;D xsi:type="xsd:double"&gt;2549.33&lt;/D&gt;&lt;D xsi:type="xsd:double"&gt;2552.07&lt;/D&gt;&lt;D xsi:type="xsd:double"&gt;2537.74&lt;/D&gt;&lt;D xsi:type="xsd:double"&gt;2534.58&lt;/D&gt;&lt;D xsi:type="xsd:double"&gt;2529.12&lt;/D&gt;&lt;D xsi:type="xsd:double"&gt;2519.36&lt;/D&gt;&lt;D xsi:type="xsd:double"&gt;2510.06&lt;/D&gt;&lt;D xsi:type="xsd:double"&gt;2507.04&lt;/D&gt;&lt;D xsi:type="xsd:double"&gt;2496.84&lt;/D&gt;&lt;D xsi:type="xsd:double"&gt;2496.66&lt;/D&gt;&lt;D xsi:type="xsd:double"&gt;2502.22&lt;/D&gt;&lt;D xsi:type="xsd:double"&gt;2500.6&lt;/D&gt;&lt;D xsi:type="xsd:double"&gt;2508.24&lt;/D&gt;&lt;D xsi:type="xsd:double"&gt;2506.65&lt;/D&gt;&lt;D xsi:type="xsd:double"&gt;2503.87&lt;/D&gt;&lt;D xsi:type="xsd:double"&gt;2500.23&lt;/D&gt;&lt;D xsi:type="xsd:double"&gt;2495.62&lt;/D&gt;&lt;D xsi:type="xsd:double"&gt;2498.37&lt;/D&gt;&lt;D xsi:type="xsd:double"&gt;2496.48&lt;/D&gt;&lt;D xsi:type="xsd:double"&gt;2488.11&lt;/D&gt;&lt;D xsi:type="xsd:double"&gt;2461.43&lt;/D&gt;&lt;D xsi:type="xsd:double"&gt;2465.1&lt;/D&gt;&lt;D xsi:type="xsd:double"&gt;2465.54&lt;/D&gt;&lt;D xsi:type="xsd:double"&gt;2457.85&lt;/D&gt;&lt;D xsi:type="xsd:double"&gt;2476.55&lt;/D&gt;&lt;D xsi:type="xsd:double"&gt;2471.65&lt;/D&gt;&lt;D xsi:type="xsd:double"&gt;2457.59&lt;/D&gt;&lt;D xsi:type="xsd:double"&gt;2446.3&lt;/D&gt;&lt;D xsi:type="xsd:double"&gt;2444.24&lt;/D&gt;&lt;D xsi:type="xsd:double"&gt;2443.05&lt;/D&gt;&lt;D xsi:type="xsd:double"&gt;2438.97&lt;/D&gt;&lt;D xsi:type="xsd:double"&gt;2444.04&lt;/D&gt;&lt;D xsi:type="xsd:double"&gt;2452.51&lt;/D&gt;&lt;D xsi:type="xsd:double"&gt;2428.37&lt;/D&gt;&lt;D xsi:type="xsd:double"&gt;2425.55&lt;/D&gt;&lt;D xsi:type="xsd:double"&gt;2430.01&lt;/D&gt;&lt;D xsi:type="xsd:double"&gt;2468.11&lt;/D&gt;&lt;D xsi:type="xsd:double"&gt;2464.61&lt;/D&gt;&lt;D xsi:type="xsd:double"&gt;2465.84&lt;/D&gt;&lt;D xsi:type="xsd:double"&gt;2441.32&lt;/D&gt;&lt;D xsi:type="xsd:double"&gt;2438.21&lt;/D&gt;&lt;D xsi:type="xsd:double"&gt;2474.02&lt;/D&gt;&lt;D xsi:type="xsd:double"&gt;2474.92&lt;/D&gt;&lt;D xsi:type="xsd:double"&gt;2480.91&lt;/D&gt;&lt;D xsi:type="xsd:double"&gt;2476.83&lt;/D&gt;&lt;D xsi:type="xsd:double"&gt;2472.16&lt;/D&gt;&lt;D xsi:type="xsd:double"&gt;2477.57&lt;/D&gt;&lt;D xsi:type="xsd:double"&gt;2476.35&lt;/D&gt;&lt;D xsi:type="xsd:double"&gt;2470.3&lt;/D&gt;&lt;D xsi:type="xsd:double"&gt;2472.1&lt;/D&gt;&lt;D xsi:type="xsd:double"&gt;2475.42&lt;/D&gt;&lt;D xsi:type="xsd:double"&gt;2477.83&lt;/D&gt;&lt;D xsi:type="xsd:double"&gt;2477.13&lt;/D&gt;&lt;D xsi:type="xsd:double"&gt;2469.91&lt;/D&gt;&lt;D xsi:type="xsd:double"&gt;2472.54&lt;/D&gt;&lt;D xsi:type="xsd:double"&gt;2473.45&lt;/D&gt;&lt;D xsi:type="xsd:double"&gt;2473.83&lt;/D&gt;&lt;D xsi:type="xsd:double"&gt;2460.61&lt;/D&gt;&lt;D xsi:type="xsd:double"&gt;2459.14&lt;/D&gt;&lt;D xsi:type="xsd:double"&gt;2459.27&lt;/D&gt;&lt;D xsi:type="xsd:double"&gt;2447.83&lt;/D&gt;&lt;D xsi:type="xsd:double"&gt;2443.25&lt;/D&gt;&lt;D xsi:type="xsd:double"&gt;2425.53&lt;/D&gt;&lt;D xsi:type="xsd:double"&gt;2427.43&lt;/D&gt;&lt;D xsi:type="xsd:double"&gt;2425.18&lt;/D&gt;&lt;D xsi:type="xsd:double"&gt;2409.75&lt;/D&gt;&lt;D xsi:type="xsd:double"&gt;2432.54&lt;/D&gt;&lt;D xsi:type="xsd:double"&gt;2429.01&lt;/D&gt;&lt;D xsi:type="xsd:double"&gt;2423.41&lt;/D&gt;&lt;D xsi:type="xsd:double"&gt;2419.7&lt;/D&gt;&lt;D xsi:type="xsd:double"&gt;2440.69&lt;/D&gt;&lt;D xsi:type="xsd:double"&gt;2419.38&lt;/D&gt;&lt;D xsi:type="xsd:double"&gt;2439.07&lt;/D&gt;&lt;D xsi:type="xsd:double"&gt;2438.3&lt;/D&gt;&lt;D xsi:type="xsd:double"&gt;2434.5&lt;/D&gt;&lt;D xsi:type="xsd:double"&gt;2435.61&lt;/D&gt;&lt;D xsi:type="xsd:double"&gt;2437.03&lt;/D&gt;&lt;D xsi:type="xsd:double"&gt;2453.46&lt;/D&gt;&lt;D xsi:type="xsd:double"&gt;2433.15&lt;/D&gt;&lt;D xsi:type="xsd:double"&gt;2432.46&lt;/D&gt;&lt;D xsi:type="xsd:double"&gt;2437.92&lt;/D&gt;&lt;D xsi:type="xsd:double"&gt;2440.35&lt;/D&gt;&lt;D xsi:type="xsd:double"&gt;2429.39&lt;/D&gt;&lt;D xsi:type="xsd:double"&gt;2431.77&lt;/D&gt;&lt;D xsi:type="xsd:double"&gt;2433.79&lt;/D&gt;&lt;D xsi:type="xsd:double"&gt;2433.14&lt;/D&gt;&lt;D xsi:type="xsd:double"&gt;2429.33&lt;/D&gt;&lt;D xsi:type="xsd:double"&gt;2436.1&lt;/D&gt;&lt;D xsi:type="xsd:double"&gt;2439.07&lt;/D&gt;&lt;D xsi:type="xsd:double"&gt;2430.06&lt;/D&gt;&lt;D xsi:type="xsd:double"&gt;2411.8&lt;/D&gt;&lt;D xsi:type="xsd:double"&gt;2412.91&lt;/D&gt;&lt;D xsi:type="xsd:double"&gt;2415.82&lt;/D&gt;&lt;D xsi:type="xsd:double"&gt;2415.07&lt;/D&gt;&lt;D xsi:type="xsd:double"&gt;2404.39&lt;/D&gt;&lt;D xsi:type="xsd:double"&gt;2398.42&lt;/D&gt;&lt;D xsi:type="xsd:double"&gt;2394.02&lt;/D&gt;&lt;D xsi:type="xsd:double"&gt;2381.73&lt;/D&gt;&lt;D xsi:type="xsd:double"&gt;2365.72&lt;/D&gt;&lt;D xsi:type="xsd:double"&gt;2357.03&lt;/D&gt;&lt;D xsi:type="xsd:double"&gt;2400.67&lt;/D&gt;&lt;D xsi:type="xsd:double"&gt;2402.32&lt;/D&gt;&lt;D xsi:type="xsd:double"&gt;2390.9&lt;/D&gt;&lt;D xsi:type="xsd:double"&gt;2394.44&lt;/D&gt;&lt;D xsi:type="xsd:double"&gt;2399.63&lt;/D&gt;&lt;D xsi:type="xsd:double"&gt;2396.92&lt;/D&gt;&lt;D xsi:type="xsd:double"&gt;2399.38&lt;/D&gt;&lt;D xsi:type="xsd:double"&gt;2399.29&lt;/D&gt;&lt;D xsi:type="xsd:double"&gt;2389.52&lt;/D&gt;&lt;D xsi:type="xsd:double"&gt;2388.13&lt;/D&gt;&lt;D xsi:type="xsd:double"&gt;2391.17&lt;/D&gt;&lt;D xsi:type="xsd:double"&gt;2388.33&lt;/D&gt;&lt;D xsi:type="xsd:double"&gt;2384.2&lt;/D&gt;&lt;D xsi:type="xsd:double"&gt;2388.77&lt;/D&gt;&lt;D xsi:type="xsd:double"&gt;2387.45&lt;/D&gt;&lt;D xsi:type="xsd:double"&gt;2388.61&lt;/D&gt;&lt;D xsi:type="xsd:double"&gt;2374.15&lt;/D&gt;&lt;D xsi:type="xsd:double"&gt;2348.69&lt;/D&gt;&lt;D xsi:type="xsd:double"&gt;2355.84&lt;/D&gt;&lt;D xsi:type="xsd:double"&gt;2338.17&lt;/D&gt;&lt;D xsi:type="xsd:double"&gt;2342.19&lt;/D&gt;&lt;D xsi:type="xsd:double"&gt;2349.01&lt;/D&gt;&lt;D xsi:type="xsd:double"&gt;2328.95&lt;/D&gt;&lt;D xsi:type="xsd:double"&gt;2344.93&lt;/D&gt;&lt;D xsi:type="xsd:double"&gt;2353.78&lt;/D&gt;&lt;D xsi:type="xsd:double"&gt;2357.16&lt;/D&gt;&lt;D xsi:type="xsd:double"&gt;2355.54&lt;/D&gt;&lt;D xsi:type="xsd:double"&gt;2357.49&lt;/D&gt;&lt;D xsi:type="xsd:double"&gt;2352.95&lt;/D&gt;&lt;D xsi:type="xsd:double"&gt;2360.16&lt;/D&gt;&lt;D xsi:type="xsd:double"&gt;2358.84&lt;/D&gt;&lt;D xsi:type="xsd:double"&gt;2362.72&lt;/D&gt;&lt;D xsi:type="xsd:double"&gt;2368.06&lt;/D&gt;&lt;D xsi:type="xsd:double"&gt;2361.13&lt;/D&gt;&lt;D xsi:type="xsd:double"&gt;2358.57&lt;/D&gt;&lt;D xsi:type="xsd:double"&gt;2341.59&lt;/D&gt;&lt;D xsi:type="xsd:double"&gt;2343.98&lt;/D&gt;&lt;D xsi:type="xsd:double"&gt;2345.96&lt;/D&gt;&lt;D xsi:type="xsd:double"&gt;2348.45&lt;/D&gt;&lt;D xsi:type="xsd:double"&gt;2344.02&lt;/D&gt;&lt;D xsi:type="xsd:double"&gt;2373.47&lt;/D&gt;&lt;D xsi:type="xsd:double"&gt;2378.25&lt;/D&gt;&lt;D xsi:type="xsd:double"&gt;2381.38&lt;/D&gt;&lt;D xsi:type="xsd:double"&gt;2385.26&lt;/D&gt;&lt;D xsi:type="xsd:double"&gt;2365.45&lt;/D&gt;&lt;D xsi:type="xsd:double"&gt;2373.47&lt;/D&gt;&lt;D xsi:type="xsd:double"&gt;2372.6&lt;/D&gt;&lt;D xsi:type="xsd:double"&gt;2364.87&lt;/D&gt;&lt;D xsi:type="xsd:double"&gt;2362.98&lt;/D&gt;&lt;D xsi:type="xsd:double"&gt;2368.39&lt;/D&gt;&lt;D xsi:type="xsd:double"&gt;2375.31&lt;/D&gt;&lt;D xsi:type="xsd:double"&gt;2383.12&lt;/D&gt;&lt;D xsi:type="xsd:double"&gt;2381.92&lt;/D&gt;&lt;D xsi:type="xsd:double"&gt;2395.96&lt;/D&gt;&lt;D xsi:type="xsd:double"&gt;2363.64&lt;/D&gt;&lt;D xsi:type="xsd:double"&gt;2369.75&lt;/D&gt;&lt;D xsi:type="xsd:double"&gt;2367.34&lt;/D&gt;&lt;D xsi:type="xsd:double"&gt;2363.81&lt;/D&gt;&lt;D xsi:type="xsd:double"&gt;2362.82&lt;/D&gt;&lt;D xsi:type="xsd:double"&gt;2365.38&lt;/D&gt;&lt;D xsi:type="xsd:double"&gt;2351.16&lt;/D&gt;&lt;D xsi:type="xsd:double"&gt;2347.22&lt;/D&gt;&lt;D xsi:type="xsd:double"&gt;2349.25&lt;/D&gt;&lt;D xsi:type="xsd:double"&gt;2337.58&lt;/D&gt;&lt;D xsi:type="xsd:double"&gt;2328.25&lt;/D&gt;&lt;D xsi:type="xsd:double"&gt;2316.1&lt;/D&gt;&lt;D xsi:type="xsd:double"&gt;2307.87&lt;/D&gt;&lt;D xsi:type="xsd:double"&gt;2294.67&lt;/D&gt;&lt;D xsi:type="xsd:double"&gt;2293.08&lt;/D&gt;&lt;D xsi:type="xsd:double"&gt;2292.56&lt;/D&gt;&lt;D xsi:type="xsd:double"&gt;2297.42&lt;/D&gt;&lt;D xsi:type="xsd:double"&gt;2280.85&lt;/D&gt;&lt;D xsi:type="xsd:double"&gt;2279.55&lt;/D&gt;&lt;D xsi:type="xsd:double"&gt;2278.87&lt;/D&gt;&lt;D xsi:type="xsd:double"&gt;2280.9&lt;/D&gt;&lt;D xsi:type="xsd:double"&gt;2294.69&lt;/D&gt;&lt;D xsi:type="xsd:double"&gt;2296.68&lt;/D&gt;&lt;D xsi:type="xsd:double"&gt;2298.37&lt;/D&gt;&lt;D xsi:type="xsd:double"&gt;2280.07&lt;/D&gt;&lt;D xsi:type="xsd:double"&gt;2265.2&lt;/D&gt;&lt;D xsi:type="xsd:double"&gt;2271.31&lt;/D&gt;&lt;D xsi:type="xsd:double"&gt;2263.69&lt;/D&gt;&lt;D xsi:type="xsd:double"&gt;2271.89&lt;/D&gt;&lt;D xsi:type="xsd:double"&gt;2267.89&lt;/D&gt;&lt;D xsi:type="xsd:double"&gt;2274.64&lt;/D&gt;&lt;D xsi:type="xsd:double"&gt;2270.44&lt;/D&gt;&lt;D xsi:type="xsd:double"&gt;2275.32&lt;/D&gt;&lt;D xsi:type="xsd:double"&gt;2268.9&lt;/D&gt;&lt;D xsi:type="xsd:double"&gt;2268.9&lt;/D&gt;&lt;D xsi:type="xsd:double"&gt;2276.98&lt;/D&gt;&lt;D xsi:type="xsd:double"&gt;2269&lt;/D&gt;&lt;D xsi:type="xsd:double"&gt;2270.75&lt;/D&gt;&lt;D xsi:type="xsd:double"&gt;2257.83&lt;/D&gt;&lt;D xsi:type="xsd:double"&gt;2238.83&lt;/D&gt;&lt;D xsi:type="xsd:double"&gt;2249.26&lt;/D&gt;&lt;D xsi:type="xsd:double"&gt;2249.92&lt;/D&gt;&lt;D xsi:type="xsd:double"&gt;2268.88&lt;/D&gt;&lt;D xsi:type="xsd:double"&gt;2263.79&lt;/D&gt;&lt;D xsi:type="xsd:double"&gt;2260.96&lt;/D&gt;&lt;D xsi:type="xsd:double"&gt;2265.18&lt;/D&gt;&lt;D xsi:type="xsd:double"&gt;2270.76&lt;/D&gt;&lt;D xsi:type="xsd:double"&gt;2262.53&lt;/D&gt;&lt;D xsi:type="xsd:double"&gt;2258.07&lt;/D&gt;&lt;D xsi:type="xsd:double"&gt;2262.03&lt;/D&gt;&lt;D xsi:type="xsd:double"&gt;2253.28&lt;/D&gt;&lt;D xsi:type="xsd:double"&gt;2271.72&lt;/D&gt;&lt;D xsi:type="xsd:double"&gt;2256.96&lt;/D&gt;&lt;D xsi:type="xsd:double"&gt;2259.53&lt;/D&gt;&lt;D xsi:type="xsd:double"&gt;2246.19&lt;/D&gt;&lt;D xsi:type="xsd:double"&gt;2241.35&lt;/D&gt;&lt;D xsi:type="xsd:double"&gt;2212.23&lt;/D&gt;&lt;D xsi:type="xsd:double"&gt;2204.71&lt;/D&gt;&lt;D xsi:type="xsd:double"&gt;2191.95&lt;/D&gt;&lt;D xsi:type="xsd:double"&gt;2191.08&lt;/D&gt;&lt;D xsi:type="xsd:double"&gt;2198.81&lt;/D&gt;&lt;D xsi:type="xsd:double"&gt;2204.66&lt;/D&gt;&lt;D xsi:type="xsd:double"&gt;2201.72&lt;/D&gt;&lt;D xsi:type="xsd:double"&gt;2213.35&lt;/D&gt;&lt;D xsi:type="xsd:double"&gt;2204.72&lt;/D&gt;&lt;/FQL&gt;&lt;FQL&gt;&lt;Q&gt;DAL-US^FG_PRICE(NOW,-5AY)&lt;/Q&gt;&lt;R&gt;1261&lt;/R&gt;&lt;C&gt;1&lt;/C&gt;&lt;D xsi:type="xsd:double"&gt;36.38&lt;/D&gt;&lt;D xsi:type="xsd:double"&gt;39.69&lt;/D&gt;&lt;D xsi:type="xsd:double"&gt;39.53&lt;/D&gt;&lt;D xsi:type="xsd:double"&gt;39.77&lt;/D&gt;&lt;D xsi:type="xsd:double"&gt;39.69&lt;/D&gt;&lt;D xsi:type="xsd:double"&gt;40.12&lt;/D&gt;&lt;D xsi:type="xsd:double"&gt;40.71&lt;/D&gt;&lt;D xsi:type="xsd:double"&gt;41.04&lt;/D&gt;&lt;D xsi:type="xsd:double"&gt;42.38&lt;/D&gt;&lt;D xsi:type="xsd:double"&gt;42.22&lt;/D&gt;&lt;D xsi:type="xsd:double"&gt;43.45&lt;/D&gt;&lt;D xsi:type="xsd:double"&gt;43.71&lt;/D&gt;&lt;D xsi:type="xsd:double"&gt;44.53&lt;/D&gt;&lt;D xsi:type="xsd:double"&gt;44.65&lt;/D&gt;&lt;D xsi:type="xsd:double"&gt;44.29&lt;/D&gt;&lt;D xsi:type="xsd:double"&gt;40.99&lt;/D&gt;&lt;D xsi:type="xsd:double"&gt;41.24&lt;/D&gt;&lt;D xsi:type="xsd:double"&gt;40.39&lt;/D&gt;&lt;D xsi:type="xsd:double"&gt;40.42&lt;/D&gt;&lt;D xsi:type="xsd:double"&gt;39.13&lt;/D&gt;&lt;D xsi:type="xsd:double"&gt;39.15&lt;/D&gt;&lt;D xsi:type="xsd:double"&gt;39.07&lt;/D&gt;&lt;D xsi:type="xsd:double"&gt;39.71&lt;/D&gt;&lt;D xsi:type="xsd:double"&gt;39.51&lt;/D&gt;&lt;D xsi:type="xsd:double"&gt;39.74&lt;/D&gt;&lt;D xsi:type="xsd:double"&gt;40.4&lt;/D&gt;&lt;D xsi:type="xsd:double"&gt;40.3&lt;/D&gt;&lt;D xsi:type="xsd:double"&gt;40.45&lt;/D&gt;&lt;D xsi:type="xsd:double"&gt;41.01&lt;/D&gt;&lt;D xsi:type="xsd:double"&gt;40.99&lt;/D&gt;&lt;D xsi:type="xsd:double"&gt;41.2&lt;/D&gt;&lt;D xsi:type="xsd:double"&gt;41.03&lt;/D&gt;&lt;D xsi:type="xsd:double"&gt;43.54&lt;/D&gt;&lt;D xsi:type="xsd:double"&gt;43.19&lt;/D&gt;&lt;D xsi:type="xsd:double"&gt;43.38&lt;/D&gt;&lt;D xsi:type="xsd:double"&gt;43.68&lt;/D&gt;&lt;D xsi:type="xsd:double"&gt;44.02&lt;/D&gt;&lt;D xsi:type="xsd:double"&gt;44.74&lt;/D&gt;&lt;D xsi:type="xsd:double"&gt;44.96&lt;/D&gt;&lt;D xsi:type="xsd:double"&gt;45.38&lt;/D&gt;&lt;D xsi:type="xsd:double"&gt;42.61&lt;/D&gt;&lt;D xsi:type="xsd:double"&gt;43.36&lt;/D&gt;&lt;D xsi:type="xsd:double"&gt;43.44&lt;/D&gt;&lt;D xsi:type="xsd:double"&gt;43.78&lt;/D&gt;&lt;D xsi:type="xsd:double"&gt;43.53&lt;/D&gt;&lt;D xsi:type="xsd:double"&gt;42.59&lt;/D&gt;&lt;D xsi:type="xsd:double"&gt;41.59&lt;/D&gt;&lt;D xsi:type="xsd:double"&gt;40.36&lt;/D&gt;&lt;D xsi:type="xsd:double"&gt;40.78&lt;/D&gt;&lt;D xsi:type="xsd:double"&gt;40.11&lt;/D&gt;&lt;D xsi:type="xsd:double"&gt;40.22&lt;/D&gt;&lt;D xsi:type="xsd:double"&gt;39.64&lt;/D&gt;&lt;D xsi:type="xsd:double"&gt;39.44&lt;/D&gt;&lt;D xsi:type="xsd:double"&gt;40.18&lt;/D&gt;&lt;D xsi:type="xsd:double"&gt;39.36&lt;/D&gt;&lt;D xsi:type="xsd:double"&gt;41.09&lt;/D&gt;&lt;D xsi:type="xsd:double"&gt;39.65&lt;/D&gt;&lt;D xsi:type="xsd:double"&gt;40.35&lt;/D&gt;&lt;D xsi:type="xsd:double"&gt;40.25&lt;/D&gt;&lt;D xsi:type="xsd:double"&gt;40.82&lt;/D&gt;&lt;D xsi:type="xsd:double"&gt;40.4&lt;/D&gt;&lt;D xsi:type="xsd:double"&gt;40.44&lt;/D&gt;&lt;D xsi:type="xsd:double"&gt;39.91&lt;/D&gt;&lt;D xsi:type="xsd:double"&gt;41.52&lt;/D&gt;&lt;D xsi:type="xsd:double"&gt;40.77&lt;/D&gt;&lt;D xsi:type="xsd:double"&gt;41.3&lt;/D&gt;&lt;D xsi:type="xsd:double"&gt;40.53&lt;/D&gt;&lt;D xsi:type="xsd:double"&gt;39.21&lt;/D&gt;&lt;D xsi:type="xsd:double"&gt;38.12&lt;/D&gt;&lt;D xsi:type="xsd:double"&gt;37.93&lt;/D&gt;&lt;D xsi:type="xsd:double"&gt;38.65&lt;/D&gt;&lt;D xsi:type="xsd:double"&gt;38.78&lt;/D&gt;&lt;D xsi:type="xsd:double"&gt;39.93&lt;/D&gt;&lt;D xsi:type="xsd:double"&gt;39.9&lt;/D&gt;&lt;D xsi:type="xsd:double"&gt;40.53&lt;/D&gt;&lt;D xsi:type="xsd:double"&gt;41.3&lt;/D&gt;&lt;D xsi:type="xsd:double"&gt;40.46&lt;/D&gt;&lt;D xsi:type="xsd:double"&gt;39.29&lt;/D&gt;&lt;D xsi:type="xsd:double"&gt;40.32&lt;/D&gt;&lt;D xsi:type="xsd:double"&gt;39.99&lt;/D&gt;&lt;D xsi:type="xsd:double"&gt;38.35&lt;/D&gt;&lt;D xsi:type="xsd:double"&gt;39.77&lt;/D&gt;&lt;D xsi:type="xsd:double"&gt;39.45&lt;/D&gt;&lt;D xsi:type="xsd:double"&gt;39.9&lt;/D&gt;&lt;D xsi:type="xsd:double"&gt;41.23&lt;/D&gt;&lt;D xsi:type="xsd:double"&gt;41.3&lt;/D&gt;&lt;D xsi:type="xsd:double"&gt;40.96&lt;/D&gt;&lt;D xsi:type="xsd:double"&gt;41.67&lt;/D&gt;&lt;D xsi:type="xsd:double"&gt;40.41&lt;/D&gt;&lt;D xsi:type="xsd:double"&gt;41.06&lt;/D&gt;&lt;D xsi:type="xsd:double"&gt;41.61&lt;/D&gt;&lt;D xsi:type="xsd:double"&gt;40.66&lt;/D&gt;&lt;D xsi:type="xsd:double"&gt;38.56&lt;/D&gt;&lt;D xsi:type="xsd:double"&gt;40.06&lt;/D&gt;&lt;D xsi:type="xsd:double"&gt;41.35&lt;/D&gt;&lt;D xsi:type="xsd:double"&gt;40.68&lt;/D&gt;&lt;D xsi:type="xsd:double"&gt;41.33&lt;/D&gt;&lt;D xsi:type="xsd:double"&gt;42.85&lt;/D&gt;&lt;D xsi:type="xsd:double"&gt;42.92&lt;/D&gt;&lt;D xsi:type="xsd:double"&gt;42.07&lt;/D&gt;&lt;D xsi:type="xsd:double"&gt;42.54&lt;/D&gt;&lt;D xsi:type="xsd:double"&gt;43.24&lt;/D&gt;&lt;D xsi:type="xsd:double"&gt;44.15&lt;/D&gt;&lt;D xsi:type="xsd:double"&gt;44.23&lt;/D&gt;&lt;D xsi:type="xsd:double"&gt;43.26&lt;/D&gt;&lt;D xsi:type="xsd:double"&gt;42.87&lt;/D&gt;&lt;D xsi:type="xsd:double"&gt;43.12&lt;/D&gt;&lt;D xsi:type="xsd:double"&gt;44.43&lt;/D&gt;&lt;D xsi:type="xsd:double"&gt;44.91&lt;/D&gt;&lt;D xsi:type="xsd:double"&gt;45.27&lt;/D&gt;&lt;D xsi:type="xsd:double"&gt;45.37&lt;/D&gt;&lt;D xsi:type="xsd:double"&gt;45.77&lt;/D&gt;&lt;D xsi:type="xsd:double"&gt;44.96&lt;/D&gt;&lt;D xsi:type="xsd:double"&gt;44.57&lt;/D&gt;&lt;D xsi:type="xsd:double"&gt;45.52&lt;/D&gt;&lt;D xsi:type="xsd:double"&gt;45.53&lt;/D&gt;&lt;D xsi:type="xsd:double"&gt;45.9&lt;/D&gt;&lt;D xsi:type="xsd:double"&gt;46.5&lt;/D&gt;&lt;D xsi:type="xsd:double"&gt;46.28&lt;/D&gt;&lt;D xsi:type="xsd:double"&gt;46.52&lt;/D&gt;&lt;D xsi:type="xsd:double"&gt;47.04&lt;/D&gt;&lt;D xsi:type="xsd:double"&gt;46.08&lt;/D&gt;&lt;D xsi:type="xsd:double"&gt;45.98&lt;/D&gt;&lt;D xsi:type="xsd:double"&gt;46.13&lt;/D&gt;&lt;D xsi:type="xsd:double"&gt;47.77&lt;/D&gt;&lt;D xsi:type="xsd:double"&gt;47.7&lt;/D&gt;&lt;D xsi:type="xsd:double"&gt;47.68&lt;/D&gt;&lt;D xsi:type="xsd:double"&gt;48.05&lt;/D&gt;&lt;D xsi:type="xsd:double"&gt;47.49&lt;/D&gt;&lt;D xsi:type="xsd:double"&gt;46.67&lt;/D&gt;&lt;D xsi:type="xsd:double"&gt;46.17&lt;/D&gt;&lt;D xsi:type="xsd:double"&gt;45.21&lt;/D&gt;&lt;D xsi:type="xsd:double"&gt;45.41&lt;/D&gt;&lt;D xsi:type="xsd:double"&gt;46.14&lt;/D&gt;&lt;D xsi:type="xsd:double"&gt;46.73&lt;/D&gt;&lt;D xsi:type="xsd:double"&gt;46.75&lt;/D&gt;&lt;D xsi:type="xsd:double"&gt;46.31&lt;/D&gt;&lt;D xsi:type="xsd:double"&gt;43.97&lt;/D&gt;&lt;D xsi:type="xsd:double"&gt;43.03&lt;/D&gt;&lt;D xsi:type="xsd:double"&gt;44.52&lt;/D&gt;&lt;D xsi:type="xsd:double"&gt;45.43&lt;/D&gt;&lt;D xsi:type="xsd:double"&gt;46.11&lt;/D&gt;&lt;D xsi:type="xsd:double"&gt;44.93&lt;/D&gt;&lt;D xsi:type="xsd:double"&gt;45.2&lt;/D&gt;&lt;D xsi:type="xsd:double"&gt;44.66&lt;/D&gt;&lt;D xsi:type="xsd:double"&gt;46.57&lt;/D&gt;&lt;D xsi:type="xsd:double"&gt;46.92&lt;/D&gt;&lt;D xsi:type="xsd:double"&gt;46.38&lt;/D&gt;&lt;D xsi:type="xsd:double"&gt;46.44&lt;/D&gt;&lt;D xsi:type="xsd:double"&gt;46.34&lt;/D&gt;&lt;D xsi:type="xsd:double"&gt;46.61&lt;/D&gt;&lt;D xsi:type="xsd:double"&gt;45.8&lt;/D&gt;&lt;D xsi:type="xsd:double"&gt;44.65&lt;/D&gt;&lt;D xsi:type="xsd:double"&gt;45.7&lt;/D&gt;&lt;D xsi:type="xsd:double"&gt;44.45&lt;/D&gt;&lt;D xsi:type="xsd:double"&gt;46.15&lt;/D&gt;&lt;D xsi:type="xsd:double"&gt;46.64&lt;/D&gt;&lt;D xsi:type="xsd:double"&gt;46.82&lt;/D&gt;&lt;D xsi:type="xsd:double"&gt;48.17&lt;/D&gt;&lt;D xsi:type="xsd:double"&gt;48.26&lt;/D&gt;&lt;D xsi:type="xsd:double"&gt;48.82&lt;/D&gt;&lt;D xsi:type="xsd:double"&gt;49.27&lt;/D&gt;&lt;D xsi:type="xsd:double"&gt;49.81&lt;/D&gt;&lt;D xsi:type="xsd:double"&gt;50.2&lt;/D&gt;&lt;D xsi:type="xsd:double"&gt;51.65&lt;/D&gt;&lt;D xsi:type="xsd:double"&gt;50.25&lt;/D&gt;&lt;D xsi:type="xsd:double"&gt;48.83&lt;/D&gt;&lt;D xsi:type="xsd:double"&gt;48.28&lt;/D&gt;&lt;D xsi:type="xsd:double"&gt;48.9&lt;/D&gt;&lt;D xsi:type="xsd:double"&gt;47.32&lt;/D&gt;&lt;D xsi:type="xsd:double"&gt;47.66&lt;/D&gt;&lt;D xsi:type="xsd:double"&gt;47.01&lt;/D&gt;&lt;D xsi:type="xsd:double"&gt;45.61&lt;/D&gt;&lt;D xsi:type="xsd:double"&gt;45.64&lt;/D&gt;&lt;D xsi:type="xsd:double"&gt;47.97&lt;/D&gt;&lt;D xsi:type="xsd:double"&gt;49&lt;/D&gt;&lt;D xsi:type="xsd:double"&gt;49.18&lt;/D&gt;&lt;D xsi:type="xsd:double"&gt;50.44&lt;/D&gt;&lt;D xsi:type="xsd:double"&gt;49.39&lt;/D&gt;&lt;D xsi:type="xsd:double"&gt;50.99&lt;/D&gt;&lt;D xsi:type="xsd:double"&gt;49.83&lt;/D&gt;&lt;D xsi:type="xsd:double"&gt;48.32&lt;/D&gt;&lt;D xsi:type="xsd:double"&gt;47.8&lt;/D&gt;&lt;D xsi:type="xsd:double"&gt;47.62&lt;/D&gt;&lt;D xsi:type="xsd:double"&gt;47.88&lt;/D&gt;&lt;D xsi:type="xsd:double"&gt;46.21&lt;/D&gt;&lt;D xsi:type="xsd:double"&gt;46.96&lt;/D&gt;&lt;D xsi:type="xsd:double"&gt;48.35&lt;/D&gt;&lt;D xsi:type="xsd:double"&gt;48.23&lt;/D&gt;&lt;D xsi:type="xsd:double"&gt;48.06&lt;/D&gt;&lt;D xsi:type="xsd:double"&gt;47.94&lt;/D&gt;&lt;D xsi:type="xsd:double"&gt;48.25&lt;/D&gt;&lt;D xsi:type="xsd:double"&gt;49.6&lt;/D&gt;&lt;D xsi:type="xsd:double"&gt;48.34&lt;/D&gt;&lt;D xsi:type="xsd:double"&gt;47.74&lt;/D&gt;&lt;D xsi:type="xsd:double"&gt;45.67&lt;/D&gt;&lt;D xsi:type="xsd:double"&gt;44.38&lt;/D&gt;&lt;D xsi:type="xsd:double"&gt;44.39&lt;/D&gt;&lt;D xsi:type="xsd:double"&gt;44.65&lt;/D&gt;&lt;D xsi:type="xsd:double"&gt;43.29&lt;/D&gt;&lt;D xsi:type="xsd:double"&gt;42.72&lt;/D&gt;&lt;D xsi:type="xsd:double"&gt;42.9&lt;/D&gt;&lt;D xsi:type="xsd:double"&gt;42.51&lt;/D&gt;&lt;D xsi:type="xsd:double"&gt;43.24&lt;/D&gt;&lt;D xsi:type="xsd:double"&gt;41.15&lt;/D&gt;&lt;D xsi:type="xsd:double"&gt;40.93&lt;/D&gt;&lt;D xsi:type="xsd:double"&gt;39.78&lt;/D&gt;&lt;D xsi:type="xsd:double"&gt;38.8&lt;/D&gt;&lt;D xsi:type="xsd:double"&gt;37.82&lt;/D&gt;&lt;D xsi:type="xsd:double"&gt;37.96&lt;/D&gt;&lt;D xsi:type="xsd:double"&gt;40.08&lt;/D&gt;&lt;D xsi:type="xsd:double"&gt;38.52&lt;/D&gt;&lt;D xsi:type="xsd:double"&gt;39.32&lt;/D&gt;&lt;D xsi:type="xsd:double"&gt;38.9&lt;/D&gt;&lt;D xsi:type="xsd:double"&gt;40&lt;/D&gt;&lt;D xsi:type="xsd:double"&gt;40.67&lt;/D&gt;&lt;D xsi:type="xsd:double"&gt;41.62&lt;/D&gt;&lt;D xsi:type="xsd:double"&gt;40.31&lt;/D&gt;&lt;D xsi:type="xsd:double"&gt;39.98&lt;/D&gt;&lt;D xsi:type="xsd:double"&gt;41.47&lt;/D&gt;&lt;D xsi:type="xsd:double"&gt;40.45&lt;/D&gt;&lt;D xsi:type="xsd:double"&gt;40.3&lt;/D&gt;&lt;D xsi:type="xsd:double"&gt;39.41&lt;/D&gt;&lt;D xsi:type="xsd:double"&gt;40.02&lt;/D&gt;&lt;D xsi:type="xsd:double"&gt;40.23&lt;/D&gt;&lt;D xsi:type="xsd:double"&gt;40.38&lt;/D&gt;&lt;D xsi:type="xsd:double"&gt;39.55&lt;/D&gt;&lt;D xsi:type="xsd:double"&gt;38.73&lt;/D&gt;&lt;D xsi:type="xsd:double"&gt;40.21&lt;/D&gt;&lt;D xsi:type="xsd:double"&gt;40.56&lt;/D&gt;&lt;D xsi:type="xsd:double"&gt;40.03&lt;/D&gt;&lt;D xsi:type="xsd:double"&gt;40.15&lt;/D&gt;&lt;D xsi:type="xsd:double"&gt;39.73&lt;/D&gt;&lt;D xsi:type="xsd:double"&gt;40.24&lt;/D&gt;&lt;D xsi:type="xsd:double"&gt;38.94&lt;/D&gt;&lt;D xsi:type="xsd:double"&gt;40.14&lt;/D&gt;&lt;D xsi:type="xsd:double"&gt;40.68&lt;/D&gt;&lt;D xsi:type="xsd:double"&gt;41.11&lt;/D&gt;&lt;D xsi:type="xsd:double"&gt;41.08&lt;/D&gt;&lt;D xsi:type="xsd:double"&gt;41.85&lt;/D&gt;&lt;D xsi:type="xsd:double"&gt;40.69&lt;/D&gt;&lt;D xsi:type="xsd:double"&gt;41.74&lt;/D&gt;&lt;D xsi:type="xsd:double"&gt;42.62&lt;/D&gt;&lt;D xsi:type="xsd:double"&gt;42.11&lt;/D&gt;&lt;D xsi:type="xsd:double"&gt;42.41&lt;/D&gt;&lt;D xsi:type="xsd:double"&gt;42.35&lt;/D&gt;&lt;D xsi:type="xsd:double"&gt;42.36&lt;/D&gt;&lt;D xsi:type="xsd:double"&gt;42.95&lt;/D&gt;&lt;D xsi:type="xsd:double"&gt;41.07&lt;/D&gt;&lt;D xsi:type="xsd:double"&gt;39.96&lt;/D&gt;&lt;D xsi:type="xsd:double"&gt;40.25&lt;/D&gt;&lt;D xsi:type="xsd:double"&gt;41.06&lt;/D&gt;&lt;D xsi:type="xsd:double"&gt;41.29&lt;/D&gt;&lt;D xsi:type="xsd:double"&gt;41.26&lt;/D&gt;&lt;D xsi:type="xsd:double"&gt;38.79&lt;/D&gt;&lt;D xsi:type="xsd:double"&gt;37.13&lt;/D&gt;&lt;D xsi:type="xsd:double"&gt;37.91&lt;/D&gt;&lt;D xsi:type="xsd:double"&gt;37.91&lt;/D&gt;&lt;D xsi:type="xsd:double"&gt;37.6&lt;/D&gt;&lt;D xsi:type="xsd:double"&gt;38&lt;/D&gt;&lt;D xsi:type="xsd:double"&gt;36.46&lt;/D&gt;&lt;D xsi:type="xsd:double"&gt;34.38&lt;/D&gt;&lt;D xsi:type="xsd:double"&gt;35.02&lt;/D&gt;&lt;D xsi:type="xsd:double"&gt;37.04&lt;/D&gt;&lt;D xsi:type="xsd:double"&gt;36.77&lt;/D&gt;&lt;D xsi:type="xsd:double"&gt;31.42&lt;/D&gt;&lt;D xsi:type="xsd:double"&gt;31.98&lt;/D&gt;&lt;D xsi:type="xsd:double"&gt;30.43&lt;/D&gt;&lt;D xsi:type="xsd:double"&gt;30.9&lt;/D&gt;&lt;D xsi:type="xsd:double"&gt;30.22&lt;/D&gt;&lt;D xsi:type="xsd:double"&gt;30.64&lt;/D&gt;&lt;D xsi:type="xsd:double"&gt;30.76&lt;/D&gt;&lt;D xsi:type="xsd:double"&gt;29.65&lt;/D&gt;&lt;D xsi:type="xsd:double"&gt;30.71&lt;/D&gt;&lt;D xsi:type="xsd:double"&gt;31.93&lt;/D&gt;&lt;D xsi:type="xsd:double"&gt;34&lt;/D&gt;&lt;D xsi:type="xsd:double"&gt;33.72&lt;/D&gt;&lt;D xsi:type="xsd:double"&gt;31.5&lt;/D&gt;&lt;D xsi:type="xsd:double"&gt;31.98&lt;/D&gt;&lt;D xsi:type="xsd:double"&gt;31.5&lt;/D&gt;&lt;D xsi:type="xsd:double"&gt;31.47&lt;/D&gt;&lt;D xsi:type="xsd:double"&gt;31.34&lt;/D&gt;&lt;D xsi:type="xsd:double"&gt;31.76&lt;/D&gt;&lt;D xsi:type="xsd:double"&gt;31.77&lt;/D&gt;&lt;D xsi:type="xsd:double"&gt;32.64&lt;/D&gt;&lt;D xsi:type="xsd:double"&gt;32.81&lt;/D&gt;&lt;D xsi:type="xsd:double"&gt;32.68&lt;/D&gt;&lt;D xsi:type="xsd:double"&gt;32.15&lt;/D&gt;&lt;D xsi:type="xsd:double"&gt;31.06&lt;/D&gt;&lt;D xsi:type="xsd:double"&gt;32&lt;/D&gt;&lt;D xsi:type="xsd:double"&gt;31.75&lt;/D&gt;&lt;D xsi:type="xsd:double"&gt;31.1&lt;/D&gt;&lt;D xsi:type="xsd:double"&gt;30.58&lt;/D&gt;&lt;D xsi:type="xsd:double"&gt;30.61&lt;/D&gt;&lt;D xsi:type="xsd:double"&gt;31.34&lt;/D&gt;&lt;D xsi:type="xsd:double"&gt;29.78&lt;/D&gt;&lt;D xsi:type="xsd:double"&gt;29.01&lt;/D&gt;&lt;D xsi:type="xsd:double"&gt;29.56&lt;/D&gt;&lt;D xsi:type="xsd:double"&gt;30.22&lt;/D&gt;&lt;D xsi:type="xsd:double"&gt;29.82&lt;/D&gt;&lt;D xsi:type="xsd:double"&gt;32.84&lt;/D&gt;&lt;D xsi:type="xsd:double"&gt;33.96&lt;/D&gt;&lt;D xsi:type="xsd:double"&gt;34.57&lt;/D&gt;&lt;D xsi:type="xsd:double"&gt;33.51&lt;/D&gt;&lt;D xsi:type="xsd:double"&gt;32.82&lt;/D&gt;&lt;D xsi:type="xsd:double"&gt;31.7&lt;/D&gt;&lt;D xsi:type="xsd:double"&gt;31.79&lt;/D&gt;&lt;D xsi:type="xsd:double"&gt;31.76&lt;/D&gt;&lt;D xsi:type="xsd:double"&gt;32.54&lt;/D&gt;&lt;D xsi:type="xsd:double"&gt;31.77&lt;/D&gt;&lt;D xsi:type="xsd:double"&gt;31.22&lt;/D&gt;&lt;D xsi:type="xsd:double"&gt;31.14&lt;/D&gt;&lt;D xsi:type="xsd:double"&gt;30.71&lt;/D&gt;&lt;D xsi:type="xsd:double"&gt;30.85&lt;/D&gt;&lt;D xsi:type="xsd:double"&gt;31.99&lt;/D&gt;&lt;D xsi:type="xsd:double"&gt;30.82&lt;/D&gt;&lt;D xsi:type="xsd:double"&gt;29.95&lt;/D&gt;&lt;D xsi:type="xsd:double"&gt;30.1&lt;/D&gt;&lt;D xsi:type="xsd:double"&gt;29.8&lt;/D&gt;&lt;D xsi:type="xsd:double"&gt;27.27&lt;/D&gt;&lt;D xsi:type="xsd:double"&gt;27.62&lt;/D&gt;&lt;D xsi:type="xsd:double"&gt;27.67&lt;/D&gt;&lt;D xsi:type="xsd:double"&gt;27.63&lt;/D&gt;&lt;D xsi:type="xsd:double"&gt;28.02&lt;/D&gt;&lt;D xsi:type="xsd:double"&gt;28.95&lt;/D&gt;&lt;D xsi:type="xsd:double"&gt;28.7&lt;/D&gt;&lt;D xsi:type="xsd:double"&gt;29.09&lt;/D&gt;&lt;D xsi:type="xsd:double"&gt;29.64&lt;/D&gt;&lt;D xsi:type="xsd:double"&gt;29.34&lt;/D&gt;&lt;D xsi:type="xsd:double"&gt;27.18&lt;/D&gt;&lt;D xsi:type="xsd:double"&gt;27.08&lt;/D&gt;&lt;D xsi:type="xsd:double"&gt;26.47&lt;/D&gt;&lt;D xsi:type="xsd:double"&gt;25.67&lt;/D&gt;&lt;D xsi:type="xsd:double"&gt;25.2&lt;/D&gt;&lt;D xsi:type="xsd:double"&gt;24.97&lt;/D&gt;&lt;D xsi:type="xsd:double"&gt;24.94&lt;/D&gt;&lt;D xsi:type="xsd:double"&gt;25.72&lt;/D&gt;&lt;D xsi:type="xsd:double"&gt;25.94&lt;/D&gt;&lt;D xsi:type="xsd:double"&gt;25.5&lt;/D&gt;&lt;D xsi:type="xsd:double"&gt;25.96&lt;/D&gt;&lt;D xsi:type="xsd:double"&gt;26.78&lt;/D&gt;&lt;D xsi:type="xsd:double"&gt;26.25&lt;/D&gt;&lt;D xsi:type="xsd:double"&gt;26.43&lt;/D&gt;&lt;D xsi:type="xsd:double"&gt;26.22&lt;/D&gt;&lt;D xsi:type="xsd:double"&gt;27.05&lt;/D&gt;&lt;D xsi:type="xsd:double"&gt;27.26&lt;/D&gt;&lt;D xsi:type="xsd:double"&gt;28.6&lt;/D&gt;&lt;D xsi:type="xsd:double"&gt;26.11&lt;/D&gt;&lt;D xsi:type="xsd:double"&gt;26.82&lt;/D&gt;&lt;D xsi:type="xsd:double"&gt;27.09&lt;/D&gt;&lt;D xsi:type="xsd:double"&gt;25.65&lt;/D&gt;&lt;D xsi:type="xsd:double"&gt;27.01&lt;/D&gt;&lt;D xsi:type="xsd:double"&gt;27.01&lt;/D&gt;&lt;D xsi:type="xsd:double"&gt;28.44&lt;/D&gt;&lt;D xsi:type="xsd:double"&gt;27.72&lt;/D&gt;&lt;D xsi:type="xsd:double"&gt;27.7&lt;</t>
        </r>
      </text>
    </comment>
    <comment ref="A11" authorId="0" shapeId="0" xr:uid="{29604DA0-7AAC-40FD-8C3D-63D0CC7541AE}">
      <text>
        <r>
          <rPr>
            <b/>
            <sz val="9"/>
            <color indexed="81"/>
            <rFont val="Tahoma"/>
            <charset val="1"/>
          </rPr>
          <t>/D&gt;&lt;D xsi:type="xsd:double"&gt;28.05&lt;/D&gt;&lt;D xsi:type="xsd:double"&gt;28.61&lt;/D&gt;&lt;D xsi:type="xsd:double"&gt;26.91&lt;/D&gt;&lt;D xsi:type="xsd:double"&gt;28.01&lt;/D&gt;&lt;D xsi:type="xsd:double"&gt;27.34&lt;/D&gt;&lt;D xsi:type="xsd:double"&gt;29.64&lt;/D&gt;&lt;D xsi:type="xsd:double"&gt;29.31&lt;/D&gt;&lt;D xsi:type="xsd:double"&gt;29.51&lt;/D&gt;&lt;D xsi:type="xsd:double"&gt;30.79&lt;/D&gt;&lt;D xsi:type="xsd:double"&gt;30.72&lt;/D&gt;&lt;D xsi:type="xsd:double"&gt;31.3&lt;/D&gt;&lt;D xsi:type="xsd:double"&gt;30.46&lt;/D&gt;&lt;D xsi:type="xsd:double"&gt;30.43&lt;/D&gt;&lt;D xsi:type="xsd:double"&gt;27.2&lt;/D&gt;&lt;D xsi:type="xsd:double"&gt;31.64&lt;/D&gt;&lt;D xsi:type="xsd:double"&gt;34.17&lt;/D&gt;&lt;D xsi:type="xsd:double"&gt;36.97&lt;/D&gt;&lt;D xsi:type="xsd:double"&gt;34.16&lt;/D&gt;&lt;D xsi:type="xsd:double"&gt;32.38&lt;/D&gt;&lt;D xsi:type="xsd:double"&gt;28.47&lt;/D&gt;&lt;D xsi:type="xsd:double"&gt;26.41&lt;/D&gt;&lt;D xsi:type="xsd:double"&gt;26.17&lt;/D&gt;&lt;D xsi:type="xsd:double"&gt;25.21&lt;/D&gt;&lt;D xsi:type="xsd:double"&gt;25.66&lt;/D&gt;&lt;D xsi:type="xsd:double"&gt;26.32&lt;/D&gt;&lt;D xsi:type="xsd:double"&gt;25.65&lt;/D&gt;&lt;D xsi:type="xsd:double"&gt;22.69&lt;/D&gt;&lt;D xsi:type="xsd:double"&gt;23.16&lt;/D&gt;&lt;D xsi:type="xsd:double"&gt;22.72&lt;/D&gt;&lt;D xsi:type="xsd:double"&gt;21.76&lt;/D&gt;&lt;D xsi:type="xsd:double"&gt;21.86&lt;/D&gt;&lt;D xsi:type="xsd:double"&gt;19.19&lt;/D&gt;&lt;D xsi:type="xsd:double"&gt;19.38&lt;/D&gt;&lt;D xsi:type="xsd:double"&gt;19.41&lt;/D&gt;&lt;D xsi:type="xsd:double"&gt;21.03&lt;/D&gt;&lt;D xsi:type="xsd:double"&gt;22.01&lt;/D&gt;&lt;D xsi:type="xsd:double"&gt;22.72&lt;/D&gt;&lt;D xsi:type="xsd:double"&gt;21.68&lt;/D&gt;&lt;D xsi:type="xsd:double"&gt;21&lt;/D&gt;&lt;D xsi:type="xsd:double"&gt;21.71&lt;/D&gt;&lt;D xsi:type="xsd:double"&gt;22.57&lt;/D&gt;&lt;D xsi:type="xsd:double"&gt;24.12&lt;/D&gt;&lt;D xsi:type="xsd:double"&gt;25.91&lt;/D&gt;&lt;D xsi:type="xsd:double"&gt;27.32&lt;/D&gt;&lt;D xsi:type="xsd:double"&gt;24.34&lt;/D&gt;&lt;D xsi:type="xsd:double"&gt;22.16&lt;/D&gt;&lt;D xsi:type="xsd:double"&gt;22.41&lt;/D&gt;&lt;D xsi:type="xsd:double"&gt;22.48&lt;/D&gt;&lt;D xsi:type="xsd:double"&gt;22.47&lt;/D&gt;&lt;D xsi:type="xsd:double"&gt;23.1&lt;/D&gt;&lt;D xsi:type="xsd:double"&gt;23.64&lt;/D&gt;&lt;D xsi:type="xsd:double"&gt;24.27&lt;/D&gt;&lt;D xsi:type="xsd:double"&gt;22.78&lt;/D&gt;&lt;D xsi:type="xsd:double"&gt;24.35&lt;/D&gt;&lt;D xsi:type="xsd:double"&gt;24.54&lt;/D&gt;&lt;D xsi:type="xsd:double"&gt;23.25&lt;/D&gt;&lt;D xsi:type="xsd:double"&gt;24.39&lt;/D&gt;&lt;D xsi:type="xsd:double"&gt;23.23&lt;/D&gt;&lt;D xsi:type="xsd:double"&gt;22.25&lt;/D&gt;&lt;D xsi:type="xsd:double"&gt;22.32&lt;/D&gt;&lt;D xsi:type="xsd:double"&gt;22.48&lt;/D&gt;&lt;D xsi:type="xsd:double"&gt;22.68&lt;/D&gt;&lt;D xsi:type="xsd:double"&gt;23.87&lt;/D&gt;&lt;D xsi:type="xsd:double"&gt;28.53&lt;/D&gt;&lt;D xsi:type="xsd:double"&gt;28.67&lt;/D&gt;&lt;D xsi:type="xsd:double"&gt;29.55&lt;/D&gt;&lt;D xsi:type="xsd:double"&gt;31.7&lt;/D&gt;&lt;D xsi:type="xsd:double"&gt;31.1&lt;/D&gt;&lt;D xsi:type="xsd:double"&gt;26.89&lt;/D&gt;&lt;D xsi:type="xsd:double"&gt;22.22&lt;/D&gt;&lt;D xsi:type="xsd:double"&gt;21.35&lt;/D&gt;&lt;D xsi:type="xsd:double"&gt;21.51&lt;/D&gt;&lt;D xsi:type="xsd:double"&gt;23.49&lt;/D&gt;&lt;D xsi:type="xsd:double"&gt;31.74&lt;/D&gt;&lt;D xsi:type="xsd:double"&gt;35.81&lt;/D&gt;&lt;D xsi:type="xsd:double"&gt;38.36&lt;/D&gt;&lt;D xsi:type="xsd:double"&gt;33.71&lt;/D&gt;&lt;D xsi:type="xsd:double"&gt;42.67&lt;/D&gt;&lt;D xsi:type="xsd:double"&gt;45.47&lt;/D&gt;&lt;D xsi:type="xsd:double"&gt;43.52&lt;/D&gt;&lt;D xsi:type="xsd:double"&gt;45.89&lt;/D&gt;&lt;D xsi:type="xsd:double"&gt;45.01&lt;/D&gt;&lt;D xsi:type="xsd:double"&gt;48.5&lt;/D&gt;&lt;D xsi:type="xsd:double"&gt;46.18&lt;/D&gt;&lt;D xsi:type="xsd:double"&gt;47.16&lt;/D&gt;&lt;D xsi:type="xsd:double"&gt;46.13&lt;/D&gt;&lt;D xsi:type="xsd:double"&gt;48.19&lt;/D&gt;&lt;D xsi:type="xsd:double"&gt;49.59&lt;/D&gt;&lt;D xsi:type="xsd:double"&gt;50.89&lt;/D&gt;&lt;D xsi:type="xsd:double"&gt;54.23&lt;/D&gt;&lt;D xsi:type="xsd:double"&gt;57.87&lt;/D&gt;&lt;D xsi:type="xsd:double"&gt;58.38&lt;/D&gt;&lt;D xsi:type="xsd:double"&gt;58.51&lt;/D&gt;&lt;D xsi:type="xsd:double"&gt;58.72&lt;/D&gt;&lt;D xsi:type="xsd:double"&gt;58.9&lt;/D&gt;&lt;D xsi:type="xsd:double"&gt;59.13&lt;/D&gt;&lt;D xsi:type="xsd:double"&gt;59.47&lt;/D&gt;&lt;D xsi:type="xsd:double"&gt;58.66&lt;/D&gt;&lt;D xsi:type="xsd:double"&gt;57.71&lt;/D&gt;&lt;D xsi:type="xsd:double"&gt;57.92&lt;/D&gt;&lt;D xsi:type="xsd:double"&gt;58.18&lt;/D&gt;&lt;D xsi:type="xsd:double"&gt;58.89&lt;/D&gt;&lt;D xsi:type="xsd:double"&gt;57.93&lt;/D&gt;&lt;D xsi:type="xsd:double"&gt;56.04&lt;/D&gt;&lt;D xsi:type="xsd:double"&gt;55.74&lt;/D&gt;&lt;D xsi:type="xsd:double"&gt;57.1&lt;/D&gt;&lt;D xsi:type="xsd:double"&gt;56.65&lt;/D&gt;&lt;D xsi:type="xsd:double"&gt;57.48&lt;/D&gt;&lt;D xsi:type="xsd:double"&gt;56.83&lt;/D&gt;&lt;D xsi:type="xsd:double"&gt;58.81&lt;/D&gt;&lt;D xsi:type="xsd:double"&gt;60.27&lt;/D&gt;&lt;D xsi:type="xsd:double"&gt;59.64&lt;/D&gt;&lt;D xsi:type="xsd:double"&gt;60.34&lt;/D&gt;&lt;D xsi:type="xsd:double"&gt;62.03&lt;/D&gt;&lt;D xsi:type="xsd:double"&gt;61.88&lt;/D&gt;&lt;D xsi:type="xsd:double"&gt;61.62&lt;/D&gt;&lt;D xsi:type="xsd:double"&gt;61.45&lt;/D&gt;&lt;D xsi:type="xsd:double"&gt;59.49&lt;/D&gt;&lt;D xsi:type="xsd:double"&gt;59.24&lt;/D&gt;&lt;D xsi:type="xsd:double"&gt;58.96&lt;/D&gt;&lt;D xsi:type="xsd:double"&gt;58.85&lt;/D&gt;&lt;D xsi:type="xsd:double"&gt;57.61&lt;/D&gt;&lt;D xsi:type="xsd:double"&gt;57.66&lt;/D&gt;&lt;D xsi:type="xsd:double"&gt;58.06&lt;/D&gt;&lt;D xsi:type="xsd:double"&gt;59.04&lt;/D&gt;&lt;D xsi:type="xsd:double"&gt;58.48&lt;/D&gt;&lt;D xsi:type="xsd:double"&gt;58.66&lt;/D&gt;&lt;D xsi:type="xsd:double"&gt;59.08&lt;/D&gt;&lt;D xsi:type="xsd:double"&gt;59.56&lt;/D&gt;&lt;D xsi:type="xsd:double"&gt;59.39&lt;/D&gt;&lt;D xsi:type="xsd:double"&gt;59.44&lt;/D&gt;&lt;D xsi:type="xsd:double"&gt;58.97&lt;/D&gt;&lt;D xsi:type="xsd:double"&gt;59.14&lt;/D&gt;&lt;D xsi:type="xsd:double"&gt;58.58&lt;/D&gt;&lt;D xsi:type="xsd:double"&gt;58.69&lt;/D&gt;&lt;D xsi:type="xsd:double"&gt;58.42&lt;/D&gt;&lt;D xsi:type="xsd:double"&gt;56.73&lt;/D&gt;&lt;D xsi:type="xsd:double"&gt;56.69&lt;/D&gt;&lt;D xsi:type="xsd:double"&gt;55.08&lt;/D&gt;&lt;D xsi:type="xsd:double"&gt;55.53&lt;/D&gt;&lt;D xsi:type="xsd:double"&gt;55.8&lt;/D&gt;&lt;D xsi:type="xsd:double"&gt;56.14&lt;/D&gt;&lt;D xsi:type="xsd:double"&gt;55.88&lt;/D&gt;&lt;D xsi:type="xsd:double"&gt;56.06&lt;/D&gt;&lt;D xsi:type="xsd:double"&gt;55.62&lt;/D&gt;&lt;D xsi:type="xsd:double"&gt;56.75&lt;/D&gt;&lt;D xsi:type="xsd:double"&gt;57.31&lt;/D&gt;&lt;D xsi:type="xsd:double"&gt;57.07&lt;/D&gt;&lt;D xsi:type="xsd:double"&gt;57.46&lt;/D&gt;&lt;D xsi:type="xsd:double"&gt;56.35&lt;/D&gt;&lt;D xsi:type="xsd:double"&gt;56.11&lt;/D&gt;&lt;D xsi:type="xsd:double"&gt;55.31&lt;/D&gt;&lt;D xsi:type="xsd:double"&gt;55.67&lt;/D&gt;&lt;D xsi:type="xsd:double"&gt;57.07&lt;/D&gt;&lt;D xsi:type="xsd:double"&gt;57.08&lt;/D&gt;&lt;D xsi:type="xsd:double"&gt;56.85&lt;/D&gt;&lt;D xsi:type="xsd:double"&gt;56.55&lt;/D&gt;&lt;D xsi:type="xsd:double"&gt;56.5&lt;/D&gt;&lt;D xsi:type="xsd:double"&gt;57.22&lt;/D&gt;&lt;D xsi:type="xsd:double"&gt;57.21&lt;/D&gt;&lt;D xsi:type="xsd:double"&gt;57.58&lt;/D&gt;&lt;D xsi:type="xsd:double"&gt;57.66&lt;/D&gt;&lt;D xsi:type="xsd:double"&gt;57.58&lt;/D&gt;&lt;D xsi:type="xsd:double"&gt;57.51&lt;/D&gt;&lt;D xsi:type="xsd:double"&gt;56.88&lt;/D&gt;&lt;D xsi:type="xsd:double"&gt;56.02&lt;/D&gt;&lt;D xsi:type="xsd:double"&gt;55.08&lt;/D&gt;&lt;D xsi:type="xsd:double"&gt;55.32&lt;/D&gt;&lt;D xsi:type="xsd:double"&gt;55.38&lt;/D&gt;&lt;D xsi:type="xsd:double"&gt;55.17&lt;/D&gt;&lt;D xsi:type="xsd:double"&gt;54.6&lt;/D&gt;&lt;D xsi:type="xsd:double"&gt;53.79&lt;/D&gt;&lt;D xsi:type="xsd:double"&gt;53.81&lt;/D&gt;&lt;D xsi:type="xsd:double"&gt;54.65&lt;/D&gt;&lt;D xsi:type="xsd:double"&gt;54.58&lt;/D&gt;&lt;D xsi:type="xsd:double"&gt;53.83&lt;/D&gt;&lt;D xsi:type="xsd:double"&gt;53.37&lt;/D&gt;&lt;D xsi:type="xsd:double"&gt;53.17&lt;/D&gt;&lt;D xsi:type="xsd:double"&gt;53.64&lt;/D&gt;&lt;D xsi:type="xsd:double"&gt;52.99&lt;/D&gt;&lt;D xsi:type="xsd:double"&gt;52.95&lt;/D&gt;&lt;D xsi:type="xsd:double"&gt;53.1&lt;/D&gt;&lt;D xsi:type="xsd:double"&gt;53.92&lt;/D&gt;&lt;D xsi:type="xsd:double"&gt;53.2&lt;/D&gt;&lt;D xsi:type="xsd:double"&gt;53.36&lt;/D&gt;&lt;D xsi:type="xsd:double"&gt;53.81&lt;/D&gt;&lt;D xsi:type="xsd:double"&gt;52.83&lt;/D&gt;&lt;D xsi:type="xsd:double"&gt;54.35&lt;/D&gt;&lt;D xsi:type="xsd:double"&gt;57.01&lt;/D&gt;&lt;D xsi:type="xsd:double"&gt;57.6&lt;/D&gt;&lt;D xsi:type="xsd:double"&gt;58.28&lt;/D&gt;&lt;D xsi:type="xsd:double"&gt;58.78&lt;/D&gt;&lt;D xsi:type="xsd:double"&gt;58.31&lt;/D&gt;&lt;D xsi:type="xsd:double"&gt;58&lt;/D&gt;&lt;D xsi:type="xsd:double"&gt;58.02&lt;/D&gt;&lt;D xsi:type="xsd:double"&gt;58.63&lt;/D&gt;&lt;D xsi:type="xsd:double"&gt;58.69&lt;/D&gt;&lt;D xsi:type="xsd:double"&gt;59.31&lt;/D&gt;&lt;D xsi:type="xsd:double"&gt;59.37&lt;/D&gt;&lt;D xsi:type="xsd:double"&gt;59.07&lt;/D&gt;&lt;D xsi:type="xsd:double"&gt;60.01&lt;/D&gt;&lt;D xsi:type="xsd:double"&gt;59.44&lt;/D&gt;&lt;D xsi:type="xsd:double"&gt;58.78&lt;/D&gt;&lt;D xsi:type="xsd:double"&gt;58.64&lt;/D&gt;&lt;D xsi:type="xsd:double"&gt;58.11&lt;/D&gt;&lt;D xsi:type="xsd:double"&gt;57.98&lt;/D&gt;&lt;D xsi:type="xsd:double"&gt;58.19&lt;/D&gt;&lt;D xsi:type="xsd:double"&gt;57.23&lt;/D&gt;&lt;D xsi:type="xsd:double"&gt;57.29&lt;/D&gt;&lt;D xsi:type="xsd:double"&gt;57.86&lt;/D&gt;&lt;D xsi:type="xsd:double"&gt;57.88&lt;/D&gt;&lt;D xsi:type="xsd:double"&gt;56.68&lt;/D&gt;&lt;D xsi:type="xsd:double"&gt;56.14&lt;/D&gt;&lt;D xsi:type="xsd:double"&gt;56.28&lt;/D&gt;&lt;D xsi:type="xsd:double"&gt;56.2&lt;/D&gt;&lt;D xsi:type="xsd:double"&gt;57.96&lt;/D&gt;&lt;D xsi:type="xsd:double"&gt;58.01&lt;/D&gt;&lt;D xsi:type="xsd:double"&gt;57.68&lt;/D&gt;&lt;D xsi:type="xsd:double"&gt;58.19&lt;/D&gt;&lt;D xsi:type="xsd:double"&gt;58.04&lt;/D&gt;&lt;D xsi:type="xsd:double"&gt;57.11&lt;/D&gt;&lt;D xsi:type="xsd:double"&gt;57.23&lt;/D&gt;&lt;D xsi:type="xsd:double"&gt;58.84&lt;/D&gt;&lt;D xsi:type="xsd:double"&gt;58.66&lt;/D&gt;&lt;D xsi:type="xsd:double"&gt;59.53&lt;/D&gt;&lt;D xsi:type="xsd:double"&gt;60.03&lt;/D&gt;&lt;D xsi:type="xsd:double"&gt;59.24&lt;/D&gt;&lt;D xsi:type="xsd:double"&gt;58.79&lt;/D&gt;&lt;D xsi:type="xsd:double"&gt;57.82&lt;/D&gt;&lt;D xsi:type="xsd:double"&gt;60.13&lt;/D&gt;&lt;D xsi:type="xsd:double"&gt;60.32&lt;/D&gt;&lt;D xsi:type="xsd:double"&gt;61.04&lt;/D&gt;&lt;D xsi:type="xsd:double"&gt;62.63&lt;/D&gt;&lt;D xsi:type="xsd:double"&gt;62.46&lt;/D&gt;&lt;D xsi:type="xsd:double"&gt;62.16&lt;/D&gt;&lt;D xsi:type="xsd:double"&gt;62.23&lt;/D&gt;&lt;D xsi:type="xsd:double"&gt;63.16&lt;/D&gt;&lt;D xsi:type="xsd:double"&gt;63.09&lt;/D&gt;&lt;D xsi:type="xsd:double"&gt;61.29&lt;/D&gt;&lt;D xsi:type="xsd:double"&gt;60.91&lt;/D&gt;&lt;D xsi:type="xsd:double"&gt;62.66&lt;/D&gt;&lt;D xsi:type="xsd:double"&gt;62.25&lt;/D&gt;&lt;D xsi:type="xsd:double"&gt;63.16&lt;/D&gt;&lt;D xsi:type="xsd:double"&gt;61.7&lt;/D&gt;&lt;D xsi:type="xsd:double"&gt;61.65&lt;/D&gt;&lt;D xsi:type="xsd:double"&gt;60.16&lt;/D&gt;&lt;D xsi:type="xsd:double"&gt;59.47&lt;/D&gt;&lt;D xsi:type="xsd:double"&gt;58.96&lt;/D&gt;&lt;D xsi:type="xsd:double"&gt;59.37&lt;/D&gt;&lt;D xsi:type="xsd:double"&gt;58.7&lt;/D&gt;&lt;D xsi:type="xsd:double"&gt;59.15&lt;/D&gt;&lt;D xsi:type="xsd:double"&gt;58.54&lt;/D&gt;&lt;D xsi:type="xsd:double"&gt;57.79&lt;/D&gt;&lt;D xsi:type="xsd:double"&gt;56.75&lt;/D&gt;&lt;D xsi:type="xsd:double"&gt;56.82&lt;/D&gt;&lt;D xsi:type="xsd:double"&gt;56.38&lt;/D&gt;&lt;D xsi:type="xsd:double"&gt;55.92&lt;/D&gt;&lt;D xsi:type="xsd:double"&gt;56.07&lt;/D&gt;&lt;D xsi:type="xsd:double"&gt;55.99&lt;/D&gt;&lt;D xsi:type="xsd:double"&gt;55.97&lt;/D&gt;&lt;D xsi:type="xsd:double"&gt;56.36&lt;/D&gt;&lt;D xsi:type="xsd:double"&gt;56.03&lt;/D&gt;&lt;D xsi:type="xsd:double"&gt;55.67&lt;/D&gt;&lt;D xsi:type="xsd:double"&gt;55.99&lt;/D&gt;&lt;D xsi:type="xsd:double"&gt;56.52&lt;/D&gt;&lt;D xsi:type="xsd:double"&gt;55.45&lt;/D&gt;&lt;D xsi:type="xsd:double"&gt;54.88&lt;/D&gt;&lt;D xsi:type="xsd:double"&gt;54.73&lt;/D&gt;&lt;D xsi:type="xsd:double"&gt;55.07&lt;/D&gt;&lt;D xsi:type="xsd:double"&gt;54.69&lt;/D&gt;&lt;D xsi:type="xsd:double"&gt;54.94&lt;/D&gt;&lt;D xsi:type="xsd:double"&gt;54.31&lt;/D&gt;&lt;D xsi:type="xsd:double"&gt;52.1&lt;/D&gt;&lt;D xsi:type="xsd:double"&gt;51.5&lt;/D&gt;&lt;D xsi:type="xsd:double"&gt;53.03&lt;/D&gt;&lt;D xsi:type="xsd:double"&gt;53.21&lt;/D&gt;&lt;D xsi:type="xsd:double"&gt;53.88&lt;/D&gt;&lt;D xsi:type="xsd:double"&gt;54.12&lt;/D&gt;&lt;D xsi:type="xsd:double"&gt;54&lt;/D&gt;&lt;D xsi:type="xsd:double"&gt;54.06&lt;/D&gt;&lt;D xsi:type="xsd:double"&gt;54.83&lt;/D&gt;&lt;D xsi:type="xsd:double"&gt;54.28&lt;/D&gt;&lt;D xsi:type="xsd:double"&gt;54.89&lt;/D&gt;&lt;D xsi:type="xsd:double"&gt;55.38&lt;/D&gt;&lt;D xsi:type="xsd:double"&gt;55.05&lt;/D&gt;&lt;D xsi:type="xsd:double"&gt;55.25&lt;/D&gt;&lt;D xsi:type="xsd:double"&gt;54.8&lt;/D&gt;&lt;D xsi:type="xsd:double"&gt;56.62&lt;/D&gt;&lt;D xsi:type="xsd:double"&gt;56.59&lt;/D&gt;&lt;D xsi:type="xsd:double"&gt;56.45&lt;/D&gt;&lt;D xsi:type="xsd:double"&gt;57.17&lt;/D&gt;&lt;D xsi:type="xsd:double"&gt;57.73&lt;/D&gt;&lt;D xsi:type="xsd:double"&gt;57.8&lt;/D&gt;&lt;D xsi:type="xsd:double"&gt;57.66&lt;/D&gt;&lt;D xsi:type="xsd:double"&gt;57.18&lt;/D&gt;&lt;D xsi:type="xsd:double"&gt;58.29&lt;/D&gt;&lt;D xsi:type="xsd:double"&gt;57.73&lt;/D&gt;&lt;D xsi:type="xsd:double"&gt;57.11&lt;/D&gt;&lt;D xsi:type="xsd:double"&gt;56.71&lt;/D&gt;&lt;D xsi:type="xsd:double"&gt;57.85&lt;/D&gt;&lt;D xsi:type="xsd:double"&gt;58.24&lt;/D&gt;&lt;D xsi:type="xsd:double"&gt;57.75&lt;/D&gt;&lt;D xsi:type="xsd:double"&gt;58.17&lt;/D&gt;&lt;D xsi:type="xsd:double"&gt;58.43&lt;/D&gt;&lt;D xsi:type="xsd:double"&gt;58.11&lt;/D&gt;&lt;D xsi:type="xsd:double"&gt;57.45&lt;/D&gt;&lt;D xsi:type="xsd:double"&gt;58.05&lt;/D&gt;&lt;D xsi:type="xsd:double"&gt;58.39&lt;/D&gt;&lt;D xsi:type="xsd:double"&gt;57.86&lt;/D&gt;&lt;D xsi:type="xsd:double"&gt;56.95&lt;/D&gt;&lt;D xsi:type="xsd:double"&gt;57.71&lt;/D&gt;&lt;D xsi:type="xsd:double"&gt;57.73&lt;/D&gt;&lt;D xsi:type="xsd:double"&gt;57.22&lt;/D&gt;&lt;D xsi:type="xsd:double"&gt;57&lt;/D&gt;&lt;D xsi:type="xsd:double"&gt;55.33&lt;/D&gt;&lt;D xsi:type="xsd:double"&gt;52.18&lt;/D&gt;&lt;D xsi:type="xsd:double"&gt;51.65&lt;/D&gt;&lt;D xsi:type="xsd:double"&gt;50.32&lt;/D&gt;&lt;D xsi:type="xsd:double"&gt;49.97&lt;/D&gt;&lt;D xsi:type="xsd:double"&gt;49.09&lt;/D&gt;&lt;D xsi:type="xsd:double"&gt;49.03&lt;/D&gt;&lt;D xsi:type="xsd:double"&gt;49.76&lt;/D&gt;&lt;D xsi:type="xsd:double"&gt;50.3&lt;/D&gt;&lt;D xsi:type="xsd:double"&gt;49.87&lt;/D&gt;&lt;D xsi:type="xsd:double"&gt;50.96&lt;/D&gt;&lt;D xsi:type="xsd:double"&gt;50.74&lt;/D&gt;&lt;D xsi:type="xsd:double"&gt;51.19&lt;/D&gt;&lt;D xsi:type="xsd:double"&gt;50.94&lt;/D&gt;&lt;D xsi:type="xsd:double"&gt;51.02&lt;/D&gt;&lt;D xsi:type="xsd:double"&gt;50.67&lt;/D&gt;&lt;D xsi:type="xsd:double"&gt;51.12&lt;/D&gt;&lt;D xsi:type="xsd:double"&gt;49.59&lt;/D&gt;&lt;D xsi:type="xsd:double"&gt;49.59&lt;/D&gt;&lt;D xsi:type="xsd:double"&gt;49.71&lt;/D&gt;&lt;D xsi:type="xsd:double"&gt;49.72&lt;/D&gt;&lt;D xsi:type="xsd:double"&gt;48.79&lt;/D&gt;&lt;D xsi:type="xsd:double"&gt;48.96&lt;/D&gt;&lt;D xsi:type="xsd:double"&gt;49.58&lt;/D&gt;&lt;D xsi:type="xsd:double"&gt;50.43&lt;/D&gt;&lt;D xsi:type="xsd:double"&gt;51.12&lt;/D&gt;&lt;D xsi:type="xsd:double"&gt;51.41&lt;/D&gt;&lt;D xsi:type="xsd:double"&gt;51.52&lt;/D&gt;&lt;D xsi:type="xsd:double"&gt;51.48&lt;/D&gt;&lt;D xsi:type="xsd:double"&gt;51.24&lt;/D&gt;&lt;D xsi:type="xsd:double"&gt;51.82&lt;/D&gt;&lt;D xsi:type="xsd:double"&gt;51.08&lt;/D&gt;&lt;D xsi:type="xsd:double"&gt;50.48&lt;/D&gt;&lt;D xsi:type="xsd:double"&gt;50.41&lt;/D&gt;&lt;D xsi:type="xsd:double"&gt;49.89&lt;/D&gt;&lt;D xsi:type="xsd:double"&gt;50.61&lt;/D&gt;&lt;D xsi:type="xsd:double"&gt;50.47&lt;/D&gt;&lt;D xsi:type="xsd:double"&gt;50.41&lt;/D&gt;&lt;D xsi:type="xsd:double"&gt;50.52&lt;/D&gt;&lt;D xsi:type="xsd:double"&gt;50.54&lt;/D&gt;&lt;D xsi:type="xsd:double"&gt;50.34&lt;/D&gt;&lt;D xsi:type="xsd:double"&gt;49.92&lt;/D&gt;&lt;D xsi:type="xsd:double"&gt;49.43&lt;/D&gt;&lt;D xsi:type="xsd:double"&gt;50.27&lt;/D&gt;&lt;D xsi:type="xsd:double"&gt;48.22&lt;/D&gt;&lt;D xsi:type="xsd:double"&gt;48.01&lt;/D&gt;&lt;D xsi:type="xsd:double"&gt;47.69&lt;/D&gt;&lt;D xsi:type="xsd:double"&gt;47.52&lt;/D&gt;&lt;D xsi:type="xsd:double"&gt;47.3&lt;/D&gt;&lt;D xsi:type="xsd:double"&gt;47.1&lt;/D&gt;&lt;D xsi:type="xsd:double"&gt;48.11&lt;/D&gt;&lt;D xsi:type="xsd:double"&gt;48.22&lt;/D&gt;&lt;D xsi:type="xsd:double"&gt;47.5&lt;/D&gt;&lt;D xsi:type="xsd:double"&gt;47.83&lt;/D&gt;&lt;D xsi:type="xsd:double"&gt;47.75&lt;/D&gt;&lt;D xsi:type="xsd:double"&gt;48.56&lt;/D&gt;&lt;D xsi:type="xsd:double"&gt;48.73&lt;/D&gt;&lt;D xsi:type="xsd:double"&gt;48.47&lt;/D&gt;&lt;D xsi:type="xsd:double"&gt;47.47&lt;/D&gt;&lt;D xsi:type="xsd:double"&gt;47.85&lt;/D&gt;&lt;D xsi:type="xsd:double"&gt;47.79&lt;/D&gt;&lt;D xsi:type="xsd:double"&gt;45.61&lt;/D&gt;&lt;D xsi:type="xsd:double"&gt;50.09&lt;/D&gt;&lt;D xsi:type="xsd:double"&gt;49.9&lt;/D&gt;&lt;D xsi:type="xsd:double"&gt;50.18&lt;/D&gt;&lt;D xsi:type="xsd:double"&gt;50.5&lt;/D&gt;&lt;D xsi:type="xsd:double"&gt;50.41&lt;/D&gt;&lt;D xsi:type="xsd:double"&gt;47.96&lt;/D&gt;&lt;D xsi:type="xsd:double"&gt;49.45&lt;/D&gt;&lt;D xsi:type="xsd:double"&gt;50.91&lt;/D&gt;&lt;D xsi:type="xsd:double"&gt;51.93&lt;/D&gt;&lt;D xsi:type="xsd:double"&gt;52.95&lt;/D&gt;&lt;D xsi:type="xsd:double"&gt;52.39&lt;/D&gt;&lt;D xsi:type="xsd:double"&gt;53.51&lt;/D&gt;&lt;D xsi:type="xsd:double"&gt;53.55&lt;/D&gt;&lt;D xsi:type="xsd:double"&gt;56.27&lt;/D&gt;&lt;D xsi:type="xsd:double"&gt;55.89&lt;/D&gt;&lt;D xsi:type="xsd:double"&gt;56.32&lt;/D&gt;&lt;D xsi:type="xsd:double"&gt;56.07&lt;/D&gt;&lt;D xsi:type="xsd:double"&gt;58.08&lt;/D&gt;&lt;D xsi:type="xsd:double"&gt;56.94&lt;/D&gt;&lt;D xsi:type="xsd:double"&gt;60.12&lt;/D&gt;&lt;D xsi:type="xsd:double"&gt;60.71&lt;/D&gt;&lt;D xsi:type="xsd:double"&gt;58.86&lt;/D&gt;&lt;D xsi:type="xsd:double"&gt;58.87&lt;/D&gt;&lt;D xsi:type="xsd:double"&gt;58.31&lt;/D&gt;&lt;D xsi:type="xsd:double"&gt;56.71&lt;/D&gt;&lt;D xsi:type="xsd:double"&gt;57.16&lt;/D&gt;&lt;D xsi:type="xsd:double"&gt;55.97&lt;/D&gt;&lt;D xsi:type="xsd:double"&gt;55.41&lt;/D&gt;&lt;D xsi:type="xsd:double"&gt;56.19&lt;/D&gt;&lt;D xsi:type="xsd:double"&gt;55.9&lt;/D&gt;&lt;D xsi:type="xsd:double"&gt;56.1&lt;/D&gt;&lt;D xsi:type="xsd:double"&gt;56.43&lt;/D&gt;&lt;D xsi:type="xsd:double"&gt;56.82&lt;/D&gt;&lt;D xsi:type="xsd:double"&gt;56.7&lt;/D&gt;&lt;D xsi:type="xsd:double"&gt;56.65&lt;/D&gt;&lt;D xsi:type="xsd:double"&gt;56.73&lt;/D&gt;&lt;D xsi:type="xsd:double"&gt;56.79&lt;/D&gt;&lt;D xsi:type="xsd:double"&gt;55.47&lt;/D&gt;&lt;D xsi:type="xsd:double"&gt;56.05&lt;/D&gt;&lt;D xsi:type="xsd:double"&gt;56.12&lt;/D&gt;&lt;D xsi:type="xsd:double"&gt;56.04&lt;/D&gt;&lt;D xsi:type="xsd:double"&gt;54.73&lt;/D&gt;&lt;D xsi:type="xsd:double"&gt;55.12&lt;/D&gt;&lt;D xsi:type="xsd:double"&gt;53.42&lt;/D&gt;&lt;D xsi:type="xsd:double"&gt;53.28&lt;/D&gt;&lt;D xsi:type="xsd:double"&gt;53.71&lt;/D&gt;&lt;D xsi:type="xsd:double"&gt;51.51&lt;/D&gt;&lt;D xsi:type="xsd:double"&gt;53.45&lt;/D&gt;&lt;D xsi:type="xsd:double"&gt;54.24&lt;/D&gt;&lt;D xsi:type="xsd:double"&gt;53.39&lt;/D&gt;&lt;D xsi:type="xsd:double"&gt;53.13&lt;/D&gt;&lt;D xsi:type="xsd:double"&gt;54.3&lt;/D&gt;&lt;D xsi:type="xsd:double"&gt;53.11&lt;/D&gt;&lt;D xsi:type="xsd:double"&gt;51.84&lt;/D&gt;&lt;D xsi:type="xsd:double"&gt;52.05&lt;/D&gt;&lt;D xsi:type="xsd:double"&gt;51.48&lt;/D&gt;&lt;D xsi:type="xsd:double"&gt;49.71&lt;/D&gt;&lt;D xsi:type="xsd:double"&gt;50.86&lt;/D&gt;&lt;D xsi:type="xsd:double"&gt;52.14&lt;/D&gt;&lt;D xsi:type="xsd:double"&gt;52.7&lt;/D&gt;&lt;D xsi:type="xsd:double"&gt;53.56&lt;/D&gt;&lt;D xsi:type="xsd:double"&gt;54.32&lt;/D&gt;&lt;D xsi:type="xsd:double"&gt;54.69&lt;/D&gt;&lt;D xsi:type="xsd:double"&gt;56.6&lt;/D&gt;&lt;D xsi:type="xsd:double"&gt;57.83&lt;/D&gt;&lt;D xsi:type="xsd:double"&gt;58&lt;/D&gt;&lt;D xsi:type="xsd:double"&gt;57.51&lt;/D&gt;&lt;D xsi:type="xsd:double"&gt;57.1&lt;/D&gt;&lt;D xsi:type="xsd:double"&gt;57.41&lt;/D&gt;&lt;D xsi:type="xsd:double"&gt;59.61&lt;/D&gt;&lt;D xsi:type="xsd:double"&gt;58.13&lt;/D&gt;&lt;D xsi:type="xsd:double"&gt;57.9&lt;/D&gt;&lt;D xsi:type="xsd:double"&gt;57.83&lt;/D&gt;&lt;D xsi:type="xsd:double"&gt;57.96&lt;/D&gt;&lt;D xsi:type="xsd:double"&gt;57.93&lt;/D&gt;&lt;D xsi:type="xsd:double"&gt;57.82&lt;/D&gt;&lt;D xsi:type="xsd:double"&gt;57.39&lt;/D&gt;&lt;D xsi:type="xsd:double"&gt;58.27&lt;/D&gt;&lt;D xsi:type="xsd:double"&gt;57.56&lt;/D&gt;&lt;D xsi:type="xsd:double"&gt;56.86&lt;/D&gt;&lt;D xsi:type="xsd:double"&gt;56.44&lt;/D&gt;&lt;D xsi:type="xsd:double"&gt;57.21&lt;/D&gt;&lt;D xsi:type="xsd:double"&gt;58.88&lt;/D&gt;&lt;D xsi:type="xsd:double"&gt;58.48&lt;/D&gt;&lt;D xsi:type="xsd:double"&gt;58.44&lt;/D&gt;&lt;D xsi:type="xsd:double"&gt;58.52&lt;/D&gt;&lt;D xsi:type="xsd:double"&gt;58.79&lt;/D&gt;&lt;D xsi:type="xsd:double"&gt;57.75&lt;/D&gt;&lt;D xsi:type="xsd:double"&gt;57.18&lt;/D&gt;&lt;D xsi:type="xsd:double"&gt;56.94&lt;/D&gt;&lt;D xsi:type="xsd:double"&gt;56.91&lt;/D&gt;&lt;D xsi:type="xsd:double"&gt;57.6&lt;/D&gt;&lt;D xsi:type="xsd:double"&gt;57.42&lt;/D&gt;&lt;D xsi:type="xsd:double"&gt;55.65&lt;/D&gt;&lt;D xsi:type="xsd:double"&gt;55.45&lt;/D&gt;&lt;D xsi:type="xsd:double"&gt;55.23&lt;/D&gt;&lt;D xsi:type="xsd:double"&gt;54.76&lt;/D&gt;&lt;D xsi:type="xsd:double"&gt;54.22&lt;/D&gt;&lt;D xsi:type="xsd:double"&gt;54.71&lt;/D&gt;&lt;D xsi:type="xsd:double"&gt;55.34&lt;/D&gt;&lt;D xsi:type="xsd:double"&gt;55.23&lt;/D&gt;&lt;D xsi:type="xsd:double"&gt;54.7&lt;/D&gt;&lt;D xsi:type="xsd:double"&gt;54.42&lt;/D&gt;&lt;D xsi:type="xsd:double"&gt;54.26&lt;/D&gt;&lt;D xsi:type="xsd:double"&gt;53.91&lt;/D&gt;&lt;D xsi:type="xsd:double"&gt;53.59&lt;/D&gt;&lt;D xsi:type="xsd:double"&gt;54.42&lt;/D&gt;&lt;D xsi:type="xsd:double"&gt;53.79&lt;/D&gt;&lt;D xsi:type="xsd:double"&gt;54.46&lt;/D&gt;&lt;D xsi:type="xsd:double"&gt;53.98&lt;/D&gt;&lt;D xsi:type="xsd:double"&gt;51.66&lt;/D&gt;&lt;D xsi:type="xsd:double"&gt;51.68&lt;/D&gt;&lt;D xsi:type="xsd:double"&gt;52.24&lt;/D&gt;&lt;D xsi:type="xsd:double"&gt;51.99&lt;/D&gt;&lt;D xsi:type="xsd:double"&gt;53&lt;/D&gt;&lt;D xsi:type="xsd:double"&gt;52.8&lt;/D&gt;&lt;D xsi:type="xsd:double"&gt;51.14&lt;/D&gt;&lt;D xsi:type="xsd:double"&gt;50.67&lt;/D&gt;&lt;D xsi:type="xsd:double"&gt;50.77&lt;/D&gt;&lt;D xsi:type="xsd:double"&gt;50.73&lt;/D&gt;&lt;D xsi:type="xsd:double"&gt;49.84&lt;/D&gt;&lt;D xsi:type="xsd:double"&gt;50.6&lt;/D&gt;&lt;D xsi:type="xsd:double"&gt;50.51&lt;/D&gt;&lt;D xsi:type="xsd:double"&gt;49.58&lt;/D&gt;&lt;D xsi:type="xsd:double"&gt;49.26&lt;/D&gt;&lt;D xsi:type="xsd:double"&gt;48.78&lt;/D&gt;&lt;D xsi:type="xsd:double"&gt;49.92&lt;/D&gt;&lt;D xsi:type="xsd:double"&gt;49.54&lt;/D&gt;&lt;D xsi:type="xsd:double"&gt;49.8&lt;/D&gt;&lt;D xsi:type="xsd:double"&gt;49.89&lt;/D&gt;&lt;D xsi:type="xsd:double"&gt;51.07&lt;/D&gt;&lt;D xsi:type="xsd:double"&gt;51.31&lt;/D&gt;&lt;D xsi:type="xsd:double"&gt;52.72&lt;/D&gt;&lt;D xsi:type="xsd:double"&gt;53.73&lt;/D&gt;&lt;D xsi:type="xsd:double"&gt;53.84&lt;/D&gt;&lt;D xsi:type="xsd:double"&gt;53.78&lt;/D&gt;&lt;D xsi:type="xsd:double"&gt;54.8&lt;/D&gt;&lt;D xsi:type="xsd:double"&gt;55.18&lt;/D&gt;&lt;D xsi:type="xsd:double"&gt;54.9&lt;/D&gt;&lt;D xsi:type="xsd:double"&gt;54.65&lt;/D&gt;&lt;D xsi:type="xsd:double"&gt;54.55&lt;/D&gt;&lt;D xsi:type="xsd:double"&gt;54.89&lt;/D&gt;&lt;D xsi:type="xsd:double"&gt;54.09&lt;/D&gt;&lt;D xsi:type="xsd:double"&gt;53.46&lt;/D&gt;&lt;D xsi:type="xsd:double"&gt;54.17&lt;/D&gt;&lt;D xsi:type="xsd:double"&gt;54.67&lt;/D&gt;&lt;D xsi:type="xsd:double"&gt;55.19&lt;/D&gt;&lt;D xsi:type="xsd:double"&gt;54.42&lt;/D&gt;&lt;D xsi:type="xsd:double"&gt;54.05&lt;/D&gt;&lt;D xsi:type="xsd:double"&gt;54.31&lt;/D&gt;&lt;D xsi:type="xsd:double"&gt;54.23&lt;/D&gt;&lt;D xsi:type="xsd:double"&gt;55.87&lt;/D&gt;&lt;D xsi:type="xsd:double"&gt;54.4&lt;/D&gt;&lt;D xsi:type="xsd:double"&gt;53.4&lt;/D&gt;&lt;D xsi:type="xsd:double"&gt;53.52&lt;/D&gt;&lt;D xsi:type="xsd:double"&gt;53.98&lt;/D&gt;&lt;D xsi:type="xsd:double"&gt;52.95&lt;/D&gt;&lt;D xsi:type="xsd:double"&gt;53.1&lt;/D&gt;&lt;D xsi:type="xsd:double"&gt;53.48&lt;/D&gt;&lt;D xsi:type="xsd:double"&gt;52.37&lt;/D&gt;&lt;D xsi:type="xsd:double"&gt;52.09&lt;/D&gt;&lt;D xsi:type="xsd:double"&gt;52.9&lt;/D&gt;&lt;D xsi:type="xsd:double"&gt;52.06&lt;/D&gt;&lt;D xsi:type="xsd:double"&gt;51.62&lt;/D&gt;&lt;D xsi:type="xsd:double"&gt;52.37&lt;/D&gt;&lt;D xsi:type="xsd:double"&gt;51.9&lt;/D&gt;&lt;D xsi:type="xsd:double"&gt;52.34&lt;/D&gt;&lt;D xsi:type="xsd:double"&gt;51.79&lt;/D&gt;&lt;D xsi:type="xsd:double"&gt;52.36&lt;/D&gt;&lt;D xsi:type="xsd:double"&gt;52.74&lt;/D&gt;&lt;D xsi:type="xsd:double"&gt;52.22&lt;/D&gt;&lt;D xsi:type="xsd:double"&gt;53.5&lt;/D&gt;&lt;D xsi:type="xsd:double"&gt;53.13&lt;/D&gt;&lt;D xsi:type="xsd:double"&gt;54.65&lt;/D&gt;&lt;D xsi:type="xsd:double"&gt;53.81&lt;/D&gt;&lt;D xsi:type="xsd:double"&gt;54.61&lt;/D&gt;&lt;D xsi:type="xsd:double"&gt;55.4&lt;/D&gt;&lt;D xsi:type="xsd:double"&gt;55.07&lt;/D&gt;&lt;D xsi:type="xsd:double"&gt;55.21&lt;/D&gt;&lt;D xsi:type="xsd:double"&gt;54.55&lt;/D&gt;&lt;D xsi:type="xsd:double"&gt;54.3&lt;/D&gt;&lt;D xsi:type="xsd:double"&gt;52.92&lt;/D&gt;&lt;D xsi:type="xsd:double"&gt;52.98&lt;/D&gt;&lt;D xsi:type="xsd:double"&gt;51.47&lt;/D&gt;&lt;D xsi:type="xsd:double"&gt;52.36&lt;/D&gt;&lt;D xsi:type="xsd:double"&gt;52.56&lt;/D&gt;&lt;D xsi:type="xsd:double"&gt;53.05&lt;/D&gt;&lt;D xsi:type="xsd:double"&gt;54.21&lt;/D&gt;&lt;D xsi:type="xsd:double"&gt;53.86&lt;/D&gt;&lt;D xsi:type="xsd:double"&gt;53.72&lt;/D&gt;&lt;D xsi:type="xsd:double"&gt;51.95&lt;/D&gt;&lt;D xsi:type="xsd:double"&gt;54.81&lt;/D&gt;&lt;D xsi:type="xsd:double"&gt;53.93&lt;/D&gt;&lt;D xsi:type="xsd:double"&gt;54.26&lt;/D&gt;&lt;D xsi:type="xsd:double"&gt;55.06&lt;/D&gt;&lt;D xsi:type="xsd:double"&gt;53.9&lt;/D&gt;&lt;D xsi:type="xsd:double"&gt;54.67&lt;/D&gt;&lt;D xsi:type="xsd:double"&gt;55.95&lt;/D&gt;&lt;D xsi:type="xsd:double"&gt;56.5&lt;/D&gt;&lt;D xsi:type="xsd:double"&gt;55.96&lt;/D&gt;&lt;D xsi:type="xsd:double"&gt;56.69&lt;/D&gt;&lt;D xsi:type="xsd:double"&gt;56.34&lt;/D&gt;&lt;D xsi:type="xsd:double"&gt;56.15&lt;/D&gt;&lt;D xsi:type="xsd:double"&gt;56.59&lt;/D&gt;&lt;D xsi:type="xsd:double"&gt;56.16&lt;/D&gt;&lt;D xsi:type="xsd:double"&gt;56.09&lt;/D&gt;&lt;D xsi:type="xsd:double"&gt;54.64&lt;/D&gt;&lt;D xsi:type="xsd:double"&gt;53.53&lt;/D&gt;&lt;D xsi:type="xsd:double"&gt;53.84&lt;/D&gt;&lt;D xsi:type="xsd:double"&gt;53.79&lt;/D&gt;&lt;D xsi:type="xsd:double"&gt;53.26&lt;/D&gt;&lt;D xsi:type="xsd:double"&gt;53.35&lt;/D&gt;&lt;D xsi:type="xsd:double"&gt;53.9&lt;/D&gt;&lt;D xsi:type="xsd:double"&gt;53.62&lt;/D&gt;&lt;D xsi:type="xsd:double"&gt;54.69&lt;/D&gt;&lt;D xsi:type="xsd:double"&gt;53.46&lt;/D&gt;&lt;D xsi:type="xsd:double"&gt;52.55&lt;/D&gt;&lt;D xsi:type="xsd:double"&gt;53.16&lt;/D&gt;&lt;D xsi:type="xsd:double"&gt;52.47&lt;/D&gt;&lt;D xsi:type="xsd:double"&gt;52.85&lt;/D&gt;&lt;D xsi:type="xsd:double"&gt;52.95&lt;/D&gt;&lt;D xsi:type="xsd:double"&gt;52.2&lt;/D&gt;&lt;D xsi:type="xsd:double"&gt;52.17&lt;/D&gt;&lt;D xsi:type="xsd:double"&gt;52.05&lt;/D&gt;&lt;D xsi:type="xsd:double"&gt;50.46&lt;/D&gt;&lt;D xsi:type="xsd:double"&gt;51.23&lt;/D&gt;&lt;D xsi:type="xsd:double"&gt;53.85&lt;/D&gt;&lt;D xsi:type="xsd:double"&gt;53.1&lt;/D&gt;&lt;D xsi:type="xsd:double"&gt;52.52&lt;/D&gt;&lt;D xsi:type="xsd:double"&gt;54.62&lt;/D&gt;&lt;D xsi:type="xsd:double"&gt;56.42&lt;/D&gt;&lt;D xsi:type="xsd:double"&gt;56.77&lt;/D&gt;&lt;D xsi:type="xsd:double"&gt;56.12&lt;/D&gt;&lt;D xsi:type="xsd:double"&gt;55.76&lt;/D&gt;&lt;D xsi:type="xsd:double"&gt;55.26&lt;/D&gt;&lt;D xsi:type="xsd:double"&gt;54.81&lt;/D&gt;&lt;D xsi:type="xsd:double"&gt;56.8&lt;/D&gt;&lt;D xsi:type="xsd:double"&gt;59.93&lt;/D&gt;&lt;D xsi:type="xsd:double"&gt;60.13&lt;/D&gt;&lt;D xsi:type="xsd:double"&gt;60.01&lt;/D&gt;&lt;D xsi:type="xsd:double"&gt;59.45&lt;/D&gt;&lt;D xsi:type="xsd:double"&gt;59.72&lt;/D&gt;&lt;D xsi:type="xsd:double"&gt;59.35&lt;/D&gt;&lt;D xsi:type="xsd:double"&gt;59.83&lt;/D&gt;&lt;D xsi:type="xsd:double"&gt;58.52&lt;/D&gt;&lt;D xsi:type="xsd:double"&gt;55.86&lt;/D&gt;&lt;D xsi:type="xsd:double"&gt;54.17&lt;/D&gt;&lt;D xsi:type="xsd:double"&gt;54.68&lt;/D&gt;&lt;D xsi:type="xsd:double"&gt;55.97&lt;/D&gt;&lt;D xsi:type="xsd:double"&gt;55.69&lt;/D&gt;&lt;D xsi:type="xsd:double"&gt;55.69&lt;/D&gt;&lt;D xsi:type="xsd:double"&gt;56.74&lt;/D&gt;&lt;D xsi:type="xsd:double"&gt;56&lt;/D&gt;&lt;D xsi:type="xsd:double"&gt;56.35&lt;/D&gt;&lt;D xsi:type="xsd:double"&gt;56.12&lt;/D&gt;&lt;D xsi:type="xsd:double"&gt;56.43&lt;/D&gt;&lt;D xsi:type="xsd:double"&gt;56.03&lt;/D&gt;&lt;D xsi:type="xsd:double"&gt;56.03&lt;/D&gt;&lt;D xsi:type="xsd:double"&gt;56.22&lt;/D&gt;&lt;D xsi:type="xsd:double"&gt;55.75&lt;/D&gt;&lt;D xsi:type="xsd:double"&gt;56.07&lt;/D&gt;&lt;D xsi:type="xsd:double"&gt;56.1&lt;/D&gt;&lt;D xsi:type="xsd:double"&gt;55.25&lt;/D&gt;&lt;D xsi:type="xsd:double"&gt;53.63&lt;/D&gt;&lt;D xsi:type="xsd:double"&gt;53.62&lt;/D&gt;&lt;D xsi:type="xsd:double"&gt;54.37&lt;/D&gt;&lt;D xsi:type="xsd:double"&gt;53.46&lt;/D&gt;&lt;D xsi:type="xsd:double"&gt;53.41&lt;/D&gt;&lt;D xsi:type="xsd:double"&gt;52.3&lt;/D&gt;&lt;D xsi:type="xsd:double"&gt;52.39&lt;/D&gt;&lt;D xsi:type="xsd:double"&gt;52.91&lt;/D&gt;&lt;D xsi:type="xsd:double"&gt;52.06&lt;/D&gt;&lt;D xsi:type="xsd:double"&gt;52.92&lt;/D&gt;&lt;D xsi:type="xsd:double"&gt;52.1&lt;/D&gt;&lt;D xsi:type="xsd:double"&gt;50.58&lt;/D&gt;&lt;D xsi:type="xsd:double"&gt;49.59&lt;/D&gt;&lt;D xsi:type="xsd:double"&gt;50.11&lt;/D&gt;&lt;D xsi:type="xsd:double"&gt;50.41&lt;/D&gt;&lt;D xsi:type="xsd:double"&gt;50.67&lt;/D&gt;&lt;D xsi:type="xsd:double"&gt;49.79&lt;/D&gt;&lt;D xsi:type="xsd:double"&gt;49.82&lt;/D&gt;&lt;D xsi:type="xsd:double"&gt;50.45&lt;/D&gt;&lt;D xsi:type="xsd:double"&gt;49.33&lt;/D&gt;&lt;D xsi:type="xsd:double"&gt;48.9&lt;/D&gt;&lt;D xsi:type="xsd:double"&gt;48.86&lt;/D&gt;&lt;D xsi:type="xsd:double"&gt;48.89&lt;/D&gt;&lt;D xsi:type="xsd:double"&gt;49.19&lt;/D&gt;&lt;D xsi:type="xsd:double"&gt;50.06&lt;/D&gt;&lt;D xsi:type="xsd:double"&gt;49.91&lt;/D&gt;&lt;D xsi:type="xsd:double"&gt;50.57&lt;/D&gt;&lt;D xsi:type="xsd:double"&gt;50.4&lt;/D&gt;&lt;D xsi:type="xsd:double"&gt;50.34&lt;/D&gt;&lt;D xsi:type="xsd:double"&gt;50.35&lt;/D&gt;&lt;D xsi:type="xsd:double"&gt;50.03&lt;/D&gt;&lt;D xsi:type="xsd:double"&gt;50.33&lt;/D&gt;&lt;D xsi:type="xsd:double"&gt;50.56&lt;/D&gt;&lt;D xsi:type="xsd:double"&gt;50.93&lt;/D&gt;&lt;D xsi:type="xsd:double"&gt;52.24&lt;/D&gt;&lt;D xsi:type="xsd:double"&gt;53.18&lt;/D&gt;&lt;D xsi:type="xsd:double"&gt;52.28&lt;/D&gt;&lt;D xsi:type="xsd:double"&gt;53.27&lt;/D&gt;&lt;D xsi:type="xsd:double"&gt;52.27&lt;/D&gt;&lt;D xsi:type="xsd:double"&gt;52.86&lt;/D&gt;&lt;D xsi:type="xsd:double"&gt;52.76&lt;/D&gt;&lt;D xsi:type="xsd:double"&gt;53.62&lt;/D&gt;&lt;D xsi:type="xsd:double"&gt;53.96&lt;/D&gt;&lt;D xsi:type="xsd:double"&gt;53.11&lt;/D&gt;&lt;D xsi:type="xsd:double"&gt;53.07&lt;/D&gt;&lt;D xsi:type="xsd:double"&gt;52.7&lt;/D&gt;&lt;D xsi:type="xsd:double"&gt;51.74&lt;/D&gt;&lt;D xsi:type="xsd:double"&gt;52.01&lt;/D&gt;&lt;D xsi:type="xsd:double"&gt;51.68&lt;/D&gt;&lt;D xsi:type="xsd:double"&gt;51.56&lt;/D&gt;&lt;D xsi:type="xsd:double"&gt;51.25&lt;/D&gt;&lt;D xsi:type="xsd:double"&gt;48.07&lt;/D&gt;&lt;D xsi:type="xsd:double"&gt;48.22&lt;/D&gt;&lt;D xsi:type="xsd:double"&gt;48.31&lt;/D&gt;&lt;D xsi:type="xsd:double"&gt;47.72&lt;/D&gt;&lt;D xsi:type="xsd:double"&gt;48.5&lt;/D&gt;&lt;D xsi:type="xsd:double"&gt;48.32&lt;/D&gt;&lt;D xsi:type="xsd:double"&gt;48.47&lt;/D&gt;&lt;D xsi:type="xsd:double"&gt;48.16&lt;/D&gt;&lt;D xsi:type="xsd:double"&gt;48.04&lt;/D&gt;&lt;D xsi:type="xsd:double"&gt;47.9&lt;/D&gt;&lt;D xsi:type="xsd:double"&gt;47.96&lt;/D&gt;&lt;D xsi:type="xsd:double"&gt;48.25&lt;/D&gt;&lt;D xsi:type="xsd:double"&gt;48.27&lt;/D&gt;&lt;D xsi:type="xsd:double"&gt;48.98&lt;/D&gt;&lt;D xsi:type="xsd:double"&gt;49.04&lt;/D&gt;&lt;D xsi:type="xsd:double"&gt;48.82&lt;/D&gt;&lt;D xsi:type="xsd:double"&gt;47.45&lt;/D&gt;&lt;D xsi:type="xsd:double"&gt;47.12&lt;/D&gt;&lt;D xsi:type="xsd:double"&gt;47.39&lt;/D&gt;&lt;D xsi:type="xsd:double"&gt;45.84&lt;/D&gt;&lt;D xsi:type="xsd:double"&gt;47.52&lt;/D&gt;&lt;D xsi:type="xsd:double"&gt;47.19&lt;/D&gt;&lt;D xsi:type="xsd:double"&gt;46.83&lt;/D&gt;&lt;D xsi:type="xsd:double"&gt;46.62&lt;/D&gt;&lt;D xsi:type="xsd:double"&gt;46.95&lt;/D&gt;&lt;D xsi:type="xsd:double"&gt;46.68&lt;/D&gt;&lt;D xsi:type="xsd:double"&gt;45.21&lt;/D&gt;&lt;D xsi:type="xsd:double"&gt;46.18&lt;/D&gt;&lt;D xsi:type="xsd:double"&gt;47.15&lt;/D&gt;&lt;D xsi:type="xsd:double"&gt;47.81&lt;/D&gt;&lt;D xsi:type="xsd:double"&gt;47.53&lt;/D&gt;&lt;D xsi:type="xsd:double"&gt;47.53&lt;/D&gt;&lt;D xsi:type="xsd:double"&gt;50.13&lt;/D&gt;&lt;D xsi:type="xsd:double"&gt;49.92&lt;/D&gt;&lt;D xsi:type="xsd:double"&gt;50.07&lt;/D&gt;&lt;D xsi:type="xsd:double"&gt;49.48&lt;/D&gt;&lt;D xsi:type="xsd:double"&gt;49.04&lt;/D&gt;&lt;D xsi:type="xsd:double"&gt;49.67&lt;/D&gt;&lt;D xsi:type="xsd:double"&gt;50.31&lt;/D&gt;&lt;D xsi:type="xsd:double"&gt;50.75&lt;/D&gt;&lt;D xsi:type="xsd:double"&gt;50.61&lt;/D&gt;&lt;D xsi:type="xsd:double"&gt;50.57&lt;/D&gt;&lt;D xsi:type="xsd:double"&gt;50.01&lt;/D&gt;&lt;D xsi:type="xsd:double"&gt;50.07&lt;/D&gt;&lt;D xsi:type="xsd:double"&gt;49.36&lt;/D&gt;&lt;D xsi:type="xsd:double"&gt;50.33&lt;/D&gt;&lt;D xsi:type="xsd:double"&gt;50.08&lt;/D&gt;&lt;D xsi:type="xsd:double"&gt;51.13&lt;/D&gt;&lt;D xsi:type="xsd:double"&gt;51.14&lt;/D&gt;&lt;D xsi:type="xsd:double"&gt;51.53&lt;/D&gt;&lt;D xsi:type="xsd:double"&gt;52.26&lt;/D&gt;&lt;D xsi:type="xsd:double"&gt;52.83&lt;/D&gt;&lt;D xsi:type="xsd:double"&gt;53.79&lt;/D&gt;&lt;D xsi:type="xsd:double"&gt;53.96&lt;/D&gt;&lt;D xsi:type="xsd:double"&gt;54.64&lt;/D&gt;&lt;D xsi:type="xsd:double"&gt;55.13&lt;/D&gt;&lt;D xsi:type="xsd:double"&gt;54.5&lt;/D&gt;&lt;D xsi:type="xsd:double"&gt;55.48&lt;/D&gt;&lt;D xsi:type="xsd:double"&gt;54.28&lt;/D&gt;&lt;D xsi:type="xsd:double"&gt;54.81&lt;/D&gt;&lt;D xsi:type="xsd:double"&gt;55.46&lt;/D&gt;&lt;D xsi:type="xsd:double"&gt;54.37&lt;/D&gt;&lt;D xsi:type="xsd:double"&gt;54.33&lt;/D&gt;&lt;D xsi:type="xsd:double"&gt;54.06&lt;/D&gt;&lt;D xsi:type="xsd:double"&gt;53.74&lt;/D&gt;&lt;D xsi:type="xsd:double"&gt;53.87&lt;/D&gt;&lt;D xsi:type="xsd:double"&gt;53.84&lt;/D&gt;&lt;D xsi:type="xsd:double"&gt;52.84&lt;/D&gt;&lt;D xsi:type="xsd:double"&gt;52.87&lt;/D&gt;&lt;D xsi:type="xsd:double"&gt;52.92&lt;/D&gt;&lt;D xsi:type="xsd:double"&gt;52.81&lt;/D&gt;&lt;D xsi:type="xsd:double"&gt;52.27&lt;/D&gt;&lt;D xsi:type="xsd:double"&gt;51.76&lt;/D&gt;&lt;D xsi:type="xsd:double"&gt;52.51&lt;/D&gt;&lt;D xsi:type="xsd:double"&gt;52&lt;/D&gt;&lt;D xsi:type="xsd:double"&gt;51.56&lt;/D&gt;&lt;D xsi:type="xsd:double"&gt;51.91&lt;/D&gt;&lt;D xsi:type="xsd:double"&gt;51.87&lt;/D&gt;&lt;D xsi:type="xsd:double"&gt;52.25&lt;/D&gt;&lt;D xsi:type="xsd:double"&gt;53.01&lt;/D&gt;&lt;D xsi:type="xsd:double"&gt;52.84&lt;/D&gt;&lt;D xsi:type="xsd:double"&gt;52.27&lt;/D&gt;&lt;D xsi:type="xsd:double"&gt;51.23&lt;/D&gt;&lt;D xsi:type="xsd:double"&gt;51.39&lt;/D&gt;&lt;D xsi:type="xsd:double"&gt;51.19&lt;/D&gt;&lt;D xsi:type="xsd:double"&gt;49.85&lt;/D&gt;&lt;D xsi:type="xsd:double"&gt;49.13&lt;/D&gt;&lt;D xsi:type="xsd:double"&gt;49.06&lt;/D&gt;&lt;D xsi:type="xsd:double"&gt;50.8&lt;/D&gt;&lt;D xsi:type="xsd:double"&gt;50.4&lt;/D&gt;&lt;D xsi:type="xsd:double"&gt;48.87&lt;/D&gt;&lt;D xsi:type="xsd:double"&gt;48.59&lt;/D&gt;&lt;D xsi:type="xsd:double"&gt;48.49&lt;/D&gt;&lt;D xsi:type="xsd:double"&gt;48.2&lt;/D&gt;&lt;D xsi:type="xsd:double"&gt;47.66&lt;/D&gt;&lt;D xsi:type="xsd:double"&gt;47.74&lt;/D&gt;&lt;D xsi:type="xsd:double"&gt;49.51&lt;/D&gt;&lt;D xsi:type="xsd:double"&gt;49.51&lt;/D&gt;&lt;D xsi:type="xsd:double"&gt;48.99&lt;/D&gt;&lt;D xsi:type="xsd:double"&gt;49.69&lt;/D&gt;&lt;D xsi:type="xsd:double"&gt;49.97&lt;/D&gt;&lt;D xsi:type="xsd:double"&gt;49.56&lt;/D&gt;&lt;D xsi:type="xsd:double"&gt;48.52&lt;/D&gt;&lt;D xsi:type="xsd:double"&gt;48.7&lt;/D&gt;&lt;D xsi:type="xsd:double"&gt;48.64&lt;/D&gt;&lt;D xsi:type="xsd:double"&gt;48.31&lt;/D&gt;&lt;D xsi:type="xsd:double"&gt;47.83&lt;/D&gt;&lt;D xsi:type="xsd:double"&gt;45.4&lt;/D&gt;&lt;D xsi:type="xsd:double"&gt;45.44&lt;/D&gt;&lt;D xsi:type="xsd:double"&gt;45.74&lt;/D&gt;&lt;D xsi:type="xsd:double"&gt;46.37&lt;/D&gt;&lt;D xsi:type="xsd:double"&gt;46.73&lt;/D&gt;&lt;D xsi:type="xsd:double"&gt;46.81&lt;/D&gt;&lt;D xsi:type="xsd:double"&gt;45.53&lt;/D&gt;&lt;D xsi:type="xsd:double"&gt;45.93&lt;/D&gt;&lt;D xsi:type="xsd:double"&gt;45.08&lt;/D&gt;&lt;D xsi:type="xsd:double"&gt;44.41&lt;/D&gt;&lt;D xsi:type="xsd:double"&gt;44.35&lt;/D&gt;&lt;D xsi:type="xsd:double"&gt;44.03&lt;/D&gt;&lt;D xsi:type="xsd:double"&gt;45.05&lt;/D&gt;&lt;D xsi:type="xsd:double"&gt;45.29&lt;/D&gt;&lt;D xsi:type="xsd:double"&gt;44.97&lt;/D&gt;&lt;D xsi:type="xsd:double"&gt;45.17&lt;/D&gt;&lt;D xsi:type="xsd:double"&gt;45.26&lt;/D&gt;&lt;D xsi:type="xsd:double"&gt;45.08&lt;/D&gt;&lt;D xsi:type="xsd:double"&gt;45.11&lt;/D&gt;&lt;D xsi:type="xsd:double"&gt;46.32&lt;/D&gt;&lt;D xsi:type="xsd:double"&gt;45.96&lt;/D&gt;&lt;D xsi:type="xsd:double"&gt;46.27&lt;/D&gt;&lt;D xsi:type="xsd:double"&gt;45.95&lt;/D&gt;&lt;D xsi:type="xsd:double"&gt;46.53&lt;/D&gt;&lt;D xsi:type="xsd:double"&gt;46.1&lt;/D&gt;&lt;D xsi:type="xsd:double"&gt;46&lt;/D&gt;&lt;D xsi:type="xsd:double"&gt;45.92&lt;/D&gt;&lt;D xsi:type="xsd:double"&gt;45.74&lt;/D&gt;&lt;D xsi:type="xsd:double"&gt;45.52&lt;/D&gt;&lt;D xsi:type="xsd:double"&gt;46.85&lt;/D&gt;&lt;D xsi:type="xsd:double"&gt;46.51&lt;/D&gt;&lt;D xsi:type="xsd:double"&gt;47.41&lt;/D&gt;&lt;D xsi:type="xsd:double"&gt;47.19&lt;/D&gt;&lt;D xsi:type="xsd:double"&gt;46.28&lt;/D&gt;&lt;D xsi:type="xsd:double"&gt;47.35&lt;/D&gt;&lt;D xsi:type="xsd:double"&gt;47.91&lt;/D&gt;&lt;D xsi:type="xsd:double"&gt;47.25&lt;/D&gt;&lt;D xsi:type="xsd:double"&gt;47.67&lt;/D&gt;&lt;D xsi:type="xsd:double"&gt;47.64&lt;/D&gt;&lt;D xsi:type="xsd:double"&gt;48.85&lt;/D&gt;&lt;D xsi:type="xsd:double"&gt;50.13&lt;/D&gt;&lt;D xsi:type="xsd:double"&gt;49.96&lt;/D&gt;&lt;D xsi:type="xsd:double"&gt;51.03&lt;/D&gt;&lt;D xsi:type="xsd:double"&gt;49.93&lt;/D&gt;&lt;D xsi:type="xsd:double"&gt;50.44&lt;/D&gt;&lt;D xsi:type="xsd:double"&gt;50.46&lt;/D&gt;&lt;D xsi:type="xsd:double"&gt;50.48&lt;/D&gt;&lt;D xsi:type="xsd:double"&gt;50.93&lt;/D&gt;&lt;D xsi:type="xsd:double"&gt;51.21&lt;/D&gt;&lt;D xsi:type="xsd:double"&gt;51.23&lt;/D&gt;&lt;D xsi:type="xsd:double"&gt;50.83&lt;/D&gt;&lt;D xsi:type="xsd:double"&gt;51.17&lt;/D&gt;&lt;D xsi:type="xsd:double"&gt;49.86&lt;/D&gt;&lt;D xsi:type="xsd:double"&gt;50.06&lt;/D&gt;&lt;D xsi:type="xsd:double"&gt;49.26&lt;/D&gt;&lt;D xsi:type="xsd:double"&gt;49.33&lt;/D&gt;&lt;D xsi:type="xsd:double"&gt;48.1&lt;/D&gt;&lt;D xsi:type="xsd:double"&gt;48.15&lt;/D&gt;&lt;D xsi:type="xsd:double"&gt;48.26&lt;/D&gt;&lt;D xsi:type="xsd:double"&gt;47.81&lt;/D&gt;&lt;D xsi:type="xsd:double"&gt;47.38&lt;/D&gt;&lt;D xsi:type="xsd:double"&gt;47.26&lt;/D&gt;&lt;D xsi:type="xsd:double"&gt;47.24&lt;/D&gt;&lt;D xsi:type="xsd:double"&gt;47.67&lt;/D&gt;&lt;D xsi:type="xsd:double"&gt;49.7&lt;/D&gt;&lt;D xsi:type="xsd:double"&gt;50.9&lt;/D&gt;&lt;D xsi:type="xsd:double"&gt;50.19&lt;/D&gt;&lt;D xsi:type="xsd:double"&gt;49.44&lt;/D&gt;&lt;D xsi:type="xsd:double"&gt;48.77&lt;/D&gt;&lt;D xsi:type="xsd:double"&gt;50.5&lt;/D&gt;&lt;D xsi:type="xsd:double"&gt;49.7&lt;/D&gt;&lt;D xsi:type="xsd:double"&gt;50.3&lt;/D&gt;&lt;D xsi:type="xsd:double"&gt;50.33&lt;/D&gt;&lt;D xsi:type="xsd:double"&gt;51.23&lt;/D&gt;&lt;D xsi:type="xsd:double"&gt;50.89&lt;/D&gt;&lt;D xsi:type="xsd:double"&gt;51.44&lt;/D&gt;&lt;D xsi:type="xsd:double"&gt;50.93&lt;/D&gt;&lt;D xsi:type="xsd:double"&gt;49.69&lt;/D&gt;&lt;D xsi:type="xsd:double"&gt;49.68&lt;/D&gt;&lt;D xsi:type="xsd:double"&gt;49.73&lt;/D&gt;&lt;D xsi:type="xsd:double"&gt;50.7&lt;/D&gt;&lt;D xsi:type="xsd:double"&gt;49.48&lt;/D&gt;&lt;D xsi:type="xsd:double"&gt;49.19&lt;/D&gt;&lt;D xsi:type="xsd:double"&gt;49.31&lt;/D&gt;&lt;D xsi:type="xsd:double"&gt;49.51&lt;/D&gt;&lt;D xsi:type="xsd:double"&gt;50.36&lt;/D&gt;&lt;D xsi:type="xsd:double"&gt;49.89&lt;/D&gt;&lt;D xsi:type="xsd:double"&gt;49.8&lt;/D&gt;&lt;D xsi:type="xsd:double"&gt;50.92&lt;/D&gt;&lt;D xsi:type="xsd:double"&gt;50.76&lt;/D&gt;&lt;D xsi:type="xsd:double"&gt;50.42&lt;/D&gt;&lt;D xsi:type="xsd:double"&gt;50.16&lt;/D&gt;&lt;D xsi:type="xsd:double"&gt;50.5&lt;/D&gt;&lt;D xsi:type="xsd:double"&gt;49.82&lt;/D&gt;&lt;D xsi:type="xsd:double"&gt;49.66&lt;/D&gt;&lt;D xsi:type="xsd:double"&gt;49.97&lt;/D&gt;&lt;D xsi:type="xsd:double"&gt;51.78&lt;/D&gt;&lt;D xsi:type="xsd:double"&gt;51.35&lt;/D&gt;&lt;D xsi:type="xsd:double"&gt;51.1&lt;/D&gt;&lt;D xsi:type="xsd:double"&gt;49.43&lt;/D&gt;&lt;D xsi:type="xsd:double"&gt;47.82&lt;/D&gt;&lt;D xsi:type="xsd:double"&gt;48.31&lt;/D&gt;&lt;D xsi:type="xsd:double"&gt;47.77&lt;/D&gt;&lt;D xsi:type="xsd:double"&gt;48.18&lt;/D&gt;&lt;D xsi:type="xsd:double"&gt;48.59&lt;/D&gt;&lt;D xsi:type="xsd:double"&gt;48.49&lt;/D&gt;&lt;D xsi:type="xsd:double"&gt;49.24&lt;/D&gt;&lt;D xsi:type="xsd:double"&gt;49.21&lt;/D&gt;&lt;/FQL&gt;&lt;FQL&gt;&lt;Q&gt;SP50^FG_PRICE(NOW,-3AY)&lt;/Q&gt;&lt;R&gt;758&lt;/R&gt;&lt;C&gt;1&lt;/C&gt;&lt;D xsi:type="xsd:double"&gt;4594.62&lt;/D&gt;&lt;D xsi:type="xsd:double"&gt;4701.46&lt;/D&gt;&lt;D xsi:type="xsd:double"&gt;4690.7&lt;/D&gt;&lt;D xsi:type="xsd:double"&gt;4682.94&lt;/D&gt;&lt;D xsi:type="xsd:double"&gt;4697.96&lt;/D&gt;&lt;D xsi:type="xsd:double"&gt;4704.54&lt;/D&gt;&lt;D xsi:type="xsd:double"&gt;4688.67&lt;/D&gt;&lt;D xsi:type="xsd:double"&gt;4700.9&lt;/D&gt;&lt;D xsi:type="xsd:double"&gt;4682.8&lt;/D&gt;&lt;D xsi:type="xsd:double"&gt;4682.85&lt;/D&gt;&lt;D xsi:type="xsd:double"&gt;4649.27&lt;/D&gt;&lt;D xsi:type="xsd:double"&gt;4646.71&lt;/D&gt;&lt;D xsi:type="xsd:double"&gt;4685.25&lt;/D&gt;&lt;D xsi:type="xsd:double"&gt;4701.7&lt;/D&gt;&lt;D xsi:type="xsd:double"&gt;4697.53&lt;/D&gt;&lt;D xsi:type="xsd:double"&gt;4680.06&lt;/D&gt;&lt;D xsi:type="xsd:double"&gt;4660.57&lt;/D&gt;&lt;D xsi:type="xsd:double"&gt;4630.65&lt;/D&gt;&lt;D xsi:type="xsd:double"&gt;4613.67&lt;/D&gt;&lt;D xsi:type="xsd:double"&gt;4605.38&lt;/D&gt;&lt;D xsi:type="xsd:double"&gt;4596.42&lt;/D&gt;&lt;D xsi:type="xsd:double"&gt;4551.68&lt;/D&gt;&lt;D xsi:type="xsd:double"&gt;4574.79&lt;/D&gt;&lt;D xsi:type="xsd:double"&gt;4566.48&lt;/D&gt;&lt;D xsi:type="xsd:double"&gt;4544.9&lt;/D&gt;&lt;D xsi:type="xsd:double"&gt;4549.78&lt;/D&gt;&lt;D xsi:type="xsd:double"&gt;4536.19&lt;/D&gt;&lt;D xsi:type="xsd:double"&gt;4519.63&lt;/D&gt;&lt;D xsi:type="xsd:double"&gt;4486.46&lt;/D&gt;&lt;D xsi:type="xsd:double"&gt;4471.37&lt;/D&gt;&lt;D xsi:type="xsd:double"&gt;4438.26&lt;/D&gt;&lt;D xsi:type="xsd:double"&gt;4363.8&lt;/D&gt;&lt;D xsi:type="xsd:double"&gt;4350.65&lt;/D&gt;&lt;D xsi:type="xsd:double"&gt;4361.19&lt;/D&gt;&lt;D xsi:type="xsd:double"&gt;4391.34&lt;/D&gt;&lt;D xsi:type="xsd:double"&gt;4399.76&lt;/D&gt;&lt;D xsi:type="xsd:double"&gt;4363.55&lt;/D&gt;&lt;D xsi:type="xsd:double"&gt;4345.72&lt;/D&gt;&lt;D xsi:type="xsd:double"&gt;4300.46&lt;/D&gt;&lt;D xsi:type="xsd:double"&gt;4357.04&lt;/D&gt;&lt;D xsi:type="xsd:double"&gt;4307.54&lt;/D&gt;&lt;D xsi:type="xsd:double"&gt;4359.461&lt;/D&gt;&lt;D xsi:type="xsd:double"&gt;4352.63&lt;/D&gt;&lt;D xsi:type="xsd:double"&gt;4443.11&lt;/D&gt;&lt;D xsi:type="xsd:double"&gt;4455.48&lt;/D&gt;&lt;D xsi:type="xsd:double"&gt;4448.98&lt;/D&gt;&lt;D xsi:type="xsd:double"&gt;4395.64&lt;/D&gt;&lt;D xsi:type="xsd:double"&gt;4354.19&lt;/D&gt;&lt;D xsi:type="xsd:double"&gt;4357.73&lt;/D&gt;&lt;D xsi:type="xsd:double"&gt;4432.99&lt;/D&gt;&lt;D xsi:type="xsd:double"&gt;4473.75&lt;/D&gt;&lt;D xsi:type="xsd:double"&gt;4480.7&lt;/D&gt;&lt;D xsi:type="xsd:double"&gt;4443.05&lt;/D&gt;&lt;D xsi:type="xsd:double"&gt;4468.73&lt;/D&gt;&lt;D xsi:type="xsd:double"&gt;4458.58&lt;/D&gt;&lt;D xsi:type="xsd:double"&gt;4493.28&lt;/D&gt;&lt;D xsi:type="xsd:double"&gt;4514.07</t>
        </r>
      </text>
    </comment>
    <comment ref="A12" authorId="0" shapeId="0" xr:uid="{96D7CBF0-B2C5-41C6-BCBF-9D2E302037F3}">
      <text>
        <r>
          <rPr>
            <b/>
            <sz val="9"/>
            <color indexed="81"/>
            <rFont val="Tahoma"/>
            <charset val="1"/>
          </rPr>
          <t>&lt;/D&gt;&lt;D xsi:type="xsd:double"&gt;4520.03&lt;/D&gt;&lt;D xsi:type="xsd:double"&gt;4535.43&lt;/D&gt;&lt;D xsi:type="xsd:double"&gt;4536.95&lt;/D&gt;&lt;D xsi:type="xsd:double"&gt;4524.09&lt;/D&gt;&lt;D xsi:type="xsd:double"&gt;4522.68&lt;/D&gt;&lt;D xsi:type="xsd:double"&gt;4528.79&lt;/D&gt;&lt;D xsi:type="xsd:double"&gt;4509.37&lt;/D&gt;&lt;D xsi:type="xsd:double"&gt;4470&lt;/D&gt;&lt;D xsi:type="xsd:double"&gt;4496.19&lt;/D&gt;&lt;D xsi:type="xsd:double"&gt;4486.23&lt;/D&gt;&lt;D xsi:type="xsd:double"&gt;4479.53&lt;/D&gt;&lt;D xsi:type="xsd:double"&gt;4441.67&lt;/D&gt;&lt;D xsi:type="xsd:double"&gt;4405.8&lt;/D&gt;&lt;D xsi:type="xsd:double"&gt;4400.27&lt;/D&gt;&lt;D xsi:type="xsd:double"&gt;4448.08&lt;/D&gt;&lt;D xsi:type="xsd:double"&gt;4479.71&lt;/D&gt;&lt;D xsi:type="xsd:double"&gt;4468&lt;/D&gt;&lt;D xsi:type="xsd:double"&gt;4460.83&lt;/D&gt;&lt;D xsi:type="xsd:double"&gt;4447.7&lt;/D&gt;&lt;D xsi:type="xsd:double"&gt;4436.75&lt;/D&gt;&lt;D xsi:type="xsd:double"&gt;4432.35&lt;/D&gt;&lt;D xsi:type="xsd:double"&gt;4436.52&lt;/D&gt;&lt;D xsi:type="xsd:double"&gt;4429.1&lt;/D&gt;&lt;D xsi:type="xsd:double"&gt;4402.66&lt;/D&gt;&lt;D xsi:type="xsd:double"&gt;4423.15&lt;/D&gt;&lt;D xsi:type="xsd:double"&gt;4387.16&lt;/D&gt;&lt;D xsi:type="xsd:double"&gt;4395.26&lt;/D&gt;&lt;D xsi:type="xsd:double"&gt;4419.15&lt;/D&gt;&lt;D xsi:type="xsd:double"&gt;4400.64&lt;/D&gt;&lt;D xsi:type="xsd:double"&gt;4401.46&lt;/D&gt;&lt;D xsi:type="xsd:double"&gt;4422.3&lt;/D&gt;&lt;D xsi:type="xsd:double"&gt;4411.79&lt;/D&gt;&lt;D xsi:type="xsd:double"&gt;4367.48&lt;/D&gt;&lt;D xsi:type="xsd:double"&gt;4358.69&lt;/D&gt;&lt;D xsi:type="xsd:double"&gt;4323.06&lt;/D&gt;&lt;D xsi:type="xsd:double"&gt;4258.49&lt;/D&gt;&lt;D xsi:type="xsd:double"&gt;4327.16&lt;/D&gt;&lt;D xsi:type="xsd:double"&gt;4360.03&lt;/D&gt;&lt;D xsi:type="xsd:double"&gt;4374.3&lt;/D&gt;&lt;D xsi:type="xsd:double"&gt;4369.21&lt;/D&gt;&lt;D xsi:type="xsd:double"&gt;4384.63&lt;/D&gt;&lt;D xsi:type="xsd:double"&gt;4369.55&lt;/D&gt;&lt;D xsi:type="xsd:double"&gt;4320.82&lt;/D&gt;&lt;D xsi:type="xsd:double"&gt;4358.13&lt;/D&gt;&lt;D xsi:type="xsd:double"&gt;4343.54&lt;/D&gt;&lt;D xsi:type="xsd:double"&gt;4352.34&lt;/D&gt;&lt;D xsi:type="xsd:double"&gt;4319.94&lt;/D&gt;&lt;D xsi:type="xsd:double"&gt;4297.5&lt;/D&gt;&lt;D xsi:type="xsd:double"&gt;4291.8&lt;/D&gt;&lt;D xsi:type="xsd:double"&gt;4290.61&lt;/D&gt;&lt;D xsi:type="xsd:double"&gt;4280.7&lt;/D&gt;&lt;D xsi:type="xsd:double"&gt;4266.49&lt;/D&gt;&lt;D xsi:type="xsd:double"&gt;4241.84&lt;/D&gt;&lt;D xsi:type="xsd:double"&gt;4246.44&lt;/D&gt;&lt;D xsi:type="xsd:double"&gt;4224.79&lt;/D&gt;&lt;D xsi:type="xsd:double"&gt;4166.45&lt;/D&gt;&lt;D xsi:type="xsd:double"&gt;4221.86&lt;/D&gt;&lt;D xsi:type="xsd:double"&gt;4223.7&lt;/D&gt;&lt;D xsi:type="xsd:double"&gt;4246.59&lt;/D&gt;&lt;D xsi:type="xsd:double"&gt;4255.15&lt;/D&gt;&lt;D xsi:type="xsd:double"&gt;4247.44&lt;/D&gt;&lt;D xsi:type="xsd:double"&gt;4239.18&lt;/D&gt;&lt;D xsi:type="xsd:double"&gt;4219.55&lt;/D&gt;&lt;D xsi:type="xsd:double"&gt;4227.26&lt;/D&gt;&lt;D xsi:type="xsd:double"&gt;4226.52&lt;/D&gt;&lt;D xsi:type="xsd:double"&gt;4229.89&lt;/D&gt;&lt;D xsi:type="xsd:double"&gt;4192.85&lt;/D&gt;&lt;D xsi:type="xsd:double"&gt;4208.12&lt;/D&gt;&lt;D xsi:type="xsd:double"&gt;4202.04&lt;/D&gt;&lt;D xsi:type="xsd:double"&gt;4204.11&lt;/D&gt;&lt;D xsi:type="xsd:double"&gt;4200.88&lt;/D&gt;&lt;D xsi:type="xsd:double"&gt;4195.99&lt;/D&gt;&lt;D xsi:type="xsd:double"&gt;4188.13&lt;/D&gt;&lt;D xsi:type="xsd:double"&gt;4197.05&lt;/D&gt;&lt;D xsi:type="xsd:double"&gt;4155.86&lt;/D&gt;&lt;D xsi:type="xsd:double"&gt;4159.12&lt;/D&gt;&lt;D xsi:type="xsd:double"&gt;4115.68&lt;/D&gt;&lt;D xsi:type="xsd:double"&gt;4127.83&lt;/D&gt;&lt;D xsi:type="xsd:double"&gt;4163.29&lt;/D&gt;&lt;D xsi:type="xsd:double"&gt;4173.85&lt;/D&gt;&lt;D xsi:type="xsd:double"&gt;4112.5&lt;/D&gt;&lt;D xsi:type="xsd:double"&gt;4063.04&lt;/D&gt;&lt;D xsi:type="xsd:double"&gt;4152.1&lt;/D&gt;&lt;D xsi:type="xsd:double"&gt;4188.43&lt;/D&gt;&lt;D xsi:type="xsd:double"&gt;4232.6&lt;/D&gt;&lt;D xsi:type="xsd:double"&gt;4201.62&lt;/D&gt;&lt;D xsi:type="xsd:double"&gt;4167.59&lt;/D&gt;&lt;D xsi:type="xsd:double"&gt;4164.66&lt;/D&gt;&lt;D xsi:type="xsd:double"&gt;4192.66&lt;/D&gt;&lt;D xsi:type="xsd:double"&gt;4181.17&lt;/D&gt;&lt;D xsi:type="xsd:double"&gt;4211.47&lt;/D&gt;&lt;D xsi:type="xsd:double"&gt;4183.18&lt;/D&gt;&lt;D xsi:type="xsd:double"&gt;4186.72&lt;/D&gt;&lt;D xsi:type="xsd:double"&gt;4187.62&lt;/D&gt;&lt;D xsi:type="xsd:double"&gt;4180.17&lt;/D&gt;&lt;D xsi:type="xsd:double"&gt;4134.98&lt;/D&gt;&lt;D xsi:type="xsd:double"&gt;4173.42&lt;/D&gt;&lt;D xsi:type="xsd:double"&gt;4134.94&lt;/D&gt;&lt;D xsi:type="xsd:double"&gt;4163.26&lt;/D&gt;&lt;D xsi:type="xsd:double"&gt;4185.47&lt;/D&gt;&lt;D xsi:type="xsd:double"&gt;4170.42&lt;/D&gt;&lt;D xsi:type="xsd:double"&gt;4124.66&lt;/D&gt;&lt;D xsi:type="xsd:double"&gt;4141.59&lt;/D&gt;&lt;D xsi:type="xsd:double"&gt;4127.99&lt;/D&gt;&lt;D xsi:type="xsd:double"&gt;4128.8&lt;/D&gt;&lt;D xsi:type="xsd:double"&gt;4097.17&lt;/D&gt;&lt;D xsi:type="xsd:double"&gt;4079.95&lt;/D&gt;&lt;D xsi:type="xsd:double"&gt;4073.94&lt;/D&gt;&lt;D xsi:type="xsd:double"&gt;4077.91&lt;/D&gt;&lt;D xsi:type="xsd:double"&gt;4019.87&lt;/D&gt;&lt;D xsi:type="xsd:double"&gt;3972.89&lt;/D&gt;&lt;D xsi:type="xsd:double"&gt;3958.55&lt;/D&gt;&lt;D xsi:type="xsd:double"&gt;3971.09&lt;/D&gt;&lt;D xsi:type="xsd:double"&gt;3974.54&lt;/D&gt;&lt;D xsi:type="xsd:double"&gt;3909.52&lt;/D&gt;&lt;D xsi:type="xsd:double"&gt;3889.14&lt;/D&gt;&lt;D xsi:type="xsd:double"&gt;3910.52&lt;/D&gt;&lt;D xsi:type="xsd:double"&gt;3940.59&lt;/D&gt;&lt;D xsi:type="xsd:double"&gt;3913.1&lt;/D&gt;&lt;D xsi:type="xsd:double"&gt;3915.46&lt;/D&gt;&lt;D xsi:type="xsd:double"&gt;3974.12&lt;/D&gt;&lt;D xsi:type="xsd:double"&gt;3962.71&lt;/D&gt;&lt;D xsi:type="xsd:double"&gt;3968.94&lt;/D&gt;&lt;D xsi:type="xsd:double"&gt;3943.34&lt;/D&gt;&lt;D xsi:type="xsd:double"&gt;3939.34&lt;/D&gt;&lt;D xsi:type="xsd:double"&gt;3898.81&lt;/D&gt;&lt;D xsi:type="xsd:double"&gt;3875.44&lt;/D&gt;&lt;D xsi:type="xsd:double"&gt;3821.35&lt;/D&gt;&lt;D xsi:type="xsd:double"&gt;3841.94&lt;/D&gt;&lt;D xsi:type="xsd:double"&gt;3768.47&lt;/D&gt;&lt;D xsi:type="xsd:double"&gt;3819.72&lt;/D&gt;&lt;D xsi:type="xsd:double"&gt;3870.29&lt;/D&gt;&lt;D xsi:type="xsd:double"&gt;3901.82&lt;/D&gt;&lt;D xsi:type="xsd:double"&gt;3811.15&lt;/D&gt;&lt;D xsi:type="xsd:double"&gt;3829.34&lt;/D&gt;&lt;D xsi:type="xsd:double"&gt;3925.43&lt;/D&gt;&lt;D xsi:type="xsd:double"&gt;3881.37&lt;/D&gt;&lt;D xsi:type="xsd:double"&gt;3876.5&lt;/D&gt;&lt;D xsi:type="xsd:double"&gt;3906.71&lt;/D&gt;&lt;D xsi:type="xsd:double"&gt;3913.97&lt;/D&gt;&lt;D xsi:type="xsd:double"&gt;3931.33&lt;/D&gt;&lt;D xsi:type="xsd:double"&gt;3932.59&lt;/D&gt;&lt;D xsi:type="xsd:double"&gt;3934.83&lt;/D&gt;&lt;D xsi:type="xsd:double"&gt;3916.38&lt;/D&gt;&lt;D xsi:type="xsd:double"&gt;3909.88&lt;/D&gt;&lt;D xsi:type="xsd:double"&gt;3911.23&lt;/D&gt;&lt;D xsi:type="xsd:double"&gt;3915.59&lt;/D&gt;&lt;D xsi:type="xsd:double"&gt;3886.83&lt;/D&gt;&lt;D xsi:type="xsd:double"&gt;3871.74&lt;/D&gt;&lt;D xsi:type="xsd:double"&gt;3830.17&lt;/D&gt;&lt;D xsi:type="xsd:double"&gt;3826.31&lt;/D&gt;&lt;D xsi:type="xsd:double"&gt;3773.86&lt;/D&gt;&lt;D xsi:type="xsd:double"&gt;3714.24&lt;/D&gt;&lt;D xsi:type="xsd:double"&gt;3787.38&lt;/D&gt;&lt;D xsi:type="xsd:double"&gt;3750.77&lt;/D&gt;&lt;D xsi:type="xsd:double"&gt;3849.62&lt;/D&gt;&lt;D xsi:type="xsd:double"&gt;3855.36&lt;/D&gt;&lt;D xsi:type="xsd:double"&gt;3841.47&lt;/D&gt;&lt;D xsi:type="xsd:double"&gt;3853.07&lt;/D&gt;&lt;D xsi:type="xsd:double"&gt;3851.85&lt;/D&gt;&lt;D xsi:type="xsd:double"&gt;3798.91&lt;/D&gt;&lt;D xsi:type="xsd:double"&gt;3768.25&lt;/D&gt;&lt;D xsi:type="xsd:double"&gt;3795.54&lt;/D&gt;&lt;D xsi:type="xsd:double"&gt;3809.84&lt;/D&gt;&lt;D xsi:type="xsd:double"&gt;3801.19&lt;/D&gt;&lt;D xsi:type="xsd:double"&gt;3799.61&lt;/D&gt;&lt;D xsi:type="xsd:double"&gt;3824.68&lt;/D&gt;&lt;D xsi:type="xsd:double"&gt;3803.79&lt;/D&gt;&lt;D xsi:type="xsd:double"&gt;3748.14&lt;/D&gt;&lt;D xsi:type="xsd:double"&gt;3726.86&lt;/D&gt;&lt;D xsi:type="xsd:double"&gt;3700.65&lt;/D&gt;&lt;D xsi:type="xsd:double"&gt;3756.07&lt;/D&gt;&lt;D xsi:type="xsd:double"&gt;3732.04&lt;/D&gt;&lt;D xsi:type="xsd:double"&gt;3727.04&lt;/D&gt;&lt;D xsi:type="xsd:double"&gt;3735.36&lt;/D&gt;&lt;D xsi:type="xsd:double"&gt;3703.06&lt;/D&gt;&lt;D xsi:type="xsd:double"&gt;3690.01&lt;/D&gt;&lt;D xsi:type="xsd:double"&gt;3687.26&lt;/D&gt;&lt;D xsi:type="xsd:double"&gt;3694.92&lt;/D&gt;&lt;D xsi:type="xsd:double"&gt;3709.41&lt;/D&gt;&lt;D xsi:type="xsd:double"&gt;3722.48&lt;/D&gt;&lt;D xsi:type="xsd:double"&gt;3701.17&lt;/D&gt;&lt;D xsi:type="xsd:double"&gt;3694.62&lt;/D&gt;&lt;D xsi:type="xsd:double"&gt;3647.49&lt;/D&gt;&lt;D xsi:type="xsd:double"&gt;3663.46&lt;/D&gt;&lt;D xsi:type="xsd:double"&gt;3668.1&lt;/D&gt;&lt;D xsi:type="xsd:double"&gt;3672.82&lt;/D&gt;&lt;D xsi:type="xsd:double"&gt;3702.25&lt;/D&gt;&lt;D xsi:type="xsd:double"&gt;3691.96&lt;/D&gt;&lt;D xsi:type="xsd:double"&gt;3699.12&lt;/D&gt;&lt;D xsi:type="xsd:double"&gt;3666.72&lt;/D&gt;&lt;D xsi:type="xsd:double"&gt;3669.01&lt;/D&gt;&lt;D xsi:type="xsd:double"&gt;3662.45&lt;/D&gt;&lt;D xsi:type="xsd:double"&gt;3621.63&lt;/D&gt;&lt;D xsi:type="xsd:double"&gt;3638.35&lt;/D&gt;&lt;D xsi:type="xsd:double"&gt;3629.65&lt;/D&gt;&lt;D xsi:type="xsd:double"&gt;3635.41&lt;/D&gt;&lt;D xsi:type="xsd:double"&gt;3577.59&lt;/D&gt;&lt;D xsi:type="xsd:double"&gt;3557.54&lt;/D&gt;&lt;D xsi:type="xsd:double"&gt;3581.87&lt;/D&gt;&lt;D xsi:type="xsd:double"&gt;3567.79&lt;/D&gt;&lt;D xsi:type="xsd:double"&gt;3609.53&lt;/D&gt;&lt;D xsi:type="xsd:double"&gt;3626.91&lt;/D&gt;&lt;D xsi:type="xsd:double"&gt;3585.15&lt;/D&gt;&lt;D xsi:type="xsd:double"&gt;3537.01&lt;/D&gt;&lt;D xsi:type="xsd:double"&gt;3572.66&lt;/D&gt;&lt;D xsi:type="xsd:double"&gt;3545.53&lt;/D&gt;&lt;D xsi:type="xsd:double"&gt;3550.5&lt;/D&gt;&lt;D xsi:type="xsd:double"&gt;3509.44&lt;/D&gt;&lt;D xsi:type="xsd:double"&gt;3510.45&lt;/D&gt;&lt;D xsi:type="xsd:double"&gt;3443.44&lt;/D&gt;&lt;D xsi:type="xsd:double"&gt;3369.1567&lt;/D&gt;&lt;D xsi:type="xsd:double"&gt;3310.24&lt;/D&gt;&lt;D xsi:type="xsd:double"&gt;3269.96&lt;/D&gt;&lt;D xsi:type="xsd:double"&gt;3310.11&lt;/D&gt;&lt;D xsi:type="xsd:double"&gt;3271.03&lt;/D&gt;&lt;D xsi:type="xsd:double"&gt;3390.68&lt;/D&gt;&lt;D xsi:type="xsd:double"&gt;3400.97&lt;/D&gt;&lt;D xsi:type="xsd:double"&gt;3465.39&lt;/D&gt;&lt;D xsi:type="xsd:double"&gt;3453.49&lt;/D&gt;&lt;D xsi:type="xsd:double"&gt;3435.56&lt;/D&gt;&lt;D xsi:type="xsd:double"&gt;3443.12&lt;/D&gt;&lt;D xsi:type="xsd:double"&gt;3426.92&lt;/D&gt;&lt;D xsi:type="xsd:double"&gt;3483.81&lt;/D&gt;&lt;D xsi:type="xsd:double"&gt;3483.34&lt;/D&gt;&lt;D xsi:type="xsd:double"&gt;3488.67&lt;/D&gt;&lt;D xsi:type="xsd:double"&gt;3511.93&lt;/D&gt;&lt;D xsi:type="xsd:double"&gt;3534.22&lt;/D&gt;&lt;D xsi:type="xsd:double"&gt;3477.13&lt;/D&gt;&lt;D xsi:type="xsd:double"&gt;3446.83&lt;/D&gt;&lt;D xsi:type="xsd:double"&gt;3419.45&lt;/D&gt;&lt;D xsi:type="xsd:double"&gt;3360.95&lt;/D&gt;&lt;D xsi:type="xsd:double"&gt;3408.63&lt;/D&gt;&lt;D xsi:type="xsd:double"&gt;3348.44&lt;/D&gt;&lt;D xsi:type="xsd:double"&gt;3380.8&lt;/D&gt;&lt;D xsi:type="xsd:double"&gt;3363&lt;/D&gt;&lt;D xsi:type="xsd:double"&gt;3335.47&lt;/D&gt;&lt;D xsi:type="xsd:double"&gt;3351.6&lt;/D&gt;&lt;D xsi:type="xsd:double"&gt;3298.46&lt;/D&gt;&lt;D xsi:type="xsd:double"&gt;3246.59&lt;/D&gt;&lt;D xsi:type="xsd:double"&gt;3236.92&lt;/D&gt;&lt;D xsi:type="xsd:double"&gt;3315.57&lt;/D&gt;&lt;D xsi:type="xsd:double"&gt;3281.06&lt;/D&gt;&lt;D xsi:type="xsd:double"&gt;3319.47&lt;/D&gt;&lt;D xsi:type="xsd:double"&gt;3357.01&lt;/D&gt;&lt;D xsi:type="xsd:double"&gt;3385.49&lt;/D&gt;&lt;D xsi:type="xsd:double"&gt;3401.2&lt;/D&gt;&lt;D xsi:type="xsd:double"&gt;3383.54&lt;/D&gt;&lt;D xsi:type="xsd:double"&gt;3340.97&lt;/D&gt;&lt;D xsi:type="xsd:double"&gt;3339.19&lt;/D&gt;&lt;D xsi:type="xsd:double"&gt;3398.96&lt;/D&gt;&lt;D xsi:type="xsd:double"&gt;3331.84&lt;/D&gt;&lt;D xsi:type="xsd:double"&gt;3426.96&lt;/D&gt;&lt;D xsi:type="xsd:double"&gt;3455.06&lt;/D&gt;&lt;D xsi:type="xsd:double"&gt;3580.84&lt;/D&gt;&lt;D xsi:type="xsd:double"&gt;3526.65&lt;/D&gt;&lt;D xsi:type="xsd:double"&gt;3500.31&lt;/D&gt;&lt;D xsi:type="xsd:double"&gt;3508.01&lt;/D&gt;&lt;D xsi:type="xsd:double"&gt;3484.55&lt;/D&gt;&lt;D xsi:type="xsd:double"&gt;3478.73&lt;/D&gt;&lt;D xsi:type="xsd:double"&gt;3443.62&lt;/D&gt;&lt;D xsi:type="xsd:double"&gt;3431.28&lt;/D&gt;&lt;D xsi:type="xsd:double"&gt;3397.16&lt;/D&gt;&lt;D xsi:type="xsd:double"&gt;3385.51&lt;/D&gt;&lt;D xsi:type="xsd:double"&gt;3374.85&lt;/D&gt;&lt;D xsi:type="xsd:double"&gt;3389.78&lt;/D&gt;&lt;D xsi:type="xsd:double"&gt;3381.99&lt;/D&gt;&lt;D xsi:type="xsd:double"&gt;3372.85&lt;/D&gt;&lt;D xsi:type="xsd:double"&gt;3373.43&lt;/D&gt;&lt;D xsi:type="xsd:double"&gt;3380.35&lt;/D&gt;&lt;D xsi:type="xsd:double"&gt;3333.69&lt;/D&gt;&lt;D xsi:type="xsd:double"&gt;3360.47&lt;/D&gt;&lt;D xsi:type="xsd:double"&gt;3351.28&lt;/D&gt;&lt;D xsi:type="xsd:double"&gt;3349.16&lt;/D&gt;&lt;D xsi:type="xsd:double"&gt;3327.77&lt;/D&gt;&lt;D xsi:type="xsd:double"&gt;3306.51&lt;/D&gt;&lt;D xsi:type="xsd:double"&gt;3294.61&lt;/D&gt;&lt;D xsi:type="xsd:double"&gt;3271.12&lt;/D&gt;&lt;D xsi:type="xsd:double"&gt;3246.22&lt;/D&gt;&lt;D xsi:type="xsd:double"&gt;3258.44&lt;/D&gt;&lt;D xsi:type="xsd:double"&gt;3218.44&lt;/D&gt;&lt;D xsi:type="xsd:double"&gt;3239.41&lt;/D&gt;&lt;D xsi:type="xsd:double"&gt;3215.63&lt;/D&gt;&lt;D xsi:type="xsd:double"&gt;3235.66&lt;/D&gt;&lt;D xsi:type="xsd:double"&gt;3276.02&lt;/D&gt;&lt;D xsi:type="xsd:double"&gt;3257.3&lt;/D&gt;&lt;D xsi:type="xsd:double"&gt;3251.84&lt;/D&gt;&lt;D xsi:type="xsd:double"&gt;3224.73&lt;/D&gt;&lt;D xsi:type="xsd:double"&gt;3215.57&lt;/D&gt;&lt;D xsi:type="xsd:double"&gt;3226.56&lt;/D&gt;&lt;D xsi:type="xsd:double"&gt;3197.52&lt;/D&gt;&lt;D xsi:type="xsd:double"&gt;3155.22&lt;/D&gt;&lt;D xsi:type="xsd:double"&gt;3185.04&lt;/D&gt;&lt;D xsi:type="xsd:double"&gt;3152.05&lt;/D&gt;&lt;D xsi:type="xsd:double"&gt;3169.94&lt;/D&gt;&lt;D xsi:type="xsd:double"&gt;3145.32&lt;/D&gt;&lt;D xsi:type="xsd:double"&gt;3179.72&lt;/D&gt;&lt;D xsi:type="xsd:double"&gt;3130.01&lt;/D&gt;&lt;D xsi:type="xsd:double"&gt;3115.86&lt;/D&gt;&lt;D xsi:type="xsd:double"&gt;3100.29&lt;/D&gt;&lt;D xsi:type="xsd:double"&gt;3053.24&lt;/D&gt;&lt;D xsi:type="xsd:double"&gt;3009.05&lt;/D&gt;&lt;D xsi:type="xsd:double"&gt;3083.76&lt;/D&gt;&lt;D xsi:type="xsd:double"&gt;3050.33&lt;/D&gt;&lt;D xsi:type="xsd:double"&gt;3131.29&lt;/D&gt;&lt;D xsi:type="xsd:double"&gt;3117.86&lt;/D&gt;&lt;D xsi:type="xsd:double"&gt;3097.74&lt;/D&gt;&lt;D xsi:type="xsd:double"&gt;3115.34&lt;/D&gt;&lt;D xsi:type="xsd:double"&gt;3113.49&lt;/D&gt;&lt;D xsi:type="xsd:double"&gt;3124.74&lt;/D&gt;&lt;D xsi:type="xsd:double"&gt;3066.59&lt;/D&gt;&lt;D xsi:type="xsd:double"&gt;3041.31&lt;/D&gt;&lt;D xsi:type="xsd:double"&gt;3002.1&lt;/D&gt;&lt;D xsi:type="xsd:double"&gt;3190.14&lt;/D&gt;&lt;D xsi:type="xsd:double"&gt;3207.18&lt;/D&gt;&lt;D xsi:type="xsd:double"&gt;3232.39&lt;/D&gt;&lt;D xsi:type="xsd:double"&gt;3193.93&lt;/D&gt;&lt;D xsi:type="xsd:double"&gt;3112.35&lt;/D&gt;&lt;D xsi:type="xsd:double"&gt;3122.87&lt;/D&gt;&lt;D xsi:type="xsd:double"&gt;3080.82&lt;/D&gt;&lt;D xsi:type="xsd:double"&gt;3055.73&lt;/D&gt;&lt;D xsi:type="xsd:double"&gt;3044.31&lt;/D&gt;&lt;D xsi:type="xsd:double"&gt;3029.73&lt;/D&gt;&lt;D xsi:type="xsd:double"&gt;3036.13&lt;/D&gt;&lt;D xsi:type="xsd:double"&gt;2991.77&lt;/D&gt;&lt;D xsi:type="xsd:double"&gt;2955.45&lt;/D&gt;&lt;D xsi:type="xsd:double"&gt;2948.51&lt;/D&gt;&lt;D xsi:type="xsd:double"&gt;2971.61&lt;/D&gt;&lt;D xsi:type="xsd:double"&gt;2922.94&lt;/D&gt;&lt;D xsi:type="xsd:double"&gt;2953.91&lt;/D&gt;&lt;D xsi:type="xsd:double"&gt;2863.7&lt;/D&gt;&lt;D xsi:type="xsd:double"&gt;2852.5&lt;/D&gt;&lt;D xsi:type="xsd:double"&gt;2820&lt;/D&gt;&lt;D xsi:type="xsd:double"&gt;2870.12&lt;/D&gt;&lt;D xsi:type="xsd:double"&gt;2930.32&lt;/D&gt;&lt;D xsi:type="xsd:double"&gt;2929.8&lt;/D&gt;&lt;D xsi:type="xsd:double"&gt;2881.19&lt;/D&gt;&lt;D xsi:type="xsd:double"&gt;2848.42&lt;/D&gt;&lt;D xsi:type="xsd:double"&gt;2868.44&lt;/D&gt;&lt;D xsi:type="xsd:double"&gt;2842.74&lt;/D&gt;&lt;D xsi:type="xsd:double"&gt;2830.71&lt;/D&gt;&lt;D xsi:type="xsd:double"&gt;2912.43&lt;/D&gt;&lt;D xsi:type="xsd:double"&gt;2939.51&lt;/D&gt;&lt;D xsi:type="xsd:double"&gt;2863.39&lt;/D&gt;&lt;D xsi:type="xsd:double"&gt;2878.48&lt;/D&gt;&lt;D xsi:type="xsd:double"&gt;2836.74&lt;/D&gt;&lt;D xsi:type="xsd:double"&gt;2797.8&lt;/D&gt;&lt;D xsi:type="xsd:double"&gt;2799.31&lt;/D&gt;&lt;D xsi:type="xsd:double"&gt;2736.56&lt;/D&gt;&lt;D xsi:type="xsd:double"&gt;2823.16&lt;/D&gt;&lt;D xsi:type="xsd:double"&gt;2874.56&lt;/D&gt;&lt;D xsi:type="xsd:double"&gt;2799.55&lt;/D&gt;&lt;D xsi:type="xsd:double"&gt;2783.36&lt;/D&gt;&lt;D xsi:type="xsd:double"&gt;2846.06&lt;/D&gt;&lt;D xsi:type="xsd:double"&gt;2761.63&lt;/D&gt;&lt;D xsi:type="xsd:double"&gt;2789.82&lt;/D&gt;&lt;D xsi:type="xsd:double"&gt;2749.98&lt;/D&gt;&lt;D xsi:type="xsd:double"&gt;2659.41&lt;/D&gt;&lt;D xsi:type="xsd:double"&gt;2663.68&lt;/D&gt;&lt;D xsi:type="xsd:double"&gt;2488.65&lt;/D&gt;&lt;D xsi:type="xsd:double"&gt;2526.9&lt;/D&gt;&lt;D xsi:type="xsd:double"&gt;2470.5&lt;/D&gt;&lt;D xsi:type="xsd:double"&gt;2584.59&lt;/D&gt;&lt;D xsi:type="xsd:double"&gt;2626.65&lt;/D&gt;&lt;D xsi:type="xsd:double"&gt;2541.47&lt;/D&gt;&lt;D xsi:type="xsd:double"&gt;2630.07&lt;/D&gt;&lt;D xsi:type="xsd:double"&gt;2475.56&lt;/D&gt;&lt;D xsi:type="xsd:double"&gt;2447.33&lt;/D&gt;&lt;D xsi:type="xsd:double"&gt;2237.4&lt;/D&gt;&lt;D xsi:type="xsd:double"&gt;2304.92&lt;/D&gt;&lt;D xsi:type="xsd:double"&gt;2409.39&lt;/D&gt;&lt;D xsi:type="xsd:double"&gt;2398.1&lt;/D&gt;&lt;D xsi:type="xsd:double"&gt;2529.19&lt;/D&gt;&lt;D xsi:type="xsd:double"&gt;2386.13&lt;/D&gt;&lt;D xsi:type="xsd:double"&gt;2711.02&lt;/D&gt;&lt;D xsi:type="xsd:double"&gt;2480.64&lt;/D&gt;&lt;D xsi:type="xsd:double"&gt;2741.38&lt;/D&gt;&lt;D xsi:type="xsd:double"&gt;2882.23&lt;/D&gt;&lt;D xsi:type="xsd:double"&gt;2746.56&lt;/D&gt;&lt;D xsi:type="xsd:double"&gt;2972.37&lt;/D&gt;&lt;D xsi:type="xsd:double"&gt;3023.94&lt;/D&gt;&lt;D xsi:type="xsd:double"&gt;3130.12&lt;/D&gt;&lt;D xsi:type="xsd:double"&gt;3003.37&lt;/D&gt;&lt;D xsi:type="xsd:double"&gt;3090.23&lt;/D&gt;&lt;D xsi:type="xsd:double"&gt;2954.22&lt;/D&gt;&lt;D xsi:type="xsd:double"&gt;2978.76&lt;/D&gt;&lt;D xsi:type="xsd:double"&gt;3116.39&lt;/D&gt;&lt;D xsi:type="xsd:double"&gt;3128.21&lt;/D&gt;&lt;D xsi:type="xsd:double"&gt;3225.89&lt;/D&gt;&lt;D xsi:type="xsd:double"&gt;3337.75&lt;/D&gt;&lt;D xsi:type="xsd:double"&gt;3373.23&lt;/D&gt;&lt;D xsi:type="xsd:double"&gt;3386.15&lt;/D&gt;&lt;D xsi:type="xsd:double"&gt;3370.29&lt;/D&gt;&lt;D xsi:type="xsd:double"&gt;3380.16&lt;/D&gt;&lt;D xsi:type="xsd:double"&gt;3373.94&lt;/D&gt;&lt;D xsi:type="xsd:double"&gt;3379.45&lt;/D&gt;&lt;D xsi:type="xsd:double"&gt;3357.75&lt;/D&gt;&lt;D xsi:type="xsd:double"&gt;3352.09&lt;/D&gt;&lt;D xsi:type="xsd:double"&gt;3327.71&lt;/D&gt;&lt;D xsi:type="xsd:double"&gt;3345.78&lt;/D&gt;&lt;D xsi:type="xsd:double"&gt;3334.69&lt;/D&gt;&lt;D xsi:type="xsd:double"&gt;3297.59&lt;/D&gt;&lt;D xsi:type="xsd:double"&gt;3248.92&lt;/D&gt;&lt;D xsi:type="xsd:double"&gt;3225.52&lt;/D&gt;&lt;D xsi:type="xsd:double"&gt;3283.66&lt;/D&gt;&lt;D xsi:type="xsd:double"&gt;3273.4&lt;/D&gt;&lt;D xsi:type="xsd:double"&gt;3276.24&lt;/D&gt;&lt;D xsi:type="xsd:double"&gt;3243.63&lt;/D&gt;&lt;D xsi:type="xsd:double"&gt;3295.47&lt;/D&gt;&lt;D xsi:type="xsd:double"&gt;3325.54&lt;/D&gt;&lt;D xsi:type="xsd:double"&gt;3321.75&lt;/D&gt;&lt;D xsi:type="xsd:double"&gt;3320.79&lt;/D&gt;&lt;D xsi:type="xsd:double"&gt;3329.62&lt;/D&gt;&lt;D xsi:type="xsd:double"&gt;3316.81&lt;/D&gt;&lt;D xsi:type="xsd:double"&gt;3289.29&lt;/D&gt;&lt;D xsi:type="xsd:double"&gt;3283.15&lt;/D&gt;&lt;D xsi:type="xsd:double"&gt;3288.13&lt;/D&gt;&lt;D xsi:type="xsd:double"&gt;3265.35&lt;/D&gt;&lt;D xsi:type="xsd:double"&gt;3274.7&lt;/D&gt;&lt;D xsi:type="xsd:double"&gt;3253.05&lt;/D&gt;&lt;D xsi:type="xsd:double"&gt;3237.18&lt;/D&gt;&lt;D xsi:type="xsd:double"&gt;3246.28&lt;/D&gt;&lt;D xsi:type="xsd:double"&gt;3234.85&lt;/D&gt;&lt;D xsi:type="xsd:double"&gt;3257.85&lt;/D&gt;&lt;D xsi:type="xsd:double"&gt;3230.78&lt;/D&gt;&lt;D xsi:type="xsd:double"&gt;3221.29&lt;/D&gt;&lt;D xsi:type="xsd:double"&gt;3240.02&lt;/D&gt;&lt;D xsi:type="xsd:double"&gt;3239.91&lt;/D&gt;&lt;D xsi:type="xsd:double"&gt;3223.38&lt;/D&gt;&lt;D xsi:type="xsd:double"&gt;3224.01&lt;/D&gt;&lt;D xsi:type="xsd:double"&gt;3221.22&lt;/D&gt;&lt;D xsi:type="xsd:double"&gt;3205.37&lt;/D&gt;&lt;D xsi:type="xsd:double"&gt;3191.14&lt;/D&gt;&lt;D xsi:type="xsd:double"&gt;3192.52&lt;/D&gt;&lt;D xsi:type="xsd:double"&gt;3191.45&lt;/D&gt;&lt;D xsi:type="xsd:double"&gt;3168.8&lt;/D&gt;&lt;D xsi:type="xsd:double"&gt;3168.57&lt;/D&gt;&lt;D xsi:type="xsd:double"&gt;3141.63&lt;/D&gt;&lt;D xsi:type="xsd:double"&gt;3132.52&lt;/D&gt;&lt;D xsi:type="xsd:double"&gt;3135.96&lt;/D&gt;&lt;D xsi:type="xsd:double"&gt;3145.91&lt;/D&gt;&lt;D xsi:type="xsd:double"&gt;3117.43&lt;/D&gt;&lt;D xsi:type="xsd:double"&gt;3112.76&lt;/D&gt;&lt;D xsi:type="xsd:double"&gt;3093.2&lt;/D&gt;&lt;D xsi:type="xsd:double"&gt;3113.87&lt;/D&gt;&lt;D xsi:type="xsd:double"&gt;3140.98&lt;/D&gt;&lt;D xsi:type="xsd:double"&gt;3153.63&lt;/D&gt;&lt;D xsi:type="xsd:double"&gt;3140.52&lt;/D&gt;&lt;D xsi:type="xsd:double"&gt;3133.64&lt;/D&gt;&lt;D xsi:type="xsd:double"&gt;3110.29&lt;/D&gt;&lt;D xsi:type="xsd:double"&gt;3103.54&lt;/D&gt;&lt;D xsi:type="xsd:double"&gt;3108.46&lt;/D&gt;&lt;D xsi:type="xsd:double"&gt;3120.18&lt;/D&gt;&lt;D xsi:type="xsd:double"&gt;3122.03&lt;/D&gt;&lt;D xsi:type="xsd:double"&gt;3120.46&lt;/D&gt;&lt;D xsi:type="xsd:double"&gt;3096.63&lt;/D&gt;&lt;D xsi:type="xsd:double"&gt;3094.04&lt;/D&gt;&lt;D xsi:type="xsd:double"&gt;3091.84&lt;/D&gt;&lt;D xsi:type="xsd:double"&gt;3087.01&lt;/D&gt;&lt;D xsi:type="xsd:double"&gt;3093.08&lt;/D&gt;&lt;D xsi:type="xsd:double"&gt;3085.18&lt;/D&gt;&lt;D xsi:type="xsd:double"&gt;3076.78&lt;/D&gt;&lt;D xsi:type="xsd:double"&gt;3074.62&lt;/D&gt;&lt;D xsi:type="xsd:double"&gt;3078.27&lt;/D&gt;&lt;D xsi:type="xsd:double"&gt;3066.91&lt;/D&gt;&lt;D xsi:type="xsd:double"&gt;3037.56&lt;/D&gt;&lt;D xsi:type="xsd:double"&gt;3046.77&lt;/D&gt;&lt;D xsi:type="xsd:double"&gt;3036.89&lt;/D&gt;&lt;D xsi:type="xsd:double"&gt;3039.42&lt;/D&gt;&lt;D xsi:type="xsd:double"&gt;3022.55&lt;/D&gt;&lt;D xsi:type="xsd:double"&gt;3010.29&lt;/D&gt;&lt;D xsi:type="xsd:double"&gt;3004.52&lt;/D&gt;&lt;D xsi:type="xsd:double"&gt;2995.99&lt;/D&gt;&lt;D xsi:type="xsd:double"&gt;3006.72&lt;/D&gt;&lt;D xsi:type="xsd:double"&gt;2986.2&lt;/D&gt;&lt;D xsi:type="xsd:double"&gt;2997.95&lt;/D&gt;&lt;D xsi:type="xsd:double"&gt;2989.69&lt;/D&gt;&lt;D xsi:type="xsd:double"&gt;2995.68&lt;/D&gt;&lt;D xsi:type="xsd:double"&gt;2966.15&lt;/D&gt;&lt;D xsi:type="xsd:double"&gt;2970.27&lt;/D&gt;&lt;D xsi:type="xsd:double"&gt;2938.13&lt;/D&gt;&lt;D xsi:type="xsd:double"&gt;2919.4&lt;/D&gt;&lt;D xsi:type="xsd:double"&gt;2893.06&lt;/D&gt;&lt;D xsi:type="xsd:double"&gt;2938.79&lt;/D&gt;&lt;D xsi:type="xsd:double"&gt;2952.01&lt;/D&gt;&lt;D xsi:type="xsd:double"&gt;2910.63&lt;/D&gt;&lt;D xsi:type="xsd:double"&gt;2887.61&lt;/D&gt;&lt;D xsi:type="xsd:double"&gt;2940.25&lt;/D&gt;&lt;D xsi:type="xsd:double"&gt;2976.74&lt;/D&gt;&lt;D xsi:type="xsd:double"&gt;2961.79&lt;/D&gt;&lt;D xsi:type="xsd:double"&gt;2977.62&lt;/D&gt;&lt;D xsi:type="xsd:double"&gt;2984.87&lt;/D&gt;&lt;D xsi:type="xsd:double"&gt;2966.6&lt;/D&gt;&lt;D xsi:type="xsd:double"&gt;2991.78&lt;/D&gt;&lt;D xsi:type="xsd:double"&gt;2992.07&lt;/D&gt;&lt;D xsi:type="xsd:double"&gt;3006.79&lt;/D&gt;&lt;D xsi:type="xsd:double"&gt;3006.73&lt;/D&gt;&lt;D xsi:type="xsd:double"&gt;3005.7&lt;/D&gt;&lt;D xsi:type="xsd:double"&gt;2997.96&lt;/D&gt;&lt;D xsi:type="xsd:double"&gt;3007.39&lt;/D&gt;&lt;D xsi:type="xsd:double"&gt;3009.57&lt;/D&gt;&lt;D xsi:type="xsd:double"&gt;3000.93&lt;/D&gt;&lt;D xsi:type="xsd:double"&gt;2979.39&lt;/D&gt;&lt;D xsi:type="xsd:double"&gt;2978.43&lt;/D&gt;&lt;D xsi:type="xsd:double"&gt;2978.71&lt;/D&gt;&lt;D xsi:type="xsd:double"&gt;2976&lt;/D&gt;&lt;D xsi:type="xsd:double"&gt;2937.78&lt;/D&gt;&lt;D xsi:type="xsd:double"&gt;2906.27&lt;/D&gt;&lt;D xsi:type="xsd:double"&gt;2926.46&lt;/D&gt;&lt;D xsi:type="xsd:double"&gt;2924.58&lt;/D&gt;&lt;D xsi:type="xsd:double"&gt;2887.94&lt;/D&gt;&lt;D xsi:type="xsd:double"&gt;2869.16&lt;/D&gt;&lt;D xsi:type="xsd:double"&gt;2878.38&lt;/D&gt;&lt;D xsi:type="xsd:double"&gt;2847.11&lt;/D&gt;&lt;D xsi:type="xsd:double"&gt;2922.95&lt;/D&gt;&lt;D xsi:type="xsd:double"&gt;2924.43&lt;/D&gt;&lt;D xsi:type="xsd:double"&gt;2900.51&lt;/D&gt;&lt;D xsi:type="xsd:double"&gt;2923.65&lt;/D&gt;&lt;D xsi:type="xsd:double"&gt;2888.68&lt;/D&gt;&lt;D xsi:type="xsd:double"&gt;2847.6&lt;/D&gt;&lt;D xsi:type="xsd:double"&gt;2840.6&lt;/D&gt;&lt;D xsi:type="xsd:double"&gt;2926.32&lt;/D&gt;&lt;D xsi:type="xsd:double"&gt;2883.75&lt;/D&gt;&lt;D xsi:type="xsd:double"&gt;2918.65&lt;/D&gt;&lt;D xsi:type="xsd:double"&gt;2938.09&lt;/D&gt;&lt;D xsi:type="xsd:double"&gt;2883.98&lt;/D&gt;&lt;D xsi:type="xsd:double"&gt;2881.77&lt;/D&gt;&lt;D xsi:type="xsd:double"&gt;2844.74&lt;/D&gt;&lt;D xsi:type="xsd:double"&gt;2932.05&lt;/D&gt;&lt;D xsi:type="xsd:double"&gt;2953.56&lt;/D&gt;&lt;D xsi:type="xsd:double"&gt;2980.38&lt;/D&gt;&lt;D xsi:type="xsd:double"&gt;3013.18&lt;/D&gt;&lt;D xsi:type="xsd:double"&gt;3020.97&lt;/D&gt;&lt;D xsi:type="xsd:double"&gt;3025.86&lt;/D&gt;&lt;D xsi:type="xsd:double"&gt;3003.67&lt;/D&gt;&lt;D xsi:type="xsd:double"&gt;3019.56&lt;/D&gt;&lt;D xsi:type="xsd:double"&gt;3005.47&lt;/D&gt;&lt;D xsi:type="xsd:double"&gt;2985.03&lt;/D&gt;&lt;D xsi:type="xsd:double"&gt;2976.61&lt;/D&gt;&lt;D xsi:type="xsd:double"&gt;2995.11&lt;/D&gt;&lt;D xsi:type="xsd:double"&gt;2984.42&lt;/D&gt;&lt;D xsi:type="xsd:double"&gt;3004.04&lt;/D&gt;&lt;D xsi:type="xsd:double"&gt;3014.3&lt;/D&gt;&lt;D xsi:type="xsd:double"&gt;3013.77&lt;/D&gt;&lt;D xsi:type="xsd:double"&gt;2999.91&lt;/D&gt;&lt;D xsi:type="xsd:double"&gt;2993.07&lt;/D&gt;&lt;D xsi:type="xsd:double"&gt;2979.63&lt;/D&gt;&lt;D xsi:type="xsd:double"&gt;2975.95&lt;/D&gt;&lt;D xsi:type="xsd:double"&gt;2990.41&lt;/D&gt;&lt;D xsi:type="xsd:double"&gt;2995.82&lt;/D&gt;&lt;D xsi:type="xsd:double"&gt;2973.01&lt;/D&gt;&lt;D xsi:type="xsd:double"&gt;2964.33&lt;/D&gt;&lt;D xsi:type="xsd:double"&gt;2941.76&lt;/D&gt;&lt;D xsi:type="xsd:double"&gt;2924.92&lt;/D&gt;&lt;D xsi:type="xsd:double"&gt;2913.78&lt;/D&gt;&lt;D xsi:type="xsd:double"&gt;2917.38&lt;/D&gt;&lt;D xsi:type="xsd:double"&gt;2945.35&lt;/D&gt;&lt;D xsi:type="xsd:double"&gt;2950.46&lt;/D&gt;&lt;D xsi:type="xsd:double"&gt;2954.18&lt;/D&gt;&lt;D xsi:type="xsd:double"&gt;2926.46&lt;/D&gt;&lt;D xsi:type="xsd:double"&gt;2917.75&lt;/D&gt;&lt;D xsi:type="xsd:double"&gt;2889.67&lt;/D&gt;&lt;D xsi:type="xsd:double"&gt;2886.98&lt;/D&gt;&lt;D xsi:type="xsd:double"&gt;2891.64&lt;/D&gt;&lt;D xsi:type="xsd:double"&gt;2879.84&lt;/D&gt;&lt;D xsi:type="xsd:double"&gt;2885.72&lt;/D&gt;&lt;D xsi:type="xsd:double"&gt;2886.73&lt;/D&gt;&lt;D xsi:type="xsd:double"&gt;2873.34&lt;/D&gt;&lt;D xsi:type="xsd:double"&gt;2843.49&lt;/D&gt;&lt;D xsi:type="xsd:double"&gt;2826.15&lt;/D&gt;&lt;D xsi:type="xsd:double"&gt;2803.27&lt;/D&gt;&lt;D xsi:type="xsd:double"&gt;2744.45&lt;/D&gt;&lt;D xsi:type="xsd:double"&gt;2752.06&lt;/D&gt;&lt;D xsi:type="xsd:double"&gt;2788.86&lt;/D&gt;&lt;D xsi:type="xsd:double"&gt;2783.02&lt;/D&gt;&lt;D xsi:type="xsd:double"&gt;2802.39&lt;/D&gt;&lt;D xsi:type="xsd:double"&gt;2826.06&lt;/D&gt;&lt;D xsi:type="xsd:double"&gt;2822.24&lt;/D&gt;&lt;D xsi:type="xsd:double"&gt;2856.27&lt;/D&gt;&lt;D xsi:type="xsd:double"&gt;2864.36&lt;/D&gt;&lt;D xsi:type="xsd:double"&gt;2840.23&lt;/D&gt;&lt;D xsi:type="xsd:double"&gt;2859.53&lt;/D&gt;&lt;D xsi:type="xsd:double"&gt;2876.32&lt;/D&gt;&lt;D xsi:type="xsd:double"&gt;2850.96&lt;/D&gt;&lt;D xsi:type="xsd:double"&gt;2834.41&lt;/D&gt;&lt;D xsi:type="xsd:double"&gt;2811.87&lt;/D&gt;&lt;D xsi:type="xsd:double"&gt;2881.4&lt;/D&gt;&lt;D xsi:type="xsd:double"&gt;2870.72&lt;/D&gt;&lt;D xsi:type="xsd:double"&gt;2879.42&lt;/D&gt;&lt;D xsi:type="xsd:double"&gt;2884.05&lt;/D&gt;&lt;D xsi:type="xsd:double"&gt;2932.47&lt;/D&gt;&lt;D xsi:type="xsd:double"&gt;2945.64&lt;/D&gt;&lt;D xsi:type="xsd:double"&gt;2917.52&lt;/D&gt;&lt;D xsi:type="xsd:double"&gt;2923.73&lt;/D&gt;&lt;D xsi:type="xsd:double"&gt;2945.83&lt;/D&gt;&lt;D xsi:type="xsd:double"&gt;2943.03&lt;/D&gt;&lt;D xsi:type="xsd:double"&gt;2939.88&lt;/D&gt;&lt;D xsi:type="xsd:double"&gt;2926.17&lt;/D&gt;&lt;D xsi:type="xsd:double"&gt;2927.25&lt;/D&gt;&lt;D xsi:type="xsd:double"&gt;2933.68&lt;/D&gt;&lt;D xsi:type="xsd:double"&gt;2907.97&lt;/D&gt;&lt;D xsi:type="xsd:double"&gt;2905.03&lt;/D&gt;&lt;D xsi:type="xsd:double"&gt;2900.45&lt;/D&gt;&lt;D xsi:type="xsd:double"&gt;2907.06&lt;/D&gt;&lt;D xsi:type="xsd:double"&gt;2905.58&lt;/D&gt;&lt;D xsi:type="xsd:double"&gt;2907.41&lt;/D&gt;&lt;D xsi:type="xsd:double"&gt;2888.32&lt;/D&gt;&lt;D xsi:type="xsd:double"&gt;2888.21&lt;/D&gt;&lt;D xsi:type="xsd:double"&gt;2878.2&lt;/D&gt;&lt;D xsi:type="xsd:double"&gt;2895.77&lt;/D&gt;&lt;D xsi:type="xsd:double"&gt;2892.74&lt;/D&gt;&lt;D xsi:type="xsd:double"&gt;2879.39&lt;/D&gt;&lt;D xsi:type="xsd:double"&gt;2873.4&lt;/D&gt;&lt;D xsi:type="xsd:double"&gt;2867.24&lt;/D&gt;&lt;D xsi:type="xsd:double"&gt;2867.19&lt;/D&gt;&lt;D xsi:type="xsd:double"&gt;2834.4&lt;/D&gt;&lt;D xsi:type="xsd:double"&gt;2815.44&lt;/D&gt;&lt;D xsi:type="xsd:double"&gt;2805.37&lt;/D&gt;&lt;D xsi:type="xsd:double"&gt;2818.46&lt;/D&gt;&lt;D xsi:type="xsd:double"&gt;2798.36&lt;/D&gt;&lt;D xsi:type="xsd:double"&gt;2800.71&lt;/D&gt;&lt;D xsi:type="xsd:double"&gt;2854.88&lt;/D&gt;&lt;D xsi:type="xsd:double"&gt;2824.23&lt;/D&gt;&lt;D xsi:type="xsd:double"&gt;2832.57&lt;/D&gt;&lt;D xsi:type="xsd:double"&gt;2832.94&lt;/D&gt;&lt;D xsi:type="xsd:double"&gt;2822.48&lt;/D&gt;&lt;D xsi:type="xsd:double"&gt;2808.48&lt;/D&gt;&lt;D xsi:type="xsd:double"&gt;2810.92&lt;/D&gt;&lt;D xsi:type="xsd:double"&gt;2791.52&lt;/D&gt;&lt;D xsi:type="xsd:double"&gt;2783.3&lt;/D&gt;&lt;D xsi:type="xsd:double"&gt;2743.07&lt;/D&gt;&lt;D xsi:type="xsd:double"&gt;2748.93&lt;/D&gt;&lt;D xsi:type="xsd:double"&gt;2771.45&lt;/D&gt;&lt;D xsi:type="xsd:double"&gt;2789.65&lt;/D&gt;&lt;D xsi:type="xsd:double"&gt;2792.81&lt;/D&gt;&lt;D xsi:type="xsd:double"&gt;2803.69&lt;/D&gt;&lt;D xsi:type="xsd:double"&gt;2784.49&lt;/D&gt;&lt;D xsi:type="xsd:double"&gt;2792.38&lt;/D&gt;&lt;D xsi:type="xsd:double"&gt;2793.9&lt;/D&gt;&lt;D xsi:type="xsd:double"&gt;2796.11&lt;/D&gt;&lt;D xsi:type="xsd:double"&gt;2792.67&lt;/D&gt;&lt;D xsi:type="xsd:double"&gt;2774.88&lt;/D&gt;&lt;D xsi:type="xsd:double"&gt;2784.7&lt;/D&gt;&lt;D xsi:type="xsd:double"&gt;2779.76&lt;/D&gt;&lt;D xsi:type="xsd:double"&gt;2775.6&lt;/D&gt;&lt;D xsi:type="xsd:double"&gt;2745.73&lt;/D&gt;&lt;D xsi:type="xsd:double"&gt;2753.03&lt;/D&gt;&lt;D xsi:type="xsd:double"&gt;2744.73&lt;/D&gt;&lt;D xsi:type="xsd:double"&gt;2709.8&lt;/D&gt;&lt;D xsi:type="xsd:double"&gt;2707.88&lt;/D&gt;&lt;D xsi:type="xsd:double"&gt;2706.05&lt;/D&gt;&lt;D xsi:type="xsd:double"&gt;2731.61&lt;/D&gt;&lt;D xsi:type="xsd:double"&gt;2737.7&lt;/D&gt;&lt;D xsi:type="xsd:double"&gt;2724.87&lt;/D&gt;&lt;D xsi:type="xsd:double"&gt;2706.53&lt;/D&gt;&lt;D xsi:type="xsd:double"&gt;2704.1&lt;/D&gt;&lt;D xsi:type="xsd:double"&gt;2681.05&lt;/D&gt;&lt;D xsi:type="xsd:double"&gt;2640&lt;/D&gt;&lt;D xsi:type="xsd:double"&gt;2643.85&lt;/D&gt;&lt;D xsi:type="xsd:double"&gt;2664.76&lt;/D&gt;&lt;D xsi:type="xsd:double"&gt;2642.33&lt;/D&gt;&lt;D xsi:type="xsd:double"&gt;2638.7&lt;/D&gt;&lt;D xsi:type="xsd:double"&gt;2632.9&lt;/D&gt;&lt;D xsi:type="xsd:double"&gt;2670.71&lt;/D&gt;&lt;D xsi:type="xsd:double"&gt;2635.96&lt;/D&gt;&lt;D xsi:type="xsd:double"&gt;2616.1&lt;/D&gt;&lt;D xsi:type="xsd:double"&gt;2610.3&lt;/D&gt;&lt;D xsi:type="xsd:double"&gt;2582.61&lt;/D&gt;&lt;D xsi:type="xsd:double"&gt;2596.26&lt;/D&gt;&lt;D xsi:type="xsd:double"&gt;2596.64&lt;/D&gt;&lt;D xsi:type="xsd:double"&gt;2584.96&lt;/D&gt;&lt;D xsi:type="xsd:double"&gt;2574.41&lt;/D&gt;&lt;D xsi:type="xsd:double"&gt;2549.69&lt;/D&gt;&lt;D xsi:type="xsd:double"&gt;2531.94&lt;/D&gt;&lt;D xsi:type="xsd:double"&gt;2447.89&lt;/D&gt;&lt;D xsi:type="xsd:double"&gt;2510.03&lt;/D&gt;&lt;D xsi:type="xsd:double"&gt;2506.85&lt;/D&gt;&lt;D xsi:type="xsd:double"&gt;2485.74&lt;/D&gt;&lt;D xsi:type="xsd:double"&gt;2488.83&lt;/D&gt;&lt;D xsi:type="xsd:double"&gt;2467.7&lt;/D&gt;&lt;D xsi:type="xsd:double"&gt;2351.1&lt;/D&gt;&lt;D xsi:type="xsd:double"&gt;2416.62&lt;/D&gt;&lt;D xsi:type="xsd:double"&gt;2467.42&lt;/D&gt;&lt;D xsi:type="xsd:double"&gt;2506.96&lt;/D&gt;&lt;D xsi:type="xsd:double"&gt;2546.16&lt;/D&gt;&lt;D xsi:type="xsd:double"&gt;2545.94&lt;/D&gt;&lt;D xsi:type="xsd:double"&gt;2599.95&lt;/D&gt;&lt;D xsi:type="xsd:double"&gt;2650.54&lt;/D&gt;&lt;D xsi:type="xsd:double"&gt;2651.07&lt;/D&gt;&lt;D xsi:type="xsd:double"&gt;2636.78&lt;/D&gt;&lt;D xsi:type="xsd:double"&gt;2637.72&lt;/D&gt;&lt;D xsi:type="xsd:double"&gt;2633.08&lt;/D&gt;&lt;D xsi:type="xsd:double"&gt;2695.95&lt;/D&gt;&lt;D xsi:type="xsd:double"&gt;2700.06&lt;/D&gt;&lt;D xsi:type="xsd:double"&gt;2790.37&lt;/D&gt;&lt;D xsi:type="xsd:double"&gt;2760.17&lt;/D&gt;&lt;D xsi:type="xsd:double"&gt;2737.76&lt;/D&gt;&lt;D xsi:type="xsd:double"&gt;2743.79&lt;/D&gt;&lt;D xsi:type="xsd:double"&gt;2682.17&lt;/D&gt;&lt;D xsi:type="xsd:double"&gt;2673.45&lt;/D&gt;&lt;D xsi:type="xsd:double"&gt;2632.56&lt;/D&gt;&lt;/FQL&gt;&lt;FQL&gt;&lt;Q&gt;DAL-US^FG_PRICE(NOW,-3AY)&lt;/Q&gt;&lt;R&gt;758&lt;/R&gt;&lt;C&gt;1&lt;/C&gt;&lt;D xsi:type="xsd:double"&gt;36.38&lt;/D&gt;&lt;D xsi:type="xsd:double"&gt;39.69&lt;/D&gt;&lt;D xsi:type="xsd:double"&gt;39.53&lt;/D&gt;&lt;D xsi:type="xsd:double"&gt;39.77&lt;/D&gt;&lt;D xsi:type="xsd:double"&gt;39.69&lt;/D&gt;&lt;D xsi:type="xsd:double"&gt;40.12&lt;/D&gt;&lt;D xsi:type="xsd:double"&gt;40.71&lt;/D&gt;&lt;D xsi:type="xsd:double"&gt;41.04&lt;/D&gt;&lt;D xsi:type="xsd:double"&gt;42.38&lt;/D&gt;&lt;D xsi:type="xsd:double"&gt;42.22&lt;/D&gt;&lt;D xsi:type="xsd:double"&gt;43.45&lt;/D&gt;&lt;D xsi:type="xsd:double"&gt;43.71&lt;/D&gt;&lt;D xsi:type="xsd:double"&gt;44.53&lt;/D&gt;&lt;D xsi:type="xsd:double"&gt;44.65&lt;/D&gt;&lt;D xsi:type="xsd:double"&gt;44.29&lt;/D&gt;&lt;D xsi:type="xsd:double"&gt;40.99&lt;/D&gt;&lt;D xsi:type="xsd:double"&gt;41.24&lt;/D&gt;&lt;D xsi:type="xsd:double"&gt;40.39&lt;/D&gt;&lt;D xsi:type="xsd:double"&gt;40.42&lt;/D&gt;&lt;D xsi:type="xsd:double"&gt;39.13&lt;/D&gt;&lt;D xsi:type="xsd:double"&gt;39.15&lt;/D&gt;&lt;D xsi:type="xsd:double"&gt;39.07&lt;/D&gt;&lt;D xsi:type="xsd:double"&gt;39.71&lt;/D&gt;&lt;D xsi:type="xsd:double"&gt;39.51&lt;/D&gt;&lt;D xsi:type="xsd:double"&gt;39.74&lt;/D&gt;&lt;D xsi:type="xsd:double"&gt;40.4&lt;/D&gt;&lt;D xsi:type="xsd:double"&gt;40.3&lt;/D&gt;&lt;D xsi:type="xsd:double"&gt;40.45&lt;/D&gt;&lt;D xsi:type="xsd:double"&gt;41.01&lt;/D&gt;&lt;D xsi:type="xsd:double"&gt;40.99&lt;/D&gt;&lt;D xsi:type="xsd:double"&gt;41.2&lt;/D&gt;&lt;D xsi:type="xsd:double"&gt;41.03&lt;/D&gt;&lt;D xsi:type="xsd:double"&gt;43.54&lt;/D&gt;&lt;D xsi:type="xsd:double"&gt;43.19&lt;/D&gt;&lt;D xsi:type="xsd:double"&gt;43.38&lt;/D&gt;&lt;D xsi:type="xsd:double"&gt;43.68&lt;/D&gt;&lt;D xsi:type="xsd:double"&gt;44.02&lt;/D&gt;&lt;D xsi:type="xsd:double"&gt;44.74&lt;/D&gt;&lt;D xsi:type="xsd:double"&gt;44.96&lt;/D&gt;&lt;D xsi:type="xsd:double"&gt;45.38&lt;/D&gt;&lt;D xsi:type="xsd:double"&gt;42.61&lt;/D&gt;&lt;D xsi:type="xsd:double"&gt;43.36&lt;/D&gt;&lt;D xsi:type="xsd:double"&gt;43.44&lt;/D&gt;&lt;D xsi:type="xsd:double"&gt;43.78&lt;/D&gt;&lt;D xsi:type="xsd:double"&gt;43.53&lt;/D&gt;&lt;D xsi:type="xsd:double"&gt;42.59&lt;/D&gt;&lt;D xsi:type="xsd:double"&gt;41.59&lt;/D&gt;&lt;D xsi:type="xsd:double"&gt;40.36&lt;/D&gt;&lt;D xsi:type="xsd:double"&gt;40.78&lt;/D&gt;&lt;D xsi:type="xsd:double"&gt;40.11&lt;/D&gt;&lt;D xsi:type="xsd:double"&gt;40.22&lt;/D&gt;&lt;D xsi:type="xsd:double"&gt;39.64&lt;/D&gt;&lt;D xsi:type="xsd:double"&gt;39.44&lt;/D&gt;&lt;D xsi:type="xsd:double"&gt;40.18&lt;/D&gt;&lt;D xsi:type="xsd:double"&gt;39.36&lt;/D&gt;&lt;D xsi:type="xsd:double"&gt;41.09&lt;/D&gt;&lt;D xsi:type="xsd:double"&gt;39.65&lt;/D&gt;&lt;D xsi:type="xsd:double"&gt;40.35&lt;/D&gt;&lt;D xsi:type="xsd:double"&gt;40.25&lt;/D&gt;&lt;D xsi:type="xsd:double"&gt;40.82&lt;/D&gt;&lt;D xsi:type="xsd:double"&gt;40.4&lt;/D&gt;&lt;D xsi:type="xsd:double"&gt;40.44&lt;/D&gt;&lt;D xsi:type="xsd:double"&gt;39.91&lt;/D&gt;&lt;D xsi:type="xsd:double"&gt;41.52&lt;/D&gt;&lt;D xsi:type="xsd:double"&gt;40.77&lt;/D&gt;&lt;D xsi:type="xsd:double"&gt;41.3&lt;/D&gt;&lt;D xsi:type="xsd:double"&gt;40.53&lt;/D&gt;&lt;D xsi:type="xsd:double"&gt;39.21&lt;/D&gt;&lt;D xsi:type="xsd:double"&gt;38.12&lt;/D&gt;&lt;D xsi:type="xsd:double"&gt;37.93&lt;/D&gt;&lt;D xsi:type="xsd:double"&gt;38.65&lt;/D&gt;&lt;D xsi:type="xsd:double"&gt;38.78&lt;/D&gt;&lt;D xsi:type="xsd:double"&gt;39.93&lt;/D&gt;&lt;D xsi:type="xsd:double"&gt;39.9&lt;/D&gt;&lt;D xsi:type="xsd:double"&gt;40.53&lt;/D&gt;&lt;D xsi:type="xsd:double"&gt;41.3&lt;/D&gt;&lt;D xsi:type="xsd:double"&gt;40.46&lt;/D&gt;&lt;D xsi:type="xsd:double"&gt;39.29&lt;/D&gt;&lt;D xsi:type="xsd:double"&gt;40.32&lt;/D&gt;&lt;D xsi:type="xsd:double"&gt;39.99&lt;/D&gt;&lt;D xsi:type="xsd:double"&gt;38.35&lt;/D&gt;&lt;D xsi:type="xsd:double"&gt;39.77&lt;/D&gt;&lt;D xsi:type="xsd:double"&gt;39.45&lt;/D&gt;&lt;D xsi:type="xsd:double"&gt;39.9&lt;/D&gt;&lt;D xsi:type="xsd:double"&gt;41.23&lt;/D&gt;&lt;D xsi:type="xsd:double"&gt;41.3&lt;/D&gt;&lt;D xsi:type="xsd:double"&gt;40.96&lt;/D&gt;&lt;D xsi:type="xsd:double"&gt;41.67&lt;/D&gt;&lt;D xsi:type="xsd:double"&gt;40.41&lt;/D&gt;&lt;D xsi:type="xsd:double"&gt;41.06&lt;/D&gt;&lt;D xsi:type="xsd:double"&gt;41.61&lt;/D&gt;&lt;D xsi:type="xsd:double"&gt;40.66&lt;/D&gt;&lt;D xsi:type="xsd:double"&gt;38.56&lt;/D&gt;&lt;D xsi:type="xsd:double"&gt;40.06&lt;/D&gt;&lt;D xsi:type="xsd:double"&gt;41.35&lt;/D&gt;&lt;D xsi:type="xsd:double"&gt;40.68&lt;/D&gt;&lt;D xsi:type="xsd:double"&gt;41.33&lt;/D&gt;&lt;D xsi:type="xsd:double"&gt;42.85&lt;/D&gt;&lt;D xsi:type="xsd:double"&gt;42.92&lt;/D&gt;&lt;D xsi:type="xsd:double"&gt;42.07&lt;/D&gt;&lt;D xsi:type="xsd:double"&gt;42.54&lt;/D&gt;&lt;D xsi:type="xsd:double"&gt;43.24&lt;/D&gt;&lt;D xsi:type="xsd:double"&gt;44.15&lt;/D&gt;&lt;D xsi:type="xsd:double"&gt;44.23&lt;/D&gt;&lt;D xsi:type="xsd:double"&gt;43.26&lt;/D&gt;&lt;D xsi:type="xsd:double"&gt;42.87&lt;/D&gt;&lt;D xsi:type="xsd:double"&gt;43.12&lt;/D&gt;&lt;D xsi:type="xsd:double"&gt;44.43&lt;/D&gt;&lt;D xsi:type="xsd:double"&gt;44.91&lt;/D&gt;&lt;D xsi:type="xsd:double"&gt;45.27&lt;/D&gt;&lt;D xsi:type="xsd:double"&gt;45.37&lt;/D&gt;&lt;D xsi:type="xsd:double"&gt;45.77&lt;/D&gt;&lt;D xsi:type="xsd:double"&gt;44.96&lt;/D&gt;&lt;D xsi:type="xsd:double"&gt;44.57&lt;/D&gt;&lt;D xsi:type="xsd:double"&gt;45.52&lt;/D&gt;&lt;D xsi:type="xsd:double"&gt;45.53&lt;/D&gt;&lt;D xsi:type="xsd:double"&gt;45.9&lt;/D&gt;&lt;D xsi:type="xsd:double"&gt;46.5&lt;/D&gt;&lt;D xsi:type="xsd:double"&gt;46.28&lt;/D&gt;&lt;D xsi:type="xsd:double"&gt;46.52&lt;/D&gt;&lt;D xsi:type="xsd:double"&gt;47.04&lt;/D&gt;&lt;D xsi:type="xsd:double"&gt;46.08&lt;/D&gt;&lt;D xsi:type="xsd:double"&gt;45.98&lt;/D&gt;&lt;D xsi:type="xsd:double"&gt;46.13&lt;/D&gt;&lt;D xsi:type="xsd:double"&gt;47.77&lt;/D&gt;&lt;D xsi:type="xsd:double"&gt;47.7&lt;/D&gt;&lt;D xsi:type="xsd:double"&gt;47.68&lt;/D&gt;&lt;D xsi:type="xsd:double"&gt;48.05&lt;/D&gt;&lt;D xsi:type="xsd:double"&gt;47.49&lt;/D&gt;&lt;D xsi:type="xsd:double"&gt;46.67&lt;/D&gt;&lt;D xsi:type="xsd:double"&gt;46.17&lt;/D&gt;&lt;D xsi:type="xsd:double"&gt;45.21&lt;/D&gt;&lt;D xsi:type="xsd:double"&gt;45.41&lt;/D&gt;&lt;D xsi:type="xsd:double"&gt;46.14&lt;/D&gt;&lt;D xsi:type="xsd:double"&gt;46.73&lt;/D&gt;&lt;D xsi:type="xsd:double"&gt;46.75&lt;/D&gt;&lt;D xsi:type="xsd:double"&gt;46.31&lt;/D&gt;&lt;D xsi:type="xsd:double"&gt;43.97&lt;/D&gt;&lt;D xsi:type="xsd:double"&gt;43.03&lt;/D&gt;&lt;D xsi:type="xsd:double"&gt;44.52&lt;/D&gt;&lt;D xsi:type="xsd:double"&gt;45.43&lt;/D&gt;&lt;D xsi:type="xsd:double"&gt;46.11&lt;/D&gt;&lt;D xsi:type="xsd:double"&gt;44.93&lt;/D&gt;&lt;D xsi:type="xsd:double"&gt;45.2&lt;/D&gt;&lt;D xsi:type="xsd:double"&gt;44.66&lt;/D&gt;&lt;D xsi:type="xsd:double"&gt;46.57&lt;/D&gt;&lt;D xsi:type="xsd:double"&gt;46.92&lt;/D&gt;&lt;D xsi:type="xsd:double"&gt;46.38&lt;/D&gt;&lt;D xsi:type="xsd:double"&gt;46.44&lt;/D&gt;&lt;D xsi:type="xsd:double"&gt;46.34&lt;/D&gt;&lt;D xsi:type="xsd:double"&gt;46.61&lt;/D&gt;&lt;D xsi:type="xsd:double"&gt;45.8&lt;/D&gt;&lt;D xsi:type="xsd:double"&gt;44.65&lt;/D&gt;&lt;D xsi:type="xsd:double"&gt;45.7&lt;/D&gt;&lt;D xsi:type="xsd:double"&gt;44.45&lt;/D&gt;&lt;D xsi:type="xsd:double"&gt;46.15&lt;/D&gt;&lt;D xsi:type="xsd:double"&gt;46.64&lt;/D&gt;&lt;D xsi:type="xsd:double"&gt;46.82&lt;/D&gt;&lt;D xsi:type="xsd:double"&gt;48.17&lt;/D&gt;&lt;D xsi:type="xsd:double"&gt;48.26&lt;/D&gt;&lt;D xsi:type="xsd:double"&gt;48.82&lt;/D&gt;&lt;D xsi:type="xsd:double"&gt;49.27&lt;/D&gt;&lt;D xsi:type="xsd:double"&gt;49.81&lt;/D&gt;&lt;D xsi:type="xsd:double"&gt;50.2&lt;/D&gt;&lt;D xsi:type="xsd:double"&gt;51.65&lt;/D&gt;&lt;D xsi:type="xsd:double"&gt;50.25&lt;/D&gt;&lt;D xsi:type="xsd:double"&gt;48.83&lt;/D&gt;&lt;D xsi:type="xsd:double"&gt;48.28&lt;/D&gt;&lt;D xsi:type="xsd:double"&gt;48.9&lt;/D&gt;&lt;D xsi:type="xsd:double"&gt;47.32&lt;/D&gt;&lt;D xsi:type="xsd:double"&gt;47.66&lt;/D&gt;&lt;D xsi:type="xsd:double"&gt;47.01&lt;/D&gt;&lt;D xsi:type="xsd:double"&gt;45.61&lt;/D&gt;&lt;D xsi:type="xsd:double"&gt;45.64&lt;/D&gt;&lt;D xsi:type="xsd:double"&gt;47.97&lt;/D&gt;&lt;D xsi:type="xsd:double"&gt;49&lt;/D&gt;&lt;D xsi:type="xsd:double"&gt;49.18&lt;/D&gt;&lt;D xsi:type="xsd:double"&gt;50.44&lt;/D&gt;&lt;D xsi:type="xsd:double"&gt;49.39&lt;/D&gt;&lt;D xsi:type="xsd:double"&gt;50.99&lt;/D&gt;&lt;D xsi:type="xsd:double"&gt;49.83&lt;/D&gt;&lt;D xsi:type="xsd:double"&gt;48.32&lt;/D&gt;&lt;D xsi:type="xsd:double"&gt;47.8&lt;/D&gt;&lt;D xsi:type="xsd:double"&gt;47.62&lt;/D&gt;&lt;D xsi:type="xsd:double"&gt;47.88&lt;/D&gt;&lt;D xsi:type="xsd:double"&gt;46.21&lt;/D&gt;&lt;D xsi:type="xsd:double"&gt;46.96&lt;/D&gt;&lt;D xsi:type="xsd:double"&gt;48.35&lt;/D&gt;&lt;D xsi:type="xsd:double"&gt;48.23&lt;/D&gt;&lt;D xsi:type="xsd:double"&gt;48.06&lt;/D&gt;&lt;D xsi:type="xsd:double"&gt;47.94&lt;/D&gt;&lt;D xsi:type="xsd:double"&gt;48.25&lt;/D&gt;&lt;D xsi:type="xsd:double"&gt;49.6&lt;/D&gt;&lt;D xsi:type="xsd:double"&gt;48.34&lt;/D&gt;&lt;D xsi:type="xsd:double"&gt;47.74&lt;/D&gt;&lt;D xsi:type="xsd:double"&gt;45.67&lt;/D&gt;&lt;D xsi:type="xsd:double"&gt;44.38&lt;/D&gt;&lt;D xsi:type="xsd:double"&gt;44.39&lt;/D&gt;&lt;D xsi:type="xsd:double"&gt;44.65&lt;/D&gt;&lt;D xsi:type="xsd:double"&gt;43.29&lt;/D&gt;&lt;D xsi:type="xsd:double"&gt;42.72&lt;/D&gt;&lt;D xsi:type="xsd:double"&gt;42.9&lt;/D&gt;&lt;D xsi:type="xsd:double"&gt;42.51&lt;/D&gt;&lt;D xsi:type="xsd:double"&gt;43.24&lt;/D&gt;&lt;D xsi:type="xsd:double"&gt;41.15&lt;/D&gt;&lt;D xsi:type="xsd:double"&gt;40.93&lt;/D&gt;&lt;D xsi:type="xsd:double"&gt;39.78&lt;/D&gt;&lt;D xsi:type="xsd:double"&gt;38.8&lt;/D&gt;&lt;D xsi:type="xsd:double"&gt;37.82&lt;/D&gt;&lt;D xsi:type="xsd:double"&gt;37.96&lt;/D&gt;&lt;D xsi:type="xsd:double"&gt;40.08&lt;/D&gt;&lt;D xsi:type="xsd:double"&gt;38.52&lt;/D&gt;&lt;D xsi:type="xsd:double"&gt;39.32&lt;/D&gt;&lt;D xsi:type="xsd:double"&gt;38.9&lt;/D&gt;&lt;D xsi:type="xsd:double"&gt;40&lt;/D&gt;&lt;D xsi:type="xsd:double"&gt;40.67&lt;/D&gt;&lt;D xsi:type="xsd:double"&gt;41.62&lt;/D&gt;&lt;D xsi:type="xsd:double"&gt;40.31&lt;/D&gt;&lt;D xsi:type="xsd:double"&gt;39.98&lt;/D&gt;&lt;D xsi:type="xsd:double"&gt;41.47&lt;/D&gt;&lt;D xsi:type="xsd:double"&gt;40.45&lt;/D&gt;&lt;D xsi:type="xsd:double"&gt;40.3&lt;/D&gt;&lt;D xsi:type="xsd:dou</t>
        </r>
      </text>
    </comment>
    <comment ref="A13" authorId="0" shapeId="0" xr:uid="{1388F85F-1A31-4659-9B1C-E0A656BD8761}">
      <text>
        <r>
          <rPr>
            <b/>
            <sz val="9"/>
            <color indexed="81"/>
            <rFont val="Tahoma"/>
            <charset val="1"/>
          </rPr>
          <t>ble"&gt;39.41&lt;/D&gt;&lt;D xsi:type="xsd:double"&gt;40.02&lt;/D&gt;&lt;D xsi:type="xsd:double"&gt;40.23&lt;/D&gt;&lt;D xsi:type="xsd:double"&gt;40.38&lt;/D&gt;&lt;D xsi:type="xsd:double"&gt;39.55&lt;/D&gt;&lt;D xsi:type="xsd:double"&gt;38.73&lt;/D&gt;&lt;D xsi:type="xsd:double"&gt;40.21&lt;/D&gt;&lt;D xsi:type="xsd:double"&gt;40.56&lt;/D&gt;&lt;D xsi:type="xsd:double"&gt;40.03&lt;/D&gt;&lt;D xsi:type="xsd:double"&gt;40.15&lt;/D&gt;&lt;D xsi:type="xsd:double"&gt;39.73&lt;/D&gt;&lt;D xsi:type="xsd:double"&gt;40.24&lt;/D&gt;&lt;D xsi:type="xsd:double"&gt;38.94&lt;/D&gt;&lt;D xsi:type="xsd:double"&gt;40.14&lt;/D&gt;&lt;D xsi:type="xsd:double"&gt;40.68&lt;/D&gt;&lt;D xsi:type="xsd:double"&gt;41.11&lt;/D&gt;&lt;D xsi:type="xsd:double"&gt;41.08&lt;/D&gt;&lt;D xsi:type="xsd:double"&gt;41.85&lt;/D&gt;&lt;D xsi:type="xsd:double"&gt;40.69&lt;/D&gt;&lt;D xsi:type="xsd:double"&gt;41.74&lt;/D&gt;&lt;D xsi:type="xsd:double"&gt;42.62&lt;/D&gt;&lt;D xsi:type="xsd:double"&gt;42.11&lt;/D&gt;&lt;D xsi:type="xsd:double"&gt;42.41&lt;/D&gt;&lt;D xsi:type="xsd:double"&gt;42.35&lt;/D&gt;&lt;D xsi:type="xsd:double"&gt;42.36&lt;/D&gt;&lt;D xsi:type="xsd:double"&gt;42.95&lt;/D&gt;&lt;D xsi:type="xsd:double"&gt;41.07&lt;/D&gt;&lt;D xsi:type="xsd:double"&gt;39.96&lt;/D&gt;&lt;D xsi:type="xsd:double"&gt;40.25&lt;/D&gt;&lt;D xsi:type="xsd:double"&gt;41.06&lt;/D&gt;&lt;D xsi:type="xsd:double"&gt;41.29&lt;/D&gt;&lt;D xsi:type="xsd:double"&gt;41.26&lt;/D&gt;&lt;D xsi:type="xsd:double"&gt;38.79&lt;/D&gt;&lt;D xsi:type="xsd:double"&gt;37.13&lt;/D&gt;&lt;D xsi:type="xsd:double"&gt;37.91&lt;/D&gt;&lt;D xsi:type="xsd:double"&gt;37.91&lt;/D&gt;&lt;D xsi:type="xsd:double"&gt;37.6&lt;/D&gt;&lt;D xsi:type="xsd:double"&gt;38&lt;/D&gt;&lt;D xsi:type="xsd:double"&gt;36.46&lt;/D&gt;&lt;D xsi:type="xsd:double"&gt;34.38&lt;/D&gt;&lt;D xsi:type="xsd:double"&gt;35.02&lt;/D&gt;&lt;D xsi:type="xsd:double"&gt;37.04&lt;/D&gt;&lt;D xsi:type="xsd:double"&gt;36.77&lt;/D&gt;&lt;D xsi:type="xsd:double"&gt;31.42&lt;/D&gt;&lt;D xsi:type="xsd:double"&gt;31.98&lt;/D&gt;&lt;D xsi:type="xsd:double"&gt;30.43&lt;/D&gt;&lt;D xsi:type="xsd:double"&gt;30.9&lt;/D&gt;&lt;D xsi:type="xsd:double"&gt;30.22&lt;/D&gt;&lt;D xsi:type="xsd:double"&gt;30.64&lt;/D&gt;&lt;D xsi:type="xsd:double"&gt;30.76&lt;/D&gt;&lt;D xsi:type="xsd:double"&gt;29.65&lt;/D&gt;&lt;D xsi:type="xsd:double"&gt;30.71&lt;/D&gt;&lt;D xsi:type="xsd:double"&gt;31.93&lt;/D&gt;&lt;D xsi:type="xsd:double"&gt;34&lt;/D&gt;&lt;D xsi:type="xsd:double"&gt;33.72&lt;/D&gt;&lt;D xsi:type="xsd:double"&gt;31.5&lt;/D&gt;&lt;D xsi:type="xsd:double"&gt;31.98&lt;/D&gt;&lt;D xsi:type="xsd:double"&gt;31.5&lt;/D&gt;&lt;D xsi:type="xsd:double"&gt;31.47&lt;/D&gt;&lt;D xsi:type="xsd:double"&gt;31.34&lt;/D&gt;&lt;D xsi:type="xsd:double"&gt;31.76&lt;/D&gt;&lt;D xsi:type="xsd:double"&gt;31.77&lt;/D&gt;&lt;D xsi:type="xsd:double"&gt;32.64&lt;/D&gt;&lt;D xsi:type="xsd:double"&gt;32.81&lt;/D&gt;&lt;D xsi:type="xsd:double"&gt;32.68&lt;/D&gt;&lt;D xsi:type="xsd:double"&gt;32.15&lt;/D&gt;&lt;D xsi:type="xsd:double"&gt;31.06&lt;/D&gt;&lt;D xsi:type="xsd:double"&gt;32&lt;/D&gt;&lt;D xsi:type="xsd:double"&gt;31.75&lt;/D&gt;&lt;D xsi:type="xsd:double"&gt;31.1&lt;/D&gt;&lt;D xsi:type="xsd:double"&gt;30.58&lt;/D&gt;&lt;D xsi:type="xsd:double"&gt;30.61&lt;/D&gt;&lt;D xsi:type="xsd:double"&gt;31.34&lt;/D&gt;&lt;D xsi:type="xsd:double"&gt;29.78&lt;/D&gt;&lt;D xsi:type="xsd:double"&gt;29.01&lt;/D&gt;&lt;D xsi:type="xsd:double"&gt;29.56&lt;/D&gt;&lt;D xsi:type="xsd:double"&gt;30.22&lt;/D&gt;&lt;D xsi:type="xsd:double"&gt;29.82&lt;/D&gt;&lt;D xsi:type="xsd:double"&gt;32.84&lt;/D&gt;&lt;D xsi:type="xsd:double"&gt;33.96&lt;/D&gt;&lt;D xsi:type="xsd:double"&gt;34.57&lt;/D&gt;&lt;D xsi:type="xsd:double"&gt;33.51&lt;/D&gt;&lt;D xsi:type="xsd:double"&gt;32.82&lt;/D&gt;&lt;D xsi:type="xsd:double"&gt;31.7&lt;/D&gt;&lt;D xsi:type="xsd:double"&gt;31.79&lt;/D&gt;&lt;D xsi:type="xsd:double"&gt;31.76&lt;/D&gt;&lt;D xsi:type="xsd:double"&gt;32.54&lt;/D&gt;&lt;D xsi:type="xsd:double"&gt;31.77&lt;/D&gt;&lt;D xsi:type="xsd:double"&gt;31.22&lt;/D&gt;&lt;D xsi:type="xsd:double"&gt;31.14&lt;/D&gt;&lt;D xsi:type="xsd:double"&gt;30.71&lt;/D&gt;&lt;D xsi:type="xsd:double"&gt;30.85&lt;/D&gt;&lt;D xsi:type="xsd:double"&gt;31.99&lt;/D&gt;&lt;D xsi:type="xsd:double"&gt;30.82&lt;/D&gt;&lt;D xsi:type="xsd:double"&gt;29.95&lt;/D&gt;&lt;D xsi:type="xsd:double"&gt;30.1&lt;/D&gt;&lt;D xsi:type="xsd:double"&gt;29.8&lt;/D&gt;&lt;D xsi:type="xsd:double"&gt;27.27&lt;/D&gt;&lt;D xsi:type="xsd:double"&gt;27.62&lt;/D&gt;&lt;D xsi:type="xsd:double"&gt;27.67&lt;/D&gt;&lt;D xsi:type="xsd:double"&gt;27.63&lt;/D&gt;&lt;D xsi:type="xsd:double"&gt;28.02&lt;/D&gt;&lt;D xsi:type="xsd:double"&gt;28.95&lt;/D&gt;&lt;D xsi:type="xsd:double"&gt;28.7&lt;/D&gt;&lt;D xsi:type="xsd:double"&gt;29.09&lt;/D&gt;&lt;D xsi:type="xsd:double"&gt;29.64&lt;/D&gt;&lt;D xsi:type="xsd:double"&gt;29.34&lt;/D&gt;&lt;D xsi:type="xsd:double"&gt;27.18&lt;/D&gt;&lt;D xsi:type="xsd:double"&gt;27.08&lt;/D&gt;&lt;D xsi:type="xsd:double"&gt;26.47&lt;/D&gt;&lt;D xsi:type="xsd:double"&gt;25.67&lt;/D&gt;&lt;D xsi:type="xsd:double"&gt;25.2&lt;/D&gt;&lt;D xsi:type="xsd:double"&gt;24.97&lt;/D&gt;&lt;D xsi:type="xsd:double"&gt;24.94&lt;/D&gt;&lt;D xsi:type="xsd:double"&gt;25.72&lt;/D&gt;&lt;D xsi:type="xsd:double"&gt;25.94&lt;/D&gt;&lt;D xsi:type="xsd:double"&gt;25.5&lt;/D&gt;&lt;D xsi:type="xsd:double"&gt;25.96&lt;/D&gt;&lt;D xsi:type="xsd:double"&gt;26.78&lt;/D&gt;&lt;D xsi:type="xsd:double"&gt;26.25&lt;/D&gt;&lt;D xsi:type="xsd:double"&gt;26.43&lt;/D&gt;&lt;D xsi:type="xsd:double"&gt;26.22&lt;/D&gt;&lt;D xsi:type="xsd:double"&gt;27.05&lt;/D&gt;&lt;D xsi:type="xsd:double"&gt;27.26&lt;/D&gt;&lt;D xsi:type="xsd:double"&gt;28.6&lt;/D&gt;&lt;D xsi:type="xsd:double"&gt;26.11&lt;/D&gt;&lt;D xsi:type="xsd:double"&gt;26.82&lt;/D&gt;&lt;D xsi:type="xsd:double"&gt;27.09&lt;/D&gt;&lt;D xsi:type="xsd:double"&gt;25.65&lt;/D&gt;&lt;D xsi:type="xsd:double"&gt;27.01&lt;/D&gt;&lt;D xsi:type="xsd:double"&gt;27.01&lt;/D&gt;&lt;D xsi:type="xsd:double"&gt;28.44&lt;/D&gt;&lt;D xsi:type="xsd:double"&gt;27.72&lt;/D&gt;&lt;D xsi:type="xsd:double"&gt;27.7&lt;/D&gt;&lt;D xsi:type="xsd:double"&gt;28.05&lt;/D&gt;&lt;D xsi:type="xsd:double"&gt;28.61&lt;/D&gt;&lt;D xsi:type="xsd:double"&gt;26.91&lt;/D&gt;&lt;D xsi:type="xsd:double"&gt;28.01&lt;/D&gt;&lt;D xsi:type="xsd:double"&gt;27.34&lt;/D&gt;&lt;D xsi:type="xsd:double"&gt;29.64&lt;/D&gt;&lt;D xsi:type="xsd:double"&gt;29.31&lt;/D&gt;&lt;D xsi:type="xsd:double"&gt;29.51&lt;/D&gt;&lt;D xsi:type="xsd:double"&gt;30.79&lt;/D&gt;&lt;D xsi:type="xsd:double"&gt;30.72&lt;/D&gt;&lt;D xsi:type="xsd:double"&gt;31.3&lt;/D&gt;&lt;D xsi:type="xsd:double"&gt;30.46&lt;/D&gt;&lt;D xsi:type="xsd:double"&gt;30.43&lt;/D&gt;&lt;D xsi:type="xsd:double"&gt;27.2&lt;/D&gt;&lt;D xsi:type="xsd:double"&gt;31.64&lt;/D&gt;&lt;D xsi:type="xsd:double"&gt;34.17&lt;/D&gt;&lt;D xsi:type="xsd:double"&gt;36.97&lt;/D&gt;&lt;D xsi:type="xsd:double"&gt;34.16&lt;/D&gt;&lt;D xsi:type="xsd:double"&gt;32.38&lt;/D&gt;&lt;D xsi:type="xsd:double"&gt;28.47&lt;/D&gt;&lt;D xsi:type="xsd:double"&gt;26.41&lt;/D&gt;&lt;D xsi:type="xsd:double"&gt;26.17&lt;/D&gt;&lt;D xsi:type="xsd:double"&gt;25.21&lt;/D&gt;&lt;D xsi:type="xsd:double"&gt;25.66&lt;/D&gt;&lt;D xsi:type="xsd:double"&gt;26.32&lt;/D&gt;&lt;D xsi:type="xsd:double"&gt;25.65&lt;/D&gt;&lt;D xsi:type="xsd:double"&gt;22.69&lt;/D&gt;&lt;D xsi:type="xsd:double"&gt;23.16&lt;/D&gt;&lt;D xsi:type="xsd:double"&gt;22.72&lt;/D&gt;&lt;D xsi:type="xsd:double"&gt;21.76&lt;/D&gt;&lt;D xsi:type="xsd:double"&gt;21.86&lt;/D&gt;&lt;D xsi:type="xsd:double"&gt;19.19&lt;/D&gt;&lt;D xsi:type="xsd:double"&gt;19.38&lt;/D&gt;&lt;D xsi:type="xsd:double"&gt;19.41&lt;/D&gt;&lt;D xsi:type="xsd:double"&gt;21.03&lt;/D&gt;&lt;D xsi:type="xsd:double"&gt;22.01&lt;/D&gt;&lt;D xsi:type="xsd:double"&gt;22.72&lt;/D&gt;&lt;D xsi:type="xsd:double"&gt;21.68&lt;/D&gt;&lt;D xsi:type="xsd:double"&gt;21&lt;/D&gt;&lt;D xsi:type="xsd:double"&gt;21.71&lt;/D&gt;&lt;D xsi:type="xsd:double"&gt;22.57&lt;/D&gt;&lt;D xsi:type="xsd:double"&gt;24.12&lt;/D&gt;&lt;D xsi:type="xsd:double"&gt;25.91&lt;/D&gt;&lt;D xsi:type="xsd:double"&gt;27.32&lt;/D&gt;&lt;D xsi:type="xsd:double"&gt;24.34&lt;/D&gt;&lt;D xsi:type="xsd:double"&gt;22.16&lt;/D&gt;&lt;D xsi:type="xsd:double"&gt;22.41&lt;/D&gt;&lt;D xsi:type="xsd:double"&gt;22.48&lt;/D&gt;&lt;D xsi:type="xsd:double"&gt;22.47&lt;/D&gt;&lt;D xsi:type="xsd:double"&gt;23.1&lt;/D&gt;&lt;D xsi:type="xsd:double"&gt;23.64&lt;/D&gt;&lt;D xsi:type="xsd:double"&gt;24.27&lt;/D&gt;&lt;D xsi:type="xsd:double"&gt;22.78&lt;/D&gt;&lt;D xsi:type="xsd:double"&gt;24.35&lt;/D&gt;&lt;D xsi:type="xsd:double"&gt;24.54&lt;/D&gt;&lt;D xsi:type="xsd:double"&gt;23.25&lt;/D&gt;&lt;D xsi:type="xsd:double"&gt;24.39&lt;/D&gt;&lt;D xsi:type="xsd:double"&gt;23.23&lt;/D&gt;&lt;D xsi:type="xsd:double"&gt;22.25&lt;/D&gt;&lt;D xsi:type="xsd:double"&gt;22.32&lt;/D&gt;&lt;D xsi:type="xsd:double"&gt;22.48&lt;/D&gt;&lt;D xsi:type="xsd:double"&gt;22.68&lt;/D&gt;&lt;D xsi:type="xsd:double"&gt;23.87&lt;/D&gt;&lt;D xsi:type="xsd:double"&gt;28.53&lt;/D&gt;&lt;D xsi:type="xsd:double"&gt;28.67&lt;/D&gt;&lt;D xsi:type="xsd:double"&gt;29.55&lt;/D&gt;&lt;D xsi:type="xsd:double"&gt;31.7&lt;/D&gt;&lt;D xsi:type="xsd:double"&gt;31.1&lt;/D&gt;&lt;D xsi:type="xsd:double"&gt;26.89&lt;/D&gt;&lt;D xsi:type="xsd:double"&gt;22.22&lt;/D&gt;&lt;D xsi:type="xsd:double"&gt;21.35&lt;/D&gt;&lt;D xsi:type="xsd:double"&gt;21.51&lt;/D&gt;&lt;D xsi:type="xsd:double"&gt;23.49&lt;/D&gt;&lt;D xsi:type="xsd:double"&gt;31.74&lt;/D&gt;&lt;D xsi:type="xsd:double"&gt;35.81&lt;/D&gt;&lt;D xsi:type="xsd:double"&gt;38.36&lt;/D&gt;&lt;D xsi:type="xsd:double"&gt;33.71&lt;/D&gt;&lt;D xsi:type="xsd:double"&gt;42.67&lt;/D&gt;&lt;D xsi:type="xsd:double"&gt;45.47&lt;/D&gt;&lt;D xsi:type="xsd:double"&gt;43.52&lt;/D&gt;&lt;D xsi:type="xsd:double"&gt;45.89&lt;/D&gt;&lt;D xsi:type="xsd:double"&gt;45.01&lt;/D&gt;&lt;D xsi:type="xsd:double"&gt;48.5&lt;/D&gt;&lt;D xsi:type="xsd:double"&gt;46.18&lt;/D&gt;&lt;D xsi:type="xsd:double"&gt;47.16&lt;/D&gt;&lt;D xsi:type="xsd:double"&gt;46.13&lt;/D&gt;&lt;D xsi:type="xsd:double"&gt;48.19&lt;/D&gt;&lt;D xsi:type="xsd:double"&gt;49.59&lt;/D&gt;&lt;D xsi:type="xsd:double"&gt;50.89&lt;/D&gt;&lt;D xsi:type="xsd:double"&gt;54.23&lt;/D&gt;&lt;D xsi:type="xsd:double"&gt;57.87&lt;/D&gt;&lt;D xsi:type="xsd:double"&gt;58.38&lt;/D&gt;&lt;D xsi:type="xsd:double"&gt;58.51&lt;/D&gt;&lt;D xsi:type="xsd:double"&gt;58.72&lt;/D&gt;&lt;D xsi:type="xsd:double"&gt;58.9&lt;/D&gt;&lt;D xsi:type="xsd:double"&gt;59.13&lt;/D&gt;&lt;D xsi:type="xsd:double"&gt;59.47&lt;/D&gt;&lt;D xsi:type="xsd:double"&gt;58.66&lt;/D&gt;&lt;D xsi:type="xsd:double"&gt;57.71&lt;/D&gt;&lt;D xsi:type="xsd:double"&gt;57.92&lt;/D&gt;&lt;D xsi:type="xsd:double"&gt;58.18&lt;/D&gt;&lt;D xsi:type="xsd:double"&gt;58.89&lt;/D&gt;&lt;D xsi:type="xsd:double"&gt;57.93&lt;/D&gt;&lt;D xsi:type="xsd:double"&gt;56.04&lt;/D&gt;&lt;D xsi:type="xsd:double"&gt;55.74&lt;/D&gt;&lt;D xsi:type="xsd:double"&gt;57.1&lt;/D&gt;&lt;D xsi:type="xsd:double"&gt;56.65&lt;/D&gt;&lt;D xsi:type="xsd:double"&gt;57.48&lt;/D&gt;&lt;D xsi:type="xsd:double"&gt;56.83&lt;/D&gt;&lt;D xsi:type="xsd:double"&gt;58.81&lt;/D&gt;&lt;D xsi:type="xsd:double"&gt;60.27&lt;/D&gt;&lt;D xsi:type="xsd:double"&gt;59.64&lt;/D&gt;&lt;D xsi:type="xsd:double"&gt;60.34&lt;/D&gt;&lt;D xsi:type="xsd:double"&gt;62.03&lt;/D&gt;&lt;D xsi:type="xsd:double"&gt;61.88&lt;/D&gt;&lt;D xsi:type="xsd:double"&gt;61.62&lt;/D&gt;&lt;D xsi:type="xsd:double"&gt;61.45&lt;/D&gt;&lt;D xsi:type="xsd:double"&gt;59.49&lt;/D&gt;&lt;D xsi:type="xsd:double"&gt;59.24&lt;/D&gt;&lt;D xsi:type="xsd:double"&gt;58.96&lt;/D&gt;&lt;D xsi:type="xsd:double"&gt;58.85&lt;/D&gt;&lt;D xsi:type="xsd:double"&gt;57.61&lt;/D&gt;&lt;D xsi:type="xsd:double"&gt;57.66&lt;/D&gt;&lt;D xsi:type="xsd:double"&gt;58.06&lt;/D&gt;&lt;D xsi:type="xsd:double"&gt;59.04&lt;/D&gt;&lt;D xsi:type="xsd:double"&gt;58.48&lt;/D&gt;&lt;D xsi:type="xsd:double"&gt;58.66&lt;/D&gt;&lt;D xsi:type="xsd:double"&gt;59.08&lt;/D&gt;&lt;D xsi:type="xsd:double"&gt;59.56&lt;/D&gt;&lt;D xsi:type="xsd:double"&gt;59.39&lt;/D&gt;&lt;D xsi:type="xsd:double"&gt;59.44&lt;/D&gt;&lt;D xsi:type="xsd:double"&gt;58.97&lt;/D&gt;&lt;D xsi:type="xsd:double"&gt;59.14&lt;/D&gt;&lt;D xsi:type="xsd:double"&gt;58.58&lt;/D&gt;&lt;D xsi:type="xsd:double"&gt;58.69&lt;/D&gt;&lt;D xsi:type="xsd:double"&gt;58.42&lt;/D&gt;&lt;D xsi:type="xsd:double"&gt;56.73&lt;/D&gt;&lt;D xsi:type="xsd:double"&gt;56.69&lt;/D&gt;&lt;D xsi:type="xsd:double"&gt;55.08&lt;/D&gt;&lt;D xsi:type="xsd:double"&gt;55.53&lt;/D&gt;&lt;D xsi:type="xsd:double"&gt;55.8&lt;/D&gt;&lt;D xsi:type="xsd:double"&gt;56.14&lt;/D&gt;&lt;D xsi:type="xsd:double"&gt;55.88&lt;/D&gt;&lt;D xsi:type="xsd:double"&gt;56.06&lt;/D&gt;&lt;D xsi:type="xsd:double"&gt;55.62&lt;/D&gt;&lt;D xsi:type="xsd:double"&gt;56.75&lt;/D&gt;&lt;D xsi:type="xsd:double"&gt;57.31&lt;/D&gt;&lt;D xsi:type="xsd:double"&gt;57.07&lt;/D&gt;&lt;D xsi:type="xsd:double"&gt;57.46&lt;/D&gt;&lt;D xsi:type="xsd:double"&gt;56.35&lt;/D&gt;&lt;D xsi:type="xsd:double"&gt;56.11&lt;/D&gt;&lt;D xsi:type="xsd:double"&gt;55.31&lt;/D&gt;&lt;D xsi:type="xsd:double"&gt;55.67&lt;/D&gt;&lt;D xsi:type="xsd:double"&gt;57.07&lt;/D&gt;&lt;D xsi:type="xsd:double"&gt;57.08&lt;/D&gt;&lt;D xsi:type="xsd:double"&gt;56.85&lt;/D&gt;&lt;D xsi:type="xsd:double"&gt;56.55&lt;/D&gt;&lt;D xsi:type="xsd:double"&gt;56.5&lt;/D&gt;&lt;D xsi:type="xsd:double"&gt;57.22&lt;/D&gt;&lt;D xsi:type="xsd:double"&gt;57.21&lt;/D&gt;&lt;D xsi:type="xsd:double"&gt;57.58&lt;/D&gt;&lt;D xsi:type="xsd:double"&gt;57.66&lt;/D&gt;&lt;D xsi:type="xsd:double"&gt;57.58&lt;/D&gt;&lt;D xsi:type="xsd:double"&gt;57.51&lt;/D&gt;&lt;D xsi:type="xsd:double"&gt;56.88&lt;/D&gt;&lt;D xsi:type="xsd:double"&gt;56.02&lt;/D&gt;&lt;D xsi:type="xsd:double"&gt;55.08&lt;/D&gt;&lt;D xsi:type="xsd:double"&gt;55.32&lt;/D&gt;&lt;D xsi:type="xsd:double"&gt;55.38&lt;/D&gt;&lt;D xsi:type="xsd:double"&gt;55.17&lt;/D&gt;&lt;D xsi:type="xsd:double"&gt;54.6&lt;/D&gt;&lt;D xsi:type="xsd:double"&gt;53.79&lt;/D&gt;&lt;D xsi:type="xsd:double"&gt;53.81&lt;/D&gt;&lt;D xsi:type="xsd:double"&gt;54.65&lt;/D&gt;&lt;D xsi:type="xsd:double"&gt;54.58&lt;/D&gt;&lt;D xsi:type="xsd:double"&gt;53.83&lt;/D&gt;&lt;D xsi:type="xsd:double"&gt;53.37&lt;/D&gt;&lt;D xsi:type="xsd:double"&gt;53.17&lt;/D&gt;&lt;D xsi:type="xsd:double"&gt;53.64&lt;/D&gt;&lt;D xsi:type="xsd:double"&gt;52.99&lt;/D&gt;&lt;D xsi:type="xsd:double"&gt;52.95&lt;/D&gt;&lt;D xsi:type="xsd:double"&gt;53.1&lt;/D&gt;&lt;D xsi:type="xsd:double"&gt;53.92&lt;/D&gt;&lt;D xsi:type="xsd:double"&gt;53.2&lt;/D&gt;&lt;D xsi:type="xsd:double"&gt;53.36&lt;/D&gt;&lt;D xsi:type="xsd:double"&gt;53.81&lt;/D&gt;&lt;D xsi:type="xsd:double"&gt;52.83&lt;/D&gt;&lt;D xsi:type="xsd:double"&gt;54.35&lt;/D&gt;&lt;D xsi:type="xsd:double"&gt;57.01&lt;/D&gt;&lt;D xsi:type="xsd:double"&gt;57.6&lt;/D&gt;&lt;D xsi:type="xsd:double"&gt;58.28&lt;/D&gt;&lt;D xsi:type="xsd:double"&gt;58.78&lt;/D&gt;&lt;D xsi:type="xsd:double"&gt;58.31&lt;/D&gt;&lt;D xsi:type="xsd:double"&gt;58&lt;/D&gt;&lt;D xsi:type="xsd:double"&gt;58.02&lt;/D&gt;&lt;D xsi:type="xsd:double"&gt;58.63&lt;/D&gt;&lt;D xsi:type="xsd:double"&gt;58.69&lt;/D&gt;&lt;D xsi:type="xsd:double"&gt;59.31&lt;/D&gt;&lt;D xsi:type="xsd:double"&gt;59.37&lt;/D&gt;&lt;D xsi:type="xsd:double"&gt;59.07&lt;/D&gt;&lt;D xsi:type="xsd:double"&gt;60.01&lt;/D&gt;&lt;D xsi:type="xsd:double"&gt;59.44&lt;/D&gt;&lt;D xsi:type="xsd:double"&gt;58.78&lt;/D&gt;&lt;D xsi:type="xsd:double"&gt;58.64&lt;/D&gt;&lt;D xsi:type="xsd:double"&gt;58.11&lt;/D&gt;&lt;D xsi:type="xsd:double"&gt;57.98&lt;/D&gt;&lt;D xsi:type="xsd:double"&gt;58.19&lt;/D&gt;&lt;D xsi:type="xsd:double"&gt;57.23&lt;/D&gt;&lt;D xsi:type="xsd:double"&gt;57.29&lt;/D&gt;&lt;D xsi:type="xsd:double"&gt;57.86&lt;/D&gt;&lt;D xsi:type="xsd:double"&gt;57.88&lt;/D&gt;&lt;D xsi:type="xsd:double"&gt;56.68&lt;/D&gt;&lt;D xsi:type="xsd:double"&gt;56.14&lt;/D&gt;&lt;D xsi:type="xsd:double"&gt;56.28&lt;/D&gt;&lt;D xsi:type="xsd:double"&gt;56.2&lt;/D&gt;&lt;D xsi:type="xsd:double"&gt;57.96&lt;/D&gt;&lt;D xsi:type="xsd:double"&gt;58.01&lt;/D&gt;&lt;D xsi:type="xsd:double"&gt;57.68&lt;/D&gt;&lt;D xsi:type="xsd:double"&gt;58.19&lt;/D&gt;&lt;D xsi:type="xsd:double"&gt;58.04&lt;/D&gt;&lt;D xsi:type="xsd:double"&gt;57.11&lt;/D&gt;&lt;D xsi:type="xsd:double"&gt;57.23&lt;/D&gt;&lt;D xsi:type="xsd:double"&gt;58.84&lt;/D&gt;&lt;D xsi:type="xsd:double"&gt;58.66&lt;/D&gt;&lt;D xsi:type="xsd:double"&gt;59.53&lt;/D&gt;&lt;D xsi:type="xsd:double"&gt;60.03&lt;/D&gt;&lt;D xsi:type="xsd:double"&gt;59.24&lt;/D&gt;&lt;D xsi:type="xsd:double"&gt;58.79&lt;/D&gt;&lt;D xsi:type="xsd:double"&gt;57.82&lt;/D&gt;&lt;D xsi:type="xsd:double"&gt;60.13&lt;/D&gt;&lt;D xsi:type="xsd:double"&gt;60.32&lt;/D&gt;&lt;D xsi:type="xsd:double"&gt;61.04&lt;/D&gt;&lt;D xsi:type="xsd:double"&gt;62.63&lt;/D&gt;&lt;D xsi:type="xsd:double"&gt;62.46&lt;/D&gt;&lt;D xsi:type="xsd:double"&gt;62.16&lt;/D&gt;&lt;D xsi:type="xsd:double"&gt;62.23&lt;/D&gt;&lt;D xsi:type="xsd:double"&gt;63.16&lt;/D&gt;&lt;D xsi:type="xsd:double"&gt;63.09&lt;/D&gt;&lt;D xsi:type="xsd:double"&gt;61.29&lt;/D&gt;&lt;D xsi:type="xsd:double"&gt;60.91&lt;/D&gt;&lt;D xsi:type="xsd:double"&gt;62.66&lt;/D&gt;&lt;D xsi:type="xsd:double"&gt;62.25&lt;/D&gt;&lt;D xsi:type="xsd:double"&gt;63.16&lt;/D&gt;&lt;D xsi:type="xsd:double"&gt;61.7&lt;/D&gt;&lt;D xsi:type="xsd:double"&gt;61.65&lt;/D&gt;&lt;D xsi:type="xsd:double"&gt;60.16&lt;/D&gt;&lt;D xsi:type="xsd:double"&gt;59.47&lt;/D&gt;&lt;D xsi:type="xsd:double"&gt;58.96&lt;/D&gt;&lt;D xsi:type="xsd:double"&gt;59.37&lt;/D&gt;&lt;D xsi:type="xsd:double"&gt;58.7&lt;/D&gt;&lt;D xsi:type="xsd:double"&gt;59.15&lt;/D&gt;&lt;D xsi:type="xsd:double"&gt;58.54&lt;/D&gt;&lt;D xsi:type="xsd:double"&gt;57.79&lt;/D&gt;&lt;D xsi:type="xsd:double"&gt;56.75&lt;/D&gt;&lt;D xsi:type="xsd:double"&gt;56.82&lt;/D&gt;&lt;D xsi:type="xsd:double"&gt;56.38&lt;/D&gt;&lt;D xsi:type="xsd:double"&gt;55.92&lt;/D&gt;&lt;D xsi:type="xsd:double"&gt;56.07&lt;/D&gt;&lt;D xsi:type="xsd:double"&gt;55.99&lt;/D&gt;&lt;D xsi:type="xsd:double"&gt;55.97&lt;/D&gt;&lt;D xsi:type="xsd:double"&gt;56.36&lt;/D&gt;&lt;D xsi:type="xsd:double"&gt;56.03&lt;/D&gt;&lt;D xsi:type="xsd:double"&gt;55.67&lt;/D&gt;&lt;D xsi:type="xsd:double"&gt;55.99&lt;/D&gt;&lt;D xsi:type="xsd:double"&gt;56.52&lt;/D&gt;&lt;D xsi:type="xsd:double"&gt;55.45&lt;/D&gt;&lt;D xsi:type="xsd:double"&gt;54.88&lt;/D&gt;&lt;D xsi:type="xsd:double"&gt;54.73&lt;/D&gt;&lt;D xsi:type="xsd:double"&gt;55.07&lt;/D&gt;&lt;D xsi:type="xsd:double"&gt;54.69&lt;/D&gt;&lt;D xsi:type="xsd:double"&gt;54.94&lt;/D&gt;&lt;D xsi:type="xsd:double"&gt;54.31&lt;/D&gt;&lt;D xsi:type="xsd:double"&gt;52.1&lt;/D&gt;&lt;D xsi:type="xsd:double"&gt;51.5&lt;/D&gt;&lt;D xsi:type="xsd:double"&gt;53.03&lt;/D&gt;&lt;D xsi:type="xsd:double"&gt;53.21&lt;/D&gt;&lt;D xsi:type="xsd:double"&gt;53.88&lt;/D&gt;&lt;D xsi:type="xsd:double"&gt;54.12&lt;/D&gt;&lt;D xsi:type="xsd:double"&gt;54&lt;/D&gt;&lt;D xsi:type="xsd:double"&gt;54.06&lt;/D&gt;&lt;D xsi:type="xsd:double"&gt;54.83&lt;/D&gt;&lt;D xsi:type="xsd:double"&gt;54.28&lt;/D&gt;&lt;D xsi:type="xsd:double"&gt;54.89&lt;/D&gt;&lt;D xsi:type="xsd:double"&gt;55.38&lt;/D&gt;&lt;D xsi:type="xsd:double"&gt;55.05&lt;/D&gt;&lt;D xsi:type="xsd:double"&gt;55.25&lt;/D&gt;&lt;D xsi:type="xsd:double"&gt;54.8&lt;/D&gt;&lt;D xsi:type="xsd:double"&gt;56.62&lt;/D&gt;&lt;D xsi:type="xsd:double"&gt;56.59&lt;/D&gt;&lt;D xsi:type="xsd:double"&gt;56.45&lt;/D&gt;&lt;D xsi:type="xsd:double"&gt;57.17&lt;/D&gt;&lt;D xsi:type="xsd:double"&gt;57.73&lt;/D&gt;&lt;D xsi:type="xsd:double"&gt;57.8&lt;/D&gt;&lt;D xsi:type="xsd:double"&gt;57.66&lt;/D&gt;&lt;D xsi:type="xsd:double"&gt;57.18&lt;/D&gt;&lt;D xsi:type="xsd:double"&gt;58.29&lt;/D&gt;&lt;D xsi:type="xsd:double"&gt;57.73&lt;/D&gt;&lt;D xsi:type="xsd:double"&gt;57.11&lt;/D&gt;&lt;D xsi:type="xsd:double"&gt;56.71&lt;/D&gt;&lt;D xsi:type="xsd:double"&gt;57.85&lt;/D&gt;&lt;D xsi:type="xsd:double"&gt;58.24&lt;/D&gt;&lt;D xsi:type="xsd:double"&gt;57.75&lt;/D&gt;&lt;D xsi:type="xsd:double"&gt;58.17&lt;/D&gt;&lt;D xsi:type="xsd:double"&gt;58.43&lt;/D&gt;&lt;D xsi:type="xsd:double"&gt;58.11&lt;/D&gt;&lt;D xsi:type="xsd:double"&gt;57.45&lt;/D&gt;&lt;D xsi:type="xsd:double"&gt;58.05&lt;/D&gt;&lt;D xsi:type="xsd:double"&gt;58.39&lt;/D&gt;&lt;D xsi:type="xsd:double"&gt;57.86&lt;/D&gt;&lt;D xsi:type="xsd:double"&gt;56.95&lt;/D&gt;&lt;D xsi:type="xsd:double"&gt;57.71&lt;/D&gt;&lt;D xsi:type="xsd:double"&gt;57.73&lt;/D&gt;&lt;D xsi:type="xsd:double"&gt;57.22&lt;/D&gt;&lt;D xsi:type="xsd:double"&gt;57&lt;/D&gt;&lt;D xsi:type="xsd:double"&gt;55.33&lt;/D&gt;&lt;D xsi:type="xsd:double"&gt;52.18&lt;/D&gt;&lt;D xsi:type="xsd:double"&gt;51.65&lt;/D&gt;&lt;D xsi:type="xsd:double"&gt;50.32&lt;/D&gt;&lt;D xsi:type="xsd:double"&gt;49.97&lt;/D&gt;&lt;D xsi:type="xsd:double"&gt;49.09&lt;/D&gt;&lt;D xsi:type="xsd:double"&gt;49.03&lt;/D&gt;&lt;D xsi:type="xsd:double"&gt;49.76&lt;/D&gt;&lt;D xsi:type="xsd:double"&gt;50.3&lt;/D&gt;&lt;D xsi:type="xsd:double"&gt;49.87&lt;/D&gt;&lt;D xsi:type="xsd:double"&gt;50.96&lt;/D&gt;&lt;D xsi:type="xsd:double"&gt;50.74&lt;/D&gt;&lt;D xsi:type="xsd:double"&gt;51.19&lt;/D&gt;&lt;D xsi:type="xsd:double"&gt;50.94&lt;/D&gt;&lt;D xsi:type="xsd:double"&gt;51.02&lt;/D&gt;&lt;D xsi:type="xsd:double"&gt;50.67&lt;/D&gt;&lt;D xsi:type="xsd:double"&gt;51.12&lt;/D&gt;&lt;D xsi:type="xsd:double"&gt;49.59&lt;/D&gt;&lt;D xsi:type="xsd:double"&gt;49.59&lt;/D&gt;&lt;D xsi:type="xsd:double"&gt;49.71&lt;/D&gt;&lt;D xsi:type="xsd:double"&gt;49.72&lt;/D&gt;&lt;D xsi:type="xsd:double"&gt;48.79&lt;/D&gt;&lt;D xsi:type="xsd:double"&gt;48.96&lt;/D&gt;&lt;D xsi:type="xsd:double"&gt;49.58&lt;/D&gt;&lt;D xsi:type="xsd:double"&gt;50.43&lt;/D&gt;&lt;D xsi:type="xsd:double"&gt;51.12&lt;/D&gt;&lt;D xsi:type="xsd:double"&gt;51.41&lt;/D&gt;&lt;D xsi:type="xsd:double"&gt;51.52&lt;/D&gt;&lt;D xsi:type="xsd:double"&gt;51.48&lt;/D&gt;&lt;D xsi:type="xsd:double"&gt;51.24&lt;/D&gt;&lt;D xsi:type="xsd:double"&gt;51.82&lt;/D&gt;&lt;D xsi:type="xsd:double"&gt;51.08&lt;/D&gt;&lt;D xsi:type="xsd:double"&gt;50.48&lt;/D&gt;&lt;D xsi:type="xsd:double"&gt;50.41&lt;/D&gt;&lt;D xsi:type="xsd:double"&gt;49.89&lt;/D&gt;&lt;D xsi:type="xsd:double"&gt;50.61&lt;/D&gt;&lt;D xsi:type="xsd:double"&gt;50.47&lt;/D&gt;&lt;D xsi:type="xsd:double"&gt;50.41&lt;/D&gt;&lt;D xsi:type="xsd:double"&gt;50.52&lt;/D&gt;&lt;D xsi:type="xsd:double"&gt;50.54&lt;/D&gt;&lt;D xsi:type="xsd:double"&gt;50.34&lt;/D&gt;&lt;D xsi:type="xsd:double"&gt;49.92&lt;/D&gt;&lt;D xsi:type="xsd:double"&gt;49.43&lt;/D&gt;&lt;D xsi:type="xsd:double"&gt;50.27&lt;/D&gt;&lt;D xsi:type="xsd:double"&gt;48.22&lt;/D&gt;&lt;D xsi:type="xsd:double"&gt;48.01&lt;/D&gt;&lt;D xsi:type="xsd:double"&gt;47.69&lt;/D&gt;&lt;D xsi:type="xsd:double"&gt;47.52&lt;/D&gt;&lt;D xsi:type="xsd:double"&gt;47.3&lt;/D&gt;&lt;D xsi:type="xsd:double"&gt;47.1&lt;/D&gt;&lt;D xsi:type="xsd:double"&gt;48.11&lt;/D&gt;&lt;D xsi:type="xsd:double"&gt;48.22&lt;/D&gt;&lt;D xsi:type="xsd:double"&gt;47.5&lt;/D&gt;&lt;D xsi:type="xsd:double"&gt;47.83&lt;/D&gt;&lt;D xsi:type="xsd:double"&gt;47.75&lt;/D&gt;&lt;D xsi:type="xsd:double"&gt;48.56&lt;/D&gt;&lt;D xsi:type="xsd:double"&gt;48.73&lt;/D&gt;&lt;D xsi:type="xsd:double"&gt;48.47&lt;/D&gt;&lt;D xsi:type="xsd:double"&gt;47.47&lt;/D&gt;&lt;D xsi:type="xsd:double"&gt;47.85&lt;/D&gt;&lt;D xsi:type="xsd:double"&gt;47.79&lt;/D&gt;&lt;D xsi:type="xsd:double"&gt;45.61&lt;/D&gt;&lt;D xsi:type="xsd:double"&gt;50.09&lt;/D&gt;&lt;D xsi:type="xsd:double"&gt;49.9&lt;/D&gt;&lt;D xsi:type="xsd:double"&gt;50.18&lt;/D&gt;&lt;D xsi:type="xsd:double"&gt;50.5&lt;/D&gt;&lt;D xsi:type="xsd:double"&gt;50.41&lt;/D&gt;&lt;D xsi:type="xsd:double"&gt;47.96&lt;/D&gt;&lt;D xsi:type="xsd:double"&gt;49.45&lt;/D&gt;&lt;D xsi:type="xsd:double"&gt;50.91&lt;/D&gt;&lt;D xsi:type="xsd:double"&gt;51.93&lt;/D&gt;&lt;D xsi:type="xsd:double"&gt;52.95&lt;/D&gt;&lt;D xsi:type="xsd:double"&gt;52.39&lt;/D&gt;&lt;D xsi:type="xsd:double"&gt;53.51&lt;/D&gt;&lt;D xsi:type="xsd:double"&gt;53.55&lt;/D&gt;&lt;D xsi:type="xsd:double"&gt;56.27&lt;/D&gt;&lt;D xsi:type="xsd:double"&gt;55.89&lt;/D&gt;&lt;D xsi:type="xsd:double"&gt;56.32&lt;/D&gt;&lt;D xsi:type="xsd:double"&gt;56.07&lt;/D&gt;&lt;D xsi:type="xsd:double"&gt;58.08&lt;/D&gt;&lt;D xsi:type="xsd:double"&gt;56.94&lt;/D&gt;&lt;D xsi:type="xsd:double"&gt;60.12&lt;/D&gt;&lt;D xsi:type="xsd:double"&gt;60.71&lt;/D&gt;&lt;D xsi:type="xsd:double"&gt;58.86&lt;/D&gt;&lt;D xsi:type="xsd:double"&gt;58.87&lt;/D&gt;&lt;D xsi:type="xsd:double"&gt;58.31&lt;/D&gt;&lt;D xsi:type="xsd:double"&gt;56.71&lt;/D&gt;&lt;D xsi:type="xsd:double"&gt;57.16&lt;/D&gt;&lt;/FQL&gt;&lt;FQL&gt;&lt;Q&gt;SP50^FG_PRICE(NOW,-1AY)&lt;/Q&gt;&lt;R&gt;254&lt;/R&gt;&lt;C&gt;1&lt;/C&gt;&lt;D xsi:type="xsd:double"&gt;4594.62&lt;/D&gt;&lt;D xsi:type="xsd:double"&gt;4701.46&lt;/D&gt;&lt;D xsi:type="xsd:double"&gt;4690.7&lt;/D&gt;&lt;D xsi:type="xsd:double"&gt;4682.94&lt;/D&gt;&lt;D xsi:type="xsd:double"&gt;4697.96&lt;/D&gt;&lt;D xsi:type="xsd:double"&gt;4704.54&lt;/D&gt;&lt;D xsi:type="xsd:double"&gt;4688.67&lt;/D&gt;&lt;D xsi:type="xsd:double"&gt;4700.9&lt;/D&gt;&lt;D xsi:type="xsd:double"&gt;4682.8&lt;/D&gt;&lt;D xsi:type="xsd:double"&gt;4682.85&lt;/D&gt;&lt;D xsi:type="xsd:double"&gt;4649.27&lt;/D&gt;&lt;D xsi:type="xsd:double"&gt;4646.71&lt;/D&gt;&lt;D xsi:type="xsd:double"&gt;4685.25&lt;/D&gt;&lt;D xsi:type="xsd:double"&gt;4701.7&lt;/D&gt;&lt;D xsi:type="xsd:double"&gt;4697.53&lt;/D&gt;&lt;D xsi:type="xsd:double"&gt;4680.06&lt;/D&gt;&lt;D xsi:type="xsd:double"&gt;4660.57&lt;/D&gt;&lt;D xsi:type="xsd:double"&gt;4630.65&lt;/D&gt;&lt;D xsi:type="xsd:double"&gt;4613.67&lt;/D&gt;&lt;D xsi:type="xsd:double"&gt;4605.38&lt;/D&gt;&lt;D xsi:type="xsd:double"&gt;4596.42&lt;/D&gt;&lt;D xsi:type="xsd:double"&gt;4551.68&lt;/D&gt;&lt;D xsi:type="xsd:double"&gt;4574.79&lt;/D&gt;&lt;D xsi:type="xsd:double"&gt;4566.48&lt;/D&gt;&lt;D xsi:type="xsd:double"&gt;4544.9&lt;/D&gt;&lt;D xsi:type="xsd:double"&gt;4549.78&lt;/D&gt;&lt;D xsi:type="xsd:double"&gt;4536.19&lt;/D&gt;&lt;D xsi:type="xsd:double"&gt;4519.63&lt;/D&gt;&lt;D xsi:type="xsd:double"&gt;4486.46&lt;/D&gt;&lt;D xsi:type="xsd:double"&gt;4471.37&lt;/D&gt;&lt;D xsi:type="xsd:double"&gt;4438.26&lt;/D&gt;&lt;D xsi:type="xsd:double"&gt;4363.8&lt;/D&gt;&lt;D xsi:type="xsd:double"&gt;4350.65&lt;/D&gt;&lt;D xsi:type="xsd:double"&gt;4361.19&lt;/D&gt;&lt;D xsi:type="xsd:double"&gt;4391.34&lt;/D&gt;&lt;D xsi:type="xsd:double"&gt;4399.76&lt;/D&gt;&lt;D xsi:type="xsd:double"&gt;4363.55&lt;/D&gt;&lt;D xsi:type="xsd:double"&gt;4345.72&lt;/D&gt;&lt;D xsi:type="xsd:double"&gt;4300.46&lt;/D&gt;&lt;D xsi:type="xsd:double"&gt;4357.04&lt;/D&gt;&lt;D xsi:type="xsd:double"&gt;4307.54&lt;/D&gt;&lt;D xsi:type="xsd:double"&gt;4359.461&lt;/D&gt;&lt;D xsi:type="xsd:double"&gt;4352.63&lt;/D&gt;&lt;D xsi:type="xsd:double"&gt;4443.11&lt;/D&gt;&lt;D xsi:type="xsd:double"&gt;4455.48&lt;/D&gt;&lt;D xsi:type="xsd:double"&gt;4448.98&lt;/D&gt;&lt;D xsi:type="xsd:double"&gt;4395.64&lt;/D&gt;&lt;D xsi:type="xsd:double"&gt;4354.19&lt;/D&gt;&lt;D xsi:type="xsd:double"&gt;4357.73&lt;/D&gt;&lt;D xsi:type="xsd:double"&gt;4432.99&lt;/D&gt;&lt;D xsi:type="xsd:double"&gt;4473.75&lt;/D&gt;&lt;D xsi:type="xsd:double"&gt;4480.7&lt;/D&gt;&lt;D xsi:type="xsd:double"&gt;4443.05&lt;/D&gt;&lt;D xsi:type="xsd:double"&gt;4468.73&lt;/D&gt;&lt;D xsi:type="xsd:double"&gt;4458.58&lt;/D&gt;&lt;D xsi:type="xsd:double"&gt;4493.28&lt;/D&gt;&lt;D xsi:type="xsd:double"&gt;4514.07&lt;/D&gt;&lt;D xsi:type="xsd:double"&gt;4520.03&lt;/D&gt;&lt;D xsi:type="xsd:double"&gt;4535.43&lt;/D&gt;&lt;D xsi:type="xsd:double"&gt;4536.95&lt;/D&gt;&lt;D xsi:type="xsd:double"&gt;4524.09&lt;/D&gt;&lt;D xsi:type="xsd:double"&gt;4522.68&lt;/D&gt;&lt;D xsi:type="xsd:double"&gt;4528.79&lt;/D&gt;&lt;D xsi:type="xsd:double"&gt;4509.37&lt;/D&gt;&lt;D xsi:type="xsd:double"&gt;4470&lt;/D&gt;&lt;D xsi:type="xsd:double"&gt;4496.19&lt;/D&gt;&lt;D xsi:type="xsd:double"&gt;4486.23&lt;/D&gt;&lt;D xsi:type="xsd:double"&gt;4479.53&lt;/D&gt;&lt;D xsi:type="xsd:double"&gt;4441.67&lt;/D&gt;&lt;D xsi:type="xsd:double"&gt;4405.8&lt;/D&gt;&lt;D xsi:type="xsd:double"&gt;4400.27&lt;/D&gt;&lt;D xsi:type="xsd:double"&gt;4448.08&lt;/D&gt;&lt;D xsi:type="xsd:double"&gt;4479.71&lt;/D&gt;&lt;D xsi:type="xsd:double"&gt;4468&lt;/D&gt;&lt;D xsi:type="xsd:double"&gt;4460.83&lt;/D&gt;&lt;D xsi:type="xsd:double"&gt;4447.7&lt;/D&gt;&lt;D xsi:type="xsd:double"&gt;4436.75&lt;/D&gt;&lt;D xsi:type="xsd:double"&gt;4432.35&lt;/D&gt;&lt;D xsi:type="xsd:double"&gt;4436.52&lt;/D&gt;&lt;D xsi:type="xsd:double"&gt;4429.1&lt;/D&gt;&lt;D xsi:type="xsd:double"&gt;4402.66&lt;/D&gt;&lt;D xsi:type="xsd:double"&gt;4423.15&lt;/D&gt;&lt;D xsi:type="xsd:double"&gt;4387.16&lt;/D&gt;&lt;D xsi:type="xsd:double"&gt;4395.26&lt;/D&gt;&lt;D xsi:type="xsd:double"&gt;4419.15&lt;/D&gt;&lt;D xsi:type="xsd:double"&gt;4400.64&lt;/D&gt;&lt;D xsi:type="xsd:double"&gt;4401.46&lt;/D&gt;&lt;D xsi:type="xsd:double"&gt;4422.3&lt;/D&gt;&lt;D xsi:type="xsd:double"&gt;4411.79&lt;/D&gt;&lt;D xsi:type="xsd:double"&gt;4367.48&lt;/D&gt;&lt;D xsi:type="xsd:double"&gt;4358.69&lt;/D&gt;&lt;D xsi:type="xsd:double"&gt;4323.06&lt;/D&gt;&lt;D xsi:type="xsd:double"&gt;4258.49&lt;/D&gt;&lt;D xsi:type="xsd:double"&gt;4327.16&lt;/D&gt;&lt;D xsi:type="xsd:double"&gt;4360.03&lt;/D&gt;&lt;D xsi:type="xsd:double"&gt;4374.3&lt;/D&gt;&lt;D xsi:type="xsd:double"&gt;4369.21&lt;/D&gt;&lt;D xsi:type="xsd:double"&gt;4384.63&lt;/D&gt;&lt;D xsi:type="xsd:double"&gt;4369.55&lt;/D&gt;&lt;D xsi:type="xsd:double"&gt;4320.82&lt;/D&gt;&lt;D xsi:type="xsd:double"&gt;4358.13&lt;/D&gt;&lt;D xsi:type="xsd:double"&gt;4343.54&lt;/D&gt;&lt;D xsi:type="xsd:double"&gt;4352.34&lt;/D&gt;&lt;D xsi:type="xsd:double"&gt;4319.94&lt;/D&gt;&lt;D xsi:type="xsd:double"&gt;4297.5&lt;/D&gt;&lt;D xsi:type="xsd:double"&gt;4291.8&lt;/D&gt;&lt;D xsi:type="xsd:double"&gt;4290.61&lt;/D&gt;&lt;D xsi:type="xsd:double"&gt;4280.7&lt;/D&gt;&lt;D xsi:type="xsd:double"&gt;4266.49&lt;/D&gt;&lt;D xsi:type="xsd:double"&gt;4241.84&lt;/D&gt;&lt;D xsi:type="xsd:double"&gt;4246.44&lt;/D&gt;&lt;D xsi:type="xsd:double"&gt;4224.79&lt;/D&gt;&lt;D xsi:type="xsd:double"&gt;4166.45&lt;/D&gt;&lt;D xsi:type="xsd:double"&gt;4221.86&lt;/D&gt;&lt;D xsi:type="xsd:double"&gt;4223.7&lt;/D&gt;&lt;D xsi:type="xsd:double"&gt;4246.59&lt;/D&gt;&lt;D xsi:type="xsd:double"&gt;4255.15&lt;/D&gt;&lt;D xsi:type="xsd:double"&gt;4247.44&lt;/D&gt;&lt;D xsi:type="xsd:double"&gt;4239.18&lt;/D&gt;&lt;D xsi:type="xsd:double"&gt;4219.55&lt;/D&gt;&lt;D xsi:type="xsd:double"&gt;4227.26&lt;/D&gt;&lt;D xsi:type="xsd:double"&gt;4226.52&lt;/D&gt;&lt;D xsi:type="xsd:double"&gt;4229.89&lt;/D&gt;&lt;D xsi:type="xsd:double"&gt;4192.85&lt;/D&gt;&lt;D xsi:type="xsd:double"&gt;4208.12&lt;/D&gt;&lt;D xsi:type="xsd:double"&gt;4202.04&lt;/D&gt;&lt;D xsi:type="xsd:double"&gt;4204.11&lt;/D&gt;&lt;D xsi:type="xsd:double"&gt;4200.88&lt;/D&gt;&lt;D xsi:type="xsd:double"&gt;4195.99&lt;/D&gt;&lt;D xsi:type="xsd:double"&gt;4188.13&lt;/D&gt;&lt;D xsi:type="xsd:double"&gt;4197.05&lt;/D&gt;&lt;D xsi:type="xsd:double"&gt;4155.86&lt;/D&gt;&lt;D xsi:type="xsd:double"&gt;4159.12&lt;/D&gt;&lt;D xsi:type="xsd:double"&gt;4115.68&lt;/D&gt;&lt;D xsi:type="xsd:double"&gt;4127.83&lt;/D&gt;&lt;D xsi:type="xsd:double"&gt;4163.29&lt;/D&gt;&lt;D xsi:type="xsd:double"&gt;4173.85&lt;/D&gt;&lt;D xsi:type="xsd:double"&gt;4112.5&lt;/D&gt;&lt;D xsi:type="xsd:double"&gt;4063.04&lt;/D&gt;&lt;D xsi:type="xsd:double"&gt;4152.1&lt;/D&gt;&lt;D xsi:type="xsd:double"&gt;4188.43&lt;/D&gt;&lt;D xsi:type="xsd:double"&gt;4232.6&lt;/D&gt;&lt;D xsi:type="xsd:double"&gt;4201.62&lt;/D&gt;&lt;D xsi:type="xsd:double"&gt;4167.59&lt;/D&gt;&lt;D xsi:type="xsd:double"&gt;4164.66&lt;/D&gt;&lt;D xsi:type="xsd:double"&gt;4192.66&lt;/D&gt;&lt;D xsi:type="xsd:double"&gt;4181.17&lt;/D&gt;&lt;D xsi:type="xsd:double"&gt;4211.47&lt;/D&gt;&lt;D xsi:type="xsd:double"&gt;4183.18&lt;/D&gt;&lt;D xsi:type="xsd:double"&gt;4186.72&lt;/D&gt;&lt;D xsi:type="xsd:double"&gt;4187.62&lt;/D&gt;&lt;D xsi:type="xsd:double"&gt;4180.17&lt;/D&gt;&lt;D xsi:type="xsd:double"&gt;4134.98&lt;/D&gt;&lt;D xsi:type="xsd:double"&gt;4173.42&lt;/D&gt;&lt;D xsi:type="xsd:double"&gt;4134.94&lt;/D&gt;&lt;D xsi:type="xsd:double"&gt;4163.26&lt;/D&gt;&lt;D xsi:type="xsd:double"&gt;4185.47&lt;/D&gt;&lt;D xsi:type="xsd:double"&gt;4170.42&lt;/D&gt;&lt;D xsi:type="xsd:double"&gt;4124.66&lt;/D&gt;&lt;D xsi:type="xsd:double"&gt;4141.59&lt;/D&gt;&lt;D xsi:type="xsd:double"&gt;4127.99&lt;/D&gt;&lt;D xsi:type="xsd:double"&gt;4128.8&lt;/D&gt;&lt;D xsi:type="xsd:double"&gt;4097.17&lt;/D&gt;&lt;D xsi:type="xsd:double"&gt;4079.95&lt;/D&gt;&lt;D xsi:type="xsd:double"&gt;4073.94&lt;/D&gt;&lt;D xsi:type="xsd:double"&gt;4077.91&lt;/D&gt;&lt;D xsi:type="xsd:double"&gt;4019.87&lt;/D&gt;&lt;D xsi:type="xsd:double"&gt;3972.89&lt;/D&gt;&lt;D xsi:type="xsd:double"&gt;3958.55&lt;/D&gt;&lt;D xsi:type="xsd:double"&gt;3971.09&lt;/D&gt;&lt;D xsi:type="xsd:double"&gt;3974.54&lt;/D&gt;&lt;D xsi:type="xsd:double"&gt;3909.52&lt;/D&gt;&lt;D xsi:type="xsd:double"&gt;3889.14&lt;/D&gt;&lt;D xsi:type="xsd:double"&gt;3910.52&lt;/D&gt;&lt;D xsi:type="xsd:double"&gt;3940.59&lt;/D&gt;&lt;D xsi:type="xsd:double"&gt;3913.1&lt;/D&gt;&lt;D xsi:type="xsd:double"&gt;3915.46&lt;/D&gt;&lt;D xsi:type="xsd:double"&gt;3974.12&lt;/D&gt;&lt;D xsi:type="xsd:double"&gt;3962.71&lt;/D&gt;&lt;D xsi:type="xsd:double"&gt;3968.94&lt;/D&gt;&lt;D xsi:type="xsd:double"&gt;3943.34&lt;/D&gt;&lt;D xsi:type="xsd:double"&gt;3939.34&lt;/D&gt;&lt;D xsi:type="xsd:double"&gt;3898.81&lt;/D&gt;&lt;D xsi:type="xsd:double"&gt;3875.44&lt;/D&gt;&lt;D xsi:type="xsd:double"&gt;3821.35&lt;/D&gt;&lt;D xsi:type="xsd:double"&gt;3841.94&lt;/D&gt;&lt;D xsi:type="xsd:double"&gt;3768.47&lt;/D&gt;&lt;D xsi:type="xsd:double"&gt;3819.72&lt;/D&gt;&lt;D xsi:type="xsd:double"&gt;3870.29&lt;/D&gt;&lt;D xsi:type="xsd:double"&gt;3901.82&lt;/D&gt;&lt;D xsi:type="xsd:double"&gt;3811.15&lt;/D&gt;&lt;D xsi:type="xsd:double"&gt;3829.34&lt;/D&gt;&lt;D xsi:type="xsd:double"&gt;3925.43&lt;/D&gt;&lt;D xsi:type="xsd:double"&gt;3881.37&lt;/D&gt;&lt;D xsi:type="xsd:double"&gt;3876.5&lt;/D&gt;&lt;D xsi:type="xsd:double"&gt;3906.71&lt;/D&gt;&lt;D xsi:type="xsd:double"&gt;3913.97&lt;/D&gt;&lt;D xsi:type="xsd:double"&gt;3931.33&lt;/D&gt;&lt;D xsi:type="xsd:double"&gt;3932.59&lt;/D&gt;&lt;D xsi:type="xsd:double"&gt;3934.83&lt;/D&gt;&lt;D xsi:type="xsd:double"&gt;3916.38&lt;/D&gt;&lt;D xsi:type="xsd:double"&gt;3909.88&lt;/D&gt;&lt;D xsi:type="xsd:double"&gt;3911.23&lt;/D&gt;&lt;D xsi:type="xsd:double"&gt;3915.59&lt;/D&gt;&lt;D xsi:type="xsd:double"&gt;3886.83&lt;/D&gt;&lt;D xsi:type="xsd:double"&gt;3871.74&lt;/D&gt;&lt;D xsi:type="xsd:double"&gt;3830.17&lt;/D&gt;&lt;D xsi:type="xsd:double"&gt;3826.31&lt;/D&gt;&lt;D xsi:type="xsd:double"&gt;3773.86&lt;/D&gt;&lt;D xsi:type="xsd:double"&gt;3714.24&lt;/D&gt;&lt;D xsi:type="xsd:double"&gt;3787.38&lt;/D&gt;&lt;D xsi:type="xsd:double"&gt;3750.77&lt;/D&gt;&lt;D xsi:type="xsd:double"&gt;3849.62&lt;/D&gt;&lt;D xsi:type="xsd:double"&gt;3855.36&lt;/D&gt;&lt;D xsi:type="xsd:double"&gt;3841.47&lt;/D&gt;&lt;D xsi:type="xsd:double"&gt;3853.07&lt;/D&gt;&lt;D xsi:type="xsd:double"&gt;3851.85&lt;/D&gt;&lt;D xsi:type="xsd:double"&gt;3798.91&lt;/D&gt;&lt;D xsi:type="xsd:double"&gt;3768.25&lt;/D&gt;&lt;D xsi:type="xsd:double"&gt;3795.54&lt;/D&gt;&lt;D xsi:type="xsd:double"&gt;3809.84&lt;/D&gt;&lt;D xsi:type="xsd:double"&gt;3801.19&lt;/D&gt;&lt;D xsi:type="xsd:double"&gt;3799.61&lt;/D&gt;&lt;D xsi:type="xsd:double"&gt;3824.68&lt;/D&gt;&lt;D xsi:type="xsd:double"&gt;3803.79&lt;/D&gt;&lt;D xsi:type="xsd:double"&gt;3748.14&lt;/D&gt;&lt;D xsi:type="xsd:double"&gt;3726.86&lt;/D&gt;&lt;D xsi:type="xsd:double"&gt;3700.65&lt;/D&gt;&lt;D xsi:type="xsd:double"&gt;3756.07&lt;/D&gt;&lt;D xsi:type="xsd:double"&gt;3732.04&lt;/D&gt;&lt;D xsi:type="xsd:double"&gt;3727.04&lt;/D&gt;&lt;D xsi:type="xsd:double"&gt;3735.36&lt;/D&gt;&lt;D xsi:type="xsd:double"&gt;3703.06&lt;/D&gt;&lt;D xsi:type="xsd:double"&gt;3690.01&lt;/D&gt;&lt;D xsi:type="xsd:double"&gt;3687.26&lt;/D&gt;&lt;D xsi:type="xsd:double"&gt;3694.92&lt;/D&gt;&lt;D xsi:type="xsd:double"&gt;3709.41&lt;/D&gt;&lt;D xsi:type="xsd:double"&gt;3722.48&lt;/D&gt;&lt;D xsi:type="xsd:double"&gt;3701.17&lt;/D&gt;&lt;D xsi:type="xsd:double"&gt;3694.62&lt;/D&gt;&lt;D xsi:type="xsd:double"&gt;3647.49&lt;/D&gt;&lt;D xsi:type="xsd:double"&gt;3663.46&lt;/D&gt;&lt;D xsi:type="xsd:double"&gt;3668.1&lt;/D&gt;&lt;D xsi:type="xsd:double"&gt;3672.82&lt;/D&gt;&lt;D xsi:type="xsd:double"&gt;3702.25&lt;/D&gt;&lt;D xsi:type="xsd:double"&gt;3691.96&lt;/D&gt;&lt;D xsi:type="xsd:double"&gt;3699.12&lt;/D&gt;&lt;D xsi:type="xsd:double"&gt;3666.72&lt;/D&gt;&lt;D xsi:type="xsd:double"&gt;3669.01&lt;/D&gt;&lt;D xsi:type="xsd:double"&gt;3662.45&lt;/D&gt;&lt;D xsi:type="xsd:double"&gt;3621.63&lt;/D&gt;&lt;D xsi:type="xsd:double"&gt;3638.35&lt;/D&gt;&lt;D xsi:type="xsd:double"&gt;3629.65&lt;/D&gt;&lt;D xsi:type="xsd:double"&gt;3635.41&lt;/D&gt;&lt;/FQL&gt;&lt;FQL&gt;&lt;Q&gt;DAL-US^FG_PRICE(NOW,-1AY)&lt;/Q&gt;&lt;R&gt;254&lt;/R&gt;&lt;C&gt;1&lt;/C&gt;&lt;D xsi:type="xsd:double"&gt;36.38&lt;/D&gt;&lt;D xsi:type="xsd:double"&gt;39.69&lt;/D&gt;&lt;D xsi:type="xsd:double"&gt;39.53&lt;/D&gt;&lt;D xsi:type="xsd:double"&gt;39.77&lt;/D&gt;&lt;D xsi:type="xsd:double"&gt;39.69&lt;/D&gt;&lt;D xsi:type="xsd:double"&gt;40.12&lt;/D&gt;&lt;D xsi:type="xsd:double"&gt;40.71&lt;/D&gt;&lt;D xsi:type="xsd:double"&gt;41.04&lt;/D&gt;&lt;D xsi:type="xsd:double"&gt;42.38&lt;/D&gt;&lt;D xsi:type="xsd:double"&gt;42.22&lt;/D&gt;&lt;D xsi:type="xsd:double"&gt;43.45&lt;/D&gt;&lt;D xsi:type="xsd:double"&gt;43.71&lt;/D&gt;&lt;D xsi:type="xsd:double"&gt;44.53&lt;/D&gt;&lt;D xsi:type="xsd:double"&gt;44.65&lt;/D&gt;&lt;D xsi:type="xsd:double"&gt;44.29&lt;/D&gt;&lt;D xsi:type="xsd:double"&gt;40.99&lt;/D&gt;&lt;D xsi:type="xsd:double"&gt;41.24&lt;/D&gt;&lt;D xsi:type="xsd:double"&gt;40.39&lt;/D&gt;&lt;D xsi:type="xsd:double"&gt;40.42&lt;/D&gt;&lt;D xsi:type="xsd:double"&gt;39.13&lt;/D&gt;&lt;D xsi:type="xsd:double"&gt;39.15&lt;/D&gt;&lt;D xsi:type="xsd:double"&gt;39.07&lt;/D&gt;&lt;D xsi:type="xsd:double"&gt;39.71&lt;/D&gt;&lt;D xsi:type="xsd:double"&gt;39.51&lt;/D&gt;&lt;D xsi:type="xsd:double"&gt;39.74&lt;/D&gt;&lt;D xsi:type="xsd:double"&gt;40.4&lt;/D&gt;&lt;D xsi:type="xsd:double"&gt;40.3&lt;/D&gt;&lt;D xsi:type="xsd:double"&gt;40.45&lt;/D&gt;&lt;D xsi:type="xsd:double"&gt;41.01&lt;/D&gt;&lt;D xsi:type="xsd:double"&gt;40.99&lt;/D&gt;&lt;D xsi:type="xsd:double"&gt;41.2&lt;/D&gt;&lt;D xsi:type="xsd:double"&gt;41.03&lt;/D&gt;&lt;D xsi:type="xsd:double"&gt;43.54&lt;/D&gt;&lt;D xsi:type="xsd:double"&gt;43.19&lt;/D&gt;&lt;D xsi:type="xsd:double"&gt;43.38&lt;/D&gt;&lt;D xsi:type="xsd:double"&gt;43.68&lt;/D&gt;&lt;D xsi:type="xsd:double"&gt;44.02&lt;/D&gt;&lt;D xsi:type="xsd:double"&gt;44.74&lt;/D&gt;&lt;D xsi:type="xsd:double"&gt;44.96&lt;/D&gt;&lt;D xsi:type="xsd:double"&gt;45.38&lt;/D&gt;&lt;D xsi:type="xsd:double"&gt;42.61&lt;/D&gt;&lt;D xsi:type="xsd:double"&gt;43.36&lt;/D&gt;&lt;D xsi:type="xsd:double"&gt;43.44&lt;/D&gt;&lt;D xsi:type="xsd:double"&gt;43.78&lt;/D&gt;&lt;D xsi:type="xsd:double"&gt;43.53&lt;/D&gt;&lt;D xsi:type="xsd:double"&gt;42.59&lt;/D&gt;&lt;D xsi:type="xsd:double"&gt;41.59&lt;/D&gt;&lt;D xsi:type="xsd:double"&gt;40.36&lt;/D&gt;&lt;D xsi:type="xsd:double"&gt;40.78&lt;/D&gt;&lt;D xsi:type="xsd:double"&gt;40.11&lt;/D&gt;&lt;D xsi:type="xsd:double"&gt;40.22&lt;/D&gt;&lt;D xsi:type="xsd:double"&gt;39.64&lt;/D&gt;&lt;D xsi:type="xsd:double"&gt;39.44&lt;/D&gt;&lt;D xsi:type="xsd:double"&gt;40.18&lt;/D&gt;&lt;D xsi:type="xsd:double"&gt;39.36&lt;/D&gt;&lt;D xsi:type="xsd:double"&gt;41.09&lt;/D&gt;&lt;D xsi:type="xsd:double"&gt;39.65&lt;/D&gt;&lt;D xsi:type="xsd:double"&gt;40.35&lt;/D&gt;&lt;D xsi:type="xsd:double"&gt;40.25&lt;/D&gt;&lt;D xsi:type="xsd:double"&gt;40.82&lt;/D&gt;&lt;D xsi:type="xsd:double"&gt;40.4&lt;/D&gt;&lt;D xsi:type="xsd:double"&gt;40.44&lt;/D&gt;&lt;D xsi:type="xsd:double"&gt;39.91&lt;/D&gt;&lt;D xsi:type="xsd:double"&gt;41.52&lt;/D&gt;&lt;D xsi:type="xsd:double"&gt;40.77&lt;/D&gt;&lt;D xsi:type="xsd:double"&gt;41.3&lt;/D&gt;&lt;D xsi:type="xsd:double"&gt;40.53&lt;/D&gt;&lt;D xsi:type="xsd:double"&gt;39.21&lt;/D&gt;&lt;D xsi:type="xsd:double"&gt;38.12&lt;/D&gt;&lt;D xsi:type="xsd:double"&gt;37.93&lt;/D&gt;&lt;D xsi:type="xsd:double"&gt;38.65&lt;/D&gt;&lt;D xsi:type="xsd:double"&gt;38.78&lt;/D&gt;&lt;D xsi:type="xsd:double"&gt;39.93&lt;/D&gt;&lt;D xsi:type="xsd:double"&gt;39.9&lt;/D&gt;&lt;D xsi:type="xsd:double"&gt;40.53&lt;/D&gt;&lt;D xsi:type="xsd:double"&gt;41.3&lt;/D&gt;&lt;D xsi:type="xsd:double"&gt;40.46&lt;/D&gt;&lt;D xsi:type="xsd:double"&gt;39.29&lt;/D&gt;&lt;D xsi:type="xsd:double"&gt;40.32&lt;/D&gt;&lt;D xsi:type="xsd:double"&gt;39.99&lt;/D&gt;&lt;D xsi:type="xsd:double"&gt;38.35&lt;/D&gt;&lt;D xsi:type="xsd:double"&gt;39.77&lt;/D&gt;&lt;D xsi:type="xsd:double"&gt;39.45&lt;/D&gt;&lt;D xsi:type="xsd:double"&gt;39.9&lt;/D&gt;&lt;D xsi:type="xsd:double"&gt;41.23&lt;/D&gt;&lt;D xsi:type="xsd:double"&gt;41.3&lt;/D&gt;&lt;D xsi:type="xsd:double"&gt;40.96&lt;/D&gt;&lt;D xsi:type="xsd:double"&gt;41.67&lt;/D&gt;&lt;D xsi:type="xsd:double"&gt;40.41&lt;/D&gt;&lt;D xsi:type="xsd:double"&gt;41.06&lt;/D&gt;&lt;D xsi:type="xsd:double"&gt;41.61&lt;/D&gt;&lt;D xsi:type="xsd:double"&gt;40.66&lt;/D&gt;&lt;D xsi:type="xsd:double"&gt;38.56&lt;/D&gt;&lt;D xsi:type="xsd:double"&gt;40.06&lt;/D&gt;&lt;D xsi:type="xsd:double"&gt;41.35&lt;/D&gt;&lt;D xsi:type="xsd:double"&gt;40.68&lt;/D&gt;&lt;D xsi:type="xsd:double"&gt;41.33&lt;/D&gt;&lt;D xsi:type="xsd:double"&gt;42.85&lt;/D&gt;&lt;D xsi:type="xsd:double"&gt;42.92&lt;/D&gt;&lt;D xsi:type="xsd:double"&gt;42.07&lt;/D&gt;&lt;D xsi:type="xsd:double"&gt;42.54&lt;/D&gt;&lt;D xsi:type="xsd:double"&gt;43.24&lt;/D&gt;&lt;D xsi:type="xsd:double"&gt;44.15&lt;/D&gt;&lt;D xsi:type="xsd:double"&gt;44.23&lt;/D&gt;&lt;D xsi:type="xsd:double"&gt;43.26&lt;/D&gt;&lt;D xsi:type="xsd:double"&gt;42.87&lt;/D&gt;&lt;D xsi:type="xsd:double"&gt;43.12&lt;/D&gt;&lt;D xsi:type="xsd:double"&gt;44.43&lt;/D&gt;&lt;D xsi:type="xsd:double"&gt;44.91&lt;/D&gt;&lt;D xsi:type="xsd:double"&gt;45.27&lt;/D&gt;&lt;D xsi:type="xsd:double"&gt;45.37&lt;/D&gt;&lt;D xsi:type="xsd:double"&gt;45.77&lt;/D&gt;&lt;D xsi:type="xsd:double"&gt;44.96&lt;/D&gt;&lt;D xsi:type="xsd:double"&gt;44.57&lt;/D&gt;&lt;D xsi:type="xsd:double"&gt;45.52&lt;/D&gt;&lt;D xsi:type="xsd:double"&gt;45.53&lt;/D&gt;&lt;D xsi:type="xsd:double"&gt;45.9&lt;/D&gt;&lt;D xsi:type="xsd:double"&gt;46.5&lt;/D&gt;&lt;D xsi:type="xsd:double"&gt;46.28&lt;/D&gt;&lt;D xsi:type="xsd:double"&gt;46.52&lt;/D&gt;&lt;D xsi:type="xsd:double"&gt;47.04&lt;/D&gt;&lt;D xsi:type="xsd:double"&gt;46.08&lt;/D&gt;&lt;D xsi:type="xsd:double"&gt;45.98&lt;/D&gt;&lt;D xsi:type="xsd:double"&gt;46.13&lt;/D&gt;&lt;D xsi:type="xsd:double"&gt;47.77&lt;/D&gt;&lt;D xsi:type="xsd:double"&gt;47.7&lt;/D&gt;&lt;D xsi:type="xsd:double"&gt;47.68&lt;/D&gt;&lt;D xsi:type="xsd:double"&gt;48.05&lt;/D&gt;&lt;D xsi:type="xsd:double"&gt;47.49&lt;/D&gt;&lt;D xsi:type="xsd:double"&gt;46.67&lt;/D&gt;&lt;D xsi:type="xsd:double"&gt;46.17&lt;/D&gt;&lt;D xsi:type="xsd:double"&gt;45.21&lt;/D&gt;&lt;D xsi:type="xsd:double"&gt;45.41&lt;/D&gt;&lt;D xsi:type="xsd:double"&gt;46.14&lt;/D&gt;&lt;D xsi:type="xsd:double"&gt;46.73&lt;/D&gt;&lt;D xsi:type="xsd:double"&gt;46.75&lt;/D&gt;&lt;D xsi:type="xsd:double"&gt;46.31&lt;/D&gt;&lt;D xsi:type="xsd:double"&gt;43.97&lt;/D&gt;&lt;D xsi:type="xsd:double"&gt;43.03&lt;/D&gt;&lt;D xsi:type="xsd:double"&gt;44.52&lt;/D&gt;&lt;D xsi:type="xsd:double"&gt;45.43&lt;/D&gt;&lt;D xsi:type="xsd:double"&gt;46.11&lt;/D&gt;&lt;D xsi:type="xsd:double"&gt;44.93&lt;/D&gt;&lt;D xsi:type="xsd:double"&gt;45.2&lt;/D&gt;&lt;D xsi:type="xsd:double"&gt;44.66&lt;/D&gt;&lt;D xsi:type="xsd:double"&gt;46.57&lt;/D&gt;&lt;D xsi:type="xsd:double"&gt;46.92&lt;/D&gt;&lt;D xsi:type="xsd:double"&gt;46.38&lt;/D&gt;&lt;D xsi:type="xsd:double"&gt;46.44&lt;/D&gt;&lt;D xsi:type="xsd:double"&gt;46.34&lt;/D&gt;&lt;D xsi:type="xsd:double"&gt;46.61&lt;/D&gt;&lt;D xsi:type="xsd:double"&gt;45.8&lt;/D&gt;&lt;D xsi:type="xsd:double"&gt;44.65&lt;/D&gt;&lt;D xsi:type="xsd:double"&gt;45.7&lt;/D&gt;&lt;D xsi:type="xsd:double"&gt;44.45&lt;/D&gt;&lt;D xsi:type="xsd:double"&gt;46.15&lt;/D&gt;&lt;D xsi:type="xsd:double"&gt;46.64&lt;/D&gt;&lt;D xsi:type="xsd:double"&gt;46.82&lt;/D&gt;&lt;D xsi:type="xsd:double"&gt;48.17</t>
        </r>
      </text>
    </comment>
    <comment ref="A14" authorId="0" shapeId="0" xr:uid="{5DA839D7-05FE-4F8B-9A4D-BA4008D24F3C}">
      <text>
        <r>
          <rPr>
            <b/>
            <sz val="9"/>
            <color indexed="81"/>
            <rFont val="Tahoma"/>
            <charset val="1"/>
          </rPr>
          <t>&lt;/D&gt;&lt;D xsi:type="xsd:double"&gt;48.26&lt;/D&gt;&lt;D xsi:type="xsd:double"&gt;48.82&lt;/D&gt;&lt;D xsi:type="xsd:double"&gt;49.27&lt;/D&gt;&lt;D xsi:type="xsd:double"&gt;49.81&lt;/D&gt;&lt;D xsi:type="xsd:double"&gt;50.2&lt;/D&gt;&lt;D xsi:type="xsd:double"&gt;51.65&lt;/D&gt;&lt;D xsi:type="xsd:double"&gt;50.25&lt;/D&gt;&lt;D xsi:type="xsd:double"&gt;48.83&lt;/D&gt;&lt;D xsi:type="xsd:double"&gt;48.28&lt;/D&gt;&lt;D xsi:type="xsd:double"&gt;48.9&lt;/D&gt;&lt;D xsi:type="xsd:double"&gt;47.32&lt;/D&gt;&lt;D xsi:type="xsd:double"&gt;47.66&lt;/D&gt;&lt;D xsi:type="xsd:double"&gt;47.01&lt;/D&gt;&lt;D xsi:type="xsd:double"&gt;45.61&lt;/D&gt;&lt;D xsi:type="xsd:double"&gt;45.64&lt;/D&gt;&lt;D xsi:type="xsd:double"&gt;47.97&lt;/D&gt;&lt;D xsi:type="xsd:double"&gt;49&lt;/D&gt;&lt;D xsi:type="xsd:double"&gt;49.18&lt;/D&gt;&lt;D xsi:type="xsd:double"&gt;50.44&lt;/D&gt;&lt;D xsi:type="xsd:double"&gt;49.39&lt;/D&gt;&lt;D xsi:type="xsd:double"&gt;50.99&lt;/D&gt;&lt;D xsi:type="xsd:double"&gt;49.83&lt;/D&gt;&lt;D xsi:type="xsd:double"&gt;48.32&lt;/D&gt;&lt;D xsi:type="xsd:double"&gt;47.8&lt;/D&gt;&lt;D xsi:type="xsd:double"&gt;47.62&lt;/D&gt;&lt;D xsi:type="xsd:double"&gt;47.88&lt;/D&gt;&lt;D xsi:type="xsd:double"&gt;46.21&lt;/D&gt;&lt;D xsi:type="xsd:double"&gt;46.96&lt;/D&gt;&lt;D xsi:type="xsd:double"&gt;48.35&lt;/D&gt;&lt;D xsi:type="xsd:double"&gt;48.23&lt;/D&gt;&lt;D xsi:type="xsd:double"&gt;48.06&lt;/D&gt;&lt;D xsi:type="xsd:double"&gt;47.94&lt;/D&gt;&lt;D xsi:type="xsd:double"&gt;48.25&lt;/D&gt;&lt;D xsi:type="xsd:double"&gt;49.6&lt;/D&gt;&lt;D xsi:type="xsd:double"&gt;48.34&lt;/D&gt;&lt;D xsi:type="xsd:double"&gt;47.74&lt;/D&gt;&lt;D xsi:type="xsd:double"&gt;45.67&lt;/D&gt;&lt;D xsi:type="xsd:double"&gt;44.38&lt;/D&gt;&lt;D xsi:type="xsd:double"&gt;44.39&lt;/D&gt;&lt;D xsi:type="xsd:double"&gt;44.65&lt;/D&gt;&lt;D xsi:type="xsd:double"&gt;43.29&lt;/D&gt;&lt;D xsi:type="xsd:double"&gt;42.72&lt;/D&gt;&lt;D xsi:type="xsd:double"&gt;42.9&lt;/D&gt;&lt;D xsi:type="xsd:double"&gt;42.51&lt;/D&gt;&lt;D xsi:type="xsd:double"&gt;43.24&lt;/D&gt;&lt;D xsi:type="xsd:double"&gt;41.15&lt;/D&gt;&lt;D xsi:type="xsd:double"&gt;40.93&lt;/D&gt;&lt;D xsi:type="xsd:double"&gt;39.78&lt;/D&gt;&lt;D xsi:type="xsd:double"&gt;38.8&lt;/D&gt;&lt;D xsi:type="xsd:double"&gt;37.82&lt;/D&gt;&lt;D xsi:type="xsd:double"&gt;37.96&lt;/D&gt;&lt;D xsi:type="xsd:double"&gt;40.08&lt;/D&gt;&lt;D xsi:type="xsd:double"&gt;38.52&lt;/D&gt;&lt;D xsi:type="xsd:double"&gt;39.32&lt;/D&gt;&lt;D xsi:type="xsd:double"&gt;38.9&lt;/D&gt;&lt;D xsi:type="xsd:double"&gt;40&lt;/D&gt;&lt;D xsi:type="xsd:double"&gt;40.67&lt;/D&gt;&lt;D xsi:type="xsd:double"&gt;41.62&lt;/D&gt;&lt;D xsi:type="xsd:double"&gt;40.31&lt;/D&gt;&lt;D xsi:type="xsd:double"&gt;39.98&lt;/D&gt;&lt;D xsi:type="xsd:double"&gt;41.47&lt;/D&gt;&lt;D xsi:type="xsd:double"&gt;40.45&lt;/D&gt;&lt;D xsi:type="xsd:double"&gt;40.3&lt;/D&gt;&lt;D xsi:type="xsd:double"&gt;39.41&lt;/D&gt;&lt;D xsi:type="xsd:double"&gt;40.02&lt;/D&gt;&lt;D xsi:type="xsd:double"&gt;40.23&lt;/D&gt;&lt;D xsi:type="xsd:double"&gt;40.38&lt;/D&gt;&lt;D xsi:type="xsd:double"&gt;39.55&lt;/D&gt;&lt;D xsi:type="xsd:double"&gt;38.73&lt;/D&gt;&lt;D xsi:type="xsd:double"&gt;40.21&lt;/D&gt;&lt;D xsi:type="xsd:double"&gt;40.56&lt;/D&gt;&lt;D xsi:type="xsd:double"&gt;40.03&lt;/D&gt;&lt;D xsi:type="xsd:double"&gt;40.15&lt;/D&gt;&lt;D xsi:type="xsd:double"&gt;39.73&lt;/D&gt;&lt;D xsi:type="xsd:double"&gt;40.24&lt;/D&gt;&lt;D xsi:type="xsd:double"&gt;38.94&lt;/D&gt;&lt;D xsi:type="xsd:double"&gt;40.14&lt;/D&gt;&lt;D xsi:type="xsd:double"&gt;40.68&lt;/D&gt;&lt;D xsi:type="xsd:double"&gt;41.11&lt;/D&gt;&lt;D xsi:type="xsd:double"&gt;41.08&lt;/D&gt;&lt;D xsi:type="xsd:double"&gt;41.85&lt;/D&gt;&lt;D xsi:type="xsd:double"&gt;40.69&lt;/D&gt;&lt;D xsi:type="xsd:double"&gt;41.74&lt;/D&gt;&lt;D xsi:type="xsd:double"&gt;42.62&lt;/D&gt;&lt;D xsi:type="xsd:double"&gt;42.11&lt;/D&gt;&lt;D xsi:type="xsd:double"&gt;42.41&lt;/D&gt;&lt;D xsi:type="xsd:double"&gt;42.35&lt;/D&gt;&lt;D xsi:type="xsd:double"&gt;42.36&lt;/D&gt;&lt;D xsi:type="xsd:double"&gt;42.95&lt;/D&gt;&lt;D xsi:type="xsd:double"&gt;41.07&lt;/D&gt;&lt;D xsi:type="xsd:double"&gt;39.96&lt;/D&gt;&lt;D xsi:type="xsd:double"&gt;40.25&lt;/D&gt;&lt;D xsi:type="xsd:double"&gt;41.06&lt;/D&gt;&lt;D xsi:type="xsd:double"&gt;41.29&lt;/D&gt;&lt;D xsi:type="xsd:double"&gt;41.26&lt;/D&gt;&lt;/FQL&gt;&lt;FQL&gt;&lt;Q&gt;DAL-US^FG_COMPANY_NAME()&lt;/Q&gt;&lt;R&gt;1&lt;/R&gt;&lt;C&gt;1&lt;/C&gt;&lt;D xsi:type="xsd:string"&gt;Delta Air Lines, Inc.&lt;/D&gt;&lt;/FQL&gt;&lt;FQL&gt;&lt;Q&gt;AC-CA^FG_COMPANY_NAME()&lt;/Q&gt;&lt;R&gt;1&lt;/R&gt;&lt;C&gt;1&lt;/C&gt;&lt;D xsi:type="xsd:string"&gt;Air Canada&lt;/D&gt;&lt;/FQL&gt;&lt;FQL&gt;&lt;Q&gt;AAL-US^FG_COMPANY_NAME()&lt;/Q&gt;&lt;R&gt;1&lt;/R&gt;&lt;C&gt;1&lt;/C&gt;&lt;D xsi:type="xsd:string"&gt;American Airlines Group, Inc.&lt;/D&gt;&lt;/FQL&gt;&lt;FQL&gt;&lt;Q&gt;LUV-US^FG_COMPANY_NAME()&lt;/Q&gt;&lt;R&gt;1&lt;/R&gt;&lt;C&gt;1&lt;/C&gt;&lt;D xsi:type="xsd:string"&gt;Southwest Airlines Co.&lt;/D&gt;&lt;/FQL&gt;&lt;FQL&gt;&lt;Q&gt;ALK-US^FG_COMPANY_NAME()&lt;/Q&gt;&lt;R&gt;1&lt;/R&gt;&lt;C&gt;1&lt;/C&gt;&lt;D xsi:type="xsd:string"&gt;Alaska Air Group, Inc.&lt;/D&gt;&lt;/FQL&gt;&lt;FQL&gt;&lt;Q&gt;SKYW-US^FG_COMPANY_NAME()&lt;/Q&gt;&lt;R&gt;1&lt;/R&gt;&lt;C&gt;1&lt;/C&gt;&lt;D xsi:type="xsd:string"&gt;SkyWest, Inc&lt;/D&gt;&lt;/FQL&gt;&lt;FQL&gt;&lt;Q&gt;DAL-US^FF_COM_SHS_OUT_EPS_DIL(ANN_R,0)&lt;/Q&gt;&lt;R&gt;1&lt;/R&gt;&lt;C&gt;1&lt;/C&gt;&lt;D xsi:type="xsd:double"&gt;636&lt;/D&gt;&lt;/FQL&gt;&lt;FQL&gt;&lt;Q&gt;AC-CA^FF_COM_SHS_OUT_EPS_DIL(ANN_R,0)&lt;/Q&gt;&lt;R&gt;1&lt;/R&gt;&lt;C&gt;1&lt;/C&gt;&lt;D xsi:type="xsd:double"&gt;282&lt;/D&gt;&lt;/FQL&gt;&lt;FQL&gt;&lt;Q&gt;AAL-US^FF_COM_SHS_OUT_EPS_DIL(ANN_R,0)&lt;/Q&gt;&lt;R&gt;1&lt;/R&gt;&lt;C&gt;1&lt;/C&gt;&lt;D xsi:type="xsd:double"&gt;483.888&lt;/D&gt;&lt;/FQL&gt;&lt;FQL&gt;&lt;Q&gt;LUV-US^FF_COM_SHS_OUT_EPS_DIL(ANN_R,0)&lt;/Q&gt;&lt;R&gt;1&lt;/R&gt;&lt;C&gt;1&lt;/C&gt;&lt;D xsi:type="xsd:double"&gt;565&lt;/D&gt;&lt;/FQL&gt;&lt;FQL&gt;&lt;Q&gt;ALK-US^FF_COM_SHS_OUT_EPS_DIL(ANN_R,0)&lt;/Q&gt;&lt;R&gt;1&lt;/R&gt;&lt;C&gt;1&lt;/C&gt;&lt;D xsi:type="xsd:double"&gt;123.45&lt;/D&gt;&lt;/FQL&gt;&lt;FQL&gt;&lt;Q&gt;SKYW-US^FF_COM_SHS_OUT_EPS_DIL(ANN_R,0)&lt;/Q&gt;&lt;R&gt;1&lt;/R&gt;&lt;C&gt;1&lt;/C&gt;&lt;D xsi:type="xsd:double"&gt;50.195&lt;/D&gt;&lt;/FQL&gt;&lt;FQL&gt;&lt;Q&gt;DAL-US^FF_NET_INC(ANN_R,0)&lt;/Q&gt;&lt;R&gt;1&lt;/R&gt;&lt;C&gt;1&lt;/C&gt;&lt;D xsi:type="xsd:double"&gt;-12385&lt;/D&gt;&lt;/FQL&gt;&lt;FQL&gt;&lt;Q&gt;AC-CA^FF_NET_INC(ANN_R,0)&lt;/Q&gt;&lt;R&gt;1&lt;/R&gt;&lt;C&gt;1&lt;/C&gt;&lt;D xsi:type="xsd:double"&gt;-4647&lt;/D&gt;&lt;/FQL&gt;&lt;FQL&gt;&lt;Q&gt;AAL-US^FF_NET_INC(ANN_R,0)&lt;/Q&gt;&lt;R&gt;1&lt;/R&gt;&lt;C&gt;1&lt;/C&gt;&lt;D xsi:type="xsd:double"&gt;-8885&lt;/D&gt;&lt;/FQL&gt;&lt;FQL&gt;&lt;Q&gt;LUV-US^FF_NET_INC(ANN_R,0)&lt;/Q&gt;&lt;R&gt;1&lt;/R&gt;&lt;C&gt;1&lt;/C&gt;&lt;D xsi:type="xsd:double"&gt;-3074&lt;/D&gt;&lt;/FQL&gt;&lt;FQL&gt;&lt;Q&gt;ALK-US^FF_NET_INC(ANN_R,0)&lt;/Q&gt;&lt;R&gt;1&lt;/R&gt;&lt;C&gt;1&lt;/C&gt;&lt;D xsi:type="xsd:double"&gt;-1324&lt;/D&gt;&lt;/FQL&gt;&lt;FQL&gt;&lt;Q&gt;SKYW-US^FF_NET_INC(ANN_R,0)&lt;/Q&gt;&lt;R&gt;1&lt;/R&gt;&lt;C&gt;1&lt;/C&gt;&lt;D xsi:type="xsd:double"&gt;-8.515&lt;/D&gt;&lt;/FQL&gt;&lt;FQL&gt;&lt;Q&gt;DAL-US^FF_PAY_OUT_RATIO(ANN_R,0)&lt;/Q&gt;&lt;R&gt;0&lt;/R&gt;&lt;C&gt;0&lt;/C&gt;&lt;/FQL&gt;&lt;FQL&gt;&lt;Q&gt;AC-CA^FF_PAY_OUT_RATIO(ANN_R,0)&lt;/Q&gt;&lt;R&gt;0&lt;/R&gt;&lt;C&gt;0&lt;/C&gt;&lt;/FQL&gt;&lt;FQL&gt;&lt;Q&gt;AAL-US^FF_PAY_OUT_RATIO(ANN_R,0)&lt;/Q&gt;&lt;R&gt;0&lt;/R&gt;&lt;C&gt;0&lt;/C&gt;&lt;/FQL&gt;&lt;FQL&gt;&lt;Q&gt;LUV-US^FF_PAY_OUT_RATIO(ANN_R,0)&lt;/Q&gt;&lt;R&gt;0&lt;/R&gt;&lt;C&gt;0&lt;/C&gt;&lt;/FQL&gt;&lt;FQL&gt;&lt;Q&gt;ALK-US^FF_PAY_OUT_RATIO(ANN_R,0)&lt;/Q&gt;&lt;R&gt;0&lt;/R&gt;&lt;C&gt;0&lt;/C&gt;&lt;/FQL&gt;&lt;FQL&gt;&lt;Q&gt;SKYW-US^FF_PAY_OUT_RATIO(ANN_R,0)&lt;/Q&gt;&lt;R&gt;0&lt;/R&gt;&lt;C&gt;0&lt;/C&gt;&lt;/FQL&gt;&lt;FQL&gt;&lt;Q&gt;AAL-US^FF_ROE(ANN_R,0)&lt;/Q&gt;&lt;R&gt;0&lt;/R&gt;&lt;C&gt;0&lt;/C&gt;&lt;/FQL&gt;&lt;FQL&gt;&lt;Q&gt;LUV-US^FF_ROE(ANN_R,0)&lt;/Q&gt;&lt;R&gt;1&lt;/R&gt;&lt;C&gt;1&lt;/C&gt;&lt;D xsi:type="xsd:double"&gt;-32.8629463331195&lt;/D&gt;&lt;/FQL&gt;&lt;FQL&gt;&lt;Q&gt;ALK-US^FF_ROE(ANN_R,0)&lt;/Q&gt;&lt;R&gt;1&lt;/R&gt;&lt;C&gt;1&lt;/C&gt;&lt;D xsi:type="xsd:double"&gt;-36.1798059844241&lt;/D&gt;&lt;/FQL&gt;&lt;FQL&gt;&lt;Q&gt;SKYW-US^FF_ROE(ANN_R,0)&lt;/Q&gt;&lt;R&gt;1&lt;/R&gt;&lt;C&gt;1&lt;/C&gt;&lt;D xsi:type="xsd:double"&gt;-0.394710096675002&lt;/D&gt;&lt;/FQL&gt;&lt;FQL&gt;&lt;Q&gt;DAL-US^FF_PE(ANN_R,0)&lt;/Q&gt;&lt;R&gt;0&lt;/R&gt;&lt;C&gt;0&lt;/C&gt;&lt;/FQL&gt;&lt;FQL&gt;&lt;Q&gt;AC-CA^FF_PE(ANN_R,0)&lt;/Q&gt;&lt;R&gt;0&lt;/R&gt;&lt;C&gt;0&lt;/C&gt;&lt;/FQL&gt;&lt;FQL&gt;&lt;Q&gt;AAL-US^FF_PE(ANN_R,0)&lt;/Q&gt;&lt;R&gt;0&lt;/R&gt;&lt;C&gt;0&lt;/C&gt;&lt;/FQL&gt;&lt;FQL&gt;&lt;Q&gt;LUV-US^FF_PE(ANN_R,0)&lt;/Q&gt;&lt;R&gt;0&lt;/R&gt;&lt;C&gt;0&lt;/C&gt;&lt;/FQL&gt;&lt;FQL&gt;&lt;Q&gt;ALK-US^FF_PE(ANN_R,0)&lt;/Q&gt;&lt;R&gt;0&lt;/R&gt;&lt;C&gt;0&lt;/C&gt;&lt;/FQL&gt;&lt;FQL&gt;&lt;Q&gt;SKYW-US^FF_PE(ANN_R,0)&lt;/Q&gt;&lt;R&gt;0&lt;/R&gt;&lt;C&gt;0&lt;/C&gt;&lt;/FQL&gt;&lt;FQL&gt;&lt;Q&gt;DAL-US^FF_ENTRPR_VAL_EBITDA_OPER(ANN_R,0)&lt;/Q&gt;&lt;R&gt;0&lt;/R&gt;&lt;C&gt;0&lt;/C&gt;&lt;/FQL&gt;&lt;FQL&gt;&lt;Q&gt;AC-CA^FF_ENTRPR_VAL_EBITDA_OPER(ANN_R,0)&lt;/Q&gt;&lt;R&gt;0&lt;/R&gt;&lt;C&gt;0&lt;/C&gt;&lt;/FQL&gt;&lt;FQL&gt;&lt;Q&gt;AAL-US^FF_ENTRPR_VAL_EBITDA_OPER(ANN_R,0)&lt;/Q&gt;&lt;R&gt;0&lt;/R&gt;&lt;C&gt;0&lt;/C&gt;&lt;/FQL&gt;&lt;FQL&gt;&lt;Q&gt;LUV-US^FF_ENTRPR_VAL_EBITDA_OPER(ANN_R,0)&lt;/Q&gt;&lt;R&gt;0&lt;/R&gt;&lt;C&gt;0&lt;/C&gt;&lt;/FQL&gt;&lt;FQL&gt;&lt;Q&gt;ALK-US^FF_ENTRPR_VAL_EBITDA_OPER(ANN_R,0)&lt;/Q&gt;&lt;R&gt;0&lt;/R&gt;&lt;C&gt;0&lt;/C&gt;&lt;/FQL&gt;&lt;FQL&gt;&lt;Q&gt;SKYW-US^FF_ENTRPR_VAL_EBITDA_OPER(ANN_R,0)&lt;/Q&gt;&lt;R&gt;1&lt;/R&gt;&lt;C&gt;1&lt;/C&gt;&lt;D xsi:type="xsd:double"&gt;18.4712655810635&lt;/D&gt;&lt;/FQL&gt;&lt;FQL&gt;&lt;Q&gt;DAL-US^FF_ENTRPR_VAL_EBIT_OPER(ANN_R,0)&lt;/Q&gt;&lt;R&gt;0&lt;/R&gt;&lt;C&gt;0&lt;/C&gt;&lt;/FQL&gt;&lt;FQL&gt;&lt;Q&gt;AC-CA^FF_ENTRPR_VAL_EBIT_OPER(ANN_R,0)&lt;/Q&gt;&lt;R&gt;0&lt;/R&gt;&lt;C&gt;0&lt;/C&gt;&lt;/FQL&gt;&lt;FQL&gt;&lt;Q&gt;AAL-US^FF_ENTRPR_VAL_EBIT_OPER(ANN_R,0)&lt;/Q&gt;&lt;R&gt;0&lt;/R&gt;&lt;C&gt;0&lt;/C&gt;&lt;/FQL&gt;&lt;FQL&gt;&lt;Q&gt;LUV-US^FF_ENTRPR_VAL_EBIT_OPER(ANN_R,0)&lt;/Q&gt;&lt;R&gt;0&lt;/R&gt;&lt;C&gt;0&lt;/C&gt;&lt;/FQL&gt;&lt;FQL&gt;&lt;Q&gt;ALK-US^FF_ENTRPR_VAL_EBIT_OPER(ANN_R,0)&lt;/Q&gt;&lt;R&gt;0&lt;/R&gt;&lt;C&gt;0&lt;/C&gt;&lt;/FQL&gt;&lt;FQL&gt;&lt;Q&gt;SKYW-US^FF_ENTRPR_VAL_EBIT_OPER(ANN_R,0)&lt;/Q&gt;&lt;R&gt;0&lt;/R&gt;&lt;C&gt;0&lt;/C&gt;&lt;/FQL&gt;&lt;FQL&gt;&lt;Q&gt;DAL-US^FF_EBITDA_OPER(ANN_R,0)&lt;/Q&gt;&lt;R&gt;1&lt;/R&gt;&lt;C&gt;1&lt;/C&gt;&lt;D xsi:type="xsd:double"&gt;-5969&lt;/D&gt;&lt;/FQL&gt;&lt;FQL&gt;&lt;Q&gt;AC-CA^FF_EBITDA_OPER(ANN_R,0)&lt;/Q&gt;&lt;R&gt;1&lt;/R&gt;&lt;C&gt;1&lt;/C&gt;&lt;D xsi:type="xsd:double"&gt;-2057&lt;/D&gt;&lt;/FQL&gt;&lt;FQL&gt;&lt;Q&gt;AAL-US^FF_EBITDA_OPER(ANN_R,0)&lt;/Q&gt;&lt;R&gt;1&lt;/R&gt;&lt;C&gt;1&lt;/C&gt;&lt;D xsi:type="xsd:double"&gt;-9022&lt;/D&gt;&lt;/FQL&gt;&lt;FQL&gt;&lt;Q&gt;LUV-US^FF_EBITDA_OPER(ANN_R,0)&lt;/Q&gt;&lt;R&gt;1&lt;/R&gt;&lt;C&gt;1&lt;/C&gt;&lt;D xsi:type="xsd:double"&gt;-3458&lt;/D&gt;&lt;/FQL&gt;&lt;FQL&gt;&lt;Q&gt;ALK-US^FF_EBITDA_OPER(ANN_R,0)&lt;/Q&gt;&lt;R&gt;1&lt;/R&gt;&lt;C&gt;1&lt;/C&gt;&lt;D xsi:type="xsd:double"&gt;-1271&lt;/D&gt;&lt;/FQL&gt;&lt;FQL&gt;&lt;Q&gt;SKYW-US^FF_EBITDA_OPER(ANN_R,0)&lt;/Q&gt;&lt;R&gt;1&lt;/R&gt;&lt;C&gt;1&lt;/C&gt;&lt;D xsi:type="xsd:double"&gt;238.27&lt;/D&gt;&lt;/FQL&gt;&lt;FQL&gt;&lt;Q&gt;DAL-US^FF_MIN_INT_ACCUM(ANN_R,0)&lt;/Q&gt;&lt;R&gt;1&lt;/R&gt;&lt;C&gt;1&lt;/C&gt;&lt;D xsi:type="xsd:double"&gt;0&lt;/D&gt;&lt;/FQL&gt;&lt;FQL&gt;&lt;Q&gt;AC-CA^FF_MIN_INT_ACCUM(ANN_R,0)&lt;/Q&gt;&lt;R&gt;1&lt;/R&gt;&lt;C&gt;1&lt;/C&gt;&lt;D xsi:type="xsd:double"&gt;0&lt;/D&gt;&lt;/FQL&gt;&lt;FQL&gt;&lt;Q&gt;AAL-US^FF_MIN_INT_ACCUM(ANN_R,0)&lt;/Q&gt;&lt;R&gt;1&lt;/R&gt;&lt;C&gt;1&lt;/C&gt;&lt;D xsi:type="xsd:double"&gt;0&lt;/D&gt;&lt;/FQL&gt;&lt;FQL&gt;&lt;Q&gt;LUV-US^FF_MIN_INT_ACCUM(ANN_R,0)&lt;/Q&gt;&lt;R&gt;1&lt;/R&gt;&lt;C&gt;1&lt;/C&gt;&lt;D xsi:type="xsd:double"&gt;0&lt;/D&gt;&lt;/FQL&gt;&lt;FQL&gt;&lt;Q&gt;ALK-US^FF_MIN_INT_ACCUM(ANN_R,0)&lt;/Q&gt;&lt;R&gt;1&lt;/R&gt;&lt;C&gt;1&lt;/C&gt;&lt;D xsi:type="xsd:double"&gt;0&lt;/D&gt;&lt;/FQL&gt;&lt;FQL&gt;&lt;Q&gt;SKYW-US^FF_MIN_INT_ACCUM(ANN_R,0)&lt;/Q&gt;&lt;R&gt;1&lt;/R&gt;&lt;C&gt;1&lt;/C&gt;&lt;D xsi:type="xsd:double"&gt;0&lt;/D&gt;&lt;/FQL&gt;&lt;FQL&gt;&lt;Q&gt;DAL-US^FF_PFD_STK(ANN_R,0)&lt;/Q&gt;&lt;R&gt;1&lt;/R&gt;&lt;C&gt;1&lt;/C&gt;&lt;D xsi:type="xsd:double"&gt;0&lt;/D&gt;&lt;/FQL&gt;&lt;FQL&gt;&lt;Q&gt;AC-CA^FF_PFD_STK(ANN_R,0)&lt;/Q&gt;&lt;R&gt;1&lt;/R&gt;&lt;C&gt;1&lt;/C&gt;&lt;D xsi:type="xsd:double"&gt;0&lt;/D&gt;&lt;/FQL&gt;&lt;FQL&gt;&lt;Q&gt;AAL-US^FF_PFD_STK(ANN_R,0)&lt;/Q&gt;&lt;R&gt;1&lt;/R&gt;&lt;C&gt;1&lt;/C&gt;&lt;D xsi:type="xsd:double"&gt;0&lt;/D&gt;&lt;/FQL&gt;&lt;FQL&gt;&lt;Q&gt;LUV-US^FF_PFD_STK(ANN_R,0)&lt;/Q&gt;&lt;R&gt;1&lt;/R&gt;&lt;C&gt;1&lt;/C&gt;&lt;D xsi:type="xsd:double"&gt;0&lt;/D&gt;&lt;/FQL&gt;&lt;FQL&gt;&lt;Q&gt;ALK-US^FF_PFD_STK(ANN_R,0)&lt;/Q&gt;&lt;R&gt;1&lt;/R&gt;&lt;C&gt;1&lt;/C&gt;&lt;D xsi:type="xsd:double"&gt;0&lt;/D&gt;&lt;/FQL&gt;&lt;FQL&gt;&lt;Q&gt;SKYW-US^FF_PFD_STK(ANN_R,0)&lt;/Q&gt;&lt;R&gt;1&lt;/R&gt;&lt;C&gt;1&lt;/C&gt;&lt;D xsi:type="xsd:double"&gt;0&lt;/D&gt;&lt;/FQL&gt;&lt;FQL&gt;&lt;Q&gt;DAL-US^FF_DEBT(ANN_R,0)&lt;/Q&gt;&lt;R&gt;1&lt;/R&gt;&lt;C&gt;1&lt;/C&gt;&lt;D xsi:type="xsd:double"&gt;35548&lt;/D&gt;&lt;/FQL&gt;&lt;FQL&gt;&lt;Q&gt;AC-CA^FF_DEBT(ANN_R,0)&lt;/Q&gt;&lt;R&gt;1&lt;/R&gt;&lt;C&gt;1&lt;/C&gt;&lt;D xsi:type="xsd:double"&gt;12989&lt;/D&gt;&lt;/FQL&gt;&lt;FQL&gt;&lt;Q&gt;AAL-US^FF_DEBT(ANN_R,0)&lt;/Q&gt;&lt;R&gt;1&lt;/R&gt;&lt;C&gt;1&lt;/C&gt;&lt;D xsi:type="xsd:double"&gt;41021&lt;/D&gt;&lt;/FQL&gt;&lt;FQL&gt;&lt;Q&gt;LUV-US^FF_DEBT(ANN_R,0)&lt;/Q&gt;&lt;R&gt;1&lt;/R&gt;&lt;C&gt;1&lt;/C&gt;&lt;D xsi:type="xsd:double"&gt;12199&lt;/D&gt;&lt;/FQL&gt;&lt;FQL&gt;&lt;Q&gt;ALK-US^FF_DEBT(ANN_R,0)&lt;/Q&gt;&lt;R&gt;1&lt;/R&gt;&lt;C&gt;1&lt;/C&gt;&lt;D xsi:type="xsd:double"&gt;5053&lt;/D&gt;&lt;/FQL&gt;&lt;FQL&gt;&lt;Q&gt;SKYW-US^FF_DEBT(ANN_R,0)&lt;/Q&gt;&lt;R&gt;1&lt;/R&gt;&lt;C&gt;1&lt;/C&gt;&lt;D xsi:type="xsd:double"&gt;3492.182&lt;/D&gt;&lt;/FQL&gt;&lt;FQL&gt;&lt;Q&gt;DAL-US^FF_CASH_ST(ANN_R,0)&lt;/Q&gt;&lt;R&gt;1&lt;/R&gt;&lt;C&gt;1&lt;/C&gt;&lt;D xsi:type="xsd:double"&gt;14288&lt;/D&gt;&lt;/FQL&gt;&lt;FQL&gt;&lt;Q&gt;AC-CA^FF_CASH_ST(ANN_R,0)&lt;/Q&gt;&lt;R&gt;1&lt;/R&gt;&lt;C&gt;1&lt;/C&gt;&lt;D xsi:type="xsd:double"&gt;7607&lt;/D&gt;&lt;/FQL&gt;&lt;FQL&gt;&lt;Q&gt;AAL-US^FF_CASH_ST(ANN_R,0)&lt;/Q&gt;&lt;R&gt;1&lt;/R&gt;&lt;C&gt;1&lt;/C&gt;&lt;D xsi:type="xsd:double"&gt;7473&lt;/D&gt;&lt;/FQL&gt;&lt;FQL&gt;&lt;Q&gt;LUV-US^FF_CASH_ST(ANN_R,0)&lt;/Q&gt;&lt;R&gt;1&lt;/R&gt;&lt;C&gt;1&lt;/C&gt;&lt;D xsi:type="xsd:double"&gt;13334&lt;/D&gt;&lt;/FQL&gt;&lt;FQL&gt;&lt;Q&gt;ALK-US^FF_CASH_ST(ANN_R,0)&lt;/Q&gt;&lt;R&gt;1&lt;/R&gt;&lt;C&gt;1&lt;/C&gt;&lt;D xsi:type="xsd:double"&gt;3346&lt;/D&gt;&lt;/FQL&gt;&lt;FQL&gt;&lt;Q&gt;SKYW-US^FF_CASH_ST(ANN_R,0)&lt;/Q&gt;&lt;R&gt;1&lt;/R&gt;&lt;C&gt;1&lt;/C&gt;&lt;D xsi:type="xsd:double"&gt;825.908&lt;/D&gt;&lt;/FQL&gt;&lt;FQL&gt;&lt;Q&gt;AC-CA^FG_PRICE(0)&lt;/Q&gt;&lt;R&gt;1&lt;/R&gt;&lt;C&gt;1&lt;/C&gt;&lt;D xsi:type="xsd:double"&gt;23.32&lt;/D&gt;&lt;/FQL&gt;&lt;FQL&gt;&lt;Q&gt;AAL-US^FG_PRICE(0)&lt;/Q&gt;&lt;R&gt;1&lt;/R&gt;&lt;C&gt;1&lt;/C&gt;&lt;D xsi:type="xsd:double"&gt;19.46&lt;/D&gt;&lt;/FQL&gt;&lt;FQL&gt;&lt;Q&gt;LUV-US^FG_PRICE(0)&lt;/Q&gt;&lt;R&gt;1&lt;/R&gt;&lt;C&gt;1&lt;/C&gt;&lt;D xsi:type="xsd:double"&gt;46.99&lt;/D&gt;&lt;/FQL&gt;&lt;FQL&gt;&lt;Q&gt;ALK-US^FG_PRICE(0)&lt;/Q&gt;&lt;R&gt;1&lt;/R&gt;&lt;C&gt;1&lt;/C&gt;&lt;D xsi:type="xsd:double"&gt;52.91&lt;/D&gt;&lt;/FQL&gt;&lt;FQL&gt;&lt;Q&gt;SKYW-US^FG_PRICE(0)&lt;/Q&gt;&lt;R&gt;1&lt;/R&gt;&lt;C&gt;1&lt;/C&gt;&lt;D xsi:type="xsd:double"&gt;44.23&lt;/D&gt;&lt;/FQL&gt;&lt;FQL&gt;&lt;Q&gt;DAL-US^FF_CAPEX(ANN_R,0)&lt;/Q&gt;&lt;R&gt;1&lt;/R&gt;&lt;C&gt;1&lt;/C&gt;&lt;D xsi:type="xsd:double"&gt;1899&lt;/D&gt;&lt;/FQL&gt;&lt;FQL&gt;&lt;Q&gt;DAL-US^FF_INVEN(ANN_R,-1)&lt;/Q&gt;&lt;R&gt;1&lt;/R&gt;&lt;C&gt;1&lt;/C&gt;&lt;D xsi:type="xsd:double"&gt;1251&lt;/D&gt;&lt;/FQL&gt;&lt;FQL&gt;&lt;Q&gt;DAL-US^FF_INVEN(ANN_R,0)&lt;/Q&gt;&lt;R&gt;1&lt;/R&gt;&lt;C&gt;1&lt;/C&gt;&lt;D xsi:type="xsd:double"&gt;732&lt;/D&gt;&lt;/FQL&gt;&lt;FQL&gt;&lt;Q&gt;DAL-US^FF_PAY_ACCT(ANN_R,-1)&lt;/Q&gt;&lt;R&gt;1&lt;/R&gt;&lt;C&gt;1&lt;/C&gt;&lt;D xsi:type="xsd:double"&gt;3266&lt;/D&gt;&lt;/FQL&gt;&lt;FQL&gt;&lt;Q&gt;DAL-US^FF_PAY_ACCT(ANN_R,0)&lt;/Q&gt;&lt;R&gt;1&lt;/R&gt;&lt;C&gt;1&lt;/C&gt;&lt;D xsi:type="xsd:double"&gt;2840&lt;/D&gt;&lt;/FQL&gt;&lt;FQL&gt;&lt;Q&gt;AC-CA^FF_SALES(ANN_R,0)&lt;/Q&gt;&lt;R&gt;1&lt;/R&gt;&lt;C&gt;1&lt;/C&gt;&lt;D xsi:type="xsd:double"&gt;5833&lt;/D&gt;&lt;/FQL&gt;&lt;FQL&gt;&lt;Q&gt;AAL-US^FF_SALES(ANN_R,0)&lt;/Q&gt;&lt;R&gt;1&lt;/R&gt;&lt;C&gt;1&lt;/C&gt;&lt;D xsi:type="xsd:double"&gt;17337&lt;/D&gt;&lt;/FQL&gt;&lt;FQL&gt;&lt;Q&gt;LUV-US^FF_SALES(ANN_R,0)&lt;/Q&gt;&lt;R&gt;1&lt;/R&gt;&lt;C&gt;1&lt;/C&gt;&lt;D xsi:type="xsd:double"&gt;9048&lt;/D&gt;&lt;/FQL&gt;&lt;FQL&gt;&lt;Q&gt;ALK-US^FF_SALES(ANN_R,0)&lt;/Q&gt;&lt;R&gt;1&lt;/R&gt;&lt;C&gt;1&lt;/C&gt;&lt;D xsi:type="xsd:double"&gt;3566&lt;/D&gt;&lt;/FQL&gt;&lt;FQL&gt;&lt;Q&gt;SKYW-US^FF_SALES(ANN_R,0)&lt;/Q&gt;&lt;R&gt;1&lt;/R&gt;&lt;C&gt;1&lt;/C&gt;&lt;D xsi:type="xsd:double"&gt;2127.106&lt;/D&gt;&lt;/FQL&gt;&lt;FQL&gt;&lt;Q&gt;DAL-US^FF_COGS(ANN_R,0)&lt;/Q&gt;&lt;R&gt;1&lt;/R&gt;&lt;C&gt;1&lt;/C&gt;&lt;D xsi:type="xsd:double"&gt;23631&lt;/D&gt;&lt;/FQL&gt;&lt;FQL&gt;&lt;Q&gt;AC-CA^FF_COGS(ANN_R,0)&lt;/Q&gt;&lt;R&gt;1&lt;/R&gt;&lt;C&gt;1&lt;/C&gt;&lt;D xsi:type="xsd:double"&gt;7660&lt;/D&gt;&lt;/FQL&gt;&lt;FQL&gt;&lt;Q&gt;AAL-US^FF_COGS(ANN_R,0)&lt;/Q&gt;&lt;R&gt;1&lt;/R&gt;&lt;C&gt;1&lt;/C&gt;&lt;D xsi:type="xsd:double"&gt;24655&lt;/D&gt;&lt;/FQL&gt;&lt;FQL&gt;&lt;Q&gt;LUV-US^FF_COGS(ANN_R,0)&lt;/Q&gt;&lt;R&gt;1&lt;/R&gt;&lt;C&gt;1&lt;/C&gt;&lt;D xsi:type="xsd:double"&gt;11835&lt;/D&gt;&lt;/FQL&gt;&lt;FQL&gt;&lt;Q&gt;ALK-US^FF_COGS(ANN_R,0)&lt;/Q&gt;&lt;R&gt;1&lt;/R&gt;&lt;C&gt;1&lt;/C&gt;&lt;D xsi:type="xsd:double"&gt;4749&lt;/D&gt;&lt;/FQL&gt;&lt;FQL&gt;&lt;Q&gt;SKYW-US^FF_COGS(ANN_R,0)&lt;/Q&gt;&lt;R&gt;1&lt;/R&gt;&lt;C&gt;1&lt;/C&gt;&lt;D xsi:type="xsd:double"&gt;2140.998&lt;/D&gt;&lt;/FQL&gt;&lt;FQL&gt;&lt;Q&gt;DAL-US^FF_SGA(ANN_R,0)&lt;/Q&gt;&lt;R&gt;1&lt;/R&gt;&lt;C&gt;1&lt;/C&gt;&lt;D xsi:type="xsd:double"&gt;582&lt;/D&gt;&lt;/FQL&gt;&lt;FQL&gt;&lt;Q&gt;AC-CA^FF_SGA(ANN_R,0)&lt;/Q&gt;&lt;R&gt;1&lt;/R&gt;&lt;C&gt;1&lt;/C&gt;&lt;D xsi:type="xsd:double"&gt;2051&lt;/D&gt;&lt;/FQL&gt;&lt;FQL&gt;&lt;Q&gt;AAL-US^FF_SGA(ANN_R,0)&lt;/Q&gt;&lt;R&gt;1&lt;/R&gt;&lt;C&gt;1&lt;/C&gt;&lt;D xsi:type="xsd:double"&gt;666&lt;/D&gt;&lt;/FQL&gt;&lt;FQL&gt;&lt;Q&gt;LUV-US^FF_SGA(ANN_R,0)&lt;/Q&gt;&lt;R&gt;1&lt;/R&gt;&lt;C&gt;1&lt;/C&gt;&lt;D xsi:type="xsd:double"&gt;1926&lt;/D&gt;&lt;/FQL&gt;&lt;FQL&gt;&lt;Q&gt;ALK-US^FF_SGA(ANN_R,0)&lt;/Q&gt;&lt;R&gt;1&lt;/R&gt;&lt;C&gt;1&lt;/C&gt;&lt;D xsi:type="xsd:double"&gt;101&lt;/D&gt;&lt;/FQL&gt;&lt;FQL&gt;&lt;Q&gt;SKYW-US^FF_SGA(ANN_R,0)&lt;/Q&gt;&lt;R&gt;1&lt;/R&gt;&lt;C&gt;1&lt;/C&gt;&lt;D xsi:type="xsd:double"&gt;222.797&lt;/D&gt;&lt;/FQL&gt;&lt;FQL&gt;&lt;Q&gt;DAL-US^FF_INT_EXP_NET(ANN_R,0)&lt;/Q&gt;&lt;R&gt;1&lt;/R&gt;&lt;C&gt;1&lt;/C&gt;&lt;D xsi:type="xsd:double"&gt;929&lt;/D&gt;&lt;/FQL&gt;&lt;FQL&gt;&lt;Q&gt;AC-CA^FF_INT_EXP_NET(ANN_R,0)&lt;/Q&gt;&lt;R&gt;1&lt;/R&gt;&lt;C&gt;1&lt;/C&gt;&lt;D xsi:type="xsd:double"&gt;631&lt;/D&gt;&lt;/FQL&gt;&lt;FQL&gt;&lt;Q&gt;AAL-US^FF_INT_EXP_NET(ANN_R,0)&lt;/Q&gt;&lt;R&gt;1&lt;/R&gt;&lt;C&gt;1&lt;/C&gt;&lt;D xsi:type="xsd:double"&gt;1227&lt;/D&gt;&lt;/FQL&gt;&lt;FQL&gt;&lt;Q&gt;LUV-US^FF_INT_EXP_NET(ANN_R,0)&lt;/Q&gt;&lt;R&gt;1&lt;/R&gt;&lt;C&gt;1&lt;/C&gt;&lt;D xsi:type="xsd:double"&gt;302&lt;/D&gt;&lt;/FQL&gt;&lt;FQL&gt;&lt;Q&gt;ALK-US^FF_INT_EXP_NET(ANN_R,0)&lt;/Q&gt;&lt;R&gt;1&lt;/R&gt;&lt;C&gt;1&lt;/C&gt;&lt;D xsi:type="xsd:double"&gt;87&lt;/D&gt;&lt;/FQL&gt;&lt;FQL&gt;&lt;Q&gt;SKYW-US^FF_INT_EXP_NET(ANN_R,0)&lt;/Q&gt;&lt;R&gt;1&lt;/R&gt;&lt;C&gt;1&lt;/C&gt;&lt;D xsi:type="xsd:double"&gt;123.173&lt;/D&gt;&lt;/FQL&gt;&lt;FQL&gt;&lt;Q&gt;DAL-US^FF_ASSETS(ANN_R,-1)&lt;/Q&gt;&lt;R&gt;1&lt;/R&gt;&lt;C&gt;1&lt;/C&gt;&lt;D xsi:type="xsd:double"&gt;64532&lt;/D&gt;&lt;/FQL&gt;&lt;FQL&gt;&lt;Q&gt;AC-CA^FF_ASSETS(ANN_R,-1)&lt;/Q&gt;&lt;R&gt;1&lt;/R&gt;&lt;C&gt;1&lt;/C&gt;&lt;D xsi:type="xsd:double"&gt;27759&lt;/D&gt;&lt;/FQL&gt;&lt;FQL&gt;&lt;Q&gt;AAL-US^FF_ASSETS(ANN_R,-1)&lt;/Q&gt;&lt;R&gt;1&lt;/R&gt;&lt;C&gt;1&lt;/C&gt;&lt;D xsi:type="xsd:double"&gt;59995&lt;/D&gt;&lt;/FQL&gt;&lt;FQL&gt;&lt;Q&gt;LUV-US^FF_ASSETS(ANN_R,-1)&lt;/Q&gt;&lt;R&gt;1&lt;/R&gt;&lt;C&gt;1&lt;/C&gt;&lt;D xsi:type="xsd:double"&gt;27013&lt;/D&gt;&lt;/FQL&gt;&lt;FQL&gt;&lt;Q&gt;ALK-US^FF_ASSETS(ANN_R,-1)&lt;/Q&gt;&lt;R&gt;1&lt;/R&gt;&lt;C&gt;1&lt;/C&gt;&lt;D xsi:type="xsd:double"&gt;14001&lt;/D&gt;&lt;/FQL&gt;&lt;FQL&gt;&lt;Q&gt;SKYW-US^FF_ASSETS(ANN_R,-1)&lt;/Q&gt;&lt;R&gt;1&lt;/R&gt;&lt;C&gt;1&lt;/C&gt;&lt;D xsi:type="xsd:double"&gt;6657.129&lt;/D&gt;&lt;/FQL&gt;&lt;FQL&gt;&lt;Q&gt;DAL-US^FF_ASSETS(ANN_R,0)&lt;/Q&gt;&lt;R&gt;1&lt;/R&gt;&lt;C&gt;1&lt;/C&gt;&lt;D xsi:type="xsd:double"&gt;71996&lt;/D&gt;&lt;/FQL&gt;&lt;FQL&gt;&lt;Q&gt;AC-CA^FF_ASSETS(ANN_R,0)&lt;/Q&gt;&lt;R&gt;1&lt;/R&gt;&lt;C&gt;1&lt;/C&gt;&lt;D xsi:type="xsd:double"&gt;28913&lt;/D&gt;&lt;/FQL&gt;&lt;FQL&gt;&lt;Q&gt;AAL-US^FF_ASSETS(ANN_R,0)&lt;/Q&gt;&lt;R&gt;1&lt;/R&gt;&lt;C&gt;1&lt;/C&gt;&lt;D xsi:type="xsd:double"&gt;62008&lt;/D&gt;&lt;/FQL&gt;&lt;FQL&gt;&lt;Q&gt;LUV-US^FF_ASSETS(ANN_R,0)&lt;/Q&gt;&lt;R&gt;1&lt;/R&gt;&lt;C&gt;1&lt;/C&gt;&lt;D xsi:type="xsd:double"&gt;36573&lt;/D&gt;&lt;/FQL&gt;&lt;FQL&gt;&lt;Q&gt;ALK-US^FF_ASSETS(ANN_R,0)&lt;/Q&gt;&lt;R&gt;1&lt;/R&gt;&lt;C&gt;1&lt;/C&gt;&lt;D xsi:type="xsd:double"&gt;15228&lt;/D&gt;&lt;/FQL&gt;&lt;FQL&gt;&lt;Q&gt;SKYW-US^FF_ASSETS(ANN_R,0)&lt;/Q&gt;&lt;R&gt;1&lt;/R&gt;&lt;C&gt;1&lt;/C&gt;&lt;D xsi:type="xsd:double"&gt;7211.762&lt;/D&gt;&lt;/FQL&gt;&lt;FQL&gt;&lt;Q&gt;DAL-US^FF_ASSETS_CURR(ANN_R,-1)&lt;/Q&gt;&lt;R&gt;1&lt;/R&gt;&lt;C&gt;1&lt;/C&gt;&lt;D xsi:type="xsd:double"&gt;8249&lt;/D&gt;&lt;/FQL&gt;&lt;FQL&gt;&lt;Q&gt;AC-CA^FF_ASSETS_CURR(ANN_R,-1)&lt;/Q&gt;&lt;R&gt;1&lt;/R&gt;&lt;C&gt;1&lt;/C&gt;&lt;D xsi:type="xsd:double"&gt;7516&lt;/D&gt;&lt;/FQL&gt;&lt;FQL&gt;&lt;Q&gt;AAL-US^FF_ASSETS_CURR(ANN_R,-1)&lt;/Q&gt;&lt;R&gt;1&lt;/R&gt;&lt;C&gt;1&lt;/C&gt;&lt;D xsi:type="xsd:double"&gt;8206&lt;/D&gt;&lt;/FQL&gt;&lt;FQL&gt;&lt;Q&gt;LUV-US^FF_ASSETS_CURR(ANN_R,-1)&lt;/Q&gt;&lt;R&gt;1&lt;/R&gt;&lt;C&gt;1&lt;/C&gt;&lt;D xsi:type="xsd:double"&gt;5974&lt;/D&gt;&lt;/FQL&gt;&lt;FQL&gt;&lt;Q&gt;ALK-US^FF_ASSETS_CURR(ANN_R,-1)&lt;/Q&gt;&lt;R&gt;1&lt;/R&gt;&lt;C&gt;1&lt;/C&gt;&lt;D xsi:type="xsd:double"&gt;2037&lt;/D&gt;&lt;/FQL&gt;&lt;FQL&gt;&lt;Q&gt;SKYW-US^FF_ASSETS_CURR(ANN_R,-1)&lt;/Q&gt;&lt;R&gt;1&lt;/R&gt;&lt;C&gt;1&lt;/C&gt;&lt;D xsi:type="xsd:double"&gt;760.346&lt;/D&gt;&lt;/FQL&gt;&lt;FQL&gt;&lt;Q&gt;DAL-US^FF_ASSETS_CURR(ANN_R,0)&lt;/Q&gt;&lt;R&gt;1&lt;/R&gt;&lt;C&gt;1&lt;/C&gt;&lt;D xsi:type="xsd:double"&gt;17404&lt;/D&gt;&lt;/FQL&gt;&lt;FQL&gt;&lt;Q&gt;AC-CA^FF_ASSETS_CURR(ANN_R,0)&lt;/Q&gt;&lt;R&gt;1&lt;/R&gt;&lt;C&gt;1&lt;/C&gt;&lt;D xsi:type="xsd:double"&gt;8671&lt;/D&gt;&lt;/FQL&gt;&lt;FQL&gt;&lt;Q&gt;AAL-US^FF_ASSETS_CURR(ANN_R,0)&lt;/Q&gt;&lt;R&gt;1&lt;/R&gt;&lt;C&gt;1&lt;/C&gt;&lt;D xsi:type="xsd:double"&gt;11095&lt;/D&gt;&lt;/FQL&gt;&lt;FQL&gt;&lt;Q&gt;LUV-US^FF_ASSETS_CURR(ANN_R,0)&lt;/Q&gt;&lt;R&gt;1&lt;/R&gt;&lt;C&gt;1&lt;/C&gt;&lt;D xsi:type="xsd:double"&gt;15173&lt;/D&gt;&lt;/FQL&gt;&lt;FQL&gt;&lt;Q&gt;ALK-US^FF_ASSETS_CURR(ANN_R,0)&lt;/Q&gt;&lt;R&gt;1&lt;/R&gt;&lt;C&gt;1&lt;/C&gt;&lt;D xsi:type="xsd:double"&gt;4006&lt;/D&gt;&lt;/FQL&gt;&lt;FQL&gt;&lt;Q&gt;SKYW-US^FF_ASSETS_CURR(ANN_R,0)&lt;/Q&gt;&lt;R&gt;1&lt;/R&gt;&lt;C&gt;1&lt;/C&gt;&lt;D xsi:type="xsd:double"&gt;982.802&lt;/D&gt;&lt;/FQL&gt;&lt;FQL&gt;&lt;Q&gt;DAL-US^FF_EBIT_OPER(ANN_R,0)&lt;/Q&gt;&lt;R&gt;1&lt;/R&gt;&lt;C&gt;1&lt;/C&gt;&lt;D xsi:type="xsd:double"&gt;-8281&lt;/D&gt;&lt;/FQL&gt;&lt;FQL&gt;&lt;Q&gt;AC-CA^FF_EBIT_OPER(ANN_R,0)&lt;/Q&gt;&lt;R&gt;1&lt;/R&gt;&lt;C&gt;1&lt;/C&gt;&lt;D xsi:type="xsd:double"&gt;-3892&lt;/D&gt;&lt;/FQL&gt;&lt;FQL&gt;&lt;Q&gt;AAL-US^FF_EBIT_OPER(ANN_R,0)&lt;/Q&gt;&lt;R&gt;1&lt;/R&gt;&lt;C&gt;1&lt;/C&gt;&lt;D xsi:type="xsd:double"&gt;-11387&lt;/D&gt;&lt;/FQL&gt;&lt;FQL&gt;&lt;Q&gt;LUV-US^FF_EBIT_OPER(ANN_R,0)&lt;/Q&gt;&lt;R&gt;1&lt;/R&gt;&lt;C&gt;1&lt;/C&gt;&lt;D xsi:type="xsd:double"&gt;-4713&lt;/D&gt;&lt;/FQL&gt;&lt;FQL&gt;&lt;Q&gt;ALK-US^FF_EBIT_OPER(ANN_R,0)&lt;/Q&gt;&lt;R&gt;1&lt;/R&gt;&lt;C&gt;1&lt;/C&gt;&lt;D xsi:type="xsd:double"&gt;-1691&lt;/D&gt;&lt;/FQL&gt;&lt;FQL&gt;&lt;Q&gt;SKYW-US^FF_EBIT_OPER(ANN_R,0)&lt;/Q&gt;&lt;R&gt;1&lt;/R&gt;&lt;C&gt;1&lt;/C&gt;&lt;D xsi:type="xsd:double"&gt;-236.689&lt;/D&gt;&lt;/FQL&gt;&lt;FQL&gt;&lt;Q&gt;DAL-US^FF_NET_INC(ANN_R,0,,,,,M)&lt;/Q&gt;&lt;R&gt;1&lt;/R&gt;&lt;C&gt;1&lt;/C&gt;&lt;D xsi:type="xsd:double"&gt;-12385&lt;/D&gt;&lt;/FQL&gt;&lt;FQL&gt;&lt;Q&gt;AC-CA^FF_NET_INC(ANN_R,0,,,,,M)&lt;/Q&gt;&lt;R&gt;1&lt;/R&gt;&lt;C&gt;1&lt;/C&gt;&lt;D xsi:type="xsd:double"&gt;-4647&lt;/D&gt;&lt;/FQL&gt;&lt;FQL&gt;&lt;Q&gt;AAL-US^FF_NET_INC(ANN_R,0,,,,,M)&lt;/Q&gt;&lt;R&gt;1&lt;/R&gt;&lt;C&gt;1&lt;/C&gt;&lt;D xsi:type="xsd:double"&gt;-8885&lt;/D&gt;&lt;/FQL&gt;&lt;FQL&gt;&lt;Q&gt;LUV-US^FF_NET_INC(ANN_R,0,,,,,M)&lt;/Q&gt;&lt;R&gt;1&lt;/R&gt;&lt;C&gt;1&lt;/C&gt;&lt;D xsi:type="xsd:double"&gt;-3074&lt;/D&gt;&lt;/FQL&gt;&lt;FQL&gt;&lt;Q&gt;ALK-US^FF_NET_INC(ANN_R,0,,,,,M)&lt;/Q&gt;&lt;R&gt;1&lt;/R&gt;&lt;C&gt;1&lt;/C&gt;&lt;D xsi:type="xsd:double"&gt;-1324&lt;/D&gt;&lt;/FQL&gt;&lt;FQL&gt;&lt;Q&gt;SKYW-US^FF_NET_INC(ANN_R,0,,,,,M)&lt;/Q&gt;&lt;R&gt;1&lt;/R&gt;&lt;C&gt;1&lt;/C&gt;&lt;D xsi:type="xsd:double"&gt;-8.515&lt;/D&gt;&lt;/FQL&gt;&lt;FQL&gt;&lt;Q&gt;AC-CA^FF_CAPEX(ANN_R,0)&lt;/Q&gt;&lt;R&gt;1&lt;/R&gt;&lt;C&gt;1&lt;/C&gt;&lt;D xsi:type="xsd:double"&gt;1202&lt;/D&gt;&lt;/FQL&gt;&lt;FQL&gt;&lt;Q&gt;AAL-US^FF_CAPEX(ANN_R,0)&lt;/Q&gt;&lt;R&gt;1&lt;/R&gt;&lt;C&gt;1&lt;/C&gt;&lt;D xsi:type="xsd:double"&gt;1958&lt;/D&gt;&lt;/FQL&gt;&lt;FQL&gt;&lt;Q&gt;LUV-US^FF_CAPEX(ANN_R,0)&lt;/Q&gt;&lt;R&gt;1&lt;/R&gt;&lt;C&gt;1&lt;/C&gt;&lt;D xsi:type="xsd:double"&gt;515&lt;/D&gt;&lt;/FQL&gt;&lt;FQL&gt;&lt;Q&gt;ALK-US^FF_CAPEX(ANN_R,0)&lt;/Q&gt;&lt;R&gt;1&lt;/R&gt;&lt;C&gt;1&lt;/C&gt;&lt;D xsi:type="xsd:double"&gt;206&lt;/D&gt;&lt;/FQL&gt;&lt;FQL&gt;&lt;Q&gt;SKYW-US^FF_CAPEX(ANN_R,0)&lt;/Q&gt;&lt;R&gt;1&lt;/R&gt;&lt;C&gt;1&lt;/C&gt;&lt;D xsi:type="xsd:double"&gt;509.491&lt;/D&gt;&lt;/FQL&gt;&lt;FQL&gt;&lt;Q&gt;AC-CA^FF_INVEN(ANN_R,-1)&lt;/Q&gt;&lt;R&gt;1&lt;/R&gt;&lt;C&gt;1&lt;/C&gt;&lt;D xsi:type="xsd:double"&gt;212&lt;/D&gt;&lt;/FQL&gt;&lt;FQL&gt;&lt;Q&gt;AAL-US^FF_INVEN(ANN_R,-1)&lt;/Q&gt;&lt;R&gt;1&lt;/R&gt;&lt;C&gt;1&lt;/C&gt;&lt;D xsi:type="xsd:double"&gt;1851&lt;/D&gt;&lt;/FQL&gt;&lt;FQL&gt;&lt;Q&gt;LUV-US^FF_INVEN(ANN_R,-1)&lt;/Q&gt;&lt;R&gt;1&lt;/R&gt;&lt;C&gt;1&lt;/C&gt;&lt;D xsi:type="xsd:double"&gt;529&lt;/D&gt;&lt;/FQL&gt;&lt;FQL&gt;&lt;Q&gt;ALK-US^FF_INVEN(ANN_R,-1)&lt;/Q&gt;&lt;R&gt;1&lt;/R&gt;&lt;C&gt;1&lt;/C&gt;&lt;D xsi:type="xsd:double"&gt;72&lt;/D&gt;&lt;/FQL&gt;&lt;FQL&gt;&lt;Q&gt;SKYW-US^FF_INVEN(ANN_R,-1)&lt;/Q&gt;&lt;R&gt;1&lt;/R&gt;&lt;C&gt;1&lt;/C&gt;&lt;D xsi:type="xsd:double"&gt;110.503&lt;/D&gt;&lt;/FQL&gt;&lt;FQL&gt;&lt;Q&gt;AC-CA^FF_INVEN(ANN_R,0)&lt;/Q&gt;&lt;R&gt;1&lt;/R&gt;&lt;C&gt;1&lt;/C&gt;&lt;D xsi:type="xsd:double"&gt;166&lt;/D&gt;&lt;/FQL&gt;&lt;FQL&gt;&lt;Q&gt;AAL-US^FF_INVEN(ANN_R,0)&lt;/Q&gt;&lt;R&gt;1&lt;/R&gt;&lt;C&gt;1&lt;/C&gt;&lt;D xsi:type="xsd:double"&gt;1614&lt;/D&gt;&lt;/FQL&gt;&lt;FQL&gt;&lt;Q&gt;LUV-US^FF_INVEN(ANN_R,0)&lt;/Q&gt;&lt;R&gt;1&lt;/R&gt;&lt;C&gt;1&lt;/C&gt;&lt;D xsi:type="xsd:double"&gt;414&lt;/D&gt;&lt;/FQL&gt;&lt;FQL&gt;&lt;Q&gt;ALK-US^FF_INVEN(ANN_R,0)&lt;/Q&gt;&lt;R&gt;1&lt;/R&gt;&lt;C&gt;1&lt;/C&gt;&lt;D xsi:type="xsd:double"&gt;57&lt;/D&gt;&lt;/FQL&gt;&lt;FQL&gt;&lt;Q&gt;SKYW-US^FF_INVEN(ANN_R,0)&lt;/Q&gt;&lt;R&gt;1&lt;/R&gt;&lt;C&gt;1&lt;/C&gt;&lt;D xsi:type="xsd:double"&gt;91.196&lt;/D&gt;&lt;/FQL&gt;&lt;FQL&gt;&lt;Q&gt;AC-CA^FF_PAY_ACCT(ANN_R,-1)&lt;/Q&gt;&lt;R&gt;1&lt;/R&gt;&lt;C&gt;1&lt;/C&gt;&lt;D xsi:type="xsd:double"&gt;2456&lt;/D&gt;&lt;/FQL&gt;&lt;FQL&gt;&lt;Q&gt;AAL-US^FF_PAY_ACCT(ANN_R,-1)&lt;/Q&gt;&lt;R&gt;1&lt;/R&gt;&lt;C&gt;1&lt;/C&gt;&lt;D xsi:type="xsd:double"&gt;2062&lt;/D&gt;&lt;/FQL&gt;&lt;FQL&gt;&lt;Q&gt;LUV-US^FF_PAY_ACCT(ANN_R,-1)&lt;/Q&gt;&lt;R&gt;1&lt;/R&gt;&lt;C&gt;1&lt;/C&gt;&lt;D xsi:type="xsd:double"&gt;595&lt;/D&gt;&lt;/FQL&gt;&lt;FQL&gt;&lt;Q&gt;ALK-US^FF_PAY_ACCT(ANN_R,-1)&lt;/Q&gt;&lt;R&gt;1&lt;/R&gt;&lt;C&gt;1&lt;/C&gt;&lt;D xsi:type="xsd:double"&gt;146&lt;/D&gt;&lt;/FQL&gt;&lt;FQL&gt;&lt;Q&gt;SKYW-US^FF_PAY_ACCT(ANN_R,-1)&lt;/Q&gt;&lt;R&gt;1&lt;/R&gt;&lt;C&gt;1&lt;/C&gt;&lt;D xsi:type="xsd:double"&gt;284.473&lt;/D&gt;&lt;/FQL&gt;&lt;FQL&gt;&lt;Q&gt;AC-CA^FF_PAY_ACCT(ANN_R,0)&lt;/Q&gt;&lt;R&gt;1&lt;/R&gt;&lt;C&gt;1&lt;/C&gt;&lt;D xsi:type="xsd:double"&gt;2465&lt;/D&gt;&lt;/FQL&gt;&lt;FQL&gt;&lt;Q&gt;AAL-US^FF_PAY_ACCT(ANN_R,0)&lt;/Q&gt;&lt;R&gt;1&lt;/R&gt;&lt;C&gt;1&lt;/C&gt;&lt;D xsi:type="xsd:double"&gt;1196&lt;/D&gt;&lt;/FQL&gt;&lt;FQL&gt;&lt;Q&gt;LUV-US^FF_PAY_ACCT(ANN_R,0)&lt;/Q&gt;&lt;R&gt;1&lt;/R&gt;&lt;C&gt;1&lt;/C&gt;&lt;D xsi:type="xsd:double"&gt;272&lt;/D&gt;&lt;/FQL&gt;&lt;FQL&gt;&lt;Q&gt;ALK-US^FF_PAY_ACCT(ANN_R,0)&lt;/Q&gt;&lt;R&gt;1&lt;/R&gt;&lt;C&gt;1&lt;/C&gt;&lt;D xsi:type="xsd:double"&gt;108&lt;/D&gt;&lt;/FQL&gt;&lt;FQL&gt;&lt;Q&gt;SKYW-US^FF_PAY_ACCT(ANN_R,0)&lt;/Q&gt;&lt;R&gt;1&lt;/R&gt;&lt;C&gt;1&lt;/C&gt;&lt;D xsi:type="xsd:double"&gt;278.677&lt;/D&gt;&lt;/FQL&gt;&lt;FQL&gt;&lt;Q&gt;DAL-US^FF_OPER_CF(ANN_R,0)&lt;/Q&gt;&lt;R&gt;1&lt;/R&gt;&lt;C&gt;1&lt;/C&gt;&lt;D xsi:type="xsd:double"&gt;-3793&lt;/D&gt;&lt;/FQL&gt;&lt;FQL&gt;&lt;Q&gt;AC-CA^FF_OPER_CF(ANN_R,0)&lt;/Q&gt;&lt;R&gt;1&lt;/R&gt;&lt;C&gt;1&lt;/C&gt;&lt;D xsi:type="xsd:double"&gt;-2353&lt;/D&gt;&lt;/FQL&gt;&lt;FQL&gt;&lt;Q&gt;AAL-US^FF_OPER_CF(ANN_R,0)&lt;/Q&gt;&lt;R&gt;1&lt;/R&gt;&lt;C&gt;1&lt;/C&gt;&lt;D xsi:type="xsd:double"&gt;-6543&lt;/D&gt;&lt;/FQL&gt;&lt;FQL&gt;&lt;Q&gt;LUV-US^FF_OPER_CF(ANN_R,0)&lt;/Q&gt;&lt;R&gt;1&lt;/R&gt;&lt;C&gt;1&lt;/C&gt;&lt;D xsi:type="xsd:double"&gt;-1127&lt;/D&gt;&lt;/FQL&gt;&lt;FQL&gt;&lt;Q&gt;ALK-US^FF_OPER_CF(ANN_R,0)&lt;/Q&gt;&lt;R&gt;1&lt;/R&gt;&lt;C&gt;1&lt;/C&gt;&lt;D xsi:type="xsd:double"&gt;-234&lt;/D&gt;&lt;/FQL&gt;&lt;FQL&gt;&lt;Q&gt;SKYW-US^FF_OPER_CF(ANN_R,0)&lt;/Q&gt;&lt;R&gt;1&lt;/R&gt;&lt;C&gt;1&lt;/C&gt;&lt;D xsi:type="xsd:double"&gt;699.12&lt;/D&gt;&lt;/FQL&gt;&lt;FQL&gt;&lt;Q&gt;DAL-US^FF_INVEST_CF(ANN_R,0)&lt;/Q&gt;&lt;R&gt;1&lt;/R&gt;&lt;C&gt;1&lt;/C&gt;&lt;D xsi:type="xsd:double"&gt;-9238&lt;/D&gt;&lt;/FQL&gt;&lt;FQL&gt;&lt;Q&gt;AC-CA^FF_INVEST_CF(ANN_R,0)&lt;/Q&gt;&lt;R&gt;1&lt;/R&gt;&lt;C&gt;1&lt;/C&gt;&lt;D xsi:type="xsd:double"&gt;-733&lt;/D&gt;&lt;/FQL&gt;&lt;FQL&gt;&lt;Q&gt;AAL-US^FF_INVEST_CF(ANN_R,0)&lt;/Q&gt;&lt;R&gt;1&lt;/R&gt;&lt;C&gt;1&lt;/C&gt;&lt;D xsi:type="xsd:double"&gt;-4342&lt;/D&gt;&lt;/FQL&gt;&lt;FQL&gt;&lt;Q&gt;LUV-US^FF_INVEST_CF(ANN_R,0)&lt;/Q&gt;&lt;R&gt;1&lt;/R&gt;&lt;C&gt;1&lt;/C&gt;&lt;D xsi:type="xsd:double"&gt;-16&lt;/D&gt;&lt;/FQL&gt;&lt;FQL&gt;&lt;Q&gt;ALK-US^FF_INVEST_CF(ANN_R,0)&lt;/Q&gt;&lt;R&gt;1&lt;/R&gt;&lt;C&gt;1&lt;/C&gt;&lt;D xsi:type="xsd:double"&gt;-593&lt;/D&gt;&lt;/FQL&gt;&lt;FQL&gt;&lt;Q&gt;SKYW-US^FF_INVEST_CF(ANN_R,0)&lt;/Q&gt;&lt;R&gt;1&lt;/R&gt;&lt;C&gt;1&lt;/C&gt;&lt;D xsi:type="xsd:double"&gt;-683.471&lt;/D&gt;&lt;/FQL&gt;&lt;FQL&gt;&lt;Q&gt;DAL-US^FF_FIN_CF(ANN_R,0)&lt;/Q&gt;&lt;R&gt;1&lt;/R&gt;&lt;C&gt;1&lt;/C&gt;&lt;D xsi:type="xsd:double"&gt;19356&lt;/D&gt;&lt;/FQL&gt;&lt;FQL&gt;&lt;Q&gt;AC-CA^FF_FIN_CF(ANN_R,0)&lt;/Q&gt;&lt;R&gt;1&lt;/R&gt;&lt;C&gt;1&lt;/C&gt;&lt;D xsi:type="xsd:double"&gt;4702&lt;/D&gt;&lt;/FQL&gt;&lt;FQL&gt;&lt;Q&gt;AAL-US^FF_FIN_CF(ANN_R,0)&lt;/Q&gt;&lt;R&gt;1&lt;/R&gt;&lt;C&gt;1&lt;/C&gt;&lt;D xsi:type="xsd:double"&gt;10994&lt;/D&gt;&lt;/FQL&gt;&lt;FQL&gt;&lt;Q&gt;LUV-US^FF_FIN_CF(ANN_R,0)&lt;/Q&gt;&lt;R&gt;1&lt;/R&gt;&lt;C&gt;1&lt;/C&gt;&lt;D xsi:type="xsd:double"&gt;9658&lt;/D&gt;&lt;/FQL&gt;&lt;FQL&gt;&lt;Q&gt;ALK-US^FF_FIN_CF(ANN_R,0)&lt;/Q&gt;&lt;R&gt;1&lt;/R&gt;&lt;C&gt;1&lt;/C&gt;&lt;D xsi:type="xsd:double"&gt;1981&lt;/D&gt;&lt;/FQL&gt;&lt;FQL&gt;&lt;Q&gt;SKYW-US^FF_FIN_CF(ANN_R,0)&lt;/Q&gt;&lt;R&gt;1&lt;/R&gt;&lt;C&gt;1&lt;/C&gt;&lt;D xsi:type="xsd:double"&gt;112.868&lt;/D&gt;&lt;/FQL&gt;&lt;FQL&gt;&lt;Q&gt;DAL-US^FF_CHG_CASH_CF(ANN_R,0)&lt;/Q&gt;&lt;R&gt;1&lt;/R&gt;&lt;C&gt;1&lt;/C&gt;&lt;D xsi:type="xsd:double"&gt;6325&lt;/D&gt;&lt;/FQL&gt;&lt;FQL&gt;&lt;Q&gt;AC-CA^FF_CHG_CASH_CF(ANN_R,0)&lt;/Q&gt;&lt;R&gt;1&lt;/R&gt;&lt;C&gt;1&lt;/C&gt;&lt;D xsi:type="xsd:double"&gt;1568&lt;/D&gt;&lt;/FQL&gt;&lt;FQL&gt;&lt;Q&gt;AAL-US^FF_CHG_CASH_CF(ANN_R,0)&lt;/Q&gt;&lt;R&gt;1&lt;/R&gt;&lt;C&gt;1&lt;/C&gt;&lt;D xsi:type="xsd:double"&gt;109&lt;/D&gt;&lt;/FQL&gt;&lt;FQL&gt;&lt;Q&gt;LUV-US^FF_CHG_CASH_CF(ANN_R,0)&lt;/Q&gt;&lt;R&gt;1&lt;/R&gt;&lt;C&gt;1&lt;/C&gt;&lt;D xsi:type="xsd:double"&gt;8515&lt;/D&gt;&lt;/FQL&gt;&lt;FQL&gt;&lt;Q&gt;ALK-US^FF_CHG_CASH_CF(ANN_R,0)&lt;/Q&gt;&lt;R&gt;1&lt;/R&gt;&lt;C&gt;1&lt;/C&gt;&lt;D xsi:type="xsd:double"&gt;1154&lt;/D&gt;&lt;/FQL&gt;&lt;FQL&gt;&lt;Q&gt;SKYW-US^FF_CHG_CASH_CF(ANN_R,0)&lt;/Q&gt;&lt;R&gt;1&lt;/R&gt;&lt;C&gt;1&lt;/C&gt;&lt;D xsi:type="xsd:double"&gt;128.517&lt;/D&gt;&lt;/FQL&gt;&lt;FQL&gt;&lt;Q&gt;DAL-US^FF_DEP_AMORT_EXP(ANN_R,0Y)&lt;/Q&gt;&lt;R&gt;1&lt;/R&gt;&lt;C&gt;1&lt;/C&gt;&lt;D xsi:type="xsd:double"&gt;2312&lt;/D&gt;&lt;/FQL&gt;&lt;FQL&gt;&lt;Q&gt;AC-CA^FF_DEP_AMORT_EXP(ANN_R,0Y)&lt;/Q&gt;&lt;R&gt;1&lt;/R&gt;&lt;C&gt;1&lt;/C&gt;&lt;D xsi:type="xsd:double"&gt;1835&lt;/D&gt;&lt;/FQL&gt;&lt;FQL&gt;&lt;Q&gt;AAL-US^FF_DEP_AMORT_EXP(ANN_R,0Y)&lt;/Q&gt;&lt;R&gt;1&lt;/R&gt;&lt;C&gt;1&lt;/C&gt;&lt;D xsi:type="xsd:double"&gt;2365&lt;/D&gt;&lt;/FQL&gt;&lt;FQL&gt;&lt;Q&gt;LUV-US^FF_DEP_AMORT_EXP(ANN_R,0Y)&lt;/Q&gt;&lt;R&gt;1&lt;/R&gt;&lt;C&gt;1&lt;/C&gt;&lt;D xsi:type="xsd:double"&gt;1255&lt;/D&gt;&lt;/FQL&gt;&lt;FQL&gt;&lt;Q&gt;ALK-US^FF_DEP_AMORT_EXP(ANN_R,0Y)&lt;/Q&gt;&lt;R&gt;1&lt;/R&gt;&lt;C&gt;1&lt;/C&gt;&lt;D xsi:type="xsd:double"&gt;420&lt;/D&gt;&lt;/FQL&gt;&lt;FQL&gt;&lt;Q&gt;SKYW-US^FF_DEP_AMORT_EXP(ANN_R,0Y)&lt;/Q&gt;&lt;R&gt;1&lt;/R&gt;&lt;C&gt;1&lt;/C&gt;&lt;D xsi:type="xsd:double"&gt;474.959&lt;/D&gt;&lt;/FQL&gt;&lt;FQL&gt;&lt;Q&gt;DAL-US^FF_TAX_RATE(ANN_R,0)&lt;/Q&gt;&lt;R&gt;0&lt;/R&gt;&lt;C&gt;0&lt;/C&gt;&lt;/FQL&gt;&lt;FQL&gt;&lt;Q&gt;AC-CA^FF_TAX_RATE(ANN_R,0)&lt;/Q&gt;&lt;R&gt;0&lt;/R&gt;&lt;C&gt;0&lt;/C&gt;&lt;/FQL&gt;&lt;FQL&gt;&lt;Q&gt;AAL-US^FF_TAX_RATE(ANN_R,0)&lt;/Q&gt;&lt;R&gt;0&lt;/R&gt;&lt;C&gt;0&lt;/C&gt;&lt;/FQL&gt;&lt;FQL&gt;&lt;Q&gt;LUV-US^FF_TAX_RATE(ANN_R,0)&lt;/Q&gt;&lt;R&gt;0&lt;/R&gt;&lt;C&gt;0&lt;/C&gt;&lt;/FQL&gt;&lt;FQL&gt;&lt;Q&gt;ALK-US^FF_TAX_RATE(ANN_R,0)&lt;/Q&gt;&lt;R&gt;0&lt;/R&gt;&lt;C&gt;0&lt;/C&gt;&lt;/FQL&gt;&lt;FQL&gt;&lt;Q&gt;SKYW-US^FF_TAX_RATE(ANN_R,0)&lt;/Q&gt;&lt;R&gt;0&lt;/R&gt;&lt;C&gt;0&lt;/C&gt;&lt;/FQL&gt;&lt;FQL&gt;&lt;Q&gt;DAL-US^FF_PPE_NET(ANN_R,-1,,,,M)&lt;/Q&gt;&lt;R&gt;1&lt;/R&gt;&lt;C&gt;1&lt;/C&gt;&lt;D xsi:type="xsd:double"&gt;36937&lt;/D&gt;&lt;/FQL&gt;&lt;FQL&gt;&lt;Q&gt;AC-CA^FF_PPE_NET(ANN_R,-1,,,,M)&lt;/Q&gt;&lt;R&gt;1&lt;/R&gt;&lt;C&gt;1&lt;/C&gt;&lt;D xsi:type="xsd:double"&gt;12834&lt;/D&gt;&lt;/FQL&gt;&lt;FQL&gt;&lt;Q&gt;AAL-US^FF_PPE_NET(ANN_R,-1,,,,M)&lt;/Q&gt;&lt;R&gt;1&lt;/R&gt;&lt;C&gt;1&lt;/C&gt;&lt;D xsi:type="xsd:double"&gt;43732&lt;/D&gt;&lt;/FQL&gt;&lt;FQL&gt;&lt;Q&gt;LUV-US^FF_PPE_NET(ANN_R,-1,,,,M)&lt;/Q&gt;&lt;R&gt;1&lt;/R&gt;&lt;C&gt;1&lt;/C&gt;&lt;D xsi:type="xsd:double"&gt;18374&lt;/D&gt;&lt;/FQL&gt;&lt;FQL&gt;&lt;Q&gt;ALK-US^FF_PPE_NET(ANN_R,-1,,,,M)&lt;/Q&gt;&lt;R&gt;1&lt;/R&gt;&lt;C&gt;1&lt;/C&gt;&lt;D xsi:type="xsd:double"&gt;8613&lt;/D&gt;&lt;/FQL&gt;&lt;FQL&gt;&lt;Q&gt;SKYW-US^FF_PPE_NET(ANN_R,-1,,,,M)&lt;/Q&gt;&lt;R&gt;1&lt;/R&gt;&lt;C&gt;1&lt;/C&gt;&lt;D xsi:type="xsd:double"&gt;5730.69&lt;/D&gt;&lt;/FQL&gt;&lt;FQL&gt;&lt;Q&gt;DAL-US^FF_PPE_NET(ANN_R,0,,,,,M)&lt;/Q&gt;&lt;R&gt;1&lt;/R&gt;&lt;C&gt;1&lt;/C&gt;&lt;D xsi:type="xsd:double"&gt;32262&lt;/D&gt;&lt;/FQL&gt;&lt;FQL&gt;&lt;Q&gt;AC-CA^FF_PPE_NET(ANN_R,0,,,,,M)&lt;/Q&gt;&lt;R&gt;1&lt;/R&gt;&lt;C&gt;1&lt;/C&gt;&lt;D xsi:type="xsd:double"&gt;12137&lt;/D&gt;&lt;/FQL&gt;&lt;FQL&gt;&lt;Q&gt;AAL-US^FF_PPE_NET(ANN_R,0,,,,,M)&lt;/Q&gt;&lt;R&gt;1&lt;/R&gt;&lt;C&gt;1&lt;/C&gt;&lt;D xsi:type="xsd:double"&gt;39738&lt;/D&gt;&lt;/FQL&gt;&lt;FQL&gt;&lt;Q&gt;LUV-US^FF_PPE_NET(ANN_R,0,,,,,M)&lt;/Q&gt;&lt;R&gt;1&lt;/R&gt;&lt;C&gt;1&lt;/C&gt;&lt;D xsi:type="xsd:double"&gt;17723&lt;/D&gt;&lt;/FQL&gt;&lt;FQL&gt;&lt;Q&gt;ALK-US^FF_PPE_NET(ANN_R,0,,,,,M)&lt;/Q&gt;&lt;R&gt;1&lt;/R&gt;&lt;C&gt;1&lt;/C&gt;&lt;D xsi:type="xsd:double"&gt;7611&lt;/D&gt;&lt;/FQL&gt;&lt;FQL&gt;&lt;Q&gt;SKYW-US^FF_PPE_NET(ANN_R,0,,,,,M)&lt;/Q&gt;&lt;R&gt;1&lt;/R&gt;&lt;C&gt;1&lt;/C&gt;&lt;D xsi:type="xsd:double"&gt;5644.41&lt;/D&gt;&lt;/FQL&gt;&lt;FQL&gt;&lt;Q&gt;DAL-US^FF_DEBT(ANN_R,-1,,,,,M)&lt;/Q&gt;&lt;R&gt;1&lt;/R&gt;&lt;C&gt;1&lt;/C&gt;&lt;D xsi:type="xsd:double"&gt;17255&lt;/D&gt;&lt;/FQL&gt;&lt;FQL&gt;&lt;Q&gt;AC-CA^FF_DEBT(ANN_R,-1,,,,,M)&lt;/Q&gt;&lt;R&gt;1&lt;/R&gt;&lt;C&gt;1&lt;/C&gt;&lt;D xsi:type="xsd:double"&gt;9242&lt;/D&gt;&lt;/FQL&gt;&lt;FQL&gt;&lt;Q&gt;AAL-US^FF_DEBT(ANN_R,-1,,,,,M)&lt;/Q&gt;&lt;R&gt;1&lt;/R&gt;&lt;C&gt;1&lt;/C&gt;&lt;D xsi:type="xsd:double"&gt;33444&lt;/D&gt;&lt;/FQL&gt;&lt;FQL&gt;&lt;Q&gt;LUV-US^FF_DEBT(ANN_R,-1,,,,,M)&lt;/Q&gt;&lt;R&gt;1&lt;/R&gt;&lt;C&gt;1&lt;/C&gt;&lt;D xsi:type="xsd:double"&gt;3996&lt;/D&gt;&lt;/FQL&gt;&lt;FQL&gt;&lt;Q&gt;ALK-US^FF_DEBT(ANN_R,-1,,,,,M)&lt;/Q&gt;&lt;R&gt;1&lt;/R&gt;&lt;C&gt;1&lt;/C&gt;&lt;D xsi:type="xsd:double"&gt;3207&lt;/D&gt;&lt;/FQL&gt;&lt;FQL&gt;&lt;Q&gt;SKYW-US^FF_DEBT(ANN_R,-1,,,,,M)&lt;/Q&gt;&lt;R&gt;1&lt;/R&gt;&lt;C&gt;1&lt;/C&gt;&lt;D xsi:type="xsd:double"&gt;3347.158&lt;/D&gt;&lt;/FQL&gt;&lt;FQL&gt;&lt;Q&gt;DAL-US^FF_DEBT(ANN_R,0,,,,,M)&lt;/Q&gt;&lt;R&gt;1&lt;/R&gt;&lt;C&gt;1&lt;/C&gt;&lt;D xsi:type="xsd:double"&gt;35548&lt;/D&gt;&lt;/FQL&gt;&lt;FQL&gt;&lt;Q&gt;AC-CA^FF_DEBT(ANN_R,0,,,,,M)&lt;/Q&gt;&lt;R&gt;1&lt;/R&gt;&lt;C&gt;1&lt;/C&gt;&lt;D xsi:type="xsd:double"&gt;12989&lt;/D&gt;&lt;/FQL&gt;&lt;FQL&gt;&lt;Q&gt;AAL-US^FF_DEBT(ANN_R,0,,,,,M)&lt;/Q&gt;&lt;R&gt;1&lt;/R&gt;&lt;C&gt;1&lt;/C&gt;&lt;D xsi:type="xsd:double"&gt;41021&lt;/D&gt;&lt;/FQL&gt;&lt;FQL&gt;&lt;Q&gt;LUV-US^FF_DEBT(ANN_R,0,,,,,M)&lt;/Q&gt;&lt;R&gt;1&lt;/R&gt;&lt;C&gt;1&lt;/C&gt;&lt;D xsi:type="xsd:double"&gt;12199&lt;/D&gt;&lt;/FQL&gt;&lt;FQL&gt;&lt;Q&gt;ALK-US^FF_DEBT(ANN_R,0,,,,,M)&lt;/Q&gt;&lt;R&gt;1&lt;/R&gt;&lt;C&gt;1&lt;/C&gt;&lt;D xsi:type="xsd:double"&gt;5053&lt;/D&gt;&lt;/FQL&gt;&lt;FQL&gt;&lt;Q&gt;SKYW-US^FF_DEBT(ANN_R,0,,,,,M)&lt;/Q&gt;&lt;R&gt;1&lt;/R&gt;&lt;C&gt;1&lt;/C&gt;&lt;D xsi:type="xsd:double"&gt;3492.182&lt;/D&gt;&lt;/FQL&gt;&lt;FQL&gt;&lt;Q&gt;DAL-US^FF_DEBT_LT(ANN_R,-1,,,,,M)&lt;/Q&gt;&lt;R&gt;1&lt;/R&gt;&lt;C&gt;1&lt;/C&gt;&lt;D xsi:type="xsd:double"&gt;14167&lt;/D&gt;&lt;/FQL&gt;&lt;FQL&gt;&lt;Q&gt;AC-CA^FF_DEBT_LT(ANN_R,-1,,,,,M)&lt;/Q&gt;&lt;R&gt;1&lt;/R&gt;&lt;C&gt;1&lt;/C&gt;&lt;D xsi:type="xsd:double"&gt;8024&lt;/D&gt;&lt;/FQL&gt;&lt;FQL&gt;&lt;Q&gt;AAL-US^FF_DEBT_LT(ANN_R,-1,,,,,M)&lt;/Q&gt;&lt;R&gt;1&lt;/R&gt;&lt;C&gt;1&lt;/C&gt;&lt;D xsi:type="xsd:double"&gt;28875&lt;/D&gt;&lt;/FQL&gt;&lt;FQL&gt;&lt;Q&gt;LUV-US^FF_DEBT_LT(ANN_R,-1,,,,,M)&lt;/Q&gt;&lt;R&gt;1&lt;/R&gt;&lt;C&gt;1&lt;/C&gt;&lt;D xsi:type="xsd:double"&gt;2824&lt;/D&gt;&lt;/FQL&gt;&lt;FQL&gt;&lt;Q&gt;ALK-US^FF_DEBT_LT(ANN_R,-1,,,,,M)&lt;/Q&gt;&lt;R&gt;1&lt;/R&gt;&lt;C&gt;1&lt;/C&gt;&lt;D xsi:type="xsd:double"&gt;2703&lt;/D&gt;&lt;/FQL&gt;&lt;FQL&gt;&lt;Q&gt;SKYW-US^FF_DEBT_LT(ANN_R,-1,,,,,M)&lt;/Q&gt;&lt;R&gt;1&lt;/R&gt;&lt;C&gt;1&lt;/C&gt;&lt;D xsi:type="xsd:double"&gt;2888.226&lt;/D&gt;&lt;/FQL&gt;&lt;FQL&gt;&lt;Q&gt;DAL-US^FF_DEBT_LT(ANN_R,0,,,,,M)&lt;/Q&gt;&lt;R&gt;1&lt;/R&gt;&lt;C&gt;1&lt;/C&gt;&lt;D xsi:type="xsd:double"&gt;33138&lt;/D&gt;&lt;/FQL&gt;&lt;FQL&gt;&lt;Q&gt;AC-CA^FF_DEBT_LT(ANN_R,0,,,,,M)&lt;/Q&gt;&lt;R&gt;1&lt;/R&gt;&lt;C&gt;1&lt;/C&gt;&lt;D xsi:type="xsd:double"&gt;11201&lt;/D&gt;&lt;/FQL&gt;&lt;FQL&gt;&lt;Q&gt;AAL-US^FF_DEBT_LT(ANN_R,0,,,,,M)&lt;/Q&gt;&lt;R&gt;1&lt;/R&gt;&lt;C&gt;1&lt;/C&gt;&lt;D xsi:type="xsd:double"&gt;36573&lt;/D&gt;&lt;/FQL&gt;&lt;FQL&gt;&lt;Q&gt;LUV-US^FF_DEBT_LT(ANN_R,0,,,,,M)&lt;/Q&gt;&lt;R&gt;1&lt;/R&gt;&lt;C&gt;1&lt;/C&gt;&lt;D xsi:type="xsd:double"&gt;11673&lt;/D&gt;&lt;/FQL&gt;&lt;FQL&gt;&lt;Q&gt;ALK-US^FF_DEBT_LT(ANN_R,0,,,,,M)&lt;/Q&gt;&lt;R&gt;1&lt;/R&gt;&lt;C&gt;1&lt;/C&gt;&lt;D xsi:type="xsd:double"&gt;3625&lt;/D&gt;&lt;/FQL&gt;&lt;FQL&gt;&lt;Q&gt;SKYW-US^FF_DEBT_LT(ANN_R,0,,,,,M)&lt;/Q&gt;&lt;R&gt;1&lt;/R&gt;&lt;C&gt;1&lt;/C&gt;&lt;D xsi:type="xsd:double"&gt;3007.383&lt;/D&gt;&lt;/FQL&gt;&lt;FQL&gt;&lt;Q&gt;DAL-US^FF_SHLDRS_EQ(ANN_R,-1,,,,,M)&lt;/Q&gt;&lt;R&gt;1&lt;/R&gt;&lt;C&gt;1&lt;/C&gt;&lt;D xsi:type="xsd:double"&gt;15358&lt;/D&gt;&lt;/FQL&gt;&lt;FQL&gt;&lt;Q&gt;AC-CA^FF_SHLDRS_EQ(ANN_R,-1,,,,,M)&lt;/Q&gt;&lt;R&gt;1&lt;/R&gt;&lt;C&gt;1&lt;/C&gt;&lt;D xsi:type="xsd:double"&gt;4400&lt;/D&gt;&lt;/FQL&gt;&lt;FQL&gt;&lt;Q&gt;AAL-US^FF_SHLDRS_EQ(ANN_R,-1,,,,,M)&lt;/Q&gt;&lt;R&gt;1&lt;/R&gt;&lt;C&gt;1&lt;/C&gt;&lt;D xsi:type="xsd:double"&gt;-118&lt;/D&gt;&lt;/FQL&gt;&lt;FQL&gt;&lt;Q&gt;LUV-US^FF_SHLDRS_EQ(ANN_R,-1,,,,,M)&lt;/Q&gt;&lt;R&gt;1&lt;/R&gt;&lt;C&gt;1&lt;/C&gt;&lt;D xsi:type="xsd:double"&gt;9832&lt;/D&gt;&lt;/FQL&gt;&lt;FQL&gt;&lt;Q&gt;ALK-US^FF_SHLDRS_EQ(ANN_R,-1,,,,,M)&lt;/Q&gt;&lt;R&gt;1&lt;/R&gt;&lt;C&gt;1&lt;/C&gt;&lt;D xsi:type="xsd:double"&gt;4331&lt;/D&gt;&lt;/FQL&gt;&lt;FQL&gt;&lt;Q&gt;SKYW-US^FF_SHLDRS_EQ(ANN_R,-1,,,,,M)&lt;/Q&gt;&lt;R&gt;1&lt;/R&gt;&lt;C&gt;1&lt;/C&gt;&lt;D xsi:type="xsd:double"&gt;2175.014&lt;/D&gt;&lt;/FQL&gt;&lt;FQL&gt;&lt;Q&gt;DAL-US^FF_SHLDRS_EQ(ANN_R,0,,,,,M)&lt;/Q&gt;&lt;R&gt;1&lt;/R&gt;&lt;C&gt;1&lt;/C&gt;&lt;D xsi:type="xsd:double"&gt;1534&lt;/D&gt;&lt;/FQL&gt;&lt;FQL&gt;&lt;Q&gt;AC-CA^FF_SHLDRS_EQ(ANN_R,0,,,,,M)&lt;/Q&gt;&lt;R&gt;1&lt;/R&gt;&lt;C&gt;1&lt;/C&gt;&lt;D xsi:type="xsd:double"&gt;1715&lt;/D&gt;&lt;/FQL&gt;&lt;FQL&gt;&lt;Q&gt;AAL-US^FF_SHLDRS_EQ(ANN_R,0,,,,,M)&lt;/Q&gt;&lt;R&gt;1&lt;/R&gt;&lt;C&gt;1&lt;/C&gt;&lt;D xsi:type="xsd:double"&gt;-6867&lt;/D&gt;&lt;/FQL&gt;&lt;FQL&gt;&lt;Q&gt;LUV-US^FF_SHLDRS_EQ(ANN_R,0,,,,,M)&lt;/Q&gt;&lt;R&gt;1&lt;/R&gt;&lt;C&gt;1&lt;/C&gt;&lt;D xsi:type="xsd:double"&gt;8876&lt;/D&gt;&lt;/FQL&gt;&lt;FQL&gt;&lt;Q&gt;ALK-US^FF_SHLDRS_EQ(ANN_R,0,,,,,M)&lt;/Q&gt;&lt;R&gt;1&lt;/R&gt;&lt;C&gt;1&lt;/C&gt;&lt;D xsi:type="xsd:double"&gt;2988&lt;/D&gt;&lt;/FQL&gt;&lt;FQL&gt;&lt;Q&gt;SKYW-US^FF_SHLDRS_EQ(ANN_R,0,,,,,M)&lt;/Q&gt;&lt;R&gt;1&lt;/R&gt;&lt;C&gt;1&lt;/C&gt;&lt;D xsi:type="xsd:double"&gt;2139.545&lt;/D&gt;&lt;/FQL&gt;&lt;FQL&gt;&lt;Q&gt;DAL-US^FF_CASH_ST(ANN_R,-1,,,,,M)&lt;/Q&gt;&lt;R&gt;1&lt;/R&gt;&lt;C&gt;1&lt;/C&gt;&lt;D xsi:type="xsd:double"&gt;3094&lt;/D&gt;&lt;/FQL&gt;&lt;FQL&gt;&lt;Q&gt;AC-CA^FF_CASH_ST(ANN_R,-1,,,,,M)&lt;/Q&gt;&lt;R&gt;1&lt;/R&gt;&lt;C&gt;1&lt;/C&gt;&lt;D xsi:type="xsd:double"&gt;6046&lt;/D&gt;&lt;/FQL&gt;&lt;FQL&gt;&lt;Q&gt;AAL-US^FF_CASH_ST(ANN_R,-1,,,,,M)&lt;/Q&gt;&lt;R&gt;1&lt;/R&gt;&lt;C&gt;1&lt;/C&gt;&lt;D xsi:type="xsd:double"&gt;3984&lt;/D&gt;&lt;/FQL&gt;&lt;FQL&gt;&lt;Q&gt;LUV-US^FF_CASH_ST(ANN_R,-1,,,,,M)&lt;/Q&gt;&lt;R&gt;1&lt;/R&gt;&lt;C&gt;1&lt;/C&gt;&lt;D xsi:type="xsd:double"&gt;4072&lt;/D&gt;&lt;/FQL&gt;&lt;FQL&gt;&lt;Q&gt;ALK-US^FF_CASH_ST(ANN_R,-1,,,,,M)&lt;/Q&gt;&lt;R&gt;1&lt;/R&gt;&lt;C&gt;1&lt;/C&gt;&lt;D xsi:type="xsd:double"&gt;1521&lt;/D&gt;&lt;/FQL&gt;&lt;FQL&gt;&lt;Q&gt;SKYW-US^FF_CASH_ST(ANN_R,-1,,,,,M)&lt;/Q&gt;&lt;R&gt;1&lt;/R&gt;&lt;C&gt;1&lt;/C&gt;&lt;D xsi:type="xsd:double"&gt;520.172&lt;/D&gt;&lt;/FQL&gt;&lt;FQL&gt;&lt;Q&gt;DAL-US^FF_CASH_ST(ANN_R,0,,,,,M)&lt;/Q&gt;&lt;R&gt;1&lt;/R&gt;&lt;C&gt;1&lt;/C&gt;&lt;D xsi:type="xsd:double"&gt;14288&lt;/D&gt;&lt;/FQL&gt;&lt;FQL&gt;&lt;Q&gt;AC-CA^FF_CASH_ST(ANN_R,0,,,,,M)&lt;/Q&gt;&lt;R&gt;1&lt;/R&gt;&lt;C&gt;1&lt;/C&gt;&lt;D xsi:type="xsd:double"&gt;7607&lt;/D&gt;&lt;/FQL&gt;&lt;FQL&gt;&lt;Q&gt;AAL-US^FF_CASH_ST(ANN_R,0,,,,,M)&lt;/Q&gt;&lt;R&gt;1&lt;/R&gt;&lt;C&gt;1&lt;/C&gt;&lt;D xsi:type="xsd:double"&gt;7473&lt;/D&gt;&lt;/FQL&gt;&lt;FQL&gt;&lt;Q&gt;LUV-US^FF_CASH_ST(ANN_R,0,,,,,M)&lt;/Q&gt;&lt;R&gt;1&lt;/R&gt;&lt;C&gt;1&lt;/C&gt;&lt;D xsi:type="xsd:double"&gt;13334&lt;/D&gt;&lt;/FQL&gt;&lt;FQL&gt;&lt;Q&gt;ALK-US^FF_CASH_ST(ANN_R,0,,,,,M)&lt;/Q&gt;&lt;R&gt;1&lt;/R&gt;&lt;C&gt;1&lt;/C&gt;&lt;D xsi:type="xsd:double"&gt;3346&lt;/D&gt;&lt;/FQL&gt;&lt;FQL&gt;&lt;Q&gt;SKYW-US^FF_CASH_ST(ANN_R,0,,,,,M)&lt;/Q&gt;&lt;R&gt;1&lt;/R&gt;&lt;C&gt;1&lt;/C&gt;&lt;D xsi:type="xsd:double"&gt;825.908&lt;/D&gt;&lt;/FQL&gt;&lt;FQL&gt;&lt;Q&gt;DAL-US^JULIAN(FG_PRICE(0Y).DATES)&lt;/Q&gt;&lt;R&gt;1&lt;/R&gt;&lt;C&gt;1&lt;/C&gt;&lt;D xsi:type="xsd:long"&gt;44196&lt;/D&gt;&lt;/FQL&gt;&lt;FQL&gt;&lt;Q&gt;AC-CA^JULIAN(FG_PRICE(0Y).DATES)&lt;/Q&gt;&lt;R&gt;1&lt;/R&gt;&lt;C&gt;1&lt;/C&gt;&lt;D xsi:type="xsd:long"&gt;44196&lt;/D&gt;&lt;/FQL&gt;&lt;FQL&gt;&lt;Q&gt;AAL-US^JULIAN(FG_PRICE(0Y).DATES)&lt;/Q&gt;&lt;R&gt;1&lt;/R&gt;&lt;C&gt;1&lt;/C&gt;&lt;D xsi:type="xsd:long"&gt;44196&lt;/D&gt;&lt;/FQL&gt;&lt;FQL&gt;&lt;Q&gt;LUV-US^JULIAN(FG_PRICE(0Y).DATES)&lt;/Q&gt;&lt;R&gt;1&lt;/R&gt;&lt;C&gt;1&lt;/C&gt;&lt;D xsi:type="xsd:long"&gt;44196&lt;/D&gt;&lt;/FQL&gt;&lt;FQL&gt;&lt;Q&gt;ALK-US^JULIAN(FG_PRICE(0Y).DATES)&lt;/Q&gt;&lt;R&gt;1&lt;/R&gt;&lt;C&gt;1&lt;/C&gt;&lt;D xsi:type="xsd:long"&gt;44196&lt;/D&gt;&lt;/FQL&gt;&lt;FQL&gt;&lt;Q&gt;SKYW-US^JULIAN(FG_PRICE(0Y).DATES)&lt;/Q&gt;&lt;R&gt;1&lt;/R&gt;&lt;C&gt;1&lt;/C&gt;&lt;D xsi:type="xsd:long"&gt;44196&lt;/D&gt;&lt;/FQL&gt;&lt;FQL&gt;&lt;Q&gt;DAL-US^FG_PRICE(-1Y)&lt;/Q&gt;&lt;R&gt;1&lt;/R&gt;&lt;C&gt;1&lt;/C&gt;&lt;D xsi:type="xsd:double"&gt;58.48&lt;/D&gt;&lt;/FQL&gt;&lt;FQL&gt;&lt;Q&gt;AC-CA^FG_PRICE(-1Y)&lt;/Q&gt;&lt;R&gt;1&lt;/R&gt;&lt;C&gt;1&lt;/C&gt;&lt;D xsi:type="xsd:double"&gt;48.51&lt;/D&gt;&lt;/FQL&gt;&lt;FQL&gt;&lt;Q&gt;AAL-US^FG_PRICE(-1Y)&lt;/Q&gt;&lt;R&gt;1&lt;/R&gt;&lt;C&gt;1&lt;/C&gt;&lt;D xsi:type="xsd:double"&gt;28.68&lt;/D&gt;&lt;/FQL&gt;&lt;FQL&gt;&lt;Q&gt;LUV-US^FG_PRICE(-1Y)&lt;/Q&gt;&lt;R&gt;1&lt;/R&gt;&lt;C&gt;1&lt;/C&gt;&lt;D xsi:type="xsd:double"&gt;53.98&lt;/D&gt;&lt;/FQL&gt;&lt;FQL&gt;&lt;Q&gt;ALK-US^FG_PRICE(-1Y)&lt;/Q&gt;&lt;R&gt;1&lt;/R&gt;&lt;C&gt;1&lt;/C&gt;&lt;D xsi:type="xsd:double"&gt;67.75&lt;/D&gt;&lt;/FQL&gt;&lt;FQL&gt;&lt;Q&gt;SKYW-US^FG_PRICE(-1Y)&lt;/Q&gt;&lt;R&gt;1&lt;/R&gt;&lt;C&gt;1&lt;/C&gt;&lt;D xsi:type="xsd:double"&gt;64.63&lt;/D&gt;&lt;/FQL&gt;&lt;FQL&gt;&lt;Q&gt;DAL-US^FG_PRICE(0Y)&lt;/Q&gt;&lt;R&gt;1&lt;/R&gt;&lt;C&gt;1&lt;/C&gt;&lt;D xsi:type="xsd:double"&gt;40.21&lt;/D&gt;&lt;/FQL&gt;&lt;FQL&gt;&lt;Q&gt;AC-CA^FG_PRICE(0Y)&lt;/Q&gt;&lt;R&gt;1&lt;/R&gt;&lt;C&gt;1&lt;/C&gt;&lt;D xsi:type="xsd:double"&gt;22.77&lt;/D&gt;&lt;/FQL&gt;&lt;FQL&gt;&lt;Q&gt;AAL-US^FG_PRICE(0Y)&lt;/Q&gt;&lt;R&gt;1&lt;/R&gt;&lt;C&gt;1&lt;/C&gt;&lt;D xsi:type="xsd:double"&gt;15.77&lt;/D&gt;&lt;/FQL&gt;&lt;FQL&gt;&lt;Q&gt;LUV-US^FG_PRICE(0Y)&lt;/Q&gt;&lt;R&gt;1&lt;/R&gt;&lt;C&gt;1&lt;/C&gt;&lt;D xsi:type="xsd:double"&gt;46.61&lt;/D&gt;&lt;/FQL&gt;&lt;FQL&gt;&lt;Q&gt;ALK-US^FG_PRICE(0Y)&lt;/Q&gt;&lt;R&gt;1&lt;/R&gt;&lt;C&gt;1&lt;/C&gt;&lt;D xsi:type="xsd:double"&gt;52&lt;/D&gt;&lt;/FQL&gt;&lt;FQL&gt;&lt;Q&gt;SKYW-US^FG_PRICE(0Y)&lt;/Q&gt;&lt;R&gt;1&lt;/R&gt;&lt;C&gt;1&lt;/C&gt;&lt;D xsi:type="xsd:double"&gt;40.31&lt;/D&gt;&lt;/FQL&gt;&lt;FQL&gt;&lt;Q&gt;DAL-US^FF_COM_SHS_OUT_EPS_DIL(ANN_R,-1Y)&lt;/Q&gt;&lt;R&gt;1&lt;/R&gt;&lt;C&gt;1&lt;/C&gt;&lt;D xsi:type="xsd:double"&gt;653&lt;/D&gt;&lt;/FQL&gt;&lt;FQL&gt;&lt;Q&gt;AC-CA^FF_COM_SHS_OUT_EPS_DIL(ANN_R,-1Y)&lt;/Q&gt;&lt;R&gt;1&lt;/R&gt;&lt;C&gt;1&lt;/C&gt;&lt;D xsi:type="xsd:double"&gt;272&lt;/D&gt;&lt;/FQL&gt;&lt;FQL&gt;&lt;Q&gt;AAL-US^FF_COM_SHS_OUT_EPS_DIL(ANN_R,-1Y)&lt;/Q&gt;&lt;R&gt;1&lt;/R&gt;&lt;C&gt;1&lt;/C&gt;&lt;D xsi:type="xsd:double"&gt;444.269&lt;/D&gt;&lt;/FQL&gt;&lt;FQL&gt;&lt;Q&gt;LUV-US^FF_COM_SHS_OUT_EPS_DIL(ANN_R,-1Y)&lt;/Q&gt;&lt;R&gt;1&lt;/R&gt;&lt;C&gt;1&lt;/C&gt;&lt;D xsi:type="xsd:double"&gt;539&lt;/D&gt;&lt;/FQL&gt;&lt;FQL&gt;&lt;Q&gt;ALK-US^FF_COM_SHS_OUT_EPS_DIL(ANN_R,-1Y)&lt;/Q&gt;&lt;R&gt;1&lt;/R&gt;&lt;C&gt;1&lt;/C&gt;&lt;D xsi:type="xsd:double"&gt;124.289&lt;/D&gt;&lt;/FQL&gt;&lt;FQL&gt;&lt;Q&gt;SKYW-US^FF_COM_SHS_OUT_EPS_DIL(ANN_R,-1Y)&lt;/Q&gt;&lt;R&gt;1&lt;/R&gt;&lt;C&gt;1&lt;/C&gt;&lt;D xsi:type="xsd:double"&gt;51.375&lt;/D&gt;&lt;/FQL&gt;&lt;FQL&gt;&lt;Q&gt;DAL-US^FF_COM_SHS_OUT_EPS_DIL(ANN_R,0Y)&lt;/Q&gt;&lt;R&gt;1&lt;/R&gt;&lt;C&gt;1&lt;/C&gt;&lt;D xsi:type="xsd:double"&gt;636&lt;/D&gt;&lt;/FQL&gt;&lt;FQL&gt;&lt;Q&gt;AC-CA^FF_COM_SHS_OUT_EPS_DIL(ANN_R,0Y)&lt;/Q&gt;&lt;R&gt;1&lt;/R&gt;&lt;C&gt;1&lt;/C&gt;&lt;D xsi:type="xsd:double"&gt;282&lt;/D&gt;&lt;/FQL&gt;&lt;FQL&gt;&lt;Q&gt;AAL-US^FF_COM_SHS_OUT_EPS_DIL(ANN_R,0Y)&lt;/Q&gt;&lt;R&gt;1&lt;/R&gt;&lt;C&gt;1&lt;/C&gt;&lt;D xsi:type="xsd:double"&gt;483.888&lt;/D&gt;&lt;/FQL&gt;&lt;FQL&gt;&lt;Q&gt;LUV-US^FF_COM_SHS_OUT_EPS_DIL(ANN_R,0Y)&lt;/Q&gt;&lt;R&gt;1&lt;/R&gt;&lt;C&gt;1&lt;/C&gt;&lt;D xsi:type="xsd:double"&gt;565&lt;/D&gt;&lt;/FQL&gt;&lt;FQL&gt;&lt;Q&gt;ALK-US^FF_COM_SHS_OUT_EPS_DIL(ANN_R,0Y)&lt;/Q&gt;&lt;R&gt;1&lt;/R&gt;&lt;C&gt;1&lt;/C&gt;&lt;D xsi:type="xsd:double"&gt;123.45&lt;/D&gt;&lt;/FQL&gt;&lt;FQL&gt;&lt;Q&gt;SKYW-US^FF_COM_SHS_OUT_EPS_DIL(ANN_R,0Y)&lt;/Q&gt;&lt;R&gt;1&lt;/R&gt;&lt;C&gt;1&lt;/C&gt;&lt;D xsi:type="xsd:double"&gt;50.195&lt;/D&gt;&lt;/FQL&gt;&lt;FQL&gt;&lt;Q&gt;DAL-US^FI_WAVG_COST_DEBT(0,,,YTM)&lt;/Q&gt;&lt;R&gt;1&lt;/R&gt;&lt;C&gt;1&lt;/C&gt;&lt;D xsi:type="xsd:double"&gt;2.490924&lt;/D&gt;&lt;/FQL&gt;&lt;FQL&gt;&lt;Q&gt;AC-CA^FI_WAVG_COST_DEBT(0,,,YTM)&lt;/Q&gt;&lt;R&gt;1&lt;/R&gt;&lt;C&gt;1&lt;/C&gt;&lt;D xsi:type="xsd:double"&gt;4.2963395&lt;/D&gt;&lt;/FQL&gt;&lt;FQL&gt;&lt;Q&gt;AAL-US^FI_WAVG_COST_DEBT(0,,,YTM)&lt;/Q&gt;&lt;R&gt;1&lt;/R&gt;&lt;C&gt;1&lt;/C&gt;&lt;D xsi:type="xsd:double"&gt;4.698739&lt;/D&gt;&lt;/FQL&gt;&lt;FQL&gt;&lt;Q&gt;LUV-US^FI_WAVG_COST_DEBT(0,,,YTM)&lt;/Q&gt;&lt;R&gt;1&lt;/R&gt;&lt;C&gt;1&lt;/C&gt;&lt;D xsi:type="xsd:double"&gt;1.9773685&lt;/D&gt;&lt;/FQL&gt;&lt;FQL&gt;&lt;Q&gt;DAL-US^FF_OPER_LEASE_COMMIT_YR1(ANN_R,0)&lt;/Q&gt;&lt;R&gt;1&lt;/R&gt;&lt;C&gt;1&lt;/C&gt;&lt;D xsi:type="xsd:double"&gt;746&lt;/D&gt;&lt;/FQL&gt;&lt;FQL&gt;&lt;Q&gt;AC-CA^FF_OPER_LEASE_COMMIT_YR1(ANN_R,0)&lt;/Q&gt;&lt;R&gt;1&lt;/R&gt;&lt;C&gt;1&lt;/C&gt;&lt;D xsi:type="xsd:double"&gt;544&lt;/D&gt;&lt;/FQL&gt;&lt;FQL&gt;&lt;Q&gt;AAL-US^FF_OPER_LEASE_COMMIT_YR1(ANN_R,0)&lt;/Q&gt;&lt;R&gt;1&lt;/R&gt;&lt;C&gt;1&lt;/C&gt;&lt;D xsi:type="xsd:double"&gt;812&lt;/D&gt;&lt;/FQL&gt;&lt;FQL&gt;&lt;Q&gt;LUV-US^FF_OPER_LEASE_COMMIT_YR1(ANN_R,0)&lt;/Q&gt;&lt;R&gt;1&lt;/R&gt;&lt;C&gt;1&lt;/C&gt;&lt;D xsi:type="xsd:double"&gt;156&lt;/D&gt;&lt;/FQL&gt;&lt;FQL&gt;&lt;Q&gt;ALK-US^FF_OPER_LEASE_COMMIT_YR1(ANN_R,0)&lt;/Q&gt;&lt;R&gt;1&lt;/R&gt;&lt;C&gt;1&lt;/C&gt;&lt;D xsi:type="xsd:double"&gt;338&lt;/D&gt;&lt;/FQL&gt;&lt;FQL&gt;&lt;Q&gt;SKYW-US^FF_OPER_LEASE_COMMIT_YR1(ANN_R,0)&lt;/Q&gt;&lt;R&gt;1&lt;/R&gt;&lt;C&gt;1&lt;/C&gt;&lt;D xsi:type="xsd:double"&gt;85.869&lt;/D&gt;&lt;/FQL&gt;&lt;FQL&gt;&lt;Q&gt;DAL-US^FF_OPER_LEASE_COMMIT_YR2(ANN_R,0)&lt;/Q&gt;&lt;R&gt;1&lt;/R&gt;&lt;C&gt;1&lt;/C&gt;&lt;D xsi:type="xsd:double"&gt;949&lt;/D&gt;&lt;/FQL&gt;&lt;FQL&gt;&lt;Q&gt;AC-CA^FF_OPER_LEASE_COMMIT_YR2(ANN_R,0)&lt;/Q&gt;&lt;R&gt;1&lt;/R&gt;&lt;C&gt;1&lt;/C&gt;&lt;D xsi:type="xsd:double"&gt;471&lt;/D&gt;&lt;/FQL&gt;&lt;FQL&gt;&lt;Q&gt;AAL-US^FF_OPER_LEASE_COMMIT_YR2(ANN_R,0)&lt;/Q&gt;&lt;R&gt;1&lt;/R&gt;&lt;C&gt;1&lt;/C&gt;&lt;D xsi:type="xsd:double"&gt;1946&lt;/D&gt;&lt;/FQL&gt;&lt;FQL&gt;&lt;Q&gt;LUV-US^FF_OPER_LEASE_COMMIT_YR2(ANN_R,0)&lt;/Q&gt;&lt;R&gt;1&lt;/R&gt;&lt;C&gt;1&lt;/C&gt;&lt;D xsi:type="xsd:double"&gt;371&lt;/D&gt;&lt;/FQL&gt;&lt;FQL&gt;&lt;Q&gt;ALK-US^FF_OPER_LEASE_COMMIT_YR2(ANN_R,0)&lt;/Q&gt;&lt;R&gt;1&lt;/R&gt;&lt;C&gt;1&lt;/C&gt;&lt;D xsi:type="xsd:double"&gt;288&lt;/D&gt;&lt;/FQL&gt;&lt;FQL&gt;&lt;Q&gt;SKYW-US^FF_OPER_LEASE_COMMIT_YR2(ANN_R,0)&lt;/Q&gt;&lt;R&gt;1&lt;/R&gt;&lt;C&gt;1&lt;/C&gt;&lt;D xsi:type="xsd:double"&gt;77.78&lt;/D&gt;&lt;/FQL&gt;&lt;FQL&gt;&lt;Q&gt;DAL-US^FF_OPER_LEASE_COMMIT_YR3(ANN_R,0)&lt;/Q&gt;&lt;R&gt;1&lt;/R&gt;&lt;C&gt;1&lt;/C&gt;&lt;D xsi:type="xsd:double"&gt;848&lt;/D&gt;&lt;/FQL&gt;&lt;FQL&gt;&lt;Q&gt;AC-CA^FF_OPER_LEASE_COMMIT_YR3(ANN_R,0)&lt;/Q&gt;&lt;R&gt;1&lt;/</t>
        </r>
      </text>
    </comment>
    <comment ref="A15" authorId="0" shapeId="0" xr:uid="{2F13378D-C9C5-4631-9C3E-20D6675A4684}">
      <text>
        <r>
          <rPr>
            <b/>
            <sz val="9"/>
            <color indexed="81"/>
            <rFont val="Tahoma"/>
            <charset val="1"/>
          </rPr>
          <t>R&gt;&lt;C&gt;1&lt;/C&gt;&lt;D xsi:type="xsd:double"&gt;465&lt;/D&gt;&lt;/FQL&gt;&lt;FQL&gt;&lt;Q&gt;AAL-US^FF_OPER_LEASE_COMMIT_YR3(ANN_R,0)&lt;/Q&gt;&lt;R&gt;1&lt;/R&gt;&lt;C&gt;1&lt;/C&gt;&lt;D xsi:type="xsd:double"&gt;1777&lt;/D&gt;&lt;/FQL&gt;&lt;FQL&gt;&lt;Q&gt;LUV-US^FF_OPER_LEASE_COMMIT_YR3(ANN_R,0)&lt;/Q&gt;&lt;R&gt;1&lt;/R&gt;&lt;C&gt;1&lt;/C&gt;&lt;D xsi:type="xsd:double"&gt;253&lt;/D&gt;&lt;/FQL&gt;&lt;FQL&gt;&lt;Q&gt;ALK-US^FF_OPER_LEASE_COMMIT_YR3(ANN_R,0)&lt;/Q&gt;&lt;R&gt;1&lt;/R&gt;&lt;C&gt;1&lt;/C&gt;&lt;D xsi:type="xsd:double"&gt;228&lt;/D&gt;&lt;/FQL&gt;&lt;FQL&gt;&lt;Q&gt;SKYW-US^FF_OPER_LEASE_COMMIT_YR3(ANN_R,0)&lt;/Q&gt;&lt;R&gt;1&lt;/R&gt;&lt;C&gt;1&lt;/C&gt;&lt;D xsi:type="xsd:double"&gt;69.53&lt;/D&gt;&lt;/FQL&gt;&lt;FQL&gt;&lt;Q&gt;DAL-US^FF_OPER_LEASE_COMMIT_YR4(ANN_R,0)&lt;/Q&gt;&lt;R&gt;1&lt;/R&gt;&lt;C&gt;1&lt;/C&gt;&lt;D xsi:type="xsd:double"&gt;837&lt;/D&gt;&lt;/FQL&gt;&lt;FQL&gt;&lt;Q&gt;AC-CA^FF_OPER_LEASE_COMMIT_YR4(ANN_R,0)&lt;/Q&gt;&lt;R&gt;1&lt;/R&gt;&lt;C&gt;1&lt;/C&gt;&lt;D xsi:type="xsd:double"&gt;430&lt;/D&gt;&lt;/FQL&gt;&lt;FQL&gt;&lt;Q&gt;AAL-US^FF_OPER_LEASE_COMMIT_YR4(ANN_R,0)&lt;/Q&gt;&lt;R&gt;1&lt;/R&gt;&lt;C&gt;1&lt;/C&gt;&lt;D xsi:type="xsd:double"&gt;1586&lt;/D&gt;&lt;/FQL&gt;&lt;FQL&gt;&lt;Q&gt;LUV-US^FF_OPER_LEASE_COMMIT_YR4(ANN_R,0)&lt;/Q&gt;&lt;R&gt;1&lt;/R&gt;&lt;C&gt;1&lt;/C&gt;&lt;D xsi:type="xsd:double"&gt;219&lt;/D&gt;&lt;/FQL&gt;&lt;FQL&gt;&lt;Q&gt;ALK-US^FF_OPER_LEASE_COMMIT_YR4(ANN_R,0)&lt;/Q&gt;&lt;R&gt;1&lt;/R&gt;&lt;C&gt;1&lt;/C&gt;&lt;D xsi:type="xsd:double"&gt;175&lt;/D&gt;&lt;/FQL&gt;&lt;FQL&gt;&lt;Q&gt;SKYW-US^FF_OPER_LEASE_COMMIT_YR4(ANN_R,0)&lt;/Q&gt;&lt;R&gt;1&lt;/R&gt;&lt;C&gt;1&lt;/C&gt;&lt;D xsi:type="xsd:double"&gt;28.091&lt;/D&gt;&lt;/FQL&gt;&lt;FQL&gt;&lt;Q&gt;DAL-US^FF_OPER_LEASE_COMMIT_YR5(ANN_R,0)&lt;/Q&gt;&lt;R&gt;1&lt;/R&gt;&lt;C&gt;1&lt;/C&gt;&lt;D xsi:type="xsd:double"&gt;770&lt;/D&gt;&lt;/FQL&gt;&lt;FQL&gt;&lt;Q&gt;AC-CA^FF_OPER_LEASE_COMMIT_YR5(ANN_R,0)&lt;/Q&gt;&lt;R&gt;1&lt;/R&gt;&lt;C&gt;1&lt;/C&gt;&lt;D xsi:type="xsd:double"&gt;410&lt;/D&gt;&lt;/FQL&gt;&lt;FQL&gt;&lt;Q&gt;AAL-US^FF_OPER_LEASE_COMMIT_YR5(ANN_R,0)&lt;/Q&gt;&lt;R&gt;1&lt;/R&gt;&lt;C&gt;1&lt;/C&gt;&lt;D xsi:type="xsd:double"&gt;1192&lt;/D&gt;&lt;/FQL&gt;&lt;FQL&gt;&lt;Q&gt;LUV-US^FF_OPER_LEASE_COMMIT_YR5(ANN_R,0)&lt;/Q&gt;&lt;R&gt;1&lt;/R&gt;&lt;C&gt;1&lt;/C&gt;&lt;D xsi:type="xsd:double"&gt;193&lt;/D&gt;&lt;/FQL&gt;&lt;FQL&gt;&lt;Q&gt;ALK-US^FF_OPER_LEASE_COMMIT_YR5(ANN_R,0)&lt;/Q&gt;&lt;R&gt;1&lt;/R&gt;&lt;C&gt;1&lt;/C&gt;&lt;D xsi:type="xsd:double"&gt;166&lt;/D&gt;&lt;/FQL&gt;&lt;FQL&gt;&lt;Q&gt;SKYW-US^FF_OPER_LEASE_COMMIT_YR5(ANN_R,0)&lt;/Q&gt;&lt;R&gt;1&lt;/R&gt;&lt;C&gt;1&lt;/C&gt;&lt;D xsi:type="xsd:double"&gt;15.751&lt;/D&gt;&lt;/FQL&gt;&lt;FQL&gt;&lt;Q&gt;DAL-US^FF_OPER_LEASE_COMMIT_5YR(ANN_R,0)&lt;/Q&gt;&lt;R&gt;1&lt;/R&gt;&lt;C&gt;1&lt;/C&gt;&lt;D xsi:type="xsd:double"&gt;4450&lt;/D&gt;&lt;/FQL&gt;&lt;FQL&gt;&lt;Q&gt;AC-CA^FF_OPER_LEASE_COMMIT_5YR(ANN_R,0)&lt;/Q&gt;&lt;R&gt;1&lt;/R&gt;&lt;C&gt;1&lt;/C&gt;&lt;D xsi:type="xsd:double"&gt;1276&lt;/D&gt;&lt;/FQL&gt;&lt;FQL&gt;&lt;Q&gt;AAL-US^FF_OPER_LEASE_COMMIT_5YR(ANN_R,0)&lt;/Q&gt;&lt;R&gt;1&lt;/R&gt;&lt;C&gt;1&lt;/C&gt;&lt;D xsi:type="xsd:double"&gt;3307&lt;/D&gt;&lt;/FQL&gt;&lt;FQL&gt;&lt;Q&gt;LUV-US^FF_OPER_LEASE_COMMIT_5YR(ANN_R,0)&lt;/Q&gt;&lt;R&gt;1&lt;/R&gt;&lt;C&gt;1&lt;/C&gt;&lt;D xsi:type="xsd:double"&gt;1156&lt;/D&gt;&lt;/FQL&gt;&lt;FQL&gt;&lt;Q&gt;ALK-US^FF_OPER_LEASE_COMMIT_5YR(ANN_R,0)&lt;/Q&gt;&lt;R&gt;1&lt;/R&gt;&lt;C&gt;1&lt;/C&gt;&lt;D xsi:type="xsd:double"&gt;605&lt;/D&gt;&lt;/FQL&gt;&lt;FQL&gt;&lt;Q&gt;SKYW-US^FF_OPER_LEASE_COMMIT_5YR(ANN_R,0)&lt;/Q&gt;&lt;R&gt;1&lt;/R&gt;&lt;C&gt;1&lt;/C&gt;&lt;D xsi:type="xsd:double"&gt;82.719&lt;/D&gt;&lt;/FQL&gt;&lt;FQL&gt;&lt;Q&gt;DAL-US^FF_EBIT_OPER_INT_COVG(ANN_R,0)&lt;/Q&gt;&lt;R&gt;1&lt;/R&gt;&lt;C&gt;1&lt;/C&gt;&lt;D xsi:type="xsd:double"&gt;-8.91388589881593&lt;/D&gt;&lt;/FQL&gt;&lt;FQL&gt;&lt;Q&gt;AC-CA^FF_EBIT_OPER_INT_COVG(ANN_R,0)&lt;/Q&gt;&lt;R&gt;1&lt;/R&gt;&lt;C&gt;1&lt;/C&gt;&lt;D xsi:type="xsd:double"&gt;-5.93292682926829&lt;/D&gt;&lt;/FQL&gt;&lt;FQL&gt;&lt;Q&gt;AAL-US^FF_EBIT_OPER_INT_COVG(ANN_R,0)&lt;/Q&gt;&lt;R&gt;1&lt;/R&gt;&lt;C&gt;1&lt;/C&gt;&lt;D xsi:type="xsd:double"&gt;-9.28035859820701&lt;/D&gt;&lt;/FQL&gt;&lt;FQL&gt;&lt;Q&gt;LUV-US^FF_EBIT_OPER_INT_COVG(ANN_R,0)&lt;/Q&gt;&lt;R&gt;1&lt;/R&gt;&lt;C&gt;1&lt;/C&gt;&lt;D xsi:type="xsd:double"&gt;-13.9851632047478&lt;/D&gt;&lt;/FQL&gt;&lt;FQL&gt;&lt;Q&gt;ALK-US^FF_EBIT_OPER_INT_COVG(ANN_R,0)&lt;/Q&gt;&lt;R&gt;1&lt;/R&gt;&lt;C&gt;1&lt;/C&gt;&lt;D xsi:type="xsd:double"&gt;-17.2551020408163&lt;/D&gt;&lt;/FQL&gt;&lt;FQL&gt;&lt;Q&gt;SKYW-US^FF_EBIT_OPER_INT_COVG(ANN_R,0)&lt;/Q&gt;&lt;R&gt;1&lt;/R&gt;&lt;C&gt;1&lt;/C&gt;&lt;D xsi:type="xsd:double"&gt;-1.89543776476901&lt;/D&gt;&lt;/FQL&gt;&lt;FQL&gt;&lt;Q&gt;DAL-US^FF_OPER_LEASE_COMMIT_YR1(ANN_R,-2)&lt;/Q&gt;&lt;R&gt;1&lt;/R&gt;&lt;C&gt;1&lt;/C&gt;&lt;D xsi:type="xsd:double"&gt;1172&lt;/D&gt;&lt;/FQL&gt;&lt;FQL&gt;&lt;Q&gt;AC-CA^FF_OPER_LEASE_COMMIT_YR1(ANN_R,-2)&lt;/Q&gt;&lt;R&gt;0&lt;/R&gt;&lt;C&gt;0&lt;/C&gt;&lt;/FQL&gt;&lt;FQL&gt;&lt;Q&gt;AAL-US^FF_OPER_LEASE_COMMIT_YR1(ANN_R,-2)&lt;/Q&gt;&lt;R&gt;1&lt;/R&gt;&lt;C&gt;1&lt;/C&gt;&lt;D xsi:type="xsd:double"&gt;1912&lt;/D&gt;&lt;/FQL&gt;&lt;FQL&gt;&lt;Q&gt;LUV-US^FF_OPER_LEASE_COMMIT_YR1(ANN_R,-2)&lt;/Q&gt;&lt;R&gt;1&lt;/R&gt;&lt;C&gt;1&lt;/C&gt;&lt;D xsi:type="xsd:double"&gt;256&lt;/D&gt;&lt;/FQL&gt;&lt;FQL&gt;&lt;Q&gt;ALK-US^FF_OPER_LEASE_COMMIT_YR1(ANN_R,-2)&lt;/Q&gt;&lt;R&gt;1&lt;/R&gt;&lt;C&gt;1&lt;/C&gt;&lt;D xsi:type="xsd:double"&gt;350&lt;/D&gt;&lt;/FQL&gt;&lt;FQL&gt;&lt;Q&gt;SKYW-US^FF_OPER_LEASE_COMMIT_5YR(ANN_R,-9)&lt;/Q&gt;&lt;R&gt;1&lt;/R&gt;&lt;C&gt;1&lt;/C&gt;&lt;D xsi:type="xsd:double"&gt;907.252&lt;/D&gt;&lt;/FQL&gt;&lt;FQL&gt;&lt;Q&gt;DAL-US^FF_OPER_LEASE_COMMIT_YR1(ANN_R,-1)&lt;/Q&gt;&lt;R&gt;1&lt;/R&gt;&lt;C&gt;1&lt;/C&gt;&lt;D xsi:type="xsd:double"&gt;1003&lt;/D&gt;&lt;/FQL&gt;&lt;FQL&gt;&lt;Q&gt;AC-CA^FF_OPER_LEASE_COMMIT_YR1(ANN_R,-1)&lt;/Q&gt;&lt;R&gt;1&lt;/R&gt;&lt;C&gt;1&lt;/C&gt;&lt;D xsi:type="xsd:double"&gt;631&lt;/D&gt;&lt;/FQL&gt;&lt;FQL&gt;&lt;Q&gt;AAL-US^FF_OPER_LEASE_COMMIT_YR1(ANN_R,-1)&lt;/Q&gt;&lt;R&gt;1&lt;/R&gt;&lt;C&gt;1&lt;/C&gt;&lt;D xsi:type="xsd:double"&gt;1990&lt;/D&gt;&lt;/FQL&gt;&lt;FQL&gt;&lt;Q&gt;LUV-US^FF_OPER_LEASE_COMMIT_YR1(ANN_R,-1)&lt;/Q&gt;&lt;R&gt;1&lt;/R&gt;&lt;C&gt;1&lt;/C&gt;&lt;D xsi:type="xsd:double"&gt;392&lt;/D&gt;&lt;/FQL&gt;&lt;FQL&gt;&lt;Q&gt;ALK-US^FF_OPER_LEASE_COMMIT_YR1(ANN_R,-1)&lt;/Q&gt;&lt;R&gt;1&lt;/R&gt;&lt;C&gt;1&lt;/C&gt;&lt;D xsi:type="xsd:double"&gt;335&lt;/D&gt;&lt;/FQL&gt;&lt;FQL&gt;&lt;Q&gt;SKYW-US^FF_OPER_LEASE_COMMIT_YR1(ANN_R,-1)&lt;/Q&gt;&lt;R&gt;1&lt;/R&gt;&lt;C&gt;1&lt;/C&gt;&lt;D xsi:type="xsd:double"&gt;94.806&lt;/D&gt;&lt;/FQL&gt;&lt;FQL&gt;&lt;Q&gt;DAL-US^FF_OPER_LEASE_COMMIT_YR2(ANN_R,-1)&lt;/Q&gt;&lt;R&gt;1&lt;/R&gt;&lt;C&gt;1&lt;/C&gt;&lt;D xsi:type="xsd:double"&gt;836&lt;/D&gt;&lt;/FQL&gt;&lt;FQL&gt;&lt;Q&gt;AC-CA^FF_OPER_LEASE_COMMIT_YR2(ANN_R,-1)&lt;/Q&gt;&lt;R&gt;1&lt;/R&gt;&lt;C&gt;1&lt;/C&gt;&lt;D xsi:type="xsd:double"&gt;483&lt;/D&gt;&lt;/FQL&gt;&lt;FQL&gt;&lt;Q&gt;AAL-US^FF_OPER_LEASE_COMMIT_YR2(ANN_R,-1)&lt;/Q&gt;&lt;R&gt;1&lt;/R&gt;&lt;C&gt;1&lt;/C&gt;&lt;D xsi:type="xsd:double"&gt;1817&lt;/D&gt;&lt;/FQL&gt;&lt;FQL&gt;&lt;Q&gt;LUV-US^FF_OPER_LEASE_COMMIT_YR2(ANN_R,-1)&lt;/Q&gt;&lt;R&gt;1&lt;/R&gt;&lt;C&gt;1&lt;/C&gt;&lt;D xsi:type="xsd:double"&gt;257&lt;/D&gt;&lt;/FQL&gt;&lt;FQL&gt;&lt;Q&gt;ALK-US^FF_OPER_LEASE_COMMIT_YR2(ANN_R,-1)&lt;/Q&gt;&lt;R&gt;1&lt;/R&gt;&lt;C&gt;1&lt;/C&gt;&lt;D xsi:type="xsd:double"&gt;303&lt;/D&gt;&lt;/FQL&gt;&lt;FQL&gt;&lt;Q&gt;SKYW-US^FF_OPER_LEASE_COMMIT_YR2(ANN_R,-1)&lt;/Q&gt;&lt;R&gt;1&lt;/R&gt;&lt;C&gt;1&lt;/C&gt;&lt;D xsi:type="xsd:double"&gt;84.285&lt;/D&gt;&lt;/FQL&gt;&lt;FQL&gt;&lt;Q&gt;DAL-US^FF_OPER_LEASE_COMMIT_YR3(ANN_R,-1)&lt;/Q&gt;&lt;R&gt;1&lt;/R&gt;&lt;C&gt;1&lt;/C&gt;&lt;D xsi:type="xsd:double"&gt;729&lt;/D&gt;&lt;/FQL&gt;&lt;FQL&gt;&lt;Q&gt;AC-CA^FF_OPER_LEASE_COMMIT_YR3(ANN_R,-1)&lt;/Q&gt;&lt;R&gt;1&lt;/R&gt;&lt;C&gt;1&lt;/C&gt;&lt;D xsi:type="xsd:double"&gt;408&lt;/D&gt;&lt;/FQL&gt;&lt;FQL&gt;&lt;Q&gt;AAL-US^FF_OPER_LEASE_COMMIT_YR3(ANN_R,-1)&lt;/Q&gt;&lt;R&gt;1&lt;/R&gt;&lt;C&gt;1&lt;/C&gt;&lt;D xsi:type="xsd:double"&gt;1620&lt;/D&gt;&lt;/FQL&gt;&lt;FQL&gt;&lt;Q&gt;LUV-US^FF_OPER_LEASE_COMMIT_YR3(ANN_R,-1)&lt;/Q&gt;&lt;R&gt;1&lt;/R&gt;&lt;C&gt;1&lt;/C&gt;&lt;D xsi:type="xsd:double"&gt;141&lt;/D&gt;&lt;/FQL&gt;&lt;FQL&gt;&lt;Q&gt;ALK-US^FF_OPER_LEASE_COMMIT_YR3(ANN_R,-1)&lt;/Q&gt;&lt;R&gt;1&lt;/R&gt;&lt;C&gt;1&lt;/C&gt;&lt;D xsi:type="xsd:double"&gt;276&lt;/D&gt;&lt;/FQL&gt;&lt;FQL&gt;&lt;Q&gt;SKYW-US^FF_OPER_LEASE_COMMIT_YR3(ANN_R,-1)&lt;/Q&gt;&lt;R&gt;1&lt;/R&gt;&lt;C&gt;1&lt;/C&gt;&lt;D xsi:type="xsd:double"&gt;73.96&lt;/D&gt;&lt;/FQL&gt;&lt;FQL&gt;&lt;Q&gt;DAL-US^FF_OPER_LEASE_COMMIT_YR4(ANN_R,-1)&lt;/Q&gt;&lt;R&gt;1&lt;/R&gt;&lt;C&gt;1&lt;/C&gt;&lt;D xsi:type="xsd:double"&gt;698&lt;/D&gt;&lt;/FQL&gt;&lt;FQL&gt;&lt;Q&gt;AC-CA^FF_OPER_LEASE_COMMIT_YR4(ANN_R,-1)&lt;/Q&gt;&lt;R&gt;1&lt;/R&gt;&lt;C&gt;1&lt;/C&gt;&lt;D xsi:type="xsd:double"&gt;400&lt;/D&gt;&lt;/FQL&gt;&lt;FQL&gt;&lt;Q&gt;AAL-US^FF_OPER_LEASE_COMMIT_YR4(ANN_R,-1)&lt;/Q&gt;&lt;R&gt;1&lt;/R&gt;&lt;C&gt;1&lt;/C&gt;&lt;D xsi:type="xsd:double"&gt;1429&lt;/D&gt;&lt;/FQL&gt;&lt;FQL&gt;&lt;Q&gt;LUV-US^FF_OPER_LEASE_COMMIT_YR4(ANN_R,-1)&lt;/Q&gt;&lt;R&gt;1&lt;/R&gt;&lt;C&gt;1&lt;/C&gt;&lt;D xsi:type="xsd:double"&gt;113&lt;/D&gt;&lt;/FQL&gt;&lt;FQL&gt;&lt;Q&gt;ALK-US^FF_OPER_LEASE_COMMIT_YR4(ANN_R,-1)&lt;/Q&gt;&lt;R&gt;1&lt;/R&gt;&lt;C&gt;1&lt;/C&gt;&lt;D xsi:type="xsd:double"&gt;219&lt;/D&gt;&lt;/FQL&gt;&lt;FQL&gt;&lt;Q&gt;SKYW-US^FF_OPER_LEASE_COMMIT_YR4(ANN_R,-1)&lt;/Q&gt;&lt;R&gt;1&lt;/R&gt;&lt;C&gt;1&lt;/C&gt;&lt;D xsi:type="xsd:double"&gt;68.581&lt;/D&gt;&lt;/FQL&gt;&lt;FQL&gt;&lt;Q&gt;DAL-US^FF_OPER_LEASE_COMMIT_YR5(ANN_R,-1)&lt;/Q&gt;&lt;R&gt;1&lt;/R&gt;&lt;C&gt;1&lt;/C&gt;&lt;D xsi:type="xsd:double"&gt;628&lt;/D&gt;&lt;/FQL&gt;&lt;FQL&gt;&lt;Q&gt;AC-CA^FF_OPER_LEASE_COMMIT_YR5(ANN_R,-1)&lt;/Q&gt;&lt;R&gt;1&lt;/R&gt;&lt;C&gt;1&lt;/C&gt;&lt;D xsi:type="xsd:double"&gt;364&lt;/D&gt;&lt;/FQL&gt;&lt;FQL&gt;&lt;Q&gt;AAL-US^FF_OPER_LEASE_COMMIT_YR5(ANN_R,-1)&lt;/Q&gt;&lt;R&gt;1&lt;/R&gt;&lt;C&gt;1&lt;/C&gt;&lt;D xsi:type="xsd:double"&gt;1030&lt;/D&gt;&lt;/FQL&gt;&lt;FQL&gt;&lt;Q&gt;LUV-US^FF_OPER_LEASE_COMMIT_YR5(ANN_R,-1)&lt;/Q&gt;&lt;R&gt;1&lt;/R&gt;&lt;C&gt;1&lt;/C&gt;&lt;D xsi:type="xsd:double"&gt;92&lt;/D&gt;&lt;/FQL&gt;&lt;FQL&gt;&lt;Q&gt;ALK-US^FF_OPER_LEASE_COMMIT_YR5(ANN_R,-1)&lt;/Q&gt;&lt;R&gt;1&lt;/R&gt;&lt;C&gt;1&lt;/C&gt;&lt;D xsi:type="xsd:double"&gt;167&lt;/D&gt;&lt;/FQL&gt;&lt;FQL&gt;&lt;Q&gt;SKYW-US^FF_OPER_LEASE_COMMIT_YR5(ANN_R,-1)&lt;/Q&gt;&lt;R&gt;1&lt;/R&gt;&lt;C&gt;1&lt;/C&gt;&lt;D xsi:type="xsd:double"&gt;27.282&lt;/D&gt;&lt;/FQL&gt;&lt;FQL&gt;&lt;Q&gt;DAL-US^FF_OPER_LEASE_COMMIT_5YR(ANN_R,-1)&lt;/Q&gt;&lt;R&gt;1&lt;/R&gt;&lt;C&gt;1&lt;/C&gt;&lt;D xsi:type="xsd:double"&gt;3821&lt;/D&gt;&lt;/FQL&gt;&lt;FQL&gt;&lt;Q&gt;AC-CA^FF_OPER_LEASE_COMMIT_5YR(ANN_R,-1)&lt;/Q&gt;&lt;R&gt;1&lt;/R&gt;&lt;C&gt;1&lt;/C&gt;&lt;D xsi:type="xsd:double"&gt;1173&lt;/D&gt;&lt;/FQL&gt;&lt;FQL&gt;&lt;Q&gt;AAL-US^FF_OPER_LEASE_COMMIT_5YR(ANN_R,-1)&lt;/Q&gt;&lt;R&gt;1&lt;/R&gt;&lt;C&gt;1&lt;/C&gt;&lt;D xsi:type="xsd:double"&gt;3276&lt;/D&gt;&lt;/FQL&gt;&lt;FQL&gt;&lt;Q&gt;LUV-US^FF_OPER_LEASE_COMMIT_5YR(ANN_R,-1)&lt;/Q&gt;&lt;R&gt;1&lt;/R&gt;&lt;C&gt;1&lt;/C&gt;&lt;D xsi:type="xsd:double"&gt;661&lt;/D&gt;&lt;/FQL&gt;&lt;FQL&gt;&lt;Q&gt;ALK-US^FF_OPER_LEASE_COMMIT_5YR(ANN_R,-1)&lt;/Q&gt;&lt;R&gt;1&lt;/R&gt;&lt;C&gt;1&lt;/C&gt;&lt;D xsi:type="xsd:double"&gt;745&lt;/D&gt;&lt;/FQL&gt;&lt;FQL&gt;&lt;Q&gt;SKYW-US^FF_OPER_LEASE_COMMIT_5YR(ANN_R,-1)&lt;/Q&gt;&lt;R&gt;1&lt;/R&gt;&lt;C&gt;1&lt;/C&gt;&lt;D xsi:type="xsd:double"&gt;94.746&lt;/D&gt;&lt;/FQL&gt;&lt;FQL&gt;&lt;Q&gt;DAL-US^FF_CURR_RATIO(ANN_R,0)&lt;/Q&gt;&lt;R&gt;1&lt;/R&gt;&lt;C&gt;1&lt;/C&gt;&lt;D xsi:type="xsd:double"&gt;1.0927356062033&lt;/D&gt;&lt;/FQL&gt;&lt;FQL&gt;&lt;Q&gt;DAL-US^FF_RECEIV_ST(ANN_R,0)&lt;/Q&gt;&lt;R&gt;1&lt;/R&gt;&lt;C&gt;1&lt;/C&gt;&lt;D xsi:type="xsd:double"&gt;1396&lt;/D&gt;&lt;/FQL&gt;&lt;FQL&gt;&lt;Q&gt;DAL-US^FF_LIABS_CURR(ANN_R,0)&lt;/Q&gt;&lt;R&gt;1&lt;/R&gt;&lt;C&gt;1&lt;/C&gt;&lt;D xsi:type="xsd:double"&gt;15927&lt;/D&gt;&lt;/FQL&gt;&lt;FQL&gt;&lt;Q&gt;DAL-US^FF_QUICK_RATIO(ANN_R,0)&lt;/Q&gt;&lt;R&gt;1&lt;/R&gt;&lt;C&gt;1&lt;/C&gt;&lt;D xsi:type="xsd:double"&gt;1.0467759151127&lt;/D&gt;&lt;/FQL&gt;&lt;FQL&gt;&lt;Q&gt;DAL-US^FF_CASH_RATIO(ANN_R,0)&lt;/Q&gt;&lt;R&gt;1&lt;/R&gt;&lt;C&gt;1&lt;/C&gt;&lt;D xsi:type="xsd:double"&gt;0.897092986752056&lt;/D&gt;&lt;/FQL&gt;&lt;FQL&gt;&lt;Q&gt;DAL-US^FF_RECEIV_TURN(ANN_R,0)&lt;/Q&gt;&lt;R&gt;1&lt;/R&gt;&lt;C&gt;1&lt;/C&gt;&lt;D xsi:type="xsd:double"&gt;8.04470588235294&lt;/D&gt;&lt;/FQL&gt;&lt;FQL&gt;&lt;Q&gt;DAL-US^FF_INVEN_TURN(ANN_R,0)&lt;/Q&gt;&lt;R&gt;1&lt;/R&gt;&lt;C&gt;1&lt;/C&gt;&lt;D xsi:type="xsd:double"&gt;23.8335854765507&lt;/D&gt;&lt;/FQL&gt;&lt;FQL&gt;&lt;Q&gt;DAL-US^FF_PAY_TURN(ANN_R,0)&lt;/Q&gt;&lt;R&gt;1&lt;/R&gt;&lt;C&gt;1&lt;/C&gt;&lt;D xsi:type="xsd:double"&gt;7.5703&lt;/D&gt;&lt;/FQL&gt;&lt;FQL&gt;&lt;Q&gt;DAL-US^FF_INVEN_DAYS(ANN_R,0)&lt;/Q&gt;&lt;R&gt;1&lt;/R&gt;&lt;C&gt;1&lt;/C&gt;&lt;D xsi:type="xsd:double"&gt;15.3145232956709&lt;/D&gt;&lt;/FQL&gt;&lt;FQL&gt;&lt;Q&gt;DAL-US^FF_PAY_TURN_DAYS(ANN_R,0)&lt;/Q&gt;&lt;R&gt;1&lt;/R&gt;&lt;C&gt;1&lt;/C&gt;&lt;D xsi:type="xsd:double"&gt;48.2147338942975&lt;/D&gt;&lt;/FQL&gt;&lt;FQL&gt;&lt;Q&gt;DAL-US^FF_CASH_CONV_CYCLE(ANN_R,0)&lt;/Q&gt;&lt;R&gt;1&lt;/R&gt;&lt;C&gt;1&lt;/C&gt;&lt;D xsi:type="xsd:double"&gt;12.4712430427891&lt;/D&gt;&lt;/FQL&gt;&lt;FQL&gt;&lt;Q&gt;DAL-US^FF_WKCAP(ANN_R,0)&lt;/Q&gt;&lt;R&gt;1&lt;/R&gt;&lt;C&gt;1&lt;/C&gt;&lt;D xsi:type="xsd:double"&gt;1477&lt;/D&gt;&lt;/FQL&gt;&lt;FQL&gt;&lt;Q&gt;DAL-US^FF_WKCAP(ANN_R,-1)&lt;/Q&gt;&lt;R&gt;1&lt;/R&gt;&lt;C&gt;1&lt;/C&gt;&lt;D xsi:type="xsd:double"&gt;-11955&lt;/D&gt;&lt;/FQL&gt;&lt;FQL&gt;&lt;Q&gt;DAL-US^FF_GROSS_MGN(ANN_R,0)&lt;/Q&gt;&lt;R&gt;1&lt;/R&gt;&lt;C&gt;1&lt;/C&gt;&lt;D xsi:type="xsd:double"&gt;-38.2334015794092&lt;/D&gt;&lt;/FQL&gt;&lt;FQL&gt;&lt;Q&gt;DAL-US^FF_NET_MGN(ANN_R,0)&lt;/Q&gt;&lt;R&gt;1&lt;/R&gt;&lt;C&gt;1&lt;/C&gt;&lt;D xsi:type="xsd:double"&gt;-72.4480842351565&lt;/D&gt;&lt;/FQL&gt;&lt;FQL&gt;&lt;Q&gt;DAL-US^FF_PTX_INC(ANN_R,0)&lt;/Q&gt;&lt;R&gt;1&lt;/R&gt;&lt;C&gt;1&lt;/C&gt;&lt;D xsi:type="xsd:double"&gt;-15587&lt;/D&gt;&lt;/FQL&gt;&lt;FQL&gt;&lt;Q&gt;DAL-US^FF_ASSET_TURN(ANN_R,0)&lt;/Q&gt;&lt;R&gt;1&lt;/R&gt;&lt;C&gt;1&lt;/C&gt;&lt;D xsi:type="xsd:double"&gt;0.250424821282081&lt;/D&gt;&lt;/FQL&gt;&lt;FQL&gt;&lt;Q&gt;DAL-US^FF_AVG_ASSETS(ANN_R,0)&lt;/Q&gt;&lt;R&gt;1&lt;/R&gt;&lt;C&gt;1&lt;/C&gt;&lt;D xsi:type="xsd:double"&gt;68264&lt;/D&gt;&lt;/FQL&gt;&lt;FQL&gt;&lt;Q&gt;DAL-US^FF_AVG_SHLDRS_EQ(ANN_R,0)&lt;/Q&gt;&lt;R&gt;1&lt;/R&gt;&lt;C&gt;1&lt;/C&gt;&lt;D xsi:type="xsd:double"&gt;8446&lt;/D&gt;&lt;/FQL&gt;&lt;FQL&gt;&lt;Q&gt;DAL-US^FF_TOT_DEBT_TCAP_STD(ANN_R,0)&lt;/Q&gt;&lt;R&gt;1&lt;/R&gt;&lt;C&gt;1&lt;/C&gt;&lt;D xsi:type="xsd:double"&gt;95.8632220484332&lt;/D&gt;&lt;/FQL&gt;&lt;FQL&gt;&lt;Q&gt;DAL-US^FF_DEBT_EQ(ANN_R,0)&lt;/Q&gt;&lt;R&gt;1&lt;/R&gt;&lt;C&gt;1&lt;/C&gt;&lt;D xsi:type="xsd:double"&gt;2317.34028683181&lt;/D&gt;&lt;/FQL&gt;&lt;FQL&gt;&lt;Q&gt;AC-CA^FF_CURR_RATIO(ANN_R,0)&lt;/Q&gt;&lt;R&gt;1&lt;/R&gt;&lt;C&gt;1&lt;/C&gt;&lt;D xsi:type="xsd:double"&gt;1.21459588177616&lt;/D&gt;&lt;/FQL&gt;&lt;FQL&gt;&lt;Q&gt;AAL-US^FF_CURR_RATIO(ANN_R,0)&lt;/Q&gt;&lt;R&gt;1&lt;/R&gt;&lt;C&gt;1&lt;/C&gt;&lt;D xsi:type="xsd:double"&gt;0.669623996620194&lt;/D&gt;&lt;/FQL&gt;&lt;FQL&gt;&lt;Q&gt;LUV-US^FF_CURR_RATIO(ANN_R,0)&lt;/Q&gt;&lt;R&gt;1&lt;/R&gt;&lt;C&gt;1&lt;/C&gt;&lt;D xsi:type="xsd:double"&gt;2.02144950706102&lt;/D&gt;&lt;/FQL&gt;&lt;FQL&gt;&lt;Q&gt;ALK-US^FF_CURR_RATIO(ANN_R,0)&lt;/Q&gt;&lt;R&gt;1&lt;/R&gt;&lt;C&gt;1&lt;/C&gt;&lt;D xsi:type="xsd:double"&gt;0.933146983461449&lt;/D&gt;&lt;/FQL&gt;&lt;FQL&gt;&lt;Q&gt;SKYW-US^FF_CURR_RATIO(ANN_R,0)&lt;/Q&gt;&lt;R&gt;1&lt;/R&gt;&lt;C&gt;1&lt;/C&gt;&lt;D xsi:type="xsd:double"&gt;1.04362221547336&lt;/D&gt;&lt;/FQL&gt;&lt;FQL&gt;&lt;Q&gt;AC-CA^FF_RECEIV_ST(ANN_R,0)&lt;/Q&gt;&lt;R&gt;1&lt;/R&gt;&lt;C&gt;1&lt;/C&gt;&lt;D xsi:type="xsd:double"&gt;644&lt;/D&gt;&lt;/FQL&gt;&lt;FQL&gt;&lt;Q&gt;AC-CA^FF_LIABS_CURR(ANN_R,0)&lt;/Q&gt;&lt;R&gt;1&lt;/R&gt;&lt;C&gt;1&lt;/C&gt;&lt;D xsi:type="xsd:double"&gt;7139&lt;/D&gt;&lt;/FQL&gt;&lt;FQL&gt;&lt;Q&gt;AAL-US^FF_RECEIV_ST(ANN_R,0)&lt;/Q&gt;&lt;R&gt;1&lt;/R&gt;&lt;C&gt;1&lt;/C&gt;&lt;D xsi:type="xsd:double"&gt;1342&lt;/D&gt;&lt;/FQL&gt;&lt;FQL&gt;&lt;Q&gt;AAL-US^FF_LIABS_CURR(ANN_R,0)&lt;/Q&gt;&lt;R&gt;1&lt;/R&gt;&lt;C&gt;1&lt;/C&gt;&lt;D xsi:type="xsd:double"&gt;16569&lt;/D&gt;&lt;/FQL&gt;&lt;FQL&gt;&lt;Q&gt;LUV-US^FF_RECEIV_ST(ANN_R,0)&lt;/Q&gt;&lt;R&gt;1&lt;/R&gt;&lt;C&gt;1&lt;/C&gt;&lt;D xsi:type="xsd:double"&gt;1130&lt;/D&gt;&lt;/FQL&gt;&lt;FQL&gt;&lt;Q&gt;LUV-US^FF_LIABS_CURR(ANN_R,0)&lt;/Q&gt;&lt;R&gt;1&lt;/R&gt;&lt;C&gt;1&lt;/C&gt;&lt;D xsi:type="xsd:double"&gt;7506&lt;/D&gt;&lt;/FQL&gt;&lt;FQL&gt;&lt;Q&gt;ALK-US^FF_RECEIV_ST(ANN_R,0)&lt;/Q&gt;&lt;R&gt;1&lt;/R&gt;&lt;C&gt;1&lt;/C&gt;&lt;D xsi:type="xsd:double"&gt;480&lt;/D&gt;&lt;/FQL&gt;&lt;FQL&gt;&lt;Q&gt;ALK-US^FF_LIABS_CURR(ANN_R,0)&lt;/Q&gt;&lt;R&gt;1&lt;/R&gt;&lt;C&gt;1&lt;/C&gt;&lt;D xsi:type="xsd:double"&gt;4293&lt;/D&gt;&lt;/FQL&gt;&lt;FQL&gt;&lt;Q&gt;SKYW-US^FF_RECEIV_ST(ANN_R,0)&lt;/Q&gt;&lt;R&gt;1&lt;/R&gt;&lt;C&gt;1&lt;/C&gt;&lt;D xsi:type="xsd:double"&gt;38.378&lt;/D&gt;&lt;/FQL&gt;&lt;FQL&gt;&lt;Q&gt;SKYW-US^FF_LIABS_CURR(ANN_R,0)&lt;/Q&gt;&lt;R&gt;1&lt;/R&gt;&lt;C&gt;1&lt;/C&gt;&lt;D xsi:type="xsd:double"&gt;941.722&lt;/D&gt;&lt;/FQL&gt;&lt;FQL&gt;&lt;Q&gt;AC-CA^FF_QUICK_RATIO(ANN_R,0)&lt;/Q&gt;&lt;R&gt;1&lt;/R&gt;&lt;C&gt;1&lt;/C&gt;&lt;D xsi:type="xsd:double"&gt;1.19134332539571&lt;/D&gt;&lt;/FQL&gt;&lt;FQL&gt;&lt;Q&gt;AAL-US^FF_QUICK_RATIO(ANN_R,0)&lt;/Q&gt;&lt;R&gt;1&lt;/R&gt;&lt;C&gt;1&lt;/C&gt;&lt;D xsi:type="xsd:double"&gt;0.572213169171344&lt;/D&gt;&lt;/FQL&gt;&lt;FQL&gt;&lt;Q&gt;LUV-US^FF_QUICK_RATIO(ANN_R,0)&lt;/Q&gt;&lt;R&gt;1&lt;/R&gt;&lt;C&gt;1&lt;/C&gt;&lt;D xsi:type="xsd:double"&gt;1.96629363176126&lt;/D&gt;&lt;/FQL&gt;&lt;FQL&gt;&lt;Q&gt;ALK-US^FF_QUICK_RATIO(ANN_R,0)&lt;/Q&gt;&lt;R&gt;1&lt;/R&gt;&lt;C&gt;1&lt;/C&gt;&lt;D xsi:type="xsd:double"&gt;0.919869555089681&lt;/D&gt;&lt;/FQL&gt;&lt;FQL&gt;&lt;Q&gt;SKYW-US^FF_QUICK_RATIO(ANN_R,0)&lt;/Q&gt;&lt;R&gt;1&lt;/R&gt;&lt;C&gt;1&lt;/C&gt;&lt;D xsi:type="xsd:double"&gt;0.946782596137714&lt;/D&gt;&lt;/FQL&gt;&lt;FQL&gt;&lt;Q&gt;AC-CA^FF_CASH_RATIO(ANN_R,0)&lt;/Q&gt;&lt;R&gt;1&lt;/R&gt;&lt;C&gt;1&lt;/C&gt;&lt;D xsi:type="xsd:double"&gt;1.06555539991595&lt;/D&gt;&lt;/FQL&gt;&lt;FQL&gt;&lt;Q&gt;AAL-US^FF_CASH_RATIO(ANN_R,0)&lt;/Q&gt;&lt;R&gt;1&lt;/R&gt;&lt;C&gt;1&lt;/C&gt;&lt;D xsi:type="xsd:double"&gt;0.45102299474923&lt;/D&gt;&lt;/FQL&gt;&lt;FQL&gt;&lt;Q&gt;LUV-US^FF_CASH_RATIO(ANN_R,0)&lt;/Q&gt;&lt;R&gt;1&lt;/R&gt;&lt;C&gt;1&lt;/C&gt;&lt;D xsi:type="xsd:double"&gt;1.77644551025846&lt;/D&gt;&lt;/FQL&gt;&lt;FQL&gt;&lt;Q&gt;ALK-US^FF_CASH_RATIO(ANN_R,0)&lt;/Q&gt;&lt;R&gt;1&lt;/R&gt;&lt;C&gt;1&lt;/C&gt;&lt;D xsi:type="xsd:double"&gt;0.779408339156767&lt;/D&gt;&lt;/FQL&gt;&lt;FQL&gt;&lt;Q&gt;SKYW-US^FF_CASH_RATIO(ANN_R,0)&lt;/Q&gt;&lt;R&gt;1&lt;/R&gt;&lt;C&gt;1&lt;/C&gt;&lt;D xsi:type="xsd:double"&gt;0.8770189079155&lt;/D&gt;&lt;/FQL&gt;&lt;FQL&gt;&lt;Q&gt;AC-CA^FF_RECEIV_TURN(ANN_R,0)&lt;/Q&gt;&lt;R&gt;1&lt;/R&gt;&lt;C&gt;1&lt;/C&gt;&lt;D xsi:type="xsd:double"&gt;7.43057324840764&lt;/D&gt;&lt;/FQL&gt;&lt;FQL&gt;&lt;Q&gt;AAL-US^FF_RECEIV_TURN(ANN_R,0)&lt;/Q&gt;&lt;R&gt;1&lt;/R&gt;&lt;C&gt;1&lt;/C&gt;&lt;D xsi:type="xsd:double"&gt;11.2141009055627&lt;/D&gt;&lt;/FQL&gt;&lt;FQL&gt;&lt;Q&gt;LUV-US^FF_RECEIV_TURN(ANN_R,0)&lt;/Q&gt;&lt;R&gt;1&lt;/R&gt;&lt;C&gt;1&lt;/C&gt;&lt;D xsi:type="xsd:double"&gt;8.16606498194946&lt;/D&gt;&lt;/FQL&gt;&lt;FQL&gt;&lt;Q&gt;ALK-US^FF_RECEIV_TURN(ANN_R,0)&lt;/Q&gt;&lt;R&gt;1&lt;/R&gt;&lt;C&gt;1&lt;/C&gt;&lt;D xsi:type="xsd:double"&gt;8.88169364881694&lt;/D&gt;&lt;/FQL&gt;&lt;FQL&gt;&lt;Q&gt;SKYW-US^FF_RECEIV_TURN(ANN_R,0)&lt;/Q&gt;&lt;R&gt;1&lt;/R&gt;&lt;C&gt;1&lt;/C&gt;&lt;D xsi:type="xsd:double"&gt;32.1082296824055&lt;/D&gt;&lt;/FQL&gt;&lt;FQL&gt;&lt;Q&gt;AC-CA^FF_INVEN_TURN(ANN_R,0)&lt;/Q&gt;&lt;R&gt;1&lt;/R&gt;&lt;C&gt;1&lt;/C&gt;&lt;D xsi:type="xsd:double"&gt;40.5291005291005&lt;/D&gt;&lt;/FQL&gt;&lt;FQL&gt;&lt;Q&gt;AAL-US^FF_INVEN_TURN(ANN_R,0)&lt;/Q&gt;&lt;R&gt;1&lt;/R&gt;&lt;C&gt;1&lt;/C&gt;&lt;D xsi:type="xsd:double"&gt;14.2308802308802&lt;/D&gt;&lt;/FQL&gt;&lt;FQL&gt;&lt;Q&gt;LUV-US^FF_INVEN_TURN(ANN_R,0)&lt;/Q&gt;&lt;R&gt;1&lt;/R&gt;&lt;C&gt;1&lt;/C&gt;&lt;D xsi:type="xsd:double"&gt;25.1007423117709&lt;/D&gt;&lt;/FQL&gt;&lt;FQL&gt;&lt;Q&gt;ALK-US^FF_INVEN_TURN(ANN_R,0)&lt;/Q&gt;&lt;R&gt;1&lt;/R&gt;&lt;C&gt;1&lt;/C&gt;&lt;D xsi:type="xsd:double"&gt;73.6279069767442&lt;/D&gt;&lt;/FQL&gt;&lt;FQL&gt;&lt;Q&gt;SKYW-US^FF_INVEN_TURN(ANN_R,0)&lt;/Q&gt;&lt;R&gt;1&lt;/R&gt;&lt;C&gt;1&lt;/C&gt;&lt;D xsi:type="xsd:double"&gt;21.2296342569869&lt;/D&gt;&lt;/FQL&gt;&lt;FQL&gt;&lt;Q&gt;AC-CA^FF_PAY_TURN(ANN_R,0)&lt;/Q&gt;&lt;R&gt;1&lt;/R&gt;&lt;C&gt;1&lt;/C&gt;&lt;D xsi:type="xsd:double"&gt;3.0945&lt;/D&gt;&lt;/FQL&gt;&lt;FQL&gt;&lt;Q&gt;AAL-US^FF_PAY_TURN(ANN_R,0)&lt;/Q&gt;&lt;R&gt;1&lt;/R&gt;&lt;C&gt;1&lt;/C&gt;&lt;D xsi:type="xsd:double"&gt;14.9896&lt;/D&gt;&lt;/FQL&gt;&lt;FQL&gt;&lt;Q&gt;LUV-US^FF_PAY_TURN(ANN_R,0)&lt;/Q&gt;&lt;R&gt;1&lt;/R&gt;&lt;C&gt;1&lt;/C&gt;&lt;D xsi:type="xsd:double"&gt;27.0358&lt;/D&gt;&lt;/FQL&gt;&lt;FQL&gt;&lt;Q&gt;ALK-US^FF_PAY_TURN(ANN_R,0)&lt;/Q&gt;&lt;R&gt;1&lt;/R&gt;&lt;C&gt;1&lt;/C&gt;&lt;D xsi:type="xsd:double"&gt;37.2756&lt;/D&gt;&lt;/FQL&gt;&lt;FQL&gt;&lt;Q&gt;SKYW-US^FF_PAY_TURN(ANN_R,0)&lt;/Q&gt;&lt;R&gt;1&lt;/R&gt;&lt;C&gt;1&lt;/C&gt;&lt;D xsi:type="xsd:double"&gt;7.5351&lt;/D&gt;&lt;/FQL&gt;&lt;FQL&gt;&lt;Q&gt;AC-CA^FF_INVEN_DAYS(ANN_R,0)&lt;/Q&gt;&lt;R&gt;1&lt;/R&gt;&lt;C&gt;1&lt;/C&gt;&lt;D xsi:type="xsd:double"&gt;9.00587467362924&lt;/D&gt;&lt;/FQL&gt;&lt;FQL&gt;&lt;Q&gt;AAL-US^FF_INVEN_DAYS(ANN_R,0)&lt;/Q&gt;&lt;R&gt;1&lt;/R&gt;&lt;C&gt;1&lt;/C&gt;&lt;D xsi:type="xsd:double"&gt;25.6484485905496&lt;/D&gt;&lt;/FQL&gt;&lt;FQL&gt;&lt;Q&gt;LUV-US^FF_INVEN_DAYS(ANN_R,0)&lt;/Q&gt;&lt;R&gt;1&lt;/R&gt;&lt;C&gt;1&lt;/C&gt;&lt;D xsi:type="xsd:double"&gt;14.5414026193494&lt;/D&gt;&lt;/FQL&gt;&lt;FQL&gt;&lt;Q&gt;ALK-US^FF_INVEN_DAYS(ANN_R,0)&lt;/Q&gt;&lt;R&gt;1&lt;/R&gt;&lt;C&gt;1&lt;/C&gt;&lt;D xsi:type="xsd:double"&gt;4.95735944409349&lt;/D&gt;&lt;/FQL&gt;&lt;FQL&gt;&lt;Q&gt;SKYW-US^FF_INVEN_DAYS(ANN_R,0)&lt;/Q&gt;&lt;R&gt;1&lt;/R&gt;&lt;C&gt;1&lt;/C&gt;&lt;D xsi:type="xsd:double"&gt;17.1929481017731&lt;/D&gt;&lt;/FQL&gt;&lt;FQL&gt;&lt;Q&gt;AC-CA^FF_PAY_TURN_DAYS(ANN_R,0)&lt;/Q&gt;&lt;R&gt;1&lt;/R&gt;&lt;C&gt;1&lt;/C&gt;&lt;D xsi:type="xsd:double"&gt;117.951203748586&lt;/D&gt;&lt;/FQL&gt;&lt;FQL&gt;&lt;Q&gt;AAL-US^FF_PAY_TURN_DAYS(ANN_R,0)&lt;/Q&gt;&lt;R&gt;1&lt;/R&gt;&lt;C&gt;1&lt;/C&gt;&lt;D xsi:type="xsd:double"&gt;24.3502161498639&lt;/D&gt;&lt;/FQL&gt;&lt;FQL&gt;&lt;Q&gt;LUV-US^FF_PAY_TURN_DAYS(ANN_R,0)&lt;/Q&gt;&lt;R&gt;1&lt;/R&gt;&lt;C&gt;1&lt;/C&gt;&lt;D xsi:type="xsd:double"&gt;13.5006176994947&lt;/D&gt;&lt;/FQL&gt;&lt;FQL&gt;&lt;Q&gt;ALK-US^FF_PAY_TURN_DAYS(ANN_R,0)&lt;/Q&gt;&lt;R&gt;1&lt;/R&gt;&lt;C&gt;1&lt;/C&gt;&lt;D xsi:type="xsd:double"&gt;9.79192823187286&lt;/D&gt;&lt;/FQL&gt;&lt;FQL&gt;&lt;Q&gt;SKYW-US^FF_PAY_TURN_DAYS(ANN_R,0)&lt;/Q&gt;&lt;R&gt;1&lt;/R&gt;&lt;C&gt;1&lt;/C&gt;&lt;D xsi:type="xsd:double"&gt;48.4399676182134&lt;/D&gt;&lt;/FQL&gt;&lt;FQL&gt;&lt;Q&gt;AC-CA^FF_CASH_CONV_CYCLE(ANN_R,0)&lt;/Q&gt;&lt;R&gt;1&lt;/R&gt;&lt;C&gt;1&lt;/C&gt;&lt;D xsi:type="xsd:double"&gt;-59.823950710479&lt;/D&gt;&lt;/FQL&gt;&lt;FQL&gt;&lt;Q&gt;AAL-US^FF_CASH_CONV_CYCLE(ANN_R,0)&lt;/Q&gt;&lt;R&gt;1&lt;/R&gt;&lt;C&gt;1&lt;/C&gt;&lt;D xsi:type="xsd:double"&gt;33.8465395295707&lt;/D&gt;&lt;/FQL&gt;&lt;FQL&gt;&lt;Q&gt;LUV-US^FF_CASH_CONV_CYCLE(ANN_R,0)&lt;/Q&gt;&lt;R&gt;1&lt;/R&gt;&lt;C&gt;1&lt;/C&gt;&lt;D xsi:type="xsd:double"&gt;45.7379555653011&lt;/D&gt;&lt;/FQL&gt;&lt;FQL&gt;&lt;Q&gt;ALK-US^FF_CASH_CONV_CYCLE(ANN_R,0)&lt;/Q&gt;&lt;R&gt;1&lt;/R&gt;&lt;C&gt;1&lt;/C&gt;&lt;D xsi:type="xsd:double"&gt;36.2611967758774&lt;/D&gt;&lt;/FQL&gt;&lt;FQL&gt;&lt;Q&gt;SKYW-US^FF_CASH_CONV_CYCLE(ANN_R,0)&lt;/Q&gt;&lt;R&gt;1&lt;/R&gt;&lt;C&gt;1&lt;/C&gt;&lt;D xsi:type="xsd:double"&gt;-19.8792174416965&lt;/D&gt;&lt;/FQL&gt;&lt;FQL&gt;&lt;Q&gt;AC-CA^FF_WKCAP(ANN_R,0)&lt;/Q&gt;&lt;R&gt;1&lt;/R&gt;&lt;C&gt;1&lt;/C&gt;&lt;D xsi:type="xsd:double"&gt;1532&lt;/D&gt;&lt;/FQL&gt;&lt;FQL&gt;&lt;Q&gt;AC-CA^FF_WKCAP(ANN_R,-1)&lt;/Q&gt;&lt;R&gt;1&lt;/R&gt;&lt;C&gt;1&lt;/C&gt;&lt;D xsi:type="xsd:double"&gt;-259&lt;/D&gt;&lt;/FQL&gt;&lt;FQL&gt;&lt;Q&gt;AAL-US^FF_WKCAP(ANN_R,0)&lt;/Q&gt;&lt;R&gt;1&lt;/R&gt;&lt;C&gt;1&lt;/C&gt;&lt;D xsi:type="xsd:double"&gt;-5474&lt;/D&gt;&lt;/FQL&gt;&lt;FQL&gt;&lt;Q&gt;AAL-US^FF_WKCAP(ANN_R,-1)&lt;/Q&gt;&lt;R&gt;1&lt;/R&gt;&lt;C&gt;1&lt;/C&gt;&lt;D xsi:type="xsd:double"&gt;-10105&lt;/D&gt;&lt;/FQL&gt;&lt;FQL&gt;&lt;Q&gt;LUV-US^FF_WKCAP(ANN_R,0)&lt;/Q&gt;&lt;R&gt;1&lt;/R&gt;&lt;C&gt;1&lt;/C&gt;&lt;D xsi:type="xsd:double"&gt;7667&lt;/D&gt;&lt;/FQL&gt;&lt;FQL&gt;&lt;Q&gt;LUV-US^FF_WKCAP(ANN_R,-1)&lt;/Q&gt;&lt;R&gt;1&lt;/R&gt;&lt;C&gt;1&lt;/C&gt;&lt;D xsi:type="xsd:double"&gt;-2978&lt;/D&gt;&lt;/FQL&gt;&lt;FQL&gt;&lt;Q&gt;ALK-US^FF_WKCAP(ANN_R,0)&lt;/Q&gt;&lt;R&gt;1&lt;/R&gt;&lt;C&gt;1&lt;/C&gt;&lt;D xsi:type="xsd:double"&gt;-287&lt;/D&gt;&lt;/FQL&gt;&lt;FQL&gt;&lt;Q&gt;ALK-US^FF_WKCAP(ANN_R,-1)&lt;/Q&gt;&lt;R&gt;1&lt;/R&gt;&lt;C&gt;1&lt;/C&gt;&lt;D xsi:type="xsd:double"&gt;-1164&lt;/D&gt;&lt;/FQL&gt;&lt;FQL&gt;&lt;Q&gt;SKYW-US^FF_WKCAP(ANN_R,0)&lt;/Q&gt;&lt;R&gt;1&lt;/R&gt;&lt;C&gt;1&lt;/C&gt;&lt;D xsi:type="xsd:double"&gt;41.08&lt;/D&gt;&lt;/FQL&gt;&lt;FQL&gt;&lt;Q&gt;SKYW-US^FF_WKCAP(ANN_R,-1)&lt;/Q&gt;&lt;R&gt;1&lt;/R&gt;&lt;C&gt;1&lt;/C&gt;&lt;D xsi:type="xsd:double"&gt;-164.33&lt;/D&gt;&lt;/FQL&gt;&lt;FQL&gt;&lt;Q&gt;AC-CA^FF_GROSS_MGN(ANN_R,0)&lt;/Q&gt;&lt;R&gt;1&lt;/R&gt;&lt;C&gt;1&lt;/C&gt;&lt;D xsi:type="xsd:double"&gt;-31.3217898165609&lt;/D&gt;&lt;/FQL&gt;&lt;FQL&gt;&lt;Q&gt;AAL-US^FF_GROSS_MGN(ANN_R,0)&lt;/Q&gt;&lt;R&gt;1&lt;/R&gt;&lt;C&gt;1&lt;/C&gt;&lt;D xsi:type="xsd:double"&gt;-42.2103016669551&lt;/D&gt;&lt;/FQL&gt;&lt;FQL&gt;&lt;Q&gt;LUV-US^FF_GROSS_MGN(ANN_R,0)&lt;/Q&gt;&lt;R&gt;1&lt;/R&gt;&lt;C&gt;1&lt;/C&gt;&lt;D xsi:type="xsd:double"&gt;-30.8023872679045&lt;/D&gt;&lt;/FQL&gt;&lt;FQL&gt;&lt;Q&gt;ALK-US^FF_GROSS_MGN(ANN_R,0)&lt;/Q&gt;&lt;R&gt;1&lt;/R&gt;&lt;C&gt;1&lt;/C&gt;&lt;D xsi:type="xsd:double"&gt;-33.1744251261918&lt;/D&gt;&lt;/FQL&gt;&lt;FQL&gt;&lt;Q&gt;SKYW-US^FF_GROSS_MGN(ANN_R,0)&lt;/Q&gt;&lt;R&gt;1&lt;/R&gt;&lt;C&gt;1&lt;/C&gt;&lt;D xsi:type="xsd:double"&gt;-0.653093921976609&lt;/D&gt;&lt;/FQL&gt;&lt;FQL&gt;&lt;Q&gt;AC-CA^FF_NET_MGN(ANN_R,0)&lt;/Q&gt;&lt;R&gt;1&lt;/R&gt;&lt;C&gt;1&lt;/C&gt;&lt;D xsi:type="xsd:double"&gt;-79.6674095662609&lt;/D&gt;&lt;/FQL&gt;&lt;FQL&gt;&lt;Q&gt;AAL-US^FF_NET_MGN(ANN_R,0)&lt;/Q&gt;&lt;R&gt;1&lt;/R&gt;&lt;C&gt;1&lt;/C&gt;&lt;D xsi:type="xsd:double"&gt;-51.2487742977447&lt;/D&gt;&lt;/FQL&gt;&lt;FQL&gt;&lt;Q&gt;LUV-US^FF_NET_MGN(ANN_R,0)&lt;/Q&gt;&lt;R&gt;1&lt;/R&gt;&lt;C&gt;1&lt;/C&gt;&lt;D xsi:type="xsd:double"&gt;-33.974358974359&lt;/D&gt;&lt;/FQL&gt;&lt;FQL&gt;&lt;Q&gt;ALK-US^FF_NET_MGN(ANN_R,0)&lt;/Q&gt;&lt;R&gt;1&lt;/R&gt;&lt;C&gt;1&lt;/C&gt;&lt;D xsi:type="xsd:double"&gt;-37.1284352215367&lt;/D&gt;&lt;/FQL&gt;&lt;FQL&gt;&lt;Q&gt;SKYW-US^FF_NET_MGN(ANN_R,0)&lt;/Q&gt;&lt;R&gt;1&lt;/R&gt;&lt;C&gt;1&lt;/C&gt;&lt;D xsi:type="xsd:double"&gt;-0.400309152435281&lt;/D&gt;&lt;/FQL&gt;&lt;FQL&gt;&lt;Q&gt;AC-CA^FF_PTX_INC(ANN_R,0)&lt;/Q&gt;&lt;R&gt;1&lt;/R&gt;&lt;C&gt;1&lt;/C&gt;&lt;D xsi:type="xsd:double"&gt;-4853&lt;/D&gt;&lt;/FQL&gt;&lt;FQL&gt;&lt;Q&gt;AAL-US^FF_PTX_INC(ANN_R,0)&lt;/Q&gt;&lt;R&gt;1&lt;/R&gt;&lt;C&gt;1&lt;/C&gt;&lt;D xsi:type="xsd:double"&gt;-11453&lt;/D&gt;&lt;/FQL&gt;&lt;FQL&gt;&lt;Q&gt;LUV-US^FF_PTX_INC(ANN_R,0)&lt;/Q&gt;&lt;R&gt;1&lt;/R&gt;&lt;C&gt;1&lt;/C&gt;&lt;D xsi:type="xsd:double"&gt;-4256&lt;/D&gt;&lt;/FQL&gt;&lt;FQL&gt;&lt;Q&gt;ALK-US^FF_PTX_INC(ANN_R,0)&lt;/Q&gt;&lt;R&gt;1&lt;/R&gt;&lt;C&gt;1&lt;/C&gt;&lt;D xsi:type="xsd:double"&gt;-1840&lt;/D&gt;&lt;/FQL&gt;&lt;FQL&gt;&lt;Q&gt;SKYW-US^FF_PTX_INC(ANN_R,0)&lt;/Q&gt;&lt;R&gt;1&lt;/R&gt;&lt;C&gt;1&lt;/C&gt;&lt;D xsi:type="xsd:double"&gt;-7.327&lt;/D&gt;&lt;/FQL&gt;&lt;FQL&gt;&lt;Q&gt;AC-CA^FF_ASSET_TURN(ANN_R,0)&lt;/Q&gt;&lt;R&gt;1&lt;/R&gt;&lt;C&gt;1&lt;/C&gt;&lt;D xsi:type="xsd:double"&gt;0.205851214003388&lt;/D&gt;&lt;/FQL&gt;&lt;FQL&gt;&lt;Q&gt;AAL-US^FF_ASSET_TURN(ANN_R,0)&lt;/Q&gt;&lt;R&gt;1&lt;/R&gt;&lt;C&gt;1&lt;/C&gt;&lt;D xsi:type="xsd:double"&gt;0.284206126078867&lt;/D&gt;&lt;/FQL&gt;&lt;FQL&gt;&lt;Q&gt;LUV-US^FF_ASSET_TURN(ANN_R,0)&lt;/Q&gt;&lt;R&gt;1&lt;/R&gt;&lt;C&gt;1&lt;/C&gt;&lt;D xsi:type="xsd:double"&gt;0.284590947692888&lt;/D&gt;&lt;/FQL&gt;&lt;FQL&gt;&lt;Q&gt;ALK-US^FF_ASSET_TURN(ANN_R,0)&lt;/Q&gt;&lt;R&gt;1&lt;/R&gt;&lt;C&gt;1&lt;/C&gt;&lt;D xsi:type="xsd:double"&gt;0.244004242362038&lt;/D&gt;&lt;/FQL&gt;&lt;FQL&gt;&lt;Q&gt;SKYW-US^FF_ASSET_TURN(ANN_R,0)&lt;/Q&gt;&lt;R&gt;1&lt;/R&gt;&lt;C&gt;1&lt;/C&gt;&lt;D xsi:type="xsd:double"&gt;0.306744930074077&lt;/D&gt;&lt;/FQL&gt;&lt;FQL&gt;&lt;Q&gt;AC-CA^FF_AVG_ASSETS(ANN_R,0)&lt;/Q&gt;&lt;R&gt;1&lt;/R&gt;&lt;C&gt;1&lt;/C&gt;&lt;D xsi:type="xsd:double"&gt;28336&lt;/D&gt;&lt;/FQL&gt;&lt;FQL&gt;&lt;Q&gt;AC-CA^FF_AVG_SHLDRS_EQ(ANN_R,0)&lt;/Q&gt;&lt;R&gt;1&lt;/R&gt;&lt;C&gt;1&lt;/C&gt;&lt;D xsi:type="xsd:double"&gt;3057.5&lt;/D&gt;&lt;/FQL&gt;&lt;FQL&gt;&lt;Q&gt;AAL-US^FF_AVG_ASSETS(ANN_R,0)&lt;/Q&gt;&lt;R&gt;1&lt;/R&gt;&lt;C&gt;1&lt;/C&gt;&lt;D xsi:type="xsd:double"&gt;61001.5&lt;/D&gt;&lt;/FQL&gt;&lt;FQL&gt;&lt;Q&gt;AAL-US^FF_AVG_SHLDRS_EQ(ANN_R,0)&lt;/Q&gt;&lt;R&gt;1&lt;/R&gt;&lt;C&gt;1&lt;/C&gt;&lt;D xsi:type="xsd:double"&gt;-3492.5&lt;/D&gt;&lt;/FQL&gt;&lt;FQL&gt;&lt;Q&gt;LUV-US^FF_AVG_ASSETS(ANN_R,0)&lt;/Q&gt;&lt;R&gt;1&lt;/R&gt;&lt;C&gt;1&lt;/C&gt;&lt;D xsi:type="xsd:double"&gt;31793&lt;/D&gt;&lt;/FQL&gt;&lt;FQL&gt;&lt;Q&gt;LUV-US^FF_AVG_SHLDRS_EQ(ANN_R,0)&lt;/Q&gt;&lt;R&gt;1&lt;/R&gt;&lt;C&gt;1&lt;/C&gt;&lt;D xsi:type="xsd:double"&gt;9354&lt;/D&gt;&lt;/FQL&gt;&lt;FQL&gt;&lt;Q&gt;ALK-US^FF_AVG_ASSETS(ANN_R,0)&lt;/Q&gt;&lt;R&gt;1&lt;/R&gt;&lt;C&gt;1&lt;/C&gt;&lt;D xsi:type="xsd:double"&gt;14614.5&lt;/D&gt;&lt;/FQL&gt;&lt;FQL&gt;&lt;Q&gt;ALK-US^FF_AVG_SHLDRS_EQ(ANN_R,0)&lt;/Q&gt;&lt;R&gt;1&lt;/R&gt;&lt;C&gt;1&lt;/C&gt;&lt;D xsi:type="xsd:double"&gt;3659.5&lt;/D&gt;&lt;/FQL&gt;&lt;FQL&gt;&lt;Q&gt;SKYW-US^FF_AVG_ASSETS(ANN_R,0)&lt;/Q&gt;&lt;R&gt;1&lt;/R&gt;&lt;C&gt;1&lt;/C&gt;&lt;D xsi:type="xsd:double"&gt;6934.4455&lt;/D&gt;&lt;/FQL&gt;&lt;FQL&gt;&lt;Q&gt;SKYW-US^FF_AVG_SHLDRS_EQ(ANN_R,0)&lt;/Q&gt;&lt;R&gt;1&lt;/R&gt;&lt;C&gt;1&lt;/C&gt;&lt;D xsi:type="xsd:double"&gt;2157.2795&lt;/D&gt;&lt;/FQL&gt;&lt;FQL&gt;&lt;Q&gt;AC-CA^FF_TOT_DEBT_TCAP_STD(ANN_R,0)&lt;/Q&gt;&lt;R&gt;1&lt;/R&gt;&lt;C&gt;1&lt;/C&gt;&lt;D xsi:type="xsd:double"&gt;88.3365070729053&lt;/D&gt;&lt;/FQL&gt;&lt;FQL&gt;&lt;Q&gt;AAL-US^FF_TOT_DEBT_TCAP_STD(ANN_R,0)&lt;/Q&gt;&lt;R&gt;1&lt;/R&gt;&lt;C&gt;1&lt;/C&gt;&lt;D xsi:type="xsd:double"&gt;120.105990513556&lt;/D&gt;&lt;/FQL&gt;&lt;FQL&gt;&lt;Q&gt;LUV-US^FF_TOT_DEBT_TCAP_STD(ANN_R,0)&lt;/Q&gt;&lt;R&gt;1&lt;/R&gt;&lt;C&gt;1&lt;/C&gt;&lt;D xsi:type="xsd:double"&gt;57.8837485172005&lt;/D&gt;&lt;/FQL&gt;&lt;FQL&gt;&lt;Q&gt;ALK-US^FF_TOT_DEBT_TCAP_STD(ANN_R,0)&lt;/Q&gt;&lt;R&gt;1&lt;/R&gt;&lt;C&gt;1&lt;/C&gt;&lt;D xsi:type="xsd:double"&gt;62.8404427310036&lt;/D&gt;&lt;/FQL&gt;&lt;FQL&gt;&lt;Q&gt;SKYW-US^FF_TOT_DEBT_TCAP_STD(ANN_R,0)&lt;/Q&gt;&lt;R&gt;1&lt;/R&gt;&lt;C&gt;1&lt;/C&gt;&lt;D xsi:type="xsd:double"&gt;62.0090782099345&lt;/D&gt;&lt;/FQL&gt;&lt;FQL&gt;&lt;Q&gt;AC-CA^FF_SHLDRS_EQ(ANN_R,0)&lt;/Q&gt;&lt;R&gt;1&lt;/R&gt;&lt;C&gt;1&lt;/C&gt;&lt;D xsi:type="xsd:double"&gt;1715&lt;/D&gt;&lt;/FQL&gt;&lt;FQL&gt;&lt;Q&gt;AAL-US^FF_DEBT_EQ(ANN_R,0)&lt;/Q&gt;&lt;R&gt;0&lt;/R&gt;&lt;C&gt;0&lt;/C&gt;&lt;/FQL&gt;&lt;FQL&gt;&lt;Q&gt;LUV-US^FF_DEBT_EQ(ANN_R,0)&lt;/Q&gt;&lt;R&gt;1&lt;/R&gt;&lt;C&gt;1&lt;/C&gt;&lt;D xsi:type="xsd:double"&gt;137.438035150969&lt;/D&gt;&lt;/FQL&gt;&lt;FQL&gt;&lt;Q&gt;ALK-US^FF_DEBT_EQ(ANN_R,0)&lt;/Q&gt;&lt;R&gt;1&lt;/R&gt;&lt;C&gt;1&lt;/C&gt;&lt;D xsi:type="xsd:double"&gt;169.109772423025&lt;/D&gt;&lt;/FQL&gt;&lt;FQL&gt;&lt;Q&gt;SKYW-US^FF_DEBT_EQ(ANN_R,0)&lt;/Q&gt;&lt;R&gt;1&lt;/R&gt;&lt;C&gt;1&lt;/C&gt;&lt;D xsi:type="xsd:double"&gt;163.220778249581&lt;/D&gt;&lt;/FQL&gt;&lt;FQL&gt;&lt;Q&gt;DAL-US^FORMULA_DESCRIPTION("FF_SALES")&lt;/Q&gt;&lt;R&gt;1&lt;/R&gt;&lt;C&gt;1&lt;/C&gt;&lt;D xsi:type="xsd:string"&gt;Sales&lt;/D&gt;&lt;/FQL&gt;&lt;FQL&gt;&lt;Q&gt;DAL-US^FORMULA_DESCRIPTION("FF_RECEIV_TURN")&lt;/Q&gt;&lt;R&gt;1&lt;/R&gt;&lt;C&gt;1&lt;/C&gt;&lt;D xsi:type="xsd:string"&gt;Receivables Turnover&lt;/D&gt;&lt;/FQL&gt;&lt;FQL&gt;&lt;Q&gt;DAL-US^FORMULA_DESCRIPTION("FF_INVEN_TURN")&lt;/Q&gt;&lt;R&gt;1&lt;/R&gt;&lt;C&gt;1&lt;/C&gt;&lt;D xsi:type="xsd:string"&gt;Inventory Turnover&lt;/D&gt;&lt;/FQL&gt;&lt;FQL&gt;&lt;Q&gt;DAL-US^FORMULA_DESCRIPTION("FF_PAY_TURN")&lt;/Q&gt;&lt;R&gt;1&lt;/R&gt;&lt;C&gt;1&lt;/C&gt;&lt;D xsi:type="xsd:string"&gt;Payables Turnover&lt;/D&gt;&lt;/FQL&gt;&lt;FQL&gt;&lt;Q&gt;DAL-US^FORMULA_DESCRIPTION("FF_INVEN_DAYS")&lt;/Q&gt;&lt;R&gt;1&lt;/R&gt;&lt;C&gt;1&lt;/C&gt;&lt;D xsi:type="xsd:string"&gt;Inventories - Days Held&lt;/D&gt;&lt;/FQL&gt;&lt;FQL&gt;&lt;Q&gt;DAL-US^FORMULA_DESCRIPTION("FF_RECEIV_TURN_DAYS")&lt;/Q&gt;&lt;R&gt;1&lt;/R&gt;&lt;C&gt;1&lt;/C&gt;&lt;D xsi:type="xsd:string"&gt;Receivables Days&lt;/D&gt;&lt;/FQL&gt;&lt;FQL&gt;&lt;Q&gt;DAL-US^FORMULA_DESCRIPTION("FF_PAY_TURN_DAYS")&lt;/Q&gt;&lt;R&gt;1&lt;/R&gt;&lt;C&gt;1&lt;/C&gt;&lt;D xsi:type="xsd:string"&gt;Days of Payables Outstanding&lt;/D&gt;&lt;/FQL&gt;&lt;FQL&gt;&lt;Q&gt;DAL-US^FORMULA_DESCRIPTION("FF_CASH_CONV_CYCLE")&lt;/Q&gt;&lt;R&gt;1&lt;/R&gt;&lt;C&gt;1&lt;/C&gt;&lt;D xsi:type="xsd:string"&gt;Cash Conversion Cycle&lt;/D&gt;&lt;/FQL&gt;&lt;FQL&gt;&lt;Q&gt;DAL-US^FORMULA_DESCRIPTION("FF_TAX_RATE")&lt;/Q&gt;&lt;R&gt;1&lt;/R&gt;&lt;C&gt;1&lt;/C&gt;&lt;D xsi:type="xsd:string"&gt;Tax Rate&lt;/D&gt;&lt;/FQL&gt;&lt;FQL&gt;&lt;Q&gt;DAL-US^FF_INT_EXP_NET(ANN_R,2020,2012)&lt;/Q&gt;&lt;R&gt;9&lt;/R&gt;&lt;C&gt;1&lt;/C&gt;&lt;D xsi:type="xsd:double"&gt;929&lt;/D&gt;&lt;D xsi:type="xsd:double"&gt;301&lt;/D&gt;&lt;D xsi:type="xsd:double"&gt;311&lt;/D&gt;&lt;D xsi:type="xsd:double"&gt;396&lt;/D&gt;&lt;D xsi:type="xsd:double"&gt;388&lt;/D&gt;&lt;D xsi:type="xsd:double"&gt;481&lt;/D&gt;&lt;D xsi:type="xsd:double"&gt;619&lt;/D&gt;&lt;D xsi:type="xsd:double"&gt;852&lt;/D&gt;&lt;D xsi:type="xsd:double"&gt;1000&lt;/D&gt;&lt;/FQL&gt;&lt;FQL&gt;&lt;Q&gt;DAL-US^FF_TAX_RATE(ANN_R,2020,2012)&lt;/Q&gt;&lt;R&gt;9&lt;/R&gt;&lt;C&gt;1&lt;/C&gt;&lt;D xsi:type="xsd:string"&gt;@NA&lt;/D&gt;&lt;D xsi:type="xsd:double"&gt;23.0880929332043&lt;/D&gt;&lt;D xsi:type="xsd:double"&gt;23.6070665890118&lt;/D&gt;&lt;D xsi:type="xsd:double"&gt;41.7272727272727&lt;/D&gt;&lt;D xsi:type="xsd:double"&gt;34.1018685955395&lt;/D&gt;&lt;D xsi:type="xsd:double"&gt;36.7612127986587&lt;/D&gt;&lt;D xsi:type="xsd:double"&gt;38.5261194029851&lt;/D&gt;&lt;D xsi:type="xsd:double"&gt;-317.095370003957&lt;/D&gt;&lt;D xsi:type="xsd:double"&gt;1.5609756097561&lt;/D&gt;&lt;/FQL&gt;&lt;FQL&gt;&lt;Q&gt;DAL-US^FF_COM_SHS_OUT_EPS_BASIC(ANN_R,0,-7AY,FY,,,M)&lt;/Q&gt;&lt;R&gt;8&lt;/R&gt;&lt;C&gt;1&lt;/C&gt;&lt;D xsi:type="xsd:double"&gt;636&lt;/D&gt;&lt;D xsi:type="xsd:double"&gt;651&lt;/D&gt;&lt;D xsi:type="xsd:double"&gt;691&lt;/D&gt;&lt;D xsi:type="xsd:double"&gt;720&lt;/D&gt;&lt;D xsi:type="xsd:double"&gt;751&lt;/D&gt;&lt;D xsi:type="xsd:double"&gt;797&lt;/D&gt;&lt;D xsi:type="xsd:double"&gt;836&lt;/D&gt;&lt;D xsi:type="xsd:double"&gt;849&lt;/D&gt;&lt;/FQL&gt;&lt;FQL&gt;&lt;Q&gt;DAL-US^FF_COM_SHS_OUT_EPS_DIL(ANN_R,0,-7AY,FY,,,M)&lt;/Q&gt;&lt;R&gt;8&lt;/R&gt;&lt;C&gt;1&lt;/C&gt;&lt;D xsi:type="xsd:double"&gt;636&lt;/D&gt;&lt;D xsi:type="xsd:double"&gt;653&lt;/D&gt;&lt;D xsi:type="xsd:double"&gt;694&lt;/D&gt;&lt;D xsi:type="xsd:double"&gt;723&lt;/D&gt;&lt;D xsi:type="xsd:double"&gt;755&lt;/D&gt;&lt;D xsi:type="xsd:double"&gt;804&lt;/D&gt;&lt;D xsi:type="xsd:double"&gt;845&lt;/D&gt;&lt;D xsi:type="xsd:double"&gt;858&lt;/D&gt;&lt;/FQL&gt;&lt;FQL&gt;&lt;Q&gt;DAL-US^FF_PRICE_CLOSE_FP(ANN,0,-7AY,FY)&lt;/Q&gt;&lt;R&gt;8&lt;/R&gt;&lt;C&gt;1&lt;/C&gt;&lt;D xsi:type="xsd:double"&gt;40.21&lt;/D&gt;&lt;D xsi:type="xsd:double"&gt;58.48&lt;/D&gt;&lt;D xsi:type="xsd:double"&gt;49.9&lt;/D&gt;&lt;D xsi:type="xsd:double"&gt;56&lt;/D&gt;&lt;D xsi:type="xsd:double"&gt;49.19&lt;/D&gt;&lt;D xsi:type="xsd:double"&gt;50.69&lt;/D&gt;&lt;D xsi:type="xsd:double"&gt;49.19&lt;/D&gt;&lt;D xsi:type="xsd:double"&gt;27.47&lt;/D&gt;&lt;/FQL&gt;&lt;FQL&gt;&lt;Q&gt;DAL-US^LIF(SWP_GET_LANGUAGE_QUICK=="JP",PROPER(CONVERT_DATE(FF_FP_END_DATE(ANN,2020,2012,Y,RP),"M/DD/YYYY")),PROPER(CONVERT_DATE(FF_FP_END_DATE(ANN,2020,2012,Y,RP),"MMM 'YY")))&lt;/Q&gt;&lt;R&gt;9&lt;/R&gt;&lt;C&gt;1&lt;/C&gt;&lt;D xsi:type="xsd:string"&gt;Dec '20&lt;/D&gt;&lt;D xsi:type="xsd:string"&gt;Dec '19&lt;/D&gt;&lt;D xsi:type="xsd:string"&gt;Dec '18&lt;/D&gt;&lt;D xsi:type="xsd:string"&gt;Dec '17&lt;/D&gt;&lt;D xsi:type="xsd:string"&gt;Dec '16&lt;/D&gt;&lt;D xsi:type="xsd:string"&gt;Dec '15&lt;/D&gt;&lt;D xsi:type="xsd:string"&gt;Dec '14&lt;/D&gt;&lt;D xsi:type="xsd:string"&gt;Dec '13&lt;/D&gt;&lt;D xsi:type="xsd:string"&gt;Dec '12&lt;/D&gt;&lt;/FQL&gt;&lt;FQL&gt;&lt;Q&gt;DAL-US^CONCAT(INT_ARRAY(FF_FY_LENGTH_DAYS(ANN,2020,2012,Y)))+" DAYS"&lt;/Q&gt;&lt;R&gt;9&lt;/R&gt;&lt;C&gt;1&lt;/C&gt;&lt;D xsi:type="xsd:string"&gt;366 DAYS&lt;/D&gt;&lt;D xsi:type="xsd:string"&gt;365 DAYS&lt;/D&gt;&lt;D xsi:type="xsd:string"&gt;365 DAYS&lt;/D&gt;&lt;D xsi:type="xsd:string"&gt;365 DAYS&lt;/D&gt;&lt;D xsi:type="xsd:string"&gt;366 DAYS&lt;/D&gt;&lt;D xsi:type="xsd:string"&gt;365 DAYS&lt;/D&gt;&lt;D xsi:type="xsd:string"&gt;365 DAYS&lt;/D&gt;&lt;D xsi:type="xsd:string"&gt;365 DAYS&lt;/D&gt;&lt;D xsi:type="xsd:string"&gt;366 DAYS&lt;/D&gt;&lt;/FQL&gt;&lt;FQL&gt;&lt;Q&gt;DAL-US^FORMULA_DESCRIPTION("FF_ASSETS_CURR")&lt;/Q&gt;&lt;R&gt;1&lt;/R&gt;&lt;C&gt;1&lt;/C&gt;&lt;D xsi:type="xsd:string"&gt;Total Current Assets&lt;/D&gt;&lt;/FQL&gt;&lt;FQL&gt;&lt;Q&gt;DAL-US^FF_ASSETS_CURR(ANN_R,2020,2012)&lt;/Q&gt;&lt;R&gt;9&lt;/R&gt;&lt;C&gt;1&lt;/C&gt;&lt;D xsi:type="xsd:double"&gt;17404&lt;/D&gt;&lt;D xsi:type="xsd:double"&gt;8249&lt;/D&gt;&lt;D xsi:type="xsd:double"&gt;6340&lt;/D&gt;&lt;D xsi:type="xsd:double"&gt;7804&lt;/D&gt;&lt;D xsi:type="xsd:double"&gt;7451&lt;/D&gt;&lt;D xsi:type="xsd:double"&gt;9056&lt;/D&gt;&lt;D xsi:type="xsd:double"&gt;12465&lt;/D&gt;&lt;D xsi:type="xsd:double"&gt;9651&lt;/D&gt;&lt;D xsi:type="xsd:double"&gt;8272&lt;/D&gt;&lt;/FQL&gt;&lt;FQL&gt;&lt;Q&gt;DAL-US^FORMULA_DESCRIPTION("FF_LIABS_CURR")&lt;/Q&gt;&lt;R&gt;1&lt;/R&gt;&lt;C&gt;1&lt;/C&gt;&lt;D xsi:type="xsd:string"&gt;Total Current Liabilities&lt;/D&gt;&lt;/FQL&gt;&lt;FQL&gt;&lt;Q&gt;DAL-US^FF_LIABS_CURR(ANN_R,2020,2012)&lt;/Q&gt;&lt;R&gt;9&lt;/R&gt;&lt;C&gt;1&lt;/C&gt;&lt;D xsi:type="xsd:double"&gt;15927&lt;/D&gt;&lt;D xsi:type="xsd:double"&gt;20204&lt;/D&gt;&lt;D xsi:type="xsd:double"&gt;18578&lt;/D&gt;&lt;D xsi:type="xsd:double"&gt;18959&lt;/D&gt;&lt;D xsi:type="xsd:double"&gt;15239&lt;/D&gt;&lt;D xsi:type="xsd:double"&gt;17526&lt;/D&gt;&lt;D xsi:type="xsd:double"&gt;16879&lt;/D&gt;&lt;D xsi:type="xsd:double"&gt;14152&lt;/D&gt;&lt;D xsi:type="xsd:double"&gt;13270&lt;/D&gt;&lt;/FQL&gt;&lt;FQL&gt;&lt;Q&gt;DAL-US^FORMULA_DESCRIPTION("FF_INVEN")&lt;/Q&gt;&lt;R&gt;1&lt;/R&gt;&lt;C&gt;1&lt;/C&gt;&lt;D xsi:type="xsd:string"&gt;Inventories&lt;/D&gt;&lt;/FQL&gt;&lt;FQL&gt;&lt;Q&gt;DAL-US^FF_INVEN(ANN_R,2020,2012)&lt;/Q&gt;&lt;R&gt;9&lt;/R&gt;&lt;C&gt;1&lt;/C&gt;&lt;D xsi:type="xsd:double"&gt;732&lt;/D&gt;&lt;D xsi:type="xsd:double"&gt;1251&lt;/D&gt;&lt;D xsi:type="xsd:double"&gt;1055&lt;/D&gt;&lt;D xsi:type="xsd:double"&gt;1329&lt;/D&gt;&lt;D xsi:type="xsd:double"&gt;891&lt;/D&gt;&lt;D xsi:type="xsd:double"&gt;697&lt;/D&gt;&lt;D xsi:type="xsd:double"&gt;852&lt;/D&gt;&lt;D xsi:type="xsd:double"&gt;1063&lt;/D&gt;&lt;D xsi:type="xsd:double"&gt;1023&lt;/D&gt;&lt;/FQL&gt;&lt;FQL&gt;&lt;Q&gt;DAL-US^FORMULA_DESCRIPTION("FF_RECEIV_ST")&lt;/Q&gt;&lt;R&gt;1&lt;/R&gt;&lt;C&gt;1&lt;/C&gt;&lt;D xsi:type="xsd:string"&gt;Short-Term Receivables&lt;/D&gt;&lt;/FQL&gt;&lt;FQL&gt;&lt;Q&gt;DAL-US^FF_RECEIV_ST(ANN_R,2020,2012)&lt;/Q&gt;&lt;R&gt;9&lt;/R&gt;&lt;C&gt;1&lt;/C&gt;&lt;D xsi:type="xsd:double"&gt;1396&lt;/D&gt;&lt;D xsi:type="xsd:double"&gt;2854&lt;/D&gt;&lt;D xsi:type="xsd:double"&gt;2314&lt;/D&gt;&lt;D xsi:type="xsd:double"&gt;2377&lt;/D&gt;&lt;D xsi:type="xsd:double"&gt;2064&lt;/D&gt;&lt;D xsi:type="xsd:double"&gt;2139&lt;/D&gt;&lt;D xsi:type="xsd:double"&gt;3222&lt;/D&gt;&lt;D xsi:type="xsd:double"&gt;1609&lt;/D&gt;&lt;D xsi:type="xsd:double"&gt;1693&lt;/D&gt;&lt;/FQL&gt;&lt;FQL&gt;&lt;Q&gt;DAL-US^FORMULA_DESCRIPTION("FF_CASH_ST")&lt;/Q&gt;&lt;R&gt;1&lt;/R&gt;&lt;C&gt;1&lt;/C&gt;&lt;D xsi:type="xsd:string"&gt;Cash &amp;amp; Short Term Investments&lt;/D&gt;&lt;/FQL&gt;&lt;FQL&gt;&lt;Q&gt;DAL-US^FF_CASH_ST(ANN_R,2020,2012)&lt;/Q&gt;&lt;R&gt;9&lt;/R&gt;&lt;C&gt;1&lt;/C&gt;&lt;D xsi:type="xsd:double"&gt;14288&lt;/D&gt;&lt;D xsi:type="xsd:double"&gt;3094&lt;/D&gt;&lt;D xsi:type="xsd:double"&gt;1815&lt;/D&gt;&lt;D xsi:type="xsd:double"&gt;2639&lt;/D&gt;&lt;D xsi:type="xsd:double"&gt;3642&lt;/D&gt;&lt;D xsi:type="xsd:double"&gt;5424&lt;/D&gt;&lt;D xsi:type="xsd:double"&gt;4383&lt;/D&gt;&lt;D xsi:type="xsd:double"&gt;3925&lt;/D&gt;&lt;D xsi:type="xsd:double"&gt;3749&lt;/D&gt;&lt;/FQL&gt;&lt;FQL&gt;&lt;Q&gt;DAL-US^FF_CURR_RATIO(ANN_R,2020,2012)&lt;/Q&gt;&lt;R&gt;9&lt;/R&gt;&lt;C&gt;1&lt;/C&gt;&lt;D xsi:type="xsd:double"&gt;1.0927356062033&lt;/D&gt;&lt;D xsi:type="xsd:double"&gt;0.408285488022174&lt;/D&gt;&lt;D xsi:type="xsd:double"&gt;0.341263860480138&lt;/D&gt;&lt;D xsi:type="xsd:double"&gt;0.411625085711272&lt;/D&gt;&lt;D xsi:type="xsd:double"&gt;0.488942844018636&lt;/D&gt;&lt;D xsi:type="xsd:double"&gt;0.516718018943284&lt;/D&gt;&lt;D xsi:type="xsd:double"&gt;0.738491616801943&lt;/D&gt;&lt;D xsi:type="xsd:double"&gt;0.681953080836631&lt;/D&gt;&lt;D xsi:type="xsd:double"&gt;0.623360964581763&lt;/D&gt;&lt;/FQL&gt;&lt;FQL&gt;&lt;Q&gt;DAL-US^FORMULA_DESCRIPTION("FF_QUICK_RATIO")&lt;/Q&gt;&lt;R&gt;1&lt;/R&gt;&lt;C&gt;1&lt;/C&gt;&lt;D xsi:type="xsd:string"&gt;Quick Ratio&lt;/D&gt;&lt;/FQL&gt;&lt;FQL&gt;&lt;Q&gt;DAL-US^FF_QUICK_RATIO(ANN_R,2020,2012)&lt;/Q&gt;&lt;R&gt;9&lt;/R&gt;&lt;C&gt;1&lt;/C&gt;&lt;D xsi:type="xsd:double"&gt;1.0467759151127&lt;/D&gt;&lt;D xsi:type="xsd:double"&gt;0.346367056028509&lt;/D&gt;&lt;D xsi:type="xsd:double"&gt;0.284476262245667&lt;/D&gt;&lt;D xsi:type="xsd:double"&gt;0.341526451817079&lt;/D&gt;&lt;D xsi:type="xsd:double"&gt;0.430474440580091&lt;/D&gt;&lt;D xsi:type="xsd:double"&gt;0.476948533607212&lt;/D&gt;&lt;D xsi:type="xsd:double"&gt;0.688014692813555&lt;/D&gt;&lt;D xsi:type="xsd:double"&gt;0.606840022611645&lt;/D&gt;&lt;D xsi:type="xsd:double"&gt;0.546269781461944&lt;/D&gt;&lt;/FQL&gt;&lt;FQL&gt;&lt;Q&gt;DAL-US^FORMULA_DESCRIPTION("FF_CASH_RATIO")&lt;/Q&gt;&lt;R&gt;1&lt;/R&gt;&lt;C&gt;1&lt;/C&gt;&lt;D xsi:type="xsd:string"&gt;Cash Ratio&lt;/D&gt;&lt;/FQL&gt;&lt;FQL&gt;&lt;Q&gt;DAL-US^FF_CASH_RATIO(ANN_R,2020,2012)&lt;/Q&gt;&lt;R&gt;9&lt;/R&gt;&lt;C&gt;1&lt;/C&gt;&lt;D xsi:type="xsd:double"&gt;0.897092986752056&lt;/D&gt;&lt;D xsi:type="xsd:double"&gt;0.153137992476737&lt;/D&gt;&lt;D xsi:type="xsd:double"&gt;0.0976961998062224&lt;/D&gt;&lt;D xsi:type="xsd:double"&gt;0.139195105227069&lt;/D&gt;&lt;D xsi:type="xsd:double"&gt;0.238992059846447&lt;/D&gt;&lt;D xsi:type="xsd:double"&gt;0.309483053748716&lt;/D&gt;&lt;D xsi:type="xsd:double"&gt;0.259671781503644&lt;/D&gt;&lt;D xsi:type="xsd:double"&gt;0.277345958168457&lt;/D&gt;&lt;D xsi:type="xsd:double"&gt;0.282516955538809&lt;/D&gt;&lt;/FQL&gt;&lt;FQL&gt;&lt;Q&gt;DAL-US^FF_SALES(ANN_R,2020,2012)&lt;/Q&gt;&lt;R&gt;9&lt;/R&gt;&lt;C&gt;1&lt;/C&gt;&lt;D xsi:type="xsd:double"&gt;17095&lt;/D&gt;&lt;D xsi:type="xsd:double"&gt;47006&lt;/D&gt;&lt;D xsi:type="xsd:double"&gt;44441&lt;/D&gt;&lt;D xsi:type="xsd:double"&gt;41128&lt;/D&gt;&lt;D xsi:type="xsd:double"&gt;39602&lt;/D&gt;&lt;D xsi:type="xsd:double"&gt;40506&lt;/D&gt;&lt;D xsi:type="xsd:double"&gt;40204&lt;/D&gt;&lt;D xsi:type="xsd:double"&gt;37638&lt;/D&gt;&lt;D xsi:type="xsd:double"&gt;36695&lt;/D&gt;&lt;/FQL&gt;&lt;FQL&gt;&lt;Q&gt;DAL-US^FF_WKCAP(ANN_R,2020,2012)&lt;/Q&gt;&lt;R&gt;9&lt;/R&gt;&lt;C&gt;1&lt;/C&gt;&lt;D xsi:type="xsd:double"&gt;1477&lt;/D&gt;&lt;D xsi:type="xsd:double"&gt;-11955&lt;/D&gt;&lt;D xsi:type="xsd:double"&gt;-12238&lt;/D&gt;&lt;D xsi:type="xsd:double"&gt;-11155&lt;/D&gt;&lt;D xsi:type="xsd:double"&gt;-7788&lt;/D&gt;&lt;D xsi:type="xsd:double"&gt;-8470&lt;/D&gt;&lt;D xsi:type="xsd:double"&gt;-4414&lt;/D&gt;&lt;D xsi:type="xsd:double"&gt;-4501&lt;/D&gt;&lt;D xsi:type="xsd:double"&gt;-4998&lt;/D&gt;&lt;/FQL&gt;&lt;FQL&gt;&lt;Q&gt;DAL-US^FF_COGS(ANN_R,2020,2012)&lt;/Q&gt;&lt;R&gt;9&lt;/R&gt;&lt;C&gt;1&lt;/C&gt;&lt;D xsi:type="xsd:double"&gt;23631&lt;/D&gt;&lt;D xsi:type="xsd:double"&gt;36584&lt;/D&gt;&lt;D xsi:type="xsd:double"&gt;35510&lt;/D&gt;&lt;D xsi:type="xsd:double"&gt;31655&lt;/D&gt;&lt;D xsi:type="xsd:double"&gt;28625&lt;/D&gt;&lt;D xsi:type="xsd:double"&gt;28456&lt;/D&gt;&lt;D xsi:type="xsd:double"&gt;31943&lt;/D&gt;&lt;D xsi:type="xsd:double"&gt;31341&lt;/D&gt;&lt;D xsi:type="xsd:double"&gt;30795&lt;/D&gt;&lt;/FQL&gt;&lt;FQL&gt;&lt;Q&gt;DAL-US^FORMULA_DESCRIPTION("FF_PAY_ACCT")&lt;/Q&gt;&lt;R&gt;1&lt;/R&gt;&lt;C&gt;1&lt;/C&gt;&lt;D xsi:type="xsd:string"&gt;Accounts Payable&lt;/D&gt;&lt;/FQL&gt;&lt;FQL&gt;&lt;Q&gt;DAL-US^FF_PAY_ACCT(ANN_R,2020,2012)&lt;/Q&gt;&lt;R&gt;9&lt;/R&gt;&lt;C&gt;1&lt;/C&gt;&lt;D xsi:type="xsd:double"&gt;2840&lt;/D&gt;&lt;D xsi:type="xsd:double"&gt;3266&lt;/D&gt;&lt;D xsi:type="xsd:double"&gt;2976&lt;/D&gt;&lt;D xsi:type="xsd:double"&gt;3634&lt;/D&gt;&lt;D xsi:type="xsd:double"&gt;2572&lt;/D&gt;&lt;D xsi:type="xsd:double"&gt;2743&lt;/D&gt;&lt;D xsi:type="xsd:double"&gt;2622&lt;/D&gt;&lt;D xsi:type="xsd:double"&gt;2300&lt;/D&gt;&lt;D xsi:type="xsd:double"&gt;2293&lt;/D&gt;&lt;/FQL&gt;&lt;FQL&gt;&lt;Q&gt;DAL-US^FF_RECEIV_TURN(ANN_R,2020,2012)&lt;/Q&gt;&lt;R&gt;9&lt;/R&gt;&lt;C&gt;1&lt;/C&gt;&lt;D xsi:type="xsd:double"&gt;8.04470588235294&lt;/D&gt;&lt;D xsi:type="xsd:double"&gt;18.1911764705882&lt;/D&gt;&lt;D xsi:type="xsd:double"&gt;18.947345981667&lt;/D&gt;&lt;D xsi:type="xsd:double"&gt;18.5219545147489&lt;/D&gt;&lt;D xsi:type="xsd:double"&gt;18.8446347846776&lt;/D&gt;&lt;D xsi:type="xsd:double"&gt;15.1113598209289&lt;/D&gt;&lt;D xsi:type="xsd:double"&gt;16.6441730490582&lt;/D&gt;&lt;D xsi:type="xsd:double"&gt;22.7970926711084&lt;/D&gt;&lt;D xsi:type="xsd:double"&gt;22.5399262899263&lt;/D&gt;&lt;/FQL&gt;&lt;FQL&gt;&lt;Q&gt;DAL-US^FF_INVEN_TURN(ANN_R,2020,2012)&lt;/Q&gt;&lt;R&gt;9&lt;/R&gt;&lt;C&gt;1&lt;/C&gt;&lt;D xsi:type="xsd:double"&gt;23.8335854765507&lt;/D&gt;&lt;D xsi:type="xsd:double"&gt;31.7294015611448&lt;/D&gt;&lt;D xsi:type="xsd:double"&gt;29.7902684563758&lt;/D&gt;&lt;D xsi:type="xsd:double"&gt;28.518018018018&lt;/D&gt;&lt;D xsi:type="xsd:double"&gt;36.051637279597&lt;/D&gt;&lt;D xsi:type="xsd:double"&gt;36.7411233053583&lt;/D&gt;&lt;D xsi:type="xsd:double"&gt;33.3608355091384&lt;/D&gt;&lt;D xsi:type="xsd:double"&gt;30.0488974113135&lt;/D&gt;&lt;D xsi:type="xsd:double"&gt;44.3093525179856&lt;/D&gt;&lt;/FQL&gt;&lt;FQL&gt;&lt;Q&gt;DAL-US^FF_PAY_TURN(ANN_R,2020,2012)&lt;/Q&gt;&lt;R&gt;9&lt;/R&gt;&lt;C&gt;1&lt;/C&gt;&lt;D xsi:type="xsd:double"&gt;7.5703&lt;/D&gt;&lt;D xsi:type="xsd:double"&gt;11.7847&lt;/D&gt;&lt;D xsi:type="xsd:double"&gt;10.6614&lt;/D&gt;&lt;D xsi:type="xsd:double"&gt;10.3426&lt;/D&gt;&lt;D xsi:type="xsd:double"&gt;10.8444&lt;/D&gt;&lt;D xsi:type="xsd:double"&gt;10.5502&lt;/D&gt;&lt;D xsi:type="xsd:double"&gt;12.8939&lt;/D&gt;&lt;D xsi:type="xsd:double"&gt;13.6647&lt;/D&gt;&lt;D xsi:type="xsd:double"&gt;16.1577&lt;/D&gt;&lt;/FQL&gt;&lt;FQL&gt;&lt;Q&gt;DAL-US^FF_INVEN_DAYS(ANN_R,2020,2012)&lt;/Q&gt;&lt;R&gt;9&lt;/R&gt;&lt;C&gt;1&lt;/C&gt;&lt;D xsi:type="xsd:double"&gt;15.3145232956709&lt;/D&gt;&lt;D xsi:type="xsd:double"&gt;11.5035261316422&lt;/D&gt;&lt;D xsi:type="xsd:double"&gt;12.2523232892143&lt;/D&gt;&lt;D xsi:type="xsd:double"&gt;12.7989259200758&lt;/D&gt;&lt;D xsi:type="xsd:double"&gt;10.1243668122271&lt;/D&gt;&lt;D xsi:type="xsd:double"&gt;9.93437236435198&lt;/D&gt;&lt;D xsi:type="xsd:double"&gt;10.9409729831262&lt;/D&gt;&lt;D xsi:type="xsd:double"&gt;12.1468683194538&lt;/D&gt;&lt;D xsi:type="xsd:double"&gt;8.23753856145478&lt;/D&gt;&lt;/FQL&gt;&lt;FQL&gt;&lt;Q&gt;DAL-US^FF_RECEIV_TURN_DAYS(ANN_R,2020,2012)&lt;/Q&gt;&lt;R&gt;9&lt;/R&gt;&lt;C&gt;1&lt;/C&gt;&lt;D xsi:type="xsd:double"&gt;45.3714536414156&lt;/D&gt;&lt;D xsi:type="xsd:double"&gt;20.0646725949879&lt;/D&gt;&lt;D xsi:type="xsd:double"&gt;19.263911703157&lt;/D&gt;&lt;D xsi:type="xsd:double"&gt;19.7063436101926&lt;/D&gt;&lt;D xsi:type="xsd:double"&gt;19.3689081359527&lt;/D&gt;&lt;D xsi:type="xsd:double"&gt;24.1540142201155&lt;/D&gt;&lt;D xsi:type="xsd:double"&gt;21.9295965575565&lt;/D&gt;&lt;D xsi:type="xsd:double"&gt;16.0108135395079&lt;/D&gt;&lt;D xsi:type="xsd:double"&gt;16.1934868510696&lt;/D&gt;&lt;/FQL&gt;&lt;FQL&gt;&lt;Q&gt;DAL-US^FF_PAY_TURN_DAYS(ANN_R,2020,2012)&lt;/Q&gt;&lt;R&gt;9&lt;/R&gt;&lt;C&gt;1&lt;/C&gt;&lt;D xsi:type="xsd:double"&gt;48.2147338942975&lt;/D&gt;&lt;D xsi:type=</t>
        </r>
      </text>
    </comment>
    <comment ref="A16" authorId="0" shapeId="0" xr:uid="{2DF067A1-DAD8-4387-B5FE-144CEC80E8CA}">
      <text>
        <r>
          <rPr>
            <b/>
            <sz val="9"/>
            <color indexed="81"/>
            <rFont val="Tahoma"/>
            <charset val="1"/>
          </rPr>
          <t>"xsd:double"&gt;30.9723624699823&lt;/D&gt;&lt;D xsi:type="xsd:double"&gt;34.2356538540905&lt;/D&gt;&lt;D xsi:type="xsd:double"&gt;35.2909326474968&lt;/D&gt;&lt;D xsi:type="xsd:double"&gt;33.6579248275608&lt;/D&gt;&lt;D xsi:type="xsd:double"&gt;34.5965005402741&lt;/D&gt;&lt;D xsi:type="xsd:double"&gt;28.3079595777848&lt;/D&gt;&lt;D xsi:type="xsd:double"&gt;26.7111608743697&lt;/D&gt;&lt;D xsi:type="xsd:double"&gt;22.589848802738&lt;/D&gt;&lt;/FQL&gt;&lt;FQL&gt;&lt;Q&gt;DAL-US^FF_CASH_CONV_CYCLE(ANN_R,2020,2012)&lt;/Q&gt;&lt;R&gt;9&lt;/R&gt;&lt;C&gt;1&lt;/C&gt;&lt;D xsi:type="xsd:double"&gt;12.4712430427891&lt;/D&gt;&lt;D xsi:type="xsd:double"&gt;0.595836256647861&lt;/D&gt;&lt;D xsi:type="xsd:double"&gt;-2.71941886171916&lt;/D&gt;&lt;D xsi:type="xsd:double"&gt;-2.78566311722838&lt;/D&gt;&lt;D xsi:type="xsd:double"&gt;-4.16464987938097&lt;/D&gt;&lt;D xsi:type="xsd:double"&gt;-0.508113955806593&lt;/D&gt;&lt;D xsi:type="xsd:double"&gt;4.56260996289781&lt;/D&gt;&lt;D xsi:type="xsd:double"&gt;1.44652098459197&lt;/D&gt;&lt;D xsi:type="xsd:double"&gt;1.8411766097864&lt;/D&gt;&lt;/FQL&gt;&lt;FQL&gt;&lt;Q&gt;DAL-US^FF_SALES_WKCAP(ANN_R,2020,2012)&lt;/Q&gt;&lt;R&gt;9&lt;/R&gt;&lt;C&gt;1&lt;/C&gt;&lt;D xsi:type="xsd:double"&gt;11.5741367637102&lt;/D&gt;&lt;D xsi:type="xsd:string"&gt;@NA&lt;/D&gt;&lt;D xsi:type="xsd:string"&gt;@NA&lt;/D&gt;&lt;D xsi:type="xsd:string"&gt;@NA&lt;/D&gt;&lt;D xsi:type="xsd:string"&gt;@NA&lt;/D&gt;&lt;D xsi:type="xsd:string"&gt;@NA&lt;/D&gt;&lt;D xsi:type="xsd:string"&gt;@NA&lt;/D&gt;&lt;D xsi:type="xsd:string"&gt;@NA&lt;/D&gt;&lt;D xsi:type="xsd:string"&gt;@NA&lt;/D&gt;&lt;/FQL&gt;&lt;FQL&gt;&lt;Q&gt;DAL-US^FF_ASSETS(ANN_R,2020,2012,FY)&lt;/Q&gt;&lt;R&gt;9&lt;/R&gt;&lt;C&gt;1&lt;/C&gt;&lt;D xsi:type="xsd:double"&gt;71996&lt;/D&gt;&lt;D xsi:type="xsd:double"&gt;64532&lt;/D&gt;&lt;D xsi:type="xsd:double"&gt;60266&lt;/D&gt;&lt;D xsi:type="xsd:double"&gt;53671&lt;/D&gt;&lt;D xsi:type="xsd:double"&gt;58899&lt;/D&gt;&lt;D xsi:type="xsd:double"&gt;60634&lt;/D&gt;&lt;D xsi:type="xsd:double"&gt;54121&lt;/D&gt;&lt;D xsi:type="xsd:double"&gt;59394&lt;/D&gt;&lt;D xsi:type="xsd:double"&gt;44550&lt;/D&gt;&lt;/FQL&gt;&lt;FQL&gt;&lt;Q&gt;DAL-US^FF_PPE_NET(ANN_R,2020,2012,FY)&lt;/Q&gt;&lt;R&gt;9&lt;/R&gt;&lt;C&gt;1&lt;/C&gt;&lt;D xsi:type="xsd:double"&gt;32262&lt;/D&gt;&lt;D xsi:type="xsd:double"&gt;36937&lt;/D&gt;&lt;D xsi:type="xsd:double"&gt;34329&lt;/D&gt;&lt;D xsi:type="xsd:double"&gt;26563&lt;/D&gt;&lt;D xsi:type="xsd:double"&gt;24375&lt;/D&gt;&lt;D xsi:type="xsd:double"&gt;23039&lt;/D&gt;&lt;D xsi:type="xsd:double"&gt;21929&lt;/D&gt;&lt;D xsi:type="xsd:double"&gt;21854&lt;/D&gt;&lt;D xsi:type="xsd:double"&gt;20713&lt;/D&gt;&lt;/FQL&gt;&lt;FQL&gt;&lt;Q&gt;DAL-US^FF_ASSET_TURN(ANN_R,2020,2012)&lt;/Q&gt;&lt;R&gt;9&lt;/R&gt;&lt;C&gt;1&lt;/C&gt;&lt;D xsi:type="xsd:double"&gt;0.250424821282081&lt;/D&gt;&lt;D xsi:type="xsd:double"&gt;0.753313354380679&lt;/D&gt;&lt;D xsi:type="xsd:double"&gt;0.780097773330876&lt;/D&gt;&lt;D xsi:type="xsd:double"&gt;0.730709780580972&lt;/D&gt;&lt;D xsi:type="xsd:double"&gt;0.662611998360285&lt;/D&gt;&lt;D xsi:type="xsd:double"&gt;0.705956167487255&lt;/D&gt;&lt;D xsi:type="xsd:double"&gt;0.708346914504691&lt;/D&gt;&lt;D xsi:type="xsd:double"&gt;0.724197644885708&lt;/D&gt;&lt;D xsi:type="xsd:double"&gt;0.833513157446422&lt;/D&gt;&lt;/FQL&gt;&lt;FQL&gt;&lt;Q&gt;DAL-US^FORMULA_DESCRIPTION("FF_OPER_CF")&lt;/Q&gt;&lt;R&gt;1&lt;/R&gt;&lt;C&gt;1&lt;/C&gt;&lt;D xsi:type="xsd:string"&gt;Net Cash from Operating Activities&lt;/D&gt;&lt;/FQL&gt;&lt;FQL&gt;&lt;Q&gt;DAL-US^FF_OPER_CF(ANN_R,2020,2012)&lt;/Q&gt;&lt;R&gt;9&lt;/R&gt;&lt;C&gt;1&lt;/C&gt;&lt;D xsi:type="xsd:double"&gt;-3793&lt;/D&gt;&lt;D xsi:type="xsd:double"&gt;8425&lt;/D&gt;&lt;D xsi:type="xsd:double"&gt;7014&lt;/D&gt;&lt;D xsi:type="xsd:double"&gt;5023&lt;/D&gt;&lt;D xsi:type="xsd:double"&gt;7216&lt;/D&gt;&lt;D xsi:type="xsd:double"&gt;7920&lt;/D&gt;&lt;D xsi:type="xsd:double"&gt;4885&lt;/D&gt;&lt;D xsi:type="xsd:double"&gt;4273&lt;/D&gt;&lt;D xsi:type="xsd:double"&gt;2476&lt;/D&gt;&lt;/FQL&gt;&lt;FQL&gt;&lt;Q&gt;DAL-US^FORMULA_DESCRIPTION("FF_CAPEX")&lt;/Q&gt;&lt;R&gt;1&lt;/R&gt;&lt;C&gt;1&lt;/C&gt;&lt;D xsi:type="xsd:string"&gt;Capital Expenditures - Total&lt;/D&gt;&lt;/FQL&gt;&lt;FQL&gt;&lt;Q&gt;DAL-US^FF_CAPEX(ANN_R,2020,2012)&lt;/Q&gt;&lt;R&gt;9&lt;/R&gt;&lt;C&gt;1&lt;/C&gt;&lt;D xsi:type="xsd:double"&gt;1899&lt;/D&gt;&lt;D xsi:type="xsd:double"&gt;4936&lt;/D&gt;&lt;D xsi:type="xsd:double"&gt;5168&lt;/D&gt;&lt;D xsi:type="xsd:double"&gt;3891&lt;/D&gt;&lt;D xsi:type="xsd:double"&gt;3391&lt;/D&gt;&lt;D xsi:type="xsd:double"&gt;2945&lt;/D&gt;&lt;D xsi:type="xsd:double"&gt;2249&lt;/D&gt;&lt;D xsi:type="xsd:double"&gt;2568&lt;/D&gt;&lt;D xsi:type="xsd:double"&gt;1968&lt;/D&gt;&lt;/FQL&gt;&lt;FQL&gt;&lt;Q&gt;DAL-US^FF_EBIT_OPER_INT_COVG(ANN_R,2020,2012)&lt;/Q&gt;&lt;R&gt;9&lt;/R&gt;&lt;C&gt;1&lt;/C&gt;&lt;D xsi:type="xsd:double"&gt;-8.91388589881593&lt;/D&gt;&lt;D xsi:type="xsd:double"&gt;22.1196013289037&lt;/D&gt;&lt;D xsi:type="xsd:double"&gt;16.935691318328&lt;/D&gt;&lt;D xsi:type="xsd:double"&gt;15.2449494949495&lt;/D&gt;&lt;D xsi:type="xsd:double"&gt;16.5102040816327&lt;/D&gt;&lt;D xsi:type="xsd:double"&gt;16.2088974854932&lt;/D&gt;&lt;D xsi:type="xsd:double"&gt;7.30674846625767&lt;/D&gt;&lt;D xsi:type="xsd:double"&gt;3.60272417707151&lt;/D&gt;&lt;D xsi:type="xsd:double"&gt;2.66209598432909&lt;/D&gt;&lt;/FQL&gt;&lt;FQL&gt;&lt;Q&gt;DAL-US^FF_NET_INC(ANN_R,2020,2012)&lt;/Q&gt;&lt;R&gt;9&lt;/R&gt;&lt;C&gt;1&lt;/C&gt;&lt;D xsi:type="xsd:double"&gt;-12385&lt;/D&gt;&lt;D xsi:type="xsd:double"&gt;4767&lt;/D&gt;&lt;D xsi:type="xsd:double"&gt;3935&lt;/D&gt;&lt;D xsi:type="xsd:double"&gt;3205&lt;/D&gt;&lt;D xsi:type="xsd:double"&gt;4373&lt;/D&gt;&lt;D xsi:type="xsd:double"&gt;4526&lt;/D&gt;&lt;D xsi:type="xsd:double"&gt;659&lt;/D&gt;&lt;D xsi:type="xsd:double"&gt;10540&lt;/D&gt;&lt;D xsi:type="xsd:double"&gt;1009&lt;/D&gt;&lt;/FQL&gt;&lt;FQL&gt;&lt;Q&gt;DAL-US^FF_GROSS_MGN(ANN_R,2020,2012)&lt;/Q&gt;&lt;R&gt;9&lt;/R&gt;&lt;C&gt;1&lt;/C&gt;&lt;D xsi:type="xsd:double"&gt;-38.2334015794092&lt;/D&gt;&lt;D xsi:type="xsd:double"&gt;22.171637663277&lt;/D&gt;&lt;D xsi:type="xsd:double"&gt;20.0963074638284&lt;/D&gt;&lt;D xsi:type="xsd:double"&gt;23.0329702392531&lt;/D&gt;&lt;D xsi:type="xsd:double"&gt;27.7182970557043&lt;/D&gt;&lt;D xsi:type="xsd:double"&gt;29.7486792080186&lt;/D&gt;&lt;D xsi:type="xsd:double"&gt;20.5477066958512&lt;/D&gt;&lt;D xsi:type="xsd:double"&gt;16.7304320102025&lt;/D&gt;&lt;D xsi:type="xsd:double"&gt;16.0784848071944&lt;/D&gt;&lt;/FQL&gt;&lt;FQL&gt;&lt;Q&gt;DAL-US^FF_NET_MGN(ANN_R,2020,2012)&lt;/Q&gt;&lt;R&gt;9&lt;/R&gt;&lt;C&gt;1&lt;/C&gt;&lt;D xsi:type="xsd:double"&gt;-72.4480842351565&lt;/D&gt;&lt;D xsi:type="xsd:double"&gt;10.1412585627367&lt;/D&gt;&lt;D xsi:type="xsd:double"&gt;8.85443621880696&lt;/D&gt;&lt;D xsi:type="xsd:double"&gt;7.79274460221747&lt;/D&gt;&lt;D xsi:type="xsd:double"&gt;11.0423715973941&lt;/D&gt;&lt;D xsi:type="xsd:double"&gt;11.1736532859329&lt;/D&gt;&lt;D xsi:type="xsd:double"&gt;1.63914038404139&lt;/D&gt;&lt;D xsi:type="xsd:double"&gt;28.003613369467&lt;/D&gt;&lt;D xsi:type="xsd:double"&gt;2.7496934187219&lt;/D&gt;&lt;/FQL&gt;&lt;FQL&gt;&lt;Q&gt;DAL-US^FORMULA_DESCRIPTION("FF_EBIT_OPER")&lt;/Q&gt;&lt;R&gt;1&lt;/R&gt;&lt;C&gt;1&lt;/C&gt;&lt;D xsi:type="xsd:string"&gt;EBIT&lt;/D&gt;&lt;/FQL&gt;&lt;FQL&gt;&lt;Q&gt;DAL-US^FF_EBIT_OPER(ANN_R,2020,2012)&lt;/Q&gt;&lt;R&gt;9&lt;/R&gt;&lt;C&gt;1&lt;/C&gt;&lt;D xsi:type="xsd:double"&gt;-8281&lt;/D&gt;&lt;D xsi:type="xsd:double"&gt;6658&lt;/D&gt;&lt;D xsi:type="xsd:double"&gt;5267&lt;/D&gt;&lt;D xsi:type="xsd:double"&gt;6037&lt;/D&gt;&lt;D xsi:type="xsd:double"&gt;7281&lt;/D&gt;&lt;D xsi:type="xsd:double"&gt;8380&lt;/D&gt;&lt;D xsi:type="xsd:double"&gt;4764&lt;/D&gt;&lt;D xsi:type="xsd:double"&gt;3174&lt;/D&gt;&lt;D xsi:type="xsd:double"&gt;2718&lt;/D&gt;&lt;/FQL&gt;&lt;FQL&gt;&lt;Q&gt;DAL-US^FORMULA_DESCRIPTION("FF_NET_INC")&lt;/Q&gt;&lt;R&gt;1&lt;/R&gt;&lt;C&gt;1&lt;/C&gt;&lt;D xsi:type="xsd:string"&gt;Net Income&lt;/D&gt;&lt;/FQL&gt;&lt;FQL&gt;&lt;Q&gt;DAL-US^FORMULA_DESCRIPTION("FF_ASSETS")&lt;/Q&gt;&lt;R&gt;1&lt;/R&gt;&lt;C&gt;1&lt;/C&gt;&lt;D xsi:type="xsd:string"&gt;Total Assets&lt;/D&gt;&lt;/FQL&gt;&lt;FQL&gt;&lt;Q&gt;DAL-US^FF_ASSETS(ANN_R,2020,2012)&lt;/Q&gt;&lt;R&gt;9&lt;/R&gt;&lt;C&gt;1&lt;/C&gt;&lt;D xsi:type="xsd:double"&gt;71996&lt;/D&gt;&lt;D xsi:type="xsd:double"&gt;64532&lt;/D&gt;&lt;D xsi:type="xsd:double"&gt;60266&lt;/D&gt;&lt;D xsi:type="xsd:double"&gt;53671&lt;/D&gt;&lt;D xsi:type="xsd:double"&gt;58899&lt;/D&gt;&lt;D xsi:type="xsd:double"&gt;60634&lt;/D&gt;&lt;D xsi:type="xsd:double"&gt;54121&lt;/D&gt;&lt;D xsi:type="xsd:double"&gt;59394&lt;/D&gt;&lt;D xsi:type="xsd:double"&gt;44550&lt;/D&gt;&lt;/FQL&gt;&lt;FQL&gt;&lt;Q&gt;DAL-US^FORMULA_DESCRIPTION("FF_SHLDRS_EQ")&lt;/Q&gt;&lt;R&gt;1&lt;/R&gt;&lt;C&gt;1&lt;/C&gt;&lt;D xsi:type="xsd:string"&gt;Total Shareholders' Equity&lt;/D&gt;&lt;/FQL&gt;&lt;FQL&gt;&lt;Q&gt;DAL-US^FF_SHLDRS_EQ(ANN_R,2020,2012)&lt;/Q&gt;&lt;R&gt;9&lt;/R&gt;&lt;C&gt;1&lt;/C&gt;&lt;D xsi:type="xsd:double"&gt;1534&lt;/D&gt;&lt;D xsi:type="xsd:double"&gt;15358&lt;/D&gt;&lt;D xsi:type="xsd:double"&gt;13687&lt;/D&gt;&lt;D xsi:type="xsd:double"&gt;12530&lt;/D&gt;&lt;D xsi:type="xsd:double"&gt;12287&lt;/D&gt;&lt;D xsi:type="xsd:double"&gt;10850&lt;/D&gt;&lt;D xsi:type="xsd:double"&gt;8813&lt;/D&gt;&lt;D xsi:type="xsd:double"&gt;11643&lt;/D&gt;&lt;D xsi:type="xsd:double"&gt;-2131&lt;/D&gt;&lt;/FQL&gt;&lt;FQL&gt;&lt;Q&gt;DAL-US^FORMULA_DESCRIPTION("FF_DEBT_LT")&lt;/Q&gt;&lt;R&gt;1&lt;/R&gt;&lt;C&gt;1&lt;/C&gt;&lt;D xsi:type="xsd:string"&gt;Long-Term Debt&lt;/D&gt;&lt;/FQL&gt;&lt;FQL&gt;&lt;Q&gt;DAL-US^FF_DEBT_LT(ANN_R,2020,2012)&lt;/Q&gt;&lt;R&gt;9&lt;/R&gt;&lt;C&gt;1&lt;/C&gt;&lt;D xsi:type="xsd:double"&gt;33138&lt;/D&gt;&lt;D xsi:type="xsd:double"&gt;14167&lt;/D&gt;&lt;D xsi:type="xsd:double"&gt;14054&lt;/D&gt;&lt;D xsi:type="xsd:double"&gt;6592&lt;/D&gt;&lt;D xsi:type="xsd:double"&gt;6201&lt;/D&gt;&lt;D xsi:type="xsd:double"&gt;6766&lt;/D&gt;&lt;D xsi:type="xsd:double"&gt;8561&lt;/D&gt;&lt;D xsi:type="xsd:double"&gt;9795&lt;/D&gt;&lt;D xsi:type="xsd:double"&gt;11082&lt;/D&gt;&lt;/FQL&gt;&lt;FQL&gt;&lt;Q&gt;DAL-US^FORMULA_DESCRIPTION("FF_DEBT_ST")&lt;/Q&gt;&lt;R&gt;1&lt;/R&gt;&lt;C&gt;1&lt;/C&gt;&lt;D xsi:type="xsd:string"&gt;Short-Term Debt (incl. Current Portion of LTD)&lt;/D&gt;&lt;/FQL&gt;&lt;FQL&gt;&lt;Q&gt;DAL-US^FF_DEBT_ST(ANN_R,2020,2012)&lt;/Q&gt;&lt;R&gt;9&lt;/R&gt;&lt;C&gt;1&lt;/C&gt;&lt;D xsi:type="xsd:double"&gt;2410&lt;/D&gt;&lt;D xsi:type="xsd:double"&gt;3088&lt;/D&gt;&lt;D xsi:type="xsd:double"&gt;2473&lt;/D&gt;&lt;D xsi:type="xsd:double"&gt;2242&lt;/D&gt;&lt;D xsi:type="xsd:double"&gt;1131&lt;/D&gt;&lt;D xsi:type="xsd:double"&gt;1563&lt;/D&gt;&lt;D xsi:type="xsd:double"&gt;1216&lt;/D&gt;&lt;D xsi:type="xsd:double"&gt;1547&lt;/D&gt;&lt;D xsi:type="xsd:double"&gt;1627&lt;/D&gt;&lt;/FQL&gt;&lt;FQL&gt;&lt;Q&gt;DAL-US^FORMULA_DESCRIPTION("FF_ROA")&lt;/Q&gt;&lt;R&gt;1&lt;/R&gt;&lt;C&gt;1&lt;/C&gt;&lt;D xsi:type="xsd:string"&gt;Return on Average Assets&lt;/D&gt;&lt;/FQL&gt;&lt;FQL&gt;&lt;Q&gt;DAL-US^FF_ROA(ANN_R,2020,2012)&lt;/Q&gt;&lt;R&gt;9&lt;/R&gt;&lt;C&gt;1&lt;/C&gt;&lt;D xsi:type="xsd:double"&gt;-18.1427985468182&lt;/D&gt;&lt;D xsi:type="xsd:double"&gt;7.63954550553695&lt;/D&gt;&lt;D xsi:type="xsd:double"&gt;6.90732597839157&lt;/D&gt;&lt;D xsi:type="xsd:double"&gt;5.69423469840988&lt;/D&gt;&lt;D xsi:type="xsd:double"&gt;7.31680791078614&lt;/D&gt;&lt;D xsi:type="xsd:double"&gt;7.8881094505686&lt;/D&gt;&lt;D xsi:type="xsd:double"&gt;1.16108003347575&lt;/D&gt;&lt;D xsi:type="xsd:double"&gt;20.2801508504579&lt;/D&gt;&lt;D xsi:type="xsd:double"&gt;2.29190564344853&lt;/D&gt;&lt;/FQL&gt;&lt;FQL&gt;&lt;Q&gt;DAL-US^FORMULA_DESCRIPTION("FF_ROE")&lt;/Q&gt;&lt;R&gt;1&lt;/R&gt;&lt;C&gt;1&lt;/C&gt;&lt;D xsi:type="xsd:string"&gt;Return on Average Total Equity&lt;/D&gt;&lt;/FQL&gt;&lt;FQL&gt;&lt;Q&gt;DAL-US^FF_ROE(ANN_R,2020,2012)&lt;/Q&gt;&lt;R&gt;9&lt;/R&gt;&lt;C&gt;1&lt;/C&gt;&lt;D xsi:type="xsd:double"&gt;-146.637461520246&lt;/D&gt;&lt;D xsi:type="xsd:double"&gt;32.8249268376657&lt;/D&gt;&lt;D xsi:type="xsd:double"&gt;30.0186901628714&lt;/D&gt;&lt;D xsi:type="xsd:double"&gt;25.8290687834952&lt;/D&gt;&lt;D xsi:type="xsd:double"&gt;37.8009249254441&lt;/D&gt;&lt;D xsi:type="xsd:double"&gt;46.0357015714794&lt;/D&gt;&lt;D xsi:type="xsd:double"&gt;6.44309737974189&lt;/D&gt;&lt;D xsi:type="xsd:double"&gt;221.61480235492&lt;/D&gt;&lt;D xsi:type="xsd:string"&gt;@NA&lt;/D&gt;&lt;/FQL&gt;&lt;FQL&gt;&lt;Q&gt;DAL-US^FORMULA_DESCRIPTION("FF_ROTC")&lt;/Q&gt;&lt;R&gt;1&lt;/R&gt;&lt;C&gt;1&lt;/C&gt;&lt;D xsi:type="xsd:string"&gt;Return on Average Total Capital&lt;/D&gt;&lt;/FQL&gt;&lt;FQL&gt;&lt;Q&gt;DAL-US^FF_ROTC(ANN_R,2020,2012)&lt;/Q&gt;&lt;R&gt;9&lt;/R&gt;&lt;C&gt;1&lt;/C&gt;&lt;D xsi:type="xsd:double"&gt;-23.7635411435541&lt;/D&gt;&lt;D xsi:type="xsd:double"&gt;21.1947092810416&lt;/D&gt;&lt;D xsi:type="xsd:double"&gt;20.4234363488309&lt;/D&gt;&lt;D xsi:type="xsd:double"&gt;29.4609960227411&lt;/D&gt;&lt;D xsi:type="xsd:double"&gt;37.5328625186865&lt;/D&gt;&lt;D xsi:type="xsd:double"&gt;44.3750165479626&lt;/D&gt;&lt;D xsi:type="xsd:double"&gt;22.9176187612748&lt;/D&gt;&lt;D xsi:type="xsd:double"&gt;18.913684712332&lt;/D&gt;&lt;D xsi:type="xsd:double"&gt;23.6625603969878&lt;/D&gt;&lt;/FQL&gt;&lt;FQL&gt;&lt;Q&gt;DAL-US^FORMULA_DESCRIPTION("FF_ROIC")&lt;/Q&gt;&lt;R&gt;1&lt;/R&gt;&lt;C&gt;1&lt;/C&gt;&lt;D xsi:type="xsd:string"&gt;Return on Average Invested Capital&lt;/D&gt;&lt;/FQL&gt;&lt;FQL&gt;&lt;Q&gt;DAL-US^FF_ROIC(ANN_R,2020,2012)&lt;/Q&gt;&lt;R&gt;9&lt;/R&gt;&lt;C&gt;1&lt;/C&gt;&lt;D xsi:type="xsd:double"&gt;-38.5843575244949&lt;/D&gt;&lt;D xsi:type="xsd:double"&gt;16.6486222191178&lt;/D&gt;&lt;D xsi:type="xsd:double"&gt;16.7936325032542&lt;/D&gt;&lt;D xsi:type="xsd:double"&gt;17.0433395373571&lt;/D&gt;&lt;D xsi:type="xsd:double"&gt;24.2244626634168&lt;/D&gt;&lt;D xsi:type="xsd:double"&gt;25.8702486424693&lt;/D&gt;&lt;D xsi:type="xsd:double"&gt;3.39585695145831&lt;/D&gt;&lt;D xsi:type="xsd:double"&gt;69.3672052387377&lt;/D&gt;&lt;D xsi:type="xsd:double"&gt;10.4009895887022&lt;/D&gt;&lt;/FQL&gt;&lt;FQL&gt;&lt;Q&gt;DAL-US^FF_NET_INC(ANN_R,2020,2012,FY)&lt;/Q&gt;&lt;R&gt;9&lt;/R&gt;&lt;C&gt;1&lt;/C&gt;&lt;D xsi:type="xsd:double"&gt;-12385&lt;/D&gt;&lt;D xsi:type="xsd:double"&gt;4767&lt;/D&gt;&lt;D xsi:type="xsd:double"&gt;3935&lt;/D&gt;&lt;D xsi:type="xsd:double"&gt;3205&lt;/D&gt;&lt;D xsi:type="xsd:double"&gt;4373&lt;/D&gt;&lt;D xsi:type="xsd:double"&gt;4526&lt;/D&gt;&lt;D xsi:type="xsd:double"&gt;659&lt;/D&gt;&lt;D xsi:type="xsd:double"&gt;10540&lt;/D&gt;&lt;D xsi:type="xsd:double"&gt;1009&lt;/D&gt;&lt;/FQL&gt;&lt;FQL&gt;&lt;Q&gt;DAL-US^FF_PTX_INC(ANN_R,2020,2012)&lt;/Q&gt;&lt;R&gt;9&lt;/R&gt;&lt;C&gt;1&lt;/C&gt;&lt;D xsi:type="xsd:double"&gt;-15587&lt;/D&gt;&lt;D xsi:type="xsd:double"&gt;6198&lt;/D&gt;&lt;D xsi:type="xsd:double"&gt;5151&lt;/D&gt;&lt;D xsi:type="xsd:double"&gt;5500&lt;/D&gt;&lt;D xsi:type="xsd:double"&gt;6636&lt;/D&gt;&lt;D xsi:type="xsd:double"&gt;7157&lt;/D&gt;&lt;D xsi:type="xsd:double"&gt;1072&lt;/D&gt;&lt;D xsi:type="xsd:double"&gt;2527&lt;/D&gt;&lt;D xsi:type="xsd:double"&gt;1025&lt;/D&gt;&lt;/FQL&gt;&lt;FQL&gt;&lt;Q&gt;DAL-US^FF_EBIT_OPER(ANN_R,2020,2012,FY)&lt;/Q&gt;&lt;R&gt;9&lt;/R&gt;&lt;C&gt;1&lt;/C&gt;&lt;D xsi:type="xsd:double"&gt;-8281&lt;/D&gt;&lt;D xsi:type="xsd:double"&gt;6658&lt;/D&gt;&lt;D xsi:type="xsd:double"&gt;5267&lt;/D&gt;&lt;D xsi:type="xsd:double"&gt;6037&lt;/D&gt;&lt;D xsi:type="xsd:double"&gt;7281&lt;/D&gt;&lt;D xsi:type="xsd:double"&gt;8380&lt;/D&gt;&lt;D xsi:type="xsd:double"&gt;4764&lt;/D&gt;&lt;D xsi:type="xsd:double"&gt;3174&lt;/D&gt;&lt;D xsi:type="xsd:double"&gt;2718&lt;/D&gt;&lt;/FQL&gt;&lt;FQL&gt;&lt;Q&gt;DAL-US^FF_SALES(ANN_R,2020,2012,FY)&lt;/Q&gt;&lt;R&gt;9&lt;/R&gt;&lt;C&gt;1&lt;/C&gt;&lt;D xsi:type="xsd:double"&gt;17095&lt;/D&gt;&lt;D xsi:type="xsd:double"&gt;47006&lt;/D&gt;&lt;D xsi:type="xsd:double"&gt;44441&lt;/D&gt;&lt;D xsi:type="xsd:double"&gt;41128&lt;/D&gt;&lt;D xsi:type="xsd:double"&gt;39602&lt;/D&gt;&lt;D xsi:type="xsd:double"&gt;40506&lt;/D&gt;&lt;D xsi:type="xsd:double"&gt;40204&lt;/D&gt;&lt;D xsi:type="xsd:double"&gt;37638&lt;/D&gt;&lt;D xsi:type="xsd:double"&gt;36695&lt;/D&gt;&lt;/FQL&gt;&lt;FQL&gt;&lt;Q&gt;DAL-US^FF_SHLDRS_EQ(ANN_R,2020,2012,FY)&lt;/Q&gt;&lt;R&gt;9&lt;/R&gt;&lt;C&gt;1&lt;/C&gt;&lt;D xsi:type="xsd:double"&gt;1534&lt;/D&gt;&lt;D xsi:type="xsd:double"&gt;15358&lt;/D&gt;&lt;D xsi:type="xsd:double"&gt;13687&lt;/D&gt;&lt;D xsi:type="xsd:double"&gt;12530&lt;/D&gt;&lt;D xsi:type="xsd:double"&gt;12287&lt;/D&gt;&lt;D xsi:type="xsd:double"&gt;10850&lt;/D&gt;&lt;D xsi:type="xsd:double"&gt;8813&lt;/D&gt;&lt;D xsi:type="xsd:double"&gt;11643&lt;/D&gt;&lt;D xsi:type="xsd:double"&gt;-2131&lt;/D&gt;&lt;/FQL&gt;&lt;FQL&gt;&lt;Q&gt;DAL-US^FORMULA_DESCRIPTION("FF_DEBT")&lt;/Q&gt;&lt;R&gt;1&lt;/R&gt;&lt;C&gt;1&lt;/C&gt;&lt;D xsi:type="xsd:string"&gt;Total Debt&lt;/D&gt;&lt;/FQL&gt;&lt;FQL&gt;&lt;Q&gt;DAL-US^FF_DEBT(ANN_R,2020,2012,FY)&lt;/Q&gt;&lt;R&gt;9&lt;/R&gt;&lt;C&gt;1&lt;/C&gt;&lt;D xsi:type="xsd:double"&gt;35548&lt;/D&gt;&lt;D xsi:type="xsd:double"&gt;17255&lt;/D&gt;&lt;D xsi:type="xsd:double"&gt;16527&lt;/D&gt;&lt;D xsi:type="xsd:double"&gt;8834&lt;/D&gt;&lt;D xsi:type="xsd:double"&gt;7332&lt;/D&gt;&lt;D xsi:type="xsd:double"&gt;8329&lt;/D&gt;&lt;D xsi:type="xsd:double"&gt;9777&lt;/D&gt;&lt;D xsi:type="xsd:double"&gt;11342&lt;/D&gt;&lt;D xsi:type="xsd:double"&gt;12709&lt;/D&gt;&lt;/FQL&gt;&lt;FQL&gt;&lt;Q&gt;DAL-US^FF_DEBT_LT(ANN_R,2020,2012,FY)&lt;/Q&gt;&lt;R&gt;9&lt;/R&gt;&lt;C&gt;1&lt;/C&gt;&lt;D xsi:type="xsd:double"&gt;33138&lt;/D&gt;&lt;D xsi:type="xsd:double"&gt;14167&lt;/D&gt;&lt;D xsi:type="xsd:double"&gt;14054&lt;/D&gt;&lt;D xsi:type="xsd:double"&gt;6592&lt;/D&gt;&lt;D xsi:type="xsd:double"&gt;6201&lt;/D&gt;&lt;D xsi:type="xsd:double"&gt;6766&lt;/D&gt;&lt;D xsi:type="xsd:double"&gt;8561&lt;/D&gt;&lt;D xsi:type="xsd:double"&gt;9795&lt;/D&gt;&lt;D xsi:type="xsd:double"&gt;11082&lt;/D&gt;&lt;/FQL&gt;&lt;FQL&gt;&lt;Q&gt;DAL-US^FF_DEBT_ST(ANN_R,2020,2012,FY)&lt;/Q&gt;&lt;R&gt;9&lt;/R&gt;&lt;C&gt;1&lt;/C&gt;&lt;D xsi:type="xsd:double"&gt;2410&lt;/D&gt;&lt;D xsi:type="xsd:double"&gt;3088&lt;/D&gt;&lt;D xsi:type="xsd:double"&gt;2473&lt;/D&gt;&lt;D xsi:type="xsd:double"&gt;2242&lt;/D&gt;&lt;D xsi:type="xsd:double"&gt;1131&lt;/D&gt;&lt;D xsi:type="xsd:double"&gt;1563&lt;/D&gt;&lt;D xsi:type="xsd:double"&gt;1216&lt;/D&gt;&lt;D xsi:type="xsd:double"&gt;1547&lt;/D&gt;&lt;D xsi:type="xsd:double"&gt;1627&lt;/D&gt;&lt;/FQL&gt;&lt;FQL&gt;&lt;Q&gt;DAL-US^FORMULA_DESCRIPTION("FREF_MARKET_VALUE_COMPANY")&lt;/Q&gt;&lt;R&gt;1&lt;/R&gt;&lt;C&gt;1&lt;/C&gt;&lt;D xsi:type="xsd:string"&gt;Market Value - Company Level&lt;/D&gt;&lt;/FQL&gt;&lt;FQL&gt;&lt;Q&gt;DAL-US^FREF_MARKET_VALUE_COMPANY(2020,2012,FY,,,0)&lt;/Q&gt;&lt;R&gt;9&lt;/R&gt;&lt;C&gt;1&lt;/C&gt;&lt;D xsi:type="xsd:double"&gt;25643.2961806632&lt;/D&gt;&lt;D xsi:type="xsd:double"&gt;37821.5220916399&lt;/D&gt;&lt;D xsi:type="xsd:double"&gt;34212.3748437786&lt;/D&gt;&lt;D xsi:type="xsd:double"&gt;39926.49609375&lt;/D&gt;&lt;D xsi:type="xsd:double"&gt;36838.7844762921&lt;/D&gt;&lt;D xsi:type="xsd:double"&gt;39866.3659304404&lt;/D&gt;&lt;D xsi:type="xsd:double"&gt;41169.1256078386&lt;/D&gt;&lt;D xsi:type="xsd:double"&gt;23501.8485958928&lt;/D&gt;&lt;D xsi:type="xsd:double"&gt;10094.8415475712&lt;/D&gt;&lt;/FQL&gt;&lt;FQL&gt;&lt;Q&gt;DAL-US^FORMULA_DESCRIPTION("FF_TOT_DEBT_TCAP_STD")&lt;/Q&gt;&lt;R&gt;1&lt;/R&gt;&lt;C&gt;1&lt;/C&gt;&lt;D xsi:type="xsd:string"&gt;Total Debt % Total Capital&lt;/D&gt;&lt;/FQL&gt;&lt;FQL&gt;&lt;Q&gt;DAL-US^FF_TOT_DEBT_TCAP_STD(ANN_R,2020,2012)&lt;/Q&gt;&lt;R&gt;9&lt;/R&gt;&lt;C&gt;1&lt;/C&gt;&lt;D xsi:type="xsd:double"&gt;95.8632220484332&lt;/D&gt;&lt;D xsi:type="xsd:double"&gt;52.9083494312084&lt;/D&gt;&lt;D xsi:type="xsd:double"&gt;54.6998080360098&lt;/D&gt;&lt;D xsi:type="xsd:double"&gt;41.3499344692005&lt;/D&gt;&lt;D xsi:type="xsd:double"&gt;37.3719353687752&lt;/D&gt;&lt;D xsi:type="xsd:double"&gt;43.4277073882893&lt;/D&gt;&lt;D xsi:type="xsd:double"&gt;52.5927918235611&lt;/D&gt;&lt;D xsi:type="xsd:double"&gt;49.3452251468349&lt;/D&gt;&lt;D xsi:type="xsd:double"&gt;120.145585176782&lt;/D&gt;&lt;/FQL&gt;&lt;FQL&gt;&lt;Q&gt;^FORMULA_DESCRIPTION("FF_DEBT_EQ")&lt;/Q&gt;&lt;R&gt;1&lt;/R&gt;&lt;C&gt;1&lt;/C&gt;&lt;D xsi:type="xsd:string"&gt;Total Debt % Equity&lt;/D&gt;&lt;/FQL&gt;&lt;FQL&gt;&lt;Q&gt;DAL-US^FF_DEBT_EQ(ANN_R,2020,2012)&lt;/Q&gt;&lt;R&gt;9&lt;/R&gt;&lt;C&gt;1&lt;/C&gt;&lt;D xsi:type="xsd:double"&gt;2317.34028683181&lt;/D&gt;&lt;D xsi:type="xsd:double"&gt;112.351868732908&lt;/D&gt;&lt;D xsi:type="xsd:double"&gt;120.749616424344&lt;/D&gt;&lt;D xsi:type="xsd:double"&gt;70.5027932960894&lt;/D&gt;&lt;D xsi:type="xsd:double"&gt;59.6728249369252&lt;/D&gt;&lt;D xsi:type="xsd:double"&gt;76.7649769585253&lt;/D&gt;&lt;D xsi:type="xsd:double"&gt;110.938386474526&lt;/D&gt;&lt;D xsi:type="xsd:double"&gt;97.41475564717&lt;/D&gt;&lt;D xsi:type="xsd:string"&gt;@NA&lt;/D&gt;&lt;/FQL&gt;&lt;FQL&gt;&lt;Q&gt;SKYW-US^FF_OPER_LEASE_COMMIT_YR5(ANN_R,-9)&lt;/Q&gt;&lt;R&gt;1&lt;/R&gt;&lt;C&gt;1&lt;/C&gt;&lt;D xsi:type="xsd:double"&gt;239.698&lt;/D&gt;&lt;/FQL&gt;&lt;FQL&gt;&lt;Q&gt;SKYW-US^FF_OPER_LEASE_COMMIT_YR4(ANN_R,-9)&lt;/Q&gt;&lt;R&gt;1&lt;/R&gt;&lt;C&gt;1&lt;/C&gt;&lt;D xsi:type="xsd:double"&gt;305.828&lt;/D&gt;&lt;/FQL&gt;&lt;FQL&gt;&lt;Q&gt;SKYW-US^FF_OPER_LEASE_COMMIT_YR3(ANN_R,-9)&lt;/Q&gt;&lt;R&gt;1&lt;/R&gt;&lt;C&gt;1&lt;/C&gt;&lt;D xsi:type="xsd:double"&gt;348.323&lt;/D&gt;&lt;/FQL&gt;&lt;FQL&gt;&lt;Q&gt;SKYW-US^FF_OPER_LEASE_COMMIT_YR2(ANN_R,-9)&lt;/Q&gt;&lt;R&gt;1&lt;/R&gt;&lt;C&gt;1&lt;/C&gt;&lt;D xsi:type="xsd:double"&gt;369.002&lt;/D&gt;&lt;/FQL&gt;&lt;FQL&gt;&lt;Q&gt;SKYW-US^FF_OPER_LEASE_COMMIT_YR1(ANN_R,-9)&lt;/Q&gt;&lt;R&gt;1&lt;/R&gt;&lt;C&gt;1&lt;/C&gt;&lt;D xsi:type="xsd:double"&gt;392.165&lt;/D&gt;&lt;/FQL&gt;&lt;FQL&gt;&lt;Q&gt;SKYW-US^FF_OPER_LEASE_COMMIT_YR1(ANN_R,-10)&lt;/Q&gt;&lt;R&gt;1&lt;/R&gt;&lt;C&gt;1&lt;/C&gt;&lt;D xsi:type="xsd:double"&gt;373.166&lt;/D&gt;&lt;/FQL&gt;&lt;FQL&gt;&lt;Q&gt;SKYW-US^FF_OPER_LEASE_COMMIT_5YR(ANN_R,-8)&lt;/Q&gt;&lt;R&gt;1&lt;/R&gt;&lt;C&gt;1&lt;/C&gt;&lt;D xsi:type="xsd:double"&gt;720.733&lt;/D&gt;&lt;/FQL&gt;&lt;FQL&gt;&lt;Q&gt;SKYW-US^FF_OPER_LEASE_COMMIT_5YR(ANN_R,-7)&lt;/Q&gt;&lt;R&gt;1&lt;/R&gt;&lt;C&gt;1&lt;/C&gt;&lt;D xsi:type="xsd:double"&gt;571.783&lt;/D&gt;&lt;/FQL&gt;&lt;FQL&gt;&lt;Q&gt;SKYW-US^FF_OPER_LEASE_COMMIT_5YR(ANN_R,-6)&lt;/Q&gt;&lt;R&gt;1&lt;/R&gt;&lt;C&gt;1&lt;/C&gt;&lt;D xsi:type="xsd:double"&gt;453.507&lt;/D&gt;&lt;/FQL&gt;&lt;FQL&gt;&lt;Q&gt;SKYW-US^FF_OPER_LEASE_COMMIT_YR5(ANN_R,-8)&lt;/Q&gt;&lt;R&gt;1&lt;/R&gt;&lt;C&gt;1&lt;/C&gt;&lt;D xsi:type="xsd:double"&gt;182.291&lt;/D&gt;&lt;/FQL&gt;&lt;FQL&gt;&lt;Q&gt;SKYW-US^FF_OPER_LEASE_COMMIT_YR5(ANN_R,-7)&lt;/Q&gt;&lt;R&gt;1&lt;/R&gt;&lt;C&gt;1&lt;/C&gt;&lt;D xsi:type="xsd:double"&gt;153.294&lt;/D&gt;&lt;/FQL&gt;&lt;FQL&gt;&lt;Q&gt;SKYW-US^FF_OPER_LEASE_COMMIT_YR5(ANN_R,-6)&lt;/Q&gt;&lt;R&gt;1&lt;/R&gt;&lt;C&gt;1&lt;/C&gt;&lt;D xsi:type="xsd:double"&gt;118.273&lt;/D&gt;&lt;/FQL&gt;&lt;FQL&gt;&lt;Q&gt;SKYW-US^FF_OPER_LEASE_COMMIT_YR4(ANN_R,-8)&lt;/Q&gt;&lt;R&gt;1&lt;/R&gt;&lt;C&gt;1&lt;/C&gt;&lt;D xsi:type="xsd:double"&gt;239.989&lt;/D&gt;&lt;/FQL&gt;&lt;FQL&gt;&lt;Q&gt;SKYW-US^FF_OPER_LEASE_COMMIT_YR4(ANN_R,-7)&lt;/Q&gt;&lt;R&gt;1&lt;/R&gt;&lt;C&gt;1&lt;/C&gt;&lt;D xsi:type="xsd:double"&gt;194.258&lt;/D&gt;&lt;/FQL&gt;&lt;FQL&gt;&lt;Q&gt;SKYW-US^FF_OPER_LEASE_COMMIT_YR4(ANN_R,-6)&lt;/Q&gt;&lt;R&gt;1&lt;/R&gt;&lt;C&gt;1&lt;/C&gt;&lt;D xsi:type="xsd:double"&gt;153.338&lt;/D&gt;&lt;/FQL&gt;&lt;FQL&gt;&lt;Q&gt;SKYW-US^FF_OPER_LEASE_COMMIT_YR3(ANN_R,-8)&lt;/Q&gt;&lt;R&gt;1&lt;/R&gt;&lt;C&gt;1&lt;/C&gt;&lt;D xsi:type="xsd:double"&gt;309.378&lt;/D&gt;&lt;/FQL&gt;&lt;FQL&gt;&lt;Q&gt;SKYW-US^FF_OPER_LEASE_COMMIT_YR3(ANN_R,-7)&lt;/Q&gt;&lt;R&gt;1&lt;/R&gt;&lt;C&gt;1&lt;/C&gt;&lt;D xsi:type="xsd:double"&gt;258.464&lt;/D&gt;&lt;/FQL&gt;&lt;FQL&gt;&lt;Q&gt;SKYW-US^FF_OPER_LEASE_COMMIT_YR3(ANN_R,-6)&lt;/Q&gt;&lt;R&gt;1&lt;/R&gt;&lt;C&gt;1&lt;/C&gt;&lt;D xsi:type="xsd:double"&gt;199.009&lt;/D&gt;&lt;/FQL&gt;&lt;FQL&gt;&lt;Q&gt;SKYW-US^FF_OPER_LEASE_COMMIT_YR2(ANN_R,-8)&lt;/Q&gt;&lt;R&gt;1&lt;/R&gt;&lt;C&gt;1&lt;/C&gt;&lt;D xsi:type="xsd:double"&gt;360.797&lt;/D&gt;&lt;/FQL&gt;&lt;FQL&gt;&lt;Q&gt;SKYW-US^FF_OPER_LEASE_COMMIT_YR2(ANN_R,-7)&lt;/Q&gt;&lt;R&gt;1&lt;/R&gt;&lt;C&gt;1&lt;/C&gt;&lt;D xsi:type="xsd:double"&gt;331.151&lt;/D&gt;&lt;/FQL&gt;&lt;FQL&gt;&lt;Q&gt;SKYW-US^FF_OPER_LEASE_COMMIT_YR2(ANN_R,-6)&lt;/Q&gt;&lt;R&gt;1&lt;/R&gt;&lt;C&gt;1&lt;/C&gt;&lt;D xsi:type="xsd:double"&gt;269.21&lt;/D&gt;&lt;/FQL&gt;&lt;FQL&gt;&lt;Q&gt;SKYW-US^FF_OPER_LEASE_COMMIT_YR1(ANN_R,-8)&lt;/Q&gt;&lt;R&gt;1&lt;/R&gt;&lt;C&gt;1&lt;/C&gt;&lt;D xsi:type="xsd:double"&gt;387.999&lt;/D&gt;&lt;/FQL&gt;&lt;FQL&gt;&lt;Q&gt;SKYW-US^FF_OPER_LEASE_COMMIT_YR1(ANN_R,-7)&lt;/Q&gt;&lt;R&gt;1&lt;/R&gt;&lt;C&gt;1&lt;/C&gt;&lt;D xsi:type="xsd:double"&gt;380.413&lt;/D&gt;&lt;/FQL&gt;&lt;FQL&gt;&lt;Q&gt;SKYW-US^FF_OPER_LEASE_COMMIT_YR1(ANN_R,-6)&lt;/Q&gt;&lt;R&gt;1&lt;/R&gt;&lt;C&gt;1&lt;/C&gt;&lt;D xsi:type="xsd:double"&gt;342.984&lt;/D&gt;&lt;/FQL&gt;&lt;FQL&gt;&lt;Q&gt;SKYW-US^FF_OPER_LEASE_COMMIT_5YR(ANN_R,-2)&lt;/Q&gt;&lt;R&gt;1&lt;/R&gt;&lt;C&gt;1&lt;/C&gt;&lt;D xsi:type="xsd:double"&gt;59.82&lt;/D&gt;&lt;/FQL&gt;&lt;FQL&gt;&lt;Q&gt;SKYW-US^FF_OPER_LEASE_COMMIT_YR5(ANN_R,-2)&lt;/Q&gt;&lt;R&gt;1&lt;/R&gt;&lt;C&gt;1&lt;/C&gt;&lt;D xsi:type="xsd:double"&gt;65.749&lt;/D&gt;&lt;/FQL&gt;&lt;FQL&gt;&lt;Q&gt;SKYW-US^FF_OPER_LEASE_COMMIT_YR4(ANN_R,-2)&lt;/Q&gt;&lt;R&gt;1&lt;/R&gt;&lt;C&gt;1&lt;/C&gt;&lt;D xsi:type="xsd:double"&gt;72.593&lt;/D&gt;&lt;/FQL&gt;&lt;FQL&gt;&lt;Q&gt;SKYW-US^FF_OPER_LEASE_COMMIT_YR3(ANN_R,-2)&lt;/Q&gt;&lt;R&gt;1&lt;/R&gt;&lt;C&gt;1&lt;/C&gt;&lt;D xsi:type="xsd:double"&gt;90.787&lt;/D&gt;&lt;/FQL&gt;&lt;FQL&gt;&lt;Q&gt;SKYW-US^FF_OPER_LEASE_COMMIT_YR2(ANN_R,-2)&lt;/Q&gt;&lt;R&gt;1&lt;/R&gt;&lt;C&gt;1&lt;/C&gt;&lt;D xsi:type="xsd:double"&gt;101.741&lt;/D&gt;&lt;/FQL&gt;&lt;FQL&gt;&lt;Q&gt;SKYW-US^FF_OPER_LEASE_COMMIT_YR1(ANN_R,-2)&lt;/Q&gt;&lt;R&gt;1&lt;/R&gt;&lt;C&gt;1&lt;/C&gt;&lt;D xsi:type="xsd:double"&gt;87.256&lt;/D&gt;&lt;/FQL&gt;&lt;FQL&gt;&lt;Q&gt;ALK-US^FF_OPER_LEASE_COMMIT_YR2(ANN_R,-2)&lt;/Q&gt;&lt;R&gt;1&lt;/R&gt;&lt;C&gt;1&lt;/C&gt;&lt;D xsi:type="xsd:double"&gt;320&lt;/D&gt;&lt;/FQL&gt;&lt;FQL&gt;&lt;Q&gt;ALK-US^FF_OPER_LEASE_COMMIT_YR3(ANN_R,-2)&lt;/Q&gt;&lt;R&gt;1&lt;/R&gt;&lt;C&gt;1&lt;/C&gt;&lt;D xsi:type="xsd:double"&gt;286&lt;/D&gt;&lt;/FQL&gt;&lt;FQL&gt;&lt;Q&gt;ALK-US^FF_OPER_LEASE_COMMIT_YR4(ANN_R,-2)&lt;/Q&gt;&lt;R&gt;1&lt;/R&gt;&lt;C&gt;1&lt;/C&gt;&lt;D xsi:type="xsd:double"&gt;262&lt;/D&gt;&lt;/FQL&gt;&lt;FQL&gt;&lt;Q&gt;ALK-US^FF_OPER_LEASE_COMMIT_YR5(ANN_R,-2)&lt;/Q&gt;&lt;R&gt;1&lt;/R&gt;&lt;C&gt;1&lt;/C&gt;&lt;D xsi:type="xsd:double"&gt;208&lt;/D&gt;&lt;/FQL&gt;&lt;FQL&gt;&lt;Q&gt;ALK-US^FF_OPER_LEASE_COMMIT_5YR(ANN_R,-2)&lt;/Q&gt;&lt;R&gt;1&lt;/R&gt;&lt;C&gt;1&lt;/C&gt;&lt;D xsi:type="xsd:double"&gt;847&lt;/D&gt;&lt;/FQL&gt;&lt;FQL&gt;&lt;Q&gt;ALK-US^FF_OPER_LEASE_COMMIT_YR1(ANN_R,-4)&lt;/Q&gt;&lt;R&gt;1&lt;/R&gt;&lt;C&gt;1&lt;/C&gt;&lt;D xsi:type="xsd:double"&gt;425&lt;/D&gt;&lt;/FQL&gt;&lt;FQL&gt;&lt;Q&gt;ALK-US^FF_OPER_LEASE_COMMIT_YR2(ANN_R,-4)&lt;/Q&gt;&lt;R&gt;1&lt;/R&gt;&lt;C&gt;1&lt;/C&gt;&lt;D xsi:type="xsd:double"&gt;389&lt;/D&gt;&lt;/FQL&gt;&lt;FQL&gt;&lt;Q&gt;ALK-US^FF_OPER_LEASE_COMMIT_YR3(ANN_R,-4)&lt;/Q&gt;&lt;R&gt;1&lt;/R&gt;&lt;C&gt;1&lt;/C&gt;&lt;D xsi:type="xsd:double"&gt;368&lt;/D&gt;&lt;/FQL&gt;&lt;FQL&gt;&lt;Q&gt;ALK-US^FF_OPER_LEASE_COMMIT_YR4(ANN_R,-4)&lt;/Q&gt;&lt;R&gt;1&lt;/R&gt;&lt;C&gt;1&lt;/C&gt;&lt;D xsi:type="xsd:double"&gt;336&lt;/D&gt;&lt;/FQL&gt;&lt;FQL&gt;&lt;Q&gt;ALK-US^FF_OPER_LEASE_COMMIT_YR5(ANN_R,-4)&lt;/Q&gt;&lt;R&gt;1&lt;/R&gt;&lt;C&gt;1&lt;/C&gt;&lt;D xsi:type="xsd:double"&gt;292&lt;/D&gt;&lt;/FQL&gt;&lt;FQL&gt;&lt;Q&gt;ALK-US^FF_OPER_LEASE_COMMIT_5YR(ANN_R,-4)&lt;/Q&gt;&lt;R&gt;1&lt;/R&gt;&lt;C&gt;1&lt;/C&gt;&lt;D xsi:type="xsd:double"&gt;1124&lt;/D&gt;&lt;/FQL&gt;&lt;FQL&gt;&lt;Q&gt;ALK-US^FF_OPER_LEASE_COMMIT_YR1(ANN_R,-6)&lt;/Q&gt;&lt;R&gt;1&lt;/R&gt;&lt;C&gt;1&lt;/C&gt;&lt;D xsi:type="xsd:double"&gt;206&lt;/D&gt;&lt;/FQL&gt;&lt;FQL&gt;&lt;Q&gt;ALK-US^FF_OPER_LEASE_COMMIT_YR1(ANN_R,-7)&lt;/Q&gt;&lt;R&gt;1&lt;/R&gt;&lt;C&gt;1&lt;/C&gt;&lt;D xsi:type="xsd:double"&gt;221&lt;/D&gt;&lt;/FQL&gt;&lt;FQL&gt;&lt;Q&gt;ALK-US^FF_OPER_LEASE_COMMIT_YR1(ANN_R,-8)&lt;/Q&gt;&lt;R&gt;1&lt;/R&gt;&lt;C&gt;1&lt;/C&gt;&lt;D xsi:type="xsd:double"&gt;189&lt;/D&gt;&lt;/FQL&gt;&lt;FQL&gt;&lt;Q&gt;ALK-US^FF_OPER_LEASE_COMMIT_YR2(ANN_R,-6)&lt;/Q&gt;&lt;R&gt;1&lt;/R&gt;&lt;C&gt;1&lt;/C&gt;&lt;D xsi:type="xsd:double"&gt;195&lt;/D&gt;&lt;/FQL&gt;&lt;FQL&gt;&lt;Q&gt;ALK-US^FF_OPER_LEASE_COMMIT_YR2(ANN_R,-7)&lt;/Q&gt;&lt;R&gt;1&lt;/R&gt;&lt;C&gt;1&lt;/C&gt;&lt;D xsi:type="xsd:double"&gt;186&lt;/D&gt;&lt;/FQL&gt;&lt;FQL&gt;&lt;Q&gt;ALK-US^FF_OPER_LEASE_COMMIT_YR2(ANN_R,-8)&lt;/Q&gt;&lt;R&gt;1&lt;/R&gt;&lt;C&gt;1&lt;/C&gt;&lt;D xsi:type="xsd:double"&gt;168&lt;/D&gt;&lt;/FQL&gt;&lt;FQL&gt;&lt;Q&gt;ALK-US^FF_OPER_LEASE_COMMIT_YR3(ANN_R,-6)&lt;/Q&gt;&lt;R&gt;1&lt;/R&gt;&lt;C&gt;1&lt;/C&gt;&lt;D xsi:type="xsd:double"&gt;161&lt;/D&gt;&lt;/FQL&gt;&lt;FQL&gt;&lt;Q&gt;ALK-US^FF_OPER_LEASE_COMMIT_YR3(ANN_R,-7)&lt;/Q&gt;&lt;R&gt;1&lt;/R&gt;&lt;C&gt;1&lt;/C&gt;&lt;D xsi:type="xsd:double"&gt;154&lt;/D&gt;&lt;/FQL&gt;&lt;FQL&gt;&lt;Q&gt;ALK-US^FF_OPER_LEASE_COMMIT_YR3(ANN_R,-8)&lt;/Q&gt;&lt;R&gt;1&lt;/R&gt;&lt;C&gt;1&lt;/C&gt;&lt;D xsi:type="xsd:double"&gt;135&lt;/D&gt;&lt;/FQL&gt;&lt;FQL&gt;&lt;Q&gt;ALK-US^FF_OPER_LEASE_COMMIT_YR4(ANN_R,-6)&lt;/Q&gt;&lt;R&gt;1&lt;/R&gt;&lt;C&gt;1&lt;/C&gt;&lt;D xsi:type="xsd:double"&gt;98&lt;/D&gt;&lt;/FQL&gt;&lt;FQL&gt;&lt;Q&gt;ALK-US^FF_OPER_LEASE_COMMIT_YR4(ANN_R,-7)&lt;/Q&gt;&lt;R&gt;1&lt;/R&gt;&lt;C&gt;1&lt;/C&gt;&lt;D xsi:type="xsd:double"&gt;119&lt;/D&gt;&lt;/FQL&gt;&lt;FQL&gt;&lt;Q&gt;ALK-US^FF_OPER_LEASE_COMMIT_YR4(ANN_R,-8)&lt;/Q&gt;&lt;R&gt;1&lt;/R&gt;&lt;C&gt;1&lt;/C&gt;&lt;D xsi:type="xsd:double"&gt;104&lt;/D&gt;&lt;/FQL&gt;&lt;FQL&gt;&lt;Q&gt;ALK-US^FF_OPER_LEASE_COMMIT_YR5(ANN_R,-6)&lt;/Q&gt;&lt;R&gt;1&lt;/R&gt;&lt;C&gt;1&lt;/C&gt;&lt;D xsi:type="xsd:double"&gt;86&lt;/D&gt;&lt;/FQL&gt;&lt;FQL&gt;&lt;Q&gt;ALK-US^FF_OPER_LEASE_COMMIT_YR5(ANN_R,-7)&lt;/Q&gt;&lt;R&gt;1&lt;/R&gt;&lt;C&gt;1&lt;/C&gt;&lt;D xsi:type="xsd:double"&gt;55&lt;/D&gt;&lt;/FQL&gt;&lt;FQL&gt;&lt;Q&gt;ALK-US^FF_OPER_LEASE_COMMIT_YR5(ANN_R,-8)&lt;/Q&gt;&lt;R&gt;1&lt;/R&gt;&lt;C&gt;1&lt;/C&gt;&lt;D xsi:type="xsd:double"&gt;69&lt;/D&gt;&lt;/FQL&gt;&lt;FQL&gt;&lt;Q&gt;ALK-US^FF_OPER_LEASE_COMMIT_5YR(ANN_R,-6)&lt;/Q&gt;&lt;R&gt;1&lt;/R&gt;&lt;C&gt;1&lt;/C&gt;&lt;D xsi:type="xsd:double"&gt;360&lt;/D&gt;&lt;/FQL&gt;&lt;FQL&gt;&lt;Q&gt;ALK-US^FF_OPER_LEASE_COMMIT_5YR(ANN_R,-7)&lt;/Q&gt;&lt;R&gt;1&lt;/R&gt;&lt;C&gt;1&lt;/C&gt;&lt;D xsi:type="xsd:double"&gt;160&lt;/D&gt;&lt;/FQL&gt;&lt;FQL&gt;&lt;Q&gt;ALK-US^FF_OPER_LEASE_COMMIT_5YR(ANN_R,-8)&lt;/Q&gt;&lt;R&gt;1&lt;/R&gt;&lt;C&gt;1&lt;/C&gt;&lt;D xsi:type="xsd:double"&gt;209&lt;/D&gt;&lt;/FQL&gt;&lt;FQL&gt;&lt;Q&gt;ALK-US^FF_OPER_LEASE_COMMIT_YR1(ANN_R,-10)&lt;/Q&gt;&lt;R&gt;1&lt;/R&gt;&lt;C&gt;1&lt;/C&gt;&lt;D xsi:type="xsd:double"&gt;214.5&lt;/D&gt;&lt;/FQL&gt;&lt;FQL&gt;&lt;Q&gt;ALK-US^FF_OPER_LEASE_COMMIT_YR1(ANN_R,-9)&lt;/Q&gt;&lt;R&gt;1&lt;/R&gt;&lt;C&gt;1&lt;/C&gt;&lt;D xsi:type="xsd:double"&gt;200.1&lt;/D&gt;&lt;/FQL&gt;&lt;FQL&gt;&lt;Q&gt;ALK-US^FF_OPER_LEASE_COMMIT_YR2(ANN_R,-9)&lt;/Q&gt;&lt;R&gt;1&lt;/R&gt;&lt;C&gt;1&lt;/C&gt;&lt;D xsi:type="xsd:double"&gt;166.7&lt;/D&gt;&lt;/FQL&gt;&lt;FQL&gt;&lt;Q&gt;ALK-US^FF_OPER_LEASE_COMMIT_YR3(ANN_R,-9)&lt;/Q&gt;&lt;R&gt;1&lt;/R&gt;&lt;C&gt;1&lt;/C&gt;&lt;D xsi:type="xsd:double"&gt;153.3&lt;/D&gt;&lt;/FQL&gt;&lt;FQL&gt;&lt;Q&gt;ALK-US^FF_OPER_LEASE_COMMIT_YR4(ANN_R,-9)&lt;/Q&gt;&lt;R&gt;1&lt;/R&gt;&lt;C&gt;1&lt;/C&gt;&lt;D xsi:type="xsd:double"&gt;121.7&lt;/D&gt;&lt;/FQL&gt;&lt;FQL&gt;&lt;Q&gt;ALK-US^FF_OPER_LEASE_COMMIT_YR5(ANN_R,-9)&lt;/Q&gt;&lt;R&gt;1&lt;/R&gt;&lt;C&gt;1&lt;/C&gt;&lt;D xsi:type="xsd:double"&gt;90.8&lt;/D&gt;&lt;/FQL&gt;&lt;FQL&gt;&lt;Q&gt;ALK-US^FF_OPER_LEASE_COMMIT_5YR(ANN_R,-9)&lt;/Q&gt;&lt;R&gt;1&lt;/R&gt;&lt;C&gt;1&lt;/C&gt;&lt;D xsi:type="xsd:double"&gt;242.2&lt;/D&gt;&lt;/FQL&gt;&lt;FQL&gt;&lt;Q&gt;ALK-US^FF_OPER_LEASE_COMMIT_YR1(ANN_R,-3)&lt;/Q&gt;&lt;R&gt;0&lt;/R&gt;&lt;C&gt;0&lt;/C&gt;&lt;/FQL&gt;&lt;FQL&gt;&lt;Q&gt;LUV-US^FF_OPER_LEASE_COMMIT_YR2(ANN_R,-2)&lt;/Q&gt;&lt;R&gt;1&lt;/R&gt;&lt;C&gt;1&lt;/C&gt;&lt;D xsi:type="xsd:double"&gt;279&lt;/D&gt;&lt;/FQL&gt;&lt;FQL&gt;&lt;Q&gt;LUV-US^FF_OPER_LEASE_COMMIT_YR3(ANN_R,-2)&lt;/Q&gt;&lt;R&gt;1&lt;/R&gt;&lt;C&gt;1&lt;/C&gt;&lt;D xsi:type="xsd:double"&gt;203&lt;/D&gt;&lt;/FQL&gt;&lt;FQL&gt;&lt;Q&gt;LUV-US^FF_OPER_LEASE_COMMIT_YR4(ANN_R,-2)&lt;/Q&gt;&lt;R&gt;1&lt;/R&gt;&lt;C&gt;1&lt;/C&gt;&lt;D xsi:type="xsd:double"&gt;155&lt;/D&gt;&lt;/FQL&gt;&lt;FQL&gt;&lt;Q&gt;LUV-US^FF_OPER_LEASE_COMMIT_YR5(ANN_R,-2)&lt;/Q&gt;&lt;R&gt;1&lt;/R&gt;&lt;C&gt;1&lt;/C&gt;&lt;D xsi:type="xsd:double"&gt;139&lt;/D&gt;&lt;/FQL&gt;&lt;FQL&gt;&lt;Q&gt;LUV-US^FF_OPER_LEASE_COMMIT_5YR(ANN_R,-2)&lt;/Q&gt;&lt;R&gt;1&lt;/R&gt;&lt;C&gt;1&lt;/C&gt;&lt;D xsi:type="xsd:double"&gt;473&lt;/D&gt;&lt;/FQL&gt;&lt;FQL&gt;&lt;Q&gt;LUV-US^FF_OPER_LEASE_COMMIT_YR1(ANN_R,-4)&lt;/Q&gt;&lt;R&gt;1&lt;/R&gt;&lt;C&gt;1&lt;/C&gt;&lt;D xsi:type="xsd:double"&gt;671&lt;/D&gt;&lt;/FQL&gt;&lt;FQL&gt;&lt;Q&gt;LUV-US^FF_OPER_LEASE_COMMIT_YR1(ANN_R,-5)&lt;/Q&gt;&lt;R&gt;1&lt;/R&gt;&lt;C&gt;1&lt;/C&gt;&lt;D xsi:type="xsd:double"&gt;557&lt;/D&gt;&lt;/FQL&gt;&lt;FQL&gt;&lt;Q&gt;LUV-US^FF_OPER_LEASE_COMMIT_YR2(ANN_R,-4)&lt;/Q&gt;&lt;R&gt;1&lt;/R&gt;&lt;C&gt;1&lt;/C&gt;&lt;D xsi:type="xsd:double"&gt;562&lt;/D&gt;&lt;/FQL&gt;&lt;FQL&gt;&lt;Q&gt;LUV-US^FF_OPER_LEASE_COMMIT_YR2(ANN_R,-5)&lt;/Q&gt;&lt;R&gt;1&lt;/R&gt;&lt;C&gt;1&lt;/C&gt;&lt;D xsi:type="xsd:double"&gt;545&lt;/D&gt;&lt;/FQL&gt;&lt;FQL&gt;&lt;Q&gt;LUV-US^FF_OPER_LEASE_COMMIT_YR3(ANN_R,-4)&lt;/Q&gt;&lt;R&gt;1&lt;/R&gt;&lt;C&gt;1&lt;/C&gt;&lt;D xsi:type="xsd:double"&gt;491&lt;/D&gt;&lt;/FQL&gt;&lt;FQL&gt;&lt;Q&gt;LUV-US^FF_OPER_LEASE_COMMIT_YR3(ANN_R,-5)&lt;/Q&gt;&lt;R&gt;1&lt;/R&gt;&lt;C&gt;1&lt;/C&gt;&lt;D xsi:type="xsd:double"&gt;474&lt;/D&gt;&lt;/FQL&gt;&lt;FQL&gt;&lt;Q&gt;LUV-US^FF_OPER_LEASE_COMMIT_YR4(ANN_R,-4)&lt;/Q&gt;&lt;R&gt;1&lt;/R&gt;&lt;C&gt;1&lt;/C&gt;&lt;D xsi:type="xsd:double"&gt;377&lt;/D&gt;&lt;/FQL&gt;&lt;FQL&gt;&lt;Q&gt;LUV-US^FF_OPER_LEASE_COMMIT_YR4(ANN_R,-5)&lt;/Q&gt;&lt;R&gt;1&lt;/R&gt;&lt;C&gt;1&lt;/C&gt;&lt;D xsi:type="xsd:double"&gt;407&lt;/D&gt;&lt;/FQL&gt;&lt;FQL&gt;&lt;Q&gt;LUV-US^FF_OPER_LEASE_COMMIT_YR5(ANN_R,-4)&lt;/Q&gt;&lt;R&gt;1&lt;/R&gt;&lt;C&gt;1&lt;/C&gt;&lt;D xsi:type="xsd:double"&gt;232&lt;/D&gt;&lt;/FQL&gt;&lt;FQL&gt;&lt;Q&gt;LUV-US^FF_OPER_LEASE_COMMIT_YR5(ANN_R,-5)&lt;/Q&gt;&lt;R&gt;1&lt;/R&gt;&lt;C&gt;1&lt;/C&gt;&lt;D xsi:type="xsd:double"&gt;307&lt;/D&gt;&lt;/FQL&gt;&lt;FQL&gt;&lt;Q&gt;LUV-US^FF_OPER_LEASE_COMMIT_5YR(ANN_R,-4)&lt;/Q&gt;&lt;R&gt;1&lt;/R&gt;&lt;C&gt;1&lt;/C&gt;&lt;D xsi:type="xsd:double"&gt;715&lt;/D&gt;&lt;/FQL&gt;&lt;FQL&gt;&lt;Q&gt;LUV-US^FF_OPER_LEASE_COMMIT_5YR(ANN_R,-5)&lt;/Q&gt;&lt;R&gt;1&lt;/R&gt;&lt;C&gt;1&lt;/C&gt;&lt;D xsi:type="xsd:double"&gt;1529&lt;/D&gt;&lt;/FQL&gt;&lt;FQL&gt;&lt;Q&gt;LUV-US^FF_OPER_LEASE_COMMIT_YR1(ANN_R,-7)&lt;/Q&gt;&lt;R&gt;1&lt;/R&gt;&lt;C&gt;1&lt;/C&gt;&lt;D xsi:type="xsd:double"&gt;637&lt;/D&gt;&lt;/FQL&gt;&lt;FQL&gt;&lt;Q&gt;LUV-US^FF_OPER_LEASE_COMMIT_YR1(ANN_R,-8)&lt;/Q&gt;&lt;R&gt;1&lt;/R&gt;&lt;C&gt;1&lt;/C&gt;&lt;D xsi:type="xsd:double"&gt;688&lt;/D&gt;&lt;/FQL&gt;&lt;FQL&gt;&lt;Q&gt;LUV-US^FF_OPER_LEASE_COMMIT_YR2(ANN_R,-7)&lt;/Q&gt;&lt;R&gt;1&lt;/R&gt;&lt;C&gt;1&lt;/C&gt;&lt;D xsi:type="xsd:double"&gt;565&lt;/D&gt;&lt;/FQL&gt;&lt;FQL&gt;&lt;Q&gt;LUV-US^FF_OPER_LEASE_COMMIT_YR2(ANN_R,-8)&lt;/Q&gt;&lt;R&gt;1&lt;/R&gt;&lt;C&gt;1&lt;/C&gt;&lt;D xsi:type="xsd:double"&gt;614&lt;/D&gt;&lt;/FQL&gt;&lt;FQL&gt;&lt;Q&gt;LUV-US^FF_OPER_LEASE_COMMIT_YR3(ANN_R,-7)&lt;/Q&gt;&lt;R&gt;1&lt;/R&gt;&lt;C&gt;1&lt;/C&gt;&lt;D xsi:type="xsd:double"&gt;438&lt;/D&gt;&lt;/FQL&gt;&lt;FQL&gt;&lt;Q&gt;LUV-US^FF_OPER_LEASE_COMMIT_YR3(ANN_R,-8)&lt;/Q&gt;&lt;R&gt;1&lt;/R&gt;&lt;C&gt;1&lt;/C&gt;&lt;D xsi:type="xsd:double"&gt;507&lt;/D&gt;&lt;/FQL&gt;&lt;FQL&gt;&lt;Q&gt;LUV-US^FF_OPER_LEASE_COMMIT_YR4(ANN_R,-7)&lt;/Q&gt;&lt;R&gt;1&lt;/R&gt;&lt;C&gt;1&lt;/C&gt;&lt;D xsi:type="xsd:double"&gt;410&lt;/D&gt;&lt;/FQL&gt;&lt;FQL&gt;&lt;Q&gt;LUV-US^FF_OPER_LEASE_COMMIT_YR4(ANN_R,-8)&lt;/Q&gt;&lt;R&gt;1&lt;/R&gt;&lt;C&gt;1&lt;/C&gt;&lt;D xsi:type="xsd:double"&gt;392&lt;/D&gt;&lt;/FQL&gt;&lt;FQL&gt;&lt;Q&gt;LUV-US^FF_OPER_LEASE_COMMIT_YR5(ANN_R,-7)&lt;/Q&gt;&lt;R&gt;1&lt;/R&gt;&lt;C&gt;1&lt;/C&gt;&lt;D xsi:type="xsd:double"&gt;327&lt;/D&gt;&lt;/FQL&gt;&lt;FQL&gt;&lt;Q&gt;LUV-US^FF_OPER_LEASE_COMMIT_YR5(ANN_R,-8)&lt;/Q&gt;&lt;R&gt;1&lt;/R&gt;&lt;C&gt;1&lt;/C&gt;&lt;D xsi:type="xsd:double"&gt;369&lt;/D&gt;&lt;/FQL&gt;&lt;FQL&gt;&lt;Q&gt;LUV-US^FF_OPER_LEASE_COMMIT_5YR(ANN_R,-7)&lt;/Q&gt;&lt;R&gt;1&lt;/R&gt;&lt;C&gt;1&lt;/C&gt;&lt;D xsi:type="xsd:double"&gt;1513&lt;/D&gt;&lt;/FQL&gt;&lt;FQL&gt;&lt;Q&gt;LUV-US^FF_OPER_LEASE_COMMIT_5YR(ANN_R,-8)&lt;/Q&gt;&lt;R&gt;1&lt;/R&gt;&lt;C&gt;1&lt;/C&gt;&lt;D xsi:type="xsd:double"&gt;1823&lt;/D&gt;&lt;/FQL&gt;&lt;FQL&gt;&lt;Q&gt;LUV-US^FF_OPER_LEASE_COMMIT_YR1(ANN_R,-10)&lt;/Q&gt;&lt;R&gt;1&lt;/R&gt;&lt;C&gt;1&lt;/C&gt;&lt;D xsi:type="xsd:double"&gt;386&lt;/D&gt;&lt;/FQL&gt;&lt;FQL&gt;&lt;Q&gt;LUV-US^FF_OPER_LEASE_COMMIT_YR1(ANN_R,-9)&lt;/Q&gt;&lt;R&gt;1&lt;/R&gt;&lt;C&gt;1&lt;/C&gt;&lt;D xsi:type="xsd:double"&gt;640&lt;/D&gt;&lt;/FQL&gt;&lt;FQL&gt;&lt;Q&gt;LUV-US^FF_OPER_LEASE_COMMIT_YR2(ANN_R,-9)&lt;/Q&gt;&lt;R&gt;1&lt;/R&gt;&lt;C&gt;1&lt;/C&gt;&lt;D xsi:type="xsd:double"&gt;717&lt;/D&gt;&lt;/FQL&gt;&lt;FQL&gt;&lt;Q&gt;LUV-US^FF_OPER_LEASE_COMMIT_YR3(ANN_R,-9)&lt;/Q&gt;&lt;R&gt;1&lt;/R&gt;&lt;C&gt;1&lt;/C&gt;&lt;D xsi:type="xsd:double"&gt;642&lt;/D&gt;&lt;/FQL&gt;&lt;FQL&gt;&lt;Q&gt;LUV-US^FF_OPER_LEASE_COMMIT_YR4(ANN_R,-9)&lt;/Q&gt;&lt;R&gt;1&lt;/R&gt;&lt;C&gt;1&lt;/C&gt;&lt;D xsi:type="xsd:double"&gt;579&lt;/D&gt;&lt;/FQL&gt;&lt;FQL&gt;&lt;Q&gt;LUV-US^FF_OPER_LEASE_COMMIT_YR5(ANN_R,-9)&lt;/Q&gt;&lt;R&gt;1&lt;/R&gt;&lt;C&gt;1&lt;/C&gt;&lt;D xsi:type="xsd:double"&gt;489&lt;/D&gt;&lt;/FQL&gt;&lt;FQL&gt;&lt;Q&gt;LUV-US^FF_OPER_LEASE_COMMIT_5YR(ANN_R,-9)&lt;/Q&gt;&lt;R&gt;1&lt;/R&gt;&lt;C&gt;1&lt;/C&gt;&lt;D xsi:type="xsd:double"&gt;2516&lt;/D&gt;&lt;/FQL&gt;&lt;FQL&gt;&lt;Q&gt;AAL-US^FF_OPER_LEASE_COMMIT_YR1(ANN_R,-3)&lt;/Q&gt;&lt;R&gt;1&lt;/R&gt;&lt;C&gt;1&lt;/C&gt;&lt;D xsi:type="xsd:double"&gt;2572&lt;/D&gt;&lt;/FQL&gt;&lt;FQL&gt;&lt;Q&gt;AAL-US^FF_OPER_LEASE_COMMIT_YR1(ANN_R,-4)&lt;/Q&gt;&lt;R&gt;1&lt;/R&gt;&lt;C&gt;1&lt;/C&gt;&lt;D xsi:type="xsd:double"&gt;2250&lt;/D&gt;&lt;/FQL&gt;&lt;FQL&gt;&lt;Q&gt;AAL-US^FF_OPER_LEASE_COMMIT_YR1(ANN_R,-5)&lt;/Q&gt;&lt;R&gt;1&lt;/R&gt;&lt;C&gt;1&lt;/C&gt;&lt;D xsi:type="xsd:double"&gt;2198&lt;/D&gt;&lt;/FQL&gt;&lt;FQL&gt;&lt;Q&gt;AAL-US^FF_OPER_LEASE_COMMIT_YR2(ANN_R,-3)&lt;/Q&gt;&lt;R&gt;1&lt;/R&gt;&lt;C&gt;1&lt;/C&gt;&lt;D xsi:type="xsd:double"&gt;2329&lt;/D&gt;&lt;/FQL&gt;&lt;FQL&gt;&lt;Q&gt;AAL-US^FF_OPER_LEASE_COMMIT_YR2(ANN_R,-4)&lt;/Q&gt;&lt;R&gt;1&lt;/R&gt;&lt;C&gt;1&lt;/C&gt;&lt;D xsi:type="xsd:double"&gt;2016&lt;/D&gt;&lt;/FQL&gt;&lt;FQL&gt;&lt;Q&gt;AAL-US^FF_OPER_LEASE_COMMIT_YR2(ANN_R,-5)&lt;/Q&gt;&lt;R&gt;1&lt;/R&gt;&lt;C&gt;1&lt;/C&gt;&lt;D xsi:type="xsd:double"&gt;2078&lt;/D&gt;&lt;/FQL&gt;&lt;FQL&gt;&lt;Q&gt;AAL-US^FF_OPER_LEASE_COMMIT_YR3(ANN_R,-3)&lt;/Q&gt;&lt;R&gt;1&lt;/R&gt;&lt;C&gt;1&lt;/C&gt;&lt;D xsi:type="xsd:double"&gt;2104&lt;/D&gt;&lt;/FQL&gt;&lt;FQL&gt;&lt;Q&gt;AAL-US^FF_OPER_LEASE_COMMIT_YR3(ANN_R,-4)&lt;/Q&gt;&lt;R&gt;1&lt;/R&gt;&lt;C&gt;1&lt;/C&gt;&lt;D xsi:type="xsd:double"&gt;1815&lt;/D&gt;&lt;/FQL&gt;&lt;FQL&gt;&lt;Q&gt;AAL-US^FF_OPER_LEASE_COMMIT_YR3(ANN_R,-5)&lt;/Q&gt;&lt;R&gt;1&lt;/R&gt;&lt;C&gt;1&lt;/C&gt;&lt;D xsi:type="xsd:double"&gt;1829&lt;/D&gt;&lt;/FQL&gt;&lt;FQL&gt;&lt;Q&gt;AAL-US^FF_OPER_LEASE_COMMIT_YR4(ANN_R,-3)&lt;/Q&gt;&lt;R&gt;1&lt;/R&gt;&lt;C&gt;1&lt;/C&gt;&lt;D xsi:type="xsd:double"&gt;1621&lt;/D&gt;&lt;/FQL&gt;&lt;FQL&gt;&lt;Q&gt;AAL-US^FF_OPER_LEASE_COMMIT_YR4(ANN_R,-4)&lt;/Q&gt;&lt;R&gt;1&lt;/R&gt;&lt;C&gt;1&lt;/C&gt;&lt;D xsi:type="xsd:double"&gt;1639&lt;/D&gt;&lt;/FQL&gt;&lt;FQL&gt;&lt;Q&gt;AAL-US^FF_OPER_LEASE_COMMIT_YR4(ANN_R,-5)&lt;/Q&gt;&lt;R&gt;1&lt;/R&gt;&lt;C&gt;1&lt;/C&gt;&lt;D xsi:type="xsd:double"&gt;1643&lt;/D&gt;&lt;/FQL&gt;&lt;FQL&gt;&lt;Q&gt;AAL-US^FF_OPER_LEASE_COMMIT_YR5(ANN_R,-3)&lt;/Q&gt;&lt;R&gt;1&lt;/R&gt;&lt;C&gt;1&lt;/C&gt;&lt;D xsi:type="xsd:double"&gt;1398&lt;/D&gt;&lt;/FQL&gt;&lt;FQL&gt;&lt;Q&gt;AAL-US^FF_OPER_LEASE_COMMIT_YR5(ANN_R,-4)&lt;/Q&gt;&lt;R&gt;1&lt;/R&gt;&lt;C&gt;1&lt;/C&gt;&lt;D xsi:type="xsd:double"&gt;1214&lt;/D&gt;&lt;/FQL&gt;&lt;FQL&gt;&lt;Q&gt;AAL-US^FF_OPER_LEASE_COMMIT_YR5(ANN_R,-5)&lt;/Q&gt;&lt;R&gt;1&lt;/R&gt;&lt;C&gt;1&lt;/C&gt;&lt;D xsi:type="xsd:double"&gt;1493&lt;/D&gt;&lt;/FQL&gt;&lt;FQL&gt;&lt;Q&gt;AAL-US^FF_OPER_LEASE_COMMIT_5YR(ANN_R,-3)&lt;/Q&gt;&lt;R&gt;1&lt;/R&gt;&lt;C&gt;1&lt;/C&gt;&lt;D xsi:type="xsd:double"&gt;3965&lt;/D&gt;&lt;/FQL&gt;&lt;FQL&gt;&lt;Q&gt;AAL-US^FF_OPER_LEASE_COMMIT_5YR(ANN_R,-4)&lt;/Q&gt;&lt;R&gt;1&lt;/R&gt;&lt;C&gt;1&lt;/C&gt;&lt;D xsi:type="xsd:double"&gt;3793&lt;/D&gt;&lt;/FQL&gt;&lt;FQL&gt;&lt;Q&gt;AAL-US^FF_OPER_LEASE_COMMIT_5YR(ANN_R,-5)&lt;/Q&gt;&lt;R&gt;1&lt;/R&gt;&lt;C&gt;1&lt;/C&gt;&lt;D xsi:type="xsd:double"&gt;4704&lt;/D&gt;&lt;/FQL&gt;&lt;FQL&gt;&lt;Q&gt;AAL-US^FF_OPER_LEASE_COMMIT_YR1(ANN_R,-7)&lt;/Q&gt;&lt;R&gt;1&lt;/R&gt;&lt;C&gt;1&lt;/C&gt;&lt;D xsi:type="xsd:double"&gt;2267&lt;/D&gt;&lt;/FQL&gt;&lt;FQL&gt;&lt;Q&gt;AAL-US^FF_OPER_LEASE_COMMIT_YR1(ANN_R,-8)&lt;/Q&gt;&lt;R&gt;1&lt;/R&gt;&lt;C&gt;1&lt;/C&gt;&lt;D xsi:type="xsd:double"&gt;1033&lt;/D&gt;&lt;/FQL&gt;&lt;FQL&gt;&lt;Q&gt;AAL-US^FF_OPER_LEASE_COMMIT_YR2(ANN_R,-7)&lt;/Q&gt;&lt;R&gt;1&lt;/R&gt;&lt;C&gt;1&lt;/C&gt;&lt;D xsi:type="xsd:double"&gt;1934&lt;/D&gt;&lt;/FQL&gt;&lt;FQL&gt;&lt;Q&gt;AAL-US^FF_OPER_LEASE_COMMIT_YR2(ANN_R,-8)&lt;/Q&gt;&lt;R&gt;1&lt;/R&gt;&lt;C&gt;1&lt;/C&gt;&lt;D xsi:type="xsd:double"&gt;962&lt;/D&gt;&lt;/FQL&gt;&lt;FQL&gt;&lt;Q&gt;AAL-US^FF_OPER_LEASE_COMMIT_YR3(ANN_R,-7)&lt;/Q&gt;&lt;R&gt;1&lt;/R&gt;&lt;C&gt;1&lt;/C&gt;&lt;D xsi:type="xsd:double"&gt;1751&lt;/D&gt;&lt;/FQL&gt;&lt;FQL&gt;&lt;Q&gt;AAL-US^FF_OPER_LEASE_COMMIT_YR3(ANN_R,-8)&lt;/Q&gt;&lt;R&gt;1&lt;/R&gt;&lt;C&gt;1&lt;/C&gt;&lt;D xsi:type="xsd:double"&gt;892&lt;/D&gt;&lt;/FQL&gt;&lt;FQL&gt;&lt;Q&gt;AAL-US^FF_OPER_LEASE_COMMIT_YR4(ANN_R,-7)&lt;/Q&gt;&lt;R&gt;1&lt;/R&gt;&lt;C&gt;1&lt;/C&gt;&lt;D xsi:type="xsd:double"&gt;1650&lt;/D&gt;&lt;/FQL&gt;&lt;FQL&gt;&lt;Q&gt;AAL-US^FF_OPER_LEASE_COMMIT_YR4(ANN_R,-8)&lt;/Q&gt;&lt;R&gt;1&lt;/R&gt;&lt;C&gt;1&lt;/C&gt;&lt;D xsi:type="xsd:double"&gt;816&lt;/D&gt;&lt;/FQL&gt;&lt;FQL&gt;&lt;Q&gt;AAL-US^FF_OPER_LEASE_COMMIT_YR5(ANN_R,-7)&lt;/Q&gt;&lt;R&gt;1&lt;/R&gt;&lt;C&gt;1&lt;/C&gt;&lt;D xsi:type="xsd:double"&gt;1426&lt;/D&gt;&lt;/FQL&gt;&lt;FQL&gt;&lt;Q&gt;AAL-US^FF_OPER_LEASE_COMMIT_YR5(ANN_R,-8)&lt;/Q&gt;&lt;R&gt;1&lt;/R&gt;&lt;C&gt;1&lt;/C&gt;&lt;D xsi:type="xsd:double"&gt;777&lt;/D&gt;&lt;/FQL&gt;&lt;FQL&gt;&lt;Q&gt;AAL-US^FF_OPER_LEASE_COMMIT_5YR(ANN_R,-7)&lt;/Q&gt;&lt;R&gt;1&lt;/R&gt;&lt;C&gt;1&lt;/C&gt;&lt;D xsi:type="xsd:double"&gt;6664&lt;/D&gt;&lt;/FQL&gt;&lt;FQL&gt;&lt;Q&gt;AAL-US^FF_OPER_LEASE_COMMIT_5YR(ANN_R,-8)&lt;/Q&gt;&lt;R&gt;1&lt;/R&gt;&lt;C&gt;1&lt;/C&gt;&lt;D xsi:type="xsd:double"&gt;4531&lt;/D&gt;&lt;/FQL&gt;&lt;FQL&gt;&lt;Q&gt;AAL-US^FF_OPER_LEASE_COMMIT_YR1(ANN_R,-10)&lt;/Q&gt;&lt;R&gt;1&lt;/R&gt;&lt;C&gt;1&lt;/C&gt;&lt;D xsi:type="xsd:double"&gt;1254&lt;/D&gt;&lt;/FQL&gt;&lt;FQL&gt;&lt;Q&gt;AAL-US^FF_OPER_LEASE_COMMIT_YR1(ANN_R,-9)&lt;/Q&gt;&lt;R&gt;1&lt;/R&gt;&lt;C&gt;1&lt;/C&gt;&lt;D xsi:type="xsd:double"&gt;1176&lt;/D&gt;&lt;/FQL&gt;&lt;FQL&gt;&lt;Q&gt;AAL-US^FF_OPER_LEASE_COMMIT_YR2(ANN_R,-9)&lt;/Q&gt;&lt;R&gt;1&lt;/R&gt;&lt;C&gt;1&lt;/C&gt;&lt;D xsi:type="xsd:double"&gt;1091&lt;/D&gt;&lt;/FQL&gt;&lt;FQL&gt;&lt;Q&gt;AAL-US^FF_OPER_LEASE_COMMIT_YR3(ANN_R,-9)&lt;/Q&gt;&lt;R&gt;1&lt;/R&gt;&lt;C&gt;1&lt;/C&gt;&lt;D xsi:type="xsd:double"&gt;942&lt;/D&gt;&lt;/FQL&gt;&lt;FQL&gt;&lt;Q&gt;AAL-US^FF_OPER_LEASE_COMMIT_YR4(ANN_R,-9)&lt;/Q&gt;&lt;R&gt;1&lt;/R&gt;&lt;C&gt;1&lt;/C&gt;&lt;D xsi:type="xsd:double"&gt;779&lt;/D&gt;&lt;/FQL&gt;&lt;FQL&gt;&lt;Q&gt;AAL-US^FF_OPER_LEASE_COMMIT_YR5(ANN_R,-9)&lt;/Q&gt;&lt;R&gt;1&lt;/R&gt;&lt;C&gt;1&lt;/C&gt;&lt;D xsi:type="xsd:double"&gt;685&lt;/D&gt;&lt;/FQL&gt;&lt;FQL&gt;&lt;Q&gt;AAL-US^FF_OPER_LEASE_COMMIT_5YR(ANN_R,-9)&lt;/Q&gt;&lt;R&gt;1&lt;/R&gt;&lt;C&gt;1&lt;/C&gt;&lt;D xsi:type="xsd:double"&gt;5940&lt;/D&gt;&lt;/FQL&gt;&lt;FQL&gt;&lt;Q&gt;AC-CA^FF_OPER_LEASE_COMMIT_YR1(ANN_R,-3)&lt;/Q&gt;&lt;R&gt;1&lt;/R&gt;&lt;C&gt;1&lt;/C&gt;&lt;D xsi:type="xsd:double"&gt;606&lt;/D&gt;&lt;/FQL&gt;&lt;FQL&gt;&lt;Q&gt;AC-CA^FF_OPER_LEASE_COMMIT_YR1(ANN_R,-4)&lt;/Q&gt;&lt;R&gt;1&lt;/R&gt;&lt;C&gt;1&lt;/C&gt;&lt;D xsi:type="xsd:double"&gt;572&lt;/D&gt;&lt;/FQL&gt;&lt;FQL&gt;&lt;Q&gt;AC-CA^FF_OPER_LEASE_COMMIT_YR1(ANN_R,-5)&lt;/Q&gt;&lt;R&gt;1&lt;/R&gt;&lt;C&gt;1&lt;/C&gt;&lt;D xsi:type="xsd:double"&gt;536&lt;/D&gt;&lt;/FQL&gt;&lt;FQL&gt;&lt;Q&gt;AC-CA^FF_OPER_LEASE_COMMIT_YR1(ANN_R,-6)&lt;/Q&gt;&lt;R&gt;1&lt;/R&gt;&lt;C&gt;1&lt;/C&gt;&lt;D xsi:type="xsd:double"&gt;359&lt;/D&gt;&lt;/FQL&gt;&lt;FQL&gt;&lt;Q&gt;AC-CA^FF_OPER_LEASE_COMMIT_YR1(ANN_R,-7)&lt;/Q&gt;&lt;R&gt;1&lt;/R&gt;&lt;C&gt;1&lt;/C&gt;&lt;D xsi:type="xsd:double"&gt;359&lt;/D&gt;&lt;/FQL&gt;&lt;FQL&gt;&lt;Q&gt;AC-CA^FF_OPER_LEASE_COMMIT_YR2(ANN_R,-3)&lt;/Q&gt;&lt;R&gt;1&lt;/R&gt;&lt;C&gt;1&lt;/C&gt;&lt;D xsi:type="xsd:double"&gt;520&lt;/D&gt;&lt;/FQL&gt;&lt;FQL&gt;&lt;Q&gt;AC-CA^FF_OPER_LEASE_COMMIT_YR2(ANN_R,-4)&lt;/Q&gt;&lt;R&gt;1&lt;/R&gt;&lt;C&gt;1&lt;/C&gt;&lt;D xsi:type="xsd:double"&gt;507&lt;/D&gt;&lt;/FQL&gt;&lt;FQL&gt;&lt;Q&gt;AC-CA^FF_OPER_LEASE_COMMIT_YR2(ANN_R,-5)&lt;/Q&gt;&lt;R&gt;1&lt;/R&gt;&lt;C&gt;1&lt;/C&gt;&lt;D xsi:type="xsd:double"&gt;477&lt;/D&gt;&lt;/FQL&gt;&lt;FQL&gt;&lt;Q&gt;AC-CA^FF_OPER_LEASE_COMMIT_YR2(ANN_R,-6)&lt;/Q&gt;&lt;R&gt;1&lt;/R&gt;&lt;C&gt;1&lt;/C&gt;&lt;D xsi:type="xsd:double"&gt;300&lt;/D&gt;&lt;/FQL&gt;&lt;FQL&gt;&lt;Q&gt;AC-CA^FF_OPER_LEASE_COMMIT_YR2(ANN_R,-7)&lt;/Q&gt;&lt;R&gt;1&lt;/R&gt;&lt;C&gt;1&lt;/C&gt;&lt;D xsi:type="xsd:double"&gt;306&lt;/D&gt;&lt;/FQL&gt;&lt;FQL&gt;&lt;Q&gt;AC-CA^FF_OPER_LEASE_COMMIT_YR3(ANN_R,-3)&lt;/Q&gt;&lt;R&gt;1&lt;/R&gt;&lt;C&gt;1&lt;/C&gt;&lt;D xsi:type="xsd:double"&gt;397&lt;/D&gt;&lt;/FQL&gt;&lt;FQL&gt;&lt;Q&gt;AC-CA^FF_OPER_LEASE_COMMIT_YR3(ANN_R,-4)&lt;/Q&gt;&lt;R&gt;1&lt;/R&gt;&lt;C&gt;1&lt;/C&gt;&lt;D xsi:type="xsd:double"&gt;420&lt;/D&gt;&lt;/FQL&gt;&lt;FQL&gt;&lt;Q&gt;AC-CA^FF_OPER_LEASE_COMMIT_YR3(ANN_R,-5)&lt;/Q&gt;&lt;R&gt;1&lt;/R&gt;&lt;C&gt;1&lt;/C&gt;&lt;D xsi:type="xsd:double"&gt;420&lt;/D&gt;&lt;/FQL&gt;&lt;FQL&gt;&lt;Q&gt;AC-CA^FF_OPER_LEASE_COMMIT_YR3(ANN_R,-6)&lt;/Q&gt;&lt;R&gt;1&lt;/R&gt;&lt;C&gt;1&lt;/C&gt;&lt;D xsi:type="xsd:double"&gt;266&lt;/D&gt;&lt;/FQL&gt;&lt;FQL&gt;&lt;Q&gt;AC-CA^FF_OPER_LEASE_COMMIT_YR3(ANN_R,-7)&lt;/Q&gt;&lt;R&gt;1&lt;/R&gt;&lt;C&gt;1&lt;/C&gt;&lt;D xsi:type="xsd:double"&gt;250&lt;/D&gt;&lt;/FQL&gt;&lt;FQL&gt;&lt;Q&gt;AC-CA^FF_OPER_LEASE_COMMIT_YR4(ANN_R,-3)&lt;/Q&gt;&lt;R&gt;1&lt;/R&gt;&lt;C&gt;1&lt;/C&gt;&lt;D xsi:type="xsd:double"&gt;288&lt;/D&gt;&lt;/FQL&gt;&lt;FQL&gt;&lt;Q&gt;AC-CA^FF_OPER_LEASE_COMMIT_YR4(ANN_R,-4)&lt;/Q&gt;&lt;R&gt;1&lt;/R&gt;&lt;C&gt;1&lt;/C&gt;&lt;D xsi:type="xsd:double"&gt;305&lt;/D&gt;&lt;/FQL&gt;&lt;FQL&gt;&lt;Q&gt;AC-CA^FF_OPER_LEASE_COMMIT_YR4(ANN_R,-5)&lt;/Q&gt;&lt;R&gt;1&lt;/R&gt;&lt;C&gt;1&lt;/C&gt;&lt;D xsi:type="xsd:double"&gt;333&lt;/D&gt;&lt;/FQL&gt;&lt;FQL&gt;&lt;Q&gt;AC-CA^FF_OPER_LEASE_COMMIT_YR4(ANN_R,-6)&lt;/Q&gt;&lt;R&gt;1&lt;/R&gt;&lt;C&gt;1&lt;/C&gt;&lt;D xsi:type="xsd:double"&gt;227&lt;/D&gt;&lt;/FQL&gt;&lt;FQL&gt;&lt;Q&gt;AC-CA^FF_OPER_LEASE_COMMIT_YR4(ANN_R,-7)&lt;/Q&gt;&lt;R&gt;1&lt;/R&gt;&lt;C&gt;1&lt;/C&gt;&lt;D xsi:type="xsd:double"&gt;219&lt;/D&gt;&lt;/FQL&gt;&lt;FQL&gt;&lt;Q&gt;AC-CA^FF_OPER_LEASE_COMMIT_YR5(ANN_R,-3)&lt;/Q&gt;&lt;R&gt;1&lt;/R&gt;&lt;C&gt;1&lt;/C&gt;&lt;D xsi:type="xsd:double"&gt;210&lt;/D&gt;&lt;/FQL&gt;&lt;FQL&gt;&lt;Q&gt;AC-CA^FF_OPER_LEASE_COMMIT_YR5(ANN_R,-4)&lt;/Q&gt;&lt;R&gt;1&lt;/R&gt;&lt;C&gt;1&lt;/C&gt;&lt;D xsi:type="xsd:double"&gt;206&lt;/D&gt;&lt;/FQL&gt;&lt;FQL&gt;&lt;Q&gt;AC-CA^FF_OPER_LEASE_COMMIT_YR5(ANN_R,-5)&lt;/Q&gt;&lt;R&gt;1&lt;/R&gt;&lt;C&gt;1&lt;/C&gt;&lt;D xsi:type="xsd:double"&gt;228&lt;/D&gt;&lt;/FQL&gt;&lt;FQL&gt;&lt;Q&gt;AC-CA^FF_OPER_LEASE_COMMIT_YR5(ANN_R,-6)&lt;/Q&gt;&lt;R&gt;1&lt;/R&gt;&lt;C&gt;1&lt;/C&gt;&lt;D x</t>
        </r>
      </text>
    </comment>
    <comment ref="A17" authorId="0" shapeId="0" xr:uid="{24393DB4-5349-4F73-B79A-FEF4985E701A}">
      <text>
        <r>
          <rPr>
            <b/>
            <sz val="9"/>
            <color indexed="81"/>
            <rFont val="Tahoma"/>
            <charset val="1"/>
          </rPr>
          <t>si:type="xsd:double"&gt;185&lt;/D&gt;&lt;/FQL&gt;&lt;FQL&gt;&lt;Q&gt;AC-CA^FF_OPER_LEASE_COMMIT_YR5(ANN_R,-7)&lt;/Q&gt;&lt;R&gt;1&lt;/R&gt;&lt;C&gt;1&lt;/C&gt;&lt;D xsi:type="xsd:double"&gt;191&lt;/D&gt;&lt;/FQL&gt;&lt;FQL&gt;&lt;Q&gt;AC-CA^FF_OPER_LEASE_COMMIT_5YR(ANN_R,-3)&lt;/Q&gt;&lt;R&gt;1&lt;/R&gt;&lt;C&gt;1&lt;/C&gt;&lt;D xsi:type="xsd:double"&gt;882&lt;/D&gt;&lt;/FQL&gt;&lt;FQL&gt;&lt;Q&gt;AC-CA^FF_OPER_LEASE_COMMIT_5YR(ANN_R,-4)&lt;/Q&gt;&lt;R&gt;1&lt;/R&gt;&lt;C&gt;1&lt;/C&gt;&lt;D xsi:type="xsd:double"&gt;508&lt;/D&gt;&lt;/FQL&gt;&lt;FQL&gt;&lt;Q&gt;AC-CA^FF_OPER_LEASE_COMMIT_5YR(ANN_R,-5)&lt;/Q&gt;&lt;R&gt;1&lt;/R&gt;&lt;C&gt;1&lt;/C&gt;&lt;D xsi:type="xsd:double"&gt;346&lt;/D&gt;&lt;/FQL&gt;&lt;FQL&gt;&lt;Q&gt;AC-CA^FF_OPER_LEASE_COMMIT_5YR(ANN_R,-6)&lt;/Q&gt;&lt;R&gt;1&lt;/R&gt;&lt;C&gt;1&lt;/C&gt;&lt;D xsi:type="xsd:double"&gt;296&lt;/D&gt;&lt;/FQL&gt;&lt;FQL&gt;&lt;Q&gt;AC-CA^FF_OPER_LEASE_COMMIT_5YR(ANN_R,-7)&lt;/Q&gt;&lt;R&gt;1&lt;/R&gt;&lt;C&gt;1&lt;/C&gt;&lt;D xsi:type="xsd:double"&gt;419&lt;/D&gt;&lt;/FQL&gt;&lt;FQL&gt;&lt;Q&gt;AC-CA^FF_OPER_LEASE_COMMIT_YR1(ANN_R,-10)&lt;/Q&gt;&lt;R&gt;0&lt;/R&gt;&lt;C&gt;0&lt;/C&gt;&lt;/FQL&gt;&lt;FQL&gt;&lt;Q&gt;AC-CA^FF_OPER_LEASE_COMMIT_YR1(ANN_R,-9)&lt;/Q&gt;&lt;R&gt;1&lt;/R&gt;&lt;C&gt;1&lt;/C&gt;&lt;D xsi:type="xsd:double"&gt;395&lt;/D&gt;&lt;/FQL&gt;&lt;FQL&gt;&lt;Q&gt;AC-CA^FF_OPER_LEASE_COMMIT_YR2(ANN_R,-9)&lt;/Q&gt;&lt;R&gt;1&lt;/R&gt;&lt;C&gt;1&lt;/C&gt;&lt;D xsi:type="xsd:double"&gt;362&lt;/D&gt;&lt;/FQL&gt;&lt;FQL&gt;&lt;Q&gt;AC-CA^FF_OPER_LEASE_COMMIT_YR3(ANN_R,-9)&lt;/Q&gt;&lt;R&gt;1&lt;/R&gt;&lt;C&gt;1&lt;/C&gt;&lt;D xsi:type="xsd:double"&gt;296&lt;/D&gt;&lt;/FQL&gt;&lt;FQL&gt;&lt;Q&gt;AC-CA^FF_OPER_LEASE_COMMIT_YR4(ANN_R,-9)&lt;/Q&gt;&lt;R&gt;1&lt;/R&gt;&lt;C&gt;1&lt;/C&gt;&lt;D xsi:type="xsd:double"&gt;247&lt;/D&gt;&lt;/FQL&gt;&lt;FQL&gt;&lt;Q&gt;AC-CA^FF_OPER_LEASE_COMMIT_YR5(ANN_R,-9)&lt;/Q&gt;&lt;R&gt;1&lt;/R&gt;&lt;C&gt;1&lt;/C&gt;&lt;D xsi:type="xsd:double"&gt;205&lt;/D&gt;&lt;/FQL&gt;&lt;FQL&gt;&lt;Q&gt;AC-CA^FF_OPER_LEASE_COMMIT_5YR(ANN_R,-9)&lt;/Q&gt;&lt;R&gt;1&lt;/R&gt;&lt;C&gt;1&lt;/C&gt;&lt;D xsi:type="xsd:double"&gt;612&lt;/D&gt;&lt;/FQL&gt;&lt;FQL&gt;&lt;Q&gt;SKYW-US^FF_ARPT_SERIES('RESEARCH AND DEVELOPMENT',ANN,0,,B,"IS")&lt;/Q&gt;&lt;R&gt;0&lt;/R&gt;&lt;C&gt;0&lt;/C&gt;&lt;/FQL&gt;&lt;FQL&gt;&lt;Q&gt;SKYW-US^FF_ARPT_SERIES('RESEARCH AND DEVELOPMENT',ANN,-1,,B,"IS")&lt;/Q&gt;&lt;R&gt;0&lt;/R&gt;&lt;C&gt;0&lt;/C&gt;&lt;/FQL&gt;&lt;FQL&gt;&lt;Q&gt;SKYW-US^FF_ARPT_SERIES('RESEARCH AND DEVELOPMENT',ANN,-2,,B,"IS")&lt;/Q&gt;&lt;R&gt;0&lt;/R&gt;&lt;C&gt;0&lt;/C&gt;&lt;/FQL&gt;&lt;FQL&gt;&lt;Q&gt;SKYW-US^FF_ARPT_SERIES('RESEARCH AND DEVELOPMENT',ANN,-3,,B,"IS")&lt;/Q&gt;&lt;R&gt;0&lt;/R&gt;&lt;C&gt;0&lt;/C&gt;&lt;/FQL&gt;&lt;FQL&gt;&lt;Q&gt;SKYW-US^FF_ARPT_SERIES('RESEARCH AND DEVELOPMENT',ANN,-4,,B,"IS")&lt;/Q&gt;&lt;R&gt;0&lt;/R&gt;&lt;C&gt;0&lt;/C&gt;&lt;/FQL&gt;&lt;FQL&gt;&lt;Q&gt;SKYW-US^FF_ARPT_SERIES('RESEARCH AND DEVELOPMENT',ANN,-5,,B,"IS")&lt;/Q&gt;&lt;R&gt;0&lt;/R&gt;&lt;C&gt;0&lt;/C&gt;&lt;/FQL&gt;&lt;FQL&gt;&lt;Q&gt;SKYW-US^FF_ARPT_SERIES('RESEARCH AND DEVELOPMENT',ANN,-6,,B,"IS")&lt;/Q&gt;&lt;R&gt;0&lt;/R&gt;&lt;C&gt;0&lt;/C&gt;&lt;/FQL&gt;&lt;FQL&gt;&lt;Q&gt;SKYW-US^FF_ARPT_SERIES('RESEARCH AND DEVELOPMENT',ANN,-7,,B,"IS")&lt;/Q&gt;&lt;R&gt;0&lt;/R&gt;&lt;C&gt;0&lt;/C&gt;&lt;/FQL&gt;&lt;FQL&gt;&lt;Q&gt;SKYW-US^FF_ARPT_SERIES('RESEARCH AND DEVELOPMENT',ANN,-8,,B,"IS")&lt;/Q&gt;&lt;R&gt;0&lt;/R&gt;&lt;C&gt;0&lt;/C&gt;&lt;/FQL&gt;&lt;FQL&gt;&lt;Q&gt;SKYW-US^FF_ARPT_SERIES('RESEARCH AND DEVELOPMENT',ANN,-9,,B,"IS")&lt;/Q&gt;&lt;R&gt;0&lt;/R&gt;&lt;C&gt;0&lt;/C&gt;&lt;/FQL&gt;&lt;FQL&gt;&lt;Q&gt;SKYW-US^FF_ARPT_SERIES('RESEARCH AND DEVELOPMENT',ANN,-10,,B,"IS")&lt;/Q&gt;&lt;R&gt;0&lt;/R&gt;&lt;C&gt;0&lt;/C&gt;&lt;/FQL&gt;&lt;FQL&gt;&lt;Q&gt;SKYW-US^FF_ARPT_SERIES('RESEARCH AND DEVELOPMENT',ANN,-11,,B,"IS")&lt;/Q&gt;&lt;R&gt;0&lt;/R&gt;&lt;C&gt;0&lt;/C&gt;&lt;/FQL&gt;&lt;FQL&gt;&lt;Q&gt;SKYW-US^FF_ARPT_SERIES('RESEARCH AND DEVELOPMENT',ANN,-12,,B,"IS")&lt;/Q&gt;&lt;R&gt;0&lt;/R&gt;&lt;C&gt;0&lt;/C&gt;&lt;/FQL&gt;&lt;FQL&gt;&lt;Q&gt;SKYW-US^FF_ARPT_SERIES('RESEARCH AND DEVELOPMENT',ANN,-13,,B,"IS")&lt;/Q&gt;&lt;R&gt;0&lt;/R&gt;&lt;C&gt;0&lt;/C&gt;&lt;/FQL&gt;&lt;FQL&gt;&lt;Q&gt;SKYW-US^FF_ARPT_SERIES('RESEARCH AND DEVELOPMENT',ANN,-14,,B,"IS")&lt;/Q&gt;&lt;R&gt;0&lt;/R&gt;&lt;C&gt;0&lt;/C&gt;&lt;/FQL&gt;&lt;FQL&gt;&lt;Q&gt;SKYW-US^FF_ARPT_SERIES('RESEARCH AND DEVELOPMENT',ANN,-15,,B,"IS")&lt;/Q&gt;&lt;R&gt;0&lt;/R&gt;&lt;C&gt;0&lt;/C&gt;&lt;/FQL&gt;&lt;FQL&gt;&lt;Q&gt;SKYW-US^FF_ARPT_SERIES('RESEARCH AND DEVELOPMENT',ANN,-16,,B,"IS")&lt;/Q&gt;&lt;R&gt;0&lt;/R&gt;&lt;C&gt;0&lt;/C&gt;&lt;/FQL&gt;&lt;FQL&gt;&lt;Q&gt;SKYW-US^FF_ARPT_SERIES('RESEARCH AND DEVELOPMENT',ANN,-17,,B,"IS")&lt;/Q&gt;&lt;R&gt;0&lt;/R&gt;&lt;C&gt;0&lt;/C&gt;&lt;/FQL&gt;&lt;FQL&gt;&lt;Q&gt;SKYW-US^FF_ARPT_SERIES('RESEARCH AND DEVELOPMENT',ANN,-18,,B,"IS")&lt;/Q&gt;&lt;R&gt;0&lt;/R&gt;&lt;C&gt;0&lt;/C&gt;&lt;/FQL&gt;&lt;FQL&gt;&lt;Q&gt;SKYW-US^FF_ARPT_SERIES('RESEARCH AND DEVELOPMENT',ANN,-117,,B,"IS")&lt;/Q&gt;&lt;R&gt;0&lt;/R&gt;&lt;C&gt;0&lt;/C&gt;&lt;/FQL&gt;&lt;FQL&gt;&lt;Q&gt;SKYW-US^FF_ARPT_SERIES('RESEARCH AND DEVELOPMENT',ANN,-19,,B,"IS")&lt;/Q&gt;&lt;R&gt;0&lt;/R&gt;&lt;C&gt;0&lt;/C&gt;&lt;/FQL&gt;&lt;FQL&gt;&lt;Q&gt;ALK-US^FF_ARPT_SERIES('RESEARCH AND DEVELOPMENT',ANN,0,,B,"IS")&lt;/Q&gt;&lt;R&gt;0&lt;/R&gt;&lt;C&gt;0&lt;/C&gt;&lt;/FQL&gt;&lt;FQL&gt;&lt;Q&gt;ALK-US^FF_ARPT_SERIES('RESEARCH AND DEVELOPMENT',ANN,-1,,B,"IS")&lt;/Q&gt;&lt;R&gt;0&lt;/R&gt;&lt;C&gt;0&lt;/C&gt;&lt;/FQL&gt;&lt;FQL&gt;&lt;Q&gt;ALK-US^FF_ARPT_SERIES('RESEARCH AND DEVELOPMENT',ANN,-2,,B,"IS")&lt;/Q&gt;&lt;R&gt;0&lt;/R&gt;&lt;C&gt;0&lt;/C&gt;&lt;/FQL&gt;&lt;FQL&gt;&lt;Q&gt;ALK-US^FF_ARPT_SERIES('RESEARCH AND DEVELOPMENT',ANN,-3,,B,"IS")&lt;/Q&gt;&lt;R&gt;0&lt;/R&gt;&lt;C&gt;0&lt;/C&gt;&lt;/FQL&gt;&lt;FQL&gt;&lt;Q&gt;ALK-US^FF_ARPT_SERIES('RESEARCH AND DEVELOPMENT',ANN,-4,,B,"IS")&lt;/Q&gt;&lt;R&gt;0&lt;/R&gt;&lt;C&gt;0&lt;/C&gt;&lt;/FQL&gt;&lt;FQL&gt;&lt;Q&gt;ALK-US^FF_ARPT_SERIES('RESEARCH AND DEVELOPMENT',ANN,-5,,B,"IS")&lt;/Q&gt;&lt;R&gt;0&lt;/R&gt;&lt;C&gt;0&lt;/C&gt;&lt;/FQL&gt;&lt;FQL&gt;&lt;Q&gt;ALK-US^FF_ARPT_SERIES('RESEARCH AND DEVELOPMENT',ANN,-6,,B,"IS")&lt;/Q&gt;&lt;R&gt;0&lt;/R&gt;&lt;C&gt;0&lt;/C&gt;&lt;/FQL&gt;&lt;FQL&gt;&lt;Q&gt;ALK-US^FF_ARPT_SERIES('RESEARCH AND DEVELOPMENT',ANN,-7,,B,"IS")&lt;/Q&gt;&lt;R&gt;0&lt;/R&gt;&lt;C&gt;0&lt;/C&gt;&lt;/FQL&gt;&lt;FQL&gt;&lt;Q&gt;ALK-US^FF_ARPT_SERIES('RESEARCH AND DEVELOPMENT',ANN,-8,,B,"IS")&lt;/Q&gt;&lt;R&gt;0&lt;/R&gt;&lt;C&gt;0&lt;/C&gt;&lt;/FQL&gt;&lt;FQL&gt;&lt;Q&gt;ALK-US^FF_ARPT_SERIES('RESEARCH AND DEVELOPMENT',ANN,-9,,B,"IS")&lt;/Q&gt;&lt;R&gt;0&lt;/R&gt;&lt;C&gt;0&lt;/C&gt;&lt;/FQL&gt;&lt;FQL&gt;&lt;Q&gt;ALK-US^FF_ARPT_SERIES('RESEARCH AND DEVELOPMENT',ANN,-10,,B,"IS")&lt;/Q&gt;&lt;R&gt;0&lt;/R&gt;&lt;C&gt;0&lt;/C&gt;&lt;/FQL&gt;&lt;FQL&gt;&lt;Q&gt;ALK-US^FF_ARPT_SERIES('RESEARCH AND DEVELOPMENT',ANN,-11,,B,"IS")&lt;/Q&gt;&lt;R&gt;0&lt;/R&gt;&lt;C&gt;0&lt;/C&gt;&lt;/FQL&gt;&lt;FQL&gt;&lt;Q&gt;ALK-US^FF_ARPT_SERIES('RESEARCH AND DEVELOPMENT',ANN,-12,,B,"IS")&lt;/Q&gt;&lt;R&gt;0&lt;/R&gt;&lt;C&gt;0&lt;/C&gt;&lt;/FQL&gt;&lt;FQL&gt;&lt;Q&gt;ALK-US^FF_ARPT_SERIES('RESEARCH AND DEVELOPMENT',ANN,-13,,B,"IS")&lt;/Q&gt;&lt;R&gt;0&lt;/R&gt;&lt;C&gt;0&lt;/C&gt;&lt;/FQL&gt;&lt;FQL&gt;&lt;Q&gt;ALK-US^FF_ARPT_SERIES('RESEARCH AND DEVELOPMENT',ANN,-14,,B,"IS")&lt;/Q&gt;&lt;R&gt;0&lt;/R&gt;&lt;C&gt;0&lt;/C&gt;&lt;/FQL&gt;&lt;FQL&gt;&lt;Q&gt;ALK-US^FF_ARPT_SERIES('RESEARCH AND DEVELOPMENT',ANN,-15,,B,"IS")&lt;/Q&gt;&lt;R&gt;0&lt;/R&gt;&lt;C&gt;0&lt;/C&gt;&lt;/FQL&gt;&lt;FQL&gt;&lt;Q&gt;ALK-US^FF_ARPT_SERIES('RESEARCH AND DEVELOPMENT',ANN,-16,,B,"IS")&lt;/Q&gt;&lt;R&gt;0&lt;/R&gt;&lt;C&gt;0&lt;/C&gt;&lt;/FQL&gt;&lt;FQL&gt;&lt;Q&gt;ALK-US^FF_ARPT_SERIES('RESEARCH AND DEVELOPMENT',ANN,-17,,B,"IS")&lt;/Q&gt;&lt;R&gt;0&lt;/R&gt;&lt;C&gt;0&lt;/C&gt;&lt;/FQL&gt;&lt;FQL&gt;&lt;Q&gt;ALK-US^FF_ARPT_SERIES('RESEARCH AND DEVELOPMENT',ANN,-18,,B,"IS")&lt;/Q&gt;&lt;R&gt;0&lt;/R&gt;&lt;C&gt;0&lt;/C&gt;&lt;/FQL&gt;&lt;FQL&gt;&lt;Q&gt;ALK-US^FF_ARPT_SERIES('RESEARCH AND DEVELOPMENT',ANN,-117,,B,"IS")&lt;/Q&gt;&lt;R&gt;0&lt;/R&gt;&lt;C&gt;0&lt;/C&gt;&lt;/FQL&gt;&lt;FQL&gt;&lt;Q&gt;ALK-US^FF_ARPT_SERIES('RESEARCH AND DEVELOPMENT',ANN,-19,,B,"IS")&lt;/Q&gt;&lt;R&gt;0&lt;/R&gt;&lt;C&gt;0&lt;/C&gt;&lt;/FQL&gt;&lt;FQL&gt;&lt;Q&gt;LUV-US^FF_ARPT_SERIES('RESEARCH AND DEVELOPMENT',ANN,0,,B,"IS")&lt;/Q&gt;&lt;R&gt;0&lt;/R&gt;&lt;C&gt;0&lt;/C&gt;&lt;/FQL&gt;&lt;FQL&gt;&lt;Q&gt;LUV-US^FF_ARPT_SERIES('RESEARCH AND DEVELOPMENT',ANN,-1,,B,"IS")&lt;/Q&gt;&lt;R&gt;0&lt;/R&gt;&lt;C&gt;0&lt;/C&gt;&lt;/FQL&gt;&lt;FQL&gt;&lt;Q&gt;LUV-US^FF_ARPT_SERIES('RESEARCH AND DEVELOPMENT',ANN,-2,,B,"IS")&lt;/Q&gt;&lt;R&gt;0&lt;/R&gt;&lt;C&gt;0&lt;/C&gt;&lt;/FQL&gt;&lt;FQL&gt;&lt;Q&gt;LUV-US^FF_ARPT_SERIES('RESEARCH AND DEVELOPMENT',ANN,-3,,B,"IS")&lt;/Q&gt;&lt;R&gt;0&lt;/R&gt;&lt;C&gt;0&lt;/C&gt;&lt;/FQL&gt;&lt;FQL&gt;&lt;Q&gt;LUV-US^FF_ARPT_SERIES('RESEARCH AND DEVELOPMENT',ANN,-4,,B,"IS")&lt;/Q&gt;&lt;R&gt;0&lt;/R&gt;&lt;C&gt;0&lt;/C&gt;&lt;/FQL&gt;&lt;FQL&gt;&lt;Q&gt;LUV-US^FF_ARPT_SERIES('RESEARCH AND DEVELOPMENT',ANN,-5,,B,"IS")&lt;/Q&gt;&lt;R&gt;0&lt;/R&gt;&lt;C&gt;0&lt;/C&gt;&lt;/FQL&gt;&lt;FQL&gt;&lt;Q&gt;LUV-US^FF_ARPT_SERIES('RESEARCH AND DEVELOPMENT',ANN,-6,,B,"IS")&lt;/Q&gt;&lt;R&gt;0&lt;/R&gt;&lt;C&gt;0&lt;/C&gt;&lt;/FQL&gt;&lt;FQL&gt;&lt;Q&gt;LUV-US^FF_ARPT_SERIES('RESEARCH AND DEVELOPMENT',ANN,-7,,B,"IS")&lt;/Q&gt;&lt;R&gt;0&lt;/R&gt;&lt;C&gt;0&lt;/C&gt;&lt;/FQL&gt;&lt;FQL&gt;&lt;Q&gt;LUV-US^FF_ARPT_SERIES('RESEARCH AND DEVELOPMENT',ANN,-8,,B,"IS")&lt;/Q&gt;&lt;R&gt;0&lt;/R&gt;&lt;C&gt;0&lt;/C&gt;&lt;/FQL&gt;&lt;FQL&gt;&lt;Q&gt;LUV-US^FF_ARPT_SERIES('RESEARCH AND DEVELOPMENT',ANN,-9,,B,"IS")&lt;/Q&gt;&lt;R&gt;0&lt;/R&gt;&lt;C&gt;0&lt;/C&gt;&lt;/FQL&gt;&lt;FQL&gt;&lt;Q&gt;LUV-US^FF_ARPT_SERIES('RESEARCH AND DEVELOPMENT',ANN,-10,,B,"IS")&lt;/Q&gt;&lt;R&gt;0&lt;/R&gt;&lt;C&gt;0&lt;/C&gt;&lt;/FQL&gt;&lt;FQL&gt;&lt;Q&gt;LUV-US^FF_ARPT_SERIES('RESEARCH AND DEVELOPMENT',ANN,-11,,B,"IS")&lt;/Q&gt;&lt;R&gt;0&lt;/R&gt;&lt;C&gt;0&lt;/C&gt;&lt;/FQL&gt;&lt;FQL&gt;&lt;Q&gt;LUV-US^FF_ARPT_SERIES('RESEARCH AND DEVELOPMENT',ANN,-12,,B,"IS")&lt;/Q&gt;&lt;R&gt;0&lt;/R&gt;&lt;C&gt;0&lt;/C&gt;&lt;/FQL&gt;&lt;FQL&gt;&lt;Q&gt;LUV-US^FF_ARPT_SERIES('RESEARCH AND DEVELOPMENT',ANN,-13,,B,"IS")&lt;/Q&gt;&lt;R&gt;0&lt;/R&gt;&lt;C&gt;0&lt;/C&gt;&lt;/FQL&gt;&lt;FQL&gt;&lt;Q&gt;LUV-US^FF_ARPT_SERIES('RESEARCH AND DEVELOPMENT',ANN,-14,,B,"IS")&lt;/Q&gt;&lt;R&gt;0&lt;/R&gt;&lt;C&gt;0&lt;/C&gt;&lt;/FQL&gt;&lt;FQL&gt;&lt;Q&gt;LUV-US^FF_ARPT_SERIES('RESEARCH AND DEVELOPMENT',ANN,-15,,B,"IS")&lt;/Q&gt;&lt;R&gt;0&lt;/R&gt;&lt;C&gt;0&lt;/C&gt;&lt;/FQL&gt;&lt;FQL&gt;&lt;Q&gt;LUV-US^FF_ARPT_SERIES('RESEARCH AND DEVELOPMENT',ANN,-16,,B,"IS")&lt;/Q&gt;&lt;R&gt;0&lt;/R&gt;&lt;C&gt;0&lt;/C&gt;&lt;/FQL&gt;&lt;FQL&gt;&lt;Q&gt;LUV-US^FF_ARPT_SERIES('RESEARCH AND DEVELOPMENT',ANN,-17,,B,"IS")&lt;/Q&gt;&lt;R&gt;0&lt;/R&gt;&lt;C&gt;0&lt;/C&gt;&lt;/FQL&gt;&lt;FQL&gt;&lt;Q&gt;LUV-US^FF_ARPT_SERIES('RESEARCH AND DEVELOPMENT',ANN,-18,,B,"IS")&lt;/Q&gt;&lt;R&gt;0&lt;/R&gt;&lt;C&gt;0&lt;/C&gt;&lt;/FQL&gt;&lt;FQL&gt;&lt;Q&gt;LUV-US^FF_ARPT_SERIES('RESEARCH AND DEVELOPMENT',ANN,-117,,B,"IS")&lt;/Q&gt;&lt;R&gt;0&lt;/R&gt;&lt;C&gt;0&lt;/C&gt;&lt;/FQL&gt;&lt;FQL&gt;&lt;Q&gt;LUV-US^FF_ARPT_SERIES('RESEARCH AND DEVELOPMENT',ANN,-19,,B,"IS")&lt;/Q&gt;&lt;R&gt;0&lt;/R&gt;&lt;C&gt;0&lt;/C&gt;&lt;/FQL&gt;&lt;FQL&gt;&lt;Q&gt;AAL-US^FF_ARPT_SERIES('RESEARCH AND DEVELOPMENT',ANN,0,,B,"IS")&lt;/Q&gt;&lt;R&gt;0&lt;/R&gt;&lt;C&gt;0&lt;/C&gt;&lt;/FQL&gt;&lt;FQL&gt;&lt;Q&gt;AAL-US^FF_ARPT_SERIES('RESEARCH AND DEVELOPMENT',ANN,-1,,B,"IS")&lt;/Q&gt;&lt;R&gt;0&lt;/R&gt;&lt;C&gt;0&lt;/C&gt;&lt;/FQL&gt;&lt;FQL&gt;&lt;Q&gt;AAL-US^FF_ARPT_SERIES('RESEARCH AND DEVELOPMENT',ANN,-2,,B,"IS")&lt;/Q&gt;&lt;R&gt;0&lt;/R&gt;&lt;C&gt;0&lt;/C&gt;&lt;/FQL&gt;&lt;FQL&gt;&lt;Q&gt;AAL-US^FF_ARPT_SERIES('RESEARCH AND DEVELOPMENT',ANN,-3,,B,"IS")&lt;/Q&gt;&lt;R&gt;0&lt;/R&gt;&lt;C&gt;0&lt;/C&gt;&lt;/FQL&gt;&lt;FQL&gt;&lt;Q&gt;AAL-US^FF_ARPT_SERIES('RESEARCH AND DEVELOPMENT',ANN,-4,,B,"IS")&lt;/Q&gt;&lt;R&gt;0&lt;/R&gt;&lt;C&gt;0&lt;/C&gt;&lt;/FQL&gt;&lt;FQL&gt;&lt;Q&gt;AAL-US^FF_ARPT_SERIES('RESEARCH AND DEVELOPMENT',ANN,-5,,B,"IS")&lt;/Q&gt;&lt;R&gt;0&lt;/R&gt;&lt;C&gt;0&lt;/C&gt;&lt;/FQL&gt;&lt;FQL&gt;&lt;Q&gt;AAL-US^FF_ARPT_SERIES('RESEARCH AND DEVELOPMENT',ANN,-6,,B,"IS")&lt;/Q&gt;&lt;R&gt;0&lt;/R&gt;&lt;C&gt;0&lt;/C&gt;&lt;/FQL&gt;&lt;FQL&gt;&lt;Q&gt;AAL-US^FF_ARPT_SERIES('RESEARCH AND DEVELOPMENT',ANN,-7,,B,"IS")&lt;/Q&gt;&lt;R&gt;0&lt;/R&gt;&lt;C&gt;0&lt;/C&gt;&lt;/FQL&gt;&lt;FQL&gt;&lt;Q&gt;AAL-US^FF_ARPT_SERIES('RESEARCH AND DEVELOPMENT',ANN,-8,,B,"IS")&lt;/Q&gt;&lt;R&gt;0&lt;/R&gt;&lt;C&gt;0&lt;/C&gt;&lt;/FQL&gt;&lt;FQL&gt;&lt;Q&gt;AAL-US^FF_ARPT_SERIES('RESEARCH AND DEVELOPMENT',ANN,-9,,B,"IS")&lt;/Q&gt;&lt;R&gt;0&lt;/R&gt;&lt;C&gt;0&lt;/C&gt;&lt;/FQL&gt;&lt;FQL&gt;&lt;Q&gt;AAL-US^FF_ARPT_SERIES('RESEARCH AND DEVELOPMENT',ANN,-10,,B,"IS")&lt;/Q&gt;&lt;R&gt;0&lt;/R&gt;&lt;C&gt;0&lt;/C&gt;&lt;/FQL&gt;&lt;FQL&gt;&lt;Q&gt;AAL-US^FF_ARPT_SERIES('RESEARCH AND DEVELOPMENT',ANN,-11,,B,"IS")&lt;/Q&gt;&lt;R&gt;0&lt;/R&gt;&lt;C&gt;0&lt;/C&gt;&lt;/FQL&gt;&lt;FQL&gt;&lt;Q&gt;AAL-US^FF_ARPT_SERIES('RESEARCH AND DEVELOPMENT',ANN,-12,,B,"IS")&lt;/Q&gt;&lt;R&gt;0&lt;/R&gt;&lt;C&gt;0&lt;/C&gt;&lt;/FQL&gt;&lt;FQL&gt;&lt;Q&gt;AAL-US^FF_ARPT_SERIES('RESEARCH AND DEVELOPMENT',ANN,-13,,B,"IS")&lt;/Q&gt;&lt;R&gt;0&lt;/R&gt;&lt;C&gt;0&lt;/C&gt;&lt;/FQL&gt;&lt;FQL&gt;&lt;Q&gt;AAL-US^FF_ARPT_SERIES('RESEARCH AND DEVELOPMENT',ANN,-14,,B,"IS")&lt;/Q&gt;&lt;R&gt;0&lt;/R&gt;&lt;C&gt;0&lt;/C&gt;&lt;/FQL&gt;&lt;FQL&gt;&lt;Q&gt;AAL-US^FF_ARPT_SERIES('RESEARCH AND DEVELOPMENT',ANN,-15,,B,"IS")&lt;/Q&gt;&lt;R&gt;0&lt;/R&gt;&lt;C&gt;0&lt;/C&gt;&lt;/FQL&gt;&lt;FQL&gt;&lt;Q&gt;AAL-US^FF_ARPT_SERIES('RESEARCH AND DEVELOPMENT',ANN,-16,,B,"IS")&lt;/Q&gt;&lt;R&gt;0&lt;/R&gt;&lt;C&gt;0&lt;/C&gt;&lt;/FQL&gt;&lt;FQL&gt;&lt;Q&gt;AAL-US^FF_ARPT_SERIES('RESEARCH AND DEVELOPMENT',ANN,-17,,B,"IS")&lt;/Q&gt;&lt;R&gt;0&lt;/R&gt;&lt;C&gt;0&lt;/C&gt;&lt;/FQL&gt;&lt;FQL&gt;&lt;Q&gt;AAL-US^FF_ARPT_SERIES('RESEARCH AND DEVELOPMENT',ANN,-18,,B,"IS")&lt;/Q&gt;&lt;R&gt;0&lt;/R&gt;&lt;C&gt;0&lt;/C&gt;&lt;/FQL&gt;&lt;FQL&gt;&lt;Q&gt;AAL-US^FF_ARPT_SERIES('RESEARCH AND DEVELOPMENT',ANN,-117,,B,"IS")&lt;/Q&gt;&lt;R&gt;0&lt;/R&gt;&lt;C&gt;0&lt;/C&gt;&lt;/FQL&gt;&lt;FQL&gt;&lt;Q&gt;AAL-US^FF_ARPT_SERIES('RESEARCH AND DEVELOPMENT',ANN,-19,,B,"IS")&lt;/Q&gt;&lt;R&gt;0&lt;/R&gt;&lt;C&gt;0&lt;/C&gt;&lt;/FQL&gt;&lt;FQL&gt;&lt;Q&gt;AC-CA^FF_ARPT_SERIES('RESEARCH AND DEVELOPMENT',ANN,0,,B,"IS")&lt;/Q&gt;&lt;R&gt;0&lt;/R&gt;&lt;C&gt;0&lt;/C&gt;&lt;/FQL&gt;&lt;FQL&gt;&lt;Q&gt;AC-CA^FF_ARPT_SERIES('RESEARCH AND DEVELOPMENT',ANN,-1,,B,"IS")&lt;/Q&gt;&lt;R&gt;0&lt;/R&gt;&lt;C&gt;0&lt;/C&gt;&lt;/FQL&gt;&lt;FQL&gt;&lt;Q&gt;AC-CA^FF_ARPT_SERIES('RESEARCH AND DEVELOPMENT',ANN,-2,,B,"IS")&lt;/Q&gt;&lt;R&gt;0&lt;/R&gt;&lt;C&gt;0&lt;/C&gt;&lt;/FQL&gt;&lt;FQL&gt;&lt;Q&gt;AC-CA^FF_ARPT_SERIES('RESEARCH AND DEVELOPMENT',ANN,-3,,B,"IS")&lt;/Q&gt;&lt;R&gt;0&lt;/R&gt;&lt;C&gt;0&lt;/C&gt;&lt;/FQL&gt;&lt;FQL&gt;&lt;Q&gt;AC-CA^FF_ARPT_SERIES('RESEARCH AND DEVELOPMENT',ANN,-4,,B,"IS")&lt;/Q&gt;&lt;R&gt;0&lt;/R&gt;&lt;C&gt;0&lt;/C&gt;&lt;/FQL&gt;&lt;FQL&gt;&lt;Q&gt;AC-CA^FF_ARPT_SERIES('RESEARCH AND DEVELOPMENT',ANN,-5,,B,"IS")&lt;/Q&gt;&lt;R&gt;0&lt;/R&gt;&lt;C&gt;0&lt;/C&gt;&lt;/FQL&gt;&lt;FQL&gt;&lt;Q&gt;AC-CA^FF_ARPT_SERIES('RESEARCH AND DEVELOPMENT',ANN,-6,,B,"IS")&lt;/Q&gt;&lt;R&gt;0&lt;/R&gt;&lt;C&gt;0&lt;/C&gt;&lt;/FQL&gt;&lt;FQL&gt;&lt;Q&gt;AC-CA^FF_ARPT_SERIES('RESEARCH AND DEVELOPMENT',ANN,-7,,B,"IS")&lt;/Q&gt;&lt;R&gt;0&lt;/R&gt;&lt;C&gt;0&lt;/C&gt;&lt;/FQL&gt;&lt;FQL&gt;&lt;Q&gt;AC-CA^FF_ARPT_SERIES('RESEARCH AND DEVELOPMENT',ANN,-8,,B,"IS")&lt;/Q&gt;&lt;R&gt;0&lt;/R&gt;&lt;C&gt;0&lt;/C&gt;&lt;/FQL&gt;&lt;FQL&gt;&lt;Q&gt;AC-CA^FF_ARPT_SERIES('RESEARCH AND DEVELOPMENT',ANN,-9,,B,"IS")&lt;/Q&gt;&lt;R&gt;0&lt;/R&gt;&lt;C&gt;0&lt;/C&gt;&lt;/FQL&gt;&lt;FQL&gt;&lt;Q&gt;AC-CA^FF_ARPT_SERIES('RESEARCH AND DEVELOPMENT',ANN,-10,,B,"IS")&lt;/Q&gt;&lt;R&gt;0&lt;/R&gt;&lt;C&gt;0&lt;/C&gt;&lt;/FQL&gt;&lt;FQL&gt;&lt;Q&gt;AC-CA^FF_ARPT_SERIES('RESEARCH AND DEVELOPMENT',ANN,-11,,B,"IS")&lt;/Q&gt;&lt;R&gt;0&lt;/R&gt;&lt;C&gt;0&lt;/C&gt;&lt;/FQL&gt;&lt;FQL&gt;&lt;Q&gt;AC-CA^FF_ARPT_SERIES('RESEARCH AND DEVELOPMENT',ANN,-12,,B,"IS")&lt;/Q&gt;&lt;R&gt;0&lt;/R&gt;&lt;C&gt;0&lt;/C&gt;&lt;/FQL&gt;&lt;FQL&gt;&lt;Q&gt;AC-CA^FF_ARPT_SERIES('RESEARCH AND DEVELOPMENT',ANN,-13,,B,"IS")&lt;/Q&gt;&lt;R&gt;0&lt;/R&gt;&lt;C&gt;0&lt;/C&gt;&lt;/FQL&gt;&lt;FQL&gt;&lt;Q&gt;AC-CA^FF_ARPT_SERIES('RESEARCH AND DEVELOPMENT',ANN,-14,,B,"IS")&lt;/Q&gt;&lt;R&gt;0&lt;/R&gt;&lt;C&gt;0&lt;/C&gt;&lt;/FQL&gt;&lt;FQL&gt;&lt;Q&gt;AC-CA^FF_ARPT_SERIES('RESEARCH AND DEVELOPMENT',ANN,-15,,B,"IS")&lt;/Q&gt;&lt;R&gt;0&lt;/R&gt;&lt;C&gt;0&lt;/C&gt;&lt;/FQL&gt;&lt;FQL&gt;&lt;Q&gt;AC-CA^FF_ARPT_SERIES('RESEARCH AND DEVELOPMENT',ANN,-16,,B,"IS")&lt;/Q&gt;&lt;R&gt;0&lt;/R&gt;&lt;C&gt;0&lt;/C&gt;&lt;/FQL&gt;&lt;FQL&gt;&lt;Q&gt;AC-CA^FF_ARPT_SERIES('RESEARCH AND DEVELOPMENT',ANN,-17,,B,"IS")&lt;/Q&gt;&lt;R&gt;0&lt;/R&gt;&lt;C&gt;0&lt;/C&gt;&lt;/FQL&gt;&lt;FQL&gt;&lt;Q&gt;AC-CA^FF_ARPT_SERIES('RESEARCH AND DEVELOPMENT',ANN,-18,,B,"IS")&lt;/Q&gt;&lt;R&gt;0&lt;/R&gt;&lt;C&gt;0&lt;/C&gt;&lt;/FQL&gt;&lt;FQL&gt;&lt;Q&gt;AC-CA^FF_ARPT_SERIES('RESEARCH AND DEVELOPMENT',ANN,-117,,B,"IS")&lt;/Q&gt;&lt;R&gt;0&lt;/R&gt;&lt;C&gt;0&lt;/C&gt;&lt;/FQL&gt;&lt;FQL&gt;&lt;Q&gt;AC-CA^FF_ARPT_SERIES('RESEARCH AND DEVELOPMENT',ANN,-19,,B,"IS")&lt;/Q&gt;&lt;R&gt;0&lt;/R&gt;&lt;C&gt;0&lt;/C&gt;&lt;/FQL&gt;&lt;FQL&gt;&lt;Q&gt;DAL-US^FF_ARPT_SERIES('RESEARCH AND DEVELOPMENT',ANN,0,,B,"IS")&lt;/Q&gt;&lt;R&gt;0&lt;/R&gt;&lt;C&gt;0&lt;/C&gt;&lt;/FQL&gt;&lt;FQL&gt;&lt;Q&gt;DAL-US^FF_ARPT_SERIES('RESEARCH AND DEVELOPMENT',ANN,-1,,B,"IS")&lt;/Q&gt;&lt;R&gt;0&lt;/R&gt;&lt;C&gt;0&lt;/C&gt;&lt;/FQL&gt;&lt;FQL&gt;&lt;Q&gt;DAL-US^FF_ARPT_SERIES('RESEARCH AND DEVELOPMENT',ANN,-2,,B,"IS")&lt;/Q&gt;&lt;R&gt;0&lt;/R&gt;&lt;C&gt;0&lt;/C&gt;&lt;/FQL&gt;&lt;FQL&gt;&lt;Q&gt;DAL-US^FF_ARPT_SERIES('RESEARCH AND DEVELOPMENT',ANN,-3,,B,"IS")&lt;/Q&gt;&lt;R&gt;0&lt;/R&gt;&lt;C&gt;0&lt;/C&gt;&lt;/FQL&gt;&lt;FQL&gt;&lt;Q&gt;DAL-US^FF_ARPT_SERIES('RESEARCH AND DEVELOPMENT',ANN,-4,,B,"IS")&lt;/Q&gt;&lt;R&gt;0&lt;/R&gt;&lt;C&gt;0&lt;/C&gt;&lt;/FQL&gt;&lt;FQL&gt;&lt;Q&gt;DAL-US^FF_ARPT_SERIES('RESEARCH AND DEVELOPMENT',ANN,-5,,B,"IS")&lt;/Q&gt;&lt;R&gt;0&lt;/R&gt;&lt;C&gt;0&lt;/C&gt;&lt;/FQL&gt;&lt;FQL&gt;&lt;Q&gt;DAL-US^FF_ARPT_SERIES('RESEARCH AND DEVELOPMENT',ANN,-6,,B,"IS")&lt;/Q&gt;&lt;R&gt;0&lt;/R&gt;&lt;C&gt;0&lt;/C&gt;&lt;/FQL&gt;&lt;FQL&gt;&lt;Q&gt;DAL-US^FF_ARPT_SERIES('RESEARCH AND DEVELOPMENT',ANN,-7,,B,"IS")&lt;/Q&gt;&lt;R&gt;0&lt;/R&gt;&lt;C&gt;0&lt;/C&gt;&lt;/FQL&gt;&lt;FQL&gt;&lt;Q&gt;DAL-US^FF_ARPT_SERIES('RESEARCH AND DEVELOPMENT',ANN,-8,,B,"IS")&lt;/Q&gt;&lt;R&gt;0&lt;/R&gt;&lt;C&gt;0&lt;/C&gt;&lt;/FQL&gt;&lt;FQL&gt;&lt;Q&gt;DAL-US^FF_ARPT_SERIES('RESEARCH AND DEVELOPMENT',ANN,-9,,B,"IS")&lt;/Q&gt;&lt;R&gt;0&lt;/R&gt;&lt;C&gt;0&lt;/C&gt;&lt;/FQL&gt;&lt;FQL&gt;&lt;Q&gt;DAL-US^FF_ARPT_SERIES('RESEARCH AND DEVELOPMENT',ANN,-10,,B,"IS")&lt;/Q&gt;&lt;R&gt;0&lt;/R&gt;&lt;C&gt;0&lt;/C&gt;&lt;/FQL&gt;&lt;FQL&gt;&lt;Q&gt;DAL-US^FF_ARPT_SERIES('RESEARCH AND DEVELOPMENT',ANN,-11,,B,"IS")&lt;/Q&gt;&lt;R&gt;0&lt;/R&gt;&lt;C&gt;0&lt;/C&gt;&lt;/FQL&gt;&lt;FQL&gt;&lt;Q&gt;DAL-US^FF_ARPT_SERIES('RESEARCH AND DEVELOPMENT',ANN,-12,,B,"IS")&lt;/Q&gt;&lt;R&gt;0&lt;/R&gt;&lt;C&gt;0&lt;/C&gt;&lt;/FQL&gt;&lt;FQL&gt;&lt;Q&gt;DAL-US^FF_ARPT_SERIES('RESEARCH AND DEVELOPMENT',ANN,-13,,B,"IS")&lt;/Q&gt;&lt;R&gt;0&lt;/R&gt;&lt;C&gt;0&lt;/C&gt;&lt;/FQL&gt;&lt;FQL&gt;&lt;Q&gt;DAL-US^FF_ARPT_SERIES('RESEARCH AND DEVELOPMENT',ANN,-14,,B,"IS")&lt;/Q&gt;&lt;R&gt;0&lt;/R&gt;&lt;C&gt;0&lt;/C&gt;&lt;/FQL&gt;&lt;FQL&gt;&lt;Q&gt;DAL-US^FF_ARPT_SERIES('RESEARCH AND DEVELOPMENT',ANN,-15,,B,"IS")&lt;/Q&gt;&lt;R&gt;0&lt;/R&gt;&lt;C&gt;0&lt;/C&gt;&lt;/FQL&gt;&lt;FQL&gt;&lt;Q&gt;DAL-US^FF_ARPT_SERIES('RESEARCH AND DEVELOPMENT',ANN,-16,,B,"IS")&lt;/Q&gt;&lt;R&gt;0&lt;/R&gt;&lt;C&gt;0&lt;/C&gt;&lt;/FQL&gt;&lt;FQL&gt;&lt;Q&gt;DAL-US^FF_ARPT_SERIES('RESEARCH AND DEVELOPMENT',ANN,-17,,B,"IS")&lt;/Q&gt;&lt;R&gt;0&lt;/R&gt;&lt;C&gt;0&lt;/C&gt;&lt;/FQL&gt;&lt;FQL&gt;&lt;Q&gt;DAL-US^FF_ARPT_SERIES('RESEARCH AND DEVELOPMENT',ANN,-18,,B,"IS")&lt;/Q&gt;&lt;R&gt;0&lt;/R&gt;&lt;C&gt;0&lt;/C&gt;&lt;/FQL&gt;&lt;FQL&gt;&lt;Q&gt;DAL-US^FF_ARPT_SERIES('RESEARCH AND DEVELOPMENT',ANN,-117,,B,"IS")&lt;/Q&gt;&lt;R&gt;0&lt;/R&gt;&lt;C&gt;0&lt;/C&gt;&lt;/FQL&gt;&lt;FQL&gt;&lt;Q&gt;DAL-US^FF_ARPT_SERIES('RESEARCH AND DEVELOPMENT',ANN,-19,,B,"IS")&lt;/Q&gt;&lt;R&gt;0&lt;/R&gt;&lt;C&gt;0&lt;/C&gt;&lt;/FQL&gt;&lt;FQL&gt;&lt;Q&gt;DAL-US^FF_INC_TAX(ANN_R,0,,,,,B)&lt;/Q&gt;&lt;R&gt;1&lt;/R&gt;&lt;C&gt;1&lt;/C&gt;&lt;D xsi:type="xsd:double"&gt;-3.202&lt;/D&gt;&lt;/FQL&gt;&lt;FQL&gt;&lt;Q&gt;DAL-US^FF_EBIT_OPER(ANN_R,0,,,,,B)&lt;/Q&gt;&lt;R&gt;1&lt;/R&gt;&lt;C&gt;1&lt;/C&gt;&lt;D xsi:type="xsd:double"&gt;-8.281&lt;/D&gt;&lt;/FQL&gt;&lt;FQL&gt;&lt;Q&gt;AC-CA^FF_INC_TAX(ANN_R,0,,,,,B)&lt;/Q&gt;&lt;R&gt;1&lt;/R&gt;&lt;C&gt;1&lt;/C&gt;&lt;D xsi:type="xsd:double"&gt;-0.206&lt;/D&gt;&lt;/FQL&gt;&lt;FQL&gt;&lt;Q&gt;AAL-US^FF_INC_TAX(ANN_R,0,,,,,B)&lt;/Q&gt;&lt;R&gt;1&lt;/R&gt;&lt;C&gt;1&lt;/C&gt;&lt;D xsi:type="xsd:double"&gt;-2.568&lt;/D&gt;&lt;/FQL&gt;&lt;FQL&gt;&lt;Q&gt;LUV-US^FF_INC_TAX(ANN_R,0,,,,,B)&lt;/Q&gt;&lt;R&gt;1&lt;/R&gt;&lt;C&gt;1&lt;/C&gt;&lt;D xsi:type="xsd:double"&gt;-1.182&lt;/D&gt;&lt;/FQL&gt;&lt;FQL&gt;&lt;Q&gt;ALK-US^FF_INC_TAX(ANN_R,0,,,,,B)&lt;/Q&gt;&lt;R&gt;1&lt;/R&gt;&lt;C&gt;1&lt;/C&gt;&lt;D xsi:type="xsd:double"&gt;-0.516&lt;/D&gt;&lt;/FQL&gt;&lt;FQL&gt;&lt;Q&gt;AC-CA^FF_EBIT_OPER(ANN_R,0,,,,,B)&lt;/Q&gt;&lt;R&gt;1&lt;/R&gt;&lt;C&gt;1&lt;/C&gt;&lt;D xsi:type="xsd:double"&gt;-3.892&lt;/D&gt;&lt;/FQL&gt;&lt;FQL&gt;&lt;Q&gt;AAL-US^FF_EBIT_OPER(ANN_R,0,,,,,B)&lt;/Q&gt;&lt;R&gt;1&lt;/R&gt;&lt;C&gt;1&lt;/C&gt;&lt;D xsi:type="xsd:double"&gt;-11.387&lt;/D&gt;&lt;/FQL&gt;&lt;FQL&gt;&lt;Q&gt;LUV-US^FF_EBIT_OPER(ANN_R,0,,,,,B)&lt;/Q&gt;&lt;R&gt;1&lt;/R&gt;&lt;C&gt;1&lt;/C&gt;&lt;D xsi:type="xsd:double"&gt;-4.713&lt;/D&gt;&lt;/FQL&gt;&lt;FQL&gt;&lt;Q&gt;ALK-US^FF_EBIT_OPER(ANN_R,0,,,,,B)&lt;/Q&gt;&lt;R&gt;1&lt;/R&gt;&lt;C&gt;1&lt;/C&gt;&lt;D xsi:type="xsd:double"&gt;-1.691&lt;/D&gt;&lt;/FQL&gt;&lt;FQL&gt;&lt;Q&gt;DAL-US^CE_NAME()&lt;/Q&gt;&lt;R&gt;1&lt;/R&gt;&lt;C&gt;1&lt;/C&gt;&lt;D xsi:type="xsd:string"&gt;Delta Air Lines, Inc.&lt;/D&gt;&lt;/FQL&gt;&lt;FQL&gt;&lt;Q&gt;DAL-US^CE_TICKER_HEADER()&lt;/Q&gt;&lt;R&gt;1&lt;/R&gt;&lt;C&gt;1&lt;/C&gt;&lt;D xsi:type="xsd:string"&gt;DAL   247361702   B1W9D46   NYSE    Common stock    &lt;/D&gt;&lt;/FQL&gt;&lt;FQL&gt;&lt;Q&gt;DAL-US^FF_FP_END_DATE('LTM','0','0',,RP)&lt;/Q&gt;&lt;R&gt;1&lt;/R&gt;&lt;C&gt;1&lt;/C&gt;&lt;D xsi:type="xsd:string"&gt;09/2021&lt;/D&gt;&lt;/FQL&gt;&lt;FQL&gt;&lt;Q&gt;DAL-US^FF_FP_END_DATE('ANN','0','-9',,RP)&lt;/Q&gt;&lt;R&gt;10&lt;/R&gt;&lt;C&gt;1&lt;/C&gt;&lt;D xsi:type="xsd:string"&gt;12/2020&lt;/D&gt;&lt;D xsi:type="xsd:string"&gt;12/2019&lt;/D&gt;&lt;D xsi:type="xsd:string"&gt;12/2018&lt;/D&gt;&lt;D xsi:type="xsd:string"&gt;12/2017&lt;/D&gt;&lt;D xsi:type="xsd:string"&gt;12/2016&lt;/D&gt;&lt;D xsi:type="xsd:string"&gt;12/2015&lt;/D&gt;&lt;D xsi:type="xsd:string"&gt;12/2014&lt;/D&gt;&lt;D xsi:type="xsd:string"&gt;12/2013&lt;/D&gt;&lt;D xsi:type="xsd:string"&gt;12/2012&lt;/D&gt;&lt;D xsi:type="xsd:string"&gt;12/2011&lt;/D&gt;&lt;/FQL&gt;&lt;FQL&gt;&lt;Q&gt;DAL-US^INT_ARRAY(FF_FY_LENGTH_DAYS('ANN','0','-9'))+" DAYS"&lt;/Q&gt;&lt;R&gt;10&lt;/R&gt;&lt;C&gt;1&lt;/C&gt;&lt;D xsi:type="xsd:string"&gt;366 DAYS&lt;/D&gt;&lt;D xsi:type="xsd:string"&gt;365 DAYS&lt;/D&gt;&lt;D xsi:type="xsd:string"&gt;365 DAYS&lt;/D&gt;&lt;D xsi:type="xsd:string"&gt;365 DAYS&lt;/D&gt;&lt;D xsi:type="xsd:string"&gt;366 DAYS&lt;/D&gt;&lt;D xsi:type="xsd:string"&gt;365 DAYS&lt;/D&gt;&lt;D xsi:type="xsd:string"&gt;365 DAYS&lt;/D&gt;&lt;D xsi:type="xsd:string"&gt;365 DAYS&lt;/D&gt;&lt;D xsi:type="xsd:string"&gt;366 DAYS&lt;/D&gt;&lt;D xsi:type="xsd:string"&gt;365 DAYS&lt;/D&gt;&lt;/FQL&gt;&lt;FQL&gt;&lt;Q&gt;DAL-US^FF_NET_INC_CF('LTM','0','0','QUARTERLY',RP,'LOCAL','B')&lt;/Q&gt;&lt;R&gt;0&lt;/R&gt;&lt;C&gt;0&lt;/C&gt;&lt;/FQL&gt;&lt;FQL&gt;&lt;Q&gt;DAL-US^FF_NET_INC_CF('ANN','0','-9','YEARLY',RP,'LOCAL','B')&lt;/Q&gt;&lt;R&gt;10&lt;/R&gt;&lt;C&gt;1&lt;/C&gt;&lt;D xsi:type="xsd:double"&gt;-12.385&lt;/D&gt;&lt;D xsi:type="xsd:double"&gt;4.767&lt;/D&gt;&lt;D xsi:type="xsd:double"&gt;3.935&lt;/D&gt;&lt;D xsi:type="xsd:double"&gt;3.577&lt;/D&gt;&lt;D xsi:type="xsd:double"&gt;4.373&lt;/D&gt;&lt;D xsi:type="xsd:double"&gt;4.526&lt;/D&gt;&lt;D xsi:type="xsd:double"&gt;0.659&lt;/D&gt;&lt;D xsi:type="xsd:double"&gt;10.54&lt;/D&gt;&lt;D xsi:type="xsd:double"&gt;1.009&lt;/D&gt;&lt;D xsi:type="xsd:double"&gt;0.854&lt;/D&gt;&lt;/FQL&gt;&lt;FQL&gt;&lt;Q&gt;DAL-US^FF_DEP_EXP_CF('LTM','0','0','QUARTERLY',RP,'LOCAL','B')&lt;/Q&gt;&lt;R&gt;0&lt;/R&gt;&lt;C&gt;0&lt;/C&gt;&lt;/FQL&gt;&lt;FQL&gt;&lt;Q&gt;DAL-US^FF_DEP_EXP_CF('ANN','0','-9','YEARLY',RP,'LOCAL','B')&lt;/Q&gt;&lt;R&gt;10&lt;/R&gt;&lt;C&gt;1&lt;/C&gt;&lt;D xsi:type="xsd:double"&gt;2.312&lt;/D&gt;&lt;D xsi:type="xsd:double"&gt;2.581&lt;/D&gt;&lt;D xsi:type="xsd:double"&gt;2.329&lt;/D&gt;&lt;D xsi:type="xsd:double"&gt;2.235&lt;/D&gt;&lt;D xsi:type="xsd:double"&gt;1.902&lt;/D&gt;&lt;D xsi:type="xsd:double"&gt;1.835&lt;/D&gt;&lt;D xsi:type="xsd:double"&gt;1.771&lt;/D&gt;&lt;D xsi:type="xsd:double"&gt;1.658&lt;/D&gt;&lt;D xsi:type="xsd:double"&gt;1.565&lt;/D&gt;&lt;D xsi:type="xsd:double"&gt;1.523&lt;/D&gt;&lt;/FQL&gt;&lt;FQL&gt;&lt;Q&gt;DAL-US^FF_DFD_TAX_CF('LTM','0','0','QUARTERLY',RP,'LOCAL','B')&lt;/Q&gt;&lt;R&gt;1&lt;/R&gt;&lt;C&gt;1&lt;/C&gt;&lt;D xsi:type="xsd:double"&gt;-3.11&lt;/D&gt;&lt;/FQL&gt;&lt;FQL&gt;&lt;Q&gt;DAL-US^FF_DFD_TAX_CF('ANN','0','-9','YEARLY',RP,'LOCAL','B')&lt;/Q&gt;&lt;R&gt;10&lt;/R&gt;&lt;C&gt;1&lt;/C&gt;&lt;D xsi:type="xsd:double"&gt;-3.11&lt;/D&gt;&lt;D xsi:type="xsd:double"&gt;1.473&lt;/D&gt;&lt;D xsi:type="xsd:double"&gt;1.364&lt;/D&gt;&lt;D xsi:type="xsd:double"&gt;2.071&lt;/D&gt;&lt;D xsi:type="xsd:double"&gt;2.223&lt;/D&gt;&lt;D xsi:type="xsd:double"&gt;2.581&lt;/D&gt;&lt;D xsi:type="xsd:double"&gt;0.414&lt;/D&gt;&lt;D xsi:type="xsd:double"&gt;-7.991&lt;/D&gt;&lt;D xsi:type="xsd:double"&gt;0.017&lt;/D&gt;&lt;D xsi:type="xsd:double"&gt;-0.002&lt;/D&gt;&lt;/FQL&gt;&lt;FQL&gt;&lt;Q&gt;DAL-US^FF_NON_CASH('LTM','0','0','QUARTERLY',RP,'LOCAL','B')&lt;/Q&gt;&lt;R&gt;0&lt;/R&gt;&lt;C&gt;0&lt;/C&gt;&lt;/FQL&gt;&lt;FQL&gt;&lt;Q&gt;DAL-US^FF_NON_CASH('ANN','0','-9','YEARLY',RP,'LOCAL','B')&lt;/Q&gt;&lt;R&gt;10&lt;/R&gt;&lt;C&gt;1&lt;/C&gt;&lt;D xsi:type="xsd:double"&gt;7.441&lt;/D&gt;&lt;D xsi:type="xsd:double"&gt;-0.922&lt;/D&gt;&lt;D xsi:type="xsd:double"&gt;-0.79&lt;/D&gt;&lt;D xsi:type="xsd:double"&gt;-3.31&lt;/D&gt;&lt;D xsi:type="xsd:double"&gt;-1.219&lt;/D&gt;&lt;D xsi:type="xsd:double"&gt;-2.357&lt;/D&gt;&lt;D xsi:type="xsd:double"&gt;2.654&lt;/D&gt;&lt;D xsi:type="xsd:double"&gt;-0.447&lt;/D&gt;&lt;D xsi:type="xsd:double"&gt;-0.263&lt;/D&gt;&lt;D xsi:type="xsd:double"&gt;0.302&lt;/D&gt;&lt;/FQL&gt;&lt;FQL&gt;&lt;Q&gt;DAL-US^FF_FUNDS_OPER_GROSS('LTM','0','0','QUARTERLY',RP,'LOCAL','B')&lt;/Q&gt;&lt;R&gt;0&lt;/R&gt;&lt;C&gt;0&lt;/C&gt;&lt;/FQL&gt;&lt;FQL&gt;&lt;Q&gt;DAL-US^FF_FUNDS_OPER_GROSS('ANN','0','-9','YEARLY',RP,'LOCAL','B')&lt;/Q&gt;&lt;R&gt;10&lt;/R&gt;&lt;C&gt;1&lt;/C&gt;&lt;D xsi:type="xsd:double"&gt;-5.742&lt;/D&gt;&lt;D xsi:type="xsd:double"&gt;7.899&lt;/D&gt;&lt;D xsi:type="xsd:double"&gt;6.838&lt;/D&gt;&lt;D xsi:type="xsd:double"&gt;4.573&lt;/D&gt;&lt;D xsi:type="xsd:double"&gt;7.279&lt;/D&gt;&lt;D xsi:type="xsd:double"&gt;6.585&lt;/D&gt;&lt;D xsi:type="xsd:double"&gt;5.498&lt;/D&gt;&lt;D xsi:type="xsd:double"&gt;3.76&lt;/D&gt;&lt;D xsi:type="xsd:double"&gt;2.328&lt;/D&gt;&lt;D xsi:type="xsd:double"&gt;2.677&lt;/D&gt;&lt;/FQL&gt;&lt;FQL&gt;&lt;Q&gt;DAL-US^FF_WKCAP_CHG('LTM','0','0','QUARTERLY',RP,'LOCAL','B')&lt;/Q&gt;&lt;R&gt;0&lt;/R&gt;&lt;C&gt;0&lt;/C&gt;&lt;/FQL&gt;&lt;FQL&gt;&lt;Q&gt;DAL-US^FF_WKCAP_CHG('ANN','0','-9','YEARLY',RP,'LOCAL','B')&lt;/Q&gt;&lt;R&gt;10&lt;/R&gt;&lt;C&gt;1&lt;/C&gt;&lt;D xsi:type="xsd:double"&gt;1.949&lt;/D&gt;&lt;D xsi:type="xsd:double"&gt;0.526&lt;/D&gt;&lt;D xsi:type="xsd:double"&gt;0.176&lt;/D&gt;&lt;D xsi:type="xsd:double"&gt;0.575&lt;/D&gt;&lt;D xsi:type="xsd:double"&gt;-0.063&lt;/D&gt;&lt;D xsi:type="xsd:double"&gt;1.335&lt;/D&gt;&lt;D xsi:type="xsd:double"&gt;-0.613&lt;/D&gt;&lt;D xsi:type="xsd:double"&gt;0.513&lt;/D&gt;&lt;D xsi:type="xsd:double"&gt;0.148&lt;/D&gt;&lt;D xsi:type="xsd:double"&gt;0.157&lt;/D&gt;&lt;/FQL&gt;&lt;FQL&gt;&lt;Q&gt;DAL-US^FF_OPER_CF('LTM','0','0','QUARTERLY',RP,'LOCAL','B')&lt;/Q&gt;&lt;R&gt;1&lt;/R&gt;&lt;C&gt;1&lt;/C&gt;&lt;D xsi:type="xsd:double"&gt;1.422&lt;/D&gt;&lt;/FQL&gt;&lt;FQL&gt;&lt;Q&gt;DAL-US^FF_OPER_CF('ANN','0','-9','YEARLY',RP,'LOCAL','B')&lt;/Q&gt;&lt;R&gt;10&lt;/R&gt;&lt;C&gt;1&lt;/C&gt;&lt;D xsi:type="xsd:double"&gt;-3.793&lt;/D&gt;&lt;D xsi:type="xsd:double"&gt;8.425&lt;/D&gt;&lt;D xsi:type="xsd:double"&gt;7.014&lt;/D&gt;&lt;D xsi:type="xsd:double"&gt;5.148&lt;/D&gt;&lt;D xsi:type="xsd:double"&gt;7.216&lt;/D&gt;&lt;D xsi:type="xsd:double"&gt;7.92&lt;/D&gt;&lt;D xsi:type="xsd:double"&gt;4.885&lt;/D&gt;&lt;D xsi:type="xsd:double"&gt;4.273&lt;/D&gt;&lt;D xsi:type="xsd:double"&gt;2.476&lt;/D&gt;&lt;D xsi:type="xsd:double"&gt;2.834&lt;/D&gt;&lt;/FQL&gt;&lt;FQL&gt;&lt;Q&gt;DAL-US^-1.000000 * FF_CAPEX('LTM','0','0','QUARTERLY',RP,'LOCAL','B')&lt;/Q&gt;&lt;R&gt;1&lt;/R&gt;&lt;C&gt;1&lt;/C&gt;&lt;D xsi:type="xsd:double"&gt;-2.577&lt;/D&gt;&lt;/FQL&gt;&lt;FQL&gt;&lt;Q&gt;DAL-US^-1.000000 * FF_CAPEX('ANN','0','-9','YEARLY',RP,'LOCAL','B')&lt;/Q&gt;&lt;R&gt;10&lt;/R&gt;&lt;C&gt;1&lt;/C&gt;&lt;D xsi:type="xsd:double"&gt;-1.899&lt;/D&gt;&lt;D xsi:type="xsd:double"&gt;-4.936&lt;/D&gt;&lt;D xsi:type="xsd:double"&gt;-5.168&lt;/D&gt;&lt;D xsi:type="xsd:double"&gt;-3.891&lt;/D&gt;&lt;D xsi:type="xsd:double"&gt;-3.391&lt;/D&gt;&lt;D xsi:type="xsd:double"&gt;-2.945&lt;/D&gt;&lt;D xsi:type="xsd:double"&gt;-2.249&lt;/D&gt;&lt;D xsi:type="xsd:double"&gt;-2.568&lt;/D&gt;&lt;D xsi:type="xsd:double"&gt;-1.968&lt;/D&gt;&lt;D xsi:type="xsd:double"&gt;-1.254&lt;/D&gt;&lt;/FQL&gt;&lt;FQL&gt;&lt;Q&gt;DAL-US^-FF_ACQ_BUS_CF('LTM','0','0','QUARTERLY',RP,'LOCAL','B')&lt;/Q&gt;&lt;R&gt;1&lt;/R&gt;&lt;C&gt;1&lt;/C&gt;&lt;D xsi:type="xsd:double"&gt;0&lt;/D&gt;&lt;/FQL&gt;&lt;FQL&gt;&lt;Q&gt;DAL-US^-FF_ACQ_BUS_CF('ANN','0','-9','YEARLY',RP,'LOCAL','B')&lt;/Q&gt;&lt;R&gt;10&lt;/R&gt;&lt;C&gt;1&lt;/C&gt;&lt;D xsi:type="xsd:double"&gt;0&lt;/D&gt;&lt;D xsi:type="xsd:double"&gt;0&lt;/D&gt;&lt;D xsi:type="xsd:double"&gt;0&lt;/D&gt;&lt;D xsi:type="xsd:double"&gt;0&lt;/D&gt;&lt;D xsi:type="xsd:double"&gt;0&lt;/D&gt;&lt;D xsi:type="xsd:double"&gt;-0.276&lt;/D&gt;&lt;D xsi:type="xsd:double"&gt;0&lt;/D&gt;&lt;D xsi:type="xsd:double"&gt;0&lt;/D&gt;&lt;D xsi:type="xsd:double"&gt;0&lt;/D&gt;&lt;D xsi:type="xsd:double"&gt;0&lt;/D&gt;&lt;/FQL&gt;&lt;FQL&gt;&lt;Q&gt;DAL-US^FF_INVEST_PURCH_SALE_CF('LTM','0','0','QUARTERLY',RP,'LOCAL','B')&lt;/Q&gt;&lt;R&gt;1&lt;/R&gt;&lt;C&gt;1&lt;/C&gt;&lt;D xsi:type="xsd:double"&gt;0.613000000000001&lt;/D&gt;&lt;/FQL&gt;&lt;FQL&gt;&lt;Q&gt;DAL-US^FF_INVEST_PURCH_SALE_CF('ANN','0','-9','YEARLY',RP,'LOCAL','B')&lt;/Q&gt;&lt;R&gt;10&lt;/R&gt;&lt;C&gt;1&lt;/C&gt;&lt;D xsi:type="xsd:double"&gt;-7.891&lt;/D&gt;&lt;D xsi:type="xsd:double"&gt;0.315&lt;/D&gt;&lt;D xsi:type="xsd:double"&gt;0.621&lt;/D&gt;&lt;D xsi:type="xsd:double"&gt;-1.586&lt;/D&gt;&lt;D xsi:type="xsd:double"&gt;0.979&lt;/D&gt;&lt;D xsi:type="xsd:double"&gt;-0.759&lt;/D&gt;&lt;D xsi:type="xsd:double"&gt;-0.262&lt;/D&gt;&lt;D xsi:type="xsd:double"&gt;-0.202&lt;/D&gt;&lt;D xsi:type="xsd:double"&gt;0.0610000000000001&lt;/D&gt;&lt;D xsi:type="xsd:double"&gt;-0.234&lt;/D&gt;&lt;/FQL&gt;&lt;FQL&gt;&lt;Q&gt;DAL-US^SUMAV(FF_INVEST_USES_CF('LTM','0','0','QUARTERLY',RP,'LOCAL','B'),FF_INVEST_SOURCES_CF('LTM','0','0','QUARTERLY',RP,'LOCAL','B'))&lt;/Q&gt;&lt;R&gt;1&lt;/R&gt;&lt;C&gt;1&lt;/C&gt;&lt;D xsi:type="xsd:double"&gt;0.498&lt;/D&gt;&lt;/FQL&gt;&lt;FQL&gt;&lt;Q&gt;DAL-US^SUMAV(FF_INVEST_USES_CF('ANN','0','-9','YEARLY',RP,'LOCAL','B'),FF_INVEST_SOURCES_CF('ANN','0','-9','YEARLY',RP,'LOCAL','B'))&lt;/Q&gt;&lt;R&gt;10&lt;/R&gt;&lt;C&gt;1&lt;/C&gt;&lt;D xsi:type="xsd:double"&gt;0.087&lt;/D&gt;&lt;D xsi:type="xsd:double"&gt;0.058&lt;/D&gt;&lt;D xsi:type="xsd:double"&gt;0.154&lt;/D&gt;&lt;D xsi:type="xsd:double"&gt;0.111&lt;/D&gt;&lt;D xsi:type="xsd:double"&gt;0.031&lt;/D&gt;&lt;D xsi:type="xsd:double"&gt;0.025&lt;/D&gt;&lt;D xsi:type="xsd:double"&gt;0.048&lt;/D&gt;&lt;D xsi:type="xsd:double"&gt;0.014&lt;/D&gt;&lt;D xsi:type="xsd:double"&gt;-0.055&lt;/D&gt;&lt;D xsi:type="xsd:double"&gt;-0.01&lt;/D&gt;&lt;/FQL&gt;&lt;FQL&gt;&lt;Q&gt;DAL-US^FF_INVEST_CF('LTM','0','0','QUARTERLY',RP,'LOCAL','B')&lt;/Q&gt;&lt;R&gt;1&lt;/R&gt;&lt;C&gt;1&lt;/C&gt;&lt;D xsi:type="xsd:double"&gt;-1.466&lt;/D&gt;&lt;/FQL&gt;&lt;FQL&gt;&lt;Q&gt;DAL-US^FF_INVEST_CF('ANN','0','-9','YEARLY',RP,'LOCAL','B')&lt;/Q&gt;&lt;R&gt;10&lt;/R&gt;&lt;C&gt;1&lt;/C&gt;&lt;D xsi:type="xsd:double"&gt;-9.238&lt;/D&gt;&lt;D xsi:type="xsd:double"&gt;-4.563&lt;/D&gt;&lt;D xsi:type="xsd:double"&gt;-4.393&lt;/D&gt;&lt;D xsi:type="xsd:double"&gt;-5.366&lt;/D&gt;&lt;D xsi:type="xsd:double"&gt;-2.155&lt;/D&gt;&lt;D xsi:type="xsd:double"&gt;-3.955&lt;/D&gt;&lt;D xsi:type="xsd:double"&gt;-2.463&lt;/D&gt;&lt;D xsi:type="xsd:double"&gt;-2.756&lt;/D&gt;&lt;D xsi:type="xsd:double"&gt;-1.962&lt;/D&gt;&lt;D xsi:type="xsd:double"&gt;-1.498&lt;/D&gt;&lt;/FQL&gt;&lt;FQL&gt;&lt;Q&gt;DAL-US^-FF_DIV_CF('LTM','0','0','QUARTERLY',RP,'LOCAL','B')&lt;/Q&gt;&lt;R&gt;1&lt;/R&gt;&lt;C&gt;1&lt;/C&gt;&lt;D xsi:type="xsd:double"&gt;0&lt;/D&gt;&lt;/FQL&gt;&lt;FQL&gt;&lt;Q&gt;DAL-US^-FF_DIV_CF('ANN','0','-9','YEARLY',RP,'LOCAL','B')&lt;/Q&gt;&lt;R&gt;10&lt;/R&gt;&lt;C&gt;1&lt;/C&gt;&lt;D xsi:type="xsd:double"&gt;-0.26&lt;/D&gt;&lt;D xsi:type="xsd:double"&gt;-0.98&lt;/D&gt;&lt;D xsi:type="xsd:double"&gt;-0.909&lt;/D&gt;&lt;D xsi:type="xsd:double"&gt;-0.731&lt;/D&gt;&lt;D xsi:type="xsd:double"&gt;-0.509&lt;/D&gt;&lt;D xsi:type="xsd:double"&gt;-0.359&lt;/D&gt;&lt;D xsi:type="xsd:double"&gt;-0.251&lt;/D&gt;&lt;D xsi:type="xsd:double"&gt;-0.102&lt;/D&gt;&lt;D xsi:type="xsd:double"&gt;0&lt;/D&gt;&lt;D xsi:type="xsd:double"&gt;0&lt;/D&gt;&lt;/FQL&gt;&lt;FQL&gt;&lt;Q&gt;DAL-US^FF_STK_CHG_CF('LTM','0','0','QUARTERLY',RP,'LOCAL','B')&lt;/Q&gt;&lt;R&gt;1&lt;/R&gt;&lt;C&gt;1&lt;/C&gt;&lt;D xsi:type="xsd:double"&gt;0&lt;/D&gt;&lt;/FQL&gt;&lt;FQL&gt;&lt;Q&gt;DAL-US^FF_STK_CHG_CF('ANN','0','-9','YEARLY',RP,'LOCAL','B')&lt;/Q&gt;&lt;R&gt;10&lt;/R&gt;&lt;C&gt;1&lt;/C&gt;&lt;D xsi:type="xsd:double"&gt;-0.344&lt;/D&gt;&lt;D xsi:type="xsd:double"&gt;-2.027&lt;/D&gt;&lt;D xsi:type="xsd:double"&gt;-1.575&lt;/D&gt;&lt;D xsi:type="xsd:double"&gt;-1.677&lt;/D&gt;&lt;D xsi:type="xsd:double"&gt;-2.601&lt;/D&gt;&lt;D xsi:type="xsd:double"&gt;-2.2&lt;/D&gt;&lt;D xsi:type="xsd:double"&gt;-1.1&lt;/D&gt;&lt;D xsi:type="xsd:double"&gt;-0.25&lt;/D&gt;&lt;D xsi:type="xsd:double"&gt;0&lt;/D&gt;&lt;D xsi:type="xsd:double"&gt;0&lt;/D&gt;&lt;/FQL&gt;&lt;FQL&gt;&lt;Q&gt;DAL-US^FF_DEBT_CF('LTM','0','0','QUARTERLY',RP,'LOCAL','B')&lt;/Q&gt;&lt;R&gt;1&lt;/R&gt;&lt;C&gt;1&lt;/C&gt;&lt;D xsi:type="xsd:double"&gt;-8.715&lt;/D&gt;&lt;/FQL&gt;&lt;FQL&gt;&lt;Q&gt;DAL-US^FF_DEBT_CF('ANN','0','-9','YEARLY',RP,'LOCAL','B')&lt;/Q&gt;&lt;R&gt;10&lt;/R&gt;&lt;C&gt;1&lt;/C&gt;&lt;D xsi:type="xsd:double"&gt;19.798&lt;/D&gt;&lt;D xsi:type="xsd:double"&gt;0.487&lt;/D&gt;&lt;D xsi:type="xsd:double"&gt;0.693&lt;/D&gt;&lt;D xsi:type="xsd:double"&gt;1.196&lt;/D&gt;&lt;D xsi:type="xsd:double"&gt;-1.259&lt;/D&gt;&lt;D xsi:type="xsd:double"&gt;-1.52&lt;/D&gt;&lt;D xsi:type="xsd:double"&gt;-1.908&lt;/D&gt;&lt;D xsi:type="xsd:double"&gt;-1.193&lt;/D&gt;&lt;D xsi:type="xsd:double"&gt;-0.94&lt;/D&gt;&lt;D xsi:type="xsd:double"&gt;-1.777&lt;/D&gt;&lt;/FQL&gt;&lt;FQL&gt;&lt;Q&gt;DAL-US^FF_FIN_ACTIV_OTH_CF('LTM','0','0','QUARTERLY',RP,'LOCAL','B')&lt;/Q&gt;&lt;R&gt;1&lt;/R&gt;&lt;C&gt;1&lt;/C&gt;&lt;D xsi:type="xsd:double"&gt;0.073&lt;/D&gt;&lt;/FQL&gt;&lt;FQL&gt;&lt;Q&gt;DAL-US^FF_FIN_ACTIV_OTH_CF('ANN','0','-9','YEARLY',RP,'LOCAL','B')&lt;/Q&gt;&lt;R&gt;10&lt;/R&gt;&lt;C&gt;1&lt;/C&gt;&lt;D xsi:type="xsd:double"&gt;0.162&lt;/D&gt;&lt;D xsi:type="xsd:double"&gt;-0.36&lt;/D&gt;&lt;D xsi:type="xsd:double"&gt;0.065&lt;/D&gt;&lt;D xsi:type="xsd:double"&gt;0.482&lt;/D&gt;&lt;D xsi:type="xsd:double"&gt;0.109&lt;/D&gt;&lt;D xsi:type="xsd:double"&gt;-0.009&lt;/D&gt;&lt;D xsi:type="xsd:double"&gt;0.019&lt;/D&gt;&lt;D xsi:type="xsd:double"&gt;0.225&lt;/D&gt;&lt;D xsi:type="xsd:double"&gt;0.185&lt;/D&gt;&lt;D xsi:type="xsd:double"&gt;0.206&lt;/D&gt;&lt;/FQL&gt;&lt;FQL&gt;&lt;Q&gt;DAL-US^FF_FIN_CF('LTM','0','0','QUARTERLY',RP,'LOCAL','B')&lt;/Q&gt;&lt;R&gt;1&lt;/R&gt;&lt;C&gt;1&lt;/C&gt;&lt;D xsi:type="xsd:double"&gt;-8.642&lt;/D&gt;&lt;/FQL&gt;&lt;FQL&gt;&lt;Q&gt;DAL-US^FF_FIN_CF('ANN','0','-9','YEARLY',RP,'LOCAL','B')&lt;/Q&gt;&lt;R&gt;10&lt;/R&gt;&lt;C&gt;1&lt;/C&gt;&lt;D xsi:type="xsd:double"&gt;19.356&lt;/D&gt;&lt;D xsi:type="xsd:double"&gt;-2.88&lt;/D&gt;&lt;D xsi:type="xsd:double"&gt;-1.726&lt;/D&gt;&lt;D xsi:type="xsd:double"&gt;-0.73&lt;/D&gt;&lt;D xsi:type="xsd:double"&gt;-4.26&lt;/D&gt;&lt;D xsi:type="xsd:double"&gt;-4.088&lt;/D&gt;&lt;D xsi:type="xsd:double"&gt;-3.24&lt;/D&gt;&lt;D xsi:type="xsd:double"&gt;-1.32&lt;/D&gt;&lt;D xsi:type="xsd:double"&gt;-0.755&lt;/D&gt;&lt;D xsi:type="xsd:double"&gt;-1.571&lt;/D&gt;&lt;/FQL&gt;&lt;FQL&gt;&lt;Q&gt;DAL-US^FF_CHG_CASH_CF('LTM','0','0','QUARTERLY',RP,'LOCAL','B')&lt;/Q&gt;&lt;R&gt;1&lt;/R&gt;&lt;C&gt;1&lt;/C&gt;&lt;D xsi:type="xsd:double"&gt;-8.686&lt;/D&gt;&lt;/FQL&gt;&lt;FQL&gt;&lt;Q&gt;DAL-US^FF_CHG_CASH_CF('ANN','0','-9','YEARLY',RP,'LOCAL','B')&lt;/Q&gt;&lt;R&gt;10&lt;/R&gt;&lt;C&gt;1&lt;/C&gt;&lt;D xsi:type="xsd:double"&gt;6.325&lt;/D&gt;&lt;D xsi:type="xsd:double"&gt;0.982&lt;/D&gt;&lt;D xsi:type="xsd:double"&gt;0.895&lt;/D&gt;&lt;D xsi:type="xsd:double"&gt;-0.948&lt;/D&gt;&lt;D xsi:type="xsd:double"&gt;0.801&lt;/D&gt;&lt;D xsi:type="xsd:double"&gt;-0.123&lt;/D&gt;&lt;D xsi:type="xsd:double"&gt;-0.818&lt;/D&gt;&lt;D xsi:type="xsd:double"&gt;0.197&lt;/D&gt;&lt;D xsi:type="xsd:double"&gt;-0.241&lt;/D&gt;&lt;D xsi:type="xsd:double"&gt;-0.235&lt;/D&gt;&lt;/FQL&gt;&lt;FQL&gt;&lt;Q&gt;DAL-US^FF_FREE_CF('LTM' + '_FCFE','0','0','QUARTERLY',RP,'LOCAL','B')&lt;/Q&gt;&lt;R&gt;1&lt;/R&gt;&lt;C&gt;1&lt;/C&gt;&lt;D xsi:type="xsd:double"&gt;-1.155&lt;/D&gt;&lt;/FQL&gt;&lt;FQL&gt;&lt;Q&gt;DAL-US^FF_FREE_CF('ANN' + '_FCFE','0','-9','YEARLY',RP,'LOCAL','B')&lt;/Q&gt;&lt;R&gt;10&lt;/R&gt;&lt;C&gt;1&lt;/C&gt;&lt;D xsi:type="xsd:double"&gt;-5.692&lt;/D&gt;&lt;D xsi:type="xsd:double"&gt;3.489&lt;/D&gt;&lt;D xsi:type="xsd:double"&gt;1.846&lt;/D&gt;&lt;D xsi:type="xsd:double"&gt;1.257&lt;/D&gt;&lt;D xsi:type="xsd:double"&gt;3.825&lt;/D&gt;&lt;D xsi:type="xsd:double"&gt;4.975&lt;/D&gt;&lt;D xsi:type="xsd:double"&gt;2.636&lt;/D&gt;&lt;D xsi:type="xsd:double"&gt;1.705&lt;/D&gt;&lt;D xsi:type="xsd:double"&gt;0.508&lt;/D&gt;&lt;D xsi:type="xsd:double"&gt;1.58&lt;/D&gt;&lt;/FQL&gt;&lt;FQL&gt;&lt;Q&gt;DAL-US^FF_FREE_PS_CF('LTM' + '_FCFE','0','0','QUARTERLY',RP,'LOCAL','B')&lt;/Q&gt;&lt;R&gt;1&lt;/R&gt;&lt;C&gt;1&lt;/C&gt;&lt;D xsi:type="xsd:double"&gt;-1.801872074883&lt;/D&gt;&lt;/FQL&gt;&lt;FQL&gt;&lt;Q&gt;DAL-US^FF_FREE_PS_CF('ANN' + '_FCFE','0','-9','YEARLY',RP,'LOCAL','B')&lt;/Q&gt;&lt;R&gt;10&lt;/R&gt;&lt;C&gt;1&lt;/C&gt;&lt;D xsi:type="xsd:double"&gt;-8.94968553459119&lt;/D&gt;&lt;D xsi:type="xsd:double"&gt;5.34303215926493&lt;/D&gt;&lt;D xsi:type="xsd:double"&gt;2.65994236311239&lt;/D&gt;&lt;D xsi:type="xsd:double"&gt;1.73858921161826&lt;/D&gt;&lt;D xsi:type="xsd:double"&gt;5.06622516556291&lt;/D&gt;&lt;D xsi:type="xsd:double"&gt;6.18781094527363&lt;/D&gt;&lt;D xsi:type="xsd:double"&gt;3.11952662721894&lt;/D&gt;&lt;D xsi:type="xsd:double"&gt;1.98717948717949&lt;/D&gt;&lt;D xsi:type="xsd:double"&gt;0.597647058823529&lt;/D&gt;&lt;D xsi:type="xsd:double"&gt;1.87203791469194&lt;/D&gt;&lt;/FQL&gt;&lt;FQL&gt;&lt;Q&gt;DAL-US^FF_FCF_YLD('LTM' + '_FCFE','0','0','QUARTERLY',RP)&lt;/Q&gt;&lt;R&gt;1&lt;/R&gt;&lt;C&gt;1&lt;/C&gt;&lt;D xsi:type="xsd:double"&gt;-4.22875398939919&lt;/D&gt;&lt;/FQL&gt;&lt;FQL&gt;&lt;Q&gt;DAL-US^FF_FCF_YLD('ANN' + '_FCFE','0','-9','YEARLY',RP)&lt;/Q&gt;&lt;R&gt;10&lt;/R&gt;&lt;C&gt;1&lt;/C&gt;&lt;D xsi:type="xsd:double"&gt;-22.2573626823954&lt;/D&gt;&lt;D xsi:type="xsd:double"&gt;9.13651190024783&lt;/D&gt;&lt;D xsi:type="xsd:double"&gt;5.3305458178605&lt;/D&gt;&lt;D xsi:type="xsd:double"&gt;3.10462359217546&lt;/D&gt;&lt;D xsi:type="xsd:double"&gt;10.2992989745129&lt;/D&gt;&lt;D xsi:type="xsd:double"&gt;12.2071630405872&lt;/D&gt;&lt;D xsi:type="xsd:double"&gt;6.34179025659471&lt;/D&gt;&lt;D xsi:type="xsd:double"&gt;7.23399886122857&lt;/D&gt;&lt;D xsi:type="xsd:double"&gt;5.03493731106596&lt;/D&gt;&lt;D xsi:type="xsd:double"&gt;23.1401472767855&lt;/D&gt;&lt;/FQL&gt;&lt;FQL&gt;&lt;Q&gt;DAL-US^FF_INT_CF('LTM','0','0','QUARTERLY',RP,'LOCAL','B')&lt;/Q&gt;&lt;R&gt;0&lt;/R&gt;&lt;C&gt;0&lt;/C&gt;&lt;/FQL&gt;&lt;FQL&gt;&lt;Q&gt;DAL-US^FF_INT_CF('ANN','0','-9','YEARLY',RP,'LOCAL','B')&lt;/Q&gt;&lt;R&gt;10&lt;/R&gt;&lt;C&gt;1&lt;/C&gt;&lt;D xsi:type="xsd:double"&gt;0.761&lt;/D&gt;&lt;D xsi:type="xsd:double"&gt;0.481&lt;/D&gt;&lt;D xsi:type="xsd:double"&gt;0.376&lt;/D&gt;&lt;D xsi:type="xsd:double"&gt;0.39&lt;/D&gt;&lt;D xsi:type="xsd:double"&gt;0.385&lt;/D&gt;&lt;D xsi:type="xsd:double"&gt;0.452&lt;/D&gt;&lt;D xsi:type="xsd:double"&gt;0.56&lt;/D&gt;&lt;D xsi:type="xsd:double"&gt;0.698&lt;/D&gt;&lt;D xsi:type="xsd:double"&gt;0.834&lt;/D&gt;&lt;D xsi:type="xsd:double"&gt;0.925&lt;/D&gt;&lt;/FQL&gt;&lt;FQL&gt;&lt;Q&gt;DAL-US^FF_TAX_CF('LTM','0','0','QUARTERLY',RP,'LOCAL','B')&lt;/Q&gt;&lt;R&gt;0&lt;/R&gt;&lt;C&gt;0&lt;/C&gt;&lt;/FQL&gt;&lt;FQL&gt;&lt;Q&gt;DAL-US^FF_TAX_CF('ANN','0','-9','YEARLY',RP,'LOCAL','B')&lt;/Q&gt;&lt;R&gt;10&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DAL-US^PCTCHG(FF_NET_INC_CF('LTM','0','0','QUARTERLY',RP,'LOCAL','B'),FF_NET_INC_CF('LTM','-4','-4','QUARTERLY',RP,'LOCAL','B'))&lt;/Q&gt;&lt;R&gt;0&lt;/R&gt;&lt;C&gt;0&lt;/C&gt;&lt;/FQL&gt;&lt;FQL&gt;&lt;Q&gt;DAL-US^PCTCHG(FF_NET_INC_CF('ANN','0','-9','YEARLY',RP,'LOCAL','B'),FF_NET_INC_CF('ANN','-1','-10','YEARLY',RP,'LOCAL','B'))&lt;/Q&gt;&lt;R&gt;10&lt;/R&gt;&lt;C&gt;1&lt;/C&gt;&lt;D xsi:type="xsd:double"&gt;-359.80704&lt;/D&gt;&lt;D xsi:type="xsd:double"&gt;21.14359&lt;/D&gt;&lt;D xsi:type="xsd:double"&gt;10.008388&lt;/D&gt;&lt;D xsi:type="xsd:double"&gt;-18.202612&lt;/D&gt;&lt;D xsi:type="xsd:double"&gt;-3.3804657&lt;/D&gt;&lt;D xsi:type="xsd:double"&gt;586.79816&lt;/D&gt;&lt;D xsi:type="xsd:double"&gt;-93.74763&lt;/D&gt;&lt;D xsi:type="xsd:double"&gt;944.59863&lt;/D&gt;&lt;D xsi:type="xsd:double"&gt;18.14988&lt;/D&gt;&lt;D xsi:type="xsd:double"&gt;44.01349&lt;/D&gt;&lt;/FQL&gt;&lt;FQL&gt;&lt;Q&gt;DAL-US^PCTCHG(FF_DEP_EXP_CF('LTM','0','0','QUARTERLY',RP,'LOCAL','B'),FF_DEP_EXP_CF('LTM','-4','-4','QUARTERLY',RP,'LOCAL','B'))&lt;/Q&gt;&lt;R&gt;0&lt;/R&gt;&lt;C&gt;0&lt;/C&gt;&lt;/FQL&gt;&lt;FQL&gt;&lt;Q&gt;DAL-US^PCTCHG(FF_DEP_EXP_CF('ANN','0','-9','YEARLY',RP,'LOCAL','B'),FF_DEP_EXP_CF('ANN','-1','-10','YEARLY',RP,'LOCAL','B'))&lt;/Q&gt;&lt;R&gt;10&lt;/R&gt;&lt;C&gt;1&lt;/C&gt;&lt;D xsi:type="xsd:double"&gt;-10.422318&lt;/D&gt;&lt;D xsi:type="xsd:double"&gt;10.820098&lt;/D&gt;&lt;D xsi:type="xsd:double"&gt;4.205821&lt;/D&gt;&lt;D xsi:type="xsd:double"&gt;17.507883&lt;/D&gt;&lt;D xsi:type="xsd:double"&gt;3.6512213&lt;/D&gt;&lt;D xsi:type="xsd:double"&gt;3.613778&lt;/D&gt;&lt;D xsi:type="xsd:double"&gt;6.815442&lt;/D&gt;&lt;D xsi:type="xsd:double"&gt;5.9424877&lt;/D&gt;&lt;D xsi:type="xsd:double"&gt;2.7577186&lt;/D&gt;&lt;D xsi:type="xsd:double"&gt;0.7941737&lt;/D&gt;&lt;/FQL&gt;&lt;FQL&gt;&lt;Q&gt;DAL-US^PCTCHG(FF_DFD_TAX_CF('LTM','0','0','QUARTERLY',RP,'LOCAL','B'),FF_DFD_TAX_CF('LTM','-4','-4','QUARTERLY',RP,'LOCAL','B'))&lt;/Q&gt;&lt;R&gt;1&lt;/R&gt;&lt;C&gt;1&lt;/C&gt;&lt;D xsi:type="xsd:double"&gt;-311.13376&lt;/D&gt;&lt;/FQL&gt;&lt;FQL&gt;&lt;Q&gt;DAL-US^PCTCHG(FF_DFD_TAX_CF('ANN','0','-9','YEARLY',RP,'LOCAL','B'),FF_DFD_TAX_CF('ANN','-1','-10','YEARLY',RP,'LOCAL','B'))&lt;/Q&gt;&lt;R&gt;10&lt;/R&gt;&lt;C&gt;1&lt;/C&gt;&lt;D xsi:type="xsd:double"&gt;-311.13376&lt;/D&gt;&lt;D xsi:type="xsd:double"&gt;7.991209&lt;/D&gt;&lt;D xsi:type="xsd:double"&gt;-34.138103&lt;/D&gt;&lt;D xsi:type="xsd:double"&gt;-6.8376045&lt;/D&gt;&lt;D xsi:type="xsd:double"&gt;-13.870594&lt;/D&gt;&lt;D xsi:type="xsd:double"&gt;523.43&lt;/D&gt;&lt;D xsi:type="xsd:string"&gt;@NA&lt;/D&gt;&lt;D xsi:type="xsd:double"&gt;-47105.887&lt;/D&gt;&lt;D xsi:type="xsd:string"&gt;@NA&lt;/D&gt;&lt;D xsi:type="xsd:double"&gt;-122.22222&lt;/D&gt;&lt;/FQL&gt;&lt;FQL&gt;&lt;Q&gt;DAL-US^PCTCHG(FF_NON_CASH('LTM','0','0','QUARTERLY',RP,'LOCAL','B'),FF_NON_CASH('LTM','-4','-4','QUARTERLY',RP,'LOCAL','B'))&lt;/Q&gt;&lt;R&gt;0&lt;/R&gt;&lt;C&gt;0&lt;/C&gt;&lt;/FQL&gt;&lt;FQL&gt;&lt;Q&gt;DAL-US^PCTCHG(FF_NON_CASH('ANN','0','-9','YEARLY',RP,'LOCAL','B'),FF_NON_CASH('ANN','-1','-10','YEARLY',RP,'LOCAL','B'))&lt;/Q&gt;&lt;R&gt;10&lt;/R&gt;&lt;C&gt;1&lt;/C&gt;&lt;D xsi:type="xsd:string"&gt;@NA&lt;/D&gt;&lt;D xsi:type="xsd:double"&gt;-16.708857&lt;/D&gt;&lt;D xsi:type="xsd:double"&gt;76.13293&lt;/D&gt;&lt;D xsi:type="xsd:double"&gt;-171.53404&lt;/D&gt;&lt;D xsi:type="xsd:double"&gt;48.28172&lt;/D&gt;&lt;D xsi:type="xsd:double"&gt;-188.80934&lt;/D&gt;&lt;D xsi:type="xsd:string"&gt;@NA&lt;/D&gt;&lt;D xsi:type="xsd:double"&gt;-69.96197&lt;/D&gt;&lt;D xsi:type="xsd:double"&gt;-187.08609&lt;/D&gt;&lt;D xsi:type="xsd:double"&gt;-31.51928&lt;/D&gt;&lt;/FQL&gt;&lt;FQL&gt;&lt;Q&gt;DAL-US^PCTCHG(FF_FUNDS_OPER_GROSS('LTM','0','0','QUARTERLY',RP,'LOCAL','B'),FF_FUNDS_OPER_GROSS('LTM','-4','-4','QUARTERLY',RP,'LOCAL','B'))&lt;/Q&gt;&lt;R&gt;0&lt;/R&gt;&lt;C&gt;0&lt;/C&gt;&lt;/FQL&gt;&lt;FQL&gt;&lt;Q&gt;DAL-US^PCTCHG(FF_FUNDS_OPER_GROSS('ANN','0','-9','YEARLY',RP,'LOCAL','B'),FF_FUNDS_OPER_GROSS('ANN','-1','-10','YEARLY',RP,'LOCAL','B'))&lt;/Q&gt;&lt;R&gt;10&lt;/R&gt;&lt;C&gt;1&lt;/C&gt;&lt;D xsi:type="xsd:double"&gt;-172.69276&lt;/D&gt;&lt;D xsi:type="xsd:double"&gt;15.516238&lt;/D&gt;&lt;D xsi:type="xsd:double"&gt;49.529846&lt;/D&gt;&lt;D xsi:type="xsd:double"&gt;-37.175434&lt;/D&gt;&lt;D xsi:type="xsd:double"&gt;10.539101&lt;/D&gt;&lt;D xsi:type="xsd:double"&gt;19.770824&lt;/D&gt;&lt;D xsi:type="xsd:double"&gt;46.223408&lt;/D&gt;&lt;D xsi:type="xsd:double"&gt;61.512028&lt;/D&gt;&lt;D xsi:type="xsd:double"&gt;-13.036981&lt;/D&gt;&lt;D xsi:type="</t>
        </r>
      </text>
    </comment>
    <comment ref="A18" authorId="0" shapeId="0" xr:uid="{B01610EC-586F-4F9D-84B4-F8EA893A5480}">
      <text>
        <r>
          <rPr>
            <b/>
            <sz val="9"/>
            <color indexed="81"/>
            <rFont val="Tahoma"/>
            <charset val="1"/>
          </rPr>
          <t>xsd:double"&gt;4.8159804&lt;/D&gt;&lt;/FQL&gt;&lt;FQL&gt;&lt;Q&gt;DAL-US^PCTCHG(FF_WKCAP_CHG('LTM','0','0','QUARTERLY',RP,'LOCAL','B'),FF_WKCAP_CHG('LTM','-4','-4','QUARTERLY',RP,'LOCAL','B'))&lt;/Q&gt;&lt;R&gt;0&lt;/R&gt;&lt;C&gt;0&lt;/C&gt;&lt;/FQL&gt;&lt;FQL&gt;&lt;Q&gt;DAL-US^PCTCHG(FF_WKCAP_CHG('ANN','0','-9','YEARLY',RP,'LOCAL','B'),FF_WKCAP_CHG('ANN','-1','-10','YEARLY',RP,'LOCAL','B'))&lt;/Q&gt;&lt;R&gt;10&lt;/R&gt;&lt;C&gt;1&lt;/C&gt;&lt;D xsi:type="xsd:double"&gt;270.53232&lt;/D&gt;&lt;D xsi:type="xsd:double"&gt;198.86366&lt;/D&gt;&lt;D xsi:type="xsd:double"&gt;-69.391304&lt;/D&gt;&lt;D xsi:type="xsd:string"&gt;@NA&lt;/D&gt;&lt;D xsi:type="xsd:double"&gt;-104.7191&lt;/D&gt;&lt;D xsi:type="xsd:string"&gt;@NA&lt;/D&gt;&lt;D xsi:type="xsd:double"&gt;-219.49316&lt;/D&gt;&lt;D xsi:type="xsd:double"&gt;246.62163&lt;/D&gt;&lt;D xsi:type="xsd:double"&gt;-5.7324862&lt;/D&gt;&lt;D xsi:type="xsd:double"&gt;-43.525177&lt;/D&gt;&lt;/FQL&gt;&lt;FQL&gt;&lt;Q&gt;DAL-US^PCTCHG(FF_OPER_CF('LTM','0','0','QUARTERLY',RP,'LOCAL','B'),FF_OPER_CF('LTM','-4','-4','QUARTERLY',RP,'LOCAL','B'))&lt;/Q&gt;&lt;R&gt;0&lt;/R&gt;&lt;C&gt;0&lt;/C&gt;&lt;/FQL&gt;&lt;FQL&gt;&lt;Q&gt;DAL-US^PCTCHG(FF_OPER_CF('ANN','0','-9','YEARLY',RP,'LOCAL','B'),FF_OPER_CF('ANN','-1','-10','YEARLY',RP,'LOCAL','B'))&lt;/Q&gt;&lt;R&gt;10&lt;/R&gt;&lt;C&gt;1&lt;/C&gt;&lt;D xsi:type="xsd:double"&gt;-145.02077&lt;/D&gt;&lt;D xsi:type="xsd:double"&gt;20.116913&lt;/D&gt;&lt;D xsi:type="xsd:double"&gt;36.24709&lt;/D&gt;&lt;D xsi:type="xsd:double"&gt;-28.65854&lt;/D&gt;&lt;D xsi:type="xsd:double"&gt;-8.888889&lt;/D&gt;&lt;D xsi:type="xsd:double"&gt;62.128967&lt;/D&gt;&lt;D xsi:type="xsd:double"&gt;14.322501&lt;/D&gt;&lt;D xsi:type="xsd:double"&gt;72.57672&lt;/D&gt;&lt;D xsi:type="xsd:double"&gt;-12.632323&lt;/D&gt;&lt;D xsi:type="xsd:double"&gt;0.07062477&lt;/D&gt;&lt;/FQL&gt;&lt;FQL&gt;&lt;Q&gt;DAL-US^PCTCHG(-1.000000 * FF_CAPEX('LTM','0','0','QUARTERLY',RP,'LOCAL','B'),-1.000000 * FF_CAPEX('LTM','-4','-4','QUARTERLY',RP,'LOCAL','B'))&lt;/Q&gt;&lt;R&gt;1&lt;/R&gt;&lt;C&gt;1&lt;/C&gt;&lt;D xsi:type="xsd:double"&gt;-6.3557496&lt;/D&gt;&lt;/FQL&gt;&lt;FQL&gt;&lt;Q&gt;DAL-US^PCTCHG(-1.000000 * FF_CAPEX('ANN','0','-9','YEARLY',RP,'LOCAL','B'),-1.000000 * FF_CAPEX('ANN','-1','-10','YEARLY',RP,'LOCAL','B'))&lt;/Q&gt;&lt;R&gt;10&lt;/R&gt;&lt;C&gt;1&lt;/C&gt;&lt;D xsi:type="xsd:double"&gt;61.52755&lt;/D&gt;&lt;D xsi:type="xsd:double"&gt;4.489171&lt;/D&gt;&lt;D xsi:type="xsd:double"&gt;-32.819332&lt;/D&gt;&lt;D xsi:type="xsd:double"&gt;-14.744913&lt;/D&gt;&lt;D xsi:type="xsd:double"&gt;-15.144316&lt;/D&gt;&lt;D xsi:type="xsd:double"&gt;-30.947079&lt;/D&gt;&lt;D xsi:type="xsd:double"&gt;12.422119&lt;/D&gt;&lt;D xsi:type="xsd:double"&gt;-30.487806&lt;/D&gt;&lt;D xsi:type="xsd:double"&gt;-56.937805&lt;/D&gt;&lt;D xsi:type="xsd:double"&gt;6.5573816&lt;/D&gt;&lt;/FQL&gt;&lt;FQL&gt;&lt;Q&gt;DAL-US^PCTCHG(-FF_ACQ_BUS_CF('LTM','0','0','QUARTERLY',RP,'LOCAL','B'),-FF_ACQ_BUS_CF('LTM','-4','-4','QUARTERLY',RP,'LOCAL','B'))&lt;/Q&gt;&lt;R&gt;0&lt;/R&gt;&lt;C&gt;0&lt;/C&gt;&lt;/FQL&gt;&lt;FQL&gt;&lt;Q&gt;DAL-US^PCTCHG(-FF_ACQ_BUS_CF('ANN','0','-9','YEARLY',RP,'LOCAL','B'),-FF_ACQ_BUS_CF('ANN','-1','-10','YEARLY',RP,'LOCAL','B'))&lt;/Q&gt;&lt;R&gt;10&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DAL-US^PCTCHG(FF_INVEST_PURCH_SALE_CF('LTM','0','0','QUARTERLY',RP,'LOCAL','B'),FF_INVEST_PURCH_SALE_CF('LTM','-4','-4','QUARTERLY',RP,'LOCAL','B'))&lt;/Q&gt;&lt;R&gt;0&lt;/R&gt;&lt;C&gt;0&lt;/C&gt;&lt;/FQL&gt;&lt;FQL&gt;&lt;Q&gt;DAL-US^PCTCHG(FF_INVEST_PURCH_SALE_CF('ANN','0','-9','YEARLY',RP,'LOCAL','B'),FF_INVEST_PURCH_SALE_CF('ANN','-1','-10','YEARLY',RP,'LOCAL','B'))&lt;/Q&gt;&lt;R&gt;10&lt;/R&gt;&lt;C&gt;1&lt;/C&gt;&lt;D xsi:type="xsd:double"&gt;-2605.079&lt;/D&gt;&lt;D xsi:type="xsd:double"&gt;-49.27536&lt;/D&gt;&lt;D xsi:type="xsd:string"&gt;@NA&lt;/D&gt;&lt;D xsi:type="xsd:double"&gt;-262.00204&lt;/D&gt;&lt;D xsi:type="xsd:string"&gt;@NA&lt;/D&gt;&lt;D xsi:type="xsd:double"&gt;-189.69466&lt;/D&gt;&lt;D xsi:type="xsd:double"&gt;-29.702963&lt;/D&gt;&lt;D xsi:type="xsd:double"&gt;-431.14755&lt;/D&gt;&lt;D xsi:type="xsd:string"&gt;@NA&lt;/D&gt;&lt;D xsi:type="xsd:double"&gt;67.945206&lt;/D&gt;&lt;/FQL&gt;&lt;FQL&gt;&lt;Q&gt;DAL-US^PCTCHG(FF_INVEST_USES_CF('LTM','0','0','QUARTERLY',RP,'LOCAL','B'),FF_INVEST_USES_CF('LTM','-4','-4','QUARTERLY',RP,'LOCAL','B'))&lt;/Q&gt;&lt;R&gt;0&lt;/R&gt;&lt;C&gt;0&lt;/C&gt;&lt;/FQL&gt;&lt;FQL&gt;&lt;Q&gt;DAL-US^PCTCHG(FF_INVEST_USES_CF('ANN','0','-9','YEARLY',RP,'LOCAL','B'),FF_INVEST_USES_CF('ANN','-1','-10','YEARLY',RP,'LOCAL','B'))&lt;/Q&gt;&lt;R&gt;10&lt;/R&gt;&lt;C&gt;1&lt;/C&gt;&lt;D xsi:type="xsd:string"&gt;@NA&lt;/D&gt;&lt;D xsi:type="xsd:string"&gt;@NA&lt;/D&gt;&lt;D xsi:type="xsd:string"&gt;@NA&lt;/D&gt;&lt;D xsi:type="xsd:string"&gt;@NA&lt;/D&gt;&lt;D xsi:type="xsd:string"&gt;@NA&lt;/D&gt;&lt;D xsi:type="xsd:string"&gt;@NA&lt;/D&gt;&lt;D xsi:type="xsd:string"&gt;@NA&lt;/D&gt;&lt;D xsi:type="xsd:string"&gt;@NA&lt;/D&gt;&lt;D xsi:type="xsd:double"&gt;-450&lt;/D&gt;&lt;D xsi:type="xsd:double"&gt;-399.99997&lt;/D&gt;&lt;/FQL&gt;&lt;FQL&gt;&lt;Q&gt;DAL-US^PCTCHG(FF_INVEST_CF('LTM','0','0','QUARTERLY',RP,'LOCAL','B'),FF_INVEST_CF('LTM','-4','-4','QUARTERLY',RP,'LOCAL','B'))&lt;/Q&gt;&lt;R&gt;1&lt;/R&gt;&lt;C&gt;1&lt;/C&gt;&lt;D xsi:type="xsd:double"&gt;83.63291&lt;/D&gt;&lt;/FQL&gt;&lt;FQL&gt;&lt;Q&gt;DAL-US^PCTCHG(FF_INVEST_CF('ANN','0','-9','YEARLY',RP,'LOCAL','B'),FF_INVEST_CF('ANN','-1','-10','YEARLY',RP,'LOCAL','B'))&lt;/Q&gt;&lt;R&gt;10&lt;/R&gt;&lt;C&gt;1&lt;/C&gt;&lt;D xsi:type="xsd:double"&gt;-102.45452&lt;/D&gt;&lt;D xsi:type="xsd:double"&gt;-3.8697946&lt;/D&gt;&lt;D xsi:type="xsd:double"&gt;18.132687&lt;/D&gt;&lt;D xsi:type="xsd:double"&gt;-149.00232&lt;/D&gt;&lt;D xsi:type="xsd:double"&gt;45.51201&lt;/D&gt;&lt;D xsi:type="xsd:double"&gt;-60.576523&lt;/D&gt;&lt;D xsi:type="xsd:double"&gt;10.63135&lt;/D&gt;&lt;D xsi:type="xsd:double"&gt;-40.46891&lt;/D&gt;&lt;D xsi:type="xsd:double"&gt;-30.974632&lt;/D&gt;&lt;D xsi:type="xsd:double"&gt;26.061205&lt;/D&gt;&lt;/FQL&gt;&lt;FQL&gt;&lt;Q&gt;DAL-US^PCTCHG(-FF_DIV_CF('LTM','0','0','QUARTERLY',RP,'LOCAL','B'),-FF_DIV_CF('LTM','-4','-4','QUARTERLY',RP,'LOCAL','B'))&lt;/Q&gt;&lt;R&gt;0&lt;/R&gt;&lt;C&gt;0&lt;/C&gt;&lt;/FQL&gt;&lt;FQL&gt;&lt;Q&gt;DAL-US^PCTCHG(-FF_DIV_CF('ANN','0','-9','YEARLY',RP,'LOCAL','B'),-FF_DIV_CF('ANN','-1','-10','YEARLY',RP,'LOCAL','B'))&lt;/Q&gt;&lt;R&gt;10&lt;/R&gt;&lt;C&gt;1&lt;/C&gt;&lt;D xsi:type="xsd:double"&gt;73.46939&lt;/D&gt;&lt;D xsi:type="xsd:double"&gt;-7.8107853&lt;/D&gt;&lt;D xsi:type="xsd:double"&gt;-24.3502&lt;/D&gt;&lt;D xsi:type="xsd:double"&gt;-43.614933&lt;/D&gt;&lt;D xsi:type="xsd:double"&gt;-41.782734&lt;/D&gt;&lt;D xsi:type="xsd:double"&gt;-43.027893&lt;/D&gt;&lt;D xsi:type="xsd:double"&gt;-146.07841&lt;/D&gt;&lt;D xsi:type="xsd:string"&gt;@NA&lt;/D&gt;&lt;D xsi:type="xsd:string"&gt;@NA&lt;/D&gt;&lt;D xsi:type="xsd:string"&gt;@NA&lt;/D&gt;&lt;/FQL&gt;&lt;FQL&gt;&lt;Q&gt;DAL-US^PCTCHG(FF_STK_CHG_CF('LTM','0','0','QUARTERLY',RP,'LOCAL','B'),FF_STK_CHG_CF('LTM','-4','-4','QUARTERLY',RP,'LOCAL','B'))&lt;/Q&gt;&lt;R&gt;0&lt;/R&gt;&lt;C&gt;0&lt;/C&gt;&lt;/FQL&gt;&lt;FQL&gt;&lt;Q&gt;DAL-US^PCTCHG(FF_STK_CHG_CF('ANN','0','-9','YEARLY',RP,'LOCAL','B'),FF_STK_CHG_CF('ANN','-1','-10','YEARLY',RP,'LOCAL','B'))&lt;/Q&gt;&lt;R&gt;10&lt;/R&gt;&lt;C&gt;1&lt;/C&gt;&lt;D xsi:type="xsd:double"&gt;83.029106&lt;/D&gt;&lt;D xsi:type="xsd:double"&gt;-28.698406&lt;/D&gt;&lt;D xsi:type="xsd:double"&gt;6.0822897&lt;/D&gt;&lt;D xsi:type="xsd:double"&gt;35.5248&lt;/D&gt;&lt;D xsi:type="xsd:double"&gt;-18.227274&lt;/D&gt;&lt;D xsi:type="xsd:double"&gt;-100&lt;/D&gt;&lt;D xsi:type="xsd:double"&gt;-340&lt;/D&gt;&lt;D xsi:type="xsd:string"&gt;@NA&lt;/D&gt;&lt;D xsi:type="xsd:string"&gt;@NA&lt;/D&gt;&lt;D xsi:type="xsd:string"&gt;@NA&lt;/D&gt;&lt;/FQL&gt;&lt;FQL&gt;&lt;Q&gt;DAL-US^PCTCHG(FF_DEBT_CF('LTM','0','0','QUARTERLY',RP,'LOCAL','B'),FF_DEBT_CF('LTM','-4','-4','QUARTERLY',RP,'LOCAL','B'))&lt;/Q&gt;&lt;R&gt;1&lt;/R&gt;&lt;C&gt;1&lt;/C&gt;&lt;D xsi:type="xsd:double"&gt;-132.55267&lt;/D&gt;&lt;/FQL&gt;&lt;FQL&gt;&lt;Q&gt;DAL-US^PCTCHG(FF_DEBT_CF('ANN','0','-9','YEARLY',RP,'LOCAL','B'),FF_DEBT_CF('ANN','-1','-10','YEARLY',RP,'LOCAL','B'))&lt;/Q&gt;&lt;R&gt;10&lt;/R&gt;&lt;C&gt;1&lt;/C&gt;&lt;D xsi:type="xsd:double"&gt;3965.2979&lt;/D&gt;&lt;D xsi:type="xsd:double"&gt;-29.725832&lt;/D&gt;&lt;D xsi:type="xsd:double"&gt;-42.05685&lt;/D&gt;&lt;D xsi:type="xsd:string"&gt;@NA&lt;/D&gt;&lt;D xsi:type="xsd:double"&gt;17.171055&lt;/D&gt;&lt;D xsi:type="xsd:double"&gt;20.335432&lt;/D&gt;&lt;D xsi:type="xsd:double"&gt;-59.93294&lt;/D&gt;&lt;D xsi:type="xsd:double"&gt;-26.914888&lt;/D&gt;&lt;D xsi:type="xsd:double"&gt;47.101856&lt;/D&gt;&lt;D xsi:type="xsd:double"&gt;31.442905&lt;/D&gt;&lt;/FQL&gt;&lt;FQL&gt;&lt;Q&gt;DAL-US^PCTCHG(FF_FIN_ACTIV_OTH_CF('LTM','0','0','QUARTERLY',RP,'LOCAL','B'),FF_FIN_ACTIV_OTH_CF('LTM','-4','-4','QUARTERLY',RP,'LOCAL','B'))&lt;/Q&gt;&lt;R&gt;1&lt;/R&gt;&lt;C&gt;1&lt;/C&gt;&lt;D xsi:type="xsd:double"&gt;-84.50106&lt;/D&gt;&lt;/FQL&gt;&lt;FQL&gt;&lt;Q&gt;DAL-US^PCTCHG(FF_FIN_ACTIV_OTH_CF('ANN','0','-9','YEARLY',RP,'LOCAL','B'),FF_FIN_ACTIV_OTH_CF('ANN','-1','-10','YEARLY',RP,'LOCAL','B'))&lt;/Q&gt;&lt;R&gt;10&lt;/R&gt;&lt;C&gt;1&lt;/C&gt;&lt;D xsi:type="xsd:string"&gt;@NA&lt;/D&gt;&lt;D xsi:type="xsd:double"&gt;-653.8461&lt;/D&gt;&lt;D xsi:type="xsd:double"&gt;-86.51453&lt;/D&gt;&lt;D xsi:type="xsd:double"&gt;342.20184&lt;/D&gt;&lt;D xsi:type="xsd:string"&gt;@NA&lt;/D&gt;&lt;D xsi:type="xsd:double"&gt;-147.36842&lt;/D&gt;&lt;D xsi:type="xsd:double"&gt;-91.55556&lt;/D&gt;&lt;D xsi:type="xsd:double"&gt;21.621616&lt;/D&gt;&lt;D xsi:type="xsd:double"&gt;-10.194175&lt;/D&gt;&lt;D xsi:type="xsd:double"&gt;190.14082&lt;/D&gt;&lt;/FQL&gt;&lt;FQL&gt;&lt;Q&gt;DAL-US^PCTCHG(FF_FIN_CF('LTM','0','0','QUARTERLY',RP,'LOCAL','B'),FF_FIN_CF('LTM','-4','-4','QUARTERLY',RP,'LOCAL','B'))&lt;/Q&gt;&lt;R&gt;1&lt;/R&gt;&lt;C&gt;1&lt;/C&gt;&lt;D xsi:type="xsd:double"&gt;-133.04149&lt;/D&gt;&lt;/FQL&gt;&lt;FQL&gt;&lt;Q&gt;DAL-US^PCTCHG(FF_FIN_CF('ANN','0','-9','YEARLY',RP,'LOCAL','B'),FF_FIN_CF('ANN','-1','-10','YEARLY',RP,'LOCAL','B'))&lt;/Q&gt;&lt;R&gt;10&lt;/R&gt;&lt;C&gt;1&lt;/C&gt;&lt;D xsi:type="xsd:string"&gt;@NA&lt;/D&gt;&lt;D xsi:type="xsd:double"&gt;-66.8598&lt;/D&gt;&lt;D xsi:type="xsd:double"&gt;-136.43834&lt;/D&gt;&lt;D xsi:type="xsd:double"&gt;82.86385&lt;/D&gt;&lt;D xsi:type="xsd:double"&gt;-4.207446&lt;/D&gt;&lt;D xsi:type="xsd:double"&gt;-26.172832&lt;/D&gt;&lt;D xsi:type="xsd:double"&gt;-145.45454&lt;/D&gt;&lt;D xsi:type="xsd:double"&gt;-74.83445&lt;/D&gt;&lt;D xsi:type="xsd:double"&gt;51.941437&lt;/D&gt;&lt;D xsi:type="xsd:double"&gt;37.683456&lt;/D&gt;&lt;/FQL&gt;&lt;FQL&gt;&lt;Q&gt;DAL-US^PCTCHG(FF_CHG_CASH_CF('LTM','0','0','QUARTERLY',RP,'LOCAL','B'),FF_CHG_CASH_CF('LTM','-4','-4','QUARTERLY',RP,'LOCAL','B'))&lt;/Q&gt;&lt;R&gt;1&lt;/R&gt;&lt;C&gt;1&lt;/C&gt;&lt;D xsi:type="xsd:double"&gt;-155.5087&lt;/D&gt;&lt;/FQL&gt;&lt;FQL&gt;&lt;Q&gt;DAL-US^PCTCHG(FF_CHG_CASH_CF('ANN','0','-9','YEARLY',RP,'LOCAL','B'),FF_CHG_CASH_CF('ANN','-1','-10','YEARLY',RP,'LOCAL','B'))&lt;/Q&gt;&lt;R&gt;10&lt;/R&gt;&lt;C&gt;1&lt;/C&gt;&lt;D xsi:type="xsd:double"&gt;544.0937&lt;/D&gt;&lt;D xsi:type="xsd:double"&gt;9.720672&lt;/D&gt;&lt;D xsi:type="xsd:string"&gt;@NA&lt;/D&gt;&lt;D xsi:type="xsd:double"&gt;-218.35207&lt;/D&gt;&lt;D xsi:type="xsd:string"&gt;@NA&lt;/D&gt;&lt;D xsi:type="xsd:double"&gt;84.963326&lt;/D&gt;&lt;D xsi:type="xsd:double"&gt;-515.22845&lt;/D&gt;&lt;D xsi:type="xsd:string"&gt;@NA&lt;/D&gt;&lt;D xsi:type="xsd:double"&gt;-2.5531902&lt;/D&gt;&lt;D xsi:type="xsd:double"&gt;86.29738&lt;/D&gt;&lt;/FQL&gt;&lt;FQL&gt;&lt;Q&gt;DAL-US^PCTCHG(FF_FREE_CF('LTM' + '_FCFE','0','0','QUARTERLY',RP,'LOCAL','B'),FF_FREE_CF('LTM' + '_FCFE','-4','-4','QUARTERLY',RP,'LOCAL','B'))&lt;/Q&gt;&lt;R&gt;1&lt;/R&gt;&lt;C&gt;1&lt;/C&gt;&lt;D xsi:type="xsd:double"&gt;70.92877&lt;/D&gt;&lt;/FQL&gt;&lt;FQL&gt;&lt;Q&gt;DAL-US^PCTCHG(FF_FREE_CF('ANN' + '_FCFE','0','-9','YEARLY',RP,'LOCAL','B'),FF_FREE_CF('ANN' + '_FCFE','-1','-10','YEARLY',RP,'LOCAL','B'))&lt;/Q&gt;&lt;R&gt;10&lt;/R&gt;&lt;C&gt;1&lt;/C&gt;&lt;D xsi:type="xsd:double"&gt;-263.1413&lt;/D&gt;&lt;D xsi:type="xsd:double"&gt;89.00326&lt;/D&gt;&lt;D xsi:type="xsd:double"&gt;46.857597&lt;/D&gt;&lt;D xsi:type="xsd:double"&gt;-67.13726&lt;/D&gt;&lt;D xsi:type="xsd:double"&gt;-23.115576&lt;/D&gt;&lt;D xsi:type="xsd:double"&gt;88.732925&lt;/D&gt;&lt;D xsi:type="xsd:double"&gt;54.6041&lt;/D&gt;&lt;D xsi:type="xsd:double"&gt;235.62993&lt;/D&gt;&lt;D xsi:type="xsd:double"&gt;-67.84811&lt;/D&gt;&lt;D xsi:type="xsd:double"&gt;6.0402713&lt;/D&gt;&lt;/FQL&gt;&lt;FQL&gt;&lt;Q&gt;DAL-US^FORMULA_DESCRIPTION("FF_COM_EQ_RETAIN_EARN")&lt;/Q&gt;&lt;R&gt;1&lt;/R&gt;&lt;C&gt;1&lt;/C&gt;&lt;D xsi:type="xsd:string"&gt;Retained Earnings&lt;/D&gt;&lt;/FQL&gt;&lt;FQL&gt;&lt;Q&gt;DAL-US^FF_SALES('LTM','0','0','QUARTERLY',RP,'LOCAL','B')&lt;/Q&gt;&lt;R&gt;1&lt;/R&gt;&lt;C&gt;1&lt;/C&gt;&lt;D xsi:type="xsd:double"&gt;24.403&lt;/D&gt;&lt;/FQL&gt;&lt;FQL&gt;&lt;Q&gt;DAL-US^FF_SALES('ANN','0','-9','YEARLY',RP,'LOCAL','B')&lt;/Q&gt;&lt;R&gt;10&lt;/R&gt;&lt;C&gt;1&lt;/C&gt;&lt;D xsi:type="xsd:double"&gt;17.095&lt;/D&gt;&lt;D xsi:type="xsd:double"&gt;47.006&lt;/D&gt;&lt;D xsi:type="xsd:double"&gt;44.441&lt;/D&gt;&lt;D xsi:type="xsd:double"&gt;41.234&lt;/D&gt;&lt;D xsi:type="xsd:double"&gt;39.602&lt;/D&gt;&lt;D xsi:type="xsd:double"&gt;40.506&lt;/D&gt;&lt;D xsi:type="xsd:double"&gt;40.204&lt;/D&gt;&lt;D xsi:type="xsd:double"&gt;37.638&lt;/D&gt;&lt;D xsi:type="xsd:double"&gt;36.695&lt;/D&gt;&lt;D xsi:type="xsd:double"&gt;35.115&lt;/D&gt;&lt;/FQL&gt;&lt;FQL&gt;&lt;Q&gt;DAL-US^FF_COGS('LTM','0','0','QUARTERLY',RP,'LOCAL','B')&lt;/Q&gt;&lt;R&gt;1&lt;/R&gt;&lt;C&gt;1&lt;/C&gt;&lt;D xsi:type="xsd:double"&gt;27.09&lt;/D&gt;&lt;/FQL&gt;&lt;FQL&gt;&lt;Q&gt;DAL-US^FF_COGS('ANN','0','-9','YEARLY',RP,'LOCAL','B')&lt;/Q&gt;&lt;R&gt;10&lt;/R&gt;&lt;C&gt;1&lt;/C&gt;&lt;D xsi:type="xsd:double"&gt;23.631&lt;/D&gt;&lt;D xsi:type="xsd:double"&gt;36.584&lt;/D&gt;&lt;D xsi:type="xsd:double"&gt;35.51&lt;/D&gt;&lt;D xsi:type="xsd:double"&gt;31.013&lt;/D&gt;&lt;D xsi:type="xsd:double"&gt;28.625&lt;/D&gt;&lt;D xsi:type="xsd:double"&gt;28.456&lt;/D&gt;&lt;D xsi:type="xsd:double"&gt;31.943&lt;/D&gt;&lt;D xsi:type="xsd:double"&gt;31.341&lt;/D&gt;&lt;D xsi:type="xsd:double"&gt;30.795&lt;/D&gt;&lt;D xsi:type="xsd:double"&gt;29.744&lt;/D&gt;&lt;/FQL&gt;&lt;FQL&gt;&lt;Q&gt;DAL-US^FF_GROSS_INC('LTM','0','0','QUARTERLY',RP,'LOCAL','B')&lt;/Q&gt;&lt;R&gt;1&lt;/R&gt;&lt;C&gt;1&lt;/C&gt;&lt;D xsi:type="xsd:double"&gt;-2.687&lt;/D&gt;&lt;/FQL&gt;&lt;FQL&gt;&lt;Q&gt;DAL-US^FF_GROSS_INC('ANN','0','-9','YEARLY',RP,'LOCAL','B')&lt;/Q&gt;&lt;R&gt;10&lt;/R&gt;&lt;C&gt;1&lt;/C&gt;&lt;D xsi:type="xsd:double"&gt;-6.536&lt;/D&gt;&lt;D xsi:type="xsd:double"&gt;10.422&lt;/D&gt;&lt;D xsi:type="xsd:double"&gt;8.931&lt;/D&gt;&lt;D xsi:type="xsd:double"&gt;10.221&lt;/D&gt;&lt;D xsi:type="xsd:double"&gt;10.977&lt;/D&gt;&lt;D xsi:type="xsd:double"&gt;12.05&lt;/D&gt;&lt;D xsi:type="xsd:double"&gt;8.261&lt;/D&gt;&lt;D xsi:type="xsd:double"&gt;6.297&lt;/D&gt;&lt;D xsi:type="xsd:double"&gt;5.9&lt;/D&gt;&lt;D xsi:type="xsd:double"&gt;5.371&lt;/D&gt;&lt;/FQL&gt;&lt;FQL&gt;&lt;Q&gt;DAL-US^FF_SGA('LTM','0','0','QUARTERLY',RP,'LOCAL','B')&lt;/Q&gt;&lt;R&gt;1&lt;/R&gt;&lt;C&gt;1&lt;/C&gt;&lt;D xsi:type="xsd:double"&gt;0.724&lt;/D&gt;&lt;/FQL&gt;&lt;FQL&gt;&lt;Q&gt;DAL-US^FF_SGA('ANN','0','-9','YEARLY',RP,'LOCAL','B')&lt;/Q&gt;&lt;R&gt;10&lt;/R&gt;&lt;C&gt;1&lt;/C&gt;&lt;D xsi:type="xsd:double"&gt;0.582&lt;/D&gt;&lt;D xsi:type="xsd:double"&gt;1.993&lt;/D&gt;&lt;D xsi:type="xsd:double"&gt;1.941&lt;/D&gt;&lt;D xsi:type="xsd:double"&gt;1.787&lt;/D&gt;&lt;D xsi:type="xsd:double"&gt;1.71&lt;/D&gt;&lt;D xsi:type="xsd:double"&gt;1.672&lt;/D&gt;&lt;D xsi:type="xsd:double"&gt;1.7&lt;/D&gt;&lt;D xsi:type="xsd:double"&gt;1.603&lt;/D&gt;&lt;D xsi:type="xsd:double"&gt;1.59&lt;/D&gt;&lt;D xsi:type="xsd:double"&gt;1.682&lt;/D&gt;&lt;/FQL&gt;&lt;FQL&gt;&lt;Q&gt;DAL-US^FF_EBIT_OPER('LTM','0','0','QUARTERLY',RP,'LOCAL','B')&lt;/Q&gt;&lt;R&gt;1&lt;/R&gt;&lt;C&gt;1&lt;/C&gt;&lt;D xsi:type="xsd:double"&gt;-4.638&lt;/D&gt;&lt;/FQL&gt;&lt;FQL&gt;&lt;Q&gt;DAL-US^FF_EBIT_OPER('ANN','0','-9','YEARLY',RP,'LOCAL','B')&lt;/Q&gt;&lt;R&gt;10&lt;/R&gt;&lt;C&gt;1&lt;/C&gt;&lt;D xsi:type="xsd:double"&gt;-8.281&lt;/D&gt;&lt;D xsi:type="xsd:double"&gt;6.658&lt;/D&gt;&lt;D xsi:type="xsd:double"&gt;5.267&lt;/D&gt;&lt;D xsi:type="xsd:double"&gt;6.185&lt;/D&gt;&lt;D xsi:type="xsd:double"&gt;7.281&lt;/D&gt;&lt;D xsi:type="xsd:double"&gt;8.38&lt;/D&gt;&lt;D xsi:type="xsd:double"&gt;4.764&lt;/D&gt;&lt;D xsi:type="xsd:double"&gt;3.174&lt;/D&gt;&lt;D xsi:type="xsd:double"&gt;2.718&lt;/D&gt;&lt;D xsi:type="xsd:double"&gt;1.797&lt;/D&gt;&lt;/FQL&gt;&lt;FQL&gt;&lt;Q&gt;DAL-US^FF_NON_OPER_INC('LTM','0','0','QUARTERLY',RP,'LOCAL','B')&lt;/Q&gt;&lt;R&gt;1&lt;/R&gt;&lt;C&gt;1&lt;/C&gt;&lt;D xsi:type="xsd:double"&gt;0.371&lt;/D&gt;&lt;/FQL&gt;&lt;FQL&gt;&lt;Q&gt;DAL-US^FF_NON_OPER_INC('ANN','0','-9','YEARLY',RP,'LOCAL','B')&lt;/Q&gt;&lt;R&gt;10&lt;/R&gt;&lt;C&gt;1&lt;/C&gt;&lt;D xsi:type="xsd:double"&gt;0.274&lt;/D&gt;&lt;D xsi:type="xsd:double"&gt;-0.128&lt;/D&gt;&lt;D xsi:type="xsd:double"&gt;0.181&lt;/D&gt;&lt;D xsi:type="xsd:double"&gt;-0.007&lt;/D&gt;&lt;D xsi:type="xsd:double"&gt;-0.006&lt;/D&gt;&lt;D xsi:type="xsd:double"&gt;0.008&lt;/D&gt;&lt;D xsi:type="xsd:double"&gt;0.045&lt;/D&gt;&lt;D xsi:type="xsd:double"&gt;0.114&lt;/D&gt;&lt;D xsi:type="xsd:double"&gt;-0.042&lt;/D&gt;&lt;D xsi:type="xsd:double"&gt;-0.001&lt;/D&gt;&lt;/FQL&gt;&lt;FQL&gt;&lt;Q&gt;DAL-US^FF_INT_EXP_NET('LTM','0','0','QUARTERLY',RP,'LOCAL','B')&lt;/Q&gt;&lt;R&gt;1&lt;/R&gt;&lt;C&gt;1&lt;/C&gt;&lt;D xsi:type="xsd:double"&gt;1.378&lt;/D&gt;&lt;/FQL&gt;&lt;FQL&gt;&lt;Q&gt;DAL-US^FF_INT_EXP_NET('ANN','0','-9','YEARLY',RP,'LOCAL','B')&lt;/Q&gt;&lt;R&gt;10&lt;/R&gt;&lt;C&gt;1&lt;/C&gt;&lt;D xsi:type="xsd:double"&gt;0.929&lt;/D&gt;&lt;D xsi:type="xsd:double"&gt;0.301&lt;/D&gt;&lt;D xsi:type="xsd:double"&gt;0.311&lt;/D&gt;&lt;D xsi:type="xsd:double"&gt;0.396&lt;/D&gt;&lt;D xsi:type="xsd:double"&gt;0.388&lt;/D&gt;&lt;D xsi:type="xsd:double"&gt;0.481&lt;/D&gt;&lt;D xsi:type="xsd:double"&gt;0.619&lt;/D&gt;&lt;D xsi:type="xsd:double"&gt;0.852&lt;/D&gt;&lt;D xsi:type="xsd:double"&gt;1&lt;/D&gt;&lt;D xsi:type="xsd:double"&gt;1.094&lt;/D&gt;&lt;/FQL&gt;&lt;FQL&gt;&lt;Q&gt;DAL-US^FF_UNUSUAL_EXP('LTM','0','0','QUARTERLY',RP,'LOCAL','B')&lt;/Q&gt;&lt;R&gt;1&lt;/R&gt;&lt;C&gt;1&lt;/C&gt;&lt;D xsi:type="xsd:double"&gt;-5.33&lt;/D&gt;&lt;/FQL&gt;&lt;FQL&gt;&lt;Q&gt;DAL-US^FF_UNUSUAL_EXP('ANN','0','-9','YEARLY',RP,'LOCAL','B')&lt;/Q&gt;&lt;R&gt;10&lt;/R&gt;&lt;C&gt;1&lt;/C&gt;&lt;D xsi:type="xsd:double"&gt;6.651&lt;/D&gt;&lt;D xsi:type="xsd:double"&gt;0.031&lt;/D&gt;&lt;D xsi:type="xsd:double"&gt;-0.014&lt;/D&gt;&lt;D xsi:type="xsd:double"&gt;0.081&lt;/D&gt;&lt;D xsi:type="xsd:double"&gt;0.251&lt;/D&gt;&lt;D xsi:type="xsd:double"&gt;0.75&lt;/D&gt;&lt;D xsi:type="xsd:double"&gt;3.118&lt;/D&gt;&lt;D xsi:type="xsd:double"&gt;-0.091&lt;/D&gt;&lt;D xsi:type="xsd:double"&gt;0.651&lt;/D&gt;&lt;D xsi:type="xsd:double"&gt;-0.067&lt;/D&gt;&lt;/FQL&gt;&lt;FQL&gt;&lt;Q&gt;DAL-US^FF_INC_TAX('LTM','0','0','QUARTERLY',RP,'LOCAL','B')&lt;/Q&gt;&lt;R&gt;1&lt;/R&gt;&lt;C&gt;1&lt;/C&gt;&lt;D xsi:type="xsd:double"&gt;-0.247&lt;/D&gt;&lt;/FQL&gt;&lt;FQL&gt;&lt;Q&gt;DAL-US^FF_INC_TAX('ANN','0','-9','YEARLY',RP,'LOCAL','B')&lt;/Q&gt;&lt;R&gt;10&lt;/R&gt;&lt;C&gt;1&lt;/C&gt;&lt;D xsi:type="xsd:double"&gt;-3.202&lt;/D&gt;&lt;D xsi:type="xsd:double"&gt;1.431&lt;/D&gt;&lt;D xsi:type="xsd:double"&gt;1.216&lt;/D&gt;&lt;D xsi:type="xsd:double"&gt;2.124&lt;/D&gt;&lt;D xsi:type="xsd:double"&gt;2.263&lt;/D&gt;&lt;D xsi:type="xsd:double"&gt;2.631&lt;/D&gt;&lt;D xsi:type="xsd:double"&gt;0.413&lt;/D&gt;&lt;D xsi:type="xsd:double"&gt;-8.013&lt;/D&gt;&lt;D xsi:type="xsd:double"&gt;0.016&lt;/D&gt;&lt;D xsi:type="xsd:double"&gt;-0.085&lt;/D&gt;&lt;/FQL&gt;&lt;FQL&gt;&lt;Q&gt;DAL-US^FF_CONSOL_NET_INC('LTM','0','0','QUARTERLY',RP,'LOCAL','B')&lt;/Q&gt;&lt;R&gt;1&lt;/R&gt;&lt;C&gt;1&lt;/C&gt;&lt;D xsi:type="xsd:double"&gt;-0.068&lt;/D&gt;&lt;/FQL&gt;&lt;FQL&gt;&lt;Q&gt;DAL-US^FF_CONSOL_NET_INC('ANN','0','-9','YEARLY',RP,'LOCAL','B')&lt;/Q&gt;&lt;R&gt;10&lt;/R&gt;&lt;C&gt;1&lt;/C&gt;&lt;D xsi:type="xsd:double"&gt;-12.385&lt;/D&gt;&lt;D xsi:type="xsd:double"&gt;4.767&lt;/D&gt;&lt;D xsi:type="xsd:double"&gt;3.935&lt;/D&gt;&lt;D xsi:type="xsd:double"&gt;3.577&lt;/D&gt;&lt;D xsi:type="xsd:double"&gt;4.373&lt;/D&gt;&lt;D xsi:type="xsd:double"&gt;4.526&lt;/D&gt;&lt;D xsi:type="xsd:double"&gt;0.659&lt;/D&gt;&lt;D xsi:type="xsd:double"&gt;10.54&lt;/D&gt;&lt;D xsi:type="xsd:double"&gt;1.009&lt;/D&gt;&lt;D xsi:type="xsd:double"&gt;0.854&lt;/D&gt;&lt;/FQL&gt;&lt;FQL&gt;&lt;Q&gt;DAL-US^FF_NET_INC('LTM','0','0','QUARTERLY',RP,'LOCAL','B')&lt;/Q&gt;&lt;R&gt;1&lt;/R&gt;&lt;C&gt;1&lt;/C&gt;&lt;D xsi:type="xsd:double"&gt;-0.068&lt;/D&gt;&lt;/FQL&gt;&lt;FQL&gt;&lt;Q&gt;DAL-US^FF_NET_INC('ANN','0','-9','YEARLY',RP,'LOCAL','B')&lt;/Q&gt;&lt;R&gt;10&lt;/R&gt;&lt;C&gt;1&lt;/C&gt;&lt;D xsi:type="xsd:double"&gt;-12.385&lt;/D&gt;&lt;D xsi:type="xsd:double"&gt;4.767&lt;/D&gt;&lt;D xsi:type="xsd:double"&gt;3.935&lt;/D&gt;&lt;D xsi:type="xsd:double"&gt;3.577&lt;/D&gt;&lt;D xsi:type="xsd:double"&gt;4.373&lt;/D&gt;&lt;D xsi:type="xsd:double"&gt;4.526&lt;/D&gt;&lt;D xsi:type="xsd:double"&gt;0.659&lt;/D&gt;&lt;D xsi:type="xsd:double"&gt;10.54&lt;/D&gt;&lt;D xsi:type="xsd:double"&gt;1.009&lt;/D&gt;&lt;D xsi:type="xsd:double"&gt;0.854&lt;/D&gt;&lt;/FQL&gt;&lt;FQL&gt;&lt;Q&gt;DAL-US^FF_NET_INC_BASIC('LTM','0','0','QUARTERLY',RP,'LOCAL','B')&lt;/Q&gt;&lt;R&gt;1&lt;/R&gt;&lt;C&gt;1&lt;/C&gt;&lt;D xsi:type="xsd:double"&gt;-0.068&lt;/D&gt;&lt;/FQL&gt;&lt;FQL&gt;&lt;Q&gt;DAL-US^FF_NET_INC_BASIC('ANN','0','-9','YEARLY',RP,'LOCAL','B')&lt;/Q&gt;&lt;R&gt;10&lt;/R&gt;&lt;C&gt;1&lt;/C&gt;&lt;D xsi:type="xsd:double"&gt;-12.385&lt;/D&gt;&lt;D xsi:type="xsd:double"&gt;4.767&lt;/D&gt;&lt;D xsi:type="xsd:double"&gt;3.935&lt;/D&gt;&lt;D xsi:type="xsd:double"&gt;3.577&lt;/D&gt;&lt;D xsi:type="xsd:double"&gt;4.373&lt;/D&gt;&lt;D xsi:type="xsd:double"&gt;4.526&lt;/D&gt;&lt;D xsi:type="xsd:double"&gt;0.659&lt;/D&gt;&lt;D xsi:type="xsd:double"&gt;10.54&lt;/D&gt;&lt;D xsi:type="xsd:double"&gt;1.009&lt;/D&gt;&lt;D xsi:type="xsd:double"&gt;0.854&lt;/D&gt;&lt;/FQL&gt;&lt;FQL&gt;&lt;Q&gt;DAL-US^FF_EPS_DIL_BEF_UNUSUAL('LTM','0','0','QUARTERLY',RP,'LOCAL','B')&lt;/Q&gt;&lt;R&gt;1&lt;/R&gt;&lt;C&gt;1&lt;/C&gt;&lt;D xsi:type="xsd:double"&gt;-5.92667706708268&lt;/D&gt;&lt;/FQL&gt;&lt;FQL&gt;&lt;Q&gt;DAL-US^FF_EPS_DIL_BEF_UNUSUAL('ANN','0','-9','YEARLY',RP,'LOCAL','B')&lt;/Q&gt;&lt;R&gt;10&lt;/R&gt;&lt;C&gt;1&lt;/C&gt;&lt;D xsi:type="xsd:double"&gt;-12.1529874213836&lt;/D&gt;&lt;D xsi:type="xsd:double"&gt;7.3333843797856&lt;/D&gt;&lt;D xsi:type="xsd:double"&gt;5.65590778097983&lt;/D&gt;&lt;D xsi:type="xsd:double"&gt;5.02586445366528&lt;/D&gt;&lt;D xsi:type="xsd:double"&gt;6.02476821192053&lt;/D&gt;&lt;D xsi:type="xsd:double"&gt;6.28233830845771&lt;/D&gt;&lt;D xsi:type="xsd:double"&gt;3.36284023668639&lt;/D&gt;&lt;D xsi:type="xsd:double"&gt;12.2101398601399&lt;/D&gt;&lt;D xsi:type="xsd:double"&gt;1.72317647058824&lt;/D&gt;&lt;D xsi:type="xsd:double"&gt;0.956279620853081&lt;/D&gt;&lt;/FQL&gt;&lt;FQL&gt;&lt;Q&gt;DAL-US^FF_EPS_DIL('LTM','0','0','QUARTERLY',RP,'LOCAL','B')&lt;/Q&gt;&lt;R&gt;1&lt;/R&gt;&lt;C&gt;1&lt;/C&gt;&lt;D xsi:type="xsd:double"&gt;-0.1332&lt;/D&gt;&lt;/FQL&gt;&lt;FQL&gt;&lt;Q&gt;DAL-US^FF_EPS_DIL('ANN','0','-9','YEARLY',RP,'LOCAL','B')&lt;/Q&gt;&lt;R&gt;10&lt;/R&gt;&lt;C&gt;1&lt;/C&gt;&lt;D xsi:type="xsd:double"&gt;-19.4733&lt;/D&gt;&lt;D xsi:type="xsd:double"&gt;7.3002&lt;/D&gt;&lt;D xsi:type="xsd:double"&gt;5.67&lt;/D&gt;&lt;D xsi:type="xsd:double"&gt;4.95&lt;/D&gt;&lt;D xsi:type="xsd:double"&gt;5.79&lt;/D&gt;&lt;D xsi:type="xsd:double"&gt;5.63&lt;/D&gt;&lt;D xsi:type="xsd:double"&gt;0.78&lt;/D&gt;&lt;D xsi:type="xsd:double"&gt;12.2844&lt;/D&gt;&lt;D xsi:type="xsd:double"&gt;1.19&lt;/D&gt;&lt;D xsi:type="xsd:double"&gt;1.01&lt;/D&gt;&lt;/FQL&gt;&lt;FQL&gt;&lt;Q&gt;DAL-US^FF_EARN_PERST('LTM','0','0','QUARTERLY',RP,'LOCAL','B')&lt;/Q&gt;&lt;R&gt;0&lt;/R&gt;&lt;C&gt;0&lt;/C&gt;&lt;/FQL&gt;&lt;FQL&gt;&lt;Q&gt;DAL-US^FF_EARN_PERST('ANN','0','-9','YEARLY',RP,'LOCAL','B')&lt;/Q&gt;&lt;R&gt;10&lt;/R&gt;&lt;C&gt;1&lt;/C&gt;&lt;D xsi:type="xsd:double"&gt;81.258&lt;/D&gt;&lt;D xsi:type="xsd:double"&gt;90.657&lt;/D&gt;&lt;D xsi:type="xsd:double"&gt;77.782&lt;/D&gt;&lt;D xsi:type="xsd:double"&gt;76.609&lt;/D&gt;&lt;D xsi:type="xsd:double"&gt;84.377&lt;/D&gt;&lt;D xsi:type="xsd:double"&gt;90.49&lt;/D&gt;&lt;D xsi:type="xsd:double"&gt;77.738&lt;/D&gt;&lt;D xsi:type="xsd:double"&gt;54.804&lt;/D&gt;&lt;D xsi:type="xsd:double"&gt;81.325&lt;/D&gt;&lt;D xsi:type="xsd:double"&gt;77.632&lt;/D&gt;&lt;/FQL&gt;&lt;FQL&gt;&lt;Q&gt;DAL-US^FF_DPS('LTM','0','0','QUARTERLY',RP,'LOCAL','B')&lt;/Q&gt;&lt;R&gt;1&lt;/R&gt;&lt;C&gt;1&lt;/C&gt;&lt;D xsi:type="xsd:double"&gt;0&lt;/D&gt;&lt;/FQL&gt;&lt;FQL&gt;&lt;Q&gt;DAL-US^FF_DPS('ANN','0','-9','YEARLY',RP,'LOCAL','B')&lt;/Q&gt;&lt;R&gt;10&lt;/R&gt;&lt;C&gt;1&lt;/C&gt;&lt;D xsi:type="xsd:double"&gt;0.4025&lt;/D&gt;&lt;D xsi:type="xsd:double"&gt;1.505&lt;/D&gt;&lt;D xsi:type="xsd:double"&gt;1.31&lt;/D&gt;&lt;D xsi:type="xsd:double"&gt;1.015&lt;/D&gt;&lt;D xsi:type="xsd:double"&gt;0.675&lt;/D&gt;&lt;D xsi:type="xsd:double"&gt;0.45&lt;/D&gt;&lt;D xsi:type="xsd:double"&gt;0.3&lt;/D&gt;&lt;D xsi:type="xsd:double"&gt;0.12&lt;/D&gt;&lt;D xsi:type="xsd:double"&gt;0&lt;/D&gt;&lt;D xsi:type="xsd:double"&gt;0&lt;/D&gt;&lt;/FQL&gt;&lt;FQL&gt;&lt;Q&gt;DAL-US^FF_EBITDA_OPER('LTM','0','0','QUARTERLY',RP,'LOCAL','B')&lt;/Q&gt;&lt;R&gt;1&lt;/R&gt;&lt;C&gt;1&lt;/C&gt;&lt;D xsi:type="xsd:double"&gt;-2.645&lt;/D&gt;&lt;/FQL&gt;&lt;FQL&gt;&lt;Q&gt;DAL-US^FF_EBITDA_OPER('ANN','0','-9','YEARLY',RP,'LOCAL','B')&lt;/Q&gt;&lt;R&gt;10&lt;/R&gt;&lt;C&gt;1&lt;/C&gt;&lt;D xsi:type="xsd:double"&gt;-5.969&lt;/D&gt;&lt;D xsi:type="xsd:double"&gt;9.239&lt;/D&gt;&lt;D xsi:type="xsd:double"&gt;7.596&lt;/D&gt;&lt;D xsi:type="xsd:double"&gt;8.42&lt;/D&gt;&lt;D xsi:type="xsd:double"&gt;9.183&lt;/D&gt;&lt;D xsi:type="xsd:double"&gt;10.215&lt;/D&gt;&lt;D xsi:type="xsd:double"&gt;6.535&lt;/D&gt;&lt;D xsi:type="xsd:double"&gt;4.832&lt;/D&gt;&lt;D xsi:type="xsd:double"&gt;4.283&lt;/D&gt;&lt;D xsi:type="xsd:double"&gt;3.32&lt;/D&gt;&lt;/FQL&gt;&lt;FQL&gt;&lt;Q&gt;DAL-US^FF_OPER_LEASE_EXP('LTM','0','0','QUARTERLY',RP,'LOCAL','B')&lt;/Q&gt;&lt;R&gt;0&lt;/R&gt;&lt;C&gt;0&lt;/C&gt;&lt;/FQL&gt;&lt;FQL&gt;&lt;Q&gt;DAL-US^FF_OPER_LEASE_EXP('ANN','0','-9','YEARLY',RP,'LOCAL','B')&lt;/Q&gt;&lt;R&gt;10&lt;/R&gt;&lt;C&gt;1&lt;/C&gt;&lt;D xsi:type="xsd:double"&gt;2.689&lt;/D&gt;&lt;D xsi:type="xsd:double"&gt;2.969&lt;/D&gt;&lt;D xsi:type="xsd:double"&gt;2.879&lt;/D&gt;&lt;D xsi:type="xsd:double"&gt;1.3&lt;/D&gt;&lt;D xsi:type="xsd:double"&gt;1.3&lt;/D&gt;&lt;D xsi:type="xsd:double"&gt;1.2&lt;/D&gt;&lt;D xsi:type="xsd:double"&gt;1.2&lt;/D&gt;&lt;D xsi:type="xsd:double"&gt;1.1&lt;/D&gt;&lt;D xsi:type="xsd:double"&gt;1.1&lt;/D&gt;&lt;D xsi:type="xsd:double"&gt;1.1&lt;/D&gt;&lt;/FQL&gt;&lt;FQL&gt;&lt;Q&gt;DAL-US^FF_STK_OPT_EXP('LTM','0','0','QUARTERLY',RP,'LOCAL','B')&lt;/Q&gt;&lt;R&gt;0&lt;/R&gt;&lt;C&gt;0&lt;/C&gt;&lt;/FQL&gt;&lt;FQL&gt;&lt;Q&gt;DAL-US^FF_STK_OPT_EXP('ANN','0','-9','YEARLY',RP,'LOCAL','B')&lt;/Q&gt;&lt;R&gt;10&lt;/R&gt;&lt;C&gt;1&lt;/C&gt;&lt;D xsi:type="xsd:double"&gt;0.08687&lt;/D&gt;&lt;D xsi:type="xsd:double"&gt;0.11753&lt;/D&gt;&lt;D xsi:type="xsd:double"&gt;0.12561&lt;/D&gt;&lt;D xsi:type="xsd:double"&gt;0.08532&lt;/D&gt;&lt;D xsi:type="xsd:double"&gt;0.063&lt;/D&gt;&lt;D xsi:type="xsd:double"&gt;0.0456&lt;/D&gt;&lt;D xsi:type="xsd:double"&gt;0.0486&lt;/D&gt;&lt;D xsi:type="xsd:double"&gt;0.054&lt;/D&gt;&lt;D xsi:type="xsd:double"&gt;0.0324&lt;/D&gt;&lt;D xsi:type="xsd:double"&gt;0.043&lt;/D&gt;&lt;/FQL&gt;&lt;FQL&gt;&lt;Q&gt;DAL-US^FF_TAX_RATE('LTM','0','0','QUARTERLY',RP,'LOCAL','B')&lt;/Q&gt;&lt;R&gt;0&lt;/R&gt;&lt;C&gt;0&lt;/C&gt;&lt;/FQL&gt;&lt;FQL&gt;&lt;Q&gt;DAL-US^FF_TAX_RATE('ANN','0','-9','YEARLY',RP,'LOCAL','B')&lt;/Q&gt;&lt;R&gt;10&lt;/R&gt;&lt;C&gt;1&lt;/C&gt;&lt;D xsi:type="xsd:string"&gt;@NA&lt;/D&gt;&lt;D xsi:type="xsd:double"&gt;23.0880929332043&lt;/D&gt;&lt;D xsi:type="xsd:double"&gt;23.6070665890118&lt;/D&gt;&lt;D xsi:type="xsd:double"&gt;37.2566216453254&lt;/D&gt;&lt;D xsi:type="xsd:double"&gt;34.1018685955395&lt;/D&gt;&lt;D xsi:type="xsd:double"&gt;36.7612127986587&lt;/D&gt;&lt;D xsi:type="xsd:double"&gt;38.5261194029851&lt;/D&gt;&lt;D xsi:type="xsd:double"&gt;-317.095370003957&lt;/D&gt;&lt;D xsi:type="xsd:double"&gt;1.5609756097561&lt;/D&gt;&lt;D xsi:type="xsd:double"&gt;-11.0533159947984&lt;/D&gt;&lt;/FQL&gt;&lt;FQL&gt;&lt;Q&gt;DAL-US^PCTCHG(FF_SALES('LTM','0','0','QUARTERLY',RP,'LOCAL','B'),FF_SALES('LTM','-4','-4','QUARTERLY',RP,'LOCAL','B'))&lt;/Q&gt;&lt;R&gt;1&lt;/R&gt;&lt;C&gt;1&lt;/C&gt;&lt;D xsi:type="xsd:double"&gt;-0.63924915&lt;/D&gt;&lt;/FQL&gt;&lt;FQL&gt;&lt;Q&gt;DAL-US^PCTCHG(FF_SALES('ANN','0','-9','YEARLY',RP,'LOCAL','B'),FF_SALES('ANN','-1','-10','YEARLY',RP,'LOCAL','B'))&lt;/Q&gt;&lt;R&gt;10&lt;/R&gt;&lt;C&gt;1&lt;/C&gt;&lt;D xsi:type="xsd:double"&gt;-63.6323&lt;/D&gt;&lt;D xsi:type="xsd:double"&gt;5.7716947&lt;/D&gt;&lt;D xsi:type="xsd:double"&gt;7.777564&lt;/D&gt;&lt;D xsi:type="xsd:double"&gt;4.121004&lt;/D&gt;&lt;D xsi:type="xsd:double"&gt;-2.2317665&lt;/D&gt;&lt;D xsi:type="xsd:double"&gt;0.7511739&lt;/D&gt;&lt;D xsi:type="xsd:double"&gt;6.8175726&lt;/D&gt;&lt;D xsi:type="xsd:double"&gt;2.5698345&lt;/D&gt;&lt;D xsi:type="xsd:double"&gt;4.499496&lt;/D&gt;&lt;D xsi:type="xsd:double"&gt;10.581018&lt;/D&gt;&lt;/FQL&gt;&lt;FQL&gt;&lt;Q&gt;DAL-US^PCTCHG(FF_COGS('LTM','0','0','QUARTERLY',RP,'LOCAL','B'),FF_COGS('LTM','-4','-4','QUARTERLY',RP,'LOCAL','B'))&lt;/Q&gt;&lt;R&gt;1&lt;/R&gt;&lt;C&gt;1&lt;/C&gt;&lt;D xsi:type="xsd:double"&gt;-0.67463523&lt;/D&gt;&lt;/FQL&gt;&lt;FQL&gt;&lt;Q&gt;DAL-US^PCTCHG(FF_COGS('ANN','0','-9','YEARLY',RP,'LOCAL','B'),FF_COGS('ANN','-1','-10','YEARLY',RP,'LOCAL','B'))&lt;/Q&gt;&lt;R&gt;10&lt;/R&gt;&lt;C&gt;1&lt;/C&gt;&lt;D xsi:type="xsd:double"&gt;-35.406185&lt;/D&gt;&lt;D xsi:type="xsd:double"&gt;3.0245037&lt;/D&gt;&lt;D xsi:type="xsd:double"&gt;14.500363&lt;/D&gt;&lt;D xsi:type="xsd:double"&gt;8.34236&lt;/D&gt;&lt;D xsi:type="xsd:double"&gt;0.5939016&lt;/D&gt;&lt;D xsi:type="xsd:double"&gt;-10.916324&lt;/D&gt;&lt;D xsi:type="xsd:double"&gt;1.9208105&lt;/D&gt;&lt;D xsi:type="xsd:double"&gt;1.7730136&lt;/D&gt;&lt;D xsi:type="xsd:double"&gt;3.5334878&lt;/D&gt;&lt;D xsi:type="xsd:double"&gt;16.096794&lt;/D&gt;&lt;/FQL&gt;&lt;FQL&gt;&lt;Q&gt;DAL-US^PCTCHG(FF_GROSS_INC('LTM','0','0','QUARTERLY',RP,'LOCAL','B'),FF_GROSS_INC('LTM','-4','-4','QUARTERLY',RP,'LOCAL','B'))&lt;/Q&gt;&lt;R&gt;1&lt;/R&gt;&lt;C&gt;1&lt;/C&gt;&lt;D xsi:type="xsd:double"&gt;0.9948397&lt;/D&gt;&lt;/FQL&gt;&lt;FQL&gt;&lt;Q&gt;DAL-US^PCTCHG(FF_GROSS_INC('ANN','0','-9','YEARLY',RP,'LOCAL','B'),FF_GROSS_INC('ANN','-1','-10','YEARLY',RP,'LOCAL','B'))&lt;/Q&gt;&lt;R&gt;10&lt;/R&gt;&lt;C&gt;1&lt;/C&gt;&lt;D xsi:type="xsd:double"&gt;-162.71349&lt;/D&gt;&lt;D xsi:type="xsd:double"&gt;16.694662&lt;/D&gt;&lt;D xsi:type="xsd:double"&gt;-12.621075&lt;/D&gt;&lt;D xsi:type="xsd:double"&gt;-6.887132&lt;/D&gt;&lt;D xsi:type="xsd:double"&gt;-8.904564&lt;/D&gt;&lt;D xsi:type="xsd:double"&gt;45.866123&lt;/D&gt;&lt;D xsi:type="xsd:double"&gt;31.189451&lt;/D&gt;&lt;D xsi:type="xsd:double"&gt;6.7288103&lt;/D&gt;&lt;D xsi:type="xsd:double"&gt;9.8491955&lt;/D&gt;&lt;D xsi:type="xsd:double"&gt;-12.453144&lt;/D&gt;&lt;/FQL&gt;&lt;FQL&gt;&lt;Q&gt;DAL-US^PCTCHG(FF_SGA('LTM','0','0','QUARTERLY',RP,'LOCAL','B'),FF_SGA('LTM','-4','-4','QUARTERLY',RP,'LOCAL','B'))&lt;/Q&gt;&lt;R&gt;1&lt;/R&gt;&lt;C&gt;1&lt;/C&gt;&lt;D xsi:type="xsd:double"&gt;-26.497465&lt;/D&gt;&lt;/FQL&gt;&lt;FQL&gt;&lt;Q&gt;DAL-US^PCTCHG(FF_SGA('ANN','0','-9','YEARLY',RP,'LOCAL','B'),FF_SGA('ANN','-1','-10','YEARLY',RP,'LOCAL','B'))&lt;/Q&gt;&lt;R&gt;10&lt;/R&gt;&lt;C&gt;1&lt;/C&gt;&lt;D xsi:type="xsd:double"&gt;-70.79779&lt;/D&gt;&lt;D xsi:type="xsd:double"&gt;2.6790338&lt;/D&gt;&lt;D xsi:type="xsd:double"&gt;8.617798&lt;/D&gt;&lt;D xsi:type="xsd:double"&gt;4.5029182&lt;/D&gt;&lt;D xsi:type="xsd:double"&gt;2.2727265&lt;/D&gt;&lt;D xsi:type="xsd:double"&gt;-1.6470586&lt;/D&gt;&lt;D xsi:type="xsd:double"&gt;6.0511546&lt;/D&gt;&lt;D xsi:type="xsd:double"&gt;0.81761074&lt;/D&gt;&lt;D xsi:type="xsd:double"&gt;-5.4696794&lt;/D&gt;&lt;D xsi:type="xsd:double"&gt;11.464553&lt;/D&gt;&lt;/FQL&gt;&lt;FQL&gt;&lt;Q&gt;DAL-US^PCTCHG(FF_EBIT_OPER('LTM','0','0','QUARTERLY',RP,'LOCAL','B'),FF_EBIT_OPER('LTM','-4','-4','QUARTERLY',RP,'LOCAL','B'))&lt;/Q&gt;&lt;R&gt;1&lt;/R&gt;&lt;C&gt;1&lt;/C&gt;&lt;D xsi:type="xsd:double"&gt;9.040988&lt;/D&gt;&lt;/FQL&gt;&lt;FQL&gt;&lt;Q&gt;DAL-US^PCTCHG(FF_EBIT_OPER('ANN','0','-9','YEARLY',RP,'LOCAL','B'),FF_EBIT_OPER('ANN','-1','-10','YEARLY',RP,'LOCAL','B'))&lt;/Q&gt;&lt;R&gt;10&lt;/R&gt;&lt;C&gt;1&lt;/C&gt;&lt;D xsi:type="xsd:double"&gt;-224.3767&lt;/D&gt;&lt;D xsi:type="xsd:double"&gt;26.409718&lt;/D&gt;&lt;D xsi:type="xsd:double"&gt;-14.842356&lt;/D&gt;&lt;D xsi:type="xsd:double"&gt;-15.05288&lt;/D&gt;&lt;D xsi:type="xsd:double"&gt;-13.114558&lt;/D&gt;&lt;D xsi:type="xsd:double"&gt;75.9026&lt;/D&gt;&lt;D xsi:type="xsd:double"&gt;50.094513&lt;/D&gt;&lt;D xsi:type="xsd:double"&gt;16.777046&lt;/D&gt;&lt;D xsi:type="xsd:double"&gt;51.252083&lt;/D&gt;&lt;D xsi:type="xsd:double"&gt;-48.774227&lt;/D&gt;&lt;/FQL&gt;&lt;FQL&gt;&lt;Q&gt;DAL-US^PCTCHG(FF_NON_OPER_INC('LTM','0','0','QUARTERLY',RP,'LOCAL','B'),FF_NON_OPER_INC('LTM','-4','-4','QUARTERLY',RP,'LOCAL','B'))&lt;/Q&gt;&lt;R&gt;0&lt;/R&gt;&lt;C&gt;0&lt;/C&gt;&lt;/FQL&gt;&lt;FQL&gt;&lt;Q&gt;DAL-US^PCTCHG(FF_NON_OPER_INC('ANN','0','-9','YEARLY',RP,'LOCAL','B'),FF_NON_OPER_INC('ANN','-1','-10','YEARLY',RP,'LOCAL','B'))&lt;/Q&gt;&lt;R&gt;10&lt;/R&gt;&lt;C&gt;1&lt;/C&gt;&lt;D xsi:type="xsd:string"&gt;@NA&lt;/D&gt;&lt;D xsi:type="xsd:double"&gt;-170.71825&lt;/D&gt;&lt;D xsi:type="xsd:string"&gt;@NA&lt;/D&gt;&lt;D xsi:type="xsd:double"&gt;-16.66667&lt;/D&gt;&lt;D xsi:type="xsd:double"&gt;-175.00002&lt;/D&gt;&lt;D xsi:type="xsd:double"&gt;-82.22222&lt;/D&gt;&lt;D xsi:type="xsd:double"&gt;-60.526314&lt;/D&gt;&lt;D xsi:type="xsd:string"&gt;@NA&lt;/D&gt;&lt;D xsi:type="xsd:double"&gt;-4100&lt;/D&gt;&lt;D xsi:type="xsd:double"&gt;99.88081&lt;/D&gt;&lt;/FQL&gt;&lt;FQL&gt;&lt;Q&gt;DAL-US^PCTCHG(FF_INT_EXP_NET('LTM','0','0','QUARTERLY',RP,'LOCAL','B'),FF_INT_EXP_NET('LTM','-4','-4','QUARTERLY',RP,'LOCAL','B'))&lt;/Q&gt;&lt;R&gt;1&lt;/R&gt;&lt;C&gt;1&lt;/C&gt;&lt;D xsi:type="xsd:double"&gt;116.66667&lt;/D&gt;&lt;/FQL&gt;&lt;FQL&gt;&lt;Q&gt;DAL-US^PCTCHG(FF_INT_EXP_NET('ANN','0','-9','YEARLY',RP,'LOCAL','B'),FF_INT_EXP_NET('ANN','-1','-10','YEARLY',RP,'LOCAL','B'))&lt;/Q&gt;&lt;R&gt;10&lt;/R&gt;&lt;C&gt;1&lt;/C&gt;&lt;D xsi:type="xsd:double"&gt;208.63788&lt;/D&gt;&lt;D xsi:type="xsd:double"&gt;-3.215431&lt;/D&gt;&lt;D xsi:type="xsd:double"&gt;-21.46465&lt;/D&gt;&lt;D xsi:type="xsd:double"&gt;2.0618522&lt;/D&gt;&lt;D xsi:type="xsd:double"&gt;-19.334717&lt;/D&gt;&lt;D xsi:type="xsd:double"&gt;-22.294024&lt;/D&gt;&lt;D xsi:type="xsd:double"&gt;-27.347414&lt;/D&gt;&lt;D xsi:type="xsd:double"&gt;-14.8&lt;/D&gt;&lt;D xsi:type="xsd:double"&gt;-8.5923195&lt;/D&gt;&lt;D xsi:type="xsd:double"&gt;-10.327872&lt;/D&gt;&lt;/FQL&gt;&lt;FQL&gt;&lt;Q&gt;DAL-US^PCTCHG(FF_UNUSUAL_EXP('LTM','0','0','QUARTERLY',RP,'LOCAL','B'),FF_UNUSUAL_EXP('LTM','-4','-4','QUARTERLY',RP,'LOCAL','B'))&lt;/Q&gt;&lt;R&gt;1&lt;/R&gt;&lt;C&gt;1&lt;/C&gt;&lt;D xsi:type="xsd:double"&gt;-172.91382&lt;/D&gt;&lt;/FQL&gt;&lt;FQL&gt;&lt;Q&gt;DAL-US^PCTCHG(FF_UNUSUAL_EXP('ANN','0','-9','YEARLY',RP,'LOCAL','B'),FF_UNUSUAL_EXP('ANN','-1','-10','YEARLY',RP,'LOCAL','B'))&lt;/Q&gt;&lt;R&gt;10&lt;/R&gt;&lt;C&gt;1&lt;/C&gt;&lt;D xsi:type="xsd:double"&gt;21354.838&lt;/D&gt;&lt;D xsi:type="xsd:string"&gt;@NA&lt;/D&gt;&lt;D xsi:type="xsd:double"&gt;-117.28395&lt;/D&gt;&lt;D xsi:type="xsd:double"&gt;-67.72907&lt;/D&gt;&lt;D xsi:type="xsd:double"&gt;-66.53333&lt;/D&gt;&lt;D xsi:type="xsd:double"&gt;-75.94612&lt;/D&gt;&lt;D xsi:type="xsd:string"&gt;@NA&lt;/D&gt;&lt;D xsi:type="xsd:double"&gt;-113.9785&lt;/D&gt;&lt;D xsi:type="xsd:string"&gt;@NA&lt;/D&gt;&lt;D xsi:type="xsd:double"&gt;-107.966705&lt;/D&gt;&lt;/FQL&gt;&lt;FQL&gt;&lt;Q&gt;DAL-US^PCTCHG(FF_PTX_INC('LTM','0','0','QUARTERLY',RP,'LOCAL','B'),FF_PTX_INC('LTM','-4','-4','QUARTERLY',RP,'LOCAL','B'))&lt;/Q&gt;&lt;R&gt;1&lt;/R&gt;&lt;C&gt;1&lt;/C&gt;&lt;D xsi:type="xsd:double"&gt;97.59229&lt;/D&gt;&lt;/FQL&gt;&lt;FQL&gt;&lt;Q&gt;DAL-US^PCTCHG(FF_PTX_INC('ANN','0','-9','YEARLY',RP,'LOCAL','B'),FF_PTX_INC('ANN','-1','-10','YEARLY',RP,'LOCAL','B'))&lt;/Q&gt;&lt;R&gt;10&lt;/R&gt;&lt;C&gt;1&lt;/C&gt;&lt;D xsi:type="xsd:double"&gt;-351.48434&lt;/D&gt;&lt;D xsi:type="xsd:double"&gt;20.32615&lt;/D&gt;&lt;D xsi:type="xsd:double"&gt;-9.647434&lt;/D&gt;&lt;D xsi:type="xsd:double"&gt;-14.089811&lt;/D&gt;&lt;D xsi:type="xsd:double"&gt;-7.279585&lt;/D&gt;&lt;D xsi:type="xsd:double"&gt;567.6306&lt;/D&gt;&lt;D xsi:type="xsd:double"&gt;-57.578156&lt;/D&gt;&lt;D xsi:type="xsd:double"&gt;146.53659&lt;/D&gt;&lt;D xsi:type="xsd:double"&gt;33.289986&lt;/D&gt;&lt;D xsi:type="xsd:double"&gt;26.480267&lt;/D&gt;&lt;/FQL&gt;&lt;FQL&gt;&lt;Q&gt;DAL-US^PCTCHG(FF_INC_TAX('LTM','0','0','QUARTERLY',RP,'LOCAL','B'),FF_INC_TAX('LTM','-4','-4','QUARTERLY',RP,'LOCAL','B'))&lt;/Q&gt;&lt;R&gt;1&lt;/R&gt;&lt;C&gt;1&lt;/C&gt;&lt;D xsi:type="xsd:double"&gt;90.32132&lt;/D&gt;&lt;/FQL&gt;&lt;FQL&gt;&lt;Q&gt;DAL-US^PCTCHG(FF_INC_TAX('ANN','0','-9','YEARLY',RP,'LOCAL','B'),FF_INC_TAX('ANN','-1','-10','YEARLY',RP,'LOCAL','B'))&lt;/Q&gt;&lt;R&gt;10&lt;/R&gt;&lt;C&gt;1&lt;/C&gt;&lt;D xsi:type="xsd:double"&gt;-323.7596&lt;/D&gt;&lt;D xsi:type="xsd:double"&gt;17.680923&lt;/D&gt;&lt;D xsi:type="xsd:double"&gt;-42.749535&lt;/D&gt;&lt;D xsi:type="xsd:double"&gt;-6.1422863&lt;/D&gt;&lt;D xsi:type="xsd:double"&gt;-13.987079&lt;/D&gt;&lt;D xsi:type="xsd:double"&gt;537.04596&lt;/D&gt;&lt;D xsi:type="xsd:string"&gt;@NA&lt;/D&gt;&lt;D xsi:type="xsd:double"&gt;-50181.242&lt;/D&gt;&lt;D xsi:type="xsd:string"&gt;@NA&lt;/D&gt;&lt;D xsi:type="xsd:double"&gt;-666.6667&lt;/D&gt;&lt;/FQL&gt;&lt;FQL&gt;&lt;Q&gt;DAL-US^PCTCHG(FF_CONSOL_NET_INC('LTM','0','0','QUARTERLY',RP,'LOCAL','B'),FF_CONSOL_NET_INC('LTM','-4','-4','QUARTERLY',RP,'LOCAL','B'))&lt;/Q&gt;&lt;R&gt;1&lt;/R&gt;&lt;C&gt;1&lt;/C&gt;&lt;D xsi:type="xsd:double"&gt;99.35429&lt;/D&gt;&lt;/FQL&gt;&lt;FQL&gt;&lt;Q&gt;DAL-US^PCTCHG(FF_CONSOL_NET_INC('ANN','0','-9','YEARLY',RP,'LOCAL','B'),FF_CONSOL_NET_INC('ANN','-1','-10','YEARLY',RP,'LOCAL','B'))&lt;/Q&gt;&lt;R&gt;10&lt;/R&gt;&lt;C&gt;1&lt;/C&gt;&lt;D xsi:type="xsd:double"&gt;-359.80704&lt;/D&gt;&lt;D xsi:type="xsd:double"&gt;21.14359&lt;/D&gt;&lt;D xsi:type="xsd:double"&gt;10.008388&lt;/D&gt;&lt;D xsi:type="xsd:double"&gt;-18.202612&lt;/D&gt;&lt;D xsi:type="xsd:double"&gt;-3.3804657&lt;/D&gt;&lt;D xsi:type="xsd:double"&gt;586.79816&lt;/D&gt;&lt;D xsi:type="xsd:double"&gt;-93.74763&lt;/D&gt;&lt;D xsi:type="xsd:double"&gt;944.59863&lt;/D&gt;&lt;D xsi:type="xsd:double"&gt;18.14988&lt;/D&gt;&lt;D xsi:type="xsd:double"&gt;44.01349&lt;/D&gt;&lt;/FQL&gt;&lt;FQL&gt;&lt;Q&gt;DAL-US^PCTCHG(FF_NET_INC('LTM','0','0','QUARTERLY',RP,'LOCAL','B'),FF_NET_INC('LTM','-4','-4','QUARTERLY',RP,'LOCAL','B'))&lt;/Q&gt;&lt;R&gt;1&lt;/R&gt;&lt;C&gt;1&lt;/C&gt;&lt;D xsi:type="xsd:double"&gt;99.35429&lt;/D&gt;&lt;/FQL&gt;&lt;FQL&gt;&lt;Q&gt;DAL-US^PCTCHG(FF_NET_INC('ANN','0','-9','YEARLY',RP,'LOCAL','B'),FF_NET_INC('ANN','-1','-10','YEARLY',RP,'LOCAL','B'))&lt;/Q&gt;&lt;R&gt;10&lt;/R&gt;&lt;C&gt;1&lt;/C&gt;&lt;D xsi:type="xsd:double"&gt;-359.80704&lt;/D&gt;&lt;D xsi:type="xsd:double"&gt;21.14359&lt;/D&gt;&lt;D xsi:type="xsd:double"&gt;10.008388&lt;/D&gt;&lt;D xsi:type="xsd:double"&gt;-18.202612&lt;/D&gt;&lt;D xsi:type="xsd:double"&gt;-3.3804657&lt;/D&gt;&lt;D xsi:type="xsd:double"&gt;586.79816&lt;/D&gt;&lt;D xsi:type="xsd:double"&gt;-93.74763&lt;/D&gt;&lt;D xsi:type="xsd:double"&gt;944.59863&lt;/D&gt;&lt;D xsi:type="xsd:double"&gt;18.14988&lt;/D&gt;&lt;D xsi:type="xsd:double"&gt;44.01349&lt;/D&gt;&lt;/FQL&gt;&lt;FQL&gt;&lt;Q&gt;DAL-US^PCTCHG(FF_EPS_DIL_BEF_UNUSUAL('LTM','0','0','QUARTERLY',RP,'LOCAL','B'),FF_EPS_DIL_BEF_UNUSUAL('LTM','-4','-4','QUARTERLY',RP,'LOCAL','B'))&lt;/Q&gt;&lt;R&gt;1&lt;/R&gt;&lt;C&gt;1&lt;/C&gt;&lt;D xsi:type="xsd:double"&gt;30.486881&lt;/D&gt;&lt;/FQL&gt;&lt;FQL&gt;&lt;Q&gt;DAL-US^PCTCHG(FF_EPS_DIL_BEF_UNUSUAL('ANN','0','-9','YEARLY',RP,'LOCAL','B'),FF_EPS_DIL_BEF_UNUSUAL('ANN','-1','-10','YEARLY',RP,'LOCAL','B'))&lt;/Q&gt;&lt;R&gt;10&lt;/R&gt;&lt;C&gt;1&lt;/C&gt;&lt;D xsi:type="xsd:double"&gt;-265.7214&lt;/D&gt;&lt;D xsi:type="xsd:double"&gt;29.658844&lt;/D&gt;&lt;D xsi:type="xsd:double"&gt;12.536013&lt;/D&gt;&lt;D xsi:type="xsd:double"&gt;-16.579952&lt;/D&gt;&lt;D xsi:type="xsd:double"&gt;-4.0999036&lt;/D&gt;&lt;D xsi:type="xsd:double"&gt;86.81644&lt;/D&gt;&lt;D xsi:type="xsd:double"&gt;-72.458626&lt;/D&gt;&lt;D xsi:type="xsd:double"&gt;608.5832&lt;/D&gt;&lt;D xsi:type="xsd:double"&gt;80.19587&lt;/D&gt;&lt;D xsi:type="xsd:double"&gt;-31.781017&lt;/D&gt;&lt;/FQL&gt;&lt;FQL&gt;&lt;Q&gt;DAL-US^PCTCHG(FF_EPS_DIL('LTM','0','0','QUARTERLY',RP,'LOCAL','B'),FF_EPS_DIL('LTM','-4','-4','QUARTERLY',RP,'LOCAL','B'))&lt;/Q&gt;&lt;R&gt;1&lt;/R&gt;&lt;C&gt;1&lt;/C&gt;&lt;D xsi:type="xsd:double"&gt;99.197876&lt;/D&gt;&lt;/FQL&gt;&lt;FQL&gt;&lt;Q&gt;DAL-US^PCTCHG(FF_EPS_DIL('ANN','0','-9','YEARLY',RP,'LOCAL','B'),FF_EPS_DIL('ANN','-1','-10','YEARLY',RP,'LOCAL','B'))&lt;/Q&gt;&lt;R&gt;10&lt;/R&gt;&lt;C&gt;1&lt;/C&gt;&lt;D xsi:type="xsd:double"&gt;-366.7502&lt;/D&gt;&lt;D xsi:type="xsd:double"&gt;28.751322&lt;/D&gt;&lt;D xsi:type="xsd:double"&gt;14.545461&lt;/D&gt;&lt;D xsi:type="xsd:double"&gt;-14.507774&lt;/D&gt;&lt;D xsi:type="xsd:double"&gt;2.8419156&lt;/D&gt;&lt;D xsi:type="xsd:double"&gt;621.7949&lt;/D&gt;&lt;D xsi:type="xsd:double"&gt;-93.65049&lt;/D&gt;&lt;D xsi:type="xsd:double"&gt;932.3026&lt;/D&gt;&lt;D xsi:type="xsd:double"&gt;17.82179&lt;/D&gt;&lt;D xsi:type="xsd:double"&gt;44.285713&lt;/D&gt;&lt;/FQL&gt;&lt;FQL&gt;&lt;Q&gt;DAL-US^PCTCHG(FF_DPS('LTM','0','0','QUARTERLY',RP,'LOCAL','B'),FF_DPS('LTM','-4','-4','QUARTERLY',RP,'LOCAL','B'))&lt;/Q&gt;&lt;R&gt;1&lt;/R&gt;&lt;C&gt;1&lt;/C&gt;&lt;D xsi:type="xsd:double"&gt;-100&lt;/D&gt;&lt;/FQL&gt;&lt;FQL&gt;&lt;Q&gt;DAL-US^PCTCHG(FF_DPS('ANN','0','-9','YEARLY',RP,'LOCAL','B'),FF_DPS('ANN','-1','-10','YEARLY',RP,'LOCAL','B'))&lt;/Q&gt;&lt;R&gt;10&lt;/R&gt;&lt;C&gt;1&lt;/C&gt;&lt;D xsi:type="xsd:double"&gt;-73.25581&lt;/D&gt;&lt;D xsi:type="xsd:double"&gt;14.885501&lt;/D&gt;&lt;D xsi:type="xsd:double"&gt;29.064035&lt;/D&gt;&lt;D xsi:type="xsd:double"&gt;50.370365&lt;/D&gt;&lt;D xsi:type="xsd:double"&gt;50.000004&lt;/D&gt;&lt;D xsi:type="xsd:double"&gt;49.999992&lt;/D&gt;&lt;D xsi:type="xsd:double"&gt;150&lt;/D&gt;&lt;D xsi:type="xsd:string"&gt;@NA&lt;/D&gt;&lt;D xsi:type="xsd:string"&gt;@NA&lt;/D&gt;&lt;D xsi:type="xsd:string"&gt;@NA&lt;/D&gt;&lt;/FQL&gt;&lt;FQL&gt;&lt;Q&gt;DAL-US^PCTCHG(FF_EBITDA_OPER('LTM','0','0','QUARTERLY',RP,'LOCAL','B'),FF_EBITDA_OPER('LTM','-4','-4','QUARTERLY',RP,'LOCAL','B'))&lt;/Q&gt;&lt;R&gt;1&lt;/R&gt;&lt;C&gt;1&lt;/C&gt;&lt;D xsi:type="xsd:double"&gt;0.67593414&lt;/D&gt;&lt;/FQL&gt;&lt;FQL&gt;&lt;Q&gt;DAL-US^PCTCHG(FF_EBITDA_OPER('ANN','0','-9','YEARLY',RP,'LOCAL','B'),FF_EBITDA_OPER('ANN','-1','-10','YEARLY',RP,'LOCAL','B'))&lt;/Q&gt;&lt;R&gt;10&lt;/R&gt;&lt;C&gt;1&lt;/C&gt;&lt;D xsi:t</t>
        </r>
      </text>
    </comment>
    <comment ref="A19" authorId="0" shapeId="0" xr:uid="{227F8F05-FFC8-4B77-879C-1575A0A9275B}">
      <text>
        <r>
          <rPr>
            <b/>
            <sz val="9"/>
            <color indexed="81"/>
            <rFont val="Tahoma"/>
            <charset val="1"/>
          </rPr>
          <t>ype="xsd:double"&gt;-164.60655&lt;/D&gt;&lt;D xsi:type="xsd:double"&gt;21.629808&lt;/D&gt;&lt;D xsi:type="xsd:double"&gt;-9.786222&lt;/D&gt;&lt;D xsi:type="xsd:double"&gt;-8.308827&lt;/D&gt;&lt;D xsi:type="xsd:double"&gt;-10.102796&lt;/D&gt;&lt;D xsi:type="xsd:double"&gt;56.31217&lt;/D&gt;&lt;D xsi:type="xsd:double"&gt;35.244205&lt;/D&gt;&lt;D xsi:type="xsd:double"&gt;12.818113&lt;/D&gt;&lt;D xsi:type="xsd:double"&gt;29.006023&lt;/D&gt;&lt;D xsi:type="xsd:double"&gt;-33.851368&lt;/D&gt;&lt;/FQL&gt;&lt;FQL&gt;&lt;Q&gt;DAL-US^FF_COM_SHS_OUT('QTR','0','0','QUARTERLY',RF,,'M')&lt;/Q&gt;&lt;R&gt;1&lt;/R&gt;&lt;C&gt;1&lt;/C&gt;&lt;D xsi:type="xsd:double"&gt;649.758099&lt;/D&gt;&lt;/FQL&gt;&lt;FQL&gt;&lt;Q&gt;DAL-US^FF_COM_SHS_OUT_EPS_BASIC('ANN','0','-9','YEARLY',RF,,'M')&lt;/Q&gt;&lt;R&gt;10&lt;/R&gt;&lt;C&gt;1&lt;/C&gt;&lt;D xsi:type="xsd:double"&gt;636&lt;/D&gt;&lt;D xsi:type="xsd:double"&gt;651&lt;/D&gt;&lt;D xsi:type="xsd:double"&gt;691&lt;/D&gt;&lt;D xsi:type="xsd:double"&gt;720&lt;/D&gt;&lt;D xsi:type="xsd:double"&gt;751&lt;/D&gt;&lt;D xsi:type="xsd:double"&gt;797&lt;/D&gt;&lt;D xsi:type="xsd:double"&gt;836&lt;/D&gt;&lt;D xsi:type="xsd:double"&gt;849&lt;/D&gt;&lt;D xsi:type="xsd:double"&gt;845&lt;/D&gt;&lt;D xsi:type="xsd:double"&gt;838&lt;/D&gt;&lt;/FQL&gt;&lt;FQL&gt;&lt;Q&gt;DAL-US^FF_COM_SHS_OUT_EPS_DIL('ANN','0','-9','YEARLY',RF,,'M')&lt;/Q&gt;&lt;R&gt;10&lt;/R&gt;&lt;C&gt;1&lt;/C&gt;&lt;D xsi:type="xsd:double"&gt;636&lt;/D&gt;&lt;D xsi:type="xsd:double"&gt;653&lt;/D&gt;&lt;D xsi:type="xsd:double"&gt;694&lt;/D&gt;&lt;D xsi:type="xsd:double"&gt;723&lt;/D&gt;&lt;D xsi:type="xsd:double"&gt;755&lt;/D&gt;&lt;D xsi:type="xsd:double"&gt;804&lt;/D&gt;&lt;D xsi:type="xsd:double"&gt;845&lt;/D&gt;&lt;D xsi:type="xsd:double"&gt;858&lt;/D&gt;&lt;D xsi:type="xsd:double"&gt;850&lt;/D&gt;&lt;D xsi:type="xsd:double"&gt;844&lt;/D&gt;&lt;/FQL&gt;&lt;FQL&gt;&lt;Q&gt;DAL-US^JULIAN(FF_COM_EQ_RETAIN_EARN(ANN_R,0,-10AY,,,,B).DATES)&lt;/Q&gt;&lt;R&gt;11&lt;/R&gt;&lt;C&gt;1&lt;/C&gt;&lt;D xsi:type="xsd:long"&gt;44196&lt;/D&gt;&lt;D xsi:type="xsd:long"&gt;43830&lt;/D&gt;&lt;D xsi:type="xsd:long"&gt;43465&lt;/D&gt;&lt;D xsi:type="xsd:long"&gt;43098&lt;/D&gt;&lt;D xsi:type="xsd:long"&gt;42734&lt;/D&gt;&lt;D xsi:type="xsd:long"&gt;42369&lt;/D&gt;&lt;D xsi:type="xsd:long"&gt;42004&lt;/D&gt;&lt;D xsi:type="xsd:long"&gt;41639&lt;/D&gt;&lt;D xsi:type="xsd:long"&gt;41274&lt;/D&gt;&lt;D xsi:type="xsd:long"&gt;40907&lt;/D&gt;&lt;D xsi:type="xsd:long"&gt;40543&lt;/D&gt;&lt;/FQL&gt;&lt;FQL&gt;&lt;Q&gt;DAL-US^FF_COM_EQ_RETAIN_EARN(ANN_R,0,-10AY,,,,B)&lt;/Q&gt;&lt;R&gt;11&lt;/R&gt;&lt;C&gt;1&lt;/C&gt;&lt;D xsi:type="xsd:double"&gt;-0.428&lt;/D&gt;&lt;D xsi:type="xsd:double"&gt;12.454&lt;/D&gt;&lt;D xsi:type="xsd:double"&gt;10.039&lt;/D&gt;&lt;D xsi:type="xsd:double"&gt;8.256&lt;/D&gt;&lt;D xsi:type="xsd:double"&gt;7.903&lt;/D&gt;&lt;D xsi:type="xsd:double"&gt;7.623&lt;/D&gt;&lt;D xsi:type="xsd:double"&gt;3.456&lt;/D&gt;&lt;D xsi:type="xsd:double"&gt;3.049&lt;/D&gt;&lt;D xsi:type="xsd:double"&gt;-7.389&lt;/D&gt;&lt;D xsi:type="xsd:double"&gt;-8.398&lt;/D&gt;&lt;D xsi:type="xsd:double"&gt;-9.252&lt;/D&gt;&lt;/FQL&gt;&lt;FQL&gt;&lt;Q&gt;DAL-US^FF_CASH_ST('ANN','0','-9','YEARLY',RP,'LOCAL','B')&lt;/Q&gt;&lt;R&gt;10&lt;/R&gt;&lt;C&gt;1&lt;/C&gt;&lt;D xsi:type="xsd:double"&gt;14.288&lt;/D&gt;&lt;D xsi:type="xsd:double"&gt;3.094&lt;/D&gt;&lt;D xsi:type="xsd:double"&gt;1.815&lt;/D&gt;&lt;D xsi:type="xsd:double"&gt;2.639&lt;/D&gt;&lt;D xsi:type="xsd:double"&gt;3.642&lt;/D&gt;&lt;D xsi:type="xsd:double"&gt;5.424&lt;/D&gt;&lt;D xsi:type="xsd:double"&gt;4.383&lt;/D&gt;&lt;D xsi:type="xsd:double"&gt;3.925&lt;/D&gt;&lt;D xsi:type="xsd:double"&gt;3.749&lt;/D&gt;&lt;D xsi:type="xsd:double"&gt;3.92&lt;/D&gt;&lt;/FQL&gt;&lt;FQL&gt;&lt;Q&gt;DAL-US^FF_RECEIV_ST('ANN','0','-9','YEARLY',RP,'LOCAL','B')&lt;/Q&gt;&lt;R&gt;10&lt;/R&gt;&lt;C&gt;1&lt;/C&gt;&lt;D xsi:type="xsd:double"&gt;1.396&lt;/D&gt;&lt;D xsi:type="xsd:double"&gt;2.854&lt;/D&gt;&lt;D xsi:type="xsd:double"&gt;2.314&lt;/D&gt;&lt;D xsi:type="xsd:double"&gt;2.377&lt;/D&gt;&lt;D xsi:type="xsd:double"&gt;2.064&lt;/D&gt;&lt;D xsi:type="xsd:double"&gt;2.139&lt;/D&gt;&lt;D xsi:type="xsd:double"&gt;3.222&lt;/D&gt;&lt;D xsi:type="xsd:double"&gt;1.609&lt;/D&gt;&lt;D xsi:type="xsd:double"&gt;1.693&lt;/D&gt;&lt;D xsi:type="xsd:double"&gt;1.563&lt;/D&gt;&lt;/FQL&gt;&lt;FQL&gt;&lt;Q&gt;DAL-US^FF_INVEN('ANN','0','-9','YEARLY',RP,'LOCAL','B')&lt;/Q&gt;&lt;R&gt;10&lt;/R&gt;&lt;C&gt;1&lt;/C&gt;&lt;D xsi:type="xsd:double"&gt;0.732&lt;/D&gt;&lt;D xsi:type="xsd:double"&gt;1.251&lt;/D&gt;&lt;D xsi:type="xsd:double"&gt;1.055&lt;/D&gt;&lt;D xsi:type="xsd:double"&gt;1.329&lt;/D&gt;&lt;D xsi:type="xsd:double"&gt;0.891&lt;/D&gt;&lt;D xsi:type="xsd:double"&gt;0.697&lt;/D&gt;&lt;D xsi:type="xsd:double"&gt;0.852&lt;/D&gt;&lt;D xsi:type="xsd:double"&gt;1.063&lt;/D&gt;&lt;D xsi:type="xsd:double"&gt;1.023&lt;/D&gt;&lt;D xsi:type="xsd:double"&gt;0.367&lt;/D&gt;&lt;/FQL&gt;&lt;FQL&gt;&lt;Q&gt;DAL-US^FF_ASSETS_CURR_OTH('ANN','0','-9','YEARLY',RP,'LOCAL','B')&lt;/Q&gt;&lt;R&gt;10&lt;/R&gt;&lt;C&gt;1&lt;/C&gt;&lt;D xsi:type="xsd:double"&gt;0.988&lt;/D&gt;&lt;D xsi:type="xsd:double"&gt;1.05&lt;/D&gt;&lt;D xsi:type="xsd:double"&gt;1.156&lt;/D&gt;&lt;D xsi:type="xsd:double"&gt;1.499&lt;/D&gt;&lt;D xsi:type="xsd:double"&gt;0.854&lt;/D&gt;&lt;D xsi:type="xsd:double"&gt;0.796&lt;/D&gt;&lt;D xsi:type="xsd:double"&gt;4.008&lt;/D&gt;&lt;D xsi:type="xsd:double"&gt;3.054&lt;/D&gt;&lt;D xsi:type="xsd:double"&gt;1.807&lt;/D&gt;&lt;D xsi:type="xsd:double"&gt;1.879&lt;/D&gt;&lt;/FQL&gt;&lt;FQL&gt;&lt;Q&gt;DAL-US^FF_ASSETS_CURR('ANN','0','-9','YEARLY',RP,'LOCAL','B')&lt;/Q&gt;&lt;R&gt;10&lt;/R&gt;&lt;C&gt;1&lt;/C&gt;&lt;D xsi:type="xsd:double"&gt;17.404&lt;/D&gt;&lt;D xsi:type="xsd:double"&gt;8.249&lt;/D&gt;&lt;D xsi:type="xsd:double"&gt;6.34&lt;/D&gt;&lt;D xsi:type="xsd:double"&gt;7.844&lt;/D&gt;&lt;D xsi:type="xsd:double"&gt;7.451&lt;/D&gt;&lt;D xsi:type="xsd:double"&gt;9.056&lt;/D&gt;&lt;D xsi:type="xsd:double"&gt;12.465&lt;/D&gt;&lt;D xsi:type="xsd:double"&gt;9.651&lt;/D&gt;&lt;D xsi:type="xsd:double"&gt;8.272&lt;/D&gt;&lt;D xsi:type="xsd:double"&gt;7.729&lt;/D&gt;&lt;/FQL&gt;&lt;FQL&gt;&lt;Q&gt;DAL-US^FF_PPE_NET('ANN','0','-9','YEARLY',RP,'LOCAL','B')&lt;/Q&gt;&lt;R&gt;10&lt;/R&gt;&lt;C&gt;1&lt;/C&gt;&lt;D xsi:type="xsd:double"&gt;32.262&lt;/D&gt;&lt;D xsi:type="xsd:double"&gt;36.937&lt;/D&gt;&lt;D xsi:type="xsd:double"&gt;34.329&lt;/D&gt;&lt;D xsi:type="xsd:double"&gt;26.563&lt;/D&gt;&lt;D xsi:type="xsd:double"&gt;24.375&lt;/D&gt;&lt;D xsi:type="xsd:double"&gt;23.039&lt;/D&gt;&lt;D xsi:type="xsd:double"&gt;21.929&lt;/D&gt;&lt;D xsi:type="xsd:double"&gt;21.854&lt;/D&gt;&lt;D xsi:type="xsd:double"&gt;20.713&lt;/D&gt;&lt;D xsi:type="xsd:double"&gt;20.223&lt;/D&gt;&lt;/FQL&gt;&lt;FQL&gt;&lt;Q&gt;DAL-US^FF_INVEST_ADV('ANN','0','-9','YEARLY',RP,'LOCAL','B')&lt;/Q&gt;&lt;R&gt;10&lt;/R&gt;&lt;C&gt;1&lt;/C&gt;&lt;D xsi:type="xsd:double"&gt;3.241&lt;/D&gt;&lt;D xsi:type="xsd:double"&gt;1.788&lt;/D&gt;&lt;D xsi:type="xsd:double"&gt;2.024&lt;/D&gt;&lt;D xsi:type="xsd:double"&gt;0.522&lt;/D&gt;&lt;D xsi:type="xsd:double"&gt;0.146&lt;/D&gt;&lt;D xsi:type="xsd:double"&gt;0.179&lt;/D&gt;&lt;D xsi:type="xsd:double"&gt;0.17&lt;/D&gt;&lt;D xsi:type="xsd:double"&gt;0.238&lt;/D&gt;&lt;D xsi:type="xsd:double"&gt;0.277&lt;/D&gt;&lt;D xsi:type="xsd:double"&gt;0.133&lt;/D&gt;&lt;/FQL&gt;&lt;FQL&gt;&lt;Q&gt;DAL-US^FF_INTANG('ANN','0','-9','YEARLY',RP,'LOCAL','B')&lt;/Q&gt;&lt;R&gt;10&lt;/R&gt;&lt;C&gt;1&lt;/C&gt;&lt;D xsi:type="xsd:double"&gt;15.764&lt;/D&gt;&lt;D xsi:type="xsd:double"&gt;14.944&lt;/D&gt;&lt;D xsi:type="xsd:double"&gt;14.611&lt;/D&gt;&lt;D xsi:type="xsd:double"&gt;14.641&lt;/D&gt;&lt;D xsi:type="xsd:double"&gt;14.638&lt;/D&gt;&lt;D xsi:type="xsd:double"&gt;14.655&lt;/D&gt;&lt;D xsi:type="xsd:double"&gt;14.397&lt;/D&gt;&lt;D xsi:type="xsd:double"&gt;14.452&lt;/D&gt;&lt;D xsi:type="xsd:double"&gt;14.473&lt;/D&gt;&lt;D xsi:type="xsd:double"&gt;14.545&lt;/D&gt;&lt;/FQL&gt;&lt;FQL&gt;&lt;Q&gt;DAL-US^FF_DFD_TAX_DB('ANN','0','-9','YEARLY',RP,'LOCAL','B')&lt;/Q&gt;&lt;R&gt;10&lt;/R&gt;&lt;C&gt;1&lt;/C&gt;&lt;D xsi:type="xsd:double"&gt;1.988&lt;/D&gt;&lt;D xsi:type="xsd:double"&gt;0.12&lt;/D&gt;&lt;D xsi:type="xsd:double"&gt;0.242&lt;/D&gt;&lt;D xsi:type="xsd:double"&gt;6.115&lt;/D&gt;&lt;D xsi:type="xsd:double"&gt;10.702&lt;/D&gt;&lt;D xsi:type="xsd:double"&gt;12.456&lt;/D&gt;&lt;D xsi:type="xsd:double"&gt;4.32&lt;/D&gt;&lt;D xsi:type="xsd:double"&gt;12.134&lt;/D&gt;&lt;D xsi:type="xsd:string"&gt;@NA&lt;/D&gt;&lt;D xsi:type="xsd:string"&gt;@NA&lt;/D&gt;&lt;/FQL&gt;&lt;FQL&gt;&lt;Q&gt;DAL-US^FF_ASSETS_OTH('ANN','0','-9','YEARLY',RP,'LOCAL','B')&lt;/Q&gt;&lt;R&gt;10&lt;/R&gt;&lt;C&gt;1&lt;/C&gt;&lt;D xsi:type="xsd:double"&gt;1.337&lt;/D&gt;&lt;D xsi:type="xsd:double"&gt;2.494&lt;/D&gt;&lt;D xsi:type="xsd:double"&gt;2.72&lt;/D&gt;&lt;D xsi:type="xsd:double"&gt;2.787&lt;/D&gt;&lt;D xsi:type="xsd:double"&gt;1.587&lt;/D&gt;&lt;D xsi:type="xsd:double"&gt;1.249&lt;/D&gt;&lt;D xsi:type="xsd:double"&gt;0.84&lt;/D&gt;&lt;D xsi:type="xsd:double"&gt;1.065&lt;/D&gt;&lt;D xsi:type="xsd:double"&gt;0.815&lt;/D&gt;&lt;D xsi:type="xsd:double"&gt;0.869&lt;/D&gt;&lt;/FQL&gt;&lt;FQL&gt;&lt;Q&gt;DAL-US^FF_ASSETS('ANN','0','-9','YEARLY',RP,'LOCAL','B')&lt;/Q&gt;&lt;R&gt;10&lt;/R&gt;&lt;C&gt;1&lt;/C&gt;&lt;D xsi:type="xsd:double"&gt;71.996&lt;/D&gt;&lt;D xsi:type="xsd:double"&gt;64.532&lt;/D&gt;&lt;D xsi:type="xsd:double"&gt;60.266&lt;/D&gt;&lt;D xsi:type="xsd:double"&gt;58.472&lt;/D&gt;&lt;D xsi:type="xsd:double"&gt;58.899&lt;/D&gt;&lt;D xsi:type="xsd:double"&gt;60.634&lt;/D&gt;&lt;D xsi:type="xsd:double"&gt;54.121&lt;/D&gt;&lt;D xsi:type="xsd:double"&gt;59.394&lt;/D&gt;&lt;D xsi:type="xsd:double"&gt;44.55&lt;/D&gt;&lt;D xsi:type="xsd:double"&gt;43.499&lt;/D&gt;&lt;/FQL&gt;&lt;FQL&gt;&lt;Q&gt;DAL-US^FF_DEBT_ST('ANN','0','-9','YEARLY',RP,'LOCAL','B')&lt;/Q&gt;&lt;R&gt;10&lt;/R&gt;&lt;C&gt;1&lt;/C&gt;&lt;D xsi:type="xsd:double"&gt;2.41&lt;/D&gt;&lt;D xsi:type="xsd:double"&gt;3.088&lt;/D&gt;&lt;D xsi:type="xsd:double"&gt;2.473&lt;/D&gt;&lt;D xsi:type="xsd:double"&gt;2.242&lt;/D&gt;&lt;D xsi:type="xsd:double"&gt;1.131&lt;/D&gt;&lt;D xsi:type="xsd:double"&gt;1.563&lt;/D&gt;&lt;D xsi:type="xsd:double"&gt;1.216&lt;/D&gt;&lt;D xsi:type="xsd:double"&gt;1.547&lt;/D&gt;&lt;D xsi:type="xsd:double"&gt;1.627&lt;/D&gt;&lt;D xsi:type="xsd:double"&gt;1.944&lt;/D&gt;&lt;/FQL&gt;&lt;FQL&gt;&lt;Q&gt;DAL-US^FF_PAY_ACCT('ANN','0','-9','YEARLY',RP,'LOCAL','B')&lt;/Q&gt;&lt;R&gt;10&lt;/R&gt;&lt;C&gt;1&lt;/C&gt;&lt;D xsi:type="xsd:double"&gt;2.84&lt;/D&gt;&lt;D xsi:type="xsd:double"&gt;3.266&lt;/D&gt;&lt;D xsi:type="xsd:double"&gt;2.976&lt;/D&gt;&lt;D xsi:type="xsd:double"&gt;3.674&lt;/D&gt;&lt;D xsi:type="xsd:double"&gt;2.572&lt;/D&gt;&lt;D xsi:type="xsd:double"&gt;2.743&lt;/D&gt;&lt;D xsi:type="xsd:double"&gt;2.622&lt;/D&gt;&lt;D xsi:type="xsd:double"&gt;2.3&lt;/D&gt;&lt;D xsi:type="xsd:double"&gt;2.293&lt;/D&gt;&lt;D xsi:type="xsd:double"&gt;1.6&lt;/D&gt;&lt;/FQL&gt;&lt;FQL&gt;&lt;Q&gt;DAL-US^FF_PAY_TAX('ANN','0','-9','YEARLY',RP,'LOCAL','B')&lt;/Q&gt;&lt;R&gt;10&lt;/R&gt;&lt;C&gt;1&lt;/C&gt;&lt;D xsi:type="xsd:string"&gt;@NA&lt;/D&gt;&lt;D xsi:type="xsd:string"&gt;@NA&lt;/D&gt;&lt;D xsi:type="xsd:string"&gt;@NA&lt;/D&gt;&lt;D xsi:type="xsd:string"&gt;@NA&lt;/D&gt;&lt;D xsi:type="xsd:string"&gt;@NA&lt;/D&gt;&lt;D xsi:type="xsd:string"&gt;@NA&lt;/D&gt;&lt;D xsi:type="xsd:string"&gt;@NA&lt;/D&gt;&lt;D xsi:type="xsd:double"&gt;0.673&lt;/D&gt;&lt;D xsi:type="xsd:double"&gt;0.585&lt;/D&gt;&lt;D xsi:type="xsd:double"&gt;0.594&lt;/D&gt;&lt;/FQL&gt;&lt;FQL&gt;&lt;Q&gt;DAL-US^FF_LIABS_CURR_OTH('ANN','0','-9','YEARLY',RP,'LOCAL','B')&lt;/Q&gt;&lt;R&gt;10&lt;/R&gt;&lt;C&gt;1&lt;/C&gt;&lt;D xsi:type="xsd:double"&gt;10.677&lt;/D&gt;&lt;D xsi:type="xsd:double"&gt;13.85&lt;/D&gt;&lt;D xsi:type="xsd:double"&gt;13.129&lt;/D&gt;&lt;D xsi:type="xsd:double"&gt;12.657&lt;/D&gt;&lt;D xsi:type="xsd:double"&gt;11.536&lt;/D&gt;&lt;D xsi:type="xsd:double"&gt;13.22&lt;/D&gt;&lt;D xsi:type="xsd:double"&gt;13.041&lt;/D&gt;&lt;D xsi:type="xsd:double"&gt;9.632&lt;/D&gt;&lt;D xsi:type="xsd:double"&gt;8.765&lt;/D&gt;&lt;D xsi:type="xsd:double"&gt;8.563&lt;/D&gt;&lt;/FQL&gt;&lt;FQL&gt;&lt;Q&gt;DAL-US^FF_LIABS_CURR('ANN','0','-9','YEARLY',RP,'LOCAL','B')&lt;/Q&gt;&lt;R&gt;10&lt;/R&gt;&lt;C&gt;1&lt;/C&gt;&lt;D xsi:type="xsd:double"&gt;15.927&lt;/D&gt;&lt;D xsi:type="xsd:double"&gt;20.204&lt;/D&gt;&lt;D xsi:type="xsd:double"&gt;18.578&lt;/D&gt;&lt;D xsi:type="xsd:double"&gt;18.573&lt;/D&gt;&lt;D xsi:type="xsd:double"&gt;15.239&lt;/D&gt;&lt;D xsi:type="xsd:double"&gt;17.526&lt;/D&gt;&lt;D xsi:type="xsd:double"&gt;16.879&lt;/D&gt;&lt;D xsi:type="xsd:double"&gt;14.152&lt;/D&gt;&lt;D xsi:type="xsd:double"&gt;13.27&lt;/D&gt;&lt;D xsi:type="xsd:double"&gt;12.701&lt;/D&gt;&lt;/FQL&gt;&lt;FQL&gt;&lt;Q&gt;DAL-US^FF_DEBT_LT('ANN','0','-9','YEARLY',RP,'LOCAL','B')&lt;/Q&gt;&lt;R&gt;10&lt;/R&gt;&lt;C&gt;1&lt;/C&gt;&lt;D xsi:type="xsd:double"&gt;33.138&lt;/D&gt;&lt;D xsi:type="xsd:double"&gt;14.167&lt;/D&gt;&lt;D xsi:type="xsd:double"&gt;14.054&lt;/D&gt;&lt;D xsi:type="xsd:double"&gt;6.592&lt;/D&gt;&lt;D xsi:type="xsd:double"&gt;6.201&lt;/D&gt;&lt;D xsi:type="xsd:double"&gt;6.766&lt;/D&gt;&lt;D xsi:type="xsd:double"&gt;8.561&lt;/D&gt;&lt;D xsi:type="xsd:double"&gt;9.795&lt;/D&gt;&lt;D xsi:type="xsd:double"&gt;11.082&lt;/D&gt;&lt;D xsi:type="xsd:double"&gt;11.847&lt;/D&gt;&lt;/FQL&gt;&lt;FQL&gt;&lt;Q&gt;DAL-US^FF_PROV_RISK('ANN','0','-9','YEARLY',RP,'LOCAL','B')&lt;/Q&gt;&lt;R&gt;10&lt;/R&gt;&lt;C&gt;1&lt;/C&gt;&lt;D xsi:type="xsd:double"&gt;10.63&lt;/D&gt;&lt;D xsi:type="xsd:double"&gt;8.452&lt;/D&gt;&lt;D xsi:type="xsd:double"&gt;9.163&lt;/D&gt;&lt;D xsi:type="xsd:double"&gt;9.81&lt;/D&gt;&lt;D xsi:type="xsd:double"&gt;13.378&lt;/D&gt;&lt;D xsi:type="xsd:double"&gt;13.855&lt;/D&gt;&lt;D xsi:type="xsd:double"&gt;15.138&lt;/D&gt;&lt;D xsi:type="xsd:double"&gt;12.392&lt;/D&gt;&lt;D xsi:type="xsd:double"&gt;16.005&lt;/D&gt;&lt;D xsi:type="xsd:double"&gt;14.2&lt;/D&gt;&lt;/FQL&gt;&lt;FQL&gt;&lt;Q&gt;DAL-US^FF_DFD_TAX_CR('ANN','0','-9','YEARLY',RP,'LOCAL','B')&lt;/Q&gt;&lt;R&gt;10&lt;/R&gt;&lt;C&gt;1&lt;/C&gt;&lt;D xsi:type="xsd:string"&gt;@NA&lt;/D&gt;&lt;D xsi:type="xsd:double"&gt;1.456&lt;/D&gt;&lt;D xsi:type="xsd:string"&gt;@NA&lt;/D&gt;&lt;D xsi:type="xsd:double"&gt;5.18&lt;/D&gt;&lt;D xsi:type="xsd:double"&gt;7.638&lt;/D&gt;&lt;D xsi:type="xsd:double"&gt;7.5&lt;/D&gt;&lt;D xsi:type="xsd:string"&gt;@NA&lt;/D&gt;&lt;D xsi:type="xsd:double"&gt;7.142&lt;/D&gt;&lt;D xsi:type="xsd:double"&gt;2.047&lt;/D&gt;&lt;D xsi:type="xsd:double"&gt;2.028&lt;/D&gt;&lt;/FQL&gt;&lt;FQL&gt;&lt;Q&gt;DAL-US^FF_LIABS_OTH('ANN','0','-9','YEARLY',RP,'LOCAL','B')&lt;/Q&gt;&lt;R&gt;10&lt;/R&gt;&lt;C&gt;1&lt;/C&gt;&lt;D xsi:type="xsd:double"&gt;10.767&lt;/D&gt;&lt;D xsi:type="xsd:double"&gt;4.895&lt;/D&gt;&lt;D xsi:type="xsd:double"&gt;4.784&lt;/D&gt;&lt;D xsi:type="xsd:double"&gt;4.407&lt;/D&gt;&lt;D xsi:type="xsd:double"&gt;4.156&lt;/D&gt;&lt;D xsi:type="xsd:double"&gt;4.137&lt;/D&gt;&lt;D xsi:type="xsd:double"&gt;4.73&lt;/D&gt;&lt;D xsi:type="xsd:double"&gt;4.27&lt;/D&gt;&lt;D xsi:type="xsd:double"&gt;4.277&lt;/D&gt;&lt;D xsi:type="xsd:double"&gt;4.119&lt;/D&gt;&lt;/FQL&gt;&lt;FQL&gt;&lt;Q&gt;DAL-US^FF_LIABS('ANN','0','-9','YEARLY',RP,'LOCAL','B')&lt;/Q&gt;&lt;R&gt;10&lt;/R&gt;&lt;C&gt;1&lt;/C&gt;&lt;D xsi:type="xsd:double"&gt;70.462&lt;/D&gt;&lt;D xsi:type="xsd:double"&gt;49.174&lt;/D&gt;&lt;D xsi:type="xsd:double"&gt;46.579&lt;/D&gt;&lt;D xsi:type="xsd:double"&gt;44.562&lt;/D&gt;&lt;D xsi:type="xsd:double"&gt;46.612&lt;/D&gt;&lt;D xsi:type="xsd:double"&gt;49.784&lt;/D&gt;&lt;D xsi:type="xsd:double"&gt;45.308&lt;/D&gt;&lt;D xsi:type="xsd:double"&gt;47.751&lt;/D&gt;&lt;D xsi:type="xsd:double"&gt;46.681&lt;/D&gt;&lt;D xsi:type="xsd:double"&gt;44.895&lt;/D&gt;&lt;/FQL&gt;&lt;FQL&gt;&lt;Q&gt;DAL-US^FF_COM_EQ('ANN','0','-9','YEARLY',RP,'LOCAL','B')&lt;/Q&gt;&lt;R&gt;10&lt;/R&gt;&lt;C&gt;1&lt;/C&gt;&lt;D xsi:type="xsd:double"&gt;1.534&lt;/D&gt;&lt;D xsi:type="xsd:double"&gt;15.358&lt;/D&gt;&lt;D xsi:type="xsd:double"&gt;13.687&lt;/D&gt;&lt;D xsi:type="xsd:double"&gt;13.91&lt;/D&gt;&lt;D xsi:type="xsd:double"&gt;12.287&lt;/D&gt;&lt;D xsi:type="xsd:double"&gt;10.85&lt;/D&gt;&lt;D xsi:type="xsd:double"&gt;8.813&lt;/D&gt;&lt;D xsi:type="xsd:double"&gt;11.643&lt;/D&gt;&lt;D xsi:type="xsd:double"&gt;-2.131&lt;/D&gt;&lt;D xsi:type="xsd:double"&gt;-1.396&lt;/D&gt;&lt;/FQL&gt;&lt;FQL&gt;&lt;Q&gt;DAL-US^FF_SHLDRS_EQ('ANN','0','-9','YEARLY',RP,'LOCAL','B')&lt;/Q&gt;&lt;R&gt;10&lt;/R&gt;&lt;C&gt;1&lt;/C&gt;&lt;D xsi:type="xsd:double"&gt;1.534&lt;/D&gt;&lt;D xsi:type="xsd:double"&gt;15.358&lt;/D&gt;&lt;D xsi:type="xsd:double"&gt;13.687&lt;/D&gt;&lt;D xsi:type="xsd:double"&gt;13.91&lt;/D&gt;&lt;D xsi:type="xsd:double"&gt;12.287&lt;/D&gt;&lt;D xsi:type="xsd:double"&gt;10.85&lt;/D&gt;&lt;D xsi:type="xsd:double"&gt;8.813&lt;/D&gt;&lt;D xsi:type="xsd:double"&gt;11.643&lt;/D&gt;&lt;D xsi:type="xsd:double"&gt;-2.131&lt;/D&gt;&lt;D xsi:type="xsd:double"&gt;-1.396&lt;/D&gt;&lt;/FQL&gt;&lt;FQL&gt;&lt;Q&gt;DAL-US^FF_EQ_TOT('ANN','0','-9','YEARLY',RP,'LOCAL','B')&lt;/Q&gt;&lt;R&gt;10&lt;/R&gt;&lt;C&gt;1&lt;/C&gt;&lt;D xsi:type="xsd:double"&gt;1.534&lt;/D&gt;&lt;D xsi:type="xsd:double"&gt;15.358&lt;/D&gt;&lt;D xsi:type="xsd:double"&gt;13.687&lt;/D&gt;&lt;D xsi:type="xsd:double"&gt;13.91&lt;/D&gt;&lt;D xsi:type="xsd:double"&gt;12.287&lt;/D&gt;&lt;D xsi:type="xsd:double"&gt;10.85&lt;/D&gt;&lt;D xsi:type="xsd:double"&gt;8.813&lt;/D&gt;&lt;D xsi:type="xsd:double"&gt;11.643&lt;/D&gt;&lt;D xsi:type="xsd:double"&gt;-2.131&lt;/D&gt;&lt;D xsi:type="xsd:double"&gt;-1.396&lt;/D&gt;&lt;/FQL&gt;&lt;FQL&gt;&lt;Q&gt;DAL-US^FF_LIABS_SHLDRS_EQ('ANN','0','-9','YEARLY',RP,'LOCAL','B')&lt;/Q&gt;&lt;R&gt;10&lt;/R&gt;&lt;C&gt;1&lt;/C&gt;&lt;D xsi:type="xsd:double"&gt;71.996&lt;/D&gt;&lt;D xsi:type="xsd:double"&gt;64.532&lt;/D&gt;&lt;D xsi:type="xsd:double"&gt;60.266&lt;/D&gt;&lt;D xsi:type="xsd:double"&gt;58.472&lt;/D&gt;&lt;D xsi:type="xsd:double"&gt;58.899&lt;/D&gt;&lt;D xsi:type="xsd:double"&gt;60.634&lt;/D&gt;&lt;D xsi:type="xsd:double"&gt;54.121&lt;/D&gt;&lt;D xsi:type="xsd:double"&gt;59.394&lt;/D&gt;&lt;D xsi:type="xsd:double"&gt;44.55&lt;/D&gt;&lt;D xsi:type="xsd:double"&gt;43.499&lt;/D&gt;&lt;/FQL&gt;&lt;FQL&gt;&lt;Q&gt;DAL-US^FF_BPS('ANN','0','-9','YEARLY',RP,'LOCAL','B')&lt;/Q&gt;&lt;R&gt;10&lt;/R&gt;&lt;C&gt;1&lt;/C&gt;&lt;D xsi:type="xsd:double"&gt;2.4037&lt;/D&gt;&lt;D xsi:type="xsd:double"&gt;23.8934&lt;/D&gt;&lt;D xsi:type="xsd:double"&gt;20.12958&lt;/D&gt;&lt;D xsi:type="xsd:double"&gt;19.66917&lt;/D&gt;&lt;D xsi:type="xsd:double"&gt;16.81451&lt;/D&gt;&lt;D xsi:type="xsd:double"&gt;13.93198&lt;/D&gt;&lt;D xsi:type="xsd:double"&gt;10.67908&lt;/D&gt;&lt;D xsi:type="xsd:double"&gt;13.67443&lt;/D&gt;&lt;D xsi:type="xsd:double"&gt;-2.50293&lt;/D&gt;&lt;D xsi:type="xsd:double"&gt;-1.65159&lt;/D&gt;&lt;/FQL&gt;&lt;FQL&gt;&lt;Q&gt;DAL-US^FF_BPS_TANG('ANN','0','-9','YEARLY',RP,'LOCAL','B')&lt;/Q&gt;&lt;R&gt;10&lt;/R&gt;&lt;C&gt;1&lt;/C&gt;&lt;D xsi:type="xsd:double"&gt;-22.2976962766075&lt;/D&gt;&lt;D xsi:type="xsd:double"&gt;0.644085593106989&lt;/D&gt;&lt;D xsi:type="xsd:double"&gt;-1.35893449240837&lt;/D&gt;&lt;D xsi:type="xsd:double"&gt;-1.0336568000854&lt;/D&gt;&lt;D xsi:type="xsd:double"&gt;-3.21729667299816&lt;/D&gt;&lt;D xsi:type="xsd:double"&gt;-4.88582205588764&lt;/D&gt;&lt;D xsi:type="xsd:double"&gt;-6.76636691002875&lt;/D&gt;&lt;D xsi:type="xsd:double"&gt;-3.29910465083286&lt;/D&gt;&lt;D xsi:type="xsd:double"&gt;-19.5019501439222&lt;/D&gt;&lt;D xsi:type="xsd:double"&gt;-18.859599542615&lt;/D&gt;&lt;/FQL&gt;&lt;FQL&gt;&lt;Q&gt;DAL-US^FF_WKCAP('ANN','0','-9','YEARLY',RP,'LOCAL','B')&lt;/Q&gt;&lt;R&gt;10&lt;/R&gt;&lt;C&gt;1&lt;/C&gt;&lt;D xsi:type="xsd:double"&gt;1.477&lt;/D&gt;&lt;D xsi:type="xsd:double"&gt;-11.955&lt;/D&gt;&lt;D xsi:type="xsd:double"&gt;-12.238&lt;/D&gt;&lt;D xsi:type="xsd:double"&gt;-10.729&lt;/D&gt;&lt;D xsi:type="xsd:double"&gt;-7.788&lt;/D&gt;&lt;D xsi:type="xsd:double"&gt;-8.47&lt;/D&gt;&lt;D xsi:type="xsd:double"&gt;-4.414&lt;/D&gt;&lt;D xsi:type="xsd:double"&gt;-4.501&lt;/D&gt;&lt;D xsi:type="xsd:double"&gt;-4.998&lt;/D&gt;&lt;D xsi:type="xsd:double"&gt;-4.972&lt;/D&gt;&lt;/FQL&gt;&lt;FQL&gt;&lt;Q&gt;DAL-US^FF_TCAP('ANN','0','-9','YEARLY',RP,'LOCAL','B')&lt;/Q&gt;&lt;R&gt;10&lt;/R&gt;&lt;C&gt;1&lt;/C&gt;&lt;D xsi:type="xsd:double"&gt;37.082&lt;/D&gt;&lt;D xsi:type="xsd:double"&gt;32.613&lt;/D&gt;&lt;D xsi:type="xsd:double"&gt;30.214&lt;/D&gt;&lt;D xsi:type="xsd:double"&gt;22.744&lt;/D&gt;&lt;D xsi:type="xsd:double"&gt;19.619&lt;/D&gt;&lt;D xsi:type="xsd:double"&gt;19.179&lt;/D&gt;&lt;D xsi:type="xsd:double"&gt;18.59&lt;/D&gt;&lt;D xsi:type="xsd:double"&gt;22.985&lt;/D&gt;&lt;D xsi:type="xsd:double"&gt;10.578&lt;/D&gt;&lt;D xsi:type="xsd:double"&gt;12.395&lt;/D&gt;&lt;/FQL&gt;&lt;FQL&gt;&lt;Q&gt;DAL-US^FF_DEBT('ANN','0','-9','YEARLY',RP,'LOCAL','B')&lt;/Q&gt;&lt;R&gt;10&lt;/R&gt;&lt;C&gt;1&lt;/C&gt;&lt;D xsi:type="xsd:double"&gt;35.548&lt;/D&gt;&lt;D xsi:type="xsd:double"&gt;17.255&lt;/D&gt;&lt;D xsi:type="xsd:double"&gt;16.527&lt;/D&gt;&lt;D xsi:type="xsd:double"&gt;8.834&lt;/D&gt;&lt;D xsi:type="xsd:double"&gt;7.332&lt;/D&gt;&lt;D xsi:type="xsd:double"&gt;8.329&lt;/D&gt;&lt;D xsi:type="xsd:double"&gt;9.777&lt;/D&gt;&lt;D xsi:type="xsd:double"&gt;11.342&lt;/D&gt;&lt;D xsi:type="xsd:double"&gt;12.709&lt;/D&gt;&lt;D xsi:type="xsd:double"&gt;13.791&lt;/D&gt;&lt;/FQL&gt;&lt;FQL&gt;&lt;Q&gt;DAL-US^FF_NET_DEBT('ANN','0','-9','YEARLY',RP,'LOCAL','B')&lt;/Q&gt;&lt;R&gt;10&lt;/R&gt;&lt;C&gt;1&lt;/C&gt;&lt;D xsi:type="xsd:double"&gt;21.26&lt;/D&gt;&lt;D xsi:type="xsd:double"&gt;14.161&lt;/D&gt;&lt;D xsi:type="xsd:double"&gt;14.712&lt;/D&gt;&lt;D xsi:type="xsd:double"&gt;6.195&lt;/D&gt;&lt;D xsi:type="xsd:double"&gt;3.69&lt;/D&gt;&lt;D xsi:type="xsd:double"&gt;2.905&lt;/D&gt;&lt;D xsi:type="xsd:double"&gt;5.394&lt;/D&gt;&lt;D xsi:type="xsd:double"&gt;7.417&lt;/D&gt;&lt;D xsi:type="xsd:double"&gt;8.96&lt;/D&gt;&lt;D xsi:type="xsd:double"&gt;9.871&lt;/D&gt;&lt;/FQL&gt;&lt;FQL&gt;&lt;Q&gt;DAL-US^FF_INVEN_DAYS('ANN','0','-9','YEARLY',RP,'LOCAL','B')&lt;/Q&gt;&lt;R&gt;10&lt;/R&gt;&lt;C&gt;1&lt;/C&gt;&lt;D xsi:type="xsd:double"&gt;15.3145232956709&lt;/D&gt;&lt;D xsi:type="xsd:double"&gt;11.5035261316422&lt;/D&gt;&lt;D xsi:type="xsd:double"&gt;12.2523232892143&lt;/D&gt;&lt;D xsi:type="xsd:double"&gt;13.0638764389127&lt;/D&gt;&lt;D xsi:type="xsd:double"&gt;10.1243668122271&lt;/D&gt;&lt;D xsi:type="xsd:double"&gt;9.93437236435198&lt;/D&gt;&lt;D xsi:type="xsd:double"&gt;10.9409729831262&lt;/D&gt;&lt;D xsi:type="xsd:double"&gt;12.1468683194538&lt;/D&gt;&lt;D xsi:type="xsd:double"&gt;8.23753856145478&lt;/D&gt;&lt;D xsi:type="xsd:double"&gt;4.20294849381388&lt;/D&gt;&lt;/FQL&gt;&lt;FQL&gt;&lt;Q&gt;DAL-US^FF_RECEIV_TURN_DAYS('ANN','0','-9','YEARLY',RP,'LOCAL','B')&lt;/Q&gt;&lt;R&gt;10&lt;/R&gt;&lt;C&gt;1&lt;/C&gt;&lt;D xsi:type="xsd:double"&gt;45.3714536414156&lt;/D&gt;&lt;D xsi:type="xsd:double"&gt;20.0646725949879&lt;/D&gt;&lt;D xsi:type="xsd:double"&gt;19.263911703157&lt;/D&gt;&lt;D xsi:type="xsd:double"&gt;19.6556846291895&lt;/D&gt;&lt;D xsi:type="xsd:double"&gt;19.3689081359527&lt;/D&gt;&lt;D xsi:type="xsd:double"&gt;24.1540142201155&lt;/D&gt;&lt;D xsi:type="xsd:double"&gt;21.9295965575565&lt;/D&gt;&lt;D xsi:type="xsd:double"&gt;16.0108135395079&lt;/D&gt;&lt;D xsi:type="xsd:double"&gt;16.1934868510696&lt;/D&gt;&lt;D xsi:type="xsd:double"&gt;15.6903744838388&lt;/D&gt;&lt;/FQL&gt;&lt;FQL&gt;&lt;Q&gt;DAL-US^FF_PAY_TURN_DAYS('ANN','0','-9','YEARLY',RP,'LOCAL','B')&lt;/Q&gt;&lt;R&gt;10&lt;/R&gt;&lt;C&gt;1&lt;/C&gt;&lt;D xsi:type="xsd:double"&gt;48.2147338942975&lt;/D&gt;&lt;D xsi:type="xsd:double"&gt;30.9723624699823&lt;/D&gt;&lt;D xsi:type="xsd:double"&gt;34.4427354137375&lt;/D&gt;&lt;D xsi:type="xsd:double"&gt;36.2433967510029&lt;/D&gt;&lt;D xsi:type="xsd:double"&gt;33.6579248275608&lt;/D&gt;&lt;D xsi:type="xsd:double"&gt;34.5965005402741&lt;/D&gt;&lt;D xsi:type="xsd:double"&gt;28.3079595777848&lt;/D&gt;&lt;D xsi:type="xsd:double"&gt;26.7111608743697&lt;/D&gt;&lt;D xsi:type="xsd:double"&gt;22.589848802738&lt;/D&gt;&lt;D xsi:type="xsd:double"&gt;20.2941258235801&lt;/D&gt;&lt;/FQL&gt;&lt;FQL&gt;&lt;Q&gt;DAL-US^FF_COM_EQ_HEDG_GL('ANN','0','-9','YEARLY',RP,'LOCAL','B')&lt;/Q&gt;&lt;R&gt;10&lt;/R&gt;&lt;C&gt;1&lt;/C&gt;&lt;D xsi:type="xsd:double"&gt;0.04&lt;/D&gt;&lt;D xsi:type="xsd:double"&gt;0.106&lt;/D&gt;&lt;D xsi:type="xsd:double"&gt;0.1&lt;/D&gt;&lt;D xsi:type="xsd:double"&gt;0.07&lt;/D&gt;&lt;D xsi:type="xsd:double"&gt;0.097&lt;/D&gt;&lt;D xsi:type="xsd:double"&gt;0.14&lt;/D&gt;&lt;D xsi:type="xsd:double"&gt;0.222&lt;/D&gt;&lt;D xsi:type="xsd:double"&gt;0.219&lt;/D&gt;&lt;D xsi:type="xsd:double"&gt;-0.286&lt;/D&gt;&lt;D xsi:type="xsd:double"&gt;-0.413&lt;/D&gt;&lt;/FQL&gt;&lt;FQL&gt;&lt;Q&gt;DAL-US^FF_OW_NUM_START('ANN' + '_OPT_NQO','0','-9','YEARLY',RP,'LOCAL','B')&lt;/Q&gt;&lt;R&gt;10&lt;/R&gt;&lt;C&gt;1&lt;/C&gt;&lt;D xsi:type="xsd:double"&gt;0.0039&lt;/D&gt;&lt;D xsi:type="xsd:double"&gt;0.0025&lt;/D&gt;&lt;D xsi:type="xsd:double"&gt;0.0019&lt;/D&gt;&lt;D xsi:type="xsd:string"&gt;@NA&lt;/D&gt;&lt;D xsi:type="xsd:string"&gt;@NA&lt;/D&gt;&lt;D xsi:type="xsd:string"&gt;@NA&lt;/D&gt;&lt;D xsi:type="xsd:string"&gt;@NA&lt;/D&gt;&lt;D xsi:type="xsd:string"&gt;@NA&lt;/D&gt;&lt;D xsi:type="xsd:string"&gt;@NA&lt;/D&gt;&lt;D xsi:type="xsd:string"&gt;@NA&lt;/D&gt;&lt;/FQL&gt;&lt;FQL&gt;&lt;Q&gt;DAL-US^FF_OW_NUM_END('ANN' + '_OPT_NQO','0','-9','YEARLY',RP,'LOCAL','B')&lt;/Q&gt;&lt;R&gt;10&lt;/R&gt;&lt;C&gt;1&lt;/C&gt;&lt;D xsi:type="xsd:double"&gt;0.0054&lt;/D&gt;&lt;D xsi:type="xsd:double"&gt;0.0039&lt;/D&gt;&lt;D xsi:type="xsd:double"&gt;0.0025&lt;/D&gt;&lt;D xsi:type="xsd:double"&gt;0.0019&lt;/D&gt;&lt;D xsi:type="xsd:double"&gt;0.0028&lt;/D&gt;&lt;D xsi:type="xsd:double"&gt;0.0053&lt;/D&gt;&lt;D xsi:type="xsd:double"&gt;0.007&lt;/D&gt;&lt;D xsi:type="xsd:double"&gt;0.008&lt;/D&gt;&lt;D xsi:type="xsd:double"&gt;0.014&lt;/D&gt;&lt;D xsi:type="xsd:double"&gt;0.018&lt;/D&gt;&lt;/FQL&gt;&lt;FQL&gt;&lt;Q&gt;DAL-US^FF_OW_INTRVAL_EXE_RPT_DATE('ANN' + '_OPT_NQO','0','-9','YEARLY',RP,'LOCAL','B')&lt;/Q&gt;&lt;R&gt;10&lt;/R&gt;&lt;C&gt;1&lt;/C&gt;&lt;D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xsi:type="xsd:string"&gt;@NA&lt;/D&gt;&lt;/FQL&gt;&lt;FQL&gt;&lt;Q&gt;DAL-US^FF_OW_NUM_VEST('ANN' + '_OPT_NQO','0','-9','YEARLY',RP,'LOCAL','B')&lt;/Q&gt;&lt;R&gt;10&lt;/R&gt;&lt;C&gt;1&lt;/C&gt;&lt;D xsi:type="xsd:string"&gt;@NA&lt;/D&gt;&lt;D xsi:type="xsd:string"&gt;@NA&lt;/D&gt;&lt;D xsi:type="xsd:string"&gt;@NA&lt;/D&gt;&lt;D xsi:type="xsd:string"&gt;@NA&lt;/D&gt;&lt;D xsi:type="xsd:string"&gt;@NA&lt;/D&gt;&lt;D xsi:type="xsd:string"&gt;@NA&lt;/D&gt;&lt;D xsi:type="xsd:string"&gt;@NA&lt;/D&gt;&lt;D xsi:type="xsd:string"&gt;@NA&lt;/D&gt;&lt;D xsi:type="xsd:string"&gt;@NA&lt;/D&gt;&lt;D xsi:type="xsd:string"&gt;@NA&lt;/D&gt;&lt;/FQL&gt;&lt;FQL&gt;&lt;Q&gt;DAL-US^FF_OPER_LEASE_COMMIT_TOT('ANN','0','-9','YEARLY',RP,'LOCAL','B')&lt;/Q&gt;&lt;R&gt;10&lt;/R&gt;&lt;C&gt;1&lt;/C&gt;&lt;D xsi:type="xsd:double"&gt;8.6&lt;/D&gt;&lt;D xsi:type="xsd:double"&gt;7.715&lt;/D&gt;&lt;D xsi:type="xsd:double"&gt;8.537&lt;/D&gt;&lt;D xsi:type="xsd:double"&gt;16.236&lt;/D&gt;&lt;D xsi:type="xsd:double"&gt;13.095&lt;/D&gt;&lt;D xsi:type="xsd:double"&gt;12.761&lt;/D&gt;&lt;D xsi:type="xsd:double"&gt;12.741&lt;/D&gt;&lt;D xsi:type="xsd:double"&gt;11.494&lt;/D&gt;&lt;D xsi:type="xsd:double"&gt;13.846&lt;/D&gt;&lt;D xsi:type="xsd:double"&gt;14.268&lt;/D&gt;&lt;/FQL&gt;&lt;FQL&gt;&lt;Q&gt;DAL-US^FF_OPER_LEASE_COMMIT_YR1('ANN','0','-9','YEARLY',RP,'LOCAL','B')&lt;/Q&gt;&lt;R&gt;10&lt;/R&gt;&lt;C&gt;1&lt;/C&gt;&lt;D xsi:type="xsd:double"&gt;0.746&lt;/D&gt;&lt;D xsi:type="xsd:double"&gt;1.003&lt;/D&gt;&lt;D xsi:type="xsd:double"&gt;1.172&lt;/D&gt;&lt;D xsi:type="xsd:double"&gt;1.735&lt;/D&gt;&lt;D xsi:type="xsd:double"&gt;1.572&lt;/D&gt;&lt;D xsi:type="xsd:double"&gt;1.583&lt;/D&gt;&lt;D xsi:type="xsd:double"&gt;1.707&lt;/D&gt;&lt;D xsi:type="xsd:double"&gt;1.429&lt;/D&gt;&lt;D xsi:type="xsd:double"&gt;1.507&lt;/D&gt;&lt;D xsi:type="xsd:double"&gt;1.462&lt;/D&gt;&lt;/FQL&gt;&lt;FQL&gt;&lt;Q&gt;DAL-US^FF_OPER_LEASE_COMMIT_YR2('ANN','0','-9','YEARLY',RP,'LOCAL','B')&lt;/Q&gt;&lt;R&gt;10&lt;/R&gt;&lt;C&gt;1&lt;/C&gt;&lt;D xsi:type="xsd:double"&gt;0.949&lt;/D&gt;&lt;D xsi:type="xsd:double"&gt;0.836&lt;/D&gt;&lt;D xsi:type="xsd:double"&gt;1&lt;/D&gt;&lt;D xsi:type="xsd:double"&gt;1.589&lt;/D&gt;&lt;D xsi:type="xsd:double"&gt;1.443&lt;/D&gt;&lt;D xsi:type="xsd:double"&gt;1.44&lt;/D&gt;&lt;D xsi:type="xsd:double"&gt;1.493&lt;/D&gt;&lt;D xsi:type="xsd:double"&gt;1.356&lt;/D&gt;&lt;D xsi:type="xsd:double"&gt;1.433&lt;/D&gt;&lt;D xsi:type="xsd:double"&gt;1.441&lt;/D&gt;&lt;/FQL&gt;&lt;FQL&gt;&lt;Q&gt;DAL-US^FF_OPER_LEASE_COMMIT_YR3('ANN','0','-9','YEARLY',RP,'LOCAL','B')&lt;/Q&gt;&lt;R&gt;10&lt;/R&gt;&lt;C&gt;1&lt;/C&gt;&lt;D xsi:type="xsd:double"&gt;0.848&lt;/D&gt;&lt;D xsi:type="xsd:double"&gt;0.729&lt;/D&gt;&lt;D xsi:type="xsd:double"&gt;0.819&lt;/D&gt;&lt;D xsi:type="xsd:double"&gt;1.43&lt;/D&gt;&lt;D xsi:type="xsd:double"&gt;1.304&lt;/D&gt;&lt;D xsi:type="xsd:double"&gt;1.307&lt;/D&gt;&lt;D xsi:type="xsd:double"&gt;1.323&lt;/D&gt;&lt;D xsi:type="xsd:double"&gt;1.186&lt;/D&gt;&lt;D xsi:type="xsd:double"&gt;1.332&lt;/D&gt;&lt;D xsi:type="xsd:double"&gt;1.38&lt;/D&gt;&lt;/FQL&gt;&lt;FQL&gt;&lt;Q&gt;DAL-US^FF_OPER_LEASE_COMMIT_YR4('ANN','0','-9','YEARLY',RP,'LOCAL','B')&lt;/Q&gt;&lt;R&gt;10&lt;/R&gt;&lt;C&gt;1&lt;/C&gt;&lt;D xsi:type="xsd:double"&gt;0.837&lt;/D&gt;&lt;D xsi:type="xsd:double"&gt;0.698&lt;/D&gt;&lt;D xsi:type="xsd:double"&gt;0.692&lt;/D&gt;&lt;D xsi:type="xsd:double"&gt;1.156&lt;/D&gt;&lt;D xsi:type="xsd:double"&gt;1.133&lt;/D&gt;&lt;D xsi:type="xsd:double"&gt;1.158&lt;/D&gt;&lt;D xsi:type="xsd:double"&gt;1.12&lt;/D&gt;&lt;D xsi:type="xsd:double"&gt;1.026&lt;/D&gt;&lt;D xsi:type="xsd:double"&gt;1.159&lt;/D&gt;&lt;D xsi:type="xsd:double"&gt;1.271&lt;/D&gt;&lt;/FQL&gt;&lt;FQL&gt;&lt;Q&gt;DAL-US^FF_OPER_LEASE_COMMIT_YR5('ANN','0','-9','YEARLY',RP,'LOCAL','B')&lt;/Q&gt;&lt;R&gt;10&lt;/R&gt;&lt;C&gt;1&lt;/C&gt;&lt;D xsi:type="xsd:double"&gt;0.77&lt;/D&gt;&lt;D xsi:type="xsd:double"&gt;0.628&lt;/D&gt;&lt;D xsi:type="xsd:double"&gt;0.654&lt;/D&gt;&lt;D xsi:type="xsd:double"&gt;1.036&lt;/D&gt;&lt;D xsi:type="xsd:double"&gt;0.862&lt;/D&gt;&lt;D xsi:type="xsd:double"&gt;1.053&lt;/D&gt;&lt;D xsi:type="xsd:double"&gt;0.929&lt;/D&gt;&lt;D xsi:type="xsd:double"&gt;0.831&lt;/D&gt;&lt;D xsi:type="xsd:double"&gt;1&lt;/D&gt;&lt;D xsi:type="xsd:double"&gt;1.126&lt;/D&gt;&lt;/FQL&gt;&lt;FQL&gt;&lt;Q&gt;DAL-US^FF_OPER_LEASE_COMMIT_5YR('ANN','0','-9','YEARLY',RP,'LOCAL','B')&lt;/Q&gt;&lt;R&gt;10&lt;/R&gt;&lt;C&gt;1&lt;/C&gt;&lt;D xsi:type="xsd:double"&gt;4.45&lt;/D&gt;&lt;D xsi:type="xsd:double"&gt;3.821&lt;/D&gt;&lt;D xsi:type="xsd:double"&gt;4.2&lt;/D&gt;&lt;D xsi:type="xsd:double"&gt;9.29&lt;/D&gt;&lt;D xsi:type="xsd:double"&gt;6.781&lt;/D&gt;&lt;D xsi:type="xsd:double"&gt;6.22&lt;/D&gt;&lt;D xsi:type="xsd:double"&gt;6.169&lt;/D&gt;&lt;D xsi:type="xsd:double"&gt;5.666&lt;/D&gt;&lt;D xsi:type="xsd:double"&gt;7.415&lt;/D&gt;&lt;D xsi:type="xsd:double"&gt;7.588&lt;/D&gt;&lt;/FQL&gt;&lt;FQL&gt;&lt;Q&gt;DAL-US^FF_DEBT_LT_CURR('ANN','0','-9','YEARLY',RP,'LOCAL','B')&lt;/Q&gt;&lt;R&gt;10&lt;/R&gt;&lt;C&gt;1&lt;/C&gt;&lt;D xsi:type="xsd:double"&gt;1.732&lt;/D&gt;&lt;D xsi:type="xsd:double"&gt;2.287&lt;/D&gt;&lt;D xsi:type="xsd:double"&gt;1.518&lt;/D&gt;&lt;D xsi:type="xsd:double"&gt;2.242&lt;/D&gt;&lt;D xsi:type="xsd:double"&gt;1.131&lt;/D&gt;&lt;D xsi:type="xsd:double"&gt;1.563&lt;/D&gt;&lt;D xsi:type="xsd:double"&gt;1.216&lt;/D&gt;&lt;D xsi:type="xsd:double"&gt;1.547&lt;/D&gt;&lt;D xsi:type="xsd:double"&gt;1.627&lt;/D&gt;&lt;D xsi:type="xsd:double"&gt;1.944&lt;/D&gt;&lt;/FQL&gt;&lt;FQL&gt;&lt;Q&gt;DAL-US^PCTCHG(FF_CASH_ST('ANN','0','-9','YEARLY',RP,'LOCAL','B'),FF_CASH_ST('ANN','-1','-10','YEARLY',RP,'LOCAL','B'))&lt;/Q&gt;&lt;R&gt;10&lt;/R&gt;&lt;C&gt;1&lt;/C&gt;&lt;D xsi:type="xsd:double"&gt;361.79703&lt;/D&gt;&lt;D xsi:type="xsd:double"&gt;70.46832&lt;/D&gt;&lt;D xsi:type="xsd:double"&gt;-31.223946&lt;/D&gt;&lt;D xsi:type="xsd:double"&gt;-27.539814&lt;/D&gt;&lt;D xsi:type="xsd:double"&gt;-32.853977&lt;/D&gt;&lt;D xsi:type="xsd:double"&gt;23.750853&lt;/D&gt;&lt;D xsi:type="xsd:double"&gt;11.668789&lt;/D&gt;&lt;D xsi:type="xsd:double"&gt;4.694582&lt;/D&gt;&lt;D xsi:type="xsd:double"&gt;-4.362245&lt;/D&gt;&lt;D xsi:type="xsd:double"&gt;-2.4632988&lt;/D&gt;&lt;/FQL&gt;&lt;FQL&gt;&lt;Q&gt;DAL-US^PCTCHG(FF_CASH_ONLY('ANN','0','-9','YEARLY',RP,'LOCAL','B'),FF_CASH_ONLY('ANN','-1','-10','YEARLY',RP,'LOCAL','B'))&lt;/Q&gt;&lt;R&gt;10&lt;/R&gt;&lt;C&gt;1&lt;/C&gt;&lt;D xsi:type="xsd:double"&gt;174.69295&lt;/D&gt;&lt;D xsi:type="xsd:double"&gt;91.93549&lt;/D&gt;&lt;D xsi:type="xsd:double"&gt;-11.135613&lt;/D&gt;&lt;D xsi:type="xsd:double"&gt;-34.32296&lt;/D&gt;&lt;D xsi:type="xsd:double"&gt;40.060856&lt;/D&gt;&lt;D xsi:type="xsd:double"&gt;-5.555558&lt;/D&gt;&lt;D xsi:type="xsd:double"&gt;-29.602158&lt;/D&gt;&lt;D xsi:type="xsd:double"&gt;6.270161&lt;/D&gt;&lt;D xsi:type="xsd:double"&gt;-5.773126&lt;/D&gt;&lt;D xsi:type="xsd:double"&gt;-10.269623&lt;/D&gt;&lt;/FQL&gt;&lt;FQL&gt;&lt;Q&gt;DAL-US^PCTCHG(FF_RECEIV_ST('ANN','0','-9','YEARLY',RP,'LOCAL','B'),FF_RECEIV_ST('ANN','-1','-10','YEARLY',RP,'LOCAL','B'))&lt;/Q&gt;&lt;R&gt;10&lt;/R&gt;&lt;C&gt;1&lt;/C&gt;&lt;D xsi:type="xsd:double"&gt;-51.086193&lt;/D&gt;&lt;D xsi:type="xsd:double"&gt;23.336224&lt;/D&gt;&lt;D xsi:type="xsd:double"&gt;-2.650408&lt;/D&gt;&lt;D xsi:type="xsd:double"&gt;15.164739&lt;/D&gt;&lt;D xsi:type="xsd:double"&gt;-3.5063138&lt;/D&gt;&lt;D xsi:type="xsd:double"&gt;-33.612663&lt;/D&gt;&lt;D xsi:type="xsd:double"&gt;100.2486&lt;/D&gt;&lt;D xsi:type="xsd:double"&gt;-4.9616065&lt;/D&gt;&lt;D xsi:type="xsd:double"&gt;8.317338&lt;/D&gt;&lt;D xsi:type="xsd:double"&gt;7.3489003&lt;/D&gt;&lt;/FQL&gt;&lt;FQL&gt;&lt;Q&gt;DAL-US^PCTCHG(FF_INVEN('ANN','0','-9','YEARLY',RP,'LOCAL','B'),FF_INVEN('ANN','-1','-10','YEARLY',RP,'LOCAL','B'))&lt;/Q&gt;&lt;R&gt;10&lt;/R&gt;&lt;C&gt;1&lt;/C&gt;&lt;D xsi:type="xsd:double"&gt;-41.486816&lt;/D&gt;&lt;D xsi:type="xsd:double"&gt;18.578209&lt;/D&gt;&lt;D xsi:type="xsd:double"&gt;-20.617008&lt;/D&gt;&lt;D xsi:type="xsd:double"&gt;49.158253&lt;/D&gt;&lt;D xsi:type="xsd:double"&gt;27.833565&lt;/D&gt;&lt;D xsi:type="xsd:double"&gt;-18.192484&lt;/D&gt;&lt;D xsi:type="xsd:double"&gt;-19.84948&lt;/D&gt;&lt;D xsi:type="xsd:double"&gt;3.9100647&lt;/D&gt;&lt;D xsi:type="xsd:double"&gt;178.7466&lt;/D&gt;&lt;D xsi:type="xsd:double"&gt;15.4088125&lt;/D&gt;&lt;/FQL&gt;&lt;FQL&gt;&lt;Q&gt;DAL-US^PCTCHG(FF_ASSETS_CURR_OTH('ANN','0','-9','YEARLY',RP,'LOCAL','B'),FF_ASSETS_CURR_OTH('ANN','-1','-10','YEARLY',RP,'LOCAL','B'))&lt;/Q&gt;&lt;R&gt;10&lt;/R&gt;&lt;C&gt;1&lt;/C&gt;&lt;D xsi:type="xsd:double"&gt;-5.90476&lt;/D&gt;&lt;D xsi:type="xsd:double"&gt;-9.169556&lt;/D&gt;&lt;D xsi:type="xsd:double"&gt;-22.881918&lt;/D&gt;&lt;D xsi:type="xsd:double"&gt;75.52693&lt;/D&gt;&lt;D xsi:type="xsd:double"&gt;7.2864285&lt;/D&gt;&lt;D xsi:type="xsd:double"&gt;-80.13972&lt;/D&gt;&lt;D xsi:type="xsd:double"&gt;31.23772&lt;/D&gt;&lt;D xsi:type="xsd:double"&gt;69.0094&lt;/D&gt;&lt;D xsi:type="xsd:double"&gt;-3.8318205&lt;/D&gt;&lt;D xsi:type="xsd:double"&gt;24.108316&lt;/D&gt;&lt;/FQL&gt;&lt;FQL&gt;&lt;Q&gt;DAL-US^PCTCHG(FF_ASSETS_CURR('ANN','0','-9','YEARLY',RP,'LOCAL','B'),FF_ASSETS_CURR('ANN','-1','-10','YEARLY',RP,'LOCAL','B'))&lt;/Q&gt;&lt;R&gt;10&lt;/R&gt;&lt;C&gt;1&lt;/C&gt;&lt;D xsi:type="xsd:double"&gt;110.98315&lt;/D&gt;&lt;D xsi:type="xsd:double"&gt;30.110403&lt;/D&gt;&lt;D xsi:type="xsd:double"&gt;-19.173885&lt;/D&gt;&lt;D xsi:type="xsd:double"&gt;5.274455&lt;/D&gt;&lt;D xsi:type="xsd:double"&gt;-17.723051&lt;/D&gt;&lt;D xsi:type="xsd:double"&gt;-27.348577&lt;/D&gt;&lt;D xsi:type="xsd:double"&gt;29.157602&lt;/D&gt;&lt;D xsi:type="xsd:double"&gt;16.67069&lt;/D&gt;&lt;D xsi:type="xsd:double"&gt;7.025491&lt;/D&gt;&lt;D xsi:type="xsd:double"&gt;5.775283&lt;/D&gt;&lt;/FQL&gt;&lt;FQL&gt;&lt;Q&gt;DAL-US^PCTCHG(FF_PPE_NET('ANN','0','-9','YEARLY',RP,'LOCAL','B'),FF_PPE_NET('ANN','-1','-10','YEARLY',RP,'LOCAL','B'))&lt;/Q&gt;&lt;R&gt;10&lt;/R&gt;&lt;C&gt;1&lt;/C&gt;&lt;D xsi:type="xsd:double"&gt;-12.656684&lt;/D&gt;&lt;D xsi:type="xsd:double"&gt;7.59708&lt;/D&gt;&lt;D xsi:type="xsd:double"&gt;29.23615&lt;/D&gt;&lt;D xsi:type="xsd:double"&gt;8.976409&lt;/D&gt;&lt;D xsi:type="xsd:double"&gt;5.7988644&lt;/D&gt;&lt;D xsi:type="xsd:double"&gt;5.0617843&lt;/D&gt;&lt;D xsi:type="xsd:double"&gt;0.3431901&lt;/D&gt;&lt;D xsi:type="xsd:double"&gt;5.508621&lt;/D&gt;&lt;D xsi:type="xsd:double"&gt;2.4229827&lt;/D&gt;&lt;D xsi:type="xsd:double"&gt;-0.41364864&lt;/D&gt;&lt;/FQL&gt;&lt;FQL&gt;&lt;Q&gt;DAL-US^PCTCHG(FF_INVEST_ADV('ANN','0','-9','YEARLY',RP,'LOCAL','B'),FF_INVEST_ADV('ANN','-1','-10','YEARLY',RP,'LOCAL','B'))&lt;/Q&gt;&lt;R&gt;10&lt;/R&gt;&lt;C&gt;1&lt;/C&gt;&lt;D xsi:type="xsd:double"&gt;81.26398&lt;/D&gt;&lt;D xsi:type="xsd:double"&gt;-11.660076&lt;/D&gt;&lt;D xsi:type="xsd:double"&gt;287.7394&lt;/D&gt;&lt;D xsi:type="xsd:double"&gt;257.53427&lt;/D&gt;&lt;D xsi:type="xsd:double"&gt;-18.435759&lt;/D&gt;&lt;D xsi:type="xsd:double"&gt;5.2941194&lt;/D&gt;&lt;D xsi:type="xsd:double"&gt;-28.571428&lt;/D&gt;&lt;D xsi:type="xsd:double"&gt;-14.079425&lt;/D&gt;&lt;D xsi:type="xsd:double"&gt;108.27068&lt;/D&gt;&lt;D xsi:type="xsd:string"&gt;@NA&lt;/D&gt;&lt;/FQL&gt;&lt;FQL&gt;&lt;Q&gt;DAL-US^PCTCHG(FF_INTANG('ANN','0','-9','YEARLY',RP,'LOCAL','B'),FF_INTANG('ANN','-1','-10','YEARLY',RP,'LOCAL','B'))&lt;/Q&gt;&lt;R&gt;10&lt;/R&gt;&lt;C&gt;1&lt;/C&gt;&lt;D xsi:type="xsd:double"&gt;5.48715&lt;/D&gt;&lt;D xsi:type="xsd:double"&gt;2.2791061&lt;/D&gt;&lt;D xsi:type="xsd:double"&gt;-0.20490222&lt;/D&gt;&lt;D xsi:type="xsd:double"&gt;0.020496376&lt;/D&gt;&lt;D xsi:type="xsd:double"&gt;-0.116002716&lt;/D&gt;&lt;D xsi:type="xsd:double"&gt;1.7920359&lt;/D&gt;&lt;D xsi:type="xsd:double"&gt;-0.38056567&lt;/D&gt;&lt;D xsi:type="xsd:double"&gt;-0.14509714&lt;/D&gt;&lt;D xsi:type="xsd:double"&gt;-0.49501893&lt;/D&gt;&lt;D xsi:type="xsd:double"&gt;0.013751323&lt;/D&gt;&lt;/FQL&gt;&lt;FQL&gt;&lt;Q&gt;DAL-US^PCTCHG(FF_DFD_TAX_DB('ANN','0','-9','YEARLY',RP,'LOCAL','B'),FF_DFD_TAX_DB('ANN','-1','-10','YEARLY',RP,'LOCAL','B'))&lt;/Q&gt;&lt;R&gt;10&lt;/R&gt;&lt;C&gt;1&lt;/C&gt;&lt;D xsi:type="xsd:double"&gt;1556.6666&lt;/D&gt;&lt;D xsi:type="xsd:double"&gt;-50.413223&lt;/D&gt;&lt;D xsi:type="xsd:double"&gt;-96.04252&lt;/D&gt;&lt;D xsi:type="xsd:double"&gt;-42.861145&lt;/D&gt;&lt;D xsi:type="xsd:double"&gt;-14.081573&lt;/D&gt;&lt;D xsi:type="xsd:double"&gt;188.33333&lt;/D&gt;&lt;D xsi:type="xsd:double"&gt;-64.39756&lt;/D&gt;&lt;D xsi:type="xsd:string"&gt;@NA&lt;/D&gt;&lt;D xsi:type="xsd:string"&gt;@NA&lt;/D&gt;&lt;D xsi:type="xsd:string"&gt;@NA&lt;/D&gt;&lt;/FQL&gt;&lt;FQL&gt;&lt;Q&gt;DAL-US^PCTCHG(FF_ASSETS_OTH('ANN','0','-9','YEARLY',RP,'LOCAL','B'),FF_ASSETS_OTH('ANN','-1','-10','YEARLY',RP,'LOCAL','B'))&lt;/Q&gt;&lt;R&gt;10&lt;/R&gt;&lt;C&gt;1&lt;/C&gt;&lt;D xsi:type="xsd:double"&gt;-46.39134&lt;/D&gt;&lt;D xsi:type="xsd:double"&gt;-8.3088255&lt;/D&gt;&lt;D xsi:type="xsd:double"&gt;-2.4040155&lt;/D&gt;&lt;D xsi:type="xsd:double"&gt;75.61436&lt;/D&gt;&lt;D xsi:type="xsd:double"&gt;27.061655&lt;/D&gt;&lt;D xsi:type="xsd:double"&gt;48.690475&lt;/D&gt;&lt;D xsi:type="xsd:double"&gt;-21.126768&lt;/D&gt;&lt;D xsi:type="xsd:double"&gt;30.674854&lt;/D&gt;&lt;D xsi:type="xsd:double"&gt;-6.214041&lt;/D&gt;&lt;D xsi:type="xsd:double"&gt;-15.7129&lt;/D&gt;&lt;/FQL&gt;&lt;FQL&gt;&lt;Q&gt;DAL-US^PCTCHG(FF_ASSETS('ANN','0','-9','YEARLY',RP,'LOCAL','B'),FF_ASSETS('ANN','-1','-10','YEARLY',RP,'LOCAL','B'))&lt;/Q&gt;&lt;R&gt;10&lt;/R&gt;&lt;C&gt;1&lt;/C&gt;&lt;D xsi:type="xsd:double"&gt;11.566361&lt;/D&gt;&lt;D xsi:type="xsd:double"&gt;7.078616&lt;/D&gt;&lt;D xsi:type="xsd:double"&gt;3.0681329&lt;/D&gt;&lt;D xsi:type="xsd:double"&gt;-0.7249667&lt;/D&gt;&lt;D xsi:type="xsd:double"&gt;-2.8614318&lt;/D&gt;&lt;D xsi:type="xsd:double"&gt;12.034146&lt;/D&gt;&lt;D xsi:type="xsd:double"&gt;-8.878006&lt;/D&gt;&lt;D xsi:type="xsd:double"&gt;33.319866&lt;/D&gt;&lt;D xsi:type="xsd:double"&gt;2.4161446&lt;/D&gt;&lt;D xsi:type="xsd:double"&gt;-9.893322&lt;/D&gt;&lt;/FQL&gt;&lt;FQL&gt;&lt;Q&gt;DAL-US^PCTCHG(FF_DEBT_ST('ANN','0','-9','YEARLY',RP,'LOCAL','B'),FF_DEBT_ST('ANN','-1','-10','YEARLY',RP,'LOCAL','B'))&lt;/Q&gt;&lt;R&gt;10&lt;/R&gt;&lt;C&gt;1&lt;/C&gt;&lt;D xsi:type="xsd:double"&gt;-21.955957&lt;/D&gt;&lt;D xsi:type="xsd:double"&gt;24.86858&lt;/D&gt;&lt;D xsi:type="xsd:double"&gt;10.303298&lt;/D&gt;&lt;D xsi:type="xsd:double"&gt;98.23166&lt;/D&gt;&lt;D xsi:type="xsd:double"&gt;-27.63915&lt;/D&gt;&lt;D xsi:type="xsd:double"&gt;28.536184&lt;/D&gt;&lt;D xsi:type="xsd:double"&gt;-21.396257&lt;/D&gt;&lt;D xsi:type="xsd:double"&gt;-4.9170203&lt;/D&gt;&lt;D xsi:type="xsd:double"&gt;-16.306585&lt;/D&gt;&lt;D xsi:type="xsd:double"&gt;-6.222863&lt;/D&gt;&lt;/FQL&gt;&lt;FQL&gt;&lt;Q&gt;DAL-US^PCTCHG(FF_PAY_ACCT('ANN','0','-9','YEARLY',RP,'LOCAL','B'),FF_PAY_ACCT('ANN','-1','-10','YEARLY',RP,'LOCAL','B'))&lt;/Q&gt;&lt;R&gt;10&lt;/R&gt;&lt;C&gt;1&lt;/C&gt;&lt;D xsi:type="xsd:double"&gt;-13.043483&lt;/D&gt;&lt;D xsi:type="xsd:double"&gt;9.744622&lt;/D&gt;&lt;D xsi:type="xsd:double"&gt;-18.998365&lt;/D&gt;&lt;D xsi:type="xsd:double"&gt;42.846035&lt;/D&gt;&lt;D xsi:type="xsd:double"&gt;-6.2340503&lt;/D&gt;&lt;D xsi:type="xsd:double"&gt;4.6148&lt;/D&gt;&lt;D xsi:type="xsd:double"&gt;14.000002&lt;/D&gt;&lt;D xsi:type="xsd:double"&gt;0.3052756&lt;/D&gt;&lt;D xsi:type="xsd:double"&gt;43.312496&lt;/D&gt;&lt;D xsi:type="xsd:double"&gt;-6.596616&lt;/D&gt;&lt;/FQL&gt;&lt;FQL&gt;&lt;Q&gt;DAL-US^PCTCHG(FF_PAY_TAX('ANN','0','-9','YEARLY',RP,'LOCAL','B'),FF_PAY_TAX('ANN','-1','-10','YEARLY',RP,'LOCAL','B'))&lt;/Q&gt;&lt;R&gt;10&lt;/R&gt;&lt;C&gt;1&lt;/C&gt;&lt;D xsi:type="xsd:string"&gt;@NA&lt;/D&gt;&lt;D xsi:type="xsd:string"&gt;@NA&lt;/D&gt;&lt;D xsi:type="xsd:string"&gt;@NA&lt;/D&gt;&lt;D xsi:type="xsd:string"&gt;@NA&lt;/D&gt;&lt;D xsi:type="xsd:string"&gt;@NA&lt;/D&gt;&lt;D xsi:type="xsd:string"&gt;@NA&lt;/D&gt;&lt;D xsi:type="xsd:string"&gt;@NA&lt;/D&gt;&lt;D xsi:type="xsd:double"&gt;15.042735&lt;/D&gt;&lt;D xsi:type="xsd:double"&gt;-1.5151521&lt;/D&gt;&lt;D xsi:type="xsd:double"&gt;2.590671&lt;/D&gt;&lt;/FQL&gt;&lt;FQL&gt;&lt;Q&gt;DAL-US^PCTCHG(FF_LIABS_CURR_OTH('ANN','0','-9','YEARLY',RP,'LOCAL','B'),FF_LIABS_CURR_OTH('ANN','-1','-10','YEARLY',RP,'LOCAL','B'))&lt;/Q&gt;&lt;R&gt;10&lt;/R&gt;&lt;C&gt;1&lt;/C&gt;&lt;D xsi:type="xsd:double"&gt;-22.90975&lt;/D&gt;&lt;D xsi:type="xsd:double"&gt;5.491665&lt;/D&gt;&lt;D xsi:type="xsd:double"&gt;3.7291627&lt;/D&gt;&lt;D xsi:type="xsd:double"&gt;9.717401&lt;/D&gt;&lt;D xsi:type="xsd:double"&gt;-12.738276&lt;/D&gt;&lt;D xsi:type="xsd:double"&gt;1.3725934&lt;/D&gt;&lt;D xsi:type="xsd:double"&gt;35.392445&lt;/D&gt;&lt;D xsi:type="xsd:double"&gt;9.891611&lt;/D&gt;&lt;D xsi:type="xsd:double"&gt;2.3589935&lt;/D&gt;&lt;D xsi:type="xsd:double"&gt;21.980053&lt;/D&gt;&lt;/FQL&gt;&lt;FQL&gt;&lt;Q&gt;DAL-US^PCTCHG(FF_LIABS_CURR('ANN','0','-9','YEARLY',RP,'LOCAL','B'),FF_LIABS_CURR('ANN','-1','-10','YEARLY',RP,'LOCAL','B'))&lt;/Q&gt;&lt;R&gt;10&lt;/R&gt;&lt;C&gt;1&lt;/C&gt;&lt;D xsi:type="xsd:double"&gt;-21.169077&lt;/D&gt;&lt;D xsi:type="xsd:double"&gt;8.752295&lt;/D&gt;&lt;D xsi:type="xsd:double"&gt;0.02691628&lt;/D&gt;&lt;D xsi:type="xsd:double"&gt;21.878073&lt;/D&gt;&lt;D xsi:type="xsd:double"&gt;-13.049176&lt;/D&gt;&lt;D xsi:type="xsd:double"&gt;3.8331616&lt;/D&gt;&lt;D xsi:type="xsd:double"&gt;19.269356&lt;/D&gt;&lt;D xsi:type="xsd:double"&gt;6.646571&lt;/D&gt;&lt;D xsi:type="xsd:double"&gt;4.4799643&lt;/D&gt;&lt;D xsi:type="xsd:double"&gt;11.559069&lt;/D&gt;&lt;/FQL&gt;&lt;FQL&gt;&lt;Q&gt;DAL-US^PCTCHG(FF_DEBT_LT('ANN','0','-9','YEARLY',RP,'LOCAL','B'),FF_DEBT_LT('ANN','-1','-10','YEARLY',RP,'LOCAL','B'))&lt;/Q&gt;&lt;R&gt;10&lt;/R&gt;&lt;C&gt;1&lt;/C&gt;&lt;D xsi:type="xsd:double"&gt;133.90979&lt;/D&gt;&lt;D xsi:type="xsd:double"&gt;0.80404097&lt;/D&gt;&lt;D xsi:type="xsd:double"&gt;113.197815&lt;/D&gt;&lt;D xsi:type="xsd:double"&gt;6.3054314&lt;/D&gt;&lt;D xsi:type="xsd:double"&gt;-8.350571&lt;/D&gt;&lt;D xsi:type="xsd:double"&gt;-20.967176&lt;/D&gt;&lt;D xsi:type="xs</t>
        </r>
      </text>
    </comment>
    <comment ref="A20" authorId="0" shapeId="0" xr:uid="{5847DDC1-535A-4718-800A-BC2C94EA1C6C}">
      <text>
        <r>
          <rPr>
            <b/>
            <sz val="9"/>
            <color indexed="81"/>
            <rFont val="Tahoma"/>
            <charset val="1"/>
          </rPr>
          <t>d:double"&gt;-12.598267&lt;/D&gt;&lt;D xsi:type="xsd:double"&gt;-11.613424&lt;/D&gt;&lt;D xsi:type="xsd:double"&gt;-6.4573336&lt;/D&gt;&lt;D xsi:type="xsd:double"&gt;-10.106987&lt;/D&gt;&lt;/FQL&gt;&lt;FQL&gt;&lt;Q&gt;DAL-US^PCTCHG(FF_PROV_RISK('ANN','0','-9','YEARLY',RP,'LOCAL','B'),FF_PROV_RISK('ANN','-1','-10','YEARLY',RP,'LOCAL','B'))&lt;/Q&gt;&lt;R&gt;10&lt;/R&gt;&lt;C&gt;1&lt;/C&gt;&lt;D xsi:type="xsd:double"&gt;25.769054&lt;/D&gt;&lt;D xsi:type="xsd:double"&gt;-7.7594724&lt;/D&gt;&lt;D xsi:type="xsd:double"&gt;-6.595314&lt;/D&gt;&lt;D xsi:type="xsd:double"&gt;-26.670652&lt;/D&gt;&lt;D xsi:type="xsd:double"&gt;-3.4427953&lt;/D&gt;&lt;D xsi:type="xsd:double"&gt;-8.47536&lt;/D&gt;&lt;D xsi:type="xsd:double"&gt;22.159454&lt;/D&gt;&lt;D xsi:type="xsd:double"&gt;-22.57419&lt;/D&gt;&lt;D xsi:type="xsd:double"&gt;12.711264&lt;/D&gt;&lt;D xsi:type="xsd:double"&gt;23.553465&lt;/D&gt;&lt;/FQL&gt;&lt;FQL&gt;&lt;Q&gt;DAL-US^PCTCHG(FF_DFD_TAX_CR('ANN','0','-9','YEARLY',RP,'LOCAL','B'),FF_DFD_TAX_CR('ANN','-1','-10','YEARLY',RP,'LOCAL','B'))&lt;/Q&gt;&lt;R&gt;10&lt;/R&gt;&lt;C&gt;1&lt;/C&gt;&lt;D xsi:type="xsd:string"&gt;@NA&lt;/D&gt;&lt;D xsi:type="xsd:string"&gt;@NA&lt;/D&gt;&lt;D xsi:type="xsd:string"&gt;@NA&lt;/D&gt;&lt;D xsi:type="xsd:double"&gt;-32.181202&lt;/D&gt;&lt;D xsi:type="xsd:double"&gt;1.8400002&lt;/D&gt;&lt;D xsi:type="xsd:string"&gt;@NA&lt;/D&gt;&lt;D xsi:type="xsd:string"&gt;@NA&lt;/D&gt;&lt;D xsi:type="xsd:double"&gt;248.90085&lt;/D&gt;&lt;D xsi:type="xsd:double"&gt;0.9368745&lt;/D&gt;&lt;D xsi:type="xsd:double"&gt;-71.07403&lt;/D&gt;&lt;/FQL&gt;&lt;FQL&gt;&lt;Q&gt;DAL-US^PCTCHG(FF_LIABS_OTH('ANN','0','-9','YEARLY',RP,'LOCAL','B'),FF_LIABS_OTH('ANN','-1','-10','YEARLY',RP,'LOCAL','B'))&lt;/Q&gt;&lt;R&gt;10&lt;/R&gt;&lt;C&gt;1&lt;/C&gt;&lt;D xsi:type="xsd:double"&gt;119.959145&lt;/D&gt;&lt;D xsi:type="xsd:double"&gt;2.3202353&lt;/D&gt;&lt;D xsi:type="xsd:double"&gt;8.554569&lt;/D&gt;&lt;D xsi:type="xsd:double"&gt;6.039459&lt;/D&gt;&lt;D xsi:type="xsd:double"&gt;0.45927128&lt;/D&gt;&lt;D xsi:type="xsd:double"&gt;-12.536997&lt;/D&gt;&lt;D xsi:type="xsd:double"&gt;10.772835&lt;/D&gt;&lt;D xsi:type="xsd:double"&gt;-0.16366541&lt;/D&gt;&lt;D xsi:type="xsd:double"&gt;3.8358822&lt;/D&gt;&lt;D xsi:type="xsd:double"&gt;-4.431554&lt;/D&gt;&lt;/FQL&gt;&lt;FQL&gt;&lt;Q&gt;DAL-US^PCTCHG(FF_LIABS('ANN','0','-9','YEARLY',RP,'LOCAL','B'),FF_LIABS('ANN','-1','-10','YEARLY',RP,'LOCAL','B'))&lt;/Q&gt;&lt;R&gt;10&lt;/R&gt;&lt;C&gt;1&lt;/C&gt;&lt;D xsi:type="xsd:double"&gt;43.291164&lt;/D&gt;&lt;D xsi:type="xsd:double"&gt;5.5711827&lt;/D&gt;&lt;D xsi:type="xsd:double"&gt;4.526274&lt;/D&gt;&lt;D xsi:type="xsd:double"&gt;-4.3980074&lt;/D&gt;&lt;D xsi:type="xsd:double"&gt;-6.3715262&lt;/D&gt;&lt;D xsi:type="xsd:double"&gt;9.879053&lt;/D&gt;&lt;D xsi:type="xsd:double"&gt;-5.116125&lt;/D&gt;&lt;D xsi:type="xsd:double"&gt;2.2921524&lt;/D&gt;&lt;D xsi:type="xsd:double"&gt;3.9781697&lt;/D&gt;&lt;D xsi:type="xsd:double"&gt;-5.2408247&lt;/D&gt;&lt;/FQL&gt;&lt;FQL&gt;&lt;Q&gt;DAL-US^PCTCHG(FF_COM_EQ('ANN','0','-9','YEARLY',RP,'LOCAL','B'),FF_COM_EQ('ANN','-1','-10','YEARLY',RP,'LOCAL','B'))&lt;/Q&gt;&lt;R&gt;10&lt;/R&gt;&lt;C&gt;1&lt;/C&gt;&lt;D xsi:type="xsd:double"&gt;-90.01171&lt;/D&gt;&lt;D xsi:type="xsd:double"&gt;12.208661&lt;/D&gt;&lt;D xsi:type="xsd:double"&gt;-1.6031601&lt;/D&gt;&lt;D xsi:type="xsd:double"&gt;13.2090845&lt;/D&gt;&lt;D xsi:type="xsd:double"&gt;13.244234&lt;/D&gt;&lt;D xsi:type="xsd:double"&gt;23.11359&lt;/D&gt;&lt;D xsi:type="xsd:double"&gt;-24.30645&lt;/D&gt;&lt;D xsi:type="xsd:string"&gt;@NA&lt;/D&gt;&lt;D xsi:type="xsd:double"&gt;-52.65043&lt;/D&gt;&lt;D xsi:type="xsd:double"&gt;-255.62988&lt;/D&gt;&lt;/FQL&gt;&lt;FQL&gt;&lt;Q&gt;DAL-US^PCTCHG(FF_SHLDRS_EQ('ANN','0','-9','YEARLY',RP,'LOCAL','B'),FF_SHLDRS_EQ('ANN','-1','-10','YEARLY',RP,'LOCAL','B'))&lt;/Q&gt;&lt;R&gt;10&lt;/R&gt;&lt;C&gt;1&lt;/C&gt;&lt;D xsi:type="xsd:double"&gt;-90.01171&lt;/D&gt;&lt;D xsi:type="xsd:double"&gt;12.208661&lt;/D&gt;&lt;D xsi:type="xsd:double"&gt;-1.6031601&lt;/D&gt;&lt;D xsi:type="xsd:double"&gt;13.2090845&lt;/D&gt;&lt;D xsi:type="xsd:double"&gt;13.244234&lt;/D&gt;&lt;D xsi:type="xsd:double"&gt;23.11359&lt;/D&gt;&lt;D xsi:type="xsd:double"&gt;-24.30645&lt;/D&gt;&lt;D xsi:type="xsd:string"&gt;@NA&lt;/D&gt;&lt;D xsi:type="xsd:double"&gt;-52.65043&lt;/D&gt;&lt;D xsi:type="xsd:double"&gt;-255.62988&lt;/D&gt;&lt;/FQL&gt;&lt;FQL&gt;&lt;Q&gt;DAL-US^PCTCHG(FF_EQ_TOT('ANN','0','-9','YEARLY',RP,'LOCAL','B'),FF_EQ_TOT('ANN','-1','-10','YEARLY',RP,'LOCAL','B'))&lt;/Q&gt;&lt;R&gt;10&lt;/R&gt;&lt;C&gt;1&lt;/C&gt;&lt;D xsi:type="xsd:double"&gt;-90.01171&lt;/D&gt;&lt;D xsi:type="xsd:double"&gt;12.208661&lt;/D&gt;&lt;D xsi:type="xsd:double"&gt;-1.6031601&lt;/D&gt;&lt;D xsi:type="xsd:double"&gt;13.2090845&lt;/D&gt;&lt;D xsi:type="xsd:double"&gt;13.244234&lt;/D&gt;&lt;D xsi:type="xsd:double"&gt;23.11359&lt;/D&gt;&lt;D xsi:type="xsd:double"&gt;-24.30645&lt;/D&gt;&lt;D xsi:type="xsd:string"&gt;@NA&lt;/D&gt;&lt;D xsi:type="xsd:double"&gt;-52.65043&lt;/D&gt;&lt;D xsi:type="xsd:double"&gt;-255.62988&lt;/D&gt;&lt;/FQL&gt;&lt;FQL&gt;&lt;Q&gt;DAL-US^PCTCHG(FF_LIABS_SHLDRS_EQ('ANN','0','-9','YEARLY',RP,'LOCAL','B'),FF_LIABS_SHLDRS_EQ('ANN','-1','-10','YEARLY',RP,'LOCAL','B'))&lt;/Q&gt;&lt;R&gt;10&lt;/R&gt;&lt;C&gt;1&lt;/C&gt;&lt;D xsi:type="xsd:double"&gt;11.566361&lt;/D&gt;&lt;D xsi:type="xsd:double"&gt;7.078616&lt;/D&gt;&lt;D xsi:type="xsd:double"&gt;3.0681329&lt;/D&gt;&lt;D xsi:type="xsd:double"&gt;-0.7249667&lt;/D&gt;&lt;D xsi:type="xsd:double"&gt;-2.8614318&lt;/D&gt;&lt;D xsi:type="xsd:double"&gt;12.034146&lt;/D&gt;&lt;D xsi:type="xsd:double"&gt;-8.878006&lt;/D&gt;&lt;D xsi:type="xsd:double"&gt;33.319866&lt;/D&gt;&lt;D xsi:type="xsd:double"&gt;2.4161446&lt;/D&gt;&lt;D xsi:type="xsd:double"&gt;-9.893322&lt;/D&gt;&lt;/FQL&gt;&lt;FQL&gt;&lt;Q&gt;DAL-US^PCTCHG(FF_DEBT('ANN','0','-9','YEARLY',RP,'LOCAL','B'),FF_DEBT('ANN','-1','-10','YEARLY',RP,'LOCAL','B'))&lt;/Q&gt;&lt;R&gt;10&lt;/R&gt;&lt;C&gt;1&lt;/C&gt;&lt;D xsi:type="xsd:double"&gt;106.015656&lt;/D&gt;&lt;D xsi:type="xsd:double"&gt;4.4049053&lt;/D&gt;&lt;D xsi:type="xsd:double"&gt;87.084&lt;/D&gt;&lt;D xsi:type="xsd:double"&gt;20.48554&lt;/D&gt;&lt;D xsi:type="xsd:double"&gt;-11.970233&lt;/D&gt;&lt;D xsi:type="xsd:double"&gt;-14.810268&lt;/D&gt;&lt;D xsi:type="xsd:double"&gt;-13.798267&lt;/D&gt;&lt;D xsi:type="xsd:double"&gt;-10.756155&lt;/D&gt;&lt;D xsi:type="xsd:double"&gt;-7.8457017&lt;/D&gt;&lt;D xsi:type="xsd:double"&gt;-9.579068&lt;/D&gt;&lt;/FQL&gt;&lt;FQL&gt;&lt;Q&gt;DAL-US^FE_ESTIMATE_DATE(FISCALPERIODEND,EPS,ANNUAL,-1,'YYYY',NOW)&lt;/Q&gt;&lt;R&gt;1&lt;/R&gt;&lt;C&gt;1&lt;/C&gt;&lt;D xsi:type="xsd:string"&gt;2019&lt;/D&gt;&lt;/FQL&gt;&lt;FQL&gt;&lt;Q&gt;DAL-US^FE_ESTIMATE_DATE(FISCALPERIODEND,EPS,ANNUAL,0,'YYYY',NOW)&lt;/Q&gt;&lt;R&gt;1&lt;/R&gt;&lt;C&gt;1&lt;/C&gt;&lt;D xsi:type="xsd:string"&gt;2020&lt;/D&gt;&lt;/FQL&gt;&lt;FQL&gt;&lt;Q&gt;DAL-US^FE_ESTIMATE_DATE(FISCALPERIODEND,EPS,ANNUAL,+1,'YYYY',NOW)&lt;/Q&gt;&lt;R&gt;1&lt;/R&gt;&lt;C&gt;1&lt;/C&gt;&lt;D xsi:type="xsd:string"&gt;2021&lt;/D&gt;&lt;/FQL&gt;&lt;FQL&gt;&lt;Q&gt;DAL-US^FE_ESTIMATE_DATE(FISCALPERIODEND,EPS,ANNUAL,+2,'YYYY',NOW)&lt;/Q&gt;&lt;R&gt;1&lt;/R&gt;&lt;C&gt;1&lt;/C&gt;&lt;D xsi:type="xsd:string"&gt;2022&lt;/D&gt;&lt;/FQL&gt;&lt;FQL&gt;&lt;Q&gt;VOLV.B-SE^FE_ESTIMATE_DATE(FISCALPERIODEND,,ANNUAL,+1,'YYYY',NOW,,,'')&lt;/Q&gt;&lt;R&gt;1&lt;/R&gt;&lt;C&gt;1&lt;/C&gt;&lt;D xsi:type="xsd:string"&gt;2021&lt;/D&gt;&lt;/FQL&gt;&lt;FQL&gt;&lt;Q&gt;DAL-US^FE_ESTIMATE_DATE(FISCALPERIODEND,EPS,ANNUAL,+3,'YYYY',NOW)&lt;/Q&gt;&lt;R&gt;1&lt;/R&gt;&lt;C&gt;1&lt;/C&gt;&lt;D xsi:type="xsd:string"&gt;2023&lt;/D&gt;&lt;/FQL&gt;&lt;FQL&gt;&lt;Q&gt;DAL-US^FE_ESTIMATE_DATE(FISCALPERIODEND,EPS,ANNUAL,+4,'YYYY',NOW)&lt;/Q&gt;&lt;R&gt;1&lt;/R&gt;&lt;C&gt;1&lt;/C&gt;&lt;D xsi:type="xsd:string"&gt;2024&lt;/D&gt;&lt;/FQL&gt;&lt;FQL&gt;&lt;Q&gt;DAL-US^FE_ESTIMATE_DATE(FISCALPERIODEND,EPS,ANNUAL,+5,'YYYY',NOW)&lt;/Q&gt;&lt;R&gt;1&lt;/R&gt;&lt;C&gt;1&lt;/C&gt;&lt;D xsi:type="xsd:string"&gt;2025&lt;/D&gt;&lt;/FQL&gt;&lt;FQL&gt;&lt;Q&gt;DAL-US^FF_CO_NAME&lt;/Q&gt;&lt;R&gt;1&lt;/R&gt;&lt;C&gt;1&lt;/C&gt;&lt;D xsi:type="xsd:string"&gt;Delta Air Lines, Inc.&lt;/D&gt;&lt;/FQL&gt;&lt;FQL&gt;&lt;Q&gt;^P_SYMBOL&lt;/Q&gt;&lt;R&gt;0&lt;/R&gt;&lt;C&gt;0&lt;/C&gt;&lt;/FQL&gt;&lt;FQL&gt;&lt;Q&gt;^FF_CO_NAME&lt;/Q&gt;&lt;R&gt;0&lt;/R&gt;&lt;C&gt;0&lt;/C&gt;&lt;/FQL&gt;&lt;FQL&gt;&lt;Q&gt;DAL-US^CS_EVENT_DATEJ_N("ER",1)&lt;/Q&gt;&lt;R&gt;1&lt;/R&gt;&lt;C&gt;1&lt;/C&gt;&lt;D xsi:type="xsd:long"&gt;44579&lt;/D&gt;&lt;/FQL&gt;&lt;FQL&gt;&lt;Q&gt;DAL-US^P_CURRENCY("ISO")&lt;/Q&gt;&lt;R&gt;1&lt;/R&gt;&lt;C&gt;1&lt;/C&gt;&lt;D xsi:type="xsd:string"&gt;USD&lt;/D&gt;&lt;/FQL&gt;&lt;FQL&gt;&lt;Q&gt;DAL-US^P_EXCHANGE('NAME','FS')&lt;/Q&gt;&lt;R&gt;1&lt;/R&gt;&lt;C&gt;1&lt;/C&gt;&lt;D xsi:type="xsd:string"&gt;NYSE&lt;/D&gt;&lt;/FQL&gt;&lt;FQL&gt;&lt;Q&gt;DAL-US^FG_FACTSET_SECTOR&lt;/Q&gt;&lt;R&gt;1&lt;/R&gt;&lt;C&gt;1&lt;/C&gt;&lt;D xsi:type="xsd:string"&gt;Transportation&lt;/D&gt;&lt;/FQL&gt;&lt;FQL&gt;&lt;Q&gt;^FF_ADDRESS&lt;/Q&gt;&lt;R&gt;0&lt;/R&gt;&lt;C&gt;0&lt;/C&gt;&lt;/FQL&gt;&lt;FQL&gt;&lt;Q&gt;^FF_ADDRESS2&lt;/Q&gt;&lt;R&gt;0&lt;/R&gt;&lt;C&gt;0&lt;/C&gt;&lt;/FQL&gt;&lt;FQL&gt;&lt;Q&gt;^FF_CITY&lt;/Q&gt;&lt;R&gt;0&lt;/R&gt;&lt;C&gt;0&lt;/C&gt;&lt;/FQL&gt;&lt;FQL&gt;&lt;Q&gt;^FF_POSTAL&lt;/Q&gt;&lt;R&gt;0&lt;/R&gt;&lt;C&gt;0&lt;/C&gt;&lt;/FQL&gt;&lt;FQL&gt;&lt;Q&gt;^FF_STATE_PROVINCE&lt;/Q&gt;&lt;R&gt;0&lt;/R&gt;&lt;C&gt;0&lt;/C&gt;&lt;/FQL&gt;&lt;FQL&gt;&lt;Q&gt;^FF_COUNTRY&lt;/Q&gt;&lt;R&gt;0&lt;/R&gt;&lt;C&gt;0&lt;/C&gt;&lt;/FQL&gt;&lt;FQL&gt;&lt;Q&gt;^FF_SALES(ANN_R,0)&lt;/Q&gt;&lt;R&gt;0&lt;/R&gt;&lt;C&gt;0&lt;/C&gt;&lt;/FQL&gt;&lt;FQL&gt;&lt;Q&gt;^FF_EMP_NUM(ANN,0)&lt;/Q&gt;&lt;R&gt;0&lt;/R&gt;&lt;C&gt;0&lt;/C&gt;&lt;/FQL&gt;&lt;FQL&gt;&lt;Q&gt;^OS_TOP_HLDR_ULTPRNT(1,0D,,MTD,,F,SEC)[0]&lt;/Q&gt;&lt;R&gt;0&lt;/R&gt;&lt;C&gt;0&lt;/C&gt;&lt;/FQL&gt;&lt;FQL&gt;&lt;Q&gt;^FF_BUS_DESC_EXT&lt;/Q&gt;&lt;R&gt;0&lt;/R&gt;&lt;C&gt;0&lt;/C&gt;&lt;/FQL&gt;&lt;FQL&gt;&lt;Q&gt;^HOMEPAGE&lt;/Q&gt;&lt;R&gt;0&lt;/R&gt;&lt;C&gt;0&lt;/C&gt;&lt;/FQL&gt;&lt;FQL&gt;&lt;Q&gt;^FG_EXCHANGE&lt;/Q&gt;&lt;R&gt;0&lt;/R&gt;&lt;C&gt;0&lt;/C&gt;&lt;/FQL&gt;&lt;FQL&gt;&lt;Q&gt;DAL-US^P_SYMBOL&lt;/Q&gt;&lt;R&gt;1&lt;/R&gt;&lt;C&gt;1&lt;/C&gt;&lt;D xsi:type="xsd:string"&gt;DAL-US&lt;/D&gt;&lt;/FQL&gt;&lt;FQL&gt;&lt;Q&gt;DAL-US^HOMEPAGE&lt;/Q&gt;&lt;R&gt;1&lt;/R&gt;&lt;C&gt;1&lt;/C&gt;&lt;D xsi:type="xsd:string"&gt;http://www.delta.com&lt;/D&gt;&lt;/FQL&gt;&lt;FQL&gt;&lt;Q&gt;DAL-US^FG_BUS_DESC_BRIEF("ARRAY")[0]&lt;/Q&gt;&lt;R&gt;1&lt;/R&gt;&lt;C&gt;1&lt;/C&gt;&lt;D xsi:type="xsd:string"&gt;Delta Air Lines, Inc. engages in the provision of scheduled air&lt;/D&gt;&lt;/FQL&gt;&lt;FQL&gt;&lt;Q&gt;DAL-US^FG_BUS_DESC_BRIEF("ARRAY")[1]&lt;/Q&gt;&lt;R&gt;1&lt;/R&gt;&lt;C&gt;1&lt;/C&gt;&lt;D xsi:type="xsd:string"&gt;transportation for passengers and cargo. It operates through the Airline&lt;/D&gt;&lt;/FQL&gt;&lt;FQL&gt;&lt;Q&gt;DAL-US^FG_BUS_DESC_BRIEF("ARRAY")[2]&lt;/Q&gt;&lt;R&gt;1&lt;/R&gt;&lt;C&gt;1&lt;/C&gt;&lt;D xsi:type="xsd:string"&gt;and Refinery segments. The Airline segment provides scheduled air&lt;/D&gt;&lt;/FQL&gt;&lt;FQL&gt;&lt;Q&gt;DAL-US^FG_BUS_DESC_BRIEF("ARRAY")[3]&lt;/Q&gt;&lt;R&gt;1&lt;/R&gt;&lt;C&gt;1&lt;/C&gt;&lt;D xsi:type="xsd:string"&gt;transportation for passengers and cargo. The Refinery segment consists of&lt;/D&gt;&lt;/FQL&gt;&lt;FQL&gt;&lt;Q&gt;DAL-US^FG_BUS_DESC_BRIEF("ARRAY")[4]&lt;/Q&gt;&lt;R&gt;1&lt;/R&gt;&lt;C&gt;1&lt;/C&gt;&lt;D xsi:type="xsd:string"&gt;jet fuel and non-jet fuel products. The company was founded by Collett&lt;/D&gt;&lt;/FQL&gt;&lt;FQL&gt;&lt;Q&gt;DAL-US^FG_BUS_DESC_BRIEF("ARRAY")[5]&lt;/Q&gt;&lt;R&gt;1&lt;/R&gt;&lt;C&gt;1&lt;/C&gt;&lt;D xsi:type="xsd:string"&gt;Everman Woolman in 1928 and is headquartered in Atlanta, GA.&lt;/D&gt;&lt;/FQL&gt;&lt;FQL&gt;&lt;Q&gt;DAL-US^FG_BUS_DESC_BRIEF("ARRAY")[6]&lt;/Q&gt;&lt;R&gt;0&lt;/R&gt;&lt;C&gt;0&lt;/C&gt;&lt;/FQL&gt;&lt;FQL&gt;&lt;Q&gt;DAL-US^FG_BUS_DESC_BRIEF("ARRAY")[7]&lt;/Q&gt;&lt;R&gt;0&lt;/R&gt;&lt;C&gt;0&lt;/C&gt;&lt;/FQL&gt;&lt;FQL&gt;&lt;Q&gt;DAL-US^FG_BUS_DESC_BRIEF("ARRAY")[8]&lt;/Q&gt;&lt;R&gt;0&lt;/R&gt;&lt;C&gt;0&lt;/C&gt;&lt;/FQL&gt;&lt;FQL&gt;&lt;Q&gt;DAL-US^FG_BUS_DESC_BRIEF("ARRAY")[9]&lt;/Q&gt;&lt;R&gt;0&lt;/R&gt;&lt;C&gt;0&lt;/C&gt;&lt;/FQL&gt;&lt;FQL&gt;&lt;Q&gt;DAL-US^FG_BUS_DESC_BRIEF("ARRAY")[10]&lt;/Q&gt;&lt;R&gt;0&lt;/R&gt;&lt;C&gt;0&lt;/C&gt;&lt;/FQL&gt;&lt;FQL&gt;&lt;Q&gt;DAL-US^FG_BUS_DESC_BRIEF("ARRAY")[11]&lt;/Q&gt;&lt;R&gt;0&lt;/R&gt;&lt;C&gt;0&lt;/C&gt;&lt;/FQL&gt;&lt;FQL&gt;&lt;Q&gt;DAL-US^FG_BUS_DESC_BRIEF("ARRAY")[12]&lt;/Q&gt;&lt;R&gt;0&lt;/R&gt;&lt;C&gt;0&lt;/C&gt;&lt;/FQL&gt;&lt;FQL&gt;&lt;Q&gt;DAL-US^FG_BUS_DESC_BRIEF("ARRAY")[13]&lt;/Q&gt;&lt;R&gt;0&lt;/R&gt;&lt;C&gt;0&lt;/C&gt;&lt;/FQL&gt;&lt;FQL&gt;&lt;Q&gt;DAL-US^FG_BUS_DESC_BRIEF("ARRAY")[14]&lt;/Q&gt;&lt;R&gt;0&lt;/R&gt;&lt;C&gt;0&lt;/C&gt;&lt;/FQL&gt;&lt;FQL&gt;&lt;Q&gt;DAL-US^FG_ADDRESS_L1&lt;/Q&gt;&lt;R&gt;1&lt;/R&gt;&lt;C&gt;1&lt;/C&gt;&lt;D xsi:type="xsd:string"&gt;Hartsfield-Jackson Atlanta&lt;/D&gt;&lt;/FQL&gt;&lt;FQL&gt;&lt;Q&gt;DAL-US^FG_ADDRESS_L2&lt;/Q&gt;&lt;R&gt;1&lt;/R&gt;&lt;C&gt;1&lt;/C&gt;&lt;D xsi:type="xsd:string"&gt;Atlanta, Georgia 30354 US&lt;/D&gt;&lt;/FQL&gt;&lt;FQL&gt;&lt;Q&gt;DAL-US^PROPER(FG_COUNTRY)&lt;/Q&gt;&lt;R&gt;1&lt;/R&gt;&lt;C&gt;1&lt;/C&gt;&lt;D xsi:type="xsd:string"&gt;United States&lt;/D&gt;&lt;/FQL&gt;&lt;FQL&gt;&lt;Q&gt;^JULIAN(DATE_YYYYMMDD(0/0/-1, NOW, D))&lt;/Q&gt;&lt;R&gt;254&lt;/R&gt;&lt;C&gt;1&lt;/C&gt;&lt;D xsi:type="xsd:long"&gt;44159&lt;/D&gt;&lt;D xsi:type="xsd:long"&gt;44160&lt;/D&gt;&lt;D xsi:type="xsd:long"&gt;44162&lt;/D&gt;&lt;D xsi:type="xsd:long"&gt;44165&lt;/D&gt;&lt;D xsi:type="xsd:long"&gt;44166&lt;/D&gt;&lt;D xsi:type="xsd:long"&gt;44167&lt;/D&gt;&lt;D xsi:type="xsd:long"&gt;44168&lt;/D&gt;&lt;D xsi:type="xsd:long"&gt;44169&lt;/D&gt;&lt;D xsi:type="xsd:long"&gt;44172&lt;/D&gt;&lt;D xsi:type="xsd:long"&gt;44173&lt;/D&gt;&lt;D xsi:type="xsd:long"&gt;44174&lt;/D&gt;&lt;D xsi:type="xsd:long"&gt;44175&lt;/D&gt;&lt;D xsi:type="xsd:long"&gt;44176&lt;/D&gt;&lt;D xsi:type="xsd:long"&gt;44179&lt;/D&gt;&lt;D xsi:type="xsd:long"&gt;44180&lt;/D&gt;&lt;D xsi:type="xsd:long"&gt;44181&lt;/D&gt;&lt;D xsi:type="xsd:long"&gt;44182&lt;/D&gt;&lt;D xsi:type="xsd:long"&gt;44183&lt;/D&gt;&lt;D xsi:type="xsd:long"&gt;44186&lt;/D&gt;&lt;D xsi:type="xsd:long"&gt;44187&lt;/D&gt;&lt;D xsi:type="xsd:long"&gt;44188&lt;/D&gt;&lt;D xsi:type="xsd:long"&gt;44189&lt;/D&gt;&lt;D xsi:type="xsd:long"&gt;44193&lt;/D&gt;&lt;D xsi:type="xsd:long"&gt;44194&lt;/D&gt;&lt;D xsi:type="xsd:long"&gt;44195&lt;/D&gt;&lt;D xsi:type="xsd:long"&gt;44196&lt;/D&gt;&lt;D xsi:type="xsd:long"&gt;44200&lt;/D&gt;&lt;D xsi:type="xsd:long"&gt;44201&lt;/D&gt;&lt;D xsi:type="xsd:long"&gt;44202&lt;/D&gt;&lt;D xsi:type="xsd:long"&gt;44203&lt;/D&gt;&lt;D xsi:type="xsd:long"&gt;44204&lt;/D&gt;&lt;D xsi:type="xsd:long"&gt;44207&lt;/D&gt;&lt;D xsi:type="xsd:long"&gt;44208&lt;/D&gt;&lt;D xsi:type="xsd:long"&gt;44209&lt;/D&gt;&lt;D xsi:type="xsd:long"&gt;44210&lt;/D&gt;&lt;D xsi:type="xsd:long"&gt;44211&lt;/D&gt;&lt;D xsi:type="xsd:long"&gt;44215&lt;/D&gt;&lt;D xsi:type="xsd:long"&gt;44216&lt;/D&gt;&lt;D xsi:type="xsd:long"&gt;44217&lt;/D&gt;&lt;D xsi:type="xsd:long"&gt;44218&lt;/D&gt;&lt;D xsi:type="xsd:long"&gt;44221&lt;/D&gt;&lt;D xsi:type="xsd:long"&gt;44222&lt;/D&gt;&lt;D xsi:type="xsd:long"&gt;44223&lt;/D&gt;&lt;D xsi:type="xsd:long"&gt;44224&lt;/D&gt;&lt;D xsi:type="xsd:long"&gt;44225&lt;/D&gt;&lt;D xsi:type="xsd:long"&gt;44228&lt;/D&gt;&lt;D xsi:type="xsd:long"&gt;44229&lt;/D&gt;&lt;D xsi:type="xsd:long"&gt;44230&lt;/D&gt;&lt;D xsi:type="xsd:long"&gt;44231&lt;/D&gt;&lt;D xsi:type="xsd:long"&gt;44232&lt;/D&gt;&lt;D xsi:type="xsd:long"&gt;44235&lt;/D&gt;&lt;D xsi:type="xsd:long"&gt;44236&lt;/D&gt;&lt;D xsi:type="xsd:long"&gt;44237&lt;/D&gt;&lt;D xsi:type="xsd:long"&gt;44238&lt;/D&gt;&lt;D xsi:type="xsd:long"&gt;44239&lt;/D&gt;&lt;D xsi:type="xsd:long"&gt;44243&lt;/D&gt;&lt;D xsi:type="xsd:long"&gt;44244&lt;/D&gt;&lt;D xsi:type="xsd:long"&gt;44245&lt;/D&gt;&lt;D xsi:type="xsd:long"&gt;44246&lt;/D&gt;&lt;D xsi:type="xsd:long"&gt;44249&lt;/D&gt;&lt;D xsi:type="xsd:long"&gt;44250&lt;/D&gt;&lt;D xsi:type="xsd:long"&gt;44251&lt;/D&gt;&lt;D xsi:type="xsd:long"&gt;44252&lt;/D&gt;&lt;D xsi:type="xsd:long"&gt;44253&lt;/D&gt;&lt;D xsi:type="xsd:long"&gt;44256&lt;/D&gt;&lt;D xsi:type="xsd:long"&gt;44257&lt;/D&gt;&lt;D xsi:type="xsd:long"&gt;44258&lt;/D&gt;&lt;D xsi:type="xsd:long"&gt;44259&lt;/D&gt;&lt;D xsi:type="xsd:long"&gt;44260&lt;/D&gt;&lt;D xsi:type="xsd:long"&gt;44263&lt;/D&gt;&lt;D xsi:type="xsd:long"&gt;44264&lt;/D&gt;&lt;D xsi:type="xsd:long"&gt;44265&lt;/D&gt;&lt;D xsi:type="xsd:long"&gt;44266&lt;/D&gt;&lt;D xsi:type="xsd:long"&gt;44267&lt;/D&gt;&lt;D xsi:type="xsd:long"&gt;44270&lt;/D&gt;&lt;D xsi:type="xsd:long"&gt;44271&lt;/D&gt;&lt;D xsi:type="xsd:long"&gt;44272&lt;/D&gt;&lt;D xsi:type="xsd:long"&gt;44273&lt;/D&gt;&lt;D xsi:type="xsd:long"&gt;44274&lt;/D&gt;&lt;D xsi:type="xsd:long"&gt;44277&lt;/D&gt;&lt;D xsi:type="xsd:long"&gt;44278&lt;/D&gt;&lt;D xsi:type="xsd:long"&gt;44279&lt;/D&gt;&lt;D xsi:type="xsd:long"&gt;44280&lt;/D&gt;&lt;D xsi:type="xsd:long"&gt;44281&lt;/D&gt;&lt;D xsi:type="xsd:long"&gt;44284&lt;/D&gt;&lt;D xsi:type="xsd:long"&gt;44285&lt;/D&gt;&lt;D xsi:type="xsd:long"&gt;44286&lt;/D&gt;&lt;D xsi:type="xsd:long"&gt;44287&lt;/D&gt;&lt;D xsi:type="xsd:long"&gt;44291&lt;/D&gt;&lt;D xsi:type="xsd:long"&gt;44292&lt;/D&gt;&lt;D xsi:type="xsd:long"&gt;44293&lt;/D&gt;&lt;D xsi:type="xsd:long"&gt;44294&lt;/D&gt;&lt;D xsi:type="xsd:long"&gt;44295&lt;/D&gt;&lt;D xsi:type="xsd:long"&gt;44298&lt;/D&gt;&lt;D xsi:type="xsd:long"&gt;44299&lt;/D&gt;&lt;D xsi:type="xsd:long"&gt;44300&lt;/D&gt;&lt;D xsi:type="xsd:long"&gt;44301&lt;/D&gt;&lt;D xsi:type="xsd:long"&gt;44302&lt;/D&gt;&lt;D xsi:type="xsd:long"&gt;44305&lt;/D&gt;&lt;D xsi:type="xsd:long"&gt;44306&lt;/D&gt;&lt;D xsi:type="xsd:long"&gt;44307&lt;/D&gt;&lt;D xsi:type="xsd:long"&gt;44308&lt;/D&gt;&lt;D xsi:type="xsd:long"&gt;44309&lt;/D&gt;&lt;D xsi:type="xsd:long"&gt;44312&lt;/D&gt;&lt;D xsi:type="xsd:long"&gt;44313&lt;/D&gt;&lt;D xsi:type="xsd:long"&gt;44314&lt;/D&gt;&lt;D xsi:type="xsd:long"&gt;44315&lt;/D&gt;&lt;D xsi:type="xsd:long"&gt;44316&lt;/D&gt;&lt;D xsi:type="xsd:long"&gt;44319&lt;/D&gt;&lt;D xsi:type="xsd:long"&gt;44320&lt;/D&gt;&lt;D xsi:type="xsd:long"&gt;44321&lt;/D&gt;&lt;D xsi:type="xsd:long"&gt;44322&lt;/D&gt;&lt;D xsi:type="xsd:long"&gt;44323&lt;/D&gt;&lt;D xsi:type="xsd:long"&gt;44326&lt;/D&gt;&lt;D xsi:type="xsd:long"&gt;44327&lt;/D&gt;&lt;D xsi:type="xsd:long"&gt;44328&lt;/D&gt;&lt;D xsi:type="xsd:long"&gt;44329&lt;/D&gt;&lt;D xsi:type="xsd:long"&gt;44330&lt;/D&gt;&lt;D xsi:type="xsd:long"&gt;44333&lt;/D&gt;&lt;D xsi:type="xsd:long"&gt;44334&lt;/D&gt;&lt;D xsi:type="xsd:long"&gt;44335&lt;/D&gt;&lt;D xsi:type="xsd:long"&gt;44336&lt;/D&gt;&lt;D xsi:type="xsd:long"&gt;44337&lt;/D&gt;&lt;D xsi:type="xsd:long"&gt;44340&lt;/D&gt;&lt;D xsi:type="xsd:long"&gt;44341&lt;/D&gt;&lt;D xsi:type="xsd:long"&gt;44342&lt;/D&gt;&lt;D xsi:type="xsd:long"&gt;44343&lt;/D&gt;&lt;D xsi:type="xsd:long"&gt;44344&lt;/D&gt;&lt;D xsi:type="xsd:long"&gt;44348&lt;/D&gt;&lt;D xsi:type="xsd:long"&gt;44349&lt;/D&gt;&lt;D xsi:type="xsd:long"&gt;44350&lt;/D&gt;&lt;D xsi:type="xsd:long"&gt;44351&lt;/D&gt;&lt;D xsi:type="xsd:long"&gt;44354&lt;/D&gt;&lt;D xsi:type="xsd:long"&gt;44355&lt;/D&gt;&lt;D xsi:type="xsd:long"&gt;44356&lt;/D&gt;&lt;D xsi:type="xsd:long"&gt;44357&lt;/D&gt;&lt;D xsi:type="xsd:long"&gt;44358&lt;/D&gt;&lt;D xsi:type="xsd:long"&gt;44361&lt;/D&gt;&lt;D xsi:type="xsd:long"&gt;44362&lt;/D&gt;&lt;D xsi:type="xsd:long"&gt;44363&lt;/D&gt;&lt;D xsi:type="xsd:long"&gt;44364&lt;/D&gt;&lt;D xsi:type="xsd:long"&gt;44365&lt;/D&gt;&lt;D xsi:type="xsd:long"&gt;44368&lt;/D&gt;&lt;D xsi:type="xsd:long"&gt;44369&lt;/D&gt;&lt;D xsi:type="xsd:long"&gt;44370&lt;/D&gt;&lt;D xsi:type="xsd:long"&gt;44371&lt;/D&gt;&lt;D xsi:type="xsd:long"&gt;44372&lt;/D&gt;&lt;D xsi:type="xsd:long"&gt;44375&lt;/D&gt;&lt;D xsi:type="xsd:long"&gt;44376&lt;/D&gt;&lt;D xsi:type="xsd:long"&gt;44377&lt;/D&gt;&lt;D xsi:type="xsd:long"&gt;44378&lt;/D&gt;&lt;D xsi:type="xsd:long"&gt;44379&lt;/D&gt;&lt;D xsi:type="xsd:long"&gt;44383&lt;/D&gt;&lt;D xsi:type="xsd:long"&gt;44384&lt;/D&gt;&lt;D xsi:type="xsd:long"&gt;44385&lt;/D&gt;&lt;D xsi:type="xsd:long"&gt;44386&lt;/D&gt;&lt;D xsi:type="xsd:long"&gt;44389&lt;/D&gt;&lt;D xsi:type="xsd:long"&gt;44390&lt;/D&gt;&lt;D xsi:type="xsd:long"&gt;44391&lt;/D&gt;&lt;D xsi:type="xsd:long"&gt;44392&lt;/D&gt;&lt;D xsi:type="xsd:long"&gt;44393&lt;/D&gt;&lt;D xsi:type="xsd:long"&gt;44396&lt;/D&gt;&lt;D xsi:type="xsd:long"&gt;44397&lt;/D&gt;&lt;D xsi:type="xsd:long"&gt;44398&lt;/D&gt;&lt;D xsi:type="xsd:long"&gt;44399&lt;/D&gt;&lt;D xsi:type="xsd:long"&gt;44400&lt;/D&gt;&lt;D xsi:type="xsd:long"&gt;44403&lt;/D&gt;&lt;D xsi:type="xsd:long"&gt;44404&lt;/D&gt;&lt;D xsi:type="xsd:long"&gt;44405&lt;/D&gt;&lt;D xsi:type="xsd:long"&gt;44406&lt;/D&gt;&lt;D xsi:type="xsd:long"&gt;44407&lt;/D&gt;&lt;D xsi:type="xsd:long"&gt;44410&lt;/D&gt;&lt;D xsi:type="xsd:long"&gt;44411&lt;/D&gt;&lt;D xsi:type="xsd:long"&gt;44412&lt;/D&gt;&lt;D xsi:type="xsd:long"&gt;44413&lt;/D&gt;&lt;D xsi:type="xsd:long"&gt;44414&lt;/D&gt;&lt;D xsi:type="xsd:long"&gt;44417&lt;/D&gt;&lt;D xsi:type="xsd:long"&gt;44418&lt;/D&gt;&lt;D xsi:type="xsd:long"&gt;44419&lt;/D&gt;&lt;D xsi:type="xsd:long"&gt;44420&lt;/D&gt;&lt;D xsi:type="xsd:long"&gt;44421&lt;/D&gt;&lt;D xsi:type="xsd:long"&gt;44424&lt;/D&gt;&lt;D xsi:type="xsd:long"&gt;44425&lt;/D&gt;&lt;D xsi:type="xsd:long"&gt;44426&lt;/D&gt;&lt;D xsi:type="xsd:long"&gt;44427&lt;/D&gt;&lt;D xsi:type="xsd:long"&gt;44428&lt;/D&gt;&lt;D xsi:type="xsd:long"&gt;44431&lt;/D&gt;&lt;D xsi:type="xsd:long"&gt;44432&lt;/D&gt;&lt;D xsi:type="xsd:long"&gt;44433&lt;/D&gt;&lt;D xsi:type="xsd:long"&gt;44434&lt;/D&gt;&lt;D xsi:type="xsd:long"&gt;44435&lt;/D&gt;&lt;D xsi:type="xsd:long"&gt;44438&lt;/D&gt;&lt;D xsi:type="xsd:long"&gt;44439&lt;/D&gt;&lt;D xsi:type="xsd:long"&gt;44440&lt;/D&gt;&lt;D xsi:type="xsd:long"&gt;44441&lt;/D&gt;&lt;D xsi:type="xsd:long"&gt;44442&lt;/D&gt;&lt;D xsi:type="xsd:long"&gt;44446&lt;/D&gt;&lt;D xsi:type="xsd:long"&gt;44447&lt;/D&gt;&lt;D xsi:type="xsd:long"&gt;44448&lt;/D&gt;&lt;D xsi:type="xsd:long"&gt;44449&lt;/D&gt;&lt;D xsi:type="xsd:long"&gt;44452&lt;/D&gt;&lt;D xsi:type="xsd:long"&gt;44453&lt;/D&gt;&lt;D xsi:type="xsd:long"&gt;44454&lt;/D&gt;&lt;D xsi:type="xsd:long"&gt;44455&lt;/D&gt;&lt;D xsi:type="xsd:long"&gt;44456&lt;/D&gt;&lt;D xsi:type="xsd:long"&gt;44459&lt;/D&gt;&lt;D xsi:type="xsd:long"&gt;44460&lt;/D&gt;&lt;D xsi:type="xsd:long"&gt;44461&lt;/D&gt;&lt;D xsi:type="xsd:long"&gt;44462&lt;/D&gt;&lt;D xsi:type="xsd:long"&gt;44463&lt;/D&gt;&lt;D xsi:type="xsd:long"&gt;44466&lt;/D&gt;&lt;D xsi:type="xsd:long"&gt;44467&lt;/D&gt;&lt;D xsi:type="xsd:long"&gt;44468&lt;/D&gt;&lt;D xsi:type="xsd:long"&gt;44469&lt;/D&gt;&lt;D xsi:type="xsd:long"&gt;44470&lt;/D&gt;&lt;D xsi:type="xsd:long"&gt;44473&lt;/D&gt;&lt;D xsi:type="xsd:long"&gt;44474&lt;/D&gt;&lt;D xsi:type="xsd:long"&gt;44475&lt;/D&gt;&lt;D xsi:type="xsd:long"&gt;44476&lt;/D&gt;&lt;D xsi:type="xsd:long"&gt;44477&lt;/D&gt;&lt;D xsi:type="xsd:long"&gt;44480&lt;/D&gt;&lt;D xsi:type="xsd:long"&gt;44481&lt;/D&gt;&lt;D xsi:type="xsd:long"&gt;44482&lt;/D&gt;&lt;D xsi:type="xsd:long"&gt;44483&lt;/D&gt;&lt;D xsi:type="xsd:long"&gt;44484&lt;/D&gt;&lt;D xsi:type="xsd:long"&gt;44487&lt;/D&gt;&lt;D xsi:type="xsd:long"&gt;44488&lt;/D&gt;&lt;D xsi:type="xsd:long"&gt;44489&lt;/D&gt;&lt;D xsi:type="xsd:long"&gt;44490&lt;/D&gt;&lt;D xsi:type="xsd:long"&gt;44491&lt;/D&gt;&lt;D xsi:type="xsd:long"&gt;44494&lt;/D&gt;&lt;D xsi:type="xsd:long"&gt;44495&lt;/D&gt;&lt;D xsi:type="xsd:long"&gt;44496&lt;/D&gt;&lt;D xsi:type="xsd:long"&gt;44497&lt;/D&gt;&lt;D xsi:type="xsd:long"&gt;44498&lt;/D&gt;&lt;D xsi:type="xsd:long"&gt;44501&lt;/D&gt;&lt;D xsi:type="xsd:long"&gt;44502&lt;/D&gt;&lt;D xsi:type="xsd:long"&gt;44503&lt;/D&gt;&lt;D xsi:type="xsd:long"&gt;44504&lt;/D&gt;&lt;D xsi:type="xsd:long"&gt;44505&lt;/D&gt;&lt;D xsi:type="xsd:long"&gt;44508&lt;/D&gt;&lt;D xsi:type="xsd:long"&gt;44509&lt;/D&gt;&lt;D xsi:type="xsd:long"&gt;44510&lt;/D&gt;&lt;D xsi:type="xsd:long"&gt;44511&lt;/D&gt;&lt;D xsi:type="xsd:long"&gt;44512&lt;/D&gt;&lt;D xsi:type="xsd:long"&gt;44515&lt;/D&gt;&lt;D xsi:type="xsd:long"&gt;44516&lt;/D&gt;&lt;D xsi:type="xsd:long"&gt;44517&lt;/D&gt;&lt;D xsi:type="xsd:long"&gt;44518&lt;/D&gt;&lt;D xsi:type="xsd:long"&gt;44519&lt;/D&gt;&lt;D xsi:type="xsd:long"&gt;44522&lt;/D&gt;&lt;D xsi:type="xsd:long"&gt;44523&lt;/D&gt;&lt;D xsi:type="xsd:long"&gt;44524&lt;/D&gt;&lt;D xsi:type="xsd:long"&gt;44526&lt;/D&gt;&lt;/FQL&gt;&lt;FQL&gt;&lt;Q&gt;DAL-US^FG_PRICE_ICS(0/0/-1,NOW,D,LOCAL,SPLIT,0,,,5)&lt;/Q&gt;&lt;R&gt;254&lt;/R&gt;&lt;C&gt;1&lt;/C&gt;&lt;D xsi:type="xsd:double"&gt;41.26&lt;/D&gt;&lt;D xsi:type="xsd:double"&gt;41.29&lt;/D&gt;&lt;D xsi:type="xsd:double"&gt;41.06&lt;/D&gt;&lt;D xsi:type="xsd:double"&gt;40.25&lt;/D&gt;&lt;D xsi:type="xsd:double"&gt;39.96&lt;/D&gt;&lt;D xsi:type="xsd:double"&gt;41.07&lt;/D&gt;&lt;D xsi:type="xsd:double"&gt;42.95&lt;/D&gt;&lt;D xsi:type="xsd:double"&gt;42.36&lt;/D&gt;&lt;D xsi:type="xsd:double"&gt;42.35&lt;/D&gt;&lt;D xsi:type="xsd:double"&gt;42.41&lt;/D&gt;&lt;D xsi:type="xsd:double"&gt;42.11&lt;/D&gt;&lt;D xsi:type="xsd:double"&gt;42.62&lt;/D&gt;&lt;D xsi:type="xsd:double"&gt;41.74&lt;/D&gt;&lt;D xsi:type="xsd:double"&gt;40.69&lt;/D&gt;&lt;D xsi:type="xsd:double"&gt;41.85&lt;/D&gt;&lt;D xsi:type="xsd:double"&gt;41.08&lt;/D&gt;&lt;D xsi:type="xsd:double"&gt;41.11&lt;/D&gt;&lt;D xsi:type="xsd:double"&gt;40.68&lt;/D&gt;&lt;D xsi:type="xsd:double"&gt;40.14&lt;/D&gt;&lt;D xsi:type="xsd:double"&gt;38.94&lt;/D&gt;&lt;D xsi:type="xsd:double"&gt;40.24&lt;/D&gt;&lt;D xsi:type="xsd:double"&gt;39.73&lt;/D&gt;&lt;D xsi:type="xsd:double"&gt;40.15&lt;/D&gt;&lt;D xsi:type="xsd:double"&gt;40.03&lt;/D&gt;&lt;D xsi:type="xsd:double"&gt;40.56&lt;/D&gt;&lt;D xsi:type="xsd:double"&gt;40.21&lt;/D&gt;&lt;D xsi:type="xsd:double"&gt;38.73&lt;/D&gt;&lt;D xsi:type="xsd:double"&gt;39.55&lt;/D&gt;&lt;D xsi:type="xsd:double"&gt;40.38&lt;/D&gt;&lt;D xsi:type="xsd:double"&gt;40.23&lt;/D&gt;&lt;D xsi:type="xsd:double"&gt;40.02&lt;/D&gt;&lt;D xsi:type="xsd:double"&gt;39.41&lt;/D&gt;&lt;D xsi:type="xsd:double"&gt;40.3&lt;/D&gt;&lt;D xsi:type="xsd:double"&gt;40.45&lt;/D&gt;&lt;D xsi:type="xsd:double"&gt;41.47&lt;/D&gt;&lt;D xsi:type="xsd:double"&gt;39.98&lt;/D&gt;&lt;D xsi:type="xsd:double"&gt;40.31&lt;/D&gt;&lt;D xsi:type="xsd:double"&gt;41.62&lt;/D&gt;&lt;D xsi:type="xsd:double"&gt;40.67&lt;/D&gt;&lt;D xsi:type="xsd:double"&gt;40&lt;/D&gt;&lt;D xsi:type="xsd:double"&gt;38.9&lt;/D&gt;&lt;D xsi:type="xsd:double"&gt;39.32&lt;/D&gt;&lt;D xsi:type="xsd:double"&gt;38.52&lt;/D&gt;&lt;D xsi:type="xsd:double"&gt;40.08&lt;/D&gt;&lt;D xsi:type="xsd:double"&gt;37.96&lt;/D&gt;&lt;D xsi:type="xsd:double"&gt;37.82&lt;/D&gt;&lt;D xsi:type="xsd:double"&gt;38.8&lt;/D&gt;&lt;D xsi:type="xsd:double"&gt;39.78&lt;/D&gt;&lt;D xsi:type="xsd:double"&gt;40.93&lt;/D&gt;&lt;D xsi:type="xsd:double"&gt;41.15&lt;/D&gt;&lt;D xsi:type="xsd:double"&gt;43.24&lt;/D&gt;&lt;D xsi:type="xsd:double"&gt;42.51&lt;/D&gt;&lt;D xsi:type="xsd:double"&gt;42.9&lt;/D&gt;&lt;D xsi:type="xsd:double"&gt;42.72&lt;/D&gt;&lt;D xsi:type="xsd:double"&gt;43.29&lt;/D&gt;&lt;D xsi:type="xsd:double"&gt;44.65&lt;/D&gt;&lt;D xsi:type="xsd:double"&gt;44.39&lt;/D&gt;&lt;D xsi:type="xsd:double"&gt;44.38&lt;/D&gt;&lt;D xsi:type="xsd:double"&gt;45.67&lt;/D&gt;&lt;D xsi:type="xsd:double"&gt;47.74&lt;/D&gt;&lt;D xsi:type="xsd:double"&gt;48.34&lt;/D&gt;&lt;D xsi:type="xsd:double"&gt;49.6&lt;/D&gt;&lt;D xsi:type="xsd:double"&gt;48.25&lt;/D&gt;&lt;D xsi:type="xsd:double"&gt;47.94&lt;/D&gt;&lt;D xsi:type="xsd:double"&gt;48.06&lt;/D&gt;&lt;D xsi:type="xsd:double"&gt;48.23&lt;/D&gt;&lt;D xsi:type="xsd:double"&gt;48.35&lt;/D&gt;&lt;D xsi:type="xsd:double"&gt;46.96&lt;/D&gt;&lt;D xsi:type="xsd:double"&gt;46.21&lt;/D&gt;&lt;D xsi:type="xsd:double"&gt;47.88&lt;/D&gt;&lt;D xsi:type="xsd:double"&gt;47.62&lt;/D&gt;&lt;D xsi:type="xsd:double"&gt;47.8&lt;/D&gt;&lt;D xsi:type="xsd:double"&gt;48.32&lt;/D&gt;&lt;D xsi:type="xsd:double"&gt;49.83&lt;/D&gt;&lt;D xsi:type="xsd:double"&gt;50.99&lt;/D&gt;&lt;D xsi:type="xsd:double"&gt;49.39&lt;/D&gt;&lt;D xsi:type="xsd:double"&gt;50.44&lt;/D&gt;&lt;D xsi:type="xsd:double"&gt;49.18&lt;/D&gt;&lt;D xsi:type="xsd:double"&gt;49&lt;/D&gt;&lt;D xsi:type="xsd:double"&gt;47.97&lt;/D&gt;&lt;D xsi:type="xsd:double"&gt;45.64&lt;/D&gt;&lt;D xsi:type="xsd:double"&gt;45.61&lt;/D&gt;&lt;D xsi:type="xsd:double"&gt;47.01&lt;/D&gt;&lt;D xsi:type="xsd:double"&gt;47.66&lt;/D&gt;&lt;D xsi:type="xsd:double"&gt;47.32&lt;/D&gt;&lt;D xsi:type="xsd:double"&gt;48.9&lt;/D&gt;&lt;D xsi:type="xsd:double"&gt;48.28&lt;/D&gt;&lt;D xsi:type="xsd:double"&gt;48.83&lt;/D&gt;&lt;D xsi:type="xsd:double"&gt;50.25&lt;/D&gt;&lt;D xsi:type="xsd:double"&gt;51.65&lt;/D&gt;&lt;D xsi:type="xsd:double"&gt;50.2&lt;/D&gt;&lt;D xsi:type="xsd:double"&gt;49.81&lt;/D&gt;&lt;D xsi:type="xsd:double"&gt;49.27&lt;/D&gt;&lt;D xsi:type="xsd:double"&gt;48.82&lt;/D&gt;&lt;D xsi:type="xsd:double"&gt;48.26&lt;/D&gt;&lt;D xsi:type="xsd:double"&gt;48.17&lt;/D&gt;&lt;D xsi:type="xsd:double"&gt;46.82&lt;/D&gt;&lt;D xsi:type="xsd:double"&gt;46.64&lt;/D&gt;&lt;D xsi:type="xsd:double"&gt;46.15&lt;/D&gt;&lt;D xsi:type="xsd:double"&gt;44.45&lt;/D&gt;&lt;D xsi:type="xsd:double"&gt;45.7&lt;/D&gt;&lt;D xsi:type="xsd:double"&gt;44.65&lt;/D&gt;&lt;D xsi:type="xsd:double"&gt;45.8&lt;/D&gt;&lt;D xsi:type="xsd:double"&gt;46.61&lt;/D&gt;&lt;D xsi:type="xsd:double"&gt;46.34&lt;/D&gt;&lt;D xsi:type="xsd:double"&gt;46.44&lt;/D&gt;&lt;D xsi:type="xsd:double"&gt;46.38&lt;/D&gt;&lt;D xsi:type="xsd:double"&gt;46.92&lt;/D&gt;&lt;D xsi:type="xsd:double"&gt;46.57&lt;/D&gt;&lt;D xsi:type="xsd:double"&gt;44.66&lt;/D&gt;&lt;D xsi:type="xsd:double"&gt;45.2&lt;/D&gt;&lt;D xsi:type="xsd:double"&gt;44.93&lt;/D&gt;&lt;D xsi:type="xsd:double"&gt;46.11&lt;/D&gt;&lt;D xsi:type="xsd:double"&gt;45.43&lt;/D&gt;&lt;D xsi:type="xsd:double"&gt;44.52&lt;/D&gt;&lt;D xsi:type="xsd:double"&gt;43.03&lt;/D&gt;&lt;D xsi:type="xsd:double"&gt;43.97&lt;/D&gt;&lt;D xsi:type="xsd:double"&gt;46.31&lt;/D&gt;&lt;D xsi:type="xsd:double"&gt;46.75&lt;/D&gt;&lt;D xsi:type="xsd:double"&gt;46.73&lt;/D&gt;&lt;D xsi:type="xsd:double"&gt;46.14&lt;/D&gt;&lt;D xsi:type="xsd:double"&gt;45.41&lt;/D&gt;&lt;D xsi:type="xsd:double"&gt;45.21&lt;/D&gt;&lt;D xsi:type="xsd:double"&gt;46.17&lt;/D&gt;&lt;D xsi:type="xsd:double"&gt;46.67&lt;/D&gt;&lt;D xsi:type="xsd:double"&gt;47.49&lt;/D&gt;&lt;D xsi:type="xsd:double"&gt;48.05&lt;/D&gt;&lt;D xsi:type="xsd:double"&gt;47.68&lt;/D&gt;&lt;D xsi:type="xsd:double"&gt;47.7&lt;/D&gt;&lt;D xsi:type="xsd:double"&gt;47.77&lt;/D&gt;&lt;D xsi:type="xsd:double"&gt;46.13&lt;/D&gt;&lt;D xsi:type="xsd:double"&gt;45.98&lt;/D&gt;&lt;D xsi:type="xsd:double"&gt;46.08&lt;/D&gt;&lt;D xsi:type="xsd:double"&gt;47.04&lt;/D&gt;&lt;D xsi:type="xsd:double"&gt;46.52&lt;/D&gt;&lt;D xsi:type="xsd:double"&gt;46.28&lt;/D&gt;&lt;D xsi:type="xsd:double"&gt;46.5&lt;/D&gt;&lt;D xsi:type="xsd:double"&gt;45.9&lt;/D&gt;&lt;D xsi:type="xsd:double"&gt;45.53&lt;/D&gt;&lt;D xsi:type="xsd:double"&gt;45.52&lt;/D&gt;&lt;D xsi:type="xsd:double"&gt;44.57&lt;/D&gt;&lt;D xsi:type="xsd:double"&gt;44.96&lt;/D&gt;&lt;D xsi:type="xsd:double"&gt;45.77&lt;/D&gt;&lt;D xsi:type="xsd:double"&gt;45.37&lt;/D&gt;&lt;D xsi:type="xsd:double"&gt;45.27&lt;/D&gt;&lt;D xsi:type="xsd:double"&gt;44.91&lt;/D&gt;&lt;D xsi:type="xsd:double"&gt;44.43&lt;/D&gt;&lt;D xsi:type="xsd:double"&gt;43.12&lt;/D&gt;&lt;D xsi:type="xsd:double"&gt;42.87&lt;/D&gt;&lt;D xsi:type="xsd:double"&gt;43.26&lt;/D&gt;&lt;D xsi:type="xsd:double"&gt;44.23&lt;/D&gt;&lt;D xsi:type="xsd:double"&gt;44.15&lt;/D&gt;&lt;D xsi:type="xsd:double"&gt;43.24&lt;/D&gt;&lt;D xsi:type="xsd:double"&gt;42.54&lt;/D&gt;&lt;D xsi:type="xsd:double"&gt;42.07&lt;/D&gt;&lt;D xsi:type="xsd:double"&gt;42.92&lt;/D&gt;&lt;D xsi:type="xsd:double"&gt;42.85&lt;/D&gt;&lt;D xsi:type="xsd:double"&gt;41.33&lt;/D&gt;&lt;D xsi:type="xsd:double"&gt;40.68&lt;/D&gt;&lt;D xsi:type="xsd:double"&gt;41.35&lt;/D&gt;&lt;D xsi:type="xsd:double"&gt;40.06&lt;/D&gt;&lt;D xsi:type="xsd:double"&gt;38.56&lt;/D&gt;&lt;D xsi:type="xsd:double"&gt;40.66&lt;/D&gt;&lt;D xsi:type="xsd:double"&gt;41.61&lt;/D&gt;&lt;D xsi:type="xsd:double"&gt;41.06&lt;/D&gt;&lt;D xsi:type="xsd:double"&gt;40.41&lt;/D&gt;&lt;D xsi:type="xsd:double"&gt;41.67&lt;/D&gt;&lt;D xsi:type="xsd:double"&gt;40.96&lt;/D&gt;&lt;D xsi:type="xsd:double"&gt;41.3&lt;/D&gt;&lt;D xsi:type="xsd:double"&gt;41.23&lt;/D&gt;&lt;D xsi:type="xsd:double"&gt;39.9&lt;/D&gt;&lt;D xsi:type="xsd:double"&gt;39.45&lt;/D&gt;&lt;D xsi:type="xsd:double"&gt;39.77&lt;/D&gt;&lt;D xsi:type="xsd:double"&gt;38.35&lt;/D&gt;&lt;D xsi:type="xsd:double"&gt;39.99&lt;/D&gt;&lt;D xsi:type="xsd:double"&gt;40.32&lt;/D&gt;&lt;D xsi:type="xsd:double"&gt;39.29&lt;/D&gt;&lt;D xsi:type="xsd:double"&gt;40.46&lt;/D&gt;&lt;D xsi:type="xsd:double"&gt;41.3&lt;/D&gt;&lt;D xsi:type="xsd:double"&gt;40.53&lt;/D&gt;&lt;D xsi:type="xsd:double"&gt;39.9&lt;/D&gt;&lt;D xsi:type="xsd:double"&gt;39.93&lt;/D&gt;&lt;D xsi:type="xsd:double"&gt;38.78&lt;/D&gt;&lt;D xsi:type="xsd:double"&gt;38.65&lt;/D&gt;&lt;D xsi:type="xsd:double"&gt;37.93&lt;/D&gt;&lt;D xsi:type="xsd:double"&gt;38.12&lt;/D&gt;&lt;D xsi:type="xsd:double"&gt;39.21&lt;/D&gt;&lt;D xsi:type="xsd:double"&gt;40.53&lt;/D&gt;&lt;D xsi:type="xsd:double"&gt;41.3&lt;/D&gt;&lt;D xsi:type="xsd:double"&gt;40.77&lt;/D&gt;&lt;D xsi:type="xsd:double"&gt;41.52&lt;/D&gt;&lt;D xsi:type="xsd:double"&gt;39.91&lt;/D&gt;&lt;D xsi:type="xsd:double"&gt;40.44&lt;/D&gt;&lt;D xsi:type="xsd:double"&gt;40.4&lt;/D&gt;&lt;D xsi:type="xsd:double"&gt;40.82&lt;/D&gt;&lt;D xsi:type="xsd:double"&gt;40.25&lt;/D&gt;&lt;D xsi:type="xsd:double"&gt;40.35&lt;/D&gt;&lt;D xsi:type="xsd:double"&gt;39.65&lt;/D&gt;&lt;D xsi:type="xsd:double"&gt;41.09&lt;/D&gt;&lt;D xsi:type="xsd:double"&gt;39.36&lt;/D&gt;&lt;D xsi:type="xsd:double"&gt;40.18&lt;/D&gt;&lt;D xsi:type="xsd:double"&gt;39.44&lt;/D&gt;&lt;D xsi:type="xsd:double"&gt;39.64&lt;/D&gt;&lt;D xsi:type="xsd:double"&gt;40.22&lt;/D&gt;&lt;D xsi:type="xsd:double"&gt;40.11&lt;/D&gt;&lt;D xsi:type="xsd:double"&gt;40.78&lt;/D&gt;&lt;D xsi:type="xsd:double"&gt;40.36&lt;/D&gt;&lt;D xsi:type="xsd:double"&gt;41.59&lt;/D&gt;&lt;D xsi:type="xsd:double"&gt;42.59&lt;/D&gt;&lt;D xsi:type="xsd:double"&gt;43.53&lt;/D&gt;&lt;D xsi:type="xsd:double"&gt;43.78&lt;/D&gt;&lt;D xsi:type="xsd:double"&gt;43.44&lt;/D&gt;&lt;D xsi:type="xsd:double"&gt;43.36&lt;/D&gt;&lt;D xsi:type="xsd:double"&gt;42.61&lt;/D&gt;&lt;D xsi:type="xsd:double"&gt;45.38&lt;/D&gt;&lt;D xsi:type="xsd:double"&gt;44.96&lt;/D&gt;&lt;D xsi:type="xsd:double"&gt;44.74&lt;/D&gt;&lt;D xsi:type="xsd:double"&gt;44.02&lt;/D&gt;&lt;D xsi:type="xsd:double"&gt;43.68&lt;/D&gt;&lt;D xsi:type="xsd:double"&gt;43.38&lt;/D&gt;&lt;D xsi:type="xsd:double"&gt;43.19&lt;/D&gt;&lt;D xsi:type="xsd:double"&gt;43.54&lt;/D&gt;&lt;D xsi:type="xsd:double"&gt;41.03&lt;/D&gt;&lt;D xsi:type="xsd:double"&gt;41.2&lt;/D&gt;&lt;D xsi:type="xsd:double"&gt;40.99&lt;/D&gt;&lt;D xsi:type="xsd:double"&gt;41.01&lt;/D&gt;&lt;D xsi:type="xsd:double"&gt;40.45&lt;/D&gt;&lt;D xsi:type="xsd:double"&gt;40.3&lt;/D&gt;&lt;D xsi:type="xsd:double"&gt;40.4&lt;/D&gt;&lt;D xsi:type="xsd:double"&gt;39.74&lt;/D&gt;&lt;D xsi:type="xsd:double"&gt;39.51&lt;/D&gt;&lt;D xsi:type="xsd:double"&gt;39.71&lt;/D&gt;&lt;D xsi:type="xsd:double"&gt;39.07&lt;/D&gt;&lt;D xsi:type="xsd:double"&gt;39.15&lt;/D&gt;&lt;D xsi:type="xsd:double"&gt;39.13&lt;/D&gt;&lt;D xsi:type="xsd:double"&gt;40.42&lt;/D&gt;&lt;D xsi:type="xsd:double"&gt;40.39&lt;/D&gt;&lt;D xsi:type="xsd:double"&gt;41.24&lt;/D&gt;&lt;D xsi:type="xsd:double"&gt;40.99&lt;/D&gt;&lt;D xsi:type="xsd:double"&gt;44.29&lt;/D&gt;&lt;D xsi:type="xsd:double"&gt;44.65&lt;/D&gt;&lt;D xsi:type="xsd:double"&gt;44.53&lt;/D&gt;&lt;D xsi:type="xsd:double"&gt;43.71&lt;/D&gt;&lt;D xsi:type="xsd:double"&gt;43.45&lt;/D&gt;&lt;D xsi:type="xsd:double"&gt;42.22&lt;/D&gt;&lt;D xsi:type="xsd:double"&gt;42.38&lt;/D&gt;&lt;D xsi:type="xsd:double"&gt;41.04&lt;/D&gt;&lt;D xsi:type="xsd:double"&gt;40.71&lt;/D&gt;&lt;D xsi:type="xsd:double"&gt;40.12&lt;/D&gt;&lt;D xsi:type="xsd:double"&gt;39.69&lt;/D&gt;&lt;D xsi:type="xsd:double"&gt;39.77&lt;/D&gt;&lt;D xsi:type="xsd:double"&gt;39.53&lt;/D&gt;&lt;D xsi:type="xsd:double"&gt;39.69&lt;/D&gt;&lt;D xsi:type="xsd:double"&gt;36.38&lt;/D&gt;&lt;/FQL&gt;&lt;FQL&gt;&lt;Q&gt;=FDS(IDENTIFIER,"P_LOCAL_INDEX")^FG_PRICE_ICS(0/0/-1,NOW,D,LOCAL,SPLIT,0,,,5)&lt;/Q&gt;&lt;R&gt;0&lt;/R&gt;&lt;C&gt;0&lt;/C&gt;&lt;/FQL&gt;&lt;FQL&gt;&lt;Q&gt;DAL-US^FG_VOLUME(0/0/-1,NOW,D,SPLIT)&lt;/Q&gt;&lt;R&gt;254&lt;/R&gt;&lt;C&gt;1&lt;/C&gt;&lt;D xsi:type="xsd:double"&gt;23.81797&lt;/D&gt;&lt;D xsi:type="xsd:double"&gt;14.58887&lt;/D&gt;&lt;D xsi:type="xsd:double"&gt;10.51662&lt;/D&gt;&lt;D xsi:type="xsd:double"&gt;16.73262&lt;/D&gt;&lt;D xsi:type="xsd:double"&gt;13.22363&lt;/D&gt;&lt;D xsi:type="xsd:double"&gt;12.93735&lt;/D&gt;&lt;D xsi:type="xsd:double"&gt;24.52676&lt;/D&gt;&lt;D xsi:type="xsd:double"&gt;18.45338&lt;/D&gt;&lt;D xsi:type="xsd:double"&gt;13.16911&lt;/D&gt;&lt;D xsi:type="xsd:double"&gt;11.53028&lt;/D&gt;&lt;D xsi:type="xsd:double"&gt;16.3483&lt;/D&gt;&lt;D xsi:type="xsd:double"&gt;10.68066&lt;/D&gt;&lt;D xsi:type="xsd:double"&gt;12.22311&lt;/D&gt;&lt;D xsi:type="xsd:double"&gt;12.44516&lt;/D&gt;&lt;D xsi:type="xsd:double"&gt;11.45377&lt;/D&gt;&lt;D xsi:type="xsd:double"&gt;11.01059&lt;/D&gt;&lt;D xsi:type="xsd:double"&gt;9.656677&lt;/D&gt;&lt;D xsi:type="xsd:double"&gt;14.31242&lt;/D&gt;&lt;D xsi:type="xsd:double"&gt;16.97684&lt;/D&gt;&lt;D xsi:type="xsd:double"&gt;13.51998&lt;/D&gt;&lt;D xsi:type="xsd:double"&gt;12.65968&lt;/D&gt;&lt;D xsi:type="xsd:double"&gt;5.176408&lt;/D&gt;&lt;D xsi:type="xsd:double"&gt;10.65438&lt;/D&gt;&lt;D xsi:type="xsd:double"&gt;8.142801&lt;/D&gt;&lt;D xsi:type="xsd:double"&gt;8.504632&lt;/D&gt;&lt;D xsi:type="xsd:double"&gt;8.705736&lt;/D&gt;&lt;D xsi:type="xsd:double"&gt;15.12345&lt;/D&gt;&lt;D xsi:type="xsd:double"&gt;12.31722&lt;/D&gt;&lt;D xsi:type="xsd:double"&gt;12.88108&lt;/D&gt;&lt;D xsi:type="xsd:double"&gt;9.136267&lt;/D&gt;&lt;D xsi:type="xsd:double"&gt;9.497467&lt;/D&gt;&lt;D xsi:type="xsd:double"&gt;11.7549&lt;/D&gt;&lt;D xsi:type="xsd:double"&gt;9.72501&lt;/D&gt;&lt;D xsi:type="xsd:double"&gt;10.85247&lt;/D&gt;&lt;D xsi:type="xsd:double"&gt;17.65831&lt;/D&gt;&lt;D xsi:type="xsd:double"&gt;15.46554&lt;/D&gt;&lt;D xsi:type="xsd:double"&gt;11.53069&lt;/D&gt;&lt;D xsi:type="xsd:double"&gt;11.3357&lt;/D&gt;&lt;D xsi:type="xsd:double"&gt;11.15511&lt;/D&gt;&lt;D xsi:type="xsd:double"&gt;11.31006&lt;/D&gt;&lt;D xsi:type="xsd:double"&gt;15.9649&lt;/D&gt;&lt;D xsi:type="xsd:double"&gt;10.59937&lt;/D&gt;&lt;D xsi:type="xsd:double"&gt;16.95339&lt;/D&gt;&lt;D xsi:type="xsd:double"&gt;21.65401&lt;/D&gt;&lt;D xsi:type="xsd:double"&gt;17.98971&lt;/D&gt;&lt;D xsi:type="xsd:double"&gt;10.33293&lt;/D&gt;&lt;D xsi:type="xsd:double"&gt;11.85426&lt;/D&gt;&lt;D xsi:type="xsd:double"&gt;12.41597&lt;/D&gt;&lt;D xsi:type="xsd:double"&gt;11.4318&lt;/D&gt;&lt;D xsi:type="xsd:double"&gt;10.11194&lt;/D&gt;&lt;D xsi:type="xsd:double"&gt;18.2963&lt;/D&gt;&lt;D xsi:type="xsd:double"&gt;10.43207&lt;/D&gt;&lt;D xsi:type="xsd:double"&gt;12.01106&lt;/D&gt;&lt;D xsi:type="xsd:double"&gt;8.549181&lt;/D&gt;&lt;D xsi:type="xsd:double"&gt;11.49011&lt;/D&gt;&lt;D xsi:type="xsd:double"&gt;13.77548&lt;/D&gt;&lt;D xsi:type="xsd:double"&gt;10.94565&lt;/D&gt;&lt;D xsi:type="xsd:double"&gt;8.756266&lt;/D&gt;&lt;D xsi:type="xsd:double"&gt;14.58772&lt;/D&gt;&lt;D xsi:type="xsd:double"&gt;21.57351&lt;/D&gt;&lt;D xsi:type="xsd:double"&gt;19.19379&lt;/D&gt;&lt;D xsi:type="xsd:double"&gt;17.0209&lt;/D&gt;&lt;D xsi:type="xsd:double"&gt;15.72978&lt;/D&gt;&lt;D xsi:type="xsd:double"&gt;14.82802&lt;/D&gt;&lt;D xsi:type="xsd:double"&gt;13.81292&lt;/D&gt;&lt;D xsi:type="xsd:double"&gt;11.56675&lt;/D&gt;&lt;D xsi:type="xsd:double"&gt;13.64268&lt;/D&gt;&lt;D xsi:type="xsd:double"&gt;18.06248&lt;/D&gt;&lt;D xsi:type="xsd:double"&gt;20.61179&lt;/D&gt;&lt;D xsi:type="xsd:double"&gt;17.27299&lt;/D&gt;&lt;D xsi:type="xsd:double"&gt;11.71007&lt;/D&gt;&lt;D xsi:type="xsd:double"&gt;10.71932&lt;/D&gt;&lt;D xsi:type="xsd:double"&gt;11.31857&lt;/D&gt;&lt;D xsi:type="xsd:double"&gt;15.89175&lt;/D&gt;&lt;D xsi:type="xsd:double"&gt;19.70079&lt;/D&gt;&lt;D xsi:type="xsd:double"&gt;14.2815&lt;/D&gt;&lt;D xsi:type="xsd:double"&gt;13.69438&lt;/D&gt;&lt;D xsi:type="xsd:double"&gt;13.42357&lt;/D&gt;&lt;D xsi:type="xsd:double"&gt;12.12355&lt;/D&gt;&lt;D xsi:type="xsd:double"&gt;10.91109&lt;/D&gt;&lt;D xsi:type="xsd:double"&gt;13.61682&lt;/D&gt;&lt;D xsi:type="xsd:double"&gt;12.12076&lt;/D&gt;&lt;D xsi:type="xsd:double"&gt;14.46913&lt;/D&gt;&lt;D xsi:type="xsd:double"&gt;12.36141&lt;/D&gt;&lt;D xsi:type="xsd:double"&gt;9.824194&lt;/D&gt;&lt;D xsi:type="xsd:double"&gt;10.78754&lt;/D&gt;&lt;D xsi:type="xsd:double"&gt;9.469208&lt;/D&gt;&lt;D xsi:type="xsd:double"&gt;9.569985&lt;/D&gt;&lt;D xsi:type="xsd:double"&gt;14.59992&lt;/D&gt;&lt;D xsi:type="xsd:double"&gt;14.65246&lt;/D&gt;&lt;D xsi:type="xsd:double"&gt;12.24435&lt;/D&gt;&lt;D xsi:type="xsd:double"&gt;13.54695&lt;/D&gt;&lt;D xsi:type="xsd:double"&gt;9.785393&lt;/D&gt;&lt;D xsi:type="xsd:double"&gt;11.07027&lt;/D&gt;&lt;D xsi:type="xsd:double"&gt;18.2876&lt;/D&gt;&lt;D xsi:type="xsd:double"&gt;12.52042&lt;/D&gt;&lt;D xsi:type="xsd:double"&gt;22.26788&lt;/D&gt;&lt;D xsi:type="xsd:double"&gt;12.23639&lt;/D&gt;&lt;D xsi:type="xsd:double"&gt;9.57943&lt;/D&gt;&lt;D xsi:type="xsd:double"&gt;15.62777&lt;/D&gt;&lt;D xsi:type="xsd:double"&gt;16.26712&lt;/D&gt;&lt;D xsi:type="xsd:double"&gt;17.30322&lt;/D&gt;&lt;D xsi:type="xsd:double"&gt;9.179962&lt;/D&gt;&lt;D xsi:type="xsd:double"&gt;11.25998&lt;/D&gt;&lt;D xsi:type="xsd:double"&gt;8.151614&lt;/D&gt;&lt;D xsi:type="xsd:double"&gt;7.209179&lt;/D&gt;&lt;D xsi:type="xsd:double"&gt;8.22225&lt;/D&gt;&lt;D xsi:type="xsd:double"&gt;9.175237&lt;/D&gt;&lt;D xsi:type="xsd:double"&gt;9.382638&lt;/D&gt;&lt;D xsi:type="xsd:double"&gt;14.79036&lt;/D&gt;&lt;D xsi:type="xsd:double"&gt;10.700063&lt;/D&gt;&lt;D xsi:type="xsd:double"&gt;9.665669&lt;/D&gt;&lt;D xsi:type="xsd:double"&gt;11.19507&lt;/D&gt;&lt;D xsi:type="xsd:double"&gt;9.054157&lt;/D&gt;&lt;D xsi:type="xsd:double"&gt;14.13912&lt;/D&gt;&lt;D xsi:type="xsd:double"&gt;12.18725&lt;/D&gt;&lt;D xsi:type="xsd:double"&gt;11.77805&lt;/D&gt;&lt;D xsi:type="xsd:double"&gt;11.53747&lt;/D&gt;&lt;D xsi:type="xsd:double"&gt;11.05988&lt;/D&gt;&lt;D xsi:type="xsd:double"&gt;10.684&lt;/D&gt;&lt;D xsi:type="xsd:double"&gt;11.54581&lt;/D&gt;&lt;D xsi:type="xsd:double"&gt;12.34171&lt;/D&gt;&lt;D xsi:type="xsd:double"&gt;9.894445&lt;/D&gt;&lt;D xsi:type="xsd:double"&gt;8.409089&lt;/D&gt;&lt;D xsi:type="xsd:double"&gt;14.65698&lt;/D&gt;&lt;D xsi:type="xsd:double"&gt;9.746239&lt;/D&gt;&lt;D xsi:type="xsd:double"&gt;8.680657&lt;/D&gt;&lt;D xsi:type="xsd:double"&gt;8.377637&lt;/D&gt;&lt;D xsi:type="xsd:double"&gt;11.98619&lt;/D&gt;&lt;D xsi:type="xsd:double"&gt;9.108623&lt;/D&gt;&lt;D xsi:type="xsd:double"&gt;11.55561&lt;/D&gt;&lt;D xsi:type="xsd:double"&gt;7.699447&lt;/D&gt;&lt;D xsi:type="xsd:double"&gt;6.120194&lt;/D&gt;&lt;D xsi:type="xsd:double"&gt;10.71413&lt;/D&gt;&lt;D xsi:type="xsd:double"&gt;6.741165&lt;/D&gt;&lt;D xsi:type="xsd:double"&gt;9.780818&lt;/D&gt;&lt;D xsi:type="xsd:double"&gt;8.216059&lt;/D&gt;&lt;D xsi:type="xsd:double"&gt;11.18416&lt;/D&gt;&lt;D xsi:type="xsd:double"&gt;7.89845&lt;/D&gt;&lt;D xsi:type="xsd:double"&gt;8.565506&lt;/D&gt;&lt;D xsi:type="xsd:double"&gt;10.14456&lt;/D&gt;&lt;D xsi:type="xsd:double"&gt;15.21935&lt;/D&gt;&lt;D xsi:type="xsd:double"&gt;9.861427&lt;/D&gt;&lt;D xsi:type="xsd:double"&gt;8.499821&lt;/D&gt;&lt;D xsi:type="xsd:double"&gt;7.406091&lt;/D&gt;&lt;D xsi:type="xsd:double"&gt;9.300309&lt;/D&gt;&lt;D xsi:type="xsd:double"&gt;23.93039&lt;/D&gt;&lt;D xsi:type="xsd:double"&gt;17.44151&lt;/D&gt;&lt;D xsi:type="xsd:double"&gt;9.477763&lt;/D&gt;&lt;D xsi:type="xsd:double"&gt;7.845521&lt;/D&gt;&lt;D xsi:type="xsd:double"&gt;9.87382&lt;/D&gt;&lt;D xsi:type="xsd:double"&gt;5.763839&lt;/D&gt;&lt;D xsi:type="xsd:double"&gt;7.880986&lt;/D&gt;&lt;D xsi:type="xsd:double"&gt;11.85833&lt;/D&gt;&lt;D xsi:type="xsd:double"&gt;10.3639&lt;/D&gt;&lt;D xsi:type="xsd:double"&gt;7.70707&lt;/D&gt;&lt;D xsi:type="xsd:double"&gt;10.62597&lt;/D&gt;&lt;D xsi:type="xsd:double"&gt;14.61036&lt;/D&gt;&lt;D xsi:type="xsd:double"&gt;31.08574&lt;/D&gt;&lt;D xsi:type="xsd:double"&gt;20.89631&lt;/D&gt;&lt;D xsi:type="xsd:double"&gt;16.72665&lt;/D&gt;&lt;D xsi:type="xsd:double"&gt;27.07381&lt;/D&gt;&lt;D xsi:type="xsd:double"&gt;17.69065&lt;/D&gt;&lt;D xsi:type="xsd:double"&gt;19.14526&lt;/D&gt;&lt;D xsi:type="xsd:double"&gt;10.85062&lt;/D&gt;&lt;D xsi:type="xsd:double"&gt;10.10162&lt;/D&gt;&lt;D xsi:type="xsd:double"&gt;10.01485&lt;/D&gt;&lt;D xsi:type="xsd:double"&gt;10.5082&lt;/D&gt;&lt;D xsi:type="xsd:double"&gt;7.538565&lt;/D&gt;&lt;D xsi:type="xsd:double"&gt;8.3574&lt;/D&gt;&lt;D xsi:type="xsd:double"&gt;12.20233&lt;/D&gt;&lt;D xsi:type="xsd:double"&gt;11.08482&lt;/D&gt;&lt;D xsi:type="xsd:double"&gt;14.67063&lt;/D&gt;&lt;D xsi:type="xsd:doubl</t>
        </r>
      </text>
    </comment>
    <comment ref="A21" authorId="0" shapeId="0" xr:uid="{00A05D08-3019-4F4F-AD5C-3357BA30F41C}">
      <text>
        <r>
          <rPr>
            <b/>
            <sz val="9"/>
            <color indexed="81"/>
            <rFont val="Tahoma"/>
            <charset val="1"/>
          </rPr>
          <t>e"&gt;23.02366&lt;/D&gt;&lt;D xsi:type="xsd:double"&gt;15.65237&lt;/D&gt;&lt;D xsi:type="xsd:double"&gt;11.71605&lt;/D&gt;&lt;D xsi:type="xsd:double"&gt;10.98505&lt;/D&gt;&lt;D xsi:type="xsd:double"&gt;13.74534&lt;/D&gt;&lt;D xsi:type="xsd:double"&gt;12.452&lt;/D&gt;&lt;D xsi:type="xsd:double"&gt;9.817507&lt;/D&gt;&lt;D xsi:type="xsd:double"&gt;7.211842&lt;/D&gt;&lt;D xsi:type="xsd:double"&gt;10.93087&lt;/D&gt;&lt;D xsi:type="xsd:double"&gt;11.442&lt;/D&gt;&lt;D xsi:type="xsd:double"&gt;8.612344&lt;/D&gt;&lt;D xsi:type="xsd:double"&gt;12.29401&lt;/D&gt;&lt;D xsi:type="xsd:double"&gt;8.21308&lt;/D&gt;&lt;D xsi:type="xsd:double"&gt;8.584655&lt;/D&gt;&lt;D xsi:type="xsd:double"&gt;10.80498&lt;/D&gt;&lt;D xsi:type="xsd:double"&gt;12.45586&lt;/D&gt;&lt;D xsi:type="xsd:double"&gt;10.03288&lt;/D&gt;&lt;D xsi:type="xsd:double"&gt;7.936095&lt;/D&gt;&lt;D xsi:type="xsd:double"&gt;11.88214&lt;/D&gt;&lt;D xsi:type="xsd:double"&gt;8.627205&lt;/D&gt;&lt;D xsi:type="xsd:double"&gt;8.434606&lt;/D&gt;&lt;D xsi:type="xsd:double"&gt;9.354744&lt;/D&gt;&lt;D xsi:type="xsd:double"&gt;6.652346&lt;/D&gt;&lt;D xsi:type="xsd:double"&gt;8.233895&lt;/D&gt;&lt;D xsi:type="xsd:double"&gt;7.156097&lt;/D&gt;&lt;D xsi:type="xsd:double"&gt;15.50937&lt;/D&gt;&lt;D xsi:type="xsd:double"&gt;12.50122&lt;/D&gt;&lt;D xsi:type="xsd:double"&gt;11.5563&lt;/D&gt;&lt;D xsi:type="xsd:double"&gt;8.837721&lt;/D&gt;&lt;D xsi:type="xsd:double"&gt;8.17581&lt;/D&gt;&lt;D xsi:type="xsd:double"&gt;9.485227&lt;/D&gt;&lt;D xsi:type="xsd:double"&gt;11.03191&lt;/D&gt;&lt;D xsi:type="xsd:double"&gt;16.6339&lt;/D&gt;&lt;D xsi:type="xsd:double"&gt;11.83758&lt;/D&gt;&lt;D xsi:type="xsd:double"&gt;11.59931&lt;/D&gt;&lt;D xsi:type="xsd:double"&gt;12.65102&lt;/D&gt;&lt;D xsi:type="xsd:double"&gt;13.47851&lt;/D&gt;&lt;D xsi:type="xsd:double"&gt;14.46745&lt;/D&gt;&lt;D xsi:type="xsd:double"&gt;9.434737&lt;/D&gt;&lt;D xsi:type="xsd:double"&gt;9.141128&lt;/D&gt;&lt;D xsi:type="xsd:double"&gt;9.798589&lt;/D&gt;&lt;D xsi:type="xsd:double"&gt;19.20566&lt;/D&gt;&lt;D xsi:type="xsd:double"&gt;13.34246&lt;/D&gt;&lt;D xsi:type="xsd:double"&gt;9.596003&lt;/D&gt;&lt;D xsi:type="xsd:double"&gt;10.14578&lt;/D&gt;&lt;D xsi:type="xsd:double"&gt;8.881219&lt;/D&gt;&lt;D xsi:type="xsd:double"&gt;7.340562&lt;/D&gt;&lt;D xsi:type="xsd:double"&gt;9.085651&lt;/D&gt;&lt;D xsi:type="xsd:double"&gt;10.51525&lt;/D&gt;&lt;D xsi:type="xsd:double"&gt;28.23694&lt;/D&gt;&lt;D xsi:type="xsd:double"&gt;16.28539&lt;/D&gt;&lt;D xsi:type="xsd:double"&gt;13.86029&lt;/D&gt;&lt;D xsi:type="xsd:double"&gt;10.14021&lt;/D&gt;&lt;D xsi:type="xsd:double"&gt;11.31445&lt;/D&gt;&lt;D xsi:type="xsd:double"&gt;15.1626&lt;/D&gt;&lt;D xsi:type="xsd:double"&gt;10.69437&lt;/D&gt;&lt;D xsi:type="xsd:double"&gt;9.46186&lt;/D&gt;&lt;D xsi:type="xsd:double"&gt;9.090457&lt;/D&gt;&lt;D xsi:type="xsd:double"&gt;8.951153&lt;/D&gt;&lt;D xsi:type="xsd:double"&gt;8.341786&lt;/D&gt;&lt;D xsi:type="xsd:double"&gt;7.415961&lt;/D&gt;&lt;D xsi:type="xsd:double"&gt;9.343837&lt;/D&gt;&lt;D xsi:type="xsd:double"&gt;11.40128&lt;/D&gt;&lt;D xsi:type="xsd:double"&gt;7.611246&lt;/D&gt;&lt;D xsi:type="xsd:double"&gt;10.01059&lt;/D&gt;&lt;D xsi:type="xsd:double"&gt;9.990287&lt;/D&gt;&lt;D xsi:type="xsd:double"&gt;23.65119&lt;/D&gt;&lt;D xsi:type="xsd:double"&gt;15.00665&lt;/D&gt;&lt;D xsi:type="xsd:double"&gt;9.359055&lt;/D&gt;&lt;D xsi:type="xsd:double"&gt;8.698662&lt;/D&gt;&lt;D xsi:type="xsd:double"&gt;6.370673&lt;/D&gt;&lt;D xsi:type="xsd:double"&gt;10.03886&lt;/D&gt;&lt;D xsi:type="xsd:double"&gt;6.938449&lt;/D&gt;&lt;D xsi:type="xsd:double"&gt;11.05548&lt;/D&gt;&lt;D xsi:type="xsd:double"&gt;9.025303&lt;/D&gt;&lt;D xsi:type="xsd:double"&gt;11.62129&lt;/D&gt;&lt;D xsi:type="xsd:double"&gt;15.04007&lt;/D&gt;&lt;D xsi:type="xsd:double"&gt;11.9914&lt;/D&gt;&lt;D xsi:type="xsd:double"&gt;11.08393&lt;/D&gt;&lt;D xsi:type="xsd:double"&gt;7.580451&lt;/D&gt;&lt;D xsi:type="xsd:double"&gt;38.02264&lt;/D&gt;&lt;/FQL&gt;&lt;FQL&gt;&lt;Q&gt;DAL-US^P_PRICE(NOW)&lt;/Q&gt;&lt;R&gt;1&lt;/R&gt;&lt;C&gt;1&lt;/C&gt;&lt;D xsi:type="xsd:double"&gt;36.38&lt;/D&gt;&lt;/FQL&gt;&lt;FQL&gt;&lt;Q&gt;DAL-US^P_PRICE_HIGH(-52AW,0,,,,"PRICE","INTRA")&lt;/Q&gt;&lt;R&gt;1&lt;/R&gt;&lt;C&gt;1&lt;/C&gt;&lt;D xsi:type="xsd:double"&gt;52.28&lt;/D&gt;&lt;/FQL&gt;&lt;FQL&gt;&lt;Q&gt;DAL-US^P_PRICE_LOW(-52AW,0,,,,"PRICE","INTRA")&lt;/Q&gt;&lt;R&gt;1&lt;/R&gt;&lt;C&gt;1&lt;/C&gt;&lt;D xsi:type="xsd:double"&gt;37.3064&lt;/D&gt;&lt;/FQL&gt;&lt;FQL&gt;&lt;Q&gt;DAL-US^P_PRICE_CHANGE(0CY,NOW,RANGE)/100&lt;/Q&gt;&lt;R&gt;1&lt;/R&gt;&lt;C&gt;1&lt;/C&gt;&lt;D xsi:type="xsd:double"&gt;-0.09524989&lt;/D&gt;&lt;/FQL&gt;&lt;FQL&gt;&lt;Q&gt;DAL-US^P_PRICE_CHANGE(-1AY,NOW,RANGE)/100&lt;/Q&gt;&lt;R&gt;1&lt;/R&gt;&lt;C&gt;1&lt;/C&gt;&lt;D xsi:type="xsd:double"&gt;-0.11827427&lt;/D&gt;&lt;/FQL&gt;&lt;FQL&gt;&lt;Q&gt;DAL-US^BETA("SP50",-60AM,0,AM)&lt;/Q&gt;&lt;R&gt;1&lt;/R&gt;&lt;C&gt;1&lt;/C&gt;&lt;D xsi:type="xsd:double"&gt;1.3736221&lt;/D&gt;&lt;/FQL&gt;&lt;FQL&gt;&lt;Q&gt;DAL-US^FF_FISCAL_DATE(ANN,-4FY,,,RP,"DATEM")&lt;/Q&gt;&lt;R&gt;1&lt;/R&gt;&lt;C&gt;1&lt;/C&gt;&lt;D xsi:type="xsd:string"&gt;12/2016&lt;/D&gt;&lt;/FQL&gt;&lt;FQL&gt;&lt;Q&gt;DAL-US^FF_FISCAL_DATE(ANN,-3FY,,,RP,"DATEM")&lt;/Q&gt;&lt;R&gt;1&lt;/R&gt;&lt;C&gt;1&lt;/C&gt;&lt;D xsi:type="xsd:string"&gt;12/2017&lt;/D&gt;&lt;/FQL&gt;&lt;FQL&gt;&lt;Q&gt;DAL-US^FF_FISCAL_DATE(ANN,-2FY,,,RP,"DATEM")&lt;/Q&gt;&lt;R&gt;1&lt;/R&gt;&lt;C&gt;1&lt;/C&gt;&lt;D xsi:type="xsd:string"&gt;12/2018&lt;/D&gt;&lt;/FQL&gt;&lt;FQL&gt;&lt;Q&gt;DAL-US^FF_FISCAL_DATE(ANN,-1FY,,,RP,"DATEM")&lt;/Q&gt;&lt;R&gt;1&lt;/R&gt;&lt;C&gt;1&lt;/C&gt;&lt;D xsi:type="xsd:string"&gt;12/2019&lt;/D&gt;&lt;/FQL&gt;&lt;FQL&gt;&lt;Q&gt;DAL-US^FF_FISCAL_DATE(ANN,0FY,,,RP,"DATEM")&lt;/Q&gt;&lt;R&gt;1&lt;/R&gt;&lt;C&gt;1&lt;/C&gt;&lt;D xsi:type="xsd:string"&gt;12/2020&lt;/D&gt;&lt;/FQL&gt;&lt;FQL&gt;&lt;Q&gt;DAL-US^FF_FISCAL_DATE(QTR,0,,,RP,"DATEM")@FF_FISCAL_DATE(SEMI,0,,,RP,"DATEM")&lt;/Q&gt;&lt;R&gt;1&lt;/R&gt;&lt;C&gt;1&lt;/C&gt;&lt;D xsi:type="xsd:string"&gt;09/2021&lt;/D&gt;&lt;/FQL&gt;&lt;FQL&gt;&lt;Q&gt;DAL-US^FF_SALES(ANN,-4FY,0FY,,RP)&lt;/Q&gt;&lt;R&gt;5&lt;/R&gt;&lt;C&gt;1&lt;/C&gt;&lt;D xsi:type="xsd:double"&gt;39602&lt;/D&gt;&lt;D xsi:type="xsd:double"&gt;41234&lt;/D&gt;&lt;D xsi:type="xsd:double"&gt;44441&lt;/D&gt;&lt;D xsi:type="xsd:double"&gt;47006&lt;/D&gt;&lt;D xsi:type="xsd:double"&gt;17095&lt;/D&gt;&lt;/FQL&gt;&lt;FQL&gt;&lt;Q&gt;DAL-US^FF_SALES(ANN,-5FY,,,RP)&lt;/Q&gt;&lt;R&gt;1&lt;/R&gt;&lt;C&gt;1&lt;/C&gt;&lt;D xsi:type="xsd:double"&gt;40506&lt;/D&gt;&lt;/FQL&gt;&lt;FQL&gt;&lt;Q&gt;DAL-US^FF_SALES(LTM,0)@FF_SALES(LTM_SEMI,0)&lt;/Q&gt;&lt;R&gt;1&lt;/R&gt;&lt;C&gt;1&lt;/C&gt;&lt;D xsi:type="xsd:double"&gt;24403&lt;/D&gt;&lt;/FQL&gt;&lt;FQL&gt;&lt;Q&gt;DAL-US^FF_COGS(ANN,-4FY,0FY,,RP)&lt;/Q&gt;&lt;R&gt;5&lt;/R&gt;&lt;C&gt;1&lt;/C&gt;&lt;D xsi:type="xsd:double"&gt;28625&lt;/D&gt;&lt;D xsi:type="xsd:double"&gt;31013&lt;/D&gt;&lt;D xsi:type="xsd:double"&gt;35510&lt;/D&gt;&lt;D xsi:type="xsd:double"&gt;36584&lt;/D&gt;&lt;D xsi:type="xsd:double"&gt;23631&lt;/D&gt;&lt;/FQL&gt;&lt;FQL&gt;&lt;Q&gt;DAL-US^FF_COGS(LTM,0)@FF_COGS(LTM_SEMI,0)&lt;/Q&gt;&lt;R&gt;1&lt;/R&gt;&lt;C&gt;1&lt;/C&gt;&lt;D xsi:type="xsd:double"&gt;27090&lt;/D&gt;&lt;/FQL&gt;&lt;FQL&gt;&lt;Q&gt;DAL-US^FF_SGA(ANN,-4FY,0FY,,RP)&lt;/Q&gt;&lt;R&gt;5&lt;/R&gt;&lt;C&gt;1&lt;/C&gt;&lt;D xsi:type="xsd:double"&gt;1710&lt;/D&gt;&lt;D xsi:type="xsd:double"&gt;1787&lt;/D&gt;&lt;D xsi:type="xsd:double"&gt;1941&lt;/D&gt;&lt;D xsi:type="xsd:double"&gt;1993&lt;/D&gt;&lt;D xsi:type="xsd:double"&gt;582&lt;/D&gt;&lt;/FQL&gt;&lt;FQL&gt;&lt;Q&gt;DAL-US^FF_SGA(ANN,-5FY,,,RP)&lt;/Q&gt;&lt;R&gt;1&lt;/R&gt;&lt;C&gt;1&lt;/C&gt;&lt;D xsi:type="xsd:double"&gt;1672&lt;/D&gt;&lt;/FQL&gt;&lt;FQL&gt;&lt;Q&gt;DAL-US^FF_SGA(LTM,0)@FF_SGA(LTM_SEMI,0)&lt;/Q&gt;&lt;R&gt;1&lt;/R&gt;&lt;C&gt;1&lt;/C&gt;&lt;D xsi:type="xsd:double"&gt;724&lt;/D&gt;&lt;/FQL&gt;&lt;FQL&gt;&lt;Q&gt;DAL-US^FF_EBITDA_OPER(ANN,-4FY,0FY,,RP)&lt;/Q&gt;&lt;R&gt;5&lt;/R&gt;&lt;C&gt;1&lt;/C&gt;&lt;D xsi:type="xsd:double"&gt;9183&lt;/D&gt;&lt;D xsi:type="xsd:double"&gt;8420&lt;/D&gt;&lt;D xsi:type="xsd:double"&gt;7596&lt;/D&gt;&lt;D xsi:type="xsd:double"&gt;9239&lt;/D&gt;&lt;D xsi:type="xsd:double"&gt;-5969&lt;/D&gt;&lt;/FQL&gt;&lt;FQL&gt;&lt;Q&gt;DAL-US^FF_EBITDA_OPER(ANN,-5FY,,,RP)&lt;/Q&gt;&lt;R&gt;1&lt;/R&gt;&lt;C&gt;1&lt;/C&gt;&lt;D xsi:type="xsd:double"&gt;10215&lt;/D&gt;&lt;/FQL&gt;&lt;FQL&gt;&lt;Q&gt;DAL-US^FF_EBITDA_OPER(LTM,0)@FF_EBITDA_OPER(LTM_SEMI,0)&lt;/Q&gt;&lt;R&gt;1&lt;/R&gt;&lt;C&gt;1&lt;/C&gt;&lt;D xsi:type="xsd:double"&gt;-2645&lt;/D&gt;&lt;/FQL&gt;&lt;FQL&gt;&lt;Q&gt;DAL-US^FF_EBIT_OPER(ANN,-4FY,0FY,,RP)&lt;/Q&gt;&lt;R&gt;5&lt;/R&gt;&lt;C&gt;1&lt;/C&gt;&lt;D xsi:type="xsd:double"&gt;7281&lt;/D&gt;&lt;D xsi:type="xsd:double"&gt;6185&lt;/D&gt;&lt;D xsi:type="xsd:double"&gt;5267&lt;/D&gt;&lt;D xsi:type="xsd:double"&gt;6658&lt;/D&gt;&lt;D xsi:type="xsd:double"&gt;-8281&lt;/D&gt;&lt;/FQL&gt;&lt;FQL&gt;&lt;Q&gt;DAL-US^FF_EBIT_OPER(ANN,-5FY,,,RP)&lt;/Q&gt;&lt;R&gt;1&lt;/R&gt;&lt;C&gt;1&lt;/C&gt;&lt;D xsi:type="xsd:double"&gt;8380&lt;/D&gt;&lt;/FQL&gt;&lt;FQL&gt;&lt;Q&gt;DAL-US^FF_EBIT_OPER(LTM,0)@FF_EBIT_OPER(LTM_SEMI,0)&lt;/Q&gt;&lt;R&gt;1&lt;/R&gt;&lt;C&gt;1&lt;/C&gt;&lt;D xsi:type="xsd:double"&gt;-4638&lt;/D&gt;&lt;/FQL&gt;&lt;FQL&gt;&lt;Q&gt;DAL-US^FF_INT_EXP_NET(ANN,-4FY,,,RP)&lt;/Q&gt;&lt;R&gt;1&lt;/R&gt;&lt;C&gt;1&lt;/C&gt;&lt;D xsi:type="xsd:double"&gt;388&lt;/D&gt;&lt;/FQL&gt;&lt;FQL&gt;&lt;Q&gt;DAL-US^FF_INT_EXP_NET(ANN,-3FY,,,RP)&lt;/Q&gt;&lt;R&gt;1&lt;/R&gt;&lt;C&gt;1&lt;/C&gt;&lt;D xsi:type="xsd:double"&gt;396&lt;/D&gt;&lt;/FQL&gt;&lt;FQL&gt;&lt;Q&gt;DAL-US^FF_INT_EXP_NET(ANN,-2FY,,,RP)&lt;/Q&gt;&lt;R&gt;1&lt;/R&gt;&lt;C&gt;1&lt;/C&gt;&lt;D xsi:type="xsd:double"&gt;311&lt;/D&gt;&lt;/FQL&gt;&lt;FQL&gt;&lt;Q&gt;DAL-US^FF_INT_EXP_NET(ANN,-1FY,,,RP)&lt;/Q&gt;&lt;R&gt;1&lt;/R&gt;&lt;C&gt;1&lt;/C&gt;&lt;D xsi:type="xsd:double"&gt;301&lt;/D&gt;&lt;/FQL&gt;&lt;FQL&gt;&lt;Q&gt;DAL-US^FF_INT_EXP_NET(ANN,0FY,,,RP)&lt;/Q&gt;&lt;R&gt;1&lt;/R&gt;&lt;C&gt;1&lt;/C&gt;&lt;D xsi:type="xsd:double"&gt;929&lt;/D&gt;&lt;/FQL&gt;&lt;FQL&gt;&lt;Q&gt;DAL-US^FF_INT_EXP_NET(LTM,0)&lt;/Q&gt;&lt;R&gt;1&lt;/R&gt;&lt;C&gt;1&lt;/C&gt;&lt;D xsi:type="xsd:double"&gt;1378&lt;/D&gt;&lt;/FQL&gt;&lt;FQL&gt;&lt;Q&gt;DAL-US^FF_PTX_INC(ANN,-4FY,0FY,,RP)&lt;/Q&gt;&lt;R&gt;5&lt;/R&gt;&lt;C&gt;1&lt;/C&gt;&lt;D xsi:type="xsd:double"&gt;6636&lt;/D&gt;&lt;D xsi:type="xsd:double"&gt;5701&lt;/D&gt;&lt;D xsi:type="xsd:double"&gt;5151&lt;/D&gt;&lt;D xsi:type="xsd:double"&gt;6198&lt;/D&gt;&lt;D xsi:type="xsd:double"&gt;-15587&lt;/D&gt;&lt;/FQL&gt;&lt;FQL&gt;&lt;Q&gt;DAL-US^FF_PTX_INC(LTM,0)@FF_PTX_INC(LTM_SEMI,0)&lt;/Q&gt;&lt;R&gt;1&lt;/R&gt;&lt;C&gt;1&lt;/C&gt;&lt;D xsi:type="xsd:double"&gt;-315&lt;/D&gt;&lt;/FQL&gt;&lt;FQL&gt;&lt;Q&gt;DAL-US^FF_NET_INC(ANN,-4FY,0FY,,RP)&lt;/Q&gt;&lt;R&gt;5&lt;/R&gt;&lt;C&gt;1&lt;/C&gt;&lt;D xsi:type="xsd:double"&gt;4373&lt;/D&gt;&lt;D xsi:type="xsd:double"&gt;3577&lt;/D&gt;&lt;D xsi:type="xsd:double"&gt;3935&lt;/D&gt;&lt;D xsi:type="xsd:double"&gt;4767&lt;/D&gt;&lt;D xsi:type="xsd:double"&gt;-12385&lt;/D&gt;&lt;/FQL&gt;&lt;FQL&gt;&lt;Q&gt;DAL-US^FF_NET_INC(ANN,-5FY,,,RP)&lt;/Q&gt;&lt;R&gt;1&lt;/R&gt;&lt;C&gt;1&lt;/C&gt;&lt;D xsi:type="xsd:double"&gt;4526&lt;/D&gt;&lt;/FQL&gt;&lt;FQL&gt;&lt;Q&gt;DAL-US^FF_NET_INC(LTM,0)@FF_NET_INC(LTM_SEMI,0)&lt;/Q&gt;&lt;R&gt;1&lt;/R&gt;&lt;C&gt;1&lt;/C&gt;&lt;D xsi:type="xsd:double"&gt;-68&lt;/D&gt;&lt;/FQL&gt;&lt;FQL&gt;&lt;Q&gt;DAL-US^FF_EPS_DIL(ANN,-4FY,0FY,,RP)&lt;/Q&gt;&lt;R&gt;5&lt;/R&gt;&lt;C&gt;1&lt;/C&gt;&lt;D xsi:type="xsd:double"&gt;5.79&lt;/D&gt;&lt;D xsi:type="xsd:double"&gt;4.95&lt;/D&gt;&lt;D xsi:type="xsd:double"&gt;5.67&lt;/D&gt;&lt;D xsi:type="xsd:double"&gt;7.3002&lt;/D&gt;&lt;D xsi:type="xsd:double"&gt;-19.4733&lt;/D&gt;&lt;/FQL&gt;&lt;FQL&gt;&lt;Q&gt;DAL-US^FF_EPS_DIL(ANN,-5FY,,,RP)&lt;/Q&gt;&lt;R&gt;1&lt;/R&gt;&lt;C&gt;1&lt;/C&gt;&lt;D xsi:type="xsd:double"&gt;5.63&lt;/D&gt;&lt;/FQL&gt;&lt;FQL&gt;&lt;Q&gt;DAL-US^FF_EPS_DIL(LTM,0)@FF_EPS_DIL(LTM_SEMI,0)&lt;/Q&gt;&lt;R&gt;1&lt;/R&gt;&lt;C&gt;1&lt;/C&gt;&lt;D xsi:type="xsd:double"&gt;-0.1332&lt;/D&gt;&lt;/FQL&gt;&lt;FQL&gt;&lt;Q&gt;DAL-US^FF_COM_SHS_OUT(ANN,-4FY,,,RP)&lt;/Q&gt;&lt;R&gt;1&lt;/R&gt;&lt;C&gt;1&lt;/C&gt;&lt;D xsi:type="xsd:double"&gt;730.737709&lt;/D&gt;&lt;/FQL&gt;&lt;FQL&gt;&lt;Q&gt;DAL-US^FF_COM_SHS_OUT(ANN,-3FY,,,RP)&lt;/Q&gt;&lt;R&gt;1&lt;/R&gt;&lt;C&gt;1&lt;/C&gt;&lt;D xsi:type="xsd:double"&gt;707.197979&lt;/D&gt;&lt;/FQL&gt;&lt;FQL&gt;&lt;Q&gt;DAL-US^FF_COM_SHS_OUT(ANN,-2FY,,,RP)&lt;/Q&gt;&lt;R&gt;1&lt;/R&gt;&lt;C&gt;1&lt;/C&gt;&lt;D xsi:type="xsd:double"&gt;679.944475&lt;/D&gt;&lt;/FQL&gt;&lt;FQL&gt;&lt;Q&gt;DAL-US^FF_COM_SHS_OUT(ANN,-1FY,,,RP)&lt;/Q&gt;&lt;R&gt;1&lt;/R&gt;&lt;C&gt;1&lt;/C&gt;&lt;D xsi:type="xsd:double"&gt;642.771713&lt;/D&gt;&lt;/FQL&gt;&lt;FQL&gt;&lt;Q&gt;DAL-US^FF_COM_SHS_OUT(ANN,0FY,,,RP)&lt;/Q&gt;&lt;R&gt;1&lt;/R&gt;&lt;C&gt;1&lt;/C&gt;&lt;D xsi:type="xsd:double"&gt;638.18252&lt;/D&gt;&lt;/FQL&gt;&lt;FQL&gt;&lt;Q&gt;DAL-US^FF_COM_SHS_OUT(LTM,0)&lt;/Q&gt;&lt;R&gt;0&lt;/R&gt;&lt;C&gt;0&lt;/C&gt;&lt;/FQL&gt;&lt;FQL&gt;&lt;Q&gt;DAL-US^FF_CAPEX(ANN,-4FY,0FY,,RP)&lt;/Q&gt;&lt;R&gt;5&lt;/R&gt;&lt;C&gt;1&lt;/C&gt;&lt;D xsi:type="xsd:double"&gt;3391&lt;/D&gt;&lt;D xsi:type="xsd:double"&gt;3891&lt;/D&gt;&lt;D xsi:type="xsd:double"&gt;5168&lt;/D&gt;&lt;D xsi:type="xsd:double"&gt;4936&lt;/D&gt;&lt;D xsi:type="xsd:double"&gt;1899&lt;/D&gt;&lt;/FQL&gt;&lt;FQL&gt;&lt;Q&gt;DAL-US^FF_CAPEX(LTM,0)@FF_CAPEX(LTM_SEMI,0)&lt;/Q&gt;&lt;R&gt;1&lt;/R&gt;&lt;C&gt;1&lt;/C&gt;&lt;D xsi:type="xsd:double"&gt;2577&lt;/D&gt;&lt;/FQL&gt;&lt;FQL&gt;&lt;Q&gt;DAL-US^FF_FISCAL_DATE(LTM,0,,,RP,"DATEM")&lt;/Q&gt;&lt;R&gt;1&lt;/R&gt;&lt;C&gt;1&lt;/C&gt;&lt;D xsi:type="xsd:string"&gt;09/2021&lt;/D&gt;&lt;/FQL&gt;&lt;FQL&gt;&lt;Q&gt;DAL-US^FF_CASH_ST(ANN,-4FY,0FY,,RP)&lt;/Q&gt;&lt;R&gt;5&lt;/R&gt;&lt;C&gt;1&lt;/C&gt;&lt;D xsi:type="xsd:double"&gt;3642&lt;/D&gt;&lt;D xsi:type="xsd:double"&gt;2639&lt;/D&gt;&lt;D xsi:type="xsd:double"&gt;1815&lt;/D&gt;&lt;D xsi:type="xsd:double"&gt;3094&lt;/D&gt;&lt;D xsi:type="xsd:double"&gt;14288&lt;/D&gt;&lt;/FQL&gt;&lt;FQL&gt;&lt;Q&gt;DAL-US^FF_CASH_ST(QTR,0)@FF_CASH_ST(SEMI,0)&lt;/Q&gt;&lt;R&gt;1&lt;/R&gt;&lt;C&gt;1&lt;/C&gt;&lt;D xsi:type="xsd:double"&gt;13364&lt;/D&gt;&lt;/FQL&gt;&lt;FQL&gt;&lt;Q&gt;DAL-US^FF_RECEIV_TOT(ANN,-4FY,0FY,,RP)&lt;/Q&gt;&lt;R&gt;5&lt;/R&gt;&lt;C&gt;1&lt;/C&gt;&lt;D xsi:type="xsd:double"&gt;2064&lt;/D&gt;&lt;D xsi:type="xsd:double"&gt;2377&lt;/D&gt;&lt;D xsi:type="xsd:double"&gt;2314&lt;/D&gt;&lt;D xsi:type="xsd:double"&gt;2854&lt;/D&gt;&lt;D xsi:type="xsd:double"&gt;1396&lt;/D&gt;&lt;/FQL&gt;&lt;FQL&gt;&lt;Q&gt;DAL-US^FF_RECEIV_TOT(ANN,-5FY,,,RP)&lt;/Q&gt;&lt;R&gt;1&lt;/R&gt;&lt;C&gt;1&lt;/C&gt;&lt;D xsi:type="xsd:double"&gt;2139&lt;/D&gt;&lt;/FQL&gt;&lt;FQL&gt;&lt;Q&gt;DAL-US^FF_RECEIV_TOT(QTR,0,,,RP)@FF_RECEIV_TOT(SEMI,0,,,RP)&lt;/Q&gt;&lt;R&gt;1&lt;/R&gt;&lt;C&gt;1&lt;/C&gt;&lt;D xsi:type="xsd:double"&gt;2183&lt;/D&gt;&lt;/FQL&gt;&lt;FQL&gt;&lt;Q&gt;DAL-US^FF_INVEN(ANN,-4FY,,,RP)&lt;/Q&gt;&lt;R&gt;1&lt;/R&gt;&lt;C&gt;1&lt;/C&gt;&lt;D xsi:type="xsd:double"&gt;891&lt;/D&gt;&lt;/FQL&gt;&lt;FQL&gt;&lt;Q&gt;DAL-US^FF_INVEN(ANN,-5FY,,,RP)&lt;/Q&gt;&lt;R&gt;1&lt;/R&gt;&lt;C&gt;1&lt;/C&gt;&lt;D xsi:type="xsd:double"&gt;697&lt;/D&gt;&lt;/FQL&gt;&lt;FQL&gt;&lt;Q&gt;DAL-US^FF_INVEN(ANN,-3FY,,,RP)&lt;/Q&gt;&lt;R&gt;1&lt;/R&gt;&lt;C&gt;1&lt;/C&gt;&lt;D xsi:type="xsd:double"&gt;1329&lt;/D&gt;&lt;/FQL&gt;&lt;FQL&gt;&lt;Q&gt;DAL-US^FF_INVEN(ANN,-2FY,,,RP)&lt;/Q&gt;&lt;R&gt;1&lt;/R&gt;&lt;C&gt;1&lt;/C&gt;&lt;D xsi:type="xsd:double"&gt;1055&lt;/D&gt;&lt;/FQL&gt;&lt;FQL&gt;&lt;Q&gt;DAL-US^FF_INVEN(ANN,-1FY,,,RP)&lt;/Q&gt;&lt;R&gt;1&lt;/R&gt;&lt;C&gt;1&lt;/C&gt;&lt;D xsi:type="xsd:double"&gt;1251&lt;/D&gt;&lt;/FQL&gt;&lt;FQL&gt;&lt;Q&gt;DAL-US^FF_INVEN(ANN,0FY,,,RP)&lt;/Q&gt;&lt;R&gt;1&lt;/R&gt;&lt;C&gt;1&lt;/C&gt;&lt;D xsi:type="xsd:double"&gt;732&lt;/D&gt;&lt;/FQL&gt;&lt;FQL&gt;&lt;Q&gt;DAL-US^FF_INVEN(QTR,0)@FF_INVEN(SEMI,0)&lt;/Q&gt;&lt;R&gt;1&lt;/R&gt;&lt;C&gt;1&lt;/C&gt;&lt;D xsi:type="xsd:double"&gt;1012&lt;/D&gt;&lt;/FQL&gt;&lt;FQL&gt;&lt;Q&gt;DAL-US^FF_ASSETS_CURR(ANN,-4FY,0FY,,RP)&lt;/Q&gt;&lt;R&gt;5&lt;/R&gt;&lt;C&gt;1&lt;/C&gt;&lt;D xsi:type="xsd:double"&gt;7451&lt;/D&gt;&lt;D xsi:type="xsd:double"&gt;7844&lt;/D&gt;&lt;D xsi:type="xsd:double"&gt;6340&lt;/D&gt;&lt;D xsi:type="xsd:double"&gt;8249&lt;/D&gt;&lt;D xsi:type="xsd:double"&gt;17404&lt;/D&gt;&lt;/FQL&gt;&lt;FQL&gt;&lt;Q&gt;DAL-US^FF_ASSETS_CURR(QTR,0)@FF_ASSETS_CURR(SEMI,0)&lt;/Q&gt;&lt;R&gt;1&lt;/R&gt;&lt;C&gt;1&lt;/C&gt;&lt;D xsi:type="xsd:double"&gt;17471&lt;/D&gt;&lt;/FQL&gt;&lt;FQL&gt;&lt;Q&gt;DAL-US^FF_PPE_NET(ANN,-4FY,0FY,,RP)&lt;/Q&gt;&lt;R&gt;5&lt;/R&gt;&lt;C&gt;1&lt;/C&gt;&lt;D xsi:type="xsd:double"&gt;24375&lt;/D&gt;&lt;D xsi:type="xsd:double"&gt;26563&lt;/D&gt;&lt;D xsi:type="xsd:double"&gt;34329&lt;/D&gt;&lt;D xsi:type="xsd:double"&gt;36937&lt;/D&gt;&lt;D xsi:type="xsd:double"&gt;32262&lt;/D&gt;&lt;/FQL&gt;&lt;FQL&gt;&lt;Q&gt;DAL-US^FF_PPE_NET(QTR,0)@FF_PPE_NET(SEMI,0)&lt;/Q&gt;&lt;R&gt;1&lt;/R&gt;&lt;C&gt;1&lt;/C&gt;&lt;D xsi:type="xsd:double"&gt;33643&lt;/D&gt;&lt;/FQL&gt;&lt;FQL&gt;&lt;Q&gt;DAL-US^FF_ASSETS(ANN,-4FY,0FY,,RP)&lt;/Q&gt;&lt;R&gt;5&lt;/R&gt;&lt;C&gt;1&lt;/C&gt;&lt;D xsi:type="xsd:double"&gt;58899&lt;/D&gt;&lt;D xsi:type="xsd:double"&gt;58472&lt;/D&gt;&lt;D xsi:type="xsd:double"&gt;60266&lt;/D&gt;&lt;D xsi:type="xsd:double"&gt;64532&lt;/D&gt;&lt;D xsi:type="xsd:double"&gt;71996&lt;/D&gt;&lt;/FQL&gt;&lt;FQL&gt;&lt;Q&gt;DAL-US^FF_ASSETS(ANN,-5FY,,,RP)&lt;/Q&gt;&lt;R&gt;1&lt;/R&gt;&lt;C&gt;1&lt;/C&gt;&lt;D xsi:type="xsd:double"&gt;60634&lt;/D&gt;&lt;/FQL&gt;&lt;FQL&gt;&lt;Q&gt;DAL-US^FF_ASSETS(QTR,0)&lt;/Q&gt;&lt;R&gt;1&lt;/R&gt;&lt;C&gt;1&lt;/C&gt;&lt;D xsi:type="xsd:double"&gt;72783&lt;/D&gt;&lt;/FQL&gt;&lt;FQL&gt;&lt;Q&gt;DAL-US^FF_DEBT_ST(ANN,-4FY,0FY,,RP)&lt;/Q&gt;&lt;R&gt;5&lt;/R&gt;&lt;C&gt;1&lt;/C&gt;&lt;D xsi:type="xsd:double"&gt;1131&lt;/D&gt;&lt;D xsi:type="xsd:double"&gt;2242&lt;/D&gt;&lt;D xsi:type="xsd:double"&gt;2473&lt;/D&gt;&lt;D xsi:type="xsd:double"&gt;3088&lt;/D&gt;&lt;D xsi:type="xsd:double"&gt;2410&lt;/D&gt;&lt;/FQL&gt;&lt;FQL&gt;&lt;Q&gt;DAL-US^FF_DEBT_ST(QTR,0)@FF_DEBT_ST(SEMI,0)&lt;/Q&gt;&lt;R&gt;1&lt;/R&gt;&lt;C&gt;1&lt;/C&gt;&lt;D xsi:type="xsd:double"&gt;2932&lt;/D&gt;&lt;/FQL&gt;&lt;FQL&gt;&lt;Q&gt;DAL-US^FF_PAY_ACCT(ANN,-4FY,0FY,,RP)&lt;/Q&gt;&lt;R&gt;5&lt;/R&gt;&lt;C&gt;1&lt;/C&gt;&lt;D xsi:type="xsd:double"&gt;2572&lt;/D&gt;&lt;D xsi:type="xsd:double"&gt;3674&lt;/D&gt;&lt;D xsi:type="xsd:double"&gt;2976&lt;/D&gt;&lt;D xsi:type="xsd:double"&gt;3266&lt;/D&gt;&lt;D xsi:type="xsd:double"&gt;2840&lt;/D&gt;&lt;/FQL&gt;&lt;FQL&gt;&lt;Q&gt;DAL-US^FF_PAY_ACCT(ANN,-6FY,,,RP)&lt;/Q&gt;&lt;R&gt;1&lt;/R&gt;&lt;C&gt;1&lt;/C&gt;&lt;D xsi:type="xsd:double"&gt;2622&lt;/D&gt;&lt;/FQL&gt;&lt;FQL&gt;&lt;Q&gt;DAL-US^FF_PAY_ACCT(QTR,0)@FF_PAY_ACCT(SEMI,0)&lt;/Q&gt;&lt;R&gt;1&lt;/R&gt;&lt;C&gt;1&lt;/C&gt;&lt;D xsi:type="xsd:double"&gt;4017&lt;/D&gt;&lt;/FQL&gt;&lt;FQL&gt;&lt;Q&gt;DAL-US^FF_LIABS_CURR(ANN,-4FY,0FY,,RP)&lt;/Q&gt;&lt;R&gt;5&lt;/R&gt;&lt;C&gt;1&lt;/C&gt;&lt;D xsi:type="xsd:double"&gt;15239&lt;/D&gt;&lt;D xsi:type="xsd:double"&gt;18573&lt;/D&gt;&lt;D xsi:type="xsd:double"&gt;18578&lt;/D&gt;&lt;D xsi:type="xsd:double"&gt;20204&lt;/D&gt;&lt;D xsi:type="xsd:double"&gt;15927&lt;/D&gt;&lt;/FQL&gt;&lt;FQL&gt;&lt;Q&gt;DAL-US^FF_LIABS_CURR(QTR,0)@FF_LIABS_CURR(SEMI,0)&lt;/Q&gt;&lt;R&gt;1&lt;/R&gt;&lt;C&gt;1&lt;/C&gt;&lt;D xsi:type="xsd:double"&gt;20924&lt;/D&gt;&lt;/FQL&gt;&lt;FQL&gt;&lt;Q&gt;DAL-US^FF_DEBT_LT(ANN,-4FY,0FY,,RP)&lt;/Q&gt;&lt;R&gt;5&lt;/R&gt;&lt;C&gt;1&lt;/C&gt;&lt;D xsi:type="xsd:double"&gt;6201&lt;/D&gt;&lt;D xsi:type="xsd:double"&gt;6592&lt;/D&gt;&lt;D xsi:type="xsd:double"&gt;14054&lt;/D&gt;&lt;D xsi:type="xsd:double"&gt;14167&lt;/D&gt;&lt;D xsi:type="xsd:double"&gt;33138&lt;/D&gt;&lt;/FQL&gt;&lt;FQL&gt;&lt;Q&gt;DAL-US^FF_DEBT_LT(QTR,0)&lt;/Q&gt;&lt;R&gt;1&lt;/R&gt;&lt;C&gt;1&lt;/C&gt;&lt;D xsi:type="xsd:double"&gt;31265&lt;/D&gt;&lt;/FQL&gt;&lt;FQL&gt;&lt;Q&gt;DAL-US^FF_LIABS(ANN,-4FY,0FY,,RP)&lt;/Q&gt;&lt;R&gt;5&lt;/R&gt;&lt;C&gt;1&lt;/C&gt;&lt;D xsi:type="xsd:double"&gt;46612&lt;/D&gt;&lt;D xsi:type="xsd:double"&gt;44562&lt;/D&gt;&lt;D xsi:type="xsd:double"&gt;46579&lt;/D&gt;&lt;D xsi:type="xsd:double"&gt;49174&lt;/D&gt;&lt;D xsi:type="xsd:double"&gt;70462&lt;/D&gt;&lt;/FQL&gt;&lt;FQL&gt;&lt;Q&gt;DAL-US^FF_LIABS(QTR,0)@FF_LIABS(SEMI,0)&lt;/Q&gt;&lt;R&gt;1&lt;/R&gt;&lt;C&gt;1&lt;/C&gt;&lt;D xsi:type="xsd:double"&gt;70177&lt;/D&gt;&lt;/FQL&gt;&lt;FQL&gt;&lt;Q&gt;DAL-US^FF_PFD_STK(ANN,-4FY,0FY,,RP)&lt;/Q&gt;&lt;R&gt;5&lt;/R&gt;&lt;C&gt;1&lt;/C&gt;&lt;D xsi:type="xsd:double"&gt;0&lt;/D&gt;&lt;D xsi:type="xsd:double"&gt;0&lt;/D&gt;&lt;D xsi:type="xsd:double"&gt;0&lt;/D&gt;&lt;D xsi:type="xsd:double"&gt;0&lt;/D&gt;&lt;D xsi:type="xsd:double"&gt;0&lt;/D&gt;&lt;/FQL&gt;&lt;FQL&gt;&lt;Q&gt;DAL-US^FF_PFD_STK(QTR,0)@FF_PFD_STK(SEMI,0)&lt;/Q&gt;&lt;R&gt;1&lt;/R&gt;&lt;C&gt;1&lt;/C&gt;&lt;D xsi:type="xsd:double"&gt;0&lt;/D&gt;&lt;/FQL&gt;&lt;FQL&gt;&lt;Q&gt;DAL-US^FF_SHLDRS_EQ(ANN,-4FY,0FY,,RP)&lt;/Q&gt;&lt;R&gt;5&lt;/R&gt;&lt;C&gt;1&lt;/C&gt;&lt;D xsi:type="xsd:double"&gt;12287&lt;/D&gt;&lt;D xsi:type="xsd:double"&gt;13910&lt;/D&gt;&lt;D xsi:type="xsd:double"&gt;13687&lt;/D&gt;&lt;D xsi:type="xsd:double"&gt;15358&lt;/D&gt;&lt;D xsi:type="xsd:double"&gt;1534&lt;/D&gt;&lt;/FQL&gt;&lt;FQL&gt;&lt;Q&gt;DAL-US^FF_SHLDRS_EQ(ANN,-5FY,,,RP)&lt;/Q&gt;&lt;R&gt;1&lt;/R&gt;&lt;C&gt;1&lt;/C&gt;&lt;D xsi:type="xsd:double"&gt;10850&lt;/D&gt;&lt;/FQL&gt;&lt;FQL&gt;&lt;Q&gt;DAL-US^FF_SHLDRS_EQ(QTR,0)@FF_SHLDRS_EQ(SEMI,0)&lt;/Q&gt;&lt;R&gt;1&lt;/R&gt;&lt;C&gt;1&lt;/C&gt;&lt;D xsi:type="xsd:double"&gt;2606&lt;/D&gt;&lt;/FQL&gt;&lt;FQL&gt;&lt;Q&gt;DAL-US^FF_LIABS_SHLDRS_EQ(ANN,-4FY,0FY,,RP)&lt;/Q&gt;&lt;R&gt;5&lt;/R&gt;&lt;C&gt;1&lt;/C&gt;&lt;D xsi:type="xsd:double"&gt;58899&lt;/D&gt;&lt;D xsi:type="xsd:double"&gt;58472&lt;/D&gt;&lt;D xsi:type="xsd:double"&gt;60266&lt;/D&gt;&lt;D xsi:type="xsd:double"&gt;64532&lt;/D&gt;&lt;D xsi:type="xsd:double"&gt;71996&lt;/D&gt;&lt;/FQL&gt;&lt;FQL&gt;&lt;Q&gt;DAL-US^FF_LIABS_SHLDRS_EQ(QTR,0,,,RP)@FF_LIABS_SHLDRS_EQ(SEMI,0,,,RP)&lt;/Q&gt;&lt;R&gt;1&lt;/R&gt;&lt;C&gt;1&lt;/C&gt;&lt;D xsi:type="xsd:double"&gt;72783&lt;/D&gt;&lt;/FQL&gt;&lt;FQL&gt;&lt;Q&gt;DAL-US^FG_PRICE(-4FY,,)&lt;/Q&gt;&lt;R&gt;1&lt;/R&gt;&lt;C&gt;1&lt;/C&gt;&lt;D xsi:type="xsd:double"&gt;49.19&lt;/D&gt;&lt;/FQL&gt;&lt;FQL&gt;&lt;Q&gt;DAL-US^FG_PRICE(-3FY,,)&lt;/Q&gt;&lt;R&gt;1&lt;/R&gt;&lt;C&gt;1&lt;/C&gt;&lt;D xsi:type="xsd:double"&gt;56&lt;/D&gt;&lt;/FQL&gt;&lt;FQL&gt;&lt;Q&gt;DAL-US^FG_PRICE(-2FY,,)&lt;/Q&gt;&lt;R&gt;1&lt;/R&gt;&lt;C&gt;1&lt;/C&gt;&lt;D xsi:type="xsd:double"&gt;49.9&lt;/D&gt;&lt;/FQL&gt;&lt;FQL&gt;&lt;Q&gt;DAL-US^FG_PRICE(-1FY,,)&lt;/Q&gt;&lt;R&gt;1&lt;/R&gt;&lt;C&gt;1&lt;/C&gt;&lt;D xsi:type="xsd:double"&gt;58.48&lt;/D&gt;&lt;/FQL&gt;&lt;FQL&gt;&lt;Q&gt;DAL-US^FG_PRICE(-0FY,,)&lt;/Q&gt;&lt;R&gt;1&lt;/R&gt;&lt;C&gt;1&lt;/C&gt;&lt;D xsi:type="xsd:double"&gt;40.21&lt;/D&gt;&lt;/FQL&gt;&lt;FQL&gt;&lt;Q&gt;DAL-US^FG_PRICE(0M,,)&lt;/Q&gt;&lt;R&gt;1&lt;/R&gt;&lt;C&gt;1&lt;/C&gt;&lt;D xsi:type="xsd:double"&gt;39.13&lt;/D&gt;&lt;/FQL&gt;&lt;FQL&gt;&lt;Q&gt;DAL-US^FE_ESTIMATE(EPS,MEAN,ANNUAL,+1,NOW)&lt;/Q&gt;&lt;R&gt;1&lt;/R&gt;&lt;C&gt;1&lt;/C&gt;&lt;D xsi:type="xsd:double"&gt;-4.5392437&lt;/D&gt;&lt;/FQL&gt;&lt;FQL&gt;&lt;Q&gt;DAL-US^FE_ESTIMATE(EPS,MEAN,NTMA,,NOW)&lt;/Q&gt;&lt;R&gt;1&lt;/R&gt;&lt;C&gt;1&lt;/C&gt;&lt;D xsi:type="xsd:double"&gt;2.6970112&lt;/D&gt;&lt;/FQL&gt;&lt;FQL&gt;&lt;Q&gt;DAL-US^FE_ESTIMATE(EPS_LTG,MEAN,,,NOW,,,'')/100&lt;/Q&gt;&lt;R&gt;0&lt;/R&gt;&lt;C&gt;0&lt;/C&gt;&lt;/FQL&gt;&lt;FQL&gt;&lt;Q&gt;DAL-US^FF_BPS(ANN_R,0)&lt;/Q&gt;&lt;R&gt;1&lt;/R&gt;&lt;C&gt;1&lt;/C&gt;&lt;D xsi:type="xsd:double"&gt;2.4037&lt;/D&gt;&lt;/FQL&gt;&lt;FQL&gt;&lt;Q&gt;DAL-US^FG_FACTSET_IND&lt;/Q&gt;&lt;R&gt;1&lt;/R&gt;&lt;C&gt;1&lt;/C&gt;&lt;D xsi:type="xsd:string"&gt;Airlines&lt;/D&gt;&lt;/FQL&gt;&lt;FQL&gt;&lt;Q&gt;DAL-US^FF_COM_SHS_OUT(CURR,0)&lt;/Q&gt;&lt;R&gt;1&lt;/R&gt;&lt;C&gt;1&lt;/C&gt;&lt;D xsi:type="xsd:double"&gt;640.014&lt;/D&gt;&lt;/FQL&gt;&lt;FQL&gt;&lt;Q&gt;DAL-US^FF_DPS(LTM,0)&lt;/Q&gt;&lt;R&gt;1&lt;/R&gt;&lt;C&gt;1&lt;/C&gt;&lt;D xsi:type="xsd:double"&gt;0&lt;/D&gt;&lt;/FQL&gt;&lt;FQL&gt;&lt;Q&gt;DAL-US^P(NOW)&lt;/Q&gt;&lt;R&gt;1&lt;/R&gt;&lt;C&gt;1&lt;/C&gt;&lt;D xsi:type="xsd:double"&gt;36.38&lt;/D&gt;&lt;/FQL&gt;&lt;FQL&gt;&lt;Q&gt;DAL-US^FF_RELATED_COMPANY(COMPT,PUB,FEID,0,"OTHER")&lt;/Q&gt;&lt;R&gt;22&lt;/R&gt;&lt;C&gt;1&lt;/C&gt;&lt;D xsi:type="xsd:string"&gt;0D665Z-E&lt;/D&gt;&lt;D xsi:type="xsd:string"&gt;000BNX-E&lt;/D&gt;&lt;D xsi:type="xsd:string"&gt;05HXPW-E&lt;/D&gt;&lt;D xsi:type="xsd:string"&gt;05ZC3N-E&lt;/D&gt;&lt;D xsi:type="xsd:string"&gt;002GBQ-E&lt;/D&gt;&lt;D xsi:type="xsd:string"&gt;0BNHW2-E&lt;/D&gt;&lt;D xsi:type="xsd:string"&gt;05HWHC-E&lt;/D&gt;&lt;D xsi:type="xsd:string"&gt;000PVJ-E&lt;/D&gt;&lt;D xsi:type="xsd:string"&gt;07BR90-E&lt;/D&gt;&lt;D xsi:type="xsd:string"&gt;09CV3L-E&lt;/D&gt;&lt;D xsi:type="xsd:string"&gt;003XC8-E&lt;/D&gt;&lt;D xsi:type="xsd:string"&gt;09ZKC0-E&lt;/D&gt;&lt;D xsi:type="xsd:string"&gt;000WJH-E&lt;/D&gt;&lt;D xsi:type="xsd:string"&gt;0019S0-E&lt;/D&gt;&lt;D xsi:type="xsd:string"&gt;0BCBB7-E&lt;/D&gt;&lt;D xsi:type="xsd:string"&gt;06D8MS-E&lt;/D&gt;&lt;D xsi:type="xsd:string"&gt;06NMC4-E&lt;/D&gt;&lt;D xsi:type="xsd:string"&gt;003Q64-E&lt;/D&gt;&lt;D xsi:type="xsd:string"&gt;000WR8-E&lt;/D&gt;&lt;D xsi:type="xsd:string"&gt;0088V7-E&lt;/D&gt;&lt;D xsi:type="xsd:string"&gt;0GYD8Q-E&lt;/D&gt;&lt;D xsi:type="xsd:string"&gt;05RYHC-E&lt;/D&gt;&lt;/FQL&gt;&lt;FQL&gt;&lt;Q&gt;DAL-US^FF_COGS(ANN,-5FY,,,RP)&lt;/Q&gt;&lt;R&gt;1&lt;/R&gt;&lt;C&gt;1&lt;/C&gt;&lt;D xsi:type="xsd:double"&gt;28456&lt;/D&gt;&lt;/FQL&gt;&lt;FQL&gt;&lt;Q&gt;DAL-US^REBASE(FG_PRICE_ICS(,,,LOCAL,SPLIT,0,,,5), 41.26, 0/0/-1) : 0/0/-1,NOW,D&lt;/Q&gt;&lt;R&gt;254&lt;/R&gt;&lt;C&gt;1&lt;/C&gt;&lt;D xsi:type="xsd:double"&gt;41.26&lt;/D&gt;&lt;D xsi:type="xsd:double"&gt;41.29&lt;/D&gt;&lt;D xsi:type="xsd:double"&gt;41.06&lt;/D&gt;&lt;D xsi:type="xsd:double"&gt;40.25&lt;/D&gt;&lt;D xsi:type="xsd:double"&gt;39.96&lt;/D&gt;&lt;D xsi:type="xsd:double"&gt;41.07&lt;/D&gt;&lt;D xsi:type="xsd:double"&gt;42.95&lt;/D&gt;&lt;D xsi:type="xsd:double"&gt;42.36&lt;/D&gt;&lt;D xsi:type="xsd:double"&gt;42.35&lt;/D&gt;&lt;D xsi:type="xsd:double"&gt;42.41&lt;/D&gt;&lt;D xsi:type="xsd:double"&gt;42.11&lt;/D&gt;&lt;D xsi:type="xsd:double"&gt;42.62&lt;/D&gt;&lt;D xsi:type="xsd:double"&gt;41.74&lt;/D&gt;&lt;D xsi:type="xsd:double"&gt;40.69&lt;/D&gt;&lt;D xsi:type="xsd:double"&gt;41.85&lt;/D&gt;&lt;D xsi:type="xsd:double"&gt;41.08&lt;/D&gt;&lt;D xsi:type="xsd:double"&gt;41.11&lt;/D&gt;&lt;D xsi:type="xsd:double"&gt;40.68&lt;/D&gt;&lt;D xsi:type="xsd:double"&gt;40.14&lt;/D&gt;&lt;D xsi:type="xsd:double"&gt;38.94&lt;/D&gt;&lt;D xsi:type="xsd:double"&gt;40.24&lt;/D&gt;&lt;D xsi:type="xsd:double"&gt;39.73&lt;/D&gt;&lt;D xsi:type="xsd:double"&gt;40.15&lt;/D&gt;&lt;D xsi:type="xsd:double"&gt;40.03&lt;/D&gt;&lt;D xsi:type="xsd:double"&gt;40.56&lt;/D&gt;&lt;D xsi:type="xsd:double"&gt;40.21&lt;/D&gt;&lt;D xsi:type="xsd:double"&gt;38.73&lt;/D&gt;&lt;D xsi:type="xsd:double"&gt;39.55&lt;/D&gt;&lt;D xsi:type="xsd:double"&gt;40.38&lt;/D&gt;&lt;D xsi:type="xsd:double"&gt;40.23&lt;/D&gt;&lt;D xsi:type="xsd:double"&gt;40.02&lt;/D&gt;&lt;D xsi:type="xsd:double"&gt;39.41&lt;/D&gt;&lt;D xsi:type="xsd:double"&gt;40.3&lt;/D&gt;&lt;D xsi:type="xsd:double"&gt;40.45&lt;/D&gt;&lt;D xsi:type="xsd:double"&gt;41.47&lt;/D&gt;&lt;D xsi:type="xsd:double"&gt;39.98&lt;/D&gt;&lt;D xsi:type="xsd:double"&gt;40.31&lt;/D&gt;&lt;D xsi:type="xsd:double"&gt;41.62&lt;/D&gt;&lt;D xsi:type="xsd:double"&gt;40.67&lt;/D&gt;&lt;D xsi:type="xsd:double"&gt;40&lt;/D&gt;&lt;D xsi:type="xsd:double"&gt;38.9&lt;/D&gt;&lt;D xsi:type="xsd:double"&gt;39.32&lt;/D&gt;&lt;D xsi:type="xsd:double"&gt;38.52&lt;/D&gt;&lt;D xsi:type="xsd:double"&gt;40.08&lt;/D&gt;&lt;D xsi:type="xsd:double"&gt;37.96&lt;/D&gt;&lt;D xsi:type="xsd:double"&gt;37.82&lt;/D&gt;&lt;D xsi:type="xsd:double"&gt;38.8&lt;/D&gt;&lt;D xsi:type="xsd:double"&gt;39.78&lt;/D&gt;&lt;D xsi:type="xsd:double"&gt;40.93&lt;/D&gt;&lt;D xsi:type="xsd:double"&gt;41.15&lt;/D&gt;&lt;D xsi:type="xsd:double"&gt;43.24&lt;/D&gt;&lt;D xsi:type="xsd:double"&gt;42.51&lt;/D&gt;&lt;D xsi:type="xsd:double"&gt;42.9&lt;/D&gt;&lt;D xsi:type="xsd:double"&gt;42.72&lt;/D&gt;&lt;D xsi:type="xsd:double"&gt;43.29&lt;/D&gt;&lt;D xsi:type="xsd:double"&gt;44.65&lt;/D&gt;&lt;D xsi:type="xsd:double"&gt;44.39&lt;/D&gt;&lt;D xsi:type="xsd:double"&gt;44.38&lt;/D&gt;&lt;D xsi:type="xsd:double"&gt;45.67&lt;/D&gt;&lt;D xsi:type="xsd:double"&gt;47.74&lt;/D&gt;&lt;D xsi:type="xsd:double"&gt;48.34&lt;/D&gt;&lt;D xsi:type="xsd:double"&gt;49.6&lt;/D&gt;&lt;D xsi:type="xsd:double"&gt;48.25&lt;/D&gt;&lt;D xsi:type="xsd:double"&gt;47.94&lt;/D&gt;&lt;D xsi:type="xsd:double"&gt;48.06&lt;/D&gt;&lt;D xsi:type="xsd:double"&gt;48.23&lt;/D&gt;&lt;D xsi:type="xsd:double"&gt;48.35&lt;/D&gt;&lt;D xsi:type="xsd:double"&gt;46.96&lt;/D&gt;&lt;D xsi:type="xsd:double"&gt;46.21&lt;/D&gt;&lt;D xsi:type="xsd:double"&gt;47.88&lt;/D&gt;&lt;D xsi:type="xsd:double"&gt;47.62&lt;/D&gt;&lt;D xsi:type="xsd:double"&gt;47.8&lt;/D&gt;&lt;D xsi:type="xsd:double"&gt;48.32&lt;/D&gt;&lt;D xsi:type="xsd:double"&gt;49.83&lt;/D&gt;&lt;D xsi:type="xsd:double"&gt;50.99&lt;/D&gt;&lt;D xsi:type="xsd:double"&gt;49.39&lt;/D&gt;&lt;D xsi:type="xsd:double"&gt;50.44&lt;/D&gt;&lt;D xsi:type="xsd:double"&gt;49.18&lt;/D&gt;&lt;D xsi:type="xsd:double"&gt;49&lt;/D&gt;&lt;D xsi:type="xsd:double"&gt;47.97&lt;/D&gt;&lt;D xsi:type="xsd:double"&gt;45.64&lt;/D&gt;&lt;D xsi:type="xsd:double"&gt;45.61&lt;/D&gt;&lt;D xsi:type="xsd:double"&gt;47.01&lt;/D&gt;&lt;D xsi:type="xsd:double"&gt;47.66&lt;/D&gt;&lt;D xsi:type="xsd:double"&gt;47.32&lt;/D&gt;&lt;D xsi:type="xsd:double"&gt;48.9&lt;/D&gt;&lt;D xsi:type="xsd:double"&gt;48.28&lt;/D&gt;&lt;D xsi:type="xsd:double"&gt;48.83&lt;/D&gt;&lt;D xsi:type="xsd:double"&gt;50.25&lt;/D&gt;&lt;D xsi:type="xsd:double"&gt;51.65&lt;/D&gt;&lt;D xsi:type="xsd:double"&gt;50.2&lt;/D&gt;&lt;D xsi:type="xsd:double"&gt;49.81&lt;/D&gt;&lt;D xsi:type="xsd:double"&gt;49.27&lt;/D&gt;&lt;D xsi:type="xsd:double"&gt;48.82&lt;/D&gt;&lt;D xsi:type="xsd:double"&gt;48.26&lt;/D&gt;&lt;D xsi:type="xsd:double"&gt;48.17&lt;/D&gt;&lt;D xsi:type="xsd:double"&gt;46.82&lt;/D&gt;&lt;D xsi:type="xsd:double"&gt;46.64&lt;/D&gt;&lt;D xsi:type="xsd:double"&gt;46.15&lt;/D&gt;&lt;D xsi:type="xsd:double"&gt;44.45&lt;/D&gt;&lt;D xsi:type="xsd:double"&gt;45.7&lt;/D&gt;&lt;D xsi:type="xsd:double"&gt;44.65&lt;/D&gt;&lt;D xsi:type="xsd:double"&gt;45.8&lt;/D&gt;&lt;D xsi:type="xsd:double"&gt;46.61&lt;/D&gt;&lt;D xsi:type="xsd:double"&gt;46.34&lt;/D&gt;&lt;D xsi:type="xsd:double"&gt;46.44&lt;/D&gt;&lt;D xsi:type="xsd:double"&gt;46.38&lt;/D&gt;&lt;D xsi:type="xsd:double"&gt;46.92&lt;/D&gt;&lt;D xsi:type="xsd:double"&gt;46.57&lt;/D&gt;&lt;D xsi:type="xsd:double"&gt;44.66&lt;/D&gt;&lt;D xsi:type="xsd:double"&gt;45.2&lt;/D&gt;&lt;D xsi:type="xsd:double"&gt;44.93&lt;/D&gt;&lt;D xsi:type="xsd:double"&gt;46.11&lt;/D&gt;&lt;D xsi:type="xsd:double"&gt;45.43&lt;/D&gt;&lt;D xsi:type="xsd:double"&gt;44.52&lt;/D&gt;&lt;D xsi:type="xsd:double"&gt;43.03&lt;/D&gt;&lt;D xsi:type="xsd:double"&gt;43.97&lt;/D&gt;&lt;D xsi:type="xsd:double"&gt;46.31&lt;/D&gt;&lt;D xsi:type="xsd:double"&gt;46.75&lt;/D&gt;&lt;D xsi:type="xsd:double"&gt;46.73&lt;/D&gt;&lt;D xsi:type="xsd:double"&gt;46.14&lt;/D&gt;&lt;D xsi:type="xsd:double"&gt;45.41&lt;/D&gt;&lt;D xsi:type="xsd:double"&gt;45.21&lt;/D&gt;&lt;D xsi:type="xsd:double"&gt;46.17&lt;/D&gt;&lt;D xsi:type="xsd:double"&gt;46.67&lt;/D&gt;&lt;D xsi:type="xsd:double"&gt;47.49&lt;/D&gt;&lt;D xsi:type="xsd:double"&gt;48.05&lt;/D&gt;&lt;D xsi:type="xsd:double"&gt;47.68&lt;/D&gt;&lt;D xsi:type="xsd:double"&gt;47.7&lt;/D&gt;&lt;D xsi:type="xsd:double"&gt;47.77&lt;/D&gt;&lt;D xsi:type="xsd:double"&gt;46.13&lt;/D&gt;&lt;D xsi:type="xsd:double"&gt;45.98&lt;/D&gt;&lt;D xsi:type="xsd:double"&gt;46.08&lt;/D&gt;&lt;D xsi:type="xsd:double"&gt;47.04&lt;/D&gt;&lt;D xsi:type="xsd:double"&gt;46.52&lt;/D&gt;&lt;D xsi:type="xsd:double"&gt;46.28&lt;/D&gt;&lt;D xsi:type="xsd:double"&gt;46.5&lt;/D&gt;&lt;D xsi:type="xsd:double"&gt;45.9&lt;/D&gt;&lt;D xsi:type="xsd:double"&gt;45.53&lt;/D&gt;&lt;D xsi:type="xsd:double"&gt;45.52&lt;/D&gt;&lt;D xsi:type="xsd:double"&gt;44.57&lt;/D&gt;&lt;D xsi:type="xsd:double"&gt;44.96&lt;/D&gt;&lt;D xsi:type="xsd:double"&gt;45.77&lt;/D&gt;&lt;D xsi:type="xsd:double"&gt;45.37&lt;/D&gt;&lt;D xsi:type="xsd:double"&gt;45.27&lt;/D&gt;&lt;D xsi:type="xsd:double"&gt;44.91&lt;/D&gt;&lt;D xsi:type="xsd:double"&gt;44.43&lt;/D&gt;&lt;D xsi:type="xsd:double"&gt;43.12&lt;/D&gt;&lt;D xsi:type="xsd:double"&gt;42.87&lt;/D&gt;&lt;D xsi:type="xsd:double"&gt;43.26&lt;/D&gt;&lt;D xsi:type="xsd:double"&gt;44.23&lt;/D&gt;&lt;D xsi:type="xsd:double"&gt;44.15&lt;/D&gt;&lt;D xsi:type="xsd:double"&gt;43.24&lt;/D&gt;&lt;D xsi:type="xsd:double"&gt;42.54&lt;/D&gt;&lt;D xsi:type="xsd:double"&gt;42.07&lt;/D&gt;&lt;D xsi:type="xsd:double"&gt;42.92&lt;/D&gt;&lt;D xsi:type="xsd:double"&gt;42.85&lt;/D&gt;&lt;D xsi:type="xsd:double"&gt;41.33&lt;/D&gt;&lt;D xsi:type="xsd:double"&gt;40.68&lt;/D&gt;&lt;D xsi:type="xsd:double"&gt;41.35&lt;/D&gt;&lt;D xsi:type="xsd:double"&gt;40.06&lt;/D&gt;&lt;D xsi:type="xsd:double"&gt;38.56&lt;/D&gt;&lt;D xsi:type="xsd:double"&gt;40.66&lt;/D&gt;&lt;D xsi:type="xsd:double"&gt;41.61&lt;/D&gt;&lt;D xsi:type="xsd:double"&gt;41.06&lt;/D&gt;&lt;D xsi:type="xsd:double"&gt;40.41&lt;/D&gt;&lt;D xsi:type="xsd:double"&gt;41.67&lt;/D&gt;&lt;D xsi:type="xsd:double"&gt;40.96&lt;/D&gt;&lt;D xsi:type="xsd:double"&gt;41.3&lt;/D&gt;&lt;D xsi:type="xsd:double"&gt;41.23&lt;/D&gt;&lt;D xsi:type="xsd:double"&gt;39.9&lt;/D&gt;&lt;D xsi:type="xsd:double"&gt;39.45&lt;/D&gt;&lt;D xsi:type="xsd:double"&gt;39.77&lt;/D&gt;&lt;D xsi:type="xsd:double"&gt;38.35&lt;/D&gt;&lt;D xsi:type="xsd:double"&gt;39.99&lt;/D&gt;&lt;D xsi:type="xsd:double"&gt;40.32&lt;/D&gt;&lt;D xsi:type="xsd:double"&gt;39.29&lt;/D&gt;&lt;D xsi:type="xsd:double"&gt;40.46&lt;/D&gt;&lt;D xsi:type="xsd:double"&gt;41.3&lt;/D&gt;&lt;D xsi:type="xsd:double"&gt;40.53&lt;/D&gt;&lt;D xsi:type="xsd:double"&gt;39.9&lt;/D&gt;&lt;D xsi:type="xsd:double"&gt;39.93&lt;/D&gt;&lt;D xsi:type="xsd:double"&gt;38.78&lt;/D&gt;&lt;D xsi:type="xsd:double"&gt;38.65&lt;/D&gt;&lt;D xsi:type="xsd:double"&gt;37.93&lt;/D&gt;&lt;D xsi:type="xsd:double"&gt;38.12&lt;/D&gt;&lt;D xsi:type="xsd:double"&gt;39.21&lt;/D&gt;&lt;D xsi:type="xsd:double"&gt;40.53&lt;/D&gt;&lt;D xsi:type="xsd:double"&gt;41.3&lt;/D&gt;&lt;D xsi:type="xsd:double"&gt;40.77&lt;/D&gt;&lt;D xsi:type="xsd:double"&gt;41.52&lt;/D&gt;&lt;D xsi:type="xsd:double"&gt;39.91&lt;/D&gt;&lt;D xsi:type="xsd:double"&gt;40.44&lt;/D&gt;&lt;D xsi:type="xsd:double"&gt;40.4&lt;/D&gt;&lt;D xsi:type="xsd:double"&gt;40.82&lt;/D&gt;&lt;D xsi:type="xsd:double"&gt;40.25&lt;/D&gt;&lt;D xsi:type="xsd:double"&gt;40.35&lt;/D&gt;&lt;D xsi:type="xsd:double"&gt;39.65&lt;/D&gt;&lt;D xsi:type="xsd:double"&gt;41.09&lt;/D&gt;&lt;D xsi:type="xsd:double"&gt;39.36&lt;/D&gt;&lt;D xsi:type="xsd:double"&gt;40.18&lt;/D&gt;&lt;D xsi:type="xsd:double"&gt;39.44&lt;/D&gt;&lt;D xsi:type="xsd:double"&gt;39.64&lt;/D&gt;&lt;D xsi:type="xsd:double"&gt;40.22&lt;/D&gt;&lt;D xsi:type="xsd:double"&gt;40.11&lt;/D&gt;&lt;D xsi:type="xsd:double"&gt;40.78&lt;/D&gt;&lt;D xsi:type="xsd:double"&gt;40.36&lt;/D&gt;&lt;D xsi:type="xsd:double"&gt;41.59&lt;/D&gt;&lt;D xsi:type="xsd:double"&gt;42.59&lt;/D&gt;&lt;D xsi:type="xsd:double"&gt;43.53&lt;/D&gt;&lt;D xsi:type="xsd:double"&gt;43.78&lt;/D&gt;&lt;D xsi:type="xsd:double"&gt;43.44&lt;/D&gt;&lt;D xsi:type="xsd:double"&gt;43.36&lt;/D&gt;&lt;D xsi:type="xsd:double"&gt;42.61&lt;/D&gt;&lt;D xsi:type="xsd:double"&gt;45.38&lt;/D&gt;&lt;D xsi:type="xsd:double"&gt;44.96&lt;/D&gt;&lt;D xsi:type="xsd:double"&gt;44.74&lt;/D&gt;&lt;D xsi:type="xsd:double"&gt;44.02&lt;/D&gt;&lt;D xsi:type="xsd:double"&gt;43.68&lt;/D&gt;&lt;D xsi:type="xsd:double"&gt;43.38&lt;/D&gt;&lt;D xsi:type="xsd:double"&gt;43.19&lt;/D&gt;&lt;D xsi:type="xsd:double"&gt;43.54&lt;/D&gt;&lt;D xsi:type="xsd:double"&gt;41.03&lt;/D&gt;&lt;D xsi:type="xsd:double"&gt;41.2&lt;/D&gt;&lt;D xsi:type="xsd:double"&gt;40.99&lt;/D&gt;&lt;D xsi:type="xsd:double"&gt;41.01&lt;/D&gt;&lt;D xsi:type="xsd:double"&gt;40.45&lt;/D&gt;&lt;D xsi:type="xsd:double"&gt;40.3&lt;/D&gt;&lt;D xsi:type="xsd:double"&gt;40.4&lt;/D&gt;&lt;D xsi:type="xsd:double"&gt;39.74&lt;/D&gt;&lt;D xsi:type="xsd:double"&gt;39.51&lt;/D&gt;&lt;D xsi:type="xsd:double"&gt;39.71&lt;/D&gt;&lt;D xsi:type="xsd:double"&gt;39.07&lt;/D&gt;&lt;D xsi:type="xsd:double"&gt;39.15&lt;/D&gt;&lt;D xsi:type="xsd:double"&gt;39.13&lt;/D&gt;&lt;D xsi:type="xsd:double"&gt;40.42&lt;/D&gt;&lt;D xsi:type="xsd:double"&gt;40.39&lt;/D&gt;&lt;D xsi:type="xsd:double"&gt;41.24&lt;/D&gt;&lt;D xsi:type="xsd:double"&gt;40.99&lt;/D&gt;&lt;D xsi:type="xsd:double"&gt;44.29&lt;/D&gt;&lt;D xsi:type="xsd:double"&gt;44.65&lt;/D&gt;&lt;D xsi:type="xsd:double"&gt;44.53&lt;/D&gt;&lt;D xsi:type="xsd:double"&gt;43.71&lt;/D&gt;&lt;D xsi:type="xsd:double"&gt;43.45&lt;/D&gt;&lt;D xsi:type="xsd:double"&gt;42.22&lt;/D&gt;&lt;D xsi:type="xsd:double"&gt;42.38&lt;/D&gt;&lt;D xsi:type="xsd:double"&gt;41.04&lt;/D&gt;&lt;D xsi:type="xsd:double"&gt;40.71&lt;/D&gt;&lt;D xsi:type="xsd:double"&gt;40.12&lt;/D&gt;&lt;D xsi:type="xsd:double"&gt;39.69&lt;/D&gt;&lt;D xsi:type="xsd:double"&gt;39.77&lt;/D&gt;&lt;D xsi:type="xsd:double"&gt;39.53&lt;/D&gt;&lt;D xsi:type="xsd:double"&gt;39.69&lt;/D&gt;&lt;D xsi:type="xsd:double"&gt;36.38&lt;/D&gt;&lt;/FQL&gt;&lt;FQL&gt;&lt;Q&gt;=FDS(IDENTIFIER,"P_LOCAL_INDEX")^REBASE(FG_PRICE_ICS(,,,LOCAL,SPLIT,0,,,5), 41.26, 0/0/-1) : 0/0/-1,NOW,D&lt;/Q&gt;&lt;R&gt;0&lt;/R&gt;&lt;C&gt;0&lt;/C&gt;&lt;/FQL&gt;&lt;FQL&gt;&lt;Q&gt;DAL-US^FF_ADDRESS&lt;/Q&gt;&lt;R&gt;1&lt;/R&gt;&lt;C&gt;1&lt;/C&gt;&lt;D xsi:type="xsd:string"&gt;International Airport&lt;/D&gt;&lt;/FQL&gt;&lt;FQL&gt;&lt;Q&gt;DAL-US^FF_ADDRESS2&lt;/Q&gt;&lt;R&gt;1&lt;/R&gt;&lt;C&gt;1&lt;/C&gt;&lt;D xsi:type="xsd:string"&gt;Hartsfield-Jackson Atlanta&lt;/D&gt;&lt;/FQL&gt;&lt;FQL&gt;&lt;Q&gt;DAL-US^FF_CITY&lt;/Q&gt;&lt;R&gt;1&lt;/R&gt;&lt;C&gt;1&lt;/C&gt;&lt;D xsi:type="xsd:string"&gt;Atlanta&lt;/D&gt;&lt;/FQL&gt;&lt;FQL&gt;&lt;Q&gt;DAL-US^FF_POSTAL&lt;/Q&gt;&lt;R&gt;1&lt;/R&gt;&lt;C&gt;1&lt;/C&gt;&lt;D xsi:type="xsd:string"&gt;30354&lt;/D&gt;&lt;/FQL&gt;&lt;FQL&gt;&lt;Q&gt;DAL-US^FF_STATE_PROVINCE&lt;/Q&gt;&lt;R&gt;1&lt;/R&gt;&lt;C&gt;1&lt;/C&gt;&lt;D xsi:type="xsd:string"&gt;Georgia&lt;/D&gt;&lt;/FQL&gt;&lt;FQL&gt;&lt;Q&gt;DAL-US^FF_COUNTRY&lt;/Q&gt;&lt;R&gt;1&lt;/R&gt;&lt;C&gt;1&lt;/C&gt;&lt;D xsi:type="xsd:string"&gt;UNITED STATES&lt;/D&gt;&lt;/FQL&gt;&lt;FQL&gt;&lt;Q&gt;DAL-US^FF_EMP_NUM(ANN,0)&lt;/Q&gt;&lt;R&gt;1&lt;/R&gt;&lt;C&gt;1&lt;/C&gt;&lt;D xsi:type="xsd:double"&gt;74000&lt;/D&gt;&lt;/FQL&gt;&lt;FQL&gt;&lt;Q&gt;DAL-US^OS_TOP_HLDR_ULTPRNT(1,0D,,MTD,,F,SEC)[0]&lt;/Q&gt;&lt;R&gt;1&lt;/R&gt;&lt;C&gt;1&lt;/C&gt;&lt;D xsi:type="xsd:string"&gt;The Vanguard Group, Inc.&lt;/D&gt;&lt;/FQL&gt;&lt;FQL&gt;&lt;Q&gt;DAL-US^FF_BUS_DESC_EXT&lt;/Q&gt;&lt;R&gt;1&lt;/R&gt;&lt;C&gt;1&lt;/C&gt;&lt;D xsi:type="xsd:string"&gt;Delta Air Lines, Inc. engages in the provision of scheduled air transportation for passengers and cargo. It operates through the Airline and Refinery segments. The Airline segment provides scheduled air transportation for passengers and cargo. The Refinery segment consists of jet fuel and non-jet fuel products. The company was founded by Collett Everman Woolman in 1928 and is headquartered in Atlanta, GA.&lt;/D&gt;&lt;/FQL&gt;&lt;FQL&gt;&lt;Q&gt;DAL-US^FG_EXCHANGE&lt;/Q&gt;&lt;R&gt;1&lt;/R&gt;&lt;C&gt;1&lt;/C&gt;&lt;D xsi:type="xsd:string"&gt;NYSE&lt;/D&gt;&lt;/FQL&gt;&lt;FQL&gt;&lt;Q&gt;DAL-US^FF_PBK(ANN_R,0)&lt;/Q&gt;&lt;R&gt;1&lt;/R&gt;&lt;C&gt;1&lt;/C&gt;&lt;D xsi:type="xsd:double"&gt;16.7283770853268&lt;/D&gt;&lt;/FQL&gt;&lt;FQL&gt;&lt;Q&gt;DAL-US^FF_ROE(ANN_R,0)&lt;/Q&gt;&lt;R&gt;1&lt;/R&gt;&lt;C&gt;1&lt;/C&gt;&lt;D xsi:type="xsd:double"&gt;-146.637461520246&lt;/D&gt;&lt;/FQL&gt;&lt;FQL&gt;&lt;Q&gt;0D665Z-E^P_SYMBOL&lt;/Q&gt;&lt;R&gt;1&lt;/R&gt;&lt;C&gt;1&lt;/C&gt;&lt;D xsi:type="xsd:string"&gt;AAL-US&lt;/D&gt;&lt;/FQL&gt;&lt;FQL&gt;&lt;Q&gt;000BNX-E^P_SYMBOL&lt;/Q&gt;&lt;R&gt;1&lt;/R&gt;&lt;C&gt;1&lt;/C&gt;&lt;D xsi:type="xsd:string"&gt;ALK-US&lt;/D&gt;&lt;/FQL&gt;&lt;FQL&gt;&lt;Q&gt;05HXPW-E^P_SYMBOL&lt;/Q&gt;&lt;R&gt;1&lt;/R&gt;&lt;C&gt;1&lt;/C&gt;&lt;D xsi:type="xsd:string"&gt;2610-TW&lt;/D&gt;&lt;/FQL&gt;&lt;FQL&gt;&lt;Q&gt;05ZC3N-E^P_SYMBOL&lt;/Q&gt;&lt;R&gt;1&lt;/R&gt;&lt;C&gt;1&lt;/C&gt;&lt;D xsi:type="xsd:string"&gt;ELAL-IL&lt;/D&gt;&lt;/FQL&gt;&lt;FQL&gt;&lt;Q&gt;002GBQ-E^P_SYMBOL&lt;/Q&gt;&lt;R&gt;1&lt;/R&gt;&lt;C&gt;1&lt;/C&gt;&lt;D xsi:type="xsd:string"&gt;1055-HK&lt;/D&gt;&lt;/FQL&gt;&lt;FQL&gt;&lt;Q&gt;0BNHW2-E^P_SYMBOL&lt;/Q&gt;&lt;R&gt;1&lt;/R&gt;&lt;C&gt;1&lt;/C&gt;&lt;D xsi:type="xsd:string"&gt;PFAVH-CO&lt;/D&gt;&lt;/FQL&gt;&lt;FQL&gt;&lt;Q&gt;05HWHC-E^P_SYMBOL&lt;/Q&gt;&lt;R&gt;1&lt;/R&gt;&lt;C&gt;1&lt;/C&gt;&lt;D xsi:type="xsd:string"&gt;QAN-AU&lt;/D&gt;&lt;/FQL&gt;&lt;FQL&gt;&lt;Q&gt;000PVJ-E^P_SYMBOL&lt;/Q&gt;&lt;R&gt;1&lt;/R&gt;&lt;C&gt;1&lt;/C&gt;&lt;D xsi:type="xsd:string"&gt;MESA-US&lt;/D&gt;&lt;/FQL&gt;&lt;FQL&gt;&lt;Q&gt;07BR90-E^P_SYMBOL&lt;/Q&gt;&lt;R&gt;1&lt;/R&gt;&lt;C&gt;1&lt;/C&gt;&lt;D xsi:type="xsd:string"&gt;VOLARA-MX&lt;/D&gt;&lt;/FQL&gt;&lt;FQL&gt;&lt;Q&gt;09CV3L-E^P_SYMBOL&lt;/Q&gt;&lt;R&gt;1&lt;/R&gt;&lt;C&gt;1&lt;/C&gt;&lt;D xsi:type="xsd:string"&gt;AEROMEX-MX&lt;/D&gt;&lt;/FQL&gt;&lt;FQL&gt;&lt;Q&gt;003XC8-E^P_SYMBOL&lt;/Q&gt;&lt;R&gt;1&lt;/R&gt;&lt;C&gt;1&lt;/C&gt;&lt;D xsi:type="xsd:string"&gt;HA-US&lt;/D&gt;&lt;/FQL&gt;&lt;FQL&gt;&lt;Q&gt;09ZKC0-E^P_SYMBOL&lt;/Q&gt;&lt;R&gt;1&lt;/R&gt;&lt;C&gt;1&lt;/C&gt;&lt;D xsi:type="xsd:string"&gt;LTM-CL&lt;/D&gt;&lt;/FQL&gt;&lt;FQL&gt;&lt;Q&gt;000WJH-E^P_SYMBOL&lt;/Q&gt;&lt;R&gt;1&lt;/R&gt;&lt;C&gt;1&lt;/C&gt;&lt;D xsi:type="xsd:string"&gt;SKYW-US&lt;/D&gt;&lt;/FQL&gt;&lt;FQL&gt;&lt;Q&gt;0019S0-E^P_SYMBOL&lt;/Q&gt;&lt;R&gt;1&lt;/R&gt;&lt;C&gt;1&lt;/C&gt;&lt;D xsi:type="xsd:string"&gt;AC-CA&lt;/D&gt;&lt;/FQL&gt;&lt;FQL&gt;&lt;Q&gt;0BCBB7-E^P_SYMBOL&lt;/Q&gt;&lt;R&gt;1&lt;/R&gt;&lt;C&gt;1&lt;/C&gt;&lt;D xsi:type="xsd:string"&gt;CHR-CA&lt;/D&gt;&lt;/FQL&gt;&lt;FQL&gt;&lt;Q&gt;06D8MS-E^P_SYMBOL&lt;/Q&gt;&lt;R&gt;1&lt;/R&gt;&lt;C&gt;1&lt;/C&gt;&lt;D xsi:type="xsd:string"&gt;CPA-US&lt;/D&gt;&lt;/FQL&gt;&lt;FQL&gt;&lt;Q&gt;06NMC4-E^P_SYMBOL&lt;/Q&gt;&lt;R&gt;1&lt;/R&gt;&lt;C&gt;1&lt;/C&gt;&lt;D xsi:type="xsd:string"&gt;PAL-PH&lt;/D&gt;&lt;/FQL&gt;&lt;FQL&gt;&lt;Q&gt;003Q64-E^P_SYMBOL&lt;/Q&gt;&lt;R&gt;1&lt;/R&gt;&lt;C&gt;1&lt;/C&gt;&lt;D xsi:type="xsd:string"&gt;TRZ-CA&lt;/D&gt;&lt;/FQL&gt;&lt;FQL&gt;&lt;Q&gt;000WR8-E^P_SYMBOL&lt;/Q&gt;&lt;R&gt;1&lt;/R&gt;&lt;C&gt;1&lt;/C&gt;&lt;D xsi:type="xsd:string"&gt;LUV-US&lt;/D&gt;&lt;/FQL&gt;&lt;FQL&gt;&lt;Q&gt;0088V7-E^P_SYMBOL&lt;/Q&gt;&lt;R&gt;1&lt;/R&gt;&lt;C&gt;1&lt;/C&gt;&lt;D xsi:type="xsd:string"&gt;ALGT-US&lt;/D&gt;&lt;/FQL&gt;&lt;FQL&gt;&lt;Q&gt;0GYD8Q-E^P_SYMBOL&lt;/Q&gt;&lt;R&gt;1&lt;/R&gt;&lt;C&gt;1&lt;/C&gt;&lt;D xsi:type="xsd:string"&gt;ULCC-US&lt;/D&gt;&lt;/FQL&gt;&lt;FQL&gt;&lt;Q&gt;05RYHC-E^P_SYMBOL&lt;/Q&gt;&lt;R&gt;1&lt;/R&gt;&lt;C&gt;1&lt;/C&gt;&lt;D xsi:type="xsd:string"&gt;SAVE-US&lt;/D&gt;&lt;/FQL&gt;&lt;FQL&gt;&lt;Q&gt;AC-CA^FF_PROV_RISK(ANN_R,12/2020,,,,,B)&lt;/Q&gt;&lt;R&gt;1&lt;/R&gt;&lt;C&gt;1&lt;/C&gt;&lt;D xsi:type="xsd:double"&gt;4.055&lt;/D&gt;&lt;/FQL&gt;&lt;FQL&gt;&lt;Q&gt;AC-CA^FF_PROV_RISK(ANN_R,12/2019,,,,,B)&lt;/Q&gt;&lt;R&gt;1&lt;/R&gt;&lt;C&gt;1&lt;/C&gt;&lt;D xsi:type="xsd:double"&gt;4.17&lt;/D&gt;&lt;/FQL&gt;&lt;FQL&gt;&lt;Q&gt;AC-CA^FF_PROV_RISK(ANN_R,12/2018,,,,,B)&lt;/Q&gt;&lt;R&gt;1&lt;/R&gt;&lt;C&gt;1&lt;/C&gt;&lt;D xsi:type="xsd:double"&gt;3.854&lt;/D&gt;&lt;/FQL&gt;&lt;FQL&gt;&lt;Q&gt;AC-CA^FF_PROV_RISK(ANN_R,12/2017,,,,,B)&lt;/Q&gt;&lt;R&gt;1&lt;/R&gt;&lt;C&gt;1&lt;/C&gt;&lt;D xsi:type="xsd:double"&gt;3.595&lt;/D&gt;&lt;/FQL&gt;&lt;FQL&gt;&lt;Q&gt;AC-CA^FF_PROV_RISK(ANN_R,12/2016,,,,,B)&lt;/Q&gt;&lt;R&gt;1&lt;/R&gt;&lt;C&gt;1&lt;/C&gt;&lt;D xsi:type="xsd:double"&gt;3.383&lt;/D&gt;&lt;/FQL&gt;&lt;FQL&gt;&lt;Q&gt;AC-CA^FF_PROV_RISK(ANN_R,12/2015,,,,,B)&lt;/Q&gt;&lt;R&gt;1&lt;/R&gt;&lt;C&gt;1&lt;/C&gt;&lt;D xsi:type="xsd:double"&gt;3.158&lt;/D&gt;&lt;/FQL&gt;&lt;FQL&gt;&lt;Q&gt;AC-CA^FF_PROV_RISK(ANN_R,12/2014,,,,,B)&lt;/Q&gt;&lt;R&gt;1&lt;/R&gt;&lt;C&gt;1&lt;/C&gt;&lt;D xsi:type="xsd:double"&gt;3.199&lt;/D&gt;&lt;/FQL&gt;&lt;FQL&gt;&lt;Q&gt;AC-CA^FF_PROV_RISK(ANN_R,12/2013,,,,,B)&lt;/Q&gt;&lt;R&gt;1&lt;/R&gt;&lt;C&gt;1&lt;/C&gt;&lt;D xsi:type="xsd:double"&gt;3.343&lt;/D&gt;&lt;/FQL&gt;&lt;FQL&gt;&lt;Q&gt;AC-CA^FF_PROV_RISK(ANN_R,12/2012,,,,,B)&lt;/Q&gt;&lt;R&gt;1&lt;/R&gt;&lt;C&gt;1&lt;/C&gt;&lt;D xsi:type="xsd:double"&gt;5.257&lt;/D&gt;&lt;/FQL&gt;&lt;FQL&gt;&lt;Q&gt;AC-CA^FF_PROV_RISK(ANN_R,12/2011,,,,,B)&lt;/Q&gt;&lt;R&gt;1&lt;/R&gt;&lt;C&gt;1&lt;/C&gt;&lt;D xsi:type="xsd:double"&gt;6.111&lt;/D&gt;&lt;/FQL&gt;&lt;FQL&gt;&lt;Q&gt;AC-CA^FF_DFD_TAX_CR(ANN_R,12/2020,,,,,B,"FILING_DATE=1")&lt;/Q&gt;&lt;R&gt;1&lt;/R&gt;&lt;C&gt;1&lt;/C&gt;&lt;D xsi:type="xsd:double"&gt;0.073&lt;/D&gt;&lt;/FQL&gt;&lt;FQL&gt;&lt;Q&gt;AC-CA^FF_DFD_TAX_CR(ANN_R,12/2019,,,,,B,"FILING_DATE=1")&lt;/Q&gt;&lt;R&gt;1&lt;/R&gt;&lt;C&gt;1&lt;/C&gt;&lt;D xsi:type="xsd:double"&gt;0.052&lt;/D&gt;&lt;/FQL&gt;&lt;FQL&gt;&lt;Q&gt;AC-CA^FF_DFD_TAX_CR(ANN_R,12/2018,,,,,B,"FILING_DATE=1")&lt;/Q&gt;&lt;R&gt;1&lt;/R&gt;&lt;C&gt;1&lt;/C&gt;&lt;D xsi:type="xsd:double"&gt;0.049&lt;/D&gt;&lt;/FQL&gt;&lt;FQL&gt;&lt;Q&gt;AC-CA^FF_DFD_TAX_CR(ANN_R,12/2017,,,,,B,"FILING_DATE=1")&lt;/Q&gt;&lt;R&gt;1&lt;/R&gt;&lt;C&gt;1&lt;/C&gt;&lt;D xsi:type="xsd:double"&gt;0.049&lt;/D&gt;&lt;/FQL&gt;&lt;FQL&gt;&lt;Q&gt;AC-CA^FF_DFD_TAX_CR(ANN_R,12/2016,,,,,B,"FILING_DATE=1")&lt;/Q&gt;&lt;R&gt;0&lt;/R&gt;&lt;C&gt;0&lt;/C&gt;&lt;/FQL&gt;&lt;FQL&gt;&lt;Q&gt;AC-CA^FF_DFD_TAX_CR(ANN_R,12/2015,,,,,B,"FILING_DATE=1")&lt;/Q&gt;&lt;R&gt;1&lt;/R&gt;&lt;C&gt;1&lt;/C&gt;&lt;D xsi:type="xsd:double"&gt;0.049&lt;/D&gt;&lt;/FQL&gt;&lt;FQL&gt;&lt;Q&gt;AC-CA^FF_DFD_TAX_CR(ANN_R,12/2014,,,,,B,"FILING_DATE=1")&lt;/Q&gt;&lt;R&gt;0&lt;/R&gt;&lt;C&gt;0&lt;/C&gt;&lt;/FQL&gt;&lt;FQL&gt;&lt;Q&gt;AC-CA^FF_DFD_TAX_CR(ANN_R,12/2013,,,,,B,"FILING_DATE=1")&lt;/Q&gt;&lt;R&gt;0&lt;/R&gt;&lt;C&gt;0&lt;/C&gt;&lt;/FQL&gt;&lt;FQL&gt;&lt;Q&gt;AC-CA^FF_DFD_TAX_CR(ANN_R,12/2012,,,,,B,"FILING_DATE=1")&lt;/Q&gt;&lt;R&gt;1&lt;/R&gt;&lt;C&gt;1&lt;/C&gt;&lt;D xsi:type="xsd:double"&gt;0.048&lt;/D&gt;&lt;/FQL&gt;&lt;FQL&gt;&lt;Q&gt;AC-CA^FF_DFD_TAX_CR(ANN_R,12/2011,,,,,B,"FILING_DATE=1")&lt;/Q&gt;&lt;R&gt;1&lt;/R&gt;&lt;C&gt;1&lt;/C&gt;&lt;D xsi:type="xsd:double"&gt;0.048&lt;/D&gt;&lt;/FQL&gt;&lt;FQL&gt;&lt;Q&gt;AC-CA^FF_LIABS_OTH(ANN_R,12/2020,,,,,B,"FILING_DATE=1")&lt;/Q&gt;&lt;R&gt;1&lt;/R&gt;&lt;C&gt;1&lt;/C&gt;&lt;D xsi:type="xsd:double"&gt;3.317&lt;/D&gt;&lt;/FQL&gt;&lt;FQL&gt;&lt;Q&gt;AC-CA^FF_LIABS_OTH(ANN_R,12/2019,,,,,B,"FILING_DATE=1")&lt;/Q&gt;&lt;R&gt;1&lt;/R&gt;&lt;C&gt;1&lt;/C&gt;&lt;D xsi:type="xsd:double"&gt;0.151&lt;/D&gt;&lt;/FQL&gt;&lt;FQL&gt;&lt;Q&gt;AC-CA^FF_LIABS_OTH(ANN_R,12/2018,,,,,B,"FILING_DATE=1")&lt;/Q&gt;&lt;R&gt;1&lt;/R&gt;&lt;C&gt;1&lt;/C&gt;&lt;D xsi:type="xsd:double"&gt;0.167&lt;/D&gt;&lt;/FQL&gt;&lt;FQL&gt;&lt;Q&gt;AC-CA^FF_LIABS_OTH(ANN_R,12/2017,,,,,B,"FILING_DATE=1")&lt;/Q&gt;&lt;R&gt;1&lt;/R&gt;&lt;C&gt;1&lt;/C&gt;&lt;D xsi:type="xsd:double"&gt;0.128&lt;/D&gt;&lt;/FQL&gt;&lt;FQL&gt;&lt;Q&gt;AC-CA^FF_LIABS_OTH(ANN_R,12/2016,,,,,B,"FILING_DATE=1")&lt;/Q&gt;&lt;R&gt;1&lt;/R&gt;&lt;C&gt;1&lt;/C&gt;&lt;D xsi:type="xsd:double"&gt;0.23&lt;/D&gt;&lt;/FQL&gt;&lt;FQL&gt;&lt;Q&gt;AC-CA^FF_LIABS_OTH(ANN_R,12/2015,,,,,B,"FILING_DATE=1")&lt;/Q&gt;&lt;R&gt;1&lt;/R&gt;&lt;C&gt;1&lt;/C&gt;&lt;D xsi:type="xsd:double"&gt;0.264&lt;/D&gt;&lt;/FQL&gt;&lt;FQL&gt;&lt;Q&gt;AC-CA^FF_LIABS_OTH(ANN_R,12/2014,,,,,B,"FILING_DATE=1")&lt;/Q&gt;&lt;R&gt;1&lt;/R&gt;&lt;C&gt;1&lt;/C&gt;&lt;D xsi:type="xsd:double"&gt;0.375&lt;/D&gt;&lt;/FQL&gt;&lt;FQL&gt;&lt;Q&gt;AC-CA^FF_LIABS_OTH(ANN_R,12/2013,,,,,B,"FILING_DA</t>
        </r>
      </text>
    </comment>
    <comment ref="A22" authorId="0" shapeId="0" xr:uid="{4B6D671F-0C01-44F8-8FCD-57E07F14D17E}">
      <text>
        <r>
          <rPr>
            <b/>
            <sz val="9"/>
            <color indexed="81"/>
            <rFont val="Tahoma"/>
            <charset val="1"/>
          </rPr>
          <t>TE=1")&lt;/Q&gt;&lt;R&gt;1&lt;/R&gt;&lt;C&gt;1&lt;/C&gt;&lt;D xsi:type="xsd:double"&gt;0.419&lt;/D&gt;&lt;/FQL&gt;&lt;FQL&gt;&lt;Q&gt;AC-CA^FF_LIABS_OTH(ANN_R,12/2012,,,,,B,"FILING_DATE=1")&lt;/Q&gt;&lt;R&gt;1&lt;/R&gt;&lt;C&gt;1&lt;/C&gt;&lt;D xsi:type="xsd:double"&gt;0.421&lt;/D&gt;&lt;/FQL&gt;&lt;FQL&gt;&lt;Q&gt;AC-CA^FF_LIABS_OTH(ANN_R,12/2011,,,,,B,"FILING_DATE=1")&lt;/Q&gt;&lt;R&gt;1&lt;/R&gt;&lt;C&gt;1&lt;/C&gt;&lt;D xsi:type="xsd:double"&gt;0.42&lt;/D&gt;&lt;/FQL&gt;&lt;FQL&gt;&lt;Q&gt;AC-CA^FF_LIABS(ANN_R,12/2020,,,,,B)&lt;/Q&gt;&lt;R&gt;1&lt;/R&gt;&lt;C&gt;1&lt;/C&gt;&lt;D xsi:type="xsd:double"&gt;27.198&lt;/D&gt;&lt;/FQL&gt;&lt;FQL&gt;&lt;Q&gt;AC-CA^FF_LIABS(ANN_R,12/2019,,,,,B)&lt;/Q&gt;&lt;R&gt;1&lt;/R&gt;&lt;C&gt;1&lt;/C&gt;&lt;D xsi:type="xsd:double"&gt;23.359&lt;/D&gt;&lt;/FQL&gt;&lt;FQL&gt;&lt;Q&gt;AC-CA^FF_LIABS(ANN_R,12/2018,,,,,B)&lt;/Q&gt;&lt;R&gt;1&lt;/R&gt;&lt;C&gt;1&lt;/C&gt;&lt;D xsi:type="xsd:double"&gt;18.606&lt;/D&gt;&lt;/FQL&gt;&lt;FQL&gt;&lt;Q&gt;AC-CA^FF_LIABS(ANN_R,12/2017,,,,,B)&lt;/Q&gt;&lt;R&gt;1&lt;/R&gt;&lt;C&gt;1&lt;/C&gt;&lt;D xsi:type="xsd:double"&gt;14.36&lt;/D&gt;&lt;/FQL&gt;&lt;FQL&gt;&lt;Q&gt;AC-CA^FF_LIABS(ANN_R,12/2016,,,,,B)&lt;/Q&gt;&lt;R&gt;1&lt;/R&gt;&lt;C&gt;1&lt;/C&gt;&lt;D xsi:type="xsd:double"&gt;13.895&lt;/D&gt;&lt;/FQL&gt;&lt;FQL&gt;&lt;Q&gt;AC-CA^FF_LIABS(ANN_R,12/2015,,,,,B)&lt;/Q&gt;&lt;R&gt;1&lt;/R&gt;&lt;C&gt;1&lt;/C&gt;&lt;D xsi:type="xsd:double"&gt;13.087&lt;/D&gt;&lt;/FQL&gt;&lt;FQL&gt;&lt;Q&gt;AC-CA^FF_LIABS(ANN_R,12/2014,,,,,B)&lt;/Q&gt;&lt;R&gt;1&lt;/R&gt;&lt;C&gt;1&lt;/C&gt;&lt;D xsi:type="xsd:double"&gt;11.781&lt;/D&gt;&lt;/FQL&gt;&lt;FQL&gt;&lt;Q&gt;AC-CA^FF_LIABS(ANN_R,12/2013,,,,,B)&lt;/Q&gt;&lt;R&gt;1&lt;/R&gt;&lt;C&gt;1&lt;/C&gt;&lt;D xsi:type="xsd:double"&gt;10.867&lt;/D&gt;&lt;/FQL&gt;&lt;FQL&gt;&lt;Q&gt;AC-CA^FF_LIABS(ANN_R,12/2012,,,,,B)&lt;/Q&gt;&lt;R&gt;1&lt;/R&gt;&lt;C&gt;1&lt;/C&gt;&lt;D xsi:type="xsd:double"&gt;12.194&lt;/D&gt;&lt;/FQL&gt;&lt;FQL&gt;&lt;Q&gt;AC-CA^FF_LIABS(ANN_R,12/2011,,,,,B)&lt;/Q&gt;&lt;R&gt;1&lt;/R&gt;&lt;C&gt;1&lt;/C&gt;&lt;D xsi:type="xsd:double"&gt;13.639&lt;/D&gt;&lt;/FQL&gt;&lt;FQL&gt;&lt;Q&gt;AC-CA^FF_DEBT_ST(ANN_R,12/2020,,,,,B,"FILING_DATE=1")&lt;/Q&gt;&lt;R&gt;1&lt;/R&gt;&lt;C&gt;1&lt;/C&gt;&lt;D xsi:type="xsd:double"&gt;1.218&lt;/D&gt;&lt;/FQL&gt;&lt;FQL&gt;&lt;Q&gt;AC-CA^FF_DEBT_ST(ANN_R,12/2019,,,,,B,"FILING_DATE=1")&lt;/Q&gt;&lt;R&gt;1&lt;/R&gt;&lt;C&gt;1&lt;/C&gt;&lt;D xsi:type="xsd:double"&gt;1.048&lt;/D&gt;&lt;/FQL&gt;&lt;FQL&gt;&lt;Q&gt;AC-CA^FF_DEBT_ST(ANN_R,12/2018,,,,,B,"FILING_DATE=1")&lt;/Q&gt;&lt;R&gt;1&lt;/R&gt;&lt;C&gt;1&lt;/C&gt;&lt;D xsi:type="xsd:double"&gt;0.671&lt;/D&gt;&lt;/FQL&gt;&lt;FQL&gt;&lt;Q&gt;AC-CA^FF_DEBT_ST(ANN_R,12/2017,,,,,B,"FILING_DATE=1")&lt;/Q&gt;&lt;R&gt;1&lt;/R&gt;&lt;C&gt;1&lt;/C&gt;&lt;D xsi:type="xsd:double"&gt;0.707&lt;/D&gt;&lt;/FQL&gt;&lt;FQL&gt;&lt;Q&gt;AC-CA^FF_DEBT_ST(ANN_R,12/2016,,,,,B,"FILING_DATE=1")&lt;/Q&gt;&lt;R&gt;1&lt;/R&gt;&lt;C&gt;1&lt;/C&gt;&lt;D xsi:type="xsd:double"&gt;0.524&lt;/D&gt;&lt;/FQL&gt;&lt;FQL&gt;&lt;Q&gt;AC-CA^FF_DEBT_ST(ANN_R,12/2015,,,,,B,"FILING_DATE=1")&lt;/Q&gt;&lt;R&gt;1&lt;/R&gt;&lt;C&gt;1&lt;/C&gt;&lt;D xsi:type="xsd:double"&gt;0.484&lt;/D&gt;&lt;/FQL&gt;&lt;FQL&gt;&lt;Q&gt;AC-CA^FF_DEBT_ST(ANN_R,12/2014,,,,,B,"FILING_DATE=1")&lt;/Q&gt;&lt;R&gt;1&lt;/R&gt;&lt;C&gt;1&lt;/C&gt;&lt;D xsi:type="xsd:double"&gt;0.374&lt;/D&gt;&lt;/FQL&gt;&lt;FQL&gt;&lt;Q&gt;AC-CA^FF_DEBT_ST(ANN_R,12/2013,,,,,B,"FILING_DATE=1")&lt;/Q&gt;&lt;R&gt;1&lt;/R&gt;&lt;C&gt;1&lt;/C&gt;&lt;D xsi:type="xsd:double"&gt;0.499&lt;/D&gt;&lt;/FQL&gt;&lt;FQL&gt;&lt;Q&gt;AC-CA^FF_DEBT_ST(ANN_R,12/2012,,,,,B,"FILING_DATE=1")&lt;/Q&gt;&lt;R&gt;1&lt;/R&gt;&lt;C&gt;1&lt;/C&gt;&lt;D xsi:type="xsd:double"&gt;0.424&lt;/D&gt;&lt;/FQL&gt;&lt;FQL&gt;&lt;Q&gt;AC-CA^FF_DEBT_ST(ANN_R,12/2011,,,,,B,"FILING_DATE=1")&lt;/Q&gt;&lt;R&gt;1&lt;/R&gt;&lt;C&gt;1&lt;/C&gt;&lt;D xsi:type="xsd:double"&gt;0.567&lt;/D&gt;&lt;/FQL&gt;&lt;FQL&gt;&lt;Q&gt;AC-CA^FF_PAY_ACCT(ANN_R,12/2020,,,,,B,"FILING_DATE=1")&lt;/Q&gt;&lt;R&gt;1&lt;/R&gt;&lt;C&gt;1&lt;/C&gt;&lt;D xsi:type="xsd:double"&gt;2.456&lt;/D&gt;&lt;/FQL&gt;&lt;FQL&gt;&lt;Q&gt;AC-CA^FF_PAY_ACCT(ANN_R,12/2019,,,,,B,"FILING_DATE=1")&lt;/Q&gt;&lt;R&gt;1&lt;/R&gt;&lt;C&gt;1&lt;/C&gt;&lt;D xsi:type="xsd:double"&gt;1.911&lt;/D&gt;&lt;/FQL&gt;&lt;FQL&gt;&lt;Q&gt;AC-CA^FF_PAY_ACCT(ANN_R,12/2018,,,,,B,"FILING_DATE=1")&lt;/Q&gt;&lt;R&gt;1&lt;/R&gt;&lt;C&gt;1&lt;/C&gt;&lt;D xsi:type="xsd:double"&gt;1.815&lt;/D&gt;&lt;/FQL&gt;&lt;FQL&gt;&lt;Q&gt;AC-CA^FF_PAY_ACCT(ANN_R,12/2017,,,,,B,"FILING_DATE=1")&lt;/Q&gt;&lt;R&gt;1&lt;/R&gt;&lt;C&gt;1&lt;/C&gt;&lt;D xsi:type="xsd:double"&gt;1.471&lt;/D&gt;&lt;/FQL&gt;&lt;FQL&gt;&lt;Q&gt;AC-CA^FF_PAY_ACCT(ANN_R,12/2016,,,,,B,"FILING_DATE=1")&lt;/Q&gt;&lt;R&gt;1&lt;/R&gt;&lt;C&gt;1&lt;/C&gt;&lt;D xsi:type="xsd:double"&gt;1.468&lt;/D&gt;&lt;/FQL&gt;&lt;FQL&gt;&lt;Q&gt;AC-CA^FF_PAY_ACCT(ANN_R,12/2015,,,,,B,"FILING_DATE=1")&lt;/Q&gt;&lt;R&gt;1&lt;/R&gt;&lt;C&gt;1&lt;/C&gt;&lt;D xsi:type="xsd:double"&gt;1.23&lt;/D&gt;&lt;/FQL&gt;&lt;FQL&gt;&lt;Q&gt;AC-CA^FF_PAY_ACCT(ANN_R,12/2014,,,,,B,"FILING_DATE=1")&lt;/Q&gt;&lt;R&gt;1&lt;/R&gt;&lt;C&gt;1&lt;/C&gt;&lt;D xsi:type="xsd:double"&gt;1.1&lt;/D&gt;&lt;/FQL&gt;&lt;FQL&gt;&lt;Q&gt;AC-CA^FF_PAY_ACCT(ANN_R,12/2013,,,,,B,"FILING_DATE=1")&lt;/Q&gt;&lt;R&gt;1&lt;/R&gt;&lt;C&gt;1&lt;/C&gt;&lt;D xsi:type="xsd:double"&gt;1.1&lt;/D&gt;&lt;/FQL&gt;&lt;FQL&gt;&lt;Q&gt;AC-CA^FF_PAY_ACCT(ANN_R,12/2012,,,,,B,"FILING_DATE=1")&lt;/Q&gt;&lt;R&gt;1&lt;/R&gt;&lt;C&gt;1&lt;/C&gt;&lt;D xsi:type="xsd:double"&gt;1.103&lt;/D&gt;&lt;/FQL&gt;&lt;FQL&gt;&lt;Q&gt;AC-CA^FF_PAY_ACCT(ANN_R,12/2011,,,,,B,"FILING_DATE=1")&lt;/Q&gt;&lt;R&gt;1&lt;/R&gt;&lt;C&gt;1&lt;/C&gt;&lt;D xsi:type="xsd:double"&gt;1.112&lt;/D&gt;&lt;/FQL&gt;&lt;FQL&gt;&lt;Q&gt;AC-CA^FF_INC_PAY_TAX(ANN_R,12/2020,,,,,B,"FILING_DATE=1")&lt;/Q&gt;&lt;R&gt;1&lt;/R&gt;&lt;C&gt;1&lt;/C&gt;&lt;D xsi:type="xsd:string"&gt;#NUM&lt;/D&gt;&lt;/FQL&gt;&lt;FQL&gt;&lt;Q&gt;AC-CA^FF_INC_PAY_TAX(ANN_R,12/2019,,,,,B,"FILING_DATE=1")&lt;/Q&gt;&lt;R&gt;1&lt;/R&gt;&lt;C&gt;1&lt;/C&gt;&lt;D xsi:type="xsd:string"&gt;#NUM&lt;/D&gt;&lt;/FQL&gt;&lt;FQL&gt;&lt;Q&gt;AC-CA^FF_INC_PAY_TAX(ANN_R,12/2018,,,,,B,"FILING_DATE=1")&lt;/Q&gt;&lt;R&gt;1&lt;/R&gt;&lt;C&gt;1&lt;/C&gt;&lt;D xsi:type="xsd:string"&gt;#NUM&lt;/D&gt;&lt;/FQL&gt;&lt;FQL&gt;&lt;Q&gt;AC-CA^FF_INC_PAY_TAX(ANN_R,12/2017,,,,,B,"FILING_DATE=1")&lt;/Q&gt;&lt;R&gt;1&lt;/R&gt;&lt;C&gt;1&lt;/C&gt;&lt;D xsi:type="xsd:string"&gt;#NUM&lt;/D&gt;&lt;/FQL&gt;&lt;FQL&gt;&lt;Q&gt;AC-CA^FF_INC_PAY_TAX(ANN_R,12/2016,,,,,B,"FILING_DATE=1")&lt;/Q&gt;&lt;R&gt;1&lt;/R&gt;&lt;C&gt;1&lt;/C&gt;&lt;D xsi:type="xsd:string"&gt;#NUM&lt;/D&gt;&lt;/FQL&gt;&lt;FQL&gt;&lt;Q&gt;AC-CA^FF_INC_PAY_TAX(ANN_R,12/2015,,,,,B,"FILING_DATE=1")&lt;/Q&gt;&lt;R&gt;1&lt;/R&gt;&lt;C&gt;1&lt;/C&gt;&lt;D xsi:type="xsd:string"&gt;#NUM&lt;/D&gt;&lt;/FQL&gt;&lt;FQL&gt;&lt;Q&gt;AC-CA^FF_INC_PAY_TAX(ANN_R,12/2014,,,,,B,"FILING_DATE=1")&lt;/Q&gt;&lt;R&gt;1&lt;/R&gt;&lt;C&gt;1&lt;/C&gt;&lt;D xsi:type="xsd:string"&gt;#NUM&lt;/D&gt;&lt;/FQL&gt;&lt;FQL&gt;&lt;Q&gt;AC-CA^FF_INC_PAY_TAX(ANN_R,12/2013,,,,,B,"FILING_DATE=1")&lt;/Q&gt;&lt;R&gt;1&lt;/R&gt;&lt;C&gt;1&lt;/C&gt;&lt;D xsi:type="xsd:string"&gt;#NUM&lt;/D&gt;&lt;/FQL&gt;&lt;FQL&gt;&lt;Q&gt;AC-CA^FF_INC_PAY_TAX(ANN_R,12/2012,,,,,B,"FILING_DATE=1")&lt;/Q&gt;&lt;R&gt;1&lt;/R&gt;&lt;C&gt;1&lt;/C&gt;&lt;D xsi:type="xsd:string"&gt;#NUM&lt;/D&gt;&lt;/FQL&gt;&lt;FQL&gt;&lt;Q&gt;AC-CA^FF_INC_PAY_TAX(ANN_R,12/2011,,,,,B,"FILING_DATE=1")&lt;/Q&gt;&lt;R&gt;1&lt;/R&gt;&lt;C&gt;1&lt;/C&gt;&lt;D xsi:type="xsd:string"&gt;#NUM&lt;/D&gt;&lt;/FQL&gt;&lt;FQL&gt;&lt;Q&gt;AC-CA^FF_LIABS_CURR_OTH(ANN_R,12/2020,,,,,B,"FILING_DATE=1")&lt;/Q&gt;&lt;R&gt;1&lt;/R&gt;&lt;C&gt;1&lt;/C&gt;&lt;D xsi:type="xsd:double"&gt;4.101&lt;/D&gt;&lt;/FQL&gt;&lt;FQL&gt;&lt;Q&gt;AC-CA^FF_LIABS_CURR_OTH(ANN_R,12/2019,,,,,B,"FILING_DATE=1")&lt;/Q&gt;&lt;R&gt;1&lt;/R&gt;&lt;C&gt;1&lt;/C&gt;&lt;D xsi:type="xsd:double"&gt;2.717&lt;/D&gt;&lt;/FQL&gt;&lt;FQL&gt;&lt;Q&gt;AC-CA^FF_LIABS_CURR_OTH(ANN_R,12/2018,,,,,B,"FILING_DATE=1")&lt;/Q&gt;&lt;R&gt;1&lt;/R&gt;&lt;C&gt;1&lt;/C&gt;&lt;D xsi:type="xsd:double"&gt;2.615&lt;/D&gt;&lt;/FQL&gt;&lt;FQL&gt;&lt;Q&gt;AC-CA^FF_LIABS_CURR_OTH(ANN_R,12/2017,,,,,B,"FILING_DATE=1")&lt;/Q&gt;&lt;R&gt;1&lt;/R&gt;&lt;C&gt;1&lt;/C&gt;&lt;D xsi:type="xsd:double"&gt;2.246&lt;/D&gt;&lt;/FQL&gt;&lt;FQL&gt;&lt;Q&gt;AC-CA^FF_LIABS_CURR_OTH(ANN_R,12/2016,,,,,B,"FILING_DATE=1")&lt;/Q&gt;&lt;R&gt;1&lt;/R&gt;&lt;C&gt;1&lt;/C&gt;&lt;D xsi:type="xsd:double"&gt;1.837&lt;/D&gt;&lt;/FQL&gt;&lt;FQL&gt;&lt;Q&gt;AC-CA^FF_LIABS_CURR_OTH(ANN_R,12/2015,,,,,B,"FILING_DATE=1")&lt;/Q&gt;&lt;R&gt;1&lt;/R&gt;&lt;C&gt;1&lt;/C&gt;&lt;D xsi:type="xsd:double"&gt;1.823&lt;/D&gt;&lt;/FQL&gt;&lt;FQL&gt;&lt;Q&gt;AC-CA^FF_LIABS_CURR_OTH(ANN_R,12/2014,,,,,B,"FILING_DATE=1")&lt;/Q&gt;&lt;R&gt;1&lt;/R&gt;&lt;C&gt;1&lt;/C&gt;&lt;D xsi:type="xsd:double"&gt;1.716&lt;/D&gt;&lt;/FQL&gt;&lt;FQL&gt;&lt;Q&gt;AC-CA^FF_LIABS_CURR_OTH(ANN_R,12/2013,,,,,B,"FILING_DATE=1")&lt;/Q&gt;&lt;R&gt;1&lt;/R&gt;&lt;C&gt;1&lt;/C&gt;&lt;D xsi:type="xsd:double"&gt;1.66&lt;/D&gt;&lt;/FQL&gt;&lt;FQL&gt;&lt;Q&gt;AC-CA^FF_LIABS_CURR_OTH(ANN_R,12/2012,,,,,B,"FILING_DATE=1")&lt;/Q&gt;&lt;R&gt;1&lt;/R&gt;&lt;C&gt;1&lt;/C&gt;&lt;D xsi:type="xsd:double"&gt;1.626&lt;/D&gt;&lt;/FQL&gt;&lt;FQL&gt;&lt;Q&gt;AC-CA^FF_LIABS_CURR_OTH(ANN_R,12/2011,,,,,B,"FILING_DATE=1")&lt;/Q&gt;&lt;R&gt;1&lt;/R&gt;&lt;C&gt;1&lt;/C&gt;&lt;D xsi:type="xsd:double"&gt;1.445&lt;/D&gt;&lt;/FQL&gt;&lt;FQL&gt;&lt;Q&gt;AC-CA^FF_LIABS_CURR(ANN_R,12/2020,,,,,B,"FILING_DATE=1")&lt;/Q&gt;&lt;R&gt;1&lt;/R&gt;&lt;C&gt;1&lt;/C&gt;&lt;D xsi:type="xsd:double"&gt;7.775&lt;/D&gt;&lt;/FQL&gt;&lt;FQL&gt;&lt;Q&gt;AC-CA^FF_LIABS_CURR(ANN_R,12/2019,,,,,B,"FILING_DATE=1")&lt;/Q&gt;&lt;R&gt;1&lt;/R&gt;&lt;C&gt;1&lt;/C&gt;&lt;D xsi:type="xsd:double"&gt;5.676&lt;/D&gt;&lt;/FQL&gt;&lt;FQL&gt;&lt;Q&gt;AC-CA^FF_LIABS_CURR(ANN_R,12/2018,,,,,B,"FILING_DATE=1")&lt;/Q&gt;&lt;R&gt;1&lt;/R&gt;&lt;C&gt;1&lt;/C&gt;&lt;D xsi:type="xsd:double"&gt;5.101&lt;/D&gt;&lt;/FQL&gt;&lt;FQL&gt;&lt;Q&gt;AC-CA^FF_LIABS_CURR(ANN_R,12/2017,,,,,B,"FILING_DATE=1")&lt;/Q&gt;&lt;R&gt;1&lt;/R&gt;&lt;C&gt;1&lt;/C&gt;&lt;D xsi:type="xsd:double"&gt;4.424&lt;/D&gt;&lt;/FQL&gt;&lt;FQL&gt;&lt;Q&gt;AC-CA^FF_LIABS_CURR(ANN_R,12/2016,,,,,B,"FILING_DATE=1")&lt;/Q&gt;&lt;R&gt;1&lt;/R&gt;&lt;C&gt;1&lt;/C&gt;&lt;D xsi:type="xsd:double"&gt;3.829&lt;/D&gt;&lt;/FQL&gt;&lt;FQL&gt;&lt;Q&gt;AC-CA^FF_LIABS_CURR(ANN_R,12/2015,,,,,B,"FILING_DATE=1")&lt;/Q&gt;&lt;R&gt;1&lt;/R&gt;&lt;C&gt;1&lt;/C&gt;&lt;D xsi:type="xsd:double"&gt;3.537&lt;/D&gt;&lt;/FQL&gt;&lt;FQL&gt;&lt;Q&gt;AC-CA^FF_LIABS_CURR(ANN_R,12/2014,,,,,B,"FILING_DATE=1")&lt;/Q&gt;&lt;R&gt;1&lt;/R&gt;&lt;C&gt;1&lt;/C&gt;&lt;D xsi:type="xsd:double"&gt;3.19&lt;/D&gt;&lt;/FQL&gt;&lt;FQL&gt;&lt;Q&gt;AC-CA^FF_LIABS_CURR(ANN_R,12/2013,,,,,B,"FILING_DATE=1")&lt;/Q&gt;&lt;R&gt;1&lt;/R&gt;&lt;C&gt;1&lt;/C&gt;&lt;D xsi:type="xsd:double"&gt;3.259&lt;/D&gt;&lt;/FQL&gt;&lt;FQL&gt;&lt;Q&gt;AC-CA^FF_LIABS_CURR(ANN_R,12/2012,,,,,B,"FILING_DATE=1")&lt;/Q&gt;&lt;R&gt;1&lt;/R&gt;&lt;C&gt;1&lt;/C&gt;&lt;D xsi:type="xsd:double"&gt;3.153&lt;/D&gt;&lt;/FQL&gt;&lt;FQL&gt;&lt;Q&gt;AC-CA^FF_LIABS_CURR(ANN_R,12/2011,,,,,B,"FILING_DATE=1")&lt;/Q&gt;&lt;R&gt;1&lt;/R&gt;&lt;C&gt;1&lt;/C&gt;&lt;D xsi:type="xsd:double"&gt;3.124&lt;/D&gt;&lt;/FQL&gt;&lt;FQL&gt;&lt;Q&gt;AC-CA^FF_DEBT_LT(ANN_R,12/2020,,,,,B,"FILING_DATE=1")&lt;/Q&gt;&lt;R&gt;1&lt;/R&gt;&lt;C&gt;1&lt;/C&gt;&lt;D xsi:type="xsd:double"&gt;8.024&lt;/D&gt;&lt;/FQL&gt;&lt;FQL&gt;&lt;Q&gt;AC-CA^FF_DEBT_LT(ANN_R,12/2019,,,,,B,"FILING_DATE=1")&lt;/Q&gt;&lt;R&gt;1&lt;/R&gt;&lt;C&gt;1&lt;/C&gt;&lt;D xsi:type="xsd:double"&gt;8.873&lt;/D&gt;&lt;/FQL&gt;&lt;FQL&gt;&lt;Q&gt;AC-CA^FF_DEBT_LT(ANN_R,12/2018,,,,,B,"FILING_DATE=1")&lt;/Q&gt;&lt;R&gt;1&lt;/R&gt;&lt;C&gt;1&lt;/C&gt;&lt;D xsi:type="xsd:double"&gt;5.448&lt;/D&gt;&lt;/FQL&gt;&lt;FQL&gt;&lt;Q&gt;AC-CA^FF_DEBT_LT(ANN_R,12/2017,,,,,B,"FILING_DATE=1")&lt;/Q&gt;&lt;R&gt;1&lt;/R&gt;&lt;C&gt;1&lt;/C&gt;&lt;D xsi:type="xsd:double"&gt;5.911&lt;/D&gt;&lt;/FQL&gt;&lt;FQL&gt;&lt;Q&gt;AC-CA^FF_DEBT_LT(ANN_R,12/2016,,,,,B,"FILING_DATE=1")&lt;/Q&gt;&lt;R&gt;1&lt;/R&gt;&lt;C&gt;1&lt;/C&gt;&lt;D xsi:type="xsd:double"&gt;5.87&lt;/D&gt;&lt;/FQL&gt;&lt;FQL&gt;&lt;Q&gt;AC-CA^FF_DEBT_LT(ANN_R,12/2015,,,,,B,"FILING_DATE=1")&lt;/Q&gt;&lt;R&gt;1&lt;/R&gt;&lt;C&gt;1&lt;/C&gt;&lt;D xsi:type="xsd:double"&gt;4.732&lt;/D&gt;&lt;/FQL&gt;&lt;FQL&gt;&lt;Q&gt;AC-CA^FF_DEBT_LT(ANN_R,12/2014,,,,,B,"FILING_DATE=1")&lt;/Q&gt;&lt;R&gt;1&lt;/R&gt;&lt;C&gt;1&lt;/C&gt;&lt;D xsi:type="xsd:double"&gt;3.959&lt;/D&gt;&lt;/FQL&gt;&lt;FQL&gt;&lt;Q&gt;AC-CA^FF_DEBT_LT(ANN_R,12/2013,,,,,B,"FILING_DATE=1")&lt;/Q&gt;&lt;R&gt;1&lt;/R&gt;&lt;C&gt;1&lt;/C&gt;&lt;D xsi:type="xsd:double"&gt;3.259&lt;/D&gt;&lt;/FQL&gt;&lt;FQL&gt;&lt;Q&gt;AC-CA^FF_DEBT_LT(ANN_R,12/2012,,,,,B,"FILING_DATE=1")&lt;/Q&gt;&lt;R&gt;1&lt;/R&gt;&lt;C&gt;1&lt;/C&gt;&lt;D xsi:type="xsd:double"&gt;3.906&lt;/D&gt;&lt;/FQL&gt;&lt;FQL&gt;&lt;Q&gt;AC-CA^FF_DEBT_LT(ANN_R,12/2011,,,,,B,"FILING_DATE=1")&lt;/Q&gt;&lt;R&gt;1&lt;/R&gt;&lt;C&gt;1&lt;/C&gt;&lt;D xsi:type="xsd:double"&gt;4.028&lt;/D&gt;&lt;/FQL&gt;&lt;FQL&gt;&lt;Q&gt;AC-CA^FF_CASH_ST(ANN_R,12/2020,,,,,B,"FILING_DATE=1")&lt;/Q&gt;&lt;R&gt;1&lt;/R&gt;&lt;C&gt;1&lt;/C&gt;&lt;D xsi:type="xsd:double"&gt;6.046&lt;/D&gt;&lt;/FQL&gt;&lt;FQL&gt;&lt;Q&gt;AC-CA^FF_CASH_ST(ANN_R,12/2019,,,,,B,"FILING_DATE=1")&lt;/Q&gt;&lt;R&gt;1&lt;/R&gt;&lt;C&gt;1&lt;/C&gt;&lt;D xsi:type="xsd:double"&gt;4.868&lt;/D&gt;&lt;/FQL&gt;&lt;FQL&gt;&lt;Q&gt;AC-CA^FF_CASH_ST(ANN_R,12/2018,,,,,B,"FILING_DATE=1")&lt;/Q&gt;&lt;R&gt;1&lt;/R&gt;&lt;C&gt;1&lt;/C&gt;&lt;D xsi:type="xsd:double"&gt;3.952&lt;/D&gt;&lt;/FQL&gt;&lt;FQL&gt;&lt;Q&gt;AC-CA^FF_CASH_ST(ANN_R,12/2017,,,,,B,"FILING_DATE=1")&lt;/Q&gt;&lt;R&gt;1&lt;/R&gt;&lt;C&gt;1&lt;/C&gt;&lt;D xsi:type="xsd:double"&gt;3.105&lt;/D&gt;&lt;/FQL&gt;&lt;FQL&gt;&lt;Q&gt;AC-CA^FF_CASH_ST(ANN_R,12/2016,,,,,B,"FILING_DATE=1")&lt;/Q&gt;&lt;R&gt;1&lt;/R&gt;&lt;C&gt;1&lt;/C&gt;&lt;D xsi:type="xsd:double"&gt;2.763&lt;/D&gt;&lt;/FQL&gt;&lt;FQL&gt;&lt;Q&gt;AC-CA^FF_CASH_ST(ANN_R,12/2015,,,,,B,"FILING_DATE=1")&lt;/Q&gt;&lt;R&gt;1&lt;/R&gt;&lt;C&gt;1&lt;/C&gt;&lt;D xsi:type="xsd:double"&gt;2.364&lt;/D&gt;&lt;/FQL&gt;&lt;FQL&gt;&lt;Q&gt;AC-CA^FF_CASH_ST(ANN_R,12/2014,,,,,B,"FILING_DATE=1")&lt;/Q&gt;&lt;R&gt;1&lt;/R&gt;&lt;C&gt;1&lt;/C&gt;&lt;D xsi:type="xsd:double"&gt;2.3&lt;/D&gt;&lt;/FQL&gt;&lt;FQL&gt;&lt;Q&gt;AC-CA^FF_CASH_ST(ANN_R,12/2013,,,,,B,"FILING_DATE=1")&lt;/Q&gt;&lt;R&gt;1&lt;/R&gt;&lt;C&gt;1&lt;/C&gt;&lt;D xsi:type="xsd:double"&gt;2.069&lt;/D&gt;&lt;/FQL&gt;&lt;FQL&gt;&lt;Q&gt;AC-CA^FF_CASH_ST(ANN_R,12/2012,,,,,B,"FILING_DATE=1")&lt;/Q&gt;&lt;R&gt;1&lt;/R&gt;&lt;C&gt;1&lt;/C&gt;&lt;D xsi:type="xsd:double"&gt;2.186&lt;/D&gt;&lt;/FQL&gt;&lt;FQL&gt;&lt;Q&gt;AC-CA^FF_CASH_ST(ANN_R,12/2011,,,,,B,"FILING_DATE=1")&lt;/Q&gt;&lt;R&gt;1&lt;/R&gt;&lt;C&gt;1&lt;/C&gt;&lt;D xsi:type="xsd:double"&gt;2.272&lt;/D&gt;&lt;/FQL&gt;&lt;FQL&gt;&lt;Q&gt;AC-CA^FF_RECEIV_ST(ANN_R,12/2020,,,,,B)&lt;/Q&gt;&lt;R&gt;1&lt;/R&gt;&lt;C&gt;1&lt;/C&gt;&lt;D xsi:type="xsd:double"&gt;0.644&lt;/D&gt;&lt;/FQL&gt;&lt;FQL&gt;&lt;Q&gt;AC-CA^FF_RECEIV_ST(ANN_R,12/2019,,,,,B)&lt;/Q&gt;&lt;R&gt;1&lt;/R&gt;&lt;C&gt;1&lt;/C&gt;&lt;D xsi:type="xsd:double"&gt;0.926&lt;/D&gt;&lt;/FQL&gt;&lt;FQL&gt;&lt;Q&gt;AC-CA^FF_RECEIV_ST(ANN_R,12/2018,,,,,B)&lt;/Q&gt;&lt;R&gt;1&lt;/R&gt;&lt;C&gt;1&lt;/C&gt;&lt;D xsi:type="xsd:double"&gt;0.796&lt;/D&gt;&lt;/FQL&gt;&lt;FQL&gt;&lt;Q&gt;AC-CA^FF_RECEIV_ST(ANN_R,12/2017,,,,,B)&lt;/Q&gt;&lt;R&gt;1&lt;/R&gt;&lt;C&gt;1&lt;/C&gt;&lt;D xsi:type="xsd:double"&gt;0.814&lt;/D&gt;&lt;/FQL&gt;&lt;FQL&gt;&lt;Q&gt;AC-CA^FF_RECEIV_ST(ANN_R,12/2016,,,,,B)&lt;/Q&gt;&lt;R&gt;1&lt;/R&gt;&lt;C&gt;1&lt;/C&gt;&lt;D xsi:type="xsd:double"&gt;0.707&lt;/D&gt;&lt;/FQL&gt;&lt;FQL&gt;&lt;Q&gt;AC-CA^FF_RECEIV_ST(ANN_R,12/2015,,,,,B)&lt;/Q&gt;&lt;R&gt;1&lt;/R&gt;&lt;C&gt;1&lt;/C&gt;&lt;D xsi:type="xsd:double"&gt;0.797&lt;/D&gt;&lt;/FQL&gt;&lt;FQL&gt;&lt;Q&gt;AC-CA^FF_RECEIV_ST(ANN_R,12/2014,,,,,B)&lt;/Q&gt;&lt;R&gt;1&lt;/R&gt;&lt;C&gt;1&lt;/C&gt;&lt;D xsi:type="xsd:double"&gt;0.656&lt;/D&gt;&lt;/FQL&gt;&lt;FQL&gt;&lt;Q&gt;AC-CA^FF_RECEIV_ST(ANN_R,12/2013,,,,,B)&lt;/Q&gt;&lt;R&gt;1&lt;/R&gt;&lt;C&gt;1&lt;/C&gt;&lt;D xsi:type="xsd:double"&gt;0.589&lt;/D&gt;&lt;/FQL&gt;&lt;FQL&gt;&lt;Q&gt;AC-CA^FF_RECEIV_ST(ANN_R,12/2012,,,,,B)&lt;/Q&gt;&lt;R&gt;1&lt;/R&gt;&lt;C&gt;1&lt;/C&gt;&lt;D xsi:type="xsd:double"&gt;0.55&lt;/D&gt;&lt;/FQL&gt;&lt;FQL&gt;&lt;Q&gt;AC-CA^FF_RECEIV_ST(ANN_R,12/2011,,,,,B)&lt;/Q&gt;&lt;R&gt;1&lt;/R&gt;&lt;C&gt;1&lt;/C&gt;&lt;D xsi:type="xsd:double"&gt;0.712&lt;/D&gt;&lt;/FQL&gt;&lt;FQL&gt;&lt;Q&gt;AC-CA^FF_INVEN(ANN_R,12/2020,,,,,B)&lt;/Q&gt;&lt;R&gt;1&lt;/R&gt;&lt;C&gt;1&lt;/C&gt;&lt;D xsi:type="xsd:double"&gt;0.166&lt;/D&gt;&lt;/FQL&gt;&lt;FQL&gt;&lt;Q&gt;AC-CA^FF_INVEN(ANN_R,12/2019,,,,,B)&lt;/Q&gt;&lt;R&gt;1&lt;/R&gt;&lt;C&gt;1&lt;/C&gt;&lt;D xsi:type="xsd:double"&gt;0.212&lt;/D&gt;&lt;/FQL&gt;&lt;FQL&gt;&lt;Q&gt;AC-CA^FF_INVEN(ANN_R,12/2018,,,,,B)&lt;/Q&gt;&lt;R&gt;1&lt;/R&gt;&lt;C&gt;1&lt;/C&gt;&lt;D xsi:type="xsd:double"&gt;0.22&lt;/D&gt;&lt;/FQL&gt;&lt;FQL&gt;&lt;Q&gt;AC-CA^FF_INVEN(ANN_R,12/2017,,,,,B)&lt;/Q&gt;&lt;R&gt;1&lt;/R&gt;&lt;C&gt;1&lt;/C&gt;&lt;D xsi:type="xsd:double"&gt;0.206&lt;/D&gt;&lt;/FQL&gt;&lt;FQL&gt;&lt;Q&gt;AC-CA^FF_INVEN(ANN_R,12/2016,,,,,B)&lt;/Q&gt;&lt;R&gt;1&lt;/R&gt;&lt;C&gt;1&lt;/C&gt;&lt;D xsi:type="xsd:double"&gt;0.186&lt;/D&gt;&lt;/FQL&gt;&lt;FQL&gt;&lt;Q&gt;AC-CA^FF_INVEN(ANN_R,12/2015,,,,,B)&lt;/Q&gt;&lt;R&gt;1&lt;/R&gt;&lt;C&gt;1&lt;/C&gt;&lt;D xsi:type="xsd:double"&gt;0.182&lt;/D&gt;&lt;/FQL&gt;&lt;FQL&gt;&lt;Q&gt;AC-CA^FF_INVEN(ANN_R,12/2014,,,,,B)&lt;/Q&gt;&lt;R&gt;1&lt;/R&gt;&lt;C&gt;1&lt;/C&gt;&lt;D xsi:type="xsd:double"&gt;0.163&lt;/D&gt;&lt;/FQL&gt;&lt;FQL&gt;&lt;Q&gt;AC-CA^FF_INVEN(ANN_R,12/2013,,,,,B)&lt;/Q&gt;&lt;R&gt;1&lt;/R&gt;&lt;C&gt;1&lt;/C&gt;&lt;D xsi:type="xsd:double"&gt;0.136&lt;/D&gt;&lt;/FQL&gt;&lt;FQL&gt;&lt;Q&gt;AC-CA^FF_INVEN(ANN_R,12/2012,,,,,B)&lt;/Q&gt;&lt;R&gt;1&lt;/R&gt;&lt;C&gt;1&lt;/C&gt;&lt;D xsi:type="xsd:double"&gt;0.15&lt;/D&gt;&lt;/FQL&gt;&lt;FQL&gt;&lt;Q&gt;AC-CA^FF_INVEN(ANN_R,12/2011,,,,,B)&lt;/Q&gt;&lt;R&gt;1&lt;/R&gt;&lt;C&gt;1&lt;/C&gt;&lt;D xsi:type="xsd:double"&gt;0.185&lt;/D&gt;&lt;/FQL&gt;&lt;FQL&gt;&lt;Q&gt;AC-CA^FF_ASSETS_CURR_OTH(ANN_R,12/2020,,,,,B,"FILING_DATE=1")&lt;/Q&gt;&lt;R&gt;1&lt;/R&gt;&lt;C&gt;1&lt;/C&gt;&lt;D xsi:type="xsd:double"&gt;0.332&lt;/D&gt;&lt;/FQL&gt;&lt;FQL&gt;&lt;Q&gt;AC-CA^FF_ASSETS_CURR_OTH(ANN_R,12/2019,,,,,B,"FILING_DATE=1")&lt;/Q&gt;&lt;R&gt;1&lt;/R&gt;&lt;C&gt;1&lt;/C&gt;&lt;D xsi:type="xsd:double"&gt;0.417&lt;/D&gt;&lt;/FQL&gt;&lt;FQL&gt;&lt;Q&gt;AC-CA^FF_ASSETS_CURR_OTH(ANN_R,12/2018,,,,,B,"FILING_DATE=1")&lt;/Q&gt;&lt;R&gt;1&lt;/R&gt;&lt;C&gt;1&lt;/C&gt;&lt;D xsi:type="xsd:double"&gt;0.425&lt;/D&gt;&lt;/FQL&gt;&lt;FQL&gt;&lt;Q&gt;AC-CA^FF_ASSETS_CURR_OTH(ANN_R,12/2017,,,,,B,"FILING_DATE=1")&lt;/Q&gt;&lt;R&gt;1&lt;/R&gt;&lt;C&gt;1&lt;/C&gt;&lt;D xsi:type="xsd:double"&gt;0.349&lt;/D&gt;&lt;/FQL&gt;&lt;FQL&gt;&lt;Q&gt;AC-CA^FF_ASSETS_CURR_OTH(ANN_R,12/2016,,,,,B,"FILING_DATE=1")&lt;/Q&gt;&lt;R&gt;1&lt;/R&gt;&lt;C&gt;1&lt;/C&gt;&lt;D xsi:type="xsd:double"&gt;0.383&lt;/D&gt;&lt;/FQL&gt;&lt;FQL&gt;&lt;Q&gt;AC-CA^FF_ASSETS_CURR_OTH(ANN_R,12/2015,,,,,B,"FILING_DATE=1")&lt;/Q&gt;&lt;R&gt;1&lt;/R&gt;&lt;C&gt;1&lt;/C&gt;&lt;D xsi:type="xsd:double"&gt;0.295&lt;/D&gt;&lt;/FQL&gt;&lt;FQL&gt;&lt;Q&gt;AC-CA^FF_ASSETS_CURR_OTH(ANN_R,12/2014,,,,,B,"FILING_DATE=1")&lt;/Q&gt;&lt;R&gt;1&lt;/R&gt;&lt;C&gt;1&lt;/C&gt;&lt;D xsi:type="xsd:double"&gt;0.263&lt;/D&gt;&lt;/FQL&gt;&lt;FQL&gt;&lt;Q&gt;AC-CA^FF_ASSETS_CURR_OTH(ANN_R,12/2013,,,,,B,"FILING_DATE=1")&lt;/Q&gt;&lt;R&gt;1&lt;/R&gt;&lt;C&gt;1&lt;/C&gt;&lt;D xsi:type="xsd:double"&gt;0.232&lt;/D&gt;&lt;/FQL&gt;&lt;FQL&gt;&lt;Q&gt;AC-CA^FF_ASSETS_CURR_OTH(ANN_R,12/2012,,,,,B,"FILING_DATE=1")&lt;/Q&gt;&lt;R&gt;1&lt;/R&gt;&lt;C&gt;1&lt;/C&gt;&lt;D xsi:type="xsd:double"&gt;0.244&lt;/D&gt;&lt;/FQL&gt;&lt;FQL&gt;&lt;Q&gt;AC-CA^FF_ASSETS_CURR_OTH(ANN_R,12/2011,,,,,B,"FILING_DATE=1")&lt;/Q&gt;&lt;R&gt;1&lt;/R&gt;&lt;C&gt;1&lt;/C&gt;&lt;D xsi:type="xsd:double"&gt;0.279&lt;/D&gt;&lt;/FQL&gt;&lt;FQL&gt;&lt;Q&gt;AC-CA^FF_ASSETS_CURR(ANN_R,12/2020,,,,,B,"FILING_DATE=1")&lt;/Q&gt;&lt;R&gt;1&lt;/R&gt;&lt;C&gt;1&lt;/C&gt;&lt;D xsi:type="xsd:double"&gt;7.516&lt;/D&gt;&lt;/FQL&gt;&lt;FQL&gt;&lt;Q&gt;AC-CA^FF_ASSETS_CURR(ANN_R,12/2019,,,,,B,"FILING_DATE=1")&lt;/Q&gt;&lt;R&gt;1&lt;/R&gt;&lt;C&gt;1&lt;/C&gt;&lt;D xsi:type="xsd:double"&gt;6.301&lt;/D&gt;&lt;/FQL&gt;&lt;FQL&gt;&lt;Q&gt;AC-CA^FF_ASSETS_CURR(ANN_R,12/2018,,,,,B,"FILING_DATE=1")&lt;/Q&gt;&lt;R&gt;1&lt;/R&gt;&lt;C&gt;1&lt;/C&gt;&lt;D xsi:type="xsd:double"&gt;5.397&lt;/D&gt;&lt;/FQL&gt;&lt;FQL&gt;&lt;Q&gt;AC-CA^FF_ASSETS_CURR(ANN_R,12/2017,,,,,B,"FILING_DATE=1")&lt;/Q&gt;&lt;R&gt;1&lt;/R&gt;&lt;C&gt;1&lt;/C&gt;&lt;D xsi:type="xsd:double"&gt;4.347&lt;/D&gt;&lt;/FQL&gt;&lt;FQL&gt;&lt;Q&gt;AC-CA^FF_ASSETS_CURR(ANN_R,12/2016,,,,,B,"FILING_DATE=1")&lt;/Q&gt;&lt;R&gt;1&lt;/R&gt;&lt;C&gt;1&lt;/C&gt;&lt;D xsi:type="xsd:double"&gt;4.125&lt;/D&gt;&lt;/FQL&gt;&lt;FQL&gt;&lt;Q&gt;AC-CA^FF_ASSETS_CURR(ANN_R,12/2015,,,,,B,"FILING_DATE=1")&lt;/Q&gt;&lt;R&gt;1&lt;/R&gt;&lt;C&gt;1&lt;/C&gt;&lt;D xsi:type="xsd:double"&gt;3.478&lt;/D&gt;&lt;/FQL&gt;&lt;FQL&gt;&lt;Q&gt;AC-CA^FF_ASSETS_CURR(ANN_R,12/2014,,,,,B,"FILING_DATE=1")&lt;/Q&gt;&lt;R&gt;1&lt;/R&gt;&lt;C&gt;1&lt;/C&gt;&lt;D xsi:type="xsd:double"&gt;3.288&lt;/D&gt;&lt;/FQL&gt;&lt;FQL&gt;&lt;Q&gt;AC-CA^FF_ASSETS_CURR(ANN_R,12/2013,,,,,B,"FILING_DATE=1")&lt;/Q&gt;&lt;R&gt;1&lt;/R&gt;&lt;C&gt;1&lt;/C&gt;&lt;D xsi:type="xsd:double"&gt;3.001&lt;/D&gt;&lt;/FQL&gt;&lt;FQL&gt;&lt;Q&gt;AC-CA^FF_ASSETS_CURR(ANN_R,12/2012,,,,,B,"FILING_DATE=1")&lt;/Q&gt;&lt;R&gt;1&lt;/R&gt;&lt;C&gt;1&lt;/C&gt;&lt;D xsi:type="xsd:double"&gt;3.327&lt;/D&gt;&lt;/FQL&gt;&lt;FQL&gt;&lt;Q&gt;AC-CA^FF_ASSETS_CURR(ANN_R,12/2011,,,,,B,"FILING_DATE=1")&lt;/Q&gt;&lt;R&gt;1&lt;/R&gt;&lt;C&gt;1&lt;/C&gt;&lt;D xsi:type="xsd:double"&gt;3.347&lt;/D&gt;&lt;/FQL&gt;&lt;FQL&gt;&lt;Q&gt;AC-CA^FF_PPE_NET(ANN_R,12/2020,,,,,B,"FILING_DATE=1")&lt;/Q&gt;&lt;R&gt;1&lt;/R&gt;&lt;C&gt;1&lt;/C&gt;&lt;D xsi:type="xsd:double"&gt;12.834&lt;/D&gt;&lt;/FQL&gt;&lt;FQL&gt;&lt;Q&gt;AC-CA^FF_PPE_NET(ANN_R,12/2019,,,,,B,"FILING_DATE=1")&lt;/Q&gt;&lt;R&gt;1&lt;/R&gt;&lt;C&gt;1&lt;/C&gt;&lt;D xsi:type="xsd:double"&gt;12.183&lt;/D&gt;&lt;/FQL&gt;&lt;FQL&gt;&lt;Q&gt;AC-CA^FF_PPE_NET(ANN_R,12/2018,,,,,B,"FILING_DATE=1")&lt;/Q&gt;&lt;R&gt;1&lt;/R&gt;&lt;C&gt;1&lt;/C&gt;&lt;D xsi:type="xsd:double"&gt;9.252&lt;/D&gt;&lt;/FQL&gt;&lt;FQL&gt;&lt;Q&gt;AC-CA^FF_PPE_NET(ANN_R,12/2017,,,,,B,"FILING_DATE=1")&lt;/Q&gt;&lt;R&gt;1&lt;/R&gt;&lt;C&gt;1&lt;/C&gt;&lt;D xsi:type="xsd:double"&gt;8.52&lt;/D&gt;&lt;/FQL&gt;&lt;FQL&gt;&lt;Q&gt;AC-CA^FF_PPE_NET(ANN_R,12/2016,,,,,B,"FILING_DATE=1")&lt;/Q&gt;&lt;R&gt;1&lt;/R&gt;&lt;C&gt;1&lt;/C&gt;&lt;D xsi:type="xsd:double"&gt;7.03&lt;/D&gt;&lt;/FQL&gt;&lt;FQL&gt;&lt;Q&gt;AC-CA^FF_PPE_NET(ANN_R,12/2015,,,,,B,"FILING_DATE=1")&lt;/Q&gt;&lt;R&gt;1&lt;/R&gt;&lt;C&gt;1&lt;/C&gt;&lt;D xsi:type="xsd:double"&gt;5.998&lt;/D&gt;&lt;/FQL&gt;&lt;FQL&gt;&lt;Q&gt;AC-CA^FF_PPE_NET(ANN_R,12/2014,,,,,B,"FILING_DATE=1")&lt;/Q&gt;&lt;R&gt;1&lt;/R&gt;&lt;C&gt;1&lt;/C&gt;&lt;D xsi:type="xsd:double"&gt;5.073&lt;/D&gt;&lt;/FQL&gt;&lt;FQL&gt;&lt;Q&gt;AC-CA^FF_PPE_NET(ANN_R,12/2013,,,,,B,"FILING_DATE=1")&lt;/Q&gt;&lt;R&gt;1&lt;/R&gt;&lt;C&gt;1&lt;/C&gt;&lt;D xsi:type="xsd:double"&gt;4.711&lt;/D&gt;&lt;/FQL&gt;&lt;FQL&gt;&lt;Q&gt;AC-CA^FF_PPE_NET(ANN_R,12/2012,,,,,B,"FILING_DATE=1")&lt;/Q&gt;&lt;R&gt;1&lt;/R&gt;&lt;C&gt;1&lt;/C&gt;&lt;D xsi:type="xsd:double"&gt;5.088&lt;/D&gt;&lt;/FQL&gt;&lt;FQL&gt;&lt;Q&gt;AC-CA^FF_PPE_NET(ANN_R,12/2011,,,,,B,"FILING_DATE=1")&lt;/Q&gt;&lt;R&gt;1&lt;/R&gt;&lt;C&gt;1&lt;/C&gt;&lt;D xsi:type="xsd:double"&gt;5.629&lt;/D&gt;&lt;/FQL&gt;&lt;FQL&gt;&lt;Q&gt;AC-CA^FF_INVEST_ADV(ANN_R,12/2020,,,,,B)&lt;/Q&gt;&lt;R&gt;1&lt;/R&gt;&lt;C&gt;1&lt;/C&gt;&lt;D xsi:type="xsd:double"&gt;0.671&lt;/D&gt;&lt;/FQL&gt;&lt;FQL&gt;&lt;Q&gt;AC-CA^FF_INVEST_ADV(ANN_R,12/2019,,,,,B)&lt;/Q&gt;&lt;R&gt;1&lt;/R&gt;&lt;C&gt;1&lt;/C&gt;&lt;D xsi:type="xsd:double"&gt;0.767&lt;/D&gt;&lt;/FQL&gt;&lt;FQL&gt;&lt;Q&gt;AC-CA^FF_INVEST_ADV(ANN_R,12/2018,,,,,B)&lt;/Q&gt;&lt;R&gt;1&lt;/R&gt;&lt;C&gt;1&lt;/C&gt;&lt;D xsi:type="xsd:double"&gt;0.188&lt;/D&gt;&lt;/FQL&gt;&lt;FQL&gt;&lt;Q&gt;AC-CA^FF_INVEST_ADV(ANN_R,12/2017,,,,,B)&lt;/Q&gt;&lt;R&gt;1&lt;/R&gt;&lt;C&gt;1&lt;/C&gt;&lt;D xsi:type="xsd:double"&gt;0&lt;/D&gt;&lt;/FQL&gt;&lt;FQL&gt;&lt;Q&gt;AC-CA^FF_INVEST_ADV(ANN_R,12/2016,,,,,B)&lt;/Q&gt;&lt;R&gt;1&lt;/R&gt;&lt;C&gt;1&lt;/C&gt;&lt;D xsi:type="xsd:double"&gt;0&lt;/D&gt;&lt;/FQL&gt;&lt;FQL&gt;&lt;Q&gt;AC-CA^FF_INVEST_ADV(ANN_R,12/2015,,,,,B)&lt;/Q&gt;&lt;R&gt;1&lt;/R&gt;&lt;C&gt;1&lt;/C&gt;&lt;D xsi:type="xsd:double"&gt;0&lt;/D&gt;&lt;/FQL&gt;&lt;FQL&gt;&lt;Q&gt;AC-CA^FF_INVEST_ADV(ANN_R,12/2014,,,,,B)&lt;/Q&gt;&lt;R&gt;1&lt;/R&gt;&lt;C&gt;1&lt;/C&gt;&lt;D xsi:type="xsd:double"&gt;0.299&lt;/D&gt;&lt;/FQL&gt;&lt;FQL&gt;&lt;Q&gt;AC-CA^FF_INVEST_ADV(ANN_R,12/2013,,,,,B)&lt;/Q&gt;&lt;R&gt;1&lt;/R&gt;&lt;C&gt;1&lt;/C&gt;&lt;D xsi:type="xsd:double"&gt;0.274&lt;/D&gt;&lt;/FQL&gt;&lt;FQL&gt;&lt;Q&gt;AC-CA^FF_INVEST_ADV(ANN_R,12/2012,,,,,B)&lt;/Q&gt;&lt;R&gt;1&lt;/R&gt;&lt;C&gt;1&lt;/C&gt;&lt;D xsi:type="xsd:double"&gt;0.293&lt;/D&gt;&lt;/FQL&gt;&lt;FQL&gt;&lt;Q&gt;AC-CA^FF_INVEST_ADV(ANN_R,12/2011,,,,,B)&lt;/Q&gt;&lt;R&gt;1&lt;/R&gt;&lt;C&gt;1&lt;/C&gt;&lt;D xsi:type="xsd:double"&gt;0.257&lt;/D&gt;&lt;/FQL&gt;&lt;FQL&gt;&lt;Q&gt;AC-CA^FF_INTANG_ASSETS(ANN,12/2020,,,,,B)&lt;/Q&gt;&lt;R&gt;1&lt;/R&gt;&lt;C&gt;1&lt;/C&gt;&lt;D xsi:type="xsd:double"&gt;0&lt;/D&gt;&lt;/FQL&gt;&lt;FQL&gt;&lt;Q&gt;AC-CA^FF_INTANG_ASSETS(ANN,12/2019,,,,,B)&lt;/Q&gt;&lt;R&gt;1&lt;/R&gt;&lt;C&gt;1&lt;/C&gt;&lt;D xsi:type="xsd:double"&gt;0&lt;/D&gt;&lt;/FQL&gt;&lt;FQL&gt;&lt;Q&gt;AC-CA^FF_INTANG_ASSETS(ANN,12/2018,,,,,B)&lt;/Q&gt;&lt;R&gt;1&lt;/R&gt;&lt;C&gt;1&lt;/C&gt;&lt;D xsi:type="xsd:double"&gt;0&lt;/D&gt;&lt;/FQL&gt;&lt;FQL&gt;&lt;Q&gt;AC-CA^FF_INTANG_ASSETS(ANN,12/2017,,,,,B)&lt;/Q&gt;&lt;R&gt;1&lt;/R&gt;&lt;C&gt;1&lt;/C&gt;&lt;D xsi:type="xsd:double"&gt;0&lt;/D&gt;&lt;/FQL&gt;&lt;FQL&gt;&lt;Q&gt;AC-CA^FF_INTANG_ASSETS(ANN,12/2016,,,,,B)&lt;/Q&gt;&lt;R&gt;1&lt;/R&gt;&lt;C&gt;1&lt;/C&gt;&lt;D xsi:type="xsd:double"&gt;0&lt;/D&gt;&lt;/FQL&gt;&lt;FQL&gt;&lt;Q&gt;AC-CA^FF_INTANG_ASSETS(ANN,12/2015,,,,,B)&lt;/Q&gt;&lt;R&gt;1&lt;/R&gt;&lt;C&gt;1&lt;/C&gt;&lt;D xsi:type="xsd:double"&gt;0&lt;/D&gt;&lt;/FQL&gt;&lt;FQL&gt;&lt;Q&gt;AC-CA^FF_INTANG_ASSETS(ANN,12/2014,,,,,B)&lt;/Q&gt;&lt;R&gt;1&lt;/R&gt;&lt;C&gt;1&lt;/C&gt;&lt;D xsi:type="xsd:double"&gt;0&lt;/D&gt;&lt;/FQL&gt;&lt;FQL&gt;&lt;Q&gt;AC-CA^FF_INTANG_ASSETS(ANN,12/2013,,,,,B)&lt;/Q&gt;&lt;R&gt;1&lt;/R&gt;&lt;C&gt;1&lt;/C&gt;&lt;D xsi:type="xsd:double"&gt;0&lt;/D&gt;&lt;/FQL&gt;&lt;FQL&gt;&lt;Q&gt;AC-CA^FF_INTANG_ASSETS(ANN,12/2012,,,,,B)&lt;/Q&gt;&lt;R&gt;1&lt;/R&gt;&lt;C&gt;1&lt;/C&gt;&lt;D xsi:type="xsd:double"&gt;0&lt;/D&gt;&lt;/FQL&gt;&lt;FQL&gt;&lt;Q&gt;AC-CA^FF_INTANG_ASSETS(ANN,12/2011,,,,,B)&lt;/Q&gt;&lt;R&gt;1&lt;/R&gt;&lt;C&gt;1&lt;/C&gt;&lt;D xsi:type="xsd:double"&gt;0&lt;/D&gt;&lt;/FQL&gt;&lt;FQL&gt;&lt;Q&gt;AC-CA^FF_DFD_TAX_DB(ANN_R,12/2020,,,,,B)&lt;/Q&gt;&lt;R&gt;1&lt;/R&gt;&lt;C&gt;1&lt;/C&gt;&lt;D xsi:type="xsd:double"&gt;0.025&lt;/D&gt;&lt;/FQL&gt;&lt;FQL&gt;&lt;Q&gt;AC-CA^FF_DFD_TAX_DB(ANN_R,12/2019,,,,,B)&lt;/Q&gt;&lt;R&gt;1&lt;/R&gt;&lt;C&gt;1&lt;/C&gt;&lt;D xsi:type="xsd:double"&gt;0.134&lt;/D&gt;&lt;/FQL&gt;&lt;FQL&gt;&lt;Q&gt;AC-CA^FF_DFD_TAX_DB(ANN_R,12/2018,,,,,B)&lt;/Q&gt;&lt;R&gt;1&lt;/R&gt;&lt;C&gt;1&lt;/C&gt;&lt;D xsi:type="xsd:double"&gt;0.314&lt;/D&gt;&lt;/FQL&gt;&lt;FQL&gt;&lt;Q&gt;AC-CA^FF_DFD_TAX_DB(ANN_R,12/2017,,,,,B)&lt;/Q&gt;&lt;R&gt;1&lt;/R&gt;&lt;C&gt;1&lt;/C&gt;&lt;D xsi:type="xsd:double"&gt;0.456&lt;/D&gt;&lt;/FQL&gt;&lt;FQL&gt;&lt;Q&gt;AC-CA^FF_DFD_TAX_DB(ANN_R,12/2016,,,,,B)&lt;/Q&gt;&lt;R&gt;0&lt;/R&gt;&lt;C&gt;0&lt;/C&gt;&lt;/FQL&gt;&lt;FQL&gt;&lt;Q&gt;AC-CA^FF_DFD_TAX_DB(ANN_R,12/2015,,,,,B)&lt;/Q&gt;&lt;R&gt;0&lt;/R&gt;&lt;C&gt;0&lt;/C&gt;&lt;/FQL&gt;&lt;FQL&gt;&lt;Q&gt;AC-CA^FF_DFD_TAX_DB(ANN_R,12/2014,,,,,B)&lt;/Q&gt;&lt;R&gt;0&lt;/R&gt;&lt;C&gt;0&lt;/C&gt;&lt;/FQL&gt;&lt;FQL&gt;&lt;Q&gt;AC-CA^FF_DFD_TAX_DB(ANN_R,12/2013,,,,,B)&lt;/Q&gt;&lt;R&gt;0&lt;/R&gt;&lt;C&gt;0&lt;/C&gt;&lt;/FQL&gt;&lt;FQL&gt;&lt;Q&gt;AC-CA^FF_DFD_TAX_DB(ANN_R,12/2012,,,,,B)&lt;/Q&gt;&lt;R&gt;0&lt;/R&gt;&lt;C&gt;0&lt;/C&gt;&lt;/FQL&gt;&lt;FQL&gt;&lt;Q&gt;AC-CA^FF_DFD_TAX_DB(ANN_R,12/2011,,,,,B)&lt;/Q&gt;&lt;R&gt;0&lt;/R&gt;&lt;C&gt;0&lt;/C&gt;&lt;/FQL&gt;&lt;FQL&gt;&lt;Q&gt;AC-CA^FF_ASSETS(ANN_R,12/2020,,,,,B)&lt;/Q&gt;&lt;R&gt;1&lt;/R&gt;&lt;C&gt;1&lt;/C&gt;&lt;D xsi:type="xsd:double"&gt;28.913&lt;/D&gt;&lt;/FQL&gt;&lt;FQL&gt;&lt;Q&gt;AC-CA^FF_ASSETS(ANN_R,12/2019,,,,,B)&lt;/Q&gt;&lt;R&gt;1&lt;/R&gt;&lt;C&gt;1&lt;/C&gt;&lt;D xsi:type="xsd:double"&gt;27.759&lt;/D&gt;&lt;/FQL&gt;&lt;FQL&gt;&lt;Q&gt;AC-CA^FF_ASSETS(ANN_R,12/2018,,,,,B)&lt;/Q&gt;&lt;R&gt;1&lt;/R&gt;&lt;C&gt;1&lt;/C&gt;&lt;D xsi:type="xsd:double"&gt;21.883&lt;/D&gt;&lt;/FQL&gt;&lt;FQL&gt;&lt;Q&gt;AC-CA^FF_ASSETS(ANN_R,12/2017,,,,,B)&lt;/Q&gt;&lt;R&gt;1&lt;/R&gt;&lt;C&gt;1&lt;/C&gt;&lt;D xsi:type="xsd:double"&gt;17.782&lt;/D&gt;&lt;/FQL&gt;&lt;FQL&gt;&lt;Q&gt;AC-CA^FF_ASSETS(ANN_R,12/2016,,,,,B)&lt;/Q&gt;&lt;R&gt;1&lt;/R&gt;&lt;C&gt;1&lt;/C&gt;&lt;D xsi:type="xsd:double"&gt;15.114&lt;/D&gt;&lt;/FQL&gt;&lt;FQL&gt;&lt;Q&gt;AC-CA^FF_ASSETS(ANN_R,12/2015,,,,,B)&lt;/Q&gt;&lt;R&gt;1&lt;/R&gt;&lt;C&gt;1&lt;/C&gt;&lt;D xsi:type="xsd:double"&gt;13.127&lt;/D&gt;&lt;/FQL&gt;&lt;FQL&gt;&lt;Q&gt;AC-CA^FF_ASSETS(ANN_R,12/2014,,,,,B)&lt;/Q&gt;&lt;R&gt;1&lt;/R&gt;&lt;C&gt;1&lt;/C&gt;&lt;D xsi:type="xsd:double"&gt;10.648&lt;/D&gt;&lt;/FQL&gt;&lt;FQL&gt;&lt;Q&gt;AC-CA^FF_ASSETS(ANN_R,12/2013,,,,,B)&lt;/Q&gt;&lt;R&gt;1&lt;/R&gt;&lt;C&gt;1&lt;/C&gt;&lt;D xsi:type="xsd:double"&gt;9.47&lt;/D&gt;&lt;/FQL&gt;&lt;FQL&gt;&lt;Q&gt;AC-CA^FF_ASSETS(ANN_R,12/2012,,,,,B)&lt;/Q&gt;&lt;R&gt;1&lt;/R&gt;&lt;C&gt;1&lt;/C&gt;&lt;D xsi:type="xsd:double"&gt;8.847&lt;/D&gt;&lt;/FQL&gt;&lt;FQL&gt;&lt;Q&gt;AC-CA^FF_ASSETS(ANN_R,12/2011,,,,,B)&lt;/Q&gt;&lt;R&gt;1&lt;/R&gt;&lt;C&gt;1&lt;/C&gt;&lt;D xsi:type="xsd:double"&gt;9.633&lt;/D&gt;&lt;/FQL&gt;&lt;FQL&gt;&lt;Q&gt;AAL-US^FF_PROV_RISK(ANN_R,12/2020,,,,,B)&lt;/Q&gt;&lt;R&gt;1&lt;/R&gt;&lt;C&gt;1&lt;/C&gt;&lt;D xsi:type="xsd:double"&gt;7.069&lt;/D&gt;&lt;/FQL&gt;&lt;FQL&gt;&lt;Q&gt;AAL-US^FF_PROV_RISK(ANN_R,12/2019,,,,,B)&lt;/Q&gt;&lt;R&gt;1&lt;/R&gt;&lt;C&gt;1&lt;/C&gt;&lt;D xsi:type="xsd:double"&gt;6.052&lt;/D&gt;&lt;/FQL&gt;&lt;FQL&gt;&lt;Q&gt;AAL-US^FF_PROV_RISK(ANN_R,12/2018,,,,,B)&lt;/Q&gt;&lt;R&gt;1&lt;/R&gt;&lt;C&gt;1&lt;/C&gt;&lt;D xsi:type="xsd:double"&gt;6.907&lt;/D&gt;&lt;/FQL&gt;&lt;FQL&gt;&lt;Q&gt;AAL-US^FF_PROV_RISK(ANN_R,12/2017,,,,,B)&lt;/Q&gt;&lt;R&gt;1&lt;/R&gt;&lt;C&gt;1&lt;/C&gt;&lt;D xsi:type="xsd:double"&gt;7.497&lt;/D&gt;&lt;/FQL&gt;&lt;FQL&gt;&lt;Q&gt;AAL-US^FF_PROV_RISK(ANN_R,12/2016,,,,,B)&lt;/Q&gt;&lt;R&gt;1&lt;/R&gt;&lt;C&gt;1&lt;/C&gt;&lt;D xsi:type="xsd:double"&gt;7.842&lt;/D&gt;&lt;/FQL&gt;&lt;FQL&gt;&lt;Q&gt;AAL-US^FF_PROV_RISK(ANN_R,12/2015,,,,,B)&lt;/Q&gt;&lt;R&gt;1&lt;/R&gt;&lt;C&gt;1&lt;/C&gt;&lt;D xsi:type="xsd:double"&gt;7.45&lt;/D&gt;&lt;/FQL&gt;&lt;FQL&gt;&lt;Q&gt;AAL-US^FF_PROV_RISK(ANN_R,12/2014,,,,,B)&lt;/Q&gt;&lt;R&gt;1&lt;/R&gt;&lt;C&gt;1&lt;/C&gt;&lt;D xsi:type="xsd:double"&gt;7.562&lt;/D&gt;&lt;/FQL&gt;&lt;FQL&gt;&lt;Q&gt;AAL-US^FF_PROV_RISK(ANN_R,12/2013,,,,,B)&lt;/Q&gt;&lt;R&gt;1&lt;/R&gt;&lt;C&gt;1&lt;/C&gt;&lt;D xsi:type="xsd:double"&gt;5.828&lt;/D&gt;&lt;/FQL&gt;&lt;FQL&gt;&lt;Q&gt;AAL-US^FF_PROV_RISK(ANN_R,12/2012,,,,,B)&lt;/Q&gt;&lt;R&gt;1&lt;/R&gt;&lt;C&gt;1&lt;/C&gt;&lt;D xsi:type="xsd:double"&gt;6.78&lt;/D&gt;&lt;/FQL&gt;&lt;FQL&gt;&lt;Q&gt;AAL-US^FF_PROV_RISK(ANN_R,12/2011,,,,,B)&lt;/Q&gt;&lt;R&gt;1&lt;/R&gt;&lt;C&gt;1&lt;/C&gt;&lt;D xsi:type="xsd:double"&gt;9.204&lt;/D&gt;&lt;/FQL&gt;&lt;FQL&gt;&lt;Q&gt;AAL-US^FF_DFD_TAX_CR(ANN_R,12/2020,,,,,B,"FILING_DATE=1")&lt;/Q&gt;&lt;R&gt;0&lt;/R&gt;&lt;C&gt;0&lt;/C&gt;&lt;/FQL&gt;&lt;FQL&gt;&lt;Q&gt;AAL-US^FF_DFD_TAX_CR(ANN_R,12/2019,,,,,B,"FILING_DATE=1")&lt;/Q&gt;&lt;R&gt;0&lt;/R&gt;&lt;C&gt;0&lt;/C&gt;&lt;/FQL&gt;&lt;FQL&gt;&lt;Q&gt;AAL-US^FF_DFD_TAX_CR(ANN_R,12/2018,,,,,B,"FILING_DATE=1")&lt;/Q&gt;&lt;R&gt;0&lt;/R&gt;&lt;C&gt;0&lt;/C&gt;&lt;/FQL&gt;&lt;FQL&gt;&lt;Q&gt;AAL-US^FF_DFD_TAX_CR(ANN_R,12/2017,,,,,B,"FILING_DATE=1")&lt;/Q&gt;&lt;R&gt;0&lt;/R&gt;&lt;C&gt;0&lt;/C&gt;&lt;/FQL&gt;&lt;FQL&gt;&lt;Q&gt;AAL-US^FF_DFD_TAX_CR(ANN_R,12/2016,,,,,B,"FILING_DATE=1")&lt;/Q&gt;&lt;R&gt;0&lt;/R&gt;&lt;C&gt;0&lt;/C&gt;&lt;/FQL&gt;&lt;FQL&gt;&lt;Q&gt;AAL-US^FF_DFD_TAX_CR(ANN_R,12/2015,,,,,B,"FILING_DATE=1")&lt;/Q&gt;&lt;R&gt;0&lt;/R&gt;&lt;C&gt;0&lt;/C&gt;&lt;/FQL&gt;&lt;FQL&gt;&lt;Q&gt;AAL-US^FF_DFD_TAX_CR(ANN_R,12/2014,,,,,B,"FILING_DATE=1")&lt;/Q&gt;&lt;R&gt;0&lt;/R&gt;&lt;C&gt;0&lt;/C&gt;&lt;/FQL&gt;&lt;FQL&gt;&lt;Q&gt;AAL-US^FF_DFD_TAX_CR(ANN_R,12/2013,,,,,B,"FILING_DATE=1")&lt;/Q&gt;&lt;R&gt;0&lt;/R&gt;&lt;C&gt;0&lt;/C&gt;&lt;/FQL&gt;&lt;FQL&gt;&lt;Q&gt;AAL-US^FF_DFD_TAX_CR(ANN_R,12/2012,,,,,B,"FILING_DATE=1")&lt;/Q&gt;&lt;R&gt;0&lt;/R&gt;&lt;C&gt;0&lt;/C&gt;&lt;/FQL&gt;&lt;FQL&gt;&lt;Q&gt;AAL-US^FF_DFD_TAX_CR(ANN_R,12/2011,,,,,B,"FILING_DATE=1")&lt;/Q&gt;&lt;R&gt;0&lt;/R&gt;&lt;C&gt;0&lt;/C&gt;&lt;/FQL&gt;&lt;FQL&gt;&lt;Q&gt;AAL-US^FF_LIABS_OTH(ANN_R,12/2020,,,,,B,"FILING_DATE=1")&lt;/Q&gt;&lt;R&gt;1&lt;/R&gt;&lt;C&gt;1&lt;/C&gt;&lt;D xsi:type="xsd:double"&gt;6.875&lt;/D&gt;&lt;/FQL&gt;&lt;FQL&gt;&lt;Q&gt;AAL-US^FF_LIABS_OTH(ANN_R,12/2019,,,,,B,"FILING_DATE=1")&lt;/Q&gt;&lt;R&gt;1&lt;/R&gt;&lt;C&gt;1&lt;/C&gt;&lt;D xsi:type="xsd:double"&gt;6.665&lt;/D&gt;&lt;/FQL&gt;&lt;FQL&gt;&lt;Q&gt;AAL-US^FF_LIABS_OTH(ANN_R,12/2018,,,,,B,"FILING_DATE=1")&lt;/Q&gt;&lt;R&gt;1&lt;/R&gt;&lt;C&gt;1&lt;/C&gt;&lt;D xsi:type="xsd:double"&gt;8.199&lt;/D&gt;&lt;/FQL&gt;&lt;FQL&gt;&lt;Q&gt;AAL-US^FF_LIABS_OTH(ANN_R,12/2017,,,,,B,"FILING_DATE=1")&lt;/Q&gt;&lt;R&gt;1&lt;/R&gt;&lt;C&gt;1&lt;/C&gt;&lt;D xsi:type="xsd:double"&gt;3.286&lt;/D&gt;&lt;/FQL&gt;&lt;FQL&gt;&lt;Q&gt;AAL-US^FF_LIABS_OTH(ANN_R,12/2016,,,,,B,"FILING_DATE=1")&lt;/Q&gt;&lt;R&gt;1&lt;/R&gt;&lt;C&gt;1&lt;/C&gt;&lt;D xsi:type="xsd:double"&gt;3.395&lt;/D&gt;&lt;/FQL&gt;&lt;FQL&gt;&lt;Q&gt;AAL-US^FF_LIABS_OTH(ANN_R,12/2015,,,,,B,"FILING_DATE=1")&lt;/Q&gt;&lt;R&gt;1&lt;/R&gt;&lt;C&gt;1&lt;/C&gt;&lt;D xsi:type="xsd:double"&gt;4.195&lt;/D&gt;&lt;/FQL&gt;&lt;FQL&gt;&lt;Q&gt;AAL-US^FF_LIABS_OTH(ANN_R,12/2014,,,,,B,"FILING_DATE=1")&lt;/Q&gt;&lt;R&gt;1&lt;/R&gt;&lt;C&gt;1&lt;/C&gt;&lt;D xsi:type="xsd:double"&gt;6.189&lt;/D&gt;&lt;/FQL&gt;&lt;FQL&gt;&lt;Q&gt;AAL-US^FF_LIABS_OTH(ANN_R,12/2013,,,,,B,"FILING_DATE=1")&lt;/Q&gt;&lt;R&gt;1&lt;/R&gt;&lt;C&gt;1&lt;/C&gt;&lt;D xsi:type="xsd:double"&gt;8.297&lt;/D&gt;&lt;/FQL&gt;&lt;FQL&gt;&lt;Q&gt;AAL-US^FF_LIABS_OTH(ANN_R,12/2012,,,,,B,"FILING_DATE=1")&lt;/Q&gt;&lt;R&gt;1&lt;/R&gt;&lt;C&gt;1&lt;/C&gt;&lt;D xsi:type="xsd:double"&gt;6.423&lt;/D&gt;&lt;/FQL&gt;&lt;FQL&gt;&lt;Q&gt;AAL-US^FF_LIABS_OTH(ANN_R,12/2011,,,,,B,"FILING_DATE=1")&lt;/Q&gt;&lt;R&gt;1&lt;/R&gt;&lt;C&gt;1&lt;/C&gt;&lt;D xsi:type="xsd:double"&gt;3.123&lt;/D&gt;&lt;/FQL&gt;&lt;FQL&gt;&lt;Q&gt;AAL-US^FF_LIABS(ANN_R,12/2020,,,,,B)&lt;/Q&gt;&lt;R&gt;1&lt;/R&gt;&lt;C&gt;1&lt;/C&gt;&lt;D xsi:type="xsd:double"&gt;68.875&lt;/D&gt;&lt;/FQL&gt;&lt;FQL&gt;&lt;Q&gt;AAL-US^FF_LIABS(ANN_R,12/2019,,,,,B)&lt;/Q&gt;&lt;R&gt;1&lt;/R&gt;&lt;C&gt;1&lt;/C&gt;&lt;D xsi:type="xsd:double"&gt;60.113&lt;/D&gt;&lt;/FQL&gt;&lt;FQL&gt;&lt;Q&gt;AAL-US^FF_LIABS(ANN_R,12/2018,,,,,B)&lt;/Q&gt;&lt;R&gt;1&lt;/R&gt;&lt;C&gt;1&lt;/C&gt;&lt;D xsi:type="xsd:double"&gt;60.749&lt;/D&gt;&lt;/FQL&gt;&lt;FQL&gt;&lt;Q&gt;AAL-US^FF_LIABS(ANN_R,12/2017,,,,,B)&lt;/Q&gt;&lt;R&gt;1&lt;/R&gt;&lt;C&gt;1&lt;/C&gt;&lt;D xsi:type="xsd:double"&gt;53.565&lt;/D&gt;&lt;/FQL&gt;&lt;FQL&gt;&lt;Q&gt;AAL-US^FF_LIABS(ANN_R,12/2016,,,,,B)&lt;/Q&gt;&lt;R&gt;1&lt;/R&gt;&lt;C&gt;1&lt;/C&gt;&lt;D xsi:type="xsd:double"&gt;47.489&lt;/D&gt;&lt;/FQL&gt;&lt;FQL&gt;&lt;Q&gt;AAL-US^FF_LIABS(ANN_R,12/2015,,,,,B)&lt;/Q&gt;&lt;R&gt;1&lt;/R&gt;&lt;C&gt;1&lt;/C&gt;&lt;D xsi:type="xsd:double"&gt;42.78&lt;/D&gt;&lt;/FQL&gt;&lt;FQL&gt;&lt;Q&gt;AAL-US^FF_LIABS(ANN_R,12/2014,,,,,B)&lt;/Q&gt;&lt;R&gt;1&lt;/R&gt;&lt;C&gt;1&lt;/C&gt;&lt;D xsi:type="xsd:double"&gt;41.204&lt;/D&gt;&lt;/FQL&gt;&lt;FQL&gt;&lt;Q&gt;AAL-US^FF_LIABS(ANN_R,12/2013,,,,,B)&lt;/Q&gt;&lt;R&gt;1&lt;/R&gt;&lt;C&gt;1&lt;/C&gt;&lt;D xsi:type="xsd:double"&gt;45.009&lt;/D&gt;&lt;/FQL&gt;&lt;FQL&gt;&lt;Q&gt;AAL-US^FF_LIABS(ANN_R,12/2012,,,,,B)&lt;/Q&gt;&lt;R&gt;1&lt;/R&gt;&lt;C&gt;1&lt;/C&gt;&lt;D xsi:type="xsd:double"&gt;31.497&lt;/D&gt;&lt;/FQL&gt;&lt;FQL&gt;&lt;Q&gt;AAL-US^FF_LIABS(ANN_R,12/2011,,,,,B)&lt;/Q&gt;&lt;R&gt;1&lt;/R&gt;&lt;C&gt;1&lt;/C&gt;&lt;D xsi:type="xsd:double"&gt;30.959&lt;/D&gt;&lt;/FQL&gt;&lt;FQL&gt;&lt;Q&gt;AAL-US^FF_DEBT_ST(ANN_R,12/2020,,,,,B,"FILING_DATE=1")&lt;/Q&gt;&lt;R&gt;1&lt;/R&gt;&lt;C&gt;1&lt;/C&gt;&lt;D xsi:type="xsd:double"&gt;4.569&lt;/D&gt;&lt;/FQL&gt;&lt;FQL&gt;&lt;Q&gt;AAL-US^FF_DEBT_ST(ANN_R,12/2019,,,,,B,"FILING_DATE=1")&lt;/Q&gt;&lt;R&gt;1&lt;/R&gt;&lt;C&gt;1&lt;/C&gt;&lt;D xsi:type="xsd:double"&gt;4.948&lt;/D&gt;&lt;/FQL&gt;&lt;FQL&gt;&lt;Q&gt;AAL-US^FF_DEBT_ST(ANN_R,12/2018,,,,,B,"FILING_DATE=1")&lt;/Q&gt;&lt;R&gt;1&lt;/R&gt;&lt;C&gt;1&lt;/C&gt;&lt;D xsi:type="xsd:double"&gt;2.554&lt;/D&gt;&lt;/FQL&gt;&lt;FQL&gt;&lt;Q&gt;AAL-US^FF_DEBT_ST(ANN_R,12/2017,,,,,B,"FILING_DATE=1")&lt;/Q&gt;&lt;R&gt;1&lt;/R&gt;&lt;C&gt;1&lt;/C&gt;&lt;D xsi:type="xsd:double"&gt;1.855&lt;/D&gt;&lt;/FQL&gt;&lt;FQL&gt;&lt;Q&gt;AAL-US^FF_DEBT_ST(ANN_R,12/2016,,,,,B,"FILING_DATE=1")&lt;/Q&gt;&lt;R&gt;1&lt;/R&gt;&lt;C&gt;1&lt;/C&gt;&lt;D xsi:type="xsd:double"&gt;2.231&lt;/D&gt;&lt;/FQL&gt;&lt;FQL&gt;&lt;Q&gt;AAL-US^FF_DEBT_ST(ANN_R,12/2015,,,,,B,"FILING_DATE=1")&lt;/Q&gt;&lt;R&gt;1&lt;/R&gt;&lt;C&gt;1&lt;/C&gt;&lt;D xsi:type="xsd:double"&gt;1.677&lt;/D&gt;&lt;/FQL&gt;&lt;FQL&gt;&lt;Q&gt;AAL-US^FF_DEBT_ST(ANN_R,12/2014,,,,,B,"FILING_DATE=1")&lt;/Q&gt;&lt;R&gt;1&lt;/R&gt;&lt;C&gt;1&lt;/C&gt;&lt;D xsi:type="xsd:double"&gt;1.446&lt;/D&gt;&lt;/FQL&gt;&lt;FQL&gt;&lt;Q&gt;AAL-US^FF_DEBT_ST(ANN_R,12/2013,,,,,B,"FILING_DATE=1")&lt;/Q&gt;&lt;R&gt;1&lt;/R&gt;&lt;C&gt;1&lt;/C&gt;&lt;D xsi:type="xsd:double"&gt;1.419&lt;/D&gt;&lt;/FQL&gt;&lt;FQL&gt;&lt;Q&gt;AAL-US^FF_DEBT_ST(ANN_R,12/2012,,,,,B,"FILING_DATE=1")&lt;/Q&gt;&lt;R&gt;1&lt;/R&gt;&lt;C&gt;1&lt;/C&gt;&lt;D xsi:type="xsd:double"&gt;1.518&lt;/D&gt;&lt;/FQL&gt;&lt;FQL&gt;&lt;Q&gt;AAL-US^FF_DEBT_ST(ANN_R,12/2011,,,,,B,"FILING_DATE=1")&lt;/Q&gt;&lt;R&gt;1&lt;/R&gt;&lt;C&gt;1&lt;/C&gt;&lt;D xsi:type="xsd:double"&gt;1.883&lt;/D&gt;&lt;/FQL&gt;&lt;FQL&gt;&lt;Q&gt;AAL-US^FF_PAY_ACCT(ANN_R,12/2020,,,,,B,"FILING_DATE=1")&lt;/Q&gt;&lt;R&gt;1&lt;/R&gt;&lt;C&gt;1&lt;/C&gt;&lt;D xsi:type="xsd:double"&gt;2.062&lt;/D&gt;&lt;/FQL&gt;&lt;FQL&gt;&lt;Q&gt;AAL-US^FF_PAY_ACCT(ANN_R,12/2019,,,,,B,"FILING_DATE=1")&lt;/Q&gt;&lt;R&gt;1&lt;/R&gt;&lt;C&gt;1&lt;/C&gt;&lt;D xsi:type="xsd:double"&gt;1.773&lt;/D&gt;&lt;/FQL&gt;&lt;FQL&gt;&lt;Q&gt;AAL-US^FF_PAY_ACCT(ANN_R,12/2018,,,,,B,"FILING_DATE=1")&lt;/Q&gt;&lt;R&gt;1&lt;/R&gt;&lt;C&gt;1&lt;/C&gt;&lt;D xsi:type="xsd:double"&gt;1.688&lt;/D&gt;&lt;/FQL&gt;&lt;FQL&gt;&lt;Q&gt;AAL-US^FF_PAY_ACCT(ANN_R,12/2017,,,,,B,"FILING_DATE=1")&lt;/Q&gt;&lt;R&gt;1&lt;/R&gt;&lt;C&gt;1&lt;/C&gt;&lt;D xsi:type="xsd:double"&gt;1.592&lt;/D&gt;&lt;/FQL&gt;&lt;FQL&gt;&lt;Q&gt;AAL-US^FF_PAY_ACCT(ANN_R,12/2016,,,,,B,"FILING_DATE=1")&lt;/Q&gt;&lt;R&gt;1&lt;/R&gt;&lt;C&gt;1&lt;/C&gt;&lt;D xsi:type="xsd:double"&gt;1.563&lt;/D&gt;&lt;/FQL&gt;&lt;FQL&gt;&lt;Q&gt;AAL-US^FF_PAY_ACCT(ANN_R,12/2015,,,,,B,"FILING_DATE=1")&lt;/Q&gt;&lt;R&gt;1&lt;/R&gt;&lt;C&gt;1&lt;/C&gt;&lt;D xsi:type="xsd:double"&gt;1.377&lt;/D&gt;&lt;/FQL&gt;&lt;FQL&gt;&lt;Q&gt;AAL-US^FF_PAY_ACCT(ANN_R,12/2014,,,,,B,"FILING_DATE=1")&lt;/Q&gt;&lt;R&gt;1&lt;/R&gt;&lt;C&gt;1&lt;/C&gt;&lt;D xsi:type="xsd:double"&gt;1.368&lt;/D&gt;&lt;/FQL&gt;&lt;FQL&gt;&lt;Q&gt;AAL-US^FF_PAY_ACCT(ANN_R,12/2013,,,,,B,"FILING_DATE=1")&lt;/Q&gt;&lt;R&gt;1&lt;/R&gt;&lt;C&gt;1&lt;/C&gt;&lt;D xsi:type="xsd:double"&gt;1.244&lt;/D&gt;&lt;/FQL&gt;&lt;FQL&gt;&lt;Q&gt;AAL-US^FF_PAY_ACCT(ANN_R,12/2012,,,,,B,"FILING_DATE=1")&lt;/Q&gt;&lt;R&gt;1&lt;/R&gt;&lt;C&gt;1&lt;/C&gt;&lt;D xsi:type="xsd:double"&gt;1.007&lt;/D&gt;&lt;/FQL&gt;&lt;FQL&gt;&lt;Q&gt;AAL-US^FF_PAY_ACCT(ANN_R,12/2011,,,,,B,"FILING_DATE=1")&lt;/Q&gt;&lt;R&gt;1&lt;/R&gt;&lt;C&gt;1&lt;/C&gt;&lt;D xsi:type="xsd:double"&gt;1.156&lt;/D&gt;&lt;/FQL&gt;&lt;FQL&gt;&lt;Q&gt;AAL-US^FF_INC_PAY_TAX(ANN_R,12/2020,,,,,B,"FILING_DATE=1")&lt;/Q&gt;&lt;R&gt;1&lt;/R&gt;&lt;C&gt;1&lt;/C&gt;&lt;D xsi:type="xsd:string"&gt;#NUM&lt;/D&gt;&lt;/FQL&gt;&lt;FQL&gt;&lt;Q&gt;AAL-US^FF_INC_PAY_TAX(ANN_R,12/2019,,,,,B,"FILING_DATE=1")&lt;/Q&gt;&lt;R&gt;1&lt;/R&gt;&lt;C&gt;1&lt;/C&gt;&lt;D xsi:type="xsd:string"&gt;#NUM&lt;/D&gt;&lt;/FQL&gt;&lt;FQL&gt;&lt;Q&gt;AAL-US^FF_INC_PAY_TAX(ANN_R,12/2018,,,,,B,"FILING_DATE=1")&lt;/Q&gt;&lt;R&gt;1&lt;/R&gt;&lt;C&gt;1&lt;/C&gt;&lt;D xsi:type="xsd:string"&gt;#NUM&lt;/D&gt;&lt;/FQL&gt;&lt;FQL&gt;&lt;Q&gt;AAL-US^FF_INC_PAY_TAX(ANN_R,12/2017,,,,,B,"FILING_DATE=1")&lt;/Q&gt;&lt;R&gt;1&lt;/R&gt;&lt;C&gt;1&lt;/C&gt;&lt;D xsi:type="xsd:string"&gt;#NUM&lt;/D&gt;&lt;/FQL&gt;&lt;FQL&gt;&lt;Q&gt;AAL-US^FF_INC_PAY_TAX(ANN_R,12/2016,,,,,B,"FILING_DATE=1")&lt;/Q&gt;&lt;R&gt;1&lt;/R&gt;&lt;C&gt;1&lt;/C&gt;&lt;D xsi:type="xsd:string"&gt;#NUM&lt;/D&gt;&lt;/FQL&gt;&lt;FQL&gt;&lt;Q&gt;AAL-US^FF_INC_PAY_TAX(ANN_R,12/2015,,,,,B,"FILING_DATE=1")&lt;/Q&gt;&lt;R&gt;1&lt;/R&gt;&lt;C&gt;1&lt;/C&gt;&lt;D xsi:type="xsd:string"&gt;#NUM&lt;/D&gt;&lt;/FQL&gt;&lt;FQL&gt;&lt;Q&gt;AAL-US^FF_INC_PAY_TAX(ANN_R,12/2014,,,,,B,"FILING_DATE=1")&lt;/Q&gt;&lt;R&gt;1&lt;/R&gt;&lt;C&gt;1&lt;/C&gt;&lt;D xsi:type="xsd:string"&gt;#NUM&lt;/D&gt;&lt;/FQL&gt;&lt;FQL&gt;&lt;Q&gt;AAL-US^FF_INC_PAY_TAX(ANN_R,12/2013,,,,,B,"FILING_DATE=1")&lt;/Q&gt;&lt;R&gt;1&lt;/R&gt;&lt;C&gt;1&lt;/C&gt;&lt;D xsi:type="xsd:string"&gt;#NUM&lt;/D&gt;&lt;/FQL&gt;&lt;FQL&gt;&lt;Q&gt;AAL-US^FF_INC_PAY_TAX(ANN_R,12/2012,,,,,B,"FILING_DATE=1")&lt;/Q&gt;&lt;R&gt;1&lt;/R&gt;&lt;C&gt;1&lt;/C&gt;&lt;D xsi:type="xsd:string"&gt;#NUM&lt;/D&gt;&lt;/FQL&gt;&lt;FQL&gt;&lt;Q&gt;AAL-US^FF_INC_PAY_TAX(ANN_R,12/2011,,,,,B,"FILING_DATE=1")&lt;/Q&gt;&lt;R&gt;1&lt;/R&gt;&lt;C&gt;1&lt;/C&gt;&lt;D xsi:type="xsd:string"&gt;#NUM&lt;/D&gt;&lt;/FQL&gt;&lt;FQL&gt;&lt;Q&gt;AAL-US^FF_LIABS_CURR_OTH(ANN_R,12/2020,,,,,B,"FILING_DATE=1")&lt;/Q&gt;&lt;R&gt;1&lt;/R&gt;&lt;C&gt;1&lt;/C&gt;&lt;D xsi:type="xsd:double"&gt;11.68&lt;/D&gt;&lt;/FQL&gt;&lt;FQL&gt;&lt;Q&gt;AAL-US^FF_LIABS_CURR_OTH(ANN_R,12/2019,,,,,B,"FILING_DATE=1")&lt;/Q&gt;&lt;R&gt;1&lt;/R&gt;&lt;C&gt;1&lt;/C&gt;&lt;D xsi:type="xsd:double"&gt;11.375&lt;/D&gt;&lt;/FQL&gt;&lt;FQL&gt;&lt;Q&gt;AAL-US^FF_LIABS_CURR_OTH(ANN_R,12/2018,,,,,B,"FILING_DATE=1")&lt;/Q&gt;&lt;R&gt;1&lt;/R&gt;&lt;C&gt;1&lt;/C&gt;&lt;D xsi:type="xsd:double"&gt;11.116&lt;/D&gt;&lt;/FQL&gt;&lt;FQL&gt;&lt;Q&gt;AAL-US^FF_LIABS_CURR_OTH(ANN_R,12/2017,,,,,B,"FILING_DATE=1")&lt;/Q&gt;&lt;R&gt;1&lt;/R&gt;&lt;C&gt;1&lt;/C&gt;&lt;D xsi:type="xsd:double"&gt;10.425&lt;/D&gt;&lt;/FQL&gt;&lt;FQL&gt;&lt;Q&gt;AAL-US^FF_LIABS_CURR_OTH(ANN_R,12/2016,,,,,B,"FILING_DATE=1")&lt;/Q&gt;&lt;R&gt;1&lt;/R&gt;&lt;C&gt;1&lt;/C&gt;&lt;D xsi:type="xsd:double"&gt;9.811&lt;/D&gt;&lt;/FQL&gt;&lt;FQL&gt;&lt;Q&gt;AAL-US^FF_LIABS_CURR_OTH(ANN_R,12/2015,,,,,B,"FILING_DATE=1")&lt;/Q&gt;&lt;R&gt;1&lt;/R&gt;&lt;C&gt;1&lt;/C&gt;&lt;D xsi:type="xsd:double"&gt;10.35&lt;/D&gt;&lt;/FQL&gt;&lt;FQL&gt;&lt;Q&gt;AAL-US^FF_LIABS_CURR_OTH(ANN_R,12/2014,,,,,B,"FILING_DATE=1")&lt;/Q&gt;&lt;R&gt;1&lt;/R&gt;&lt;C&gt;1&lt;/C&gt;&lt;D xsi:type="xsd:double"&gt;10.992&lt;/D&gt;&lt;/FQL&gt;&lt;FQL&gt;&lt;Q&gt;AAL-US^FF_LIABS_CURR_OTH(ANN_R,12/2013,,,,,B,"FILING_DATE=1")&lt;/Q&gt;&lt;R&gt;1&lt;/R&gt;&lt;C&gt;1&lt;/C&gt;&lt;D xsi:type="xsd:double"&gt;6.641&lt;/D&gt;&lt;/FQL&gt;&lt;FQL&gt;&lt;Q&gt;AAL-US^FF_LIABS_CURR_OTH(ANN_R,12/2012,,,,,B,"FILING_DATE=1")&lt;/Q&gt;&lt;R&gt;1&lt;/R&gt;&lt;C&gt;1&lt;/C&gt;&lt;D xsi:type="xsd:double"&gt;6.105&lt;/D&gt;&lt;/FQL&gt;&lt;FQL&gt;&lt;Q&gt;AAL-US^FF_LIABS_CURR_OTH(ANN_R,12/2011,,,,,B,"FILING_DATE=1")&lt;/Q&gt;&lt;R&gt;1&lt;/R&gt;&lt;C&gt;1&lt;/C&gt;&lt;D xsi:type="xsd:double"&gt;5.741&lt;/D&gt;&lt;/FQL&gt;&lt;FQL&gt;&lt;Q&gt;AAL-US^FF_LIABS_CURR(ANN_R,12/2020,,,,,B,"FILING_DATE=1")&lt;/Q&gt;&lt;R&gt;1&lt;/R&gt;&lt;C&gt;1&lt;/C&gt;&lt;D xsi:type="xsd:double"&gt;18.311&lt;/D&gt;&lt;/FQL&gt;&lt;FQL&gt;&lt;Q&gt;AAL-US^FF_LIABS_CURR(ANN_R,12/2019,,,,,B,"FILING_DATE=1")&lt;/Q&gt;&lt;R&gt;1&lt;/R&gt;&lt;C&gt;1&lt;/C&gt;&lt;D xsi:type="xsd:double"&gt;18.096&lt;/D&gt;&lt;/FQL&gt;&lt;FQL&gt;&lt;Q&gt;AAL-US^FF_LIABS_CURR(ANN_R,12/2018,,,,,B,"FILING_DATE=1")&lt;/Q&gt;&lt;R&gt;1&lt;/R&gt;&lt;C&gt;1&lt;/C&gt;&lt;D xsi:type="xsd:double"&gt;15.358&lt;/D&gt;&lt;/FQL&gt;&lt;FQL&gt;&lt;Q&gt;AAL-US^FF_LIABS_CURR(ANN_R,12/2017,,,,,B,"FILING_DATE=1")&lt;/Q&gt;&lt;R&gt;1&lt;/R&gt;&lt;C&gt;1&lt;/C&gt;&lt;D xsi:type="xsd:double"&gt;13.872&lt;/D&gt;&lt;/FQL&gt;&lt;FQL&gt;&lt;Q&gt;AAL-US^FF_LIABS_CURR(ANN_R,12/2016,,,,,B,"FILING_DATE=1")&lt;/Q&gt;&lt;R&gt;1&lt;/R&gt;&lt;C&gt;1&lt;/C&gt;&lt;D xsi:type="xsd:double"&gt;13.605&lt;/D&gt;&lt;/FQL&gt;&lt;FQL&gt;&lt;Q&gt;AAL-US^FF_LIABS_CURR(ANN_R,12/2015,,,,,B,"FILING_DATE=1")&lt;/Q&gt;&lt;R&gt;1&lt;/R&gt;&lt;C&gt;1&lt;/C&gt;&lt;D xsi:type="xsd:double"&gt;13.404&lt;/D&gt;&lt;/FQL&gt;&lt;FQL&gt;&lt;Q&gt;AAL-US^FF_LIABS_CURR(ANN_R,12/2014,,,,,B,"FILING_DATE=1")&lt;/Q&gt;&lt;R&gt;1&lt;/R&gt;&lt;C&gt;1&lt;/C&gt;&lt;D xsi:type="xsd:double"&gt;13.806&lt;/D&gt;&lt;/FQL&gt;&lt;FQL&gt;&lt;Q&gt;AAL-US^FF_LIABS_CURR(ANN_R,12/2013,,,,,B,"FILING_DATE=1")&lt;/Q&gt;&lt;R&gt;1&lt;/R&gt;&lt;C&gt;1&lt;/C&gt;&lt;D xsi:type="xsd:double"&gt;9.304&lt;/D&gt;&lt;/FQL&gt;&lt;FQL&gt;&lt;Q&gt;AAL-US^FF_LIABS_CURR(ANN_R,12/2012,,,,,B,"FILING_DATE=1")&lt;/Q&gt;&lt;R&gt;1&lt;/R&gt;&lt;C&gt;1&lt;/C&gt;&lt;D xsi:type="xsd:double"&gt;8.63&lt;/D&gt;&lt;/FQL&gt;&lt;FQL&gt;&lt;Q&gt;AAL-US^FF_LIABS_CURR(ANN_R,12/2011,,,,,B,"FILING_DATE=1")&lt;/Q&gt;&lt;R&gt;1&lt;/R&gt;&lt;C&gt;1&lt;/C&gt;&lt;D xsi:type="xsd:double"&gt;8.78&lt;/D&gt;&lt;/FQL&gt;&lt;FQL&gt;&lt;Q&gt;AAL-US^FF_DEBT_LT(ANN_R,12/2020,,,,,B,"FILING_DATE=1")&lt;/Q&gt;&lt;R&gt;1&lt;/R&gt;&lt;C&gt;1&lt;/C&gt;&lt;D xsi:type="xsd:double"&gt;28.875&lt;/D&gt;&lt;/FQL&gt;&lt;FQL&gt;&lt;Q&gt;AAL-US^FF_DEBT_LT(ANN_R,12/2019,,,,,B,"FILING_DATE=1")&lt;/Q&gt;&lt;R&gt;1&lt;/R&gt;&lt;C&gt;1&lt;/C&gt;&lt;D xsi:type="xsd:double"&gt;29.081&lt;/D&gt;&lt;/FQL&gt;&lt;FQL&gt;&lt;Q&gt;AAL-US^FF_DEBT_LT(ANN_R,12/2018,,,,,B,"FILING_DATE=1")&lt;/Q&gt;&lt;R&gt;1&lt;/R&gt;&lt;C&gt;1&lt;/C&gt;&lt;D xsi:type="xsd:double"&gt;22.511&lt;/D&gt;&lt;/FQL&gt;&lt;FQL&gt;&lt;Q&gt;AAL-US^FF_DEBT_LT(ANN_R,12/2017,,,,,B,"FILING_DATE=1")&lt;/Q&gt;&lt;R&gt;1&lt;/R&gt;&lt;C&gt;1&lt;/C&gt;&lt;D xsi:type="xsd:double"&gt;22.489&lt;/D&gt;&lt;/FQL&gt;&lt;FQL&gt;&lt;Q&gt;AAL-US^FF_DEBT_LT(ANN_R,12/2016,,,,,B,"FILING_DATE=1")&lt;/Q&gt;&lt;R&gt;1&lt;/R&gt;&lt;C&gt;1&lt;/C&gt;&lt;D xsi:type="xsd:double"&gt;18.33&lt;/D&gt;&lt;/FQL&gt;&lt;FQL&gt;&lt;Q&gt;AAL-US^FF_DEBT_LT(ANN_R,12/2015,,,,,B,"FILING_DATE=1")&lt;/Q&gt;&lt;R&gt;1&lt;/R&gt;&lt;C&gt;1&lt;/C&gt;&lt;D xsi:type="xsd:double"&gt;16.043&lt;/D&gt;&lt;/FQL&gt;&lt;FQL&gt;&lt;Q&gt;AAL-US^FF_DEBT_LT(ANN_R,12/2014,,,,,B,"FILING_DATE=1")&lt;/Q&gt;&lt;R&gt;1&lt;/R&gt;&lt;C&gt;1&lt;/C&gt;&lt;D xsi:type="xsd:double"&gt;19.186&lt;/D&gt;&lt;/FQL&gt;&lt;FQL&gt;&lt;Q&gt;AAL-US^FF_DEBT_LT(ANN_R,12/2013,,,,,B,"FILING_DATE=1")&lt;/Q&gt;&lt;R&gt;1&lt;/R&gt;&lt;C&gt;1&lt;/C&gt;&lt;D xsi:type="xsd:double"&gt;7.116&lt;/D&gt;&lt;/FQL&gt;&lt;FQL&gt;&lt;Q&gt;AAL-US^FF_DEBT_LT(ANN_R,12/2012,,,,,B,"FILING_DATE=1")&lt;/Q&gt;&lt;R&gt;1&lt;/R&gt;&lt;C&gt;1&lt;/C&gt;&lt;D xsi:type="xsd:double"&gt;6.702&lt;/D&gt;&lt;/FQL&gt;&lt;FQL&gt;&lt;Q&gt;AAL-US^FF_DEBT_LT(ANN_R,12/2011,,,,,B,"FILING_DATE=1")&lt;/Q&gt;&lt;R&gt;1&lt;/R&gt;&lt;C&gt;1&lt;/C&gt;&lt;D xsi:type="xsd:double"&gt;9.253&lt;/D&gt;&lt;/FQL&gt;&lt;FQL&gt;&lt;Q&gt;AAL-US^FF_CASH_ST(ANN_R,12/2020,,,,,B,"FILING_DATE=1")&lt;/Q&gt;&lt;R&gt;1&lt;/R&gt;&lt;C&gt;1&lt;/C&gt;&lt;D xsi:type="xsd:double"&gt;3.984&lt;/D&gt;&lt;/FQL&gt;&lt;FQL&gt;&lt;Q&gt;AAL-US^FF_CASH_ST(ANN_R,12/2019,,,,,B,"FILING_DATE=1")&lt;/Q&gt;&lt;R&gt;1&lt;/R&gt;&lt;C&gt;1&lt;/C&gt;&lt;D xsi:type="xsd:double"&gt;4.914&lt;/D&gt;&lt;/FQL&gt;&lt;FQL&gt;&lt;Q&gt;AAL-US^FF_CASH_ST(ANN_R,12/2018,,,,,B,"FILING_DATE=1")&lt;/Q&gt;&lt;R&gt;1&lt;/R&gt;&lt;C&gt;1&lt;/C&gt;&lt;D xsi:type="xsd:double"&gt;5.384&lt;/D&gt;&lt;/FQL&gt;&lt;FQL&gt;&lt;Q&gt;AAL-US^FF_CASH_ST(ANN_R,12/2017,,,,,B,"FILING_DATE=1")&lt;/Q&gt;&lt;R&gt;1&lt;/R&gt;&lt;C&gt;1&lt;/C&gt;&lt;D xsi:type="xsd:double"&gt;6.997&lt;/D&gt;&lt;/FQL&gt;&lt;FQL&gt;&lt;Q&gt;AAL-US^FF_CASH_ST(ANN_R,12/2016,,,,,B,"FILING_DATE=1")&lt;/Q&gt;&lt;R&gt;1&lt;/R&gt;&lt;C&gt;1&lt;/C&gt;&lt;D xsi:type="xsd:double"&gt;6.949&lt;/D&gt;&lt;/FQL&gt;&lt;FQL&gt;&lt;Q&gt;AAL-US^FF_CASH_ST(ANN_R,12/2015,,,,,B,"FILING_DATE=1")&lt;/Q&gt;&lt;R&gt;1&lt;/R&gt;&lt;C&gt;1&lt;/C&gt;&lt;D xsi:type="xsd:double"&gt;8.077&lt;/D&gt;&lt;/FQL&gt;&lt;FQL&gt;&lt;Q&gt;AAL-US^FF_CASH_ST(ANN_R,12/2014,,,,,B,"FILING_DATE=1")&lt;/Q&gt;&lt;R&gt;1&lt;/R&gt;&lt;C&gt;1&lt;/C&gt;&lt;D xsi:type="xsd:double"&gt;10.286&lt;/D&gt;&lt;/FQL&gt;&lt;FQL&gt;&lt;Q&gt;AAL-US^FF_CASH_ST(ANN_R,12/2013,,,,,B,"FILING_DATE=1")&lt;/Q&gt;&lt;R&gt;1&lt;/R&gt;&lt;C&gt;1&lt;/C&gt;&lt;D xsi:type="xsd:double"&gt;4.807&lt;/D&gt;&lt;/FQL&gt;&lt;FQL&gt;&lt;Q&gt;AAL-US^FF_CASH_ST(ANN_R,12/2012,,,,,B,"FILING_DATE=1")&lt;/Q&gt;&lt;R&gt;1&lt;/R&gt;&lt;C&gt;1&lt;/C&gt;&lt;D xsi:type="xsd:double"&gt;4.739&lt;/D&gt;&lt;/FQL&gt;&lt;FQL&gt;&lt;Q&gt;AAL-US^FF_CASH_ST(ANN_R,12/2011,,,,,B,"FILING_DATE=1")&lt;/Q&gt;&lt;R&gt;1&lt;/R&gt;&lt;C&gt;1</t>
        </r>
      </text>
    </comment>
    <comment ref="A23" authorId="0" shapeId="0" xr:uid="{4771DEEC-B4AE-48E4-BCA3-F5BC4E67F19D}">
      <text>
        <r>
          <rPr>
            <b/>
            <sz val="9"/>
            <color indexed="81"/>
            <rFont val="Tahoma"/>
            <charset val="1"/>
          </rPr>
          <t>&lt;/C&gt;&lt;D xsi:type="xsd:double"&gt;4.946&lt;/D&gt;&lt;/FQL&gt;&lt;FQL&gt;&lt;Q&gt;AAL-US^FF_RECEIV_ST(ANN_R,12/2020,,,,,B)&lt;/Q&gt;&lt;R&gt;1&lt;/R&gt;&lt;C&gt;1&lt;/C&gt;&lt;D xsi:type="xsd:double"&gt;1.342&lt;/D&gt;&lt;/FQL&gt;&lt;FQL&gt;&lt;Q&gt;AAL-US^FF_RECEIV_ST(ANN_R,12/2019,,,,,B)&lt;/Q&gt;&lt;R&gt;1&lt;/R&gt;&lt;C&gt;1&lt;/C&gt;&lt;D xsi:type="xsd:double"&gt;1.75&lt;/D&gt;&lt;/FQL&gt;&lt;FQL&gt;&lt;Q&gt;AAL-US^FF_RECEIV_ST(ANN_R,12/2018,,,,,B)&lt;/Q&gt;&lt;R&gt;1&lt;/R&gt;&lt;C&gt;1&lt;/C&gt;&lt;D xsi:type="xsd:double"&gt;1.706&lt;/D&gt;&lt;/FQL&gt;&lt;FQL&gt;&lt;Q&gt;AAL-US^FF_RECEIV_ST(ANN_R,12/2017,,,,,B)&lt;/Q&gt;&lt;R&gt;1&lt;/R&gt;&lt;C&gt;1&lt;/C&gt;&lt;D xsi:type="xsd:double"&gt;1.752&lt;/D&gt;&lt;/FQL&gt;&lt;FQL&gt;&lt;Q&gt;AAL-US^FF_RECEIV_ST(ANN_R,12/2016,,,,,B)&lt;/Q&gt;&lt;R&gt;1&lt;/R&gt;&lt;C&gt;1&lt;/C&gt;&lt;D xsi:type="xsd:double"&gt;1.594&lt;/D&gt;&lt;/FQL&gt;&lt;FQL&gt;&lt;Q&gt;AAL-US^FF_RECEIV_ST(ANN_R,12/2015,,,,,B)&lt;/Q&gt;&lt;R&gt;1&lt;/R&gt;&lt;C&gt;1&lt;/C&gt;&lt;D xsi:type="xsd:double"&gt;1.425&lt;/D&gt;&lt;/FQL&gt;&lt;FQL&gt;&lt;Q&gt;AAL-US^FF_RECEIV_ST(ANN_R,12/2014,,,,,B)&lt;/Q&gt;&lt;R&gt;1&lt;/R&gt;&lt;C&gt;1&lt;/C&gt;&lt;D xsi:type="xsd:double"&gt;1.771&lt;/D&gt;&lt;/FQL&gt;&lt;FQL&gt;&lt;Q&gt;AAL-US^FF_RECEIV_ST(ANN_R,12/2013,,,,,B)&lt;/Q&gt;&lt;R&gt;1&lt;/R&gt;&lt;C&gt;1&lt;/C&gt;&lt;D xsi:type="xsd:double"&gt;1.56&lt;/D&gt;&lt;/FQL&gt;&lt;FQL&gt;&lt;Q&gt;AAL-US^FF_RECEIV_ST(ANN_R,12/2012,,,,,B)&lt;/Q&gt;&lt;R&gt;1&lt;/R&gt;&lt;C&gt;1&lt;/C&gt;&lt;D xsi:type="xsd:double"&gt;1.124&lt;/D&gt;&lt;/FQL&gt;&lt;FQL&gt;&lt;Q&gt;AAL-US^FF_RECEIV_ST(ANN_R,12/2011,,,,,B)&lt;/Q&gt;&lt;R&gt;1&lt;/R&gt;&lt;C&gt;1&lt;/C&gt;&lt;D xsi:type="xsd:double"&gt;0.999&lt;/D&gt;&lt;/FQL&gt;&lt;FQL&gt;&lt;Q&gt;AAL-US^FF_INVEN(ANN_R,12/2020,,,,,B)&lt;/Q&gt;&lt;R&gt;1&lt;/R&gt;&lt;C&gt;1&lt;/C&gt;&lt;D xsi:type="xsd:double"&gt;1.614&lt;/D&gt;&lt;/FQL&gt;&lt;FQL&gt;&lt;Q&gt;AAL-US^FF_INVEN(ANN_R,12/2019,,,,,B)&lt;/Q&gt;&lt;R&gt;1&lt;/R&gt;&lt;C&gt;1&lt;/C&gt;&lt;D xsi:type="xsd:double"&gt;1.851&lt;/D&gt;&lt;/FQL&gt;&lt;FQL&gt;&lt;Q&gt;AAL-US^FF_INVEN(ANN_R,12/2018,,,,,B)&lt;/Q&gt;&lt;R&gt;1&lt;/R&gt;&lt;C&gt;1&lt;/C&gt;&lt;D xsi:type="xsd:double"&gt;1.522&lt;/D&gt;&lt;/FQL&gt;&lt;FQL&gt;&lt;Q&gt;AAL-US^FF_INVEN(ANN_R,12/2017,,,,,B)&lt;/Q&gt;&lt;R&gt;1&lt;/R&gt;&lt;C&gt;1&lt;/C&gt;&lt;D xsi:type="xsd:double"&gt;1.359&lt;/D&gt;&lt;/FQL&gt;&lt;FQL&gt;&lt;Q&gt;AAL-US^FF_INVEN(ANN_R,12/2016,,,,,B)&lt;/Q&gt;&lt;R&gt;1&lt;/R&gt;&lt;C&gt;1&lt;/C&gt;&lt;D xsi:type="xsd:double"&gt;1.094&lt;/D&gt;&lt;/FQL&gt;&lt;FQL&gt;&lt;Q&gt;AAL-US^FF_INVEN(ANN_R,12/2015,,,,,B)&lt;/Q&gt;&lt;R&gt;1&lt;/R&gt;&lt;C&gt;1&lt;/C&gt;&lt;D xsi:type="xsd:double"&gt;0.863&lt;/D&gt;&lt;/FQL&gt;&lt;FQL&gt;&lt;Q&gt;AAL-US^FF_INVEN(ANN_R,12/2014,,,,,B)&lt;/Q&gt;&lt;R&gt;1&lt;/R&gt;&lt;C&gt;1&lt;/C&gt;&lt;D xsi:type="xsd:double"&gt;1.004&lt;/D&gt;&lt;/FQL&gt;&lt;FQL&gt;&lt;Q&gt;AAL-US^FF_INVEN(ANN_R,12/2013,,,,,B)&lt;/Q&gt;&lt;R&gt;1&lt;/R&gt;&lt;C&gt;1&lt;/C&gt;&lt;D xsi:type="xsd:double"&gt;1.012&lt;/D&gt;&lt;/FQL&gt;&lt;FQL&gt;&lt;Q&gt;AAL-US^FF_INVEN(ANN_R,12/2012,,,,,B)&lt;/Q&gt;&lt;R&gt;1&lt;/R&gt;&lt;C&gt;1&lt;/C&gt;&lt;D xsi:type="xsd:double"&gt;0.58&lt;/D&gt;&lt;/FQL&gt;&lt;FQL&gt;&lt;Q&gt;AAL-US^FF_INVEN(ANN_R,12/2011,,,,,B)&lt;/Q&gt;&lt;R&gt;1&lt;/R&gt;&lt;C&gt;1&lt;/C&gt;&lt;D xsi:type="xsd:double"&gt;0.617&lt;/D&gt;&lt;/FQL&gt;&lt;FQL&gt;&lt;Q&gt;AAL-US^FF_ASSETS_CURR_OTH(ANN_R,12/2020,,,,,B,"FILING_DATE=1")&lt;/Q&gt;&lt;R&gt;1&lt;/R&gt;&lt;C&gt;1&lt;/C&gt;&lt;D xsi:type="xsd:double"&gt;0.621&lt;/D&gt;&lt;/FQL&gt;&lt;FQL&gt;&lt;Q&gt;AAL-US^FF_ASSETS_CURR_OTH(ANN_R,12/2019,,,,,B,"FILING_DATE=1")&lt;/Q&gt;&lt;R&gt;1&lt;/R&gt;&lt;C&gt;1&lt;/C&gt;&lt;D xsi:type="xsd:double"&gt;0.495&lt;/D&gt;&lt;/FQL&gt;&lt;FQL&gt;&lt;Q&gt;AAL-US^FF_ASSETS_CURR_OTH(ANN_R,12/2018,,,,,B,"FILING_DATE=1")&lt;/Q&gt;&lt;R&gt;1&lt;/R&gt;&lt;C&gt;1&lt;/C&gt;&lt;D xsi:type="xsd:double"&gt;0.651&lt;/D&gt;&lt;/FQL&gt;&lt;FQL&gt;&lt;Q&gt;AAL-US^FF_ASSETS_CURR_OTH(ANN_R,12/2017,,,,,B,"FILING_DATE=1")&lt;/Q&gt;&lt;R&gt;1&lt;/R&gt;&lt;C&gt;1&lt;/C&gt;&lt;D xsi:type="xsd:double"&gt;0.639&lt;/D&gt;&lt;/FQL&gt;&lt;FQL&gt;&lt;Q&gt;AAL-US^FF_ASSETS_CURR_OTH(ANN_R,12/2016,,,,,B,"FILING_DATE=1")&lt;/Q&gt;&lt;R&gt;1&lt;/R&gt;&lt;C&gt;1&lt;/C&gt;&lt;D xsi:type="xsd:double"&gt;0.748&lt;/D&gt;&lt;/FQL&gt;&lt;FQL&gt;&lt;Q&gt;AAL-US^FF_ASSETS_CURR_OTH(ANN_R,12/2015,,,,,B,"FILING_DATE=1")&lt;/Q&gt;&lt;R&gt;1&lt;/R&gt;&lt;C&gt;1&lt;/C&gt;&lt;D xsi:type="xsd:double"&gt;0.898&lt;/D&gt;&lt;/FQL&gt;&lt;FQL&gt;&lt;Q&gt;AAL-US^FF_ASSETS_CURR_OTH(ANN_R,12/2014,,,,,B,"FILING_DATE=1")&lt;/Q&gt;&lt;R&gt;1&lt;/R&gt;&lt;C&gt;1&lt;/C&gt;&lt;D xsi:type="xsd:double"&gt;1.465&lt;/D&gt;&lt;/FQL&gt;&lt;FQL&gt;&lt;Q&gt;AAL-US^FF_ASSETS_CURR_OTH(ANN_R,12/2013,,,,,B,"FILING_DATE=1")&lt;/Q&gt;&lt;R&gt;1&lt;/R&gt;&lt;C&gt;1&lt;/C&gt;&lt;D xsi:type="xsd:double"&gt;0.561&lt;/D&gt;&lt;/FQL&gt;&lt;FQL&gt;&lt;Q&gt;AAL-US^FF_ASSETS_CURR_OTH(ANN_R,12/2012,,,,,B,"FILING_DATE=1")&lt;/Q&gt;&lt;R&gt;1&lt;/R&gt;&lt;C&gt;1&lt;/C&gt;&lt;D xsi:type="xsd:double"&gt;0.402&lt;/D&gt;&lt;/FQL&gt;&lt;FQL&gt;&lt;Q&gt;AAL-US^FF_ASSETS_CURR_OTH(ANN_R,12/2011,,,,,B,"FILING_DATE=1")&lt;/Q&gt;&lt;R&gt;1&lt;/R&gt;&lt;C&gt;1&lt;/C&gt;&lt;D xsi:type="xsd:double"&gt;0.56&lt;/D&gt;&lt;/FQL&gt;&lt;FQL&gt;&lt;Q&gt;AAL-US^FF_ASSETS_CURR(ANN_R,12/2020,,,,,B,"FILING_DATE=1")&lt;/Q&gt;&lt;R&gt;1&lt;/R&gt;&lt;C&gt;1&lt;/C&gt;&lt;D xsi:type="xsd:double"&gt;8.206&lt;/D&gt;&lt;/FQL&gt;&lt;FQL&gt;&lt;Q&gt;AAL-US^FF_ASSETS_CURR(ANN_R,12/2019,,,,,B,"FILING_DATE=1")&lt;/Q&gt;&lt;R&gt;1&lt;/R&gt;&lt;C&gt;1&lt;/C&gt;&lt;D xsi:type="xsd:double"&gt;8.637&lt;/D&gt;&lt;/FQL&gt;&lt;FQL&gt;&lt;Q&gt;AAL-US^FF_ASSETS_CURR(ANN_R,12/2018,,,,,B,"FILING_DATE=1")&lt;/Q&gt;&lt;R&gt;1&lt;/R&gt;&lt;C&gt;1&lt;/C&gt;&lt;D xsi:type="xsd:double"&gt;9.146&lt;/D&gt;&lt;/FQL&gt;&lt;FQL&gt;&lt;Q&gt;AAL-US^FF_ASSETS_CURR(ANN_R,12/2017,,,,,B,"FILING_DATE=1")&lt;/Q&gt;&lt;R&gt;1&lt;/R&gt;&lt;C&gt;1&lt;/C&gt;&lt;D xsi:type="xsd:double"&gt;10.324&lt;/D&gt;&lt;/FQL&gt;&lt;FQL&gt;&lt;Q&gt;AAL-US^FF_ASSETS_CURR(ANN_R,12/2016,,,,,B,"FILING_DATE=1")&lt;/Q&gt;&lt;R&gt;1&lt;/R&gt;&lt;C&gt;1&lt;/C&gt;&lt;D xsi:type="xsd:double"&gt;9.985&lt;/D&gt;&lt;/FQL&gt;&lt;FQL&gt;&lt;Q&gt;AAL-US^FF_ASSETS_CURR(ANN_R,12/2015,,,,,B,"FILING_DATE=1")&lt;/Q&gt;&lt;R&gt;1&lt;/R&gt;&lt;C&gt;1&lt;/C&gt;&lt;D xsi:type="xsd:double"&gt;11.75&lt;/D&gt;&lt;/FQL&gt;&lt;FQL&gt;&lt;Q&gt;AAL-US^FF_ASSETS_CURR(ANN_R,12/2014,,,,,B,"FILING_DATE=1")&lt;/Q&gt;&lt;R&gt;1&lt;/R&gt;&lt;C&gt;1&lt;/C&gt;&lt;D xsi:type="xsd:double"&gt;14.323&lt;/D&gt;&lt;/FQL&gt;&lt;FQL&gt;&lt;Q&gt;AAL-US^FF_ASSETS_CURR(ANN_R,12/2013,,,,,B,"FILING_DATE=1")&lt;/Q&gt;&lt;R&gt;1&lt;/R&gt;&lt;C&gt;1&lt;/C&gt;&lt;D xsi:type="xsd:double"&gt;7.072&lt;/D&gt;&lt;/FQL&gt;&lt;FQL&gt;&lt;Q&gt;AAL-US^FF_ASSETS_CURR(ANN_R,12/2012,,,,,B,"FILING_DATE=1")&lt;/Q&gt;&lt;R&gt;1&lt;/R&gt;&lt;C&gt;1&lt;/C&gt;&lt;D xsi:type="xsd:double"&gt;6.757&lt;/D&gt;&lt;/FQL&gt;&lt;FQL&gt;&lt;Q&gt;AAL-US^FF_ASSETS_CURR(ANN_R,12/2011,,,,,B,"FILING_DATE=1")&lt;/Q&gt;&lt;R&gt;1&lt;/R&gt;&lt;C&gt;1&lt;/C&gt;&lt;D xsi:type="xsd:double"&gt;6.838&lt;/D&gt;&lt;/FQL&gt;&lt;FQL&gt;&lt;Q&gt;AAL-US^FF_PPE_NET(ANN_R,12/2020,,,,,B,"FILING_DATE=1")&lt;/Q&gt;&lt;R&gt;1&lt;/R&gt;&lt;C&gt;1&lt;/C&gt;&lt;D xsi:type="xsd:double"&gt;43.732&lt;/D&gt;&lt;/FQL&gt;&lt;FQL&gt;&lt;Q&gt;AAL-US^FF_PPE_NET(ANN_R,12/2019,,,,,B,"FILING_DATE=1")&lt;/Q&gt;&lt;R&gt;1&lt;/R&gt;&lt;C&gt;1&lt;/C&gt;&lt;D xsi:type="xsd:double"&gt;43.249&lt;/D&gt;&lt;/FQL&gt;&lt;FQL&gt;&lt;Q&gt;AAL-US^FF_PPE_NET(ANN_R,12/2018,,,,,B,"FILING_DATE=1")&lt;/Q&gt;&lt;R&gt;1&lt;/R&gt;&lt;C&gt;1&lt;/C&gt;&lt;D xsi:type="xsd:double"&gt;34.156&lt;/D&gt;&lt;/FQL&gt;&lt;FQL&gt;&lt;Q&gt;AAL-US^FF_PPE_NET(ANN_R,12/2017,,,,,B,"FILING_DATE=1")&lt;/Q&gt;&lt;R&gt;1&lt;/R&gt;&lt;C&gt;1&lt;/C&gt;&lt;D xsi:type="xsd:double"&gt;31.159&lt;/D&gt;&lt;/FQL&gt;&lt;FQL&gt;&lt;Q&gt;AAL-US^FF_PPE_NET(ANN_R,12/2016,,,,,B,"FILING_DATE=1")&lt;/Q&gt;&lt;R&gt;1&lt;/R&gt;&lt;C&gt;1&lt;/C&gt;&lt;D xsi:type="xsd:double"&gt;27.51&lt;/D&gt;&lt;/FQL&gt;&lt;FQL&gt;&lt;Q&gt;AAL-US^FF_PPE_NET(ANN_R,12/2015,,,,,B,"FILING_DATE=1")&lt;/Q&gt;&lt;R&gt;1&lt;/R&gt;&lt;C&gt;1&lt;/C&gt;&lt;D xsi:type="xsd:double"&gt;23.084&lt;/D&gt;&lt;/FQL&gt;&lt;FQL&gt;&lt;Q&gt;AAL-US^FF_PPE_NET(ANN_R,12/2014,,,,,B,"FILING_DATE=1")&lt;/Q&gt;&lt;R&gt;1&lt;/R&gt;&lt;C&gt;1&lt;/C&gt;&lt;D xsi:type="xsd:double"&gt;19.259&lt;/D&gt;&lt;/FQL&gt;&lt;FQL&gt;&lt;Q&gt;AAL-US^FF_PPE_NET(ANN_R,12/2013,,,,,B,"FILING_DATE=1")&lt;/Q&gt;&lt;R&gt;1&lt;/R&gt;&lt;C&gt;1&lt;/C&gt;&lt;D xsi:type="xsd:double"&gt;13.402&lt;/D&gt;&lt;/FQL&gt;&lt;FQL&gt;&lt;Q&gt;AAL-US^FF_PPE_NET(ANN_R,12/2012,,,,,B,"FILING_DATE=1")&lt;/Q&gt;&lt;R&gt;1&lt;/R&gt;&lt;C&gt;1&lt;/C&gt;&lt;D xsi:type="xsd:double"&gt;14.306&lt;/D&gt;&lt;/FQL&gt;&lt;FQL&gt;&lt;Q&gt;AAL-US^FF_PPE_NET(ANN_R,12/2011,,,,,B,"FILING_DATE=1")&lt;/Q&gt;&lt;R&gt;1&lt;/R&gt;&lt;C&gt;1&lt;/C&gt;&lt;D xsi:type="xsd:double"&gt;14.707&lt;/D&gt;&lt;/FQL&gt;&lt;FQL&gt;&lt;Q&gt;AAL-US^FF_INVEST_ADV(ANN_R,12/2020,,,,,B)&lt;/Q&gt;&lt;R&gt;1&lt;/R&gt;&lt;C&gt;1&lt;/C&gt;&lt;D xsi:type="xsd:double"&gt;0.161&lt;/D&gt;&lt;/FQL&gt;&lt;FQL&gt;&lt;Q&gt;AAL-US^FF_INVEST_ADV(ANN_R,12/2019,,,,,B)&lt;/Q&gt;&lt;R&gt;1&lt;/R&gt;&lt;C&gt;1&lt;/C&gt;&lt;D xsi:type="xsd:double"&gt;0.204&lt;/D&gt;&lt;/FQL&gt;&lt;FQL&gt;&lt;Q&gt;AAL-US^FF_INVEST_ADV(ANN_R,12/2018,,,,,B)&lt;/Q&gt;&lt;R&gt;1&lt;/R&gt;&lt;C&gt;1&lt;/C&gt;&lt;D xsi:type="xsd:double"&gt;0&lt;/D&gt;&lt;/FQL&gt;&lt;FQL&gt;&lt;Q&gt;AAL-US^FF_INVEST_ADV(ANN_R,12/2017,,,,,B)&lt;/Q&gt;&lt;R&gt;1&lt;/R&gt;&lt;C&gt;1&lt;/C&gt;&lt;D xsi:type="xsd:double"&gt;0&lt;/D&gt;&lt;/FQL&gt;&lt;FQL&gt;&lt;Q&gt;AAL-US^FF_INVEST_ADV(ANN_R,12/2016,,,,,B)&lt;/Q&gt;&lt;R&gt;1&lt;/R&gt;&lt;C&gt;1&lt;/C&gt;&lt;D xsi:type="xsd:double"&gt;0&lt;/D&gt;&lt;/FQL&gt;&lt;FQL&gt;&lt;Q&gt;AAL-US^FF_INVEST_ADV(ANN_R,12/2015,,,,,B)&lt;/Q&gt;&lt;R&gt;1&lt;/R&gt;&lt;C&gt;1&lt;/C&gt;&lt;D xsi:type="xsd:double"&gt;0&lt;/D&gt;&lt;/FQL&gt;&lt;FQL&gt;&lt;Q&gt;AAL-US^FF_INVEST_ADV(ANN_R,12/2014,,,,,B)&lt;/Q&gt;&lt;R&gt;1&lt;/R&gt;&lt;C&gt;1&lt;/C&gt;&lt;D xsi:type="xsd:double"&gt;0&lt;/D&gt;&lt;/FQL&gt;&lt;FQL&gt;&lt;Q&gt;AAL-US^FF_INVEST_ADV(ANN_R,12/2013,,,,,B)&lt;/Q&gt;&lt;R&gt;1&lt;/R&gt;&lt;C&gt;1&lt;/C&gt;&lt;D xsi:type="xsd:double"&gt;0&lt;/D&gt;&lt;/FQL&gt;&lt;FQL&gt;&lt;Q&gt;AAL-US^FF_INVEST_ADV(ANN_R,12/2012,,,,,B)&lt;/Q&gt;&lt;R&gt;1&lt;/R&gt;&lt;C&gt;1&lt;/C&gt;&lt;D xsi:type="xsd:double"&gt;0&lt;/D&gt;&lt;/FQL&gt;&lt;FQL&gt;&lt;Q&gt;AAL-US^FF_INVEST_ADV(ANN_R,12/2011,,,,,B)&lt;/Q&gt;&lt;R&gt;1&lt;/R&gt;&lt;C&gt;1&lt;/C&gt;&lt;D xsi:type="xsd:double"&gt;0&lt;/D&gt;&lt;/FQL&gt;&lt;FQL&gt;&lt;Q&gt;AAL-US^FF_INTANG_ASSETS(ANN,12/2020,,,,,B)&lt;/Q&gt;&lt;R&gt;1&lt;/R&gt;&lt;C&gt;1&lt;/C&gt;&lt;D xsi:type="xsd:double"&gt;0&lt;/D&gt;&lt;/FQL&gt;&lt;FQL&gt;&lt;Q&gt;AAL-US^FF_INTANG_ASSETS(ANN,12/2019,,,,,B)&lt;/Q&gt;&lt;R&gt;1&lt;/R&gt;&lt;C&gt;1&lt;/C&gt;&lt;D xsi:type="xsd:double"&gt;0&lt;/D&gt;&lt;/FQL&gt;&lt;FQL&gt;&lt;Q&gt;AAL-US^FF_INTANG_ASSETS(ANN,12/2018,,,,,B)&lt;/Q&gt;&lt;R&gt;1&lt;/R&gt;&lt;C&gt;1&lt;/C&gt;&lt;D xsi:type="xsd:double"&gt;6.2279997&lt;/D&gt;&lt;/FQL&gt;&lt;FQL&gt;&lt;Q&gt;AAL-US^FF_INTANG_ASSETS(ANN,12/2017,,,,,B)&lt;/Q&gt;&lt;R&gt;1&lt;/R&gt;&lt;C&gt;1&lt;/C&gt;&lt;D xsi:type="xsd:double"&gt;6.294&lt;/D&gt;&lt;/FQL&gt;&lt;FQL&gt;&lt;Q&gt;AAL-US^FF_INTANG_ASSETS(ANN,12/2016,,,,,B)&lt;/Q&gt;&lt;R&gt;1&lt;/R&gt;&lt;C&gt;1&lt;/C&gt;&lt;D xsi:type="xsd:double"&gt;6.264&lt;/D&gt;&lt;/FQL&gt;&lt;FQL&gt;&lt;Q&gt;AAL-US^FF_INTANG_ASSETS(ANN,12/2015,,,,,B)&lt;/Q&gt;&lt;R&gt;1&lt;/R&gt;&lt;C&gt;1&lt;/C&gt;&lt;D xsi:type="xsd:double"&gt;6.3399997&lt;/D&gt;&lt;/FQL&gt;&lt;FQL&gt;&lt;Q&gt;AAL-US^FF_INTANG_ASSETS(ANN,12/2014,,,,,B)&lt;/Q&gt;&lt;R&gt;1&lt;/R&gt;&lt;C&gt;1&lt;/C&gt;&lt;D xsi:type="xsd:double"&gt;6.331&lt;/D&gt;&lt;/FQL&gt;&lt;FQL&gt;&lt;Q&gt;AAL-US^FF_INTANG_ASSETS(ANN,12/2013,,,,,B)&lt;/Q&gt;&lt;R&gt;1&lt;/R&gt;&lt;C&gt;1&lt;/C&gt;&lt;D xsi:type="xsd:double"&gt;6.397&lt;/D&gt;&lt;/FQL&gt;&lt;FQL&gt;&lt;Q&gt;AAL-US^FF_INTANG_ASSETS(ANN,12/2012,,,,,B)&lt;/Q&gt;&lt;R&gt;1&lt;/R&gt;&lt;C&gt;1&lt;/C&gt;&lt;D xsi:type="xsd:double"&gt;0.161&lt;/D&gt;&lt;/FQL&gt;&lt;FQL&gt;&lt;Q&gt;AAL-US^FF_INTANG_ASSETS(ANN,12/2011,,,,,B)&lt;/Q&gt;&lt;R&gt;1&lt;/R&gt;&lt;C&gt;1&lt;/C&gt;&lt;D xsi:type="xsd:double"&gt;0.186&lt;/D&gt;&lt;/FQL&gt;&lt;FQL&gt;&lt;Q&gt;AAL-US^FF_DFD_TAX_DB(ANN_R,12/2020,,,,,B)&lt;/Q&gt;&lt;R&gt;1&lt;/R&gt;&lt;C&gt;1&lt;/C&gt;&lt;D xsi:type="xsd:double"&gt;3.239&lt;/D&gt;&lt;/FQL&gt;&lt;FQL&gt;&lt;Q&gt;AAL-US^FF_DFD_TAX_DB(ANN_R,12/2019,,,,,B)&lt;/Q&gt;&lt;R&gt;1&lt;/R&gt;&lt;C&gt;1&lt;/C&gt;&lt;D xsi:type="xsd:double"&gt;0.645&lt;/D&gt;&lt;/FQL&gt;&lt;FQL&gt;&lt;Q&gt;AAL-US^FF_DFD_TAX_DB(ANN_R,12/2018,,,,,B)&lt;/Q&gt;&lt;R&gt;1&lt;/R&gt;&lt;C&gt;1&lt;/C&gt;&lt;D xsi:type="xsd:double"&gt;1.145&lt;/D&gt;&lt;/FQL&gt;&lt;FQL&gt;&lt;Q&gt;AAL-US^FF_DFD_TAX_DB(ANN_R,12/2017,,,,,B)&lt;/Q&gt;&lt;R&gt;1&lt;/R&gt;&lt;C&gt;1&lt;/C&gt;&lt;D xsi:type="xsd:double"&gt;1.816&lt;/D&gt;&lt;/FQL&gt;&lt;FQL&gt;&lt;Q&gt;AAL-US^FF_DFD_TAX_DB(ANN_R,12/2016,,,,,B)&lt;/Q&gt;&lt;R&gt;1&lt;/R&gt;&lt;C&gt;1&lt;/C&gt;&lt;D xsi:type="xsd:double"&gt;1.498&lt;/D&gt;&lt;/FQL&gt;&lt;FQL&gt;&lt;Q&gt;AAL-US^FF_DFD_TAX_DB(ANN_R,12/2015,,,,,B)&lt;/Q&gt;&lt;R&gt;1&lt;/R&gt;&lt;C&gt;1&lt;/C&gt;&lt;D xsi:type="xsd:double"&gt;2.477&lt;/D&gt;&lt;/FQL&gt;&lt;FQL&gt;&lt;Q&gt;AAL-US^FF_DFD_TAX_DB(ANN_R,12/2014,,,,,B)&lt;/Q&gt;&lt;R&gt;1&lt;/R&gt;&lt;C&gt;1&lt;/C&gt;&lt;D xsi:type="xsd:double"&gt;0&lt;/D&gt;&lt;/FQL&gt;&lt;FQL&gt;&lt;Q&gt;AAL-US^FF_DFD_TAX_DB(ANN_R,12/2013,,,,,B)&lt;/Q&gt;&lt;R&gt;0&lt;/R&gt;&lt;C&gt;0&lt;/C&gt;&lt;/FQL&gt;&lt;FQL&gt;&lt;Q&gt;AAL-US^FF_DFD_TAX_DB(ANN_R,12/2012,,,,,B)&lt;/Q&gt;&lt;R&gt;0&lt;/R&gt;&lt;C&gt;0&lt;/C&gt;&lt;/FQL&gt;&lt;FQL&gt;&lt;Q&gt;AAL-US^FF_DFD_TAX_DB(ANN_R,12/2011,,,,,B)&lt;/Q&gt;&lt;R&gt;1&lt;/R&gt;&lt;C&gt;1&lt;/C&gt;&lt;D xsi:type="xsd:double"&gt;0&lt;/D&gt;&lt;/FQL&gt;&lt;FQL&gt;&lt;Q&gt;AAL-US^FF_ASSETS(ANN_R,12/2020,,,,,B)&lt;/Q&gt;&lt;R&gt;1&lt;/R&gt;&lt;C&gt;1&lt;/C&gt;&lt;D xsi:type="xsd:double"&gt;62.008&lt;/D&gt;&lt;/FQL&gt;&lt;FQL&gt;&lt;Q&gt;AAL-US^FF_ASSETS(ANN_R,12/2019,,,,,B)&lt;/Q&gt;&lt;R&gt;1&lt;/R&gt;&lt;C&gt;1&lt;/C&gt;&lt;D xsi:type="xsd:double"&gt;59.995&lt;/D&gt;&lt;/FQL&gt;&lt;FQL&gt;&lt;Q&gt;AAL-US^FF_ASSETS(ANN_R,12/2018,,,,,B)&lt;/Q&gt;&lt;R&gt;1&lt;/R&gt;&lt;C&gt;1&lt;/C&gt;&lt;D xsi:type="xsd:double"&gt;60.58&lt;/D&gt;&lt;/FQL&gt;&lt;FQL&gt;&lt;Q&gt;AAL-US^FF_ASSETS(ANN_R,12/2017,,,,,B)&lt;/Q&gt;&lt;R&gt;1&lt;/R&gt;&lt;C&gt;1&lt;/C&gt;&lt;D xsi:type="xsd:double"&gt;52.785&lt;/D&gt;&lt;/FQL&gt;&lt;FQL&gt;&lt;Q&gt;AAL-US^FF_ASSETS(ANN_R,12/2016,,,,,B)&lt;/Q&gt;&lt;R&gt;1&lt;/R&gt;&lt;C&gt;1&lt;/C&gt;&lt;D xsi:type="xsd:double"&gt;51.274&lt;/D&gt;&lt;/FQL&gt;&lt;FQL&gt;&lt;Q&gt;AAL-US^FF_ASSETS(ANN_R,12/2015,,,,,B)&lt;/Q&gt;&lt;R&gt;1&lt;/R&gt;&lt;C&gt;1&lt;/C&gt;&lt;D xsi:type="xsd:double"&gt;48.415&lt;/D&gt;&lt;/FQL&gt;&lt;FQL&gt;&lt;Q&gt;AAL-US^FF_ASSETS(ANN_R,12/2014,,,,,B)&lt;/Q&gt;&lt;R&gt;1&lt;/R&gt;&lt;C&gt;1&lt;/C&gt;&lt;D xsi:type="xsd:double"&gt;43.225&lt;/D&gt;&lt;/FQL&gt;&lt;FQL&gt;&lt;Q&gt;AAL-US^FF_ASSETS(ANN_R,12/2013,,,,,B)&lt;/Q&gt;&lt;R&gt;1&lt;/R&gt;&lt;C&gt;1&lt;/C&gt;&lt;D xsi:type="xsd:double"&gt;42.278&lt;/D&gt;&lt;/FQL&gt;&lt;FQL&gt;&lt;Q&gt;AAL-US^FF_ASSETS(ANN_R,12/2012,,,,,B)&lt;/Q&gt;&lt;R&gt;1&lt;/R&gt;&lt;C&gt;1&lt;/C&gt;&lt;D xsi:type="xsd:double"&gt;23.51&lt;/D&gt;&lt;/FQL&gt;&lt;FQL&gt;&lt;Q&gt;AAL-US^FF_ASSETS(ANN_R,12/2011,,,,,B)&lt;/Q&gt;&lt;R&gt;1&lt;/R&gt;&lt;C&gt;1&lt;/C&gt;&lt;D xsi:type="xsd:double"&gt;23.848&lt;/D&gt;&lt;/FQL&gt;&lt;FQL&gt;&lt;Q&gt;ALK-US^FF_DEBT_ST(ANN_R,12/2020,,,,,B,"FILING_DATE=1")&lt;/Q&gt;&lt;R&gt;1&lt;/R&gt;&lt;C&gt;1&lt;/C&gt;&lt;D xsi:type="xsd:double"&gt;0.504&lt;/D&gt;&lt;/FQL&gt;&lt;FQL&gt;&lt;Q&gt;ALK-US^FF_DEBT_ST(ANN_R,12/2019,,,,,B,"FILING_DATE=1")&lt;/Q&gt;&lt;R&gt;1&lt;/R&gt;&lt;C&gt;1&lt;/C&gt;&lt;D xsi:type="xsd:double"&gt;0.486&lt;/D&gt;&lt;/FQL&gt;&lt;FQL&gt;&lt;Q&gt;ALK-US^FF_DEBT_ST(ANN_R,12/2018,,,,,B,"FILING_DATE=1")&lt;/Q&gt;&lt;R&gt;1&lt;/R&gt;&lt;C&gt;1&lt;/C&gt;&lt;D xsi:type="xsd:double"&gt;0.307&lt;/D&gt;&lt;/FQL&gt;&lt;FQL&gt;&lt;Q&gt;ALK-US^FF_DEBT_ST(ANN_R,12/2017,,,,,B,"FILING_DATE=1")&lt;/Q&gt;&lt;R&gt;1&lt;/R&gt;&lt;C&gt;1&lt;/C&gt;&lt;D xsi:type="xsd:double"&gt;0.319&lt;/D&gt;&lt;/FQL&gt;&lt;FQL&gt;&lt;Q&gt;ALK-US^FF_DEBT_ST(ANN_R,12/2016,,,,,B,"FILING_DATE=1")&lt;/Q&gt;&lt;R&gt;1&lt;/R&gt;&lt;C&gt;1&lt;/C&gt;&lt;D xsi:type="xsd:double"&gt;0.114&lt;/D&gt;&lt;/FQL&gt;&lt;FQL&gt;&lt;Q&gt;ALK-US^FF_DEBT_ST(ANN_R,12/2015,,,,,B,"FILING_DATE=1")&lt;/Q&gt;&lt;R&gt;1&lt;/R&gt;&lt;C&gt;1&lt;/C&gt;&lt;D xsi:type="xsd:double"&gt;0.117&lt;/D&gt;&lt;/FQL&gt;&lt;FQL&gt;&lt;Q&gt;ALK-US^FF_DEBT_ST(ANN_R,12/2014,,,,,B,"FILING_DATE=1")&lt;/Q&gt;&lt;R&gt;1&lt;/R&gt;&lt;C&gt;1&lt;/C&gt;&lt;D xsi:type="xsd:double"&gt;0.117&lt;/D&gt;&lt;/FQL&gt;&lt;FQL&gt;&lt;Q&gt;ALK-US^FF_DEBT_ST(ANN_R,12/2013,,,,,B,"FILING_DATE=1")&lt;/Q&gt;&lt;R&gt;1&lt;/R&gt;&lt;C&gt;1&lt;/C&gt;&lt;D xsi:type="xsd:double"&gt;0.161&lt;/D&gt;&lt;/FQL&gt;&lt;FQL&gt;&lt;Q&gt;ALK-US^FF_DEBT_ST(ANN_R,12/2012,,,,,B,"FILING_DATE=1")&lt;/Q&gt;&lt;R&gt;1&lt;/R&gt;&lt;C&gt;1&lt;/C&gt;&lt;D xsi:type="xsd:double"&gt;0.2079&lt;/D&gt;&lt;/FQL&gt;&lt;FQL&gt;&lt;Q&gt;ALK-US^FF_DEBT_ST(ANN_R,12/2011,,,,,B,"FILING_DATE=1")&lt;/Q&gt;&lt;R&gt;1&lt;/R&gt;&lt;C&gt;1&lt;/C&gt;&lt;D xsi:type="xsd:double"&gt;0.2212&lt;/D&gt;&lt;/FQL&gt;&lt;FQL&gt;&lt;Q&gt;ALK-US^FF_PAY_ACCT(ANN_R,12/2020,,,,,B,"FILING_DATE=1")&lt;/Q&gt;&lt;R&gt;1&lt;/R&gt;&lt;C&gt;1&lt;/C&gt;&lt;D xsi:type="xsd:double"&gt;0.146&lt;/D&gt;&lt;/FQL&gt;&lt;FQL&gt;&lt;Q&gt;ALK-US^FF_PAY_ACCT(ANN_R,12/2019,,,,,B,"FILING_DATE=1")&lt;/Q&gt;&lt;R&gt;1&lt;/R&gt;&lt;C&gt;1&lt;/C&gt;&lt;D xsi:type="xsd:double"&gt;0.132&lt;/D&gt;&lt;/FQL&gt;&lt;FQL&gt;&lt;Q&gt;ALK-US^FF_PAY_ACCT(ANN_R,12/2018,,,,,B,"FILING_DATE=1")&lt;/Q&gt;&lt;R&gt;1&lt;/R&gt;&lt;C&gt;1&lt;/C&gt;&lt;D xsi:type="xsd:double"&gt;0.12&lt;/D&gt;&lt;/FQL&gt;&lt;FQL&gt;&lt;Q&gt;ALK-US^FF_PAY_ACCT(ANN_R,12/2017,,,,,B,"FILING_DATE=1")&lt;/Q&gt;&lt;R&gt;1&lt;/R&gt;&lt;C&gt;1&lt;/C&gt;&lt;D xsi:type="xsd:double"&gt;0.092&lt;/D&gt;&lt;/FQL&gt;&lt;FQL&gt;&lt;Q&gt;ALK-US^FF_PAY_ACCT(ANN_R,12/2016,,,,,B,"FILING_DATE=1")&lt;/Q&gt;&lt;R&gt;1&lt;/R&gt;&lt;C&gt;1&lt;/C&gt;&lt;D xsi:type="xsd:double"&gt;0.063&lt;/D&gt;&lt;/FQL&gt;&lt;FQL&gt;&lt;Q&gt;ALK-US^FF_PAY_ACCT(ANN_R,12/2015,,,,,B,"FILING_DATE=1")&lt;/Q&gt;&lt;R&gt;1&lt;/R&gt;&lt;C&gt;1&lt;/C&gt;&lt;D xsi:type="xsd:double"&gt;0.062&lt;/D&gt;&lt;/FQL&gt;&lt;FQL&gt;&lt;Q&gt;ALK-US^FF_PAY_ACCT(ANN_R,12/2014,,,,,B,"FILING_DATE=1")&lt;/Q&gt;&lt;R&gt;1&lt;/R&gt;&lt;C&gt;1&lt;/C&gt;&lt;D xsi:type="xsd:double"&gt;0.064&lt;/D&gt;&lt;/FQL&gt;&lt;FQL&gt;&lt;Q&gt;ALK-US^FF_PAY_ACCT(ANN_R,12/2013,,,,,B,"FILING_DATE=1")&lt;/Q&gt;&lt;R&gt;1&lt;/R&gt;&lt;C&gt;1&lt;/C&gt;&lt;D xsi:type="xsd:double"&gt;0.065&lt;/D&gt;&lt;/FQL&gt;&lt;FQL&gt;&lt;Q&gt;ALK-US^FF_PAY_ACCT(ANN_R,12/2012,,,,,B,"FILING_DATE=1")&lt;/Q&gt;&lt;R&gt;1&lt;/R&gt;&lt;C&gt;1&lt;/C&gt;&lt;D xsi:type="xsd:double"&gt;0.1036&lt;/D&gt;&lt;/FQL&gt;&lt;FQL&gt;&lt;Q&gt;ALK-US^FF_PAY_ACCT(ANN_R,12/2011,,,,,B,"FILING_DATE=1")&lt;/Q&gt;&lt;R&gt;1&lt;/R&gt;&lt;C&gt;1&lt;/C&gt;&lt;D xsi:type="xsd:double"&gt;0.0602&lt;/D&gt;&lt;/FQL&gt;&lt;FQL&gt;&lt;Q&gt;ALK-US^FF_INC_PAY_TAX(ANN_R,12/2020,,,,,B,"FILING_DATE=1")&lt;/Q&gt;&lt;R&gt;1&lt;/R&gt;&lt;C&gt;1&lt;/C&gt;&lt;D xsi:type="xsd:string"&gt;#NUM&lt;/D&gt;&lt;/FQL&gt;&lt;FQL&gt;&lt;Q&gt;ALK-US^FF_INC_PAY_TAX(ANN_R,12/2019,,,,,B,"FILING_DATE=1")&lt;/Q&gt;&lt;R&gt;1&lt;/R&gt;&lt;C&gt;1&lt;/C&gt;&lt;D xsi:type="xsd:string"&gt;#NUM&lt;/D&gt;&lt;/FQL&gt;&lt;FQL&gt;&lt;Q&gt;ALK-US^FF_INC_PAY_TAX(ANN_R,12/2018,,,,,B,"FILING_DATE=1")&lt;/Q&gt;&lt;R&gt;1&lt;/R&gt;&lt;C&gt;1&lt;/C&gt;&lt;D xsi:type="xsd:string"&gt;#NUM&lt;/D&gt;&lt;/FQL&gt;&lt;FQL&gt;&lt;Q&gt;ALK-US^FF_INC_PAY_TAX(ANN_R,12/2017,,,,,B,"FILING_DATE=1")&lt;/Q&gt;&lt;R&gt;1&lt;/R&gt;&lt;C&gt;1&lt;/C&gt;&lt;D xsi:type="xsd:string"&gt;#NUM&lt;/D&gt;&lt;/FQL&gt;&lt;FQL&gt;&lt;Q&gt;ALK-US^FF_INC_PAY_TAX(ANN_R,12/2016,,,,,B,"FILING_DATE=1")&lt;/Q&gt;&lt;R&gt;1&lt;/R&gt;&lt;C&gt;1&lt;/C&gt;&lt;D xsi:type="xsd:string"&gt;#NUM&lt;/D&gt;&lt;/FQL&gt;&lt;FQL&gt;&lt;Q&gt;ALK-US^FF_INC_PAY_TAX(ANN_R,12/2015,,,,,B,"FILING_DATE=1")&lt;/Q&gt;&lt;R&gt;1&lt;/R&gt;&lt;C&gt;1&lt;/C&gt;&lt;D xsi:type="xsd:string"&gt;#NUM&lt;/D&gt;&lt;/FQL&gt;&lt;FQL&gt;&lt;Q&gt;ALK-US^FF_INC_PAY_TAX(ANN_R,12/2014,,,,,B,"FILING_DATE=1")&lt;/Q&gt;&lt;R&gt;1&lt;/R&gt;&lt;C&gt;1&lt;/C&gt;&lt;D xsi:type="xsd:string"&gt;#NUM&lt;/D&gt;&lt;/FQL&gt;&lt;FQL&gt;&lt;Q&gt;ALK-US^FF_INC_PAY_TAX(ANN_R,12/2013,,,,,B,"FILING_DATE=1")&lt;/Q&gt;&lt;R&gt;1&lt;/R&gt;&lt;C&gt;1&lt;/C&gt;&lt;D xsi:type="xsd:string"&gt;#NUM&lt;/D&gt;&lt;/FQL&gt;&lt;FQL&gt;&lt;Q&gt;ALK-US^FF_INC_PAY_TAX(ANN_R,12/2012,,,,,B,"FILING_DATE=1")&lt;/Q&gt;&lt;R&gt;1&lt;/R&gt;&lt;C&gt;1&lt;/C&gt;&lt;D xsi:type="xsd:string"&gt;#NUM&lt;/D&gt;&lt;/FQL&gt;&lt;FQL&gt;&lt;Q&gt;ALK-US^FF_INC_PAY_TAX(ANN_R,12/2011,,,,,B,"FILING_DATE=1")&lt;/Q&gt;&lt;R&gt;1&lt;/R&gt;&lt;C&gt;1&lt;/C&gt;&lt;D xsi:type="xsd:string"&gt;#NUM&lt;/D&gt;&lt;/FQL&gt;&lt;FQL&gt;&lt;Q&gt;ALK-US^FF_LIABS_CURR_OTH(ANN_R,12/2020,,,,,B,"FILING_DATE=1")&lt;/Q&gt;&lt;R&gt;1&lt;/R&gt;&lt;C&gt;1&lt;/C&gt;&lt;D xsi:type="xsd:double"&gt;2.551&lt;/D&gt;&lt;/FQL&gt;&lt;FQL&gt;&lt;Q&gt;ALK-US^FF_LIABS_CURR_OTH(ANN_R,12/2019,,,,,B,"FILING_DATE=1")&lt;/Q&gt;&lt;R&gt;1&lt;/R&gt;&lt;C&gt;1&lt;/C&gt;&lt;D xsi:type="xsd:double"&gt;2.324&lt;/D&gt;&lt;/FQL&gt;&lt;FQL&gt;&lt;Q&gt;ALK-US^FF_LIABS_CURR_OTH(ANN_R,12/2018,,,,,B,"FILING_DATE=1")&lt;/Q&gt;&lt;R&gt;1&lt;/R&gt;&lt;C&gt;1&lt;/C&gt;&lt;D xsi:type="xsd:double"&gt;2.259&lt;/D&gt;&lt;/FQL&gt;&lt;FQL&gt;&lt;Q&gt;ALK-US^FF_LIABS_CURR_OTH(ANN_R,12/2017,,,,,B,"FILING_DATE=1")&lt;/Q&gt;&lt;R&gt;1&lt;/R&gt;&lt;C&gt;1&lt;/C&gt;&lt;D xsi:type="xsd:double"&gt;2.124&lt;/D&gt;&lt;/FQL&gt;&lt;FQL&gt;&lt;Q&gt;ALK-US^FF_LIABS_CURR_OTH(ANN_R,12/2016,,,,,B,"FILING_DATE=1")&lt;/Q&gt;&lt;R&gt;1&lt;/R&gt;&lt;C&gt;1&lt;/C&gt;&lt;D xsi:type="xsd:double"&gt;1.628&lt;/D&gt;&lt;/FQL&gt;&lt;FQL&gt;&lt;Q&gt;ALK-US^FF_LIABS_CURR_OTH(ANN_R,12/2015,,,,,B,"FILING_DATE=1")&lt;/Q&gt;&lt;R&gt;1&lt;/R&gt;&lt;C&gt;1&lt;/C&gt;&lt;D xsi:type="xsd:double"&gt;1.492&lt;/D&gt;&lt;/FQL&gt;&lt;FQL&gt;&lt;Q&gt;ALK-US^FF_LIABS_CURR_OTH(ANN_R,12/2014,,,,,B,"FILING_DATE=1")&lt;/Q&gt;&lt;R&gt;1&lt;/R&gt;&lt;C&gt;1&lt;/C&gt;&lt;D xsi:type="xsd:double"&gt;1.399&lt;/D&gt;&lt;/FQL&gt;&lt;FQL&gt;&lt;Q&gt;ALK-US^FF_LIABS_CURR_OTH(ANN_R,12/2013,,,,,B,"FILING_DATE=1")&lt;/Q&gt;&lt;R&gt;1&lt;/R&gt;&lt;C&gt;1&lt;/C&gt;&lt;D xsi:type="xsd:double"&gt;1.275&lt;/D&gt;&lt;/FQL&gt;&lt;FQL&gt;&lt;Q&gt;ALK-US^FF_LIABS_CURR_OTH(ANN_R,12/2012,,,,,B,"FILING_DATE=1")&lt;/Q&gt;&lt;R&gt;1&lt;/R&gt;&lt;C&gt;1&lt;/C&gt;&lt;D xsi:type="xsd:double"&gt;1.1981&lt;/D&gt;&lt;/FQL&gt;&lt;FQL&gt;&lt;Q&gt;ALK-US^FF_LIABS_CURR_OTH(ANN_R,12/2011,,,,,B,"FILING_DATE=1")&lt;/Q&gt;&lt;R&gt;1&lt;/R&gt;&lt;C&gt;1&lt;/C&gt;&lt;D xsi:type="xsd:double"&gt;1.1433&lt;/D&gt;&lt;/FQL&gt;&lt;FQL&gt;&lt;Q&gt;ALK-US^FF_LIABS_CURR(ANN_R,12/2020,,,,,B,"FILING_DATE=1")&lt;/Q&gt;&lt;R&gt;1&lt;/R&gt;&lt;C&gt;1&lt;/C&gt;&lt;D xsi:type="xsd:double"&gt;3.201&lt;/D&gt;&lt;/FQL&gt;&lt;FQL&gt;&lt;Q&gt;ALK-US^FF_LIABS_CURR(ANN_R,12/2019,,,,,B,"FILING_DATE=1")&lt;/Q&gt;&lt;R&gt;1&lt;/R&gt;&lt;C&gt;1&lt;/C&gt;&lt;D xsi:type="xsd:double"&gt;2.942&lt;/D&gt;&lt;/FQL&gt;&lt;FQL&gt;&lt;Q&gt;ALK-US^FF_LIABS_CURR(ANN_R,12/2018,,,,,B,"FILING_DATE=1")&lt;/Q&gt;&lt;R&gt;1&lt;/R&gt;&lt;C&gt;1&lt;/C&gt;&lt;D xsi:type="xsd:double"&gt;2.686&lt;/D&gt;&lt;/FQL&gt;&lt;FQL&gt;&lt;Q&gt;ALK-US^FF_LIABS_CURR(ANN_R,12/2017,,,,,B,"FILING_DATE=1")&lt;/Q&gt;&lt;R&gt;1&lt;/R&gt;&lt;C&gt;1&lt;/C&gt;&lt;D xsi:type="xsd:double"&gt;2.535&lt;/D&gt;&lt;/FQL&gt;&lt;FQL&gt;&lt;Q&gt;ALK-US^FF_LIABS_CURR(ANN_R,12/2016,,,,,B,"FILING_DATE=1")&lt;/Q&gt;&lt;R&gt;1&lt;/R&gt;&lt;C&gt;1&lt;/C&gt;&lt;D xsi:type="xsd:double"&gt;1.805&lt;/D&gt;&lt;/FQL&gt;&lt;FQL&gt;&lt;Q&gt;ALK-US^FF_LIABS_CURR(ANN_R,12/2015,,,,,B,"FILING_DATE=1")&lt;/Q&gt;&lt;R&gt;1&lt;/R&gt;&lt;C&gt;1&lt;/C&gt;&lt;D xsi:type="xsd:double"&gt;1.671&lt;/D&gt;&lt;/FQL&gt;&lt;FQL&gt;&lt;Q&gt;ALK-US^FF_LIABS_CURR(ANN_R,12/2014,,,,,B,"FILING_DATE=1")&lt;/Q&gt;&lt;R&gt;1&lt;/R&gt;&lt;C&gt;1&lt;/C&gt;&lt;D xsi:type="xsd:double"&gt;1.58&lt;/D&gt;&lt;/FQL&gt;&lt;FQL&gt;&lt;Q&gt;ALK-US^FF_LIABS_CURR(ANN_R,12/2013,,,,,B,"FILING_DATE=1")&lt;/Q&gt;&lt;R&gt;1&lt;/R&gt;&lt;C&gt;1&lt;/C&gt;&lt;D xsi:type="xsd:double"&gt;1.501&lt;/D&gt;&lt;/FQL&gt;&lt;FQL&gt;&lt;Q&gt;ALK-US^FF_LIABS_CURR(ANN_R,12/2012,,,,,B,"FILING_DATE=1")&lt;/Q&gt;&lt;R&gt;1&lt;/R&gt;&lt;C&gt;1&lt;/C&gt;&lt;D xsi:type="xsd:double"&gt;1.5096&lt;/D&gt;&lt;/FQL&gt;&lt;FQL&gt;&lt;Q&gt;ALK-US^FF_LIABS_CURR(ANN_R,12/2011,,,,,B,"FILING_DATE=1")&lt;/Q&gt;&lt;R&gt;1&lt;/R&gt;&lt;C&gt;1&lt;/C&gt;&lt;D xsi:type="xsd:double"&gt;1.4247&lt;/D&gt;&lt;/FQL&gt;&lt;FQL&gt;&lt;Q&gt;ALK-US^FF_DEBT_LT(ANN_R,12/2020,,,,,B,"FILING_DATE=1")&lt;/Q&gt;&lt;R&gt;1&lt;/R&gt;&lt;C&gt;1&lt;/C&gt;&lt;D xsi:type="xsd:double"&gt;2.703&lt;/D&gt;&lt;/FQL&gt;&lt;FQL&gt;&lt;Q&gt;ALK-US^FF_DEBT_LT(ANN_R,12/2019,,,,,B,"FILING_DATE=1")&lt;/Q&gt;&lt;R&gt;1&lt;/R&gt;&lt;C&gt;1&lt;/C&gt;&lt;D xsi:type="xsd:double"&gt;1.617&lt;/D&gt;&lt;/FQL&gt;&lt;FQL&gt;&lt;Q&gt;ALK-US^FF_DEBT_LT(ANN_R,12/2018,,,,,B,"FILING_DATE=1")&lt;/Q&gt;&lt;R&gt;1&lt;/R&gt;&lt;C&gt;1&lt;/C&gt;&lt;D xsi:type="xsd:double"&gt;2.262&lt;/D&gt;&lt;/FQL&gt;&lt;FQL&gt;&lt;Q&gt;ALK-US^FF_DEBT_LT(ANN_R,12/2017,,,,,B,"FILING_DATE=1")&lt;/Q&gt;&lt;R&gt;1&lt;/R&gt;&lt;C&gt;1&lt;/C&gt;&lt;D xsi:type="xsd:double"&gt;2.645&lt;/D&gt;&lt;/FQL&gt;&lt;FQL&gt;&lt;Q&gt;ALK-US^FF_DEBT_LT(ANN_R,12/2016,,,,,B,"FILING_DATE=1")&lt;/Q&gt;&lt;R&gt;1&lt;/R&gt;&lt;C&gt;1&lt;/C&gt;&lt;D xsi:type="xsd:double"&gt;0.569&lt;/D&gt;&lt;/FQL&gt;&lt;FQL&gt;&lt;Q&gt;ALK-US^FF_DEBT_LT(ANN_R,12/2015,,,,,B,"FILING_DATE=1")&lt;/Q&gt;&lt;R&gt;1&lt;/R&gt;&lt;C&gt;1&lt;/C&gt;&lt;D xsi:type="xsd:double"&gt;0.686&lt;/D&gt;&lt;/FQL&gt;&lt;FQL&gt;&lt;Q&gt;ALK-US^FF_DEBT_LT(ANN_R,12/2014,,,,,B,"FILING_DATE=1")&lt;/Q&gt;&lt;R&gt;1&lt;/R&gt;&lt;C&gt;1&lt;/C&gt;&lt;D xsi:type="xsd:double"&gt;0.754&lt;/D&gt;&lt;/FQL&gt;&lt;FQL&gt;&lt;Q&gt;ALK-US^FF_DEBT_LT(ANN_R,12/2013,,,,,B,"FILING_DATE=1")&lt;/Q&gt;&lt;R&gt;1&lt;/R&gt;&lt;C&gt;1&lt;/C&gt;&lt;D xsi:type="xsd:double"&gt;0.871&lt;/D&gt;&lt;/FQL&gt;&lt;FQL&gt;&lt;Q&gt;ALK-US^FF_DEBT_LT(ANN_R,12/2012,,,,,B,"FILING_DATE=1")&lt;/Q&gt;&lt;R&gt;1&lt;/R&gt;&lt;C&gt;1&lt;/C&gt;&lt;D xsi:type="xsd:double"&gt;1.099&lt;/D&gt;&lt;/FQL&gt;&lt;FQL&gt;&lt;Q&gt;ALK-US^FF_DEBT_LT(ANN_R,12/2011,,,,,B,"FILING_DATE=1")&lt;/Q&gt;&lt;R&gt;1&lt;/R&gt;&lt;C&gt;1&lt;/C&gt;&lt;D xsi:type="xsd:double"&gt;1.313&lt;/D&gt;&lt;/FQL&gt;&lt;FQL&gt;&lt;Q&gt;ALK-US^FF_CASH_ST(ANN_R,12/2020,,,,,B,"FILING_DATE=1")&lt;/Q&gt;&lt;R&gt;1&lt;/R&gt;&lt;C&gt;1&lt;/C&gt;&lt;D xsi:type="xsd:double"&gt;1.521&lt;/D&gt;&lt;/FQL&gt;&lt;FQL&gt;&lt;Q&gt;ALK-US^FF_CASH_ST(ANN_R,12/2019,,,,,B,"FILING_DATE=1")&lt;/Q&gt;&lt;R&gt;1&lt;/R&gt;&lt;C&gt;1&lt;/C&gt;&lt;D xsi:type="xsd:double"&gt;1.236&lt;/D&gt;&lt;/FQL&gt;&lt;FQL&gt;&lt;Q&gt;ALK-US^FF_CASH_ST(ANN_R,12/2018,,,,,B,"FILING_DATE=1")&lt;/Q&gt;&lt;R&gt;1&lt;/R&gt;&lt;C&gt;1&lt;/C&gt;&lt;D xsi:type="xsd:double"&gt;1.621&lt;/D&gt;&lt;/FQL&gt;&lt;FQL&gt;&lt;Q&gt;ALK-US^FF_CASH_ST(ANN_R,12/2017,,,,,B,"FILING_DATE=1")&lt;/Q&gt;&lt;R&gt;1&lt;/R&gt;&lt;C&gt;1&lt;/C&gt;&lt;D xsi:type="xsd:double"&gt;1.58&lt;/D&gt;&lt;/FQL&gt;&lt;FQL&gt;&lt;Q&gt;ALK-US^FF_CASH_ST(ANN_R,12/2016,,,,,B,"FILING_DATE=1")&lt;/Q&gt;&lt;R&gt;1&lt;/R&gt;&lt;C&gt;1&lt;/C&gt;&lt;D xsi:type="xsd:double"&gt;1.328&lt;/D&gt;&lt;/FQL&gt;&lt;FQL&gt;&lt;Q&gt;ALK-US^FF_CASH_ST(ANN_R,12/2015,,,,,B,"FILING_DATE=1")&lt;/Q&gt;&lt;R&gt;1&lt;/R&gt;&lt;C&gt;1&lt;/C&gt;&lt;D xsi:type="xsd:double"&gt;1.217&lt;/D&gt;&lt;/FQL&gt;&lt;FQL&gt;&lt;Q&gt;ALK-US^FF_CASH_ST(ANN_R,12/2014,,,,,B,"FILING_DATE=1")&lt;/Q&gt;&lt;R&gt;1&lt;/R&gt;&lt;C&gt;1&lt;/C&gt;&lt;D xsi:type="xsd:double"&gt;1.342&lt;/D&gt;&lt;/FQL&gt;&lt;FQL&gt;&lt;Q&gt;ALK-US^FF_CASH_ST(ANN_R,12/2013,,,,,B,"FILING_DATE=1")&lt;/Q&gt;&lt;R&gt;1&lt;/R&gt;&lt;C&gt;1&lt;/C&gt;&lt;D xsi:type="xsd:double"&gt;1.278&lt;/D&gt;&lt;/FQL&gt;&lt;FQL&gt;&lt;Q&gt;ALK-US^FF_CASH_ST(ANN_R,12/2012,,,,,B,"FILING_DATE=1")&lt;/Q&gt;&lt;R&gt;1&lt;/R&gt;&lt;C&gt;1&lt;/C&gt;&lt;D xsi:type="xsd:double"&gt;1.1876&lt;/D&gt;&lt;/FQL&gt;&lt;FQL&gt;&lt;Q&gt;ALK-US^FF_CASH_ST(ANN_R,12/2011,,,,,B,"FILING_DATE=1")&lt;/Q&gt;&lt;R&gt;1&lt;/R&gt;&lt;C&gt;1&lt;/C&gt;&lt;D xsi:type="xsd:double"&gt;1.2696&lt;/D&gt;&lt;/FQL&gt;&lt;FQL&gt;&lt;Q&gt;ALK-US^FF_RECEIV_ST(ANN_R,12/2020,,,,,B)&lt;/Q&gt;&lt;R&gt;1&lt;/R&gt;&lt;C&gt;1&lt;/C&gt;&lt;D xsi:type="xsd:double"&gt;0.48&lt;/D&gt;&lt;/FQL&gt;&lt;FQL&gt;&lt;Q&gt;ALK-US^FF_RECEIV_ST(ANN_R,12/2019,,,,,B)&lt;/Q&gt;&lt;R&gt;1&lt;/R&gt;&lt;C&gt;1&lt;/C&gt;&lt;D xsi:type="xsd:double"&gt;0.323&lt;/D&gt;&lt;/FQL&gt;&lt;FQL&gt;&lt;Q&gt;ALK-US^FF_RECEIV_ST(ANN_R,12/2018,,,,,B)&lt;/Q&gt;&lt;R&gt;1&lt;/R&gt;&lt;C&gt;1&lt;/C&gt;&lt;D xsi:type="xsd:double"&gt;0.366&lt;/D&gt;&lt;/FQL&gt;&lt;FQL&gt;&lt;Q&gt;ALK-US^FF_RECEIV_ST(ANN_R,12/2017,,,,,B)&lt;/Q&gt;&lt;R&gt;1&lt;/R&gt;&lt;C&gt;1&lt;/C&gt;&lt;D xsi:type="xsd:double"&gt;0.341&lt;/D&gt;&lt;/FQL&gt;&lt;FQL&gt;&lt;Q&gt;ALK-US^FF_RECEIV_ST(ANN_R,12/2016,,,,,B)&lt;/Q&gt;&lt;R&gt;1&lt;/R&gt;&lt;C&gt;1&lt;/C&gt;&lt;D xsi:type="xsd:double"&gt;0.302&lt;/D&gt;&lt;/FQL&gt;&lt;FQL&gt;&lt;Q&gt;ALK-US^FF_RECEIV_ST(ANN_R,12/2015,,,,,B)&lt;/Q&gt;&lt;R&gt;1&lt;/R&gt;&lt;C&gt;1&lt;/C&gt;&lt;D xsi:type="xsd:double"&gt;0.212&lt;/D&gt;&lt;/FQL&gt;&lt;FQL&gt;&lt;Q&gt;ALK-US^FF_RECEIV_ST(ANN_R,12/2014,,,,,B)&lt;/Q&gt;&lt;R&gt;1&lt;/R&gt;&lt;C&gt;1&lt;/C&gt;&lt;D xsi:type="xsd:double"&gt;0.259&lt;/D&gt;&lt;/FQL&gt;&lt;FQL&gt;&lt;Q&gt;ALK-US^FF_RECEIV_ST(ANN_R,12/2013,,,,,B)&lt;/Q&gt;&lt;R&gt;1&lt;/R&gt;&lt;C&gt;1&lt;/C&gt;&lt;D xsi:type="xsd:double"&gt;0.152&lt;/D&gt;&lt;/FQL&gt;&lt;FQL&gt;&lt;Q&gt;ALK-US^FF_RECEIV_ST(ANN_R,12/2012,,,,,B)&lt;/Q&gt;&lt;R&gt;1&lt;/R&gt;&lt;C&gt;1&lt;/C&gt;&lt;D xsi:type="xsd:double"&gt;0.13&lt;/D&gt;&lt;/FQL&gt;&lt;FQL&gt;&lt;Q&gt;ALK-US^FF_RECEIV_ST(ANN_R,12/2011,,,,,B)&lt;/Q&gt;&lt;R&gt;1&lt;/R&gt;&lt;C&gt;1&lt;/C&gt;&lt;D xsi:type="xsd:double"&gt;0.1364&lt;/D&gt;&lt;/FQL&gt;&lt;FQL&gt;&lt;Q&gt;ALK-US^FF_INVEN(ANN_R,12/2020,,,,,B)&lt;/Q&gt;&lt;R&gt;1&lt;/R&gt;&lt;C&gt;1&lt;/C&gt;&lt;D xsi:type="xsd:double"&gt;0.057&lt;/D&gt;&lt;/FQL&gt;&lt;FQL&gt;&lt;Q&gt;ALK-US^FF_INVEN(ANN_R,12/2019,,,,,B)&lt;/Q&gt;&lt;R&gt;1&lt;/R&gt;&lt;C&gt;1&lt;/C&gt;&lt;D xsi:type="xsd:double"&gt;0.072&lt;/D&gt;&lt;/FQL&gt;&lt;FQL&gt;&lt;Q&gt;ALK-US^FF_INVEN(ANN_R,12/2018,,,,,B)&lt;/Q&gt;&lt;R&gt;1&lt;/R&gt;&lt;C&gt;1&lt;/C&gt;&lt;D xsi:type="xsd:double"&gt;0.06&lt;/D&gt;&lt;/FQL&gt;&lt;FQL&gt;&lt;Q&gt;ALK-US^FF_INVEN(ANN_R,12/2017,,,,,B)&lt;/Q&gt;&lt;R&gt;1&lt;/R&gt;&lt;C&gt;1&lt;/C&gt;&lt;D xsi:type="xsd:double"&gt;0.057&lt;/D&gt;&lt;/FQL&gt;&lt;FQL&gt;&lt;Q&gt;ALK-US^FF_INVEN(ANN_R,12/2016,,,,,B)&lt;/Q&gt;&lt;R&gt;1&lt;/R&gt;&lt;C&gt;1&lt;/C&gt;&lt;D xsi:type="xsd:double"&gt;0.047&lt;/D&gt;&lt;/FQL&gt;&lt;FQL&gt;&lt;Q&gt;ALK-US^FF_INVEN(ANN_R,12/2015,,,,,B)&lt;/Q&gt;&lt;R&gt;1&lt;/R&gt;&lt;C&gt;1&lt;/C&gt;&lt;D xsi:type="xsd:double"&gt;0.051&lt;/D&gt;&lt;/FQL&gt;&lt;FQL&gt;&lt;Q&gt;ALK-US^FF_INVEN(ANN_R,12/2014,,,,,B)&lt;/Q&gt;&lt;R&gt;1&lt;/R&gt;&lt;C&gt;1&lt;/C&gt;&lt;D xsi:type="xsd:double"&gt;0.058&lt;/D&gt;&lt;/FQL&gt;&lt;FQL&gt;&lt;Q&gt;ALK-US^FF_INVEN(ANN_R,12/2013,,,,,B)&lt;/Q&gt;&lt;R&gt;1&lt;/R&gt;&lt;C&gt;1&lt;/C&gt;&lt;D xsi:type="xsd:double"&gt;0.06&lt;/D&gt;&lt;/FQL&gt;&lt;FQL&gt;&lt;Q&gt;ALK-US^FF_INVEN(ANN_R,12/2012,,,,,B)&lt;/Q&gt;&lt;R&gt;1&lt;/R&gt;&lt;C&gt;1&lt;/C&gt;&lt;D xsi:type="xsd:double"&gt;0.058&lt;/D&gt;&lt;/FQL&gt;&lt;FQL&gt;&lt;Q&gt;ALK-US^FF_INVEN(ANN_R,12/2011,,,,,B)&lt;/Q&gt;&lt;R&gt;1&lt;/R&gt;&lt;C&gt;1&lt;/C&gt;&lt;D xsi:type="xsd:double"&gt;0.0443&lt;/D&gt;&lt;/FQL&gt;&lt;FQL&gt;&lt;Q&gt;ALK-US^FF_ASSETS_CURR_OTH(ANN_R,12/2020,,,,,B,"FILING_DATE=1")&lt;/Q&gt;&lt;R&gt;1&lt;/R&gt;&lt;C&gt;1&lt;/C&gt;&lt;D xsi:type="xsd:double"&gt;0.121&lt;/D&gt;&lt;/FQL&gt;&lt;FQL&gt;&lt;Q&gt;ALK-US^FF_ASSETS_CURR_OTH(ANN_R,12/2019,,,,,B,"FILING_DATE=1")&lt;/Q&gt;&lt;R&gt;1&lt;/R&gt;&lt;C&gt;1&lt;/C&gt;&lt;D xsi:type="xsd:double"&gt;0.125&lt;/D&gt;&lt;/FQL&gt;&lt;FQL&gt;&lt;Q&gt;ALK-US^FF_ASSETS_CURR_OTH(ANN_R,12/2018,,,,,B,"FILING_DATE=1")&lt;/Q&gt;&lt;R&gt;1&lt;/R&gt;&lt;C&gt;1&lt;/C&gt;&lt;D xsi:type="xsd:double"&gt;0.133&lt;/D&gt;&lt;/FQL&gt;&lt;FQL&gt;&lt;Q&gt;ALK-US^FF_ASSETS_CURR_OTH(ANN_R,12/2017,,,,,B,"FILING_DATE=1")&lt;/Q&gt;&lt;R&gt;1&lt;/R&gt;&lt;C&gt;1&lt;/C&gt;&lt;D xsi:type="xsd:double"&gt;0.121&lt;/D&gt;&lt;/FQL&gt;&lt;FQL&gt;&lt;Q&gt;ALK-US^FF_ASSETS_CURR_OTH(ANN_R,12/2016,,,,,B,"FILING_DATE=1")&lt;/Q&gt;&lt;R&gt;1&lt;/R&gt;&lt;C&gt;1&lt;/C&gt;&lt;D xsi:type="xsd:double"&gt;0.072&lt;/D&gt;&lt;/FQL&gt;&lt;FQL&gt;&lt;Q&gt;ALK-US^FF_ASSETS_CURR_OTH(ANN_R,12/2015,,,,,B,"FILING_DATE=1")&lt;/Q&gt;&lt;R&gt;1&lt;/R&gt;&lt;C&gt;1&lt;/C&gt;&lt;D xsi:type="xsd:double"&gt;0.222&lt;/D&gt;&lt;/FQL&gt;&lt;FQL&gt;&lt;Q&gt;ALK-US^FF_ASSETS_CURR_OTH(ANN_R,12/2014,,,,,B,"FILING_DATE=1")&lt;/Q&gt;&lt;R&gt;1&lt;/R&gt;&lt;C&gt;1&lt;/C&gt;&lt;D xsi:type="xsd:double"&gt;0.208&lt;/D&gt;&lt;/FQL&gt;&lt;FQL&gt;&lt;Q&gt;ALK-US^FF_ASSETS_CURR_OTH(ANN_R,12/2013,,,,,B,"FILING_DATE=1")&lt;/Q&gt;&lt;R&gt;1&lt;/R&gt;&lt;C&gt;1&lt;/C&gt;&lt;D xsi:type="xsd:double"&gt;0.271&lt;/D&gt;&lt;/FQL&gt;&lt;FQL&gt;&lt;Q&gt;ALK-US^FF_ASSETS_CURR_OTH(ANN_R,12/2012,,,,,B,"FILING_DATE=1")&lt;/Q&gt;&lt;R&gt;1&lt;/R&gt;&lt;C&gt;1&lt;/C&gt;&lt;D xsi:type="xsd:double"&gt;0.2272&lt;/D&gt;&lt;/FQL&gt;&lt;FQL&gt;&lt;Q&gt;ALK-US^FF_ASSETS_CURR_OTH(ANN_R,12/2011,,,,,B,"FILING_DATE=1")&lt;/Q&gt;&lt;R&gt;1&lt;/R&gt;&lt;C&gt;1&lt;/C&gt;&lt;D xsi:type="xsd:double"&gt;0.2272&lt;/D&gt;&lt;/FQL&gt;&lt;FQL&gt;&lt;Q&gt;ALK-US^FF_ASSETS_CURR(ANN_R,12/2020,,,,,B,"FILING_DATE=1")&lt;/Q&gt;&lt;R&gt;1&lt;/R&gt;&lt;C&gt;1&lt;/C&gt;&lt;D xsi:type="xsd:double"&gt;2.037&lt;/D&gt;&lt;/FQL&gt;&lt;FQL&gt;&lt;Q&gt;ALK-US^FF_ASSETS_CURR(ANN_R,12/2019,,,,,B,"FILING_DATE=1")&lt;/Q&gt;&lt;R&gt;1&lt;/R&gt;&lt;C&gt;1&lt;/C&gt;&lt;D xsi:type="xsd:double"&gt;1.787&lt;/D&gt;&lt;/FQL&gt;&lt;FQL&gt;&lt;Q&gt;ALK-US^FF_ASSETS_CURR(ANN_R,12/2018,,,,,B,"FILING_DATE=1")&lt;/Q&gt;&lt;R&gt;1&lt;/R&gt;&lt;C&gt;1&lt;/C&gt;&lt;D xsi:type="xsd:double"&gt;2.152&lt;/D&gt;&lt;/FQL&gt;&lt;FQL&gt;&lt;Q&gt;ALK-US^FF_ASSETS_CURR(ANN_R,12/2017,,,,,B,"FILING_DATE=1")&lt;/Q&gt;&lt;R&gt;1&lt;/R&gt;&lt;C&gt;1&lt;/C&gt;&lt;D xsi:type="xsd:double"&gt;2.05&lt;/D&gt;&lt;/FQL&gt;&lt;FQL&gt;&lt;Q&gt;ALK-US^FF_ASSETS_CURR(ANN_R,12/2016,,,,,B,"FILING_DATE=1")&lt;/Q&gt;&lt;R&gt;1&lt;/R&gt;&lt;C&gt;1&lt;/C&gt;&lt;D xsi:type="xsd:double"&gt;1.663&lt;/D&gt;&lt;/FQL&gt;&lt;FQL&gt;&lt;Q&gt;ALK-US^FF_ASSETS_CURR(ANN_R,12/2015,,,,,B,"FILING_DATE=1")&lt;/Q&gt;&lt;R&gt;1&lt;/R&gt;&lt;C&gt;1&lt;/C&gt;&lt;D xsi:type="xsd:double"&gt;1.756&lt;/D&gt;&lt;/FQL&gt;&lt;FQL&gt;&lt;Q&gt;ALK-US^FF_ASSETS_CURR(ANN_R,12/2014,,,,,B,"FILING_DATE=1")&lt;/Q&gt;&lt;R&gt;1&lt;/R&gt;&lt;C&gt;1&lt;/C&gt;&lt;D xsi:type="xsd:double"&gt;1.762&lt;/D&gt;&lt;/FQL&gt;&lt;FQL&gt;&lt;Q&gt;ALK-US^FF_ASSETS_CURR(ANN_R,12/2013,,,,,B,"FILING_DATE=1")&lt;/Q&gt;&lt;R&gt;1&lt;/R&gt;&lt;C&gt;1&lt;/C&gt;&lt;D xsi:type="xsd:double"&gt;1.737&lt;/D&gt;&lt;/FQL&gt;&lt;FQL&gt;&lt;Q&gt;ALK-US^FF_ASSETS_CURR(ANN_R,12/2012,,,,,B,"FILING_DATE=1")&lt;/Q&gt;&lt;R&gt;1&lt;/R&gt;&lt;C&gt;1&lt;/C&gt;&lt;D xsi:type="xsd:double"&gt;1.5955&lt;/D&gt;&lt;/FQL&gt;&lt;FQL&gt;&lt;Q&gt;ALK-US^FF_ASSETS_CURR(ANN_R,12/2011,,,,,B,"FILING_DATE=1")&lt;/Q&gt;&lt;R&gt;1&lt;/R&gt;&lt;C&gt;1&lt;/C&gt;&lt;D xsi:type="xsd:double"&gt;1.662&lt;/D&gt;&lt;/FQL&gt;&lt;FQL&gt;&lt;Q&gt;ALK-US^FF_PPE_NET(ANN_R,12/2020,,,,,B,"FILING_DATE=1")&lt;/Q&gt;&lt;R&gt;1&lt;/R&gt;&lt;C&gt;1&lt;/C&gt;&lt;D xsi:type="xsd:double"&gt;8.613&lt;/D&gt;&lt;/FQL&gt;&lt;FQL&gt;&lt;Q&gt;ALK-US^FF_PPE_NET(ANN_R,12/2019,,,,,B,"FILING_DATE=1")&lt;/Q&gt;&lt;R&gt;1&lt;/R&gt;&lt;C&gt;1&lt;/C&gt;&lt;D xsi:type="xsd:double"&gt;6.781&lt;/D&gt;&lt;/FQL&gt;&lt;FQL&gt;&lt;Q&gt;ALK-US^FF_PPE_NET(ANN_R,12/2018,,,,,B,"FILING_DATE=1")&lt;/Q&gt;&lt;R&gt;1&lt;/R&gt;&lt;C&gt;1&lt;/C&gt;&lt;D xsi:type="xsd:double"&gt;6.284&lt;/D&gt;&lt;/FQL&gt;&lt;FQL&gt;&lt;Q&gt;ALK-US^FF_PPE_NET(ANN_R,12/2017,,,,,B,"FILING_DATE=1")&lt;/Q&gt;&lt;R&gt;1&lt;/R&gt;&lt;C&gt;1&lt;/C&gt;&lt;D xsi:type="xsd:double"&gt;5.666&lt;/D&gt;&lt;/FQL&gt;&lt;FQL&gt;&lt;Q&gt;ALK-US^FF_PPE_NET(ANN_R,12/2016,,,,,B,"FILING_DATE=1")&lt;/Q&gt;&lt;R&gt;1&lt;/R&gt;&lt;C&gt;1&lt;/C&gt;&lt;D xsi:type="xsd:double"&gt;4.802&lt;/D&gt;&lt;/FQL&gt;&lt;FQL&gt;&lt;Q&gt;ALK-US^FF_PPE_NET(ANN_R,12/2015,,,,,B,"FILING_DATE=1")&lt;/Q&gt;&lt;R&gt;1&lt;/R&gt;&lt;C&gt;1&lt;/C&gt;&lt;D xsi:type="xsd:double"&gt;4.299&lt;/D&gt;&lt;/FQL&gt;&lt;FQL&gt;&lt;Q&gt;ALK-US^FF_PPE_NET(ANN_R,12/2014,,,,,B,"FILING_DATE=1")&lt;/Q&gt;&lt;R&gt;1&lt;/R&gt;&lt;C&gt;1&lt;/C&gt;&lt;D xsi:type="xsd:double"&gt;3.893&lt;/D&gt;&lt;/FQL&gt;&lt;FQL&gt;&lt;Q&gt;ALK-US^FF_PPE_NET(ANN_R,12/2013,,,,,B,"FILING_DATE=1")&lt;/Q&gt;&lt;R&gt;1&lt;/R&gt;&lt;C&gt;1&lt;/C&gt;&lt;D xsi:type="xsd:double"&gt;3.609&lt;/D&gt;&lt;/FQL&gt;&lt;FQL&gt;&lt;Q&gt;ALK-US^FF_PPE_NET(ANN_R,12/2012,,,,,B,"FILING_DATE=1")&lt;/Q&gt;&lt;R&gt;1&lt;/R&gt;&lt;C&gt;1&lt;/C&gt;&lt;D xsi:type="xsd:double"&gt;3.4015&lt;/D&gt;&lt;/FQL&gt;&lt;FQL&gt;&lt;Q&gt;ALK-US^FF_PPE_NET(ANN_R,12/2011,,,,,B,"FILING_DATE=1")&lt;/Q&gt;&lt;R&gt;1&lt;/R&gt;&lt;C&gt;1&lt;/C&gt;&lt;D xsi:type="xsd:double"&gt;3.1171&lt;/D&gt;&lt;/FQL&gt;&lt;FQL&gt;&lt;Q&gt;ALK-US^FF_INVEST_ADV(ANN_R,12/2020,,,,,B)&lt;/Q&gt;&lt;R&gt;1&lt;/R&gt;&lt;C&gt;1&lt;/C&gt;&lt;D xsi:type="xsd:double"&gt;0.02&lt;/D&gt;&lt;/FQL&gt;&lt;FQL&gt;&lt;Q&gt;ALK-US^FF_INVEST_ADV(ANN_R,12/2019,,,,,B)&lt;/Q&gt;&lt;R&gt;1&lt;/R&gt;&lt;C&gt;1&lt;/C&gt;&lt;D xsi:type="xsd:double"&gt;0.016&lt;/D&gt;&lt;/FQL&gt;&lt;FQL&gt;&lt;Q&gt;ALK-US^FF_INVEST_ADV(ANN_R,12/2018,,,,,B)&lt;/Q&gt;&lt;R&gt;1&lt;/R&gt;&lt;C&gt;1&lt;/C&gt;&lt;D xsi:type="xsd:double"&gt;0.018&lt;/D&gt;&lt;/FQL&gt;&lt;FQL&gt;&lt;Q&gt;ALK-US^FF_INVEST_ADV(ANN_R,12/2017,,,,,B)&lt;/Q&gt;&lt;R&gt;1&lt;/R&gt;&lt;C&gt;1&lt;/C&gt;&lt;D xsi:type="xsd:double"&gt;0.014&lt;/D&gt;&lt;/FQL&gt;&lt;FQL&gt;&lt;Q&gt;ALK-US^FF_INVEST_ADV(ANN_R,12/2016,,,,,B)&lt;/Q&gt;&lt;R&gt;1&lt;/R&gt;&lt;C&gt;1&lt;/C&gt;&lt;D xsi:type="xsd:double"&gt;0.003&lt;/D&gt;&lt;/FQL&gt;&lt;FQL&gt;&lt;Q&gt;ALK-US^FF_INVEST_ADV(ANN_R,12/2015,,,,,B)&lt;/Q&gt;&lt;R&gt;1&lt;/R&gt;&lt;C&gt;1&lt;/C&gt;&lt;D xsi:type="xsd:double"&gt;0&lt;/D&gt;&lt;/FQL&gt;&lt;FQL&gt;&lt;Q&gt;ALK-US^FF_INVEST_ADV(ANN_R,12/2014,,,,,B)&lt;/Q&gt;&lt;R&gt;1&lt;/R&gt;&lt;C&gt;1&lt;/C&gt;&lt;D xsi:type="xsd:double"&gt;0.004&lt;/D&gt;&lt;/FQL&gt;&lt;FQL&gt;&lt;Q&gt;ALK-US^FF_INVEST_ADV(ANN_R,12/2013,,,,,B)&lt;/Q&gt;&lt;R&gt;1&lt;/R&gt;&lt;C&gt;1&lt;/C&gt;&lt;D xsi:type="xsd:double"&gt;0.004&lt;/D&gt;&lt;/FQL&gt;&lt;FQL&gt;&lt;Q&gt;ALK-US^FF_INVEST_ADV(ANN_R,12/2012,,,,,B)&lt;/Q&gt;&lt;R&gt;1&lt;/R&gt;&lt;C&gt;1&lt;/C&gt;&lt;D xsi:type="xsd:double"&gt;0.039&lt;/D&gt;&lt;/FQL&gt;&lt;FQL&gt;&lt;Q&gt;ALK-US^FF_INVEST_ADV(ANN_R,12/2011,,,,,B)&lt;/Q&gt;&lt;R&gt;1&lt;/R&gt;&lt;C&gt;1&lt;/C&gt;&lt;D xsi:type="xsd:double"&gt;0.1532&lt;/D&gt;&lt;/FQL&gt;&lt;FQL&gt;&lt;Q&gt;ALK-US^FF_INTANG_ASSETS(ANN,12/2020,,,,,B)&lt;/Q&gt;&lt;R&gt;1&lt;/R&gt;&lt;C&gt;1&lt;/C&gt;&lt;D xsi:type="xsd:double"&gt;0&lt;/D&gt;&lt;/FQL&gt;&lt;FQL&gt;&lt;Q&gt;ALK-US^FF_INTANG_ASSETS(ANN,12/2019,,,,,B)&lt;/Q&gt;&lt;R&gt;1&lt;/R&gt;&lt;C&gt;1&lt;/C&gt;&lt;D xsi:type="xsd:double"&gt;0&lt;/D&gt;&lt;/FQL&gt;&lt;FQL&gt;&lt;Q&gt;ALK-US^FF_INTANG_ASSETS(ANN,12/2018,,,,,B)&lt;/Q&gt;&lt;R&gt;1&lt;/R&gt;&lt;C&gt;1&lt;/C&gt;&lt;D xsi:type="xsd:double"&gt;2.07&lt;/D&gt;&lt;/FQL&gt;&lt;FQL&gt;&lt;Q&gt;ALK-US^FF_INTANG_ASSETS(ANN,12/2017,,,,,B)&lt;/Q&gt;&lt;R&gt;1&lt;/R&gt;&lt;C&gt;1&lt;/C&gt;&lt;D xsi:type="xsd:double"&gt;2.076&lt;/D&gt;&lt;/FQL&gt;&lt;FQL&gt;&lt;Q&gt;ALK-US^FF_INTANG_ASSETS(ANN,12/2016,,,,,B)&lt;/Q&gt;&lt;R&gt;1&lt;/R&gt;&lt;C&gt;1&lt;/C&gt;&lt;D xsi:type="xsd:double"&gt;2.077&lt;/D&gt;&lt;/FQL&gt;&lt;FQL&gt;&lt;Q&gt;ALK-US^FF_INTANG_ASSETS(ANN,12/2015,,,,,B)&lt;/Q&gt;&lt;R&gt;1&lt;/R&gt;&lt;C&gt;1&lt;/C&gt;&lt;D xsi:type="xsd:double"&gt;0&lt;/D&gt;&lt;/FQL&gt;&lt;FQL&gt;&lt;Q&gt;ALK-US^FF_INTANG_ASSETS(ANN,12/2014,,,,,B)&lt;/Q&gt;&lt;R&gt;1&lt;/R&gt;&lt;C&gt;1&lt;/C&gt;&lt;D xsi:type="xsd:double"&gt;0&lt;/D&gt;&lt;/FQL&gt;&lt;FQL&gt;&lt;Q&gt;ALK-US^FF_INTANG_ASSETS(ANN,12/2013,,,,,B)&lt;/Q&gt;&lt;R&gt;1&lt;/R&gt;&lt;C&gt;1&lt;/C&gt;&lt;D xsi:type="xsd:double"&gt;0&lt;/D&gt;&lt;/FQL&gt;&lt;FQL&gt;&lt;Q&gt;ALK-US^FF_INTANG_ASSETS(ANN,12/2012,,,,,B)&lt;/Q&gt;&lt;R&gt;1&lt;/R&gt;&lt;C&gt;1&lt;/C&gt;&lt;D xsi:type="xsd:double"&gt;0&lt;/D&gt;&lt;/FQL&gt;&lt;FQL&gt;&lt;Q&gt;ALK-US^FF_INTANG_ASSETS(ANN,12/2011,,,,,B)&lt;/Q&gt;&lt;R&gt;1&lt;/R&gt;&lt;C&gt;1&lt;/C&gt;&lt;D xsi:type="xsd:double"&gt;0&lt;/D&gt;&lt;/FQL&gt;&lt;FQL&gt;&lt;Q&gt;ALK-US^FF_DFD_TAX_DB(ANN_R,12/2020,,,,,B)&lt;/Q&gt;&lt;R&gt;1&lt;/R&gt;&lt;C&gt;1&lt;/C&gt;&lt;D xsi:type="xsd:double"&gt;1.182&lt;/D&gt;&lt;/FQL&gt;&lt;FQL&gt;&lt;Q&gt;ALK-US^FF_DFD_TAX_DB(ANN_R,12/2019,,,,,B)&lt;/Q&gt;&lt;R&gt;1&lt;/R&gt;&lt;C&gt;1&lt;/C&gt;&lt;D xsi:type="xsd:double"&gt;1.008&lt;/D&gt;&lt;/FQL&gt;&lt;FQL&gt;&lt;Q&gt;ALK-US^FF_DFD_TAX_DB(ANN_R,12/2018,,,,,B)&lt;/Q&gt;&lt;R&gt;1&lt;/R&gt;&lt;C&gt;1&lt;/C&gt;&lt;D xsi:type="xsd:double"&gt;0.612&lt;/D&gt;&lt;/FQL&gt;&lt;FQL&gt;&lt;Q&gt;ALK-US^FF_DFD_TAX_DB(ANN_R,12/2017,,,,,B)&lt;/Q&gt;&lt;R&gt;1&lt;/R&gt;&lt;C&gt;1&lt;/C&gt;&lt;D xsi:type="xsd:double"&gt;0.696&lt;/D&gt;&lt;/FQL&gt;&lt;FQL&gt;&lt;Q&gt;ALK-US^FF_DFD_TAX_DB(ANN_R,12/2016,,,,,B)&lt;/Q&gt;&lt;R&gt;0&lt;/R&gt;&lt;C&gt;0&lt;/C&gt;&lt;/FQL&gt;&lt;FQL&gt;&lt;Q&gt;ALK-US^FF_DFD_TAX_DB(ANN_R,12/2015,,,,,B)&lt;/Q&gt;&lt;R&gt;0&lt;/R&gt;&lt;C&gt;0&lt;/C&gt;&lt;/FQL&gt;&lt;FQL&gt;&lt;Q&gt;ALK-US^FF_DFD_TAX_DB(ANN_R,12/2014,,,,,B)&lt;/Q&gt;&lt;R&gt;0&lt;/R&gt;&lt;C&gt;0&lt;/C&gt;&lt;/FQL&gt;&lt;FQL&gt;&lt;Q&gt;ALK-US^FF_DFD_TAX_DB(ANN_R,12/2013,,,,,B)&lt;/Q&gt;&lt;R&gt;0&lt;/R&gt;&lt;C&gt;0&lt;/C&gt;&lt;/FQL&gt;&lt;FQL&gt;&lt;Q&gt;ALK-US^FF_DFD_TAX_DB(ANN_R,12/2012,,,,,B)&lt;/Q&gt;&lt;R&gt;0&lt;/R&gt;&lt;C&gt;0&lt;/C&gt;&lt;/FQL&gt;&lt;FQL&gt;&lt;Q&gt;ALK-US^FF_DFD_TAX_DB(ANN_R,12/2011,,,,,B)&lt;/Q&gt;&lt;R&gt;0&lt;/R&gt;&lt;C&gt;0&lt;/C&gt;&lt;/FQL&gt;&lt;FQL&gt;&lt;Q&gt;ALK-US^FF_ASSETS(ANN_R,12/2020,,,,,B)&lt;/Q&gt;&lt;R&gt;1&lt;/R&gt;&lt;C&gt;1&lt;/C&gt;&lt;D xsi:type="xsd:double"&gt;15.228&lt;/D&gt;&lt;/FQL&gt;&lt;FQL&gt;&lt;Q&gt;ALK-US^FF_ASSETS(ANN_R,12/2019,,,,,B)&lt;/Q&gt;&lt;R&gt;1&lt;/R&gt;&lt;C&gt;1&lt;/C&gt;&lt;D xsi:type="xsd:double"&gt;14.001&lt;/D&gt;&lt;/FQL&gt;&lt;FQL&gt;&lt;Q&gt;ALK-US^FF_ASSETS(ANN_R,12/2018,,,,,B)&lt;/Q&gt;&lt;R&gt;1&lt;/R&gt;&lt;C&gt;1&lt;/C&gt;&lt;D xsi:type="xsd:double"&gt;11.524&lt;/D&gt;&lt;/FQL&gt;&lt;FQL&gt;&lt;Q&gt;ALK-US^FF_ASSETS(ANN_R,12/2017,,,,,B)&lt;/Q&gt;&lt;R&gt;1&lt;/R&gt;&lt;C&gt;1&lt;/C&gt;&lt;D xsi:type="xsd:double"&gt;11.442&lt;/D&gt;&lt;/FQL&gt;&lt;FQL&gt;&lt;Q&gt;ALK-US^FF_ASSETS(ANN_R,12/2016,,,,,B)&lt;/Q&gt;&lt;R&gt;1&lt;/R&gt;&lt;C&gt;1&lt;/C&gt;&lt;D xsi:type="xsd:double"&gt;9.962&lt;/D&gt;&lt;/FQL&gt;&lt;FQL&gt;&lt;Q&gt;ALK-US^FF_ASSETS(ANN_R,12/2015,,,,,B)&lt;/Q&gt;&lt;R&gt;1&lt;/R&gt;&lt;C&gt;1&lt;/C&gt;&lt;D xsi:type="xsd:double"&gt;6.53&lt;/D&gt;&lt;/FQL&gt;&lt;FQL&gt;&lt;Q&gt;ALK-US^FF_ASSETS(ANN_R,12/2014,,,,,B)&lt;/Q&gt;&lt;R&gt;1&lt;/R&gt;&lt;C&gt;1&lt;/C&gt;&lt;D xsi:type="xsd:double"&gt;6.181&lt;/D&gt;&lt;/FQL&gt;&lt;FQL&gt;&lt;Q&gt;ALK-US^FF_ASSETS(ANN_R,12/2013,,,,,B)&lt;/Q&gt;&lt;R&gt;1&lt;/R&gt;&lt;C&gt;1&lt;/C&gt;&lt;D xsi:type="xsd:double"&gt;5.838&lt;/D&gt;&lt;/FQL&gt;&lt;FQL&gt;&lt;Q&gt;ALK-US^FF_ASSETS(ANN_R,12/2012,,,,,B)&lt;/Q&gt;&lt;R&gt;1&lt;/R&gt;&lt;C&gt;1&lt;/C&gt;&lt;D xsi:type="xsd:double"&gt;5.505&lt;/D&gt;&lt;/FQL&gt;&lt;FQL&gt;&lt;Q&gt;ALK-US^FF_ASSETS(ANN_R,12/2011,,,,,B)&lt;/Q&gt;&lt;R&gt;1&lt;/R&gt;&lt;C&gt;1&lt;/C&gt;&lt;D xsi:type="xsd:double"&gt;5.195&lt;/D&gt;&lt;/FQL&gt;&lt;FQL&gt;&lt;Q&gt;ALK-US^FF_PROV_RISK(ANN_R,12/2020,,,,,B)&lt;/Q&gt;&lt;R&gt;1&lt;/R&gt;&lt;C&gt;1&lt;/C&gt;&lt;D xsi:type="xsd:double"&gt;0.665&lt;/D&gt;&lt;/FQL&gt;&lt;FQL&gt;&lt;Q&gt;ALK-US^FF_PROV_RISK(ANN_R,12/2019,,,,,B)&lt;/Q&gt;&lt;R&gt;1&lt;/R&gt;&lt;C&gt;1&lt;/C&gt;&lt;D xsi:type="xsd:double"&gt;0.571&lt;/D&gt;&lt;/FQL&gt;&lt;FQL&gt;&lt;Q&gt;ALK-US^FF_PROV_RISK(ANN_R,12/2018,,,,,B)&lt;/Q&gt;&lt;R&gt;1&lt;/R&gt;&lt;C&gt;1&lt;/C&gt;&lt;D xsi:type="xsd:double"&gt;0.503&lt;/D&gt;&lt;/FQL&gt;&lt;FQL&gt;&lt;Q&gt;ALK-US^FF_PROV_RISK(ANN_R,12/2017,,,,,B)&lt;/Q&gt;&lt;R&gt;1&lt;/R&gt;&lt;C&gt;1&lt;/C&gt;&lt;D xsi:type="xsd:double"&gt;0.453&lt;/D&gt;&lt;/FQL&gt;&lt;FQL&gt;&lt;Q&gt;ALK-US^FF_PROV_RISK(ANN_R,12/2016,,,,,B)&lt;/Q&gt;&lt;R&gt;1&lt;/R&gt;&lt;C&gt;1&lt;/C&gt;&lt;D xsi:type="xsd:double"&gt;0.331&lt;/D&gt;&lt;/FQL&gt;&lt;FQL&gt;&lt;Q&gt;ALK-US^FF_PROV_RISK(ANN_R,12/2015,,,,,B)&lt;/Q&gt;&lt;R&gt;1&lt;/R&gt;&lt;C&gt;1&lt;/C&gt;&lt;D xsi:type="xsd:double"&gt;0.27&lt;/D&gt;&lt;/FQL&gt;&lt;FQL&gt;&lt;Q&gt;ALK-US^FF_PROV_RISK(ANN_R,12/2014,,,,,B)&lt;/Q&gt;&lt;R&gt;1&lt;/R&gt;&lt;C&gt;1&lt;/C&gt;&lt;D xsi:type="xsd:double"&gt;0.246&lt;/D&gt;&lt;/FQL&gt;&lt;FQL&gt;&lt;Q&gt;ALK-US^FF_PROV_RISK(ANN_R,12/2013,,,,,B)&lt;/Q&gt;&lt;R&gt;1&lt;/R&gt;&lt;C&gt;1&lt;/C&gt;&lt;D xsi:type="xsd:double"&gt;0.123&lt;/D&gt;&lt;/FQL&gt;&lt;FQL&gt;&lt;Q&gt;ALK-US^FF_PROV_RISK(ANN_R,12/2012,,,,,B)&lt;/Q&gt;&lt;R&gt;1&lt;/R&gt;&lt;C&gt;1&lt;/C&gt;&lt;D xsi:type="xsd:double"&gt;0.489&lt;/D&gt;&lt;/FQL&gt;&lt;FQL&gt;&lt;Q&gt;ALK-US^FF_PROV_RISK(ANN_R,12/2011,,,,,B)&lt;/Q&gt;&lt;R&gt;1&lt;/R&gt;&lt;C&gt;1&lt;/C&gt;&lt;D xsi:type="xsd:double"&gt;0.4634&lt;/D&gt;&lt;/FQL&gt;&lt;FQL&gt;&lt;Q&gt;ALK-US^FF_DFD_TAX_CR(ANN_R,12/2020,,,,,B,"FILING_DATE=1")&lt;/Q&gt;&lt;R&gt;1&lt;/R&gt;&lt;C&gt;1&lt;/C&gt;&lt;D xsi:type="xsd:double"&gt;1.723&lt;/D&gt;&lt;/FQL&gt;&lt;FQL&gt;&lt;Q&gt;ALK-US^FF_DFD_TAX_CR(ANN_R,12/2019,,,,,B,"FILING_DATE=1")&lt;/Q&gt;&lt;R&gt;1&lt;/R&gt;&lt;C&gt;1&lt;/C&gt;&lt;D xsi:type="xsd:double"&gt;1.124&lt;/D&gt;&lt;/FQL&gt;&lt;FQL&gt;&lt;Q&gt;ALK-US^FF_DFD_TAX_CR(ANN_R,12/2018,,,,,B,"FILING_DATE=1")&lt;/Q&gt;&lt;R&gt;1&lt;/R&gt;&lt;C&gt;1&lt;/C&gt;&lt;D xsi:type="xsd:double"&gt;1.066&lt;/D&gt;&lt;/FQL&gt;&lt;FQL&gt;&lt;Q&gt;ALK-US^FF_DFD_TAX_CR(ANN_R,12/2017,,,,,B,"FILING_DATE=1")&lt;/Q&gt;&lt;R&gt;1&lt;/R&gt;&lt;C&gt;1&lt;/C&gt;&lt;D xsi:type="xsd:double"&gt;0.463&lt;/D&gt;&lt;/FQL&gt;&lt;FQL&gt;&lt;Q&gt;ALK-US^FF_DFD_TAX_CR(ANN_R,12/2016,,,,,B,"FILING_DATE=1")&lt;/Q&gt;&lt;R&gt;1&lt;/R&gt;&lt;C&gt;1&lt;/C&gt;&lt;D xsi:type="xsd:double"&gt;0.682&lt;/D&gt;&lt;/FQL&gt;&lt;FQL&gt;&lt;Q&gt;ALK-US^FF_DFD_TAX_CR(ANN_R,12/2015,,,,,B,"FILING_DATE=1")&lt;/Q&gt;&lt;R&gt;1&lt;/R&gt;&lt;C&gt;1&lt;/C&gt;&lt;D xsi:type="xsd:double"&gt;0.75&lt;/D&gt;&lt;/FQL&gt;&lt;FQL&gt;&lt;Q&gt;ALK-US^FF_DFD_TAX_CR(ANN_R,12/2014,,,,,B,"FILING_DATE=1")&lt;/Q&gt;&lt;R&gt;1&lt;/R&gt;&lt;C&gt;1&lt;/C&gt;&lt;D xsi:type="xsd:double"&gt;0.709&lt;/D&gt;&lt;/FQL&gt;&lt;FQL&gt;&lt;Q&gt;ALK-US^FF_DFD_TAX_CR(ANN_R,12/2013,,,,,B,"FILING_DATE=1")&lt;/Q&gt;&lt;R&gt;1&lt;/R&gt;&lt;C&gt;1&lt;/C&gt;&lt;D xsi:type="xsd:double"&gt;0.446&lt;/D&gt;&lt;/FQL&gt;&lt;FQL&gt;&lt;Q&gt;ALK-US^FF_DFD_TAX_CR(ANN_R,12/2012,,,,,B,"FILING_DATE=1")&lt;/Q&gt;&lt;R&gt;1&lt;/R&gt;&lt;C&gt;1&lt;/C&gt;&lt;D xsi:type="xsd:double"&gt;0.3629&lt;/D&gt;&lt;/FQL&gt;&lt;FQL&gt;&lt;Q&gt;ALK-US^FF_DFD_TAX_CR(ANN_R,12/2011,,,,,B,"FILING_DATE=1")&lt;/Q&gt;&lt;R&gt;1&lt;/R&gt;&lt;C&gt;1&lt;/C&gt;&lt;D xsi:type="xsd:double"&gt;0.2799&lt;/D&gt;&lt;/FQL&gt;&lt;FQL&gt;&lt;Q&gt;ALK-US^FF_LIABS_OTH(ANN_R,12/2020,,,,,B,"FILING_DATE=1")&lt;/Q&gt;&lt;R&gt;1&lt;/R&gt;&lt;C&gt;1&lt;/C&gt;&lt;D xsi:type="xsd:double"&gt;1.472&lt;/D&gt;&lt;/FQL&gt;&lt;FQL&gt;&lt;Q&gt;ALK-US^FF_LIABS_OTH(ANN_R,12/2019,,,,,B,"FILING_DATE=1")&lt;/Q&gt;&lt;R&gt;1&lt;/R&gt;&lt;C&gt;1&lt;/C&gt;&lt;D xsi:type="xsd:double"&gt;1.587&lt;/D&gt;&lt;/FQL&gt;&lt;FQL&gt;&lt;Q&gt;ALK-US^FF_LIABS_OTH(ANN_R,12/2018,,,,,B,"FILING_DATE=1")&lt;/Q&gt;&lt;R&gt;1&lt;/R&gt;&lt;C&gt;1&lt;/C&gt;&lt;D xsi:type="xsd:double"&gt;1.515&lt;/D&gt;&lt;/FQL&gt;&lt;FQL&gt;&lt;Q&gt;ALK-US^FF_LIABS_OTH(ANN_R,12/2017,,,,,B,"FILING_DATE=1")&lt;/Q&gt;&lt;R&gt;1&lt;/R&gt;&lt;C&gt;1&lt;/C&gt;&lt;D xsi:type="xsd:double"&gt;1.057&lt;/D&gt;&lt;/FQL&gt;&lt;FQL&gt;&lt;Q&gt;ALK-US^FF_LIABS_OTH(ANN_R,12/2016,,,,,B,"FILING_DATE=1")&lt;/Q&gt;&lt;R&gt;1&lt;/R&gt;&lt;C&gt;1&lt;/C&gt;&lt;D xsi:type="xsd:double"&gt;0.793&lt;/D&gt;&lt;/FQL&gt;&lt;FQL&gt;&lt;Q&gt;ALK-US^FF_LIABS_OTH(ANN_R,12/2015,,,,,B,"FILING_DATE=1")&lt;/Q&gt;&lt;R&gt;1&lt;/R&gt;&lt;C&gt;1&lt;/C&gt;&lt;D xsi:type="xsd:double"&gt;0.701&lt;/D&gt;&lt;/FQL&gt;&lt;FQL&gt;&lt;Q&gt;ALK-US^FF_LIABS_OTH(ANN_R,12/2014,,,,,B,"FILING_DATE=1")&lt;/Q&gt;&lt;R&gt;1&lt;/R&gt;&lt;C&gt;1&lt;/C&gt;&lt;D xsi:type="xsd:double"&gt;0.643&lt;/D&gt;&lt;/FQL&gt;&lt;FQL&gt;&lt;Q&gt;ALK-US^FF_LIABS_OTH(ANN_R,12/2013,,,,,B,"FILING_DATE=1")&lt;/Q&gt;&lt;R&gt;1&lt;/R&gt;&lt;C&gt;1&lt;/C&gt;&lt;D xsi:type="xsd:double"&gt;0.777&lt;/D&gt;&lt;/FQL&gt;&lt;FQL&gt;&lt;Q&gt;ALK-US^FF_LIABS_OTH(ANN_R,12/2012,,,,,B,"FILING_DATE=1")&lt;/Q&gt;&lt;R&gt;1&lt;/R&gt;&lt;C&gt;1&lt;/C&gt;&lt;D xsi:type="xsd:double"&gt;0.5869&lt;/D&gt;&lt;/FQL&gt;&lt;FQL&gt;&lt;Q&gt;ALK-US^FF_LIABS_OTH(ANN_R,12/2011,,,,,B,"FILING_DATE=1")&lt;/Q&gt;&lt;R&gt;1&lt;/R&gt;&lt;C&gt;1&lt;/C&gt;&lt;D xsi:type="xsd:double"&gt;0.5265&lt;/D&gt;&lt;/FQL&gt;&lt;FQL&gt;&lt;Q&gt;ALK-US^FF_LIABS(ANN_R,12/2020,,,,,B)&lt;/Q&gt;&lt;R&gt;1&lt;/R&gt;&lt;C&gt;1&lt;/C&gt;&lt;D xsi:type="xsd:double"&gt;12.24&lt;/D&gt;&lt;/FQL&gt;&lt;FQL&gt;&lt;Q&gt;ALK-US^FF_LIABS(ANN_R,12/2019,,,,,B)&lt;/Q&gt;&lt;R&gt;1&lt;/R&gt;&lt;C&gt;1&lt;/C&gt;&lt;D xsi:type="xsd:double"&gt;9.67&lt;/D&gt;&lt;/FQL&gt;&lt;FQL&gt;&lt;Q&gt;ALK-US^FF_LIABS(ANN_R,12/2018,,,,,B)&lt;/Q&gt;&lt;R&gt;1&lt;/R&gt;&lt;C&gt;1&lt;/C&gt;&lt;D xsi:type="xsd:double"&gt;7.773&lt;/D&gt;&lt;/FQL&gt;&lt;FQL&gt;&lt;Q&gt;ALK-US^F</t>
        </r>
      </text>
    </comment>
    <comment ref="A24" authorId="0" shapeId="0" xr:uid="{74E3088D-2933-4E80-8AD3-03771EEDC9DF}">
      <text>
        <r>
          <rPr>
            <b/>
            <sz val="9"/>
            <color indexed="81"/>
            <rFont val="Tahoma"/>
            <charset val="1"/>
          </rPr>
          <t>F_LIABS(ANN_R,12/2017,,,,,B)&lt;/Q&gt;&lt;R&gt;1&lt;/R&gt;&lt;C&gt;1&lt;/C&gt;&lt;D xsi:type="xsd:double"&gt;7.982&lt;/D&gt;&lt;/FQL&gt;&lt;FQL&gt;&lt;Q&gt;ALK-US^FF_LIABS(ANN_R,12/2016,,,,,B)&lt;/Q&gt;&lt;R&gt;1&lt;/R&gt;&lt;C&gt;1&lt;/C&gt;&lt;D xsi:type="xsd:double"&gt;7.031&lt;/D&gt;&lt;/FQL&gt;&lt;FQL&gt;&lt;Q&gt;ALK-US^FF_LIABS(ANN_R,12/2015,,,,,B)&lt;/Q&gt;&lt;R&gt;1&lt;/R&gt;&lt;C&gt;1&lt;/C&gt;&lt;D xsi:type="xsd:double"&gt;4.119&lt;/D&gt;&lt;/FQL&gt;&lt;FQL&gt;&lt;Q&gt;ALK-US^FF_LIABS(ANN_R,12/2014,,,,,B)&lt;/Q&gt;&lt;R&gt;1&lt;/R&gt;&lt;C&gt;1&lt;/C&gt;&lt;D xsi:type="xsd:double"&gt;4.054&lt;/D&gt;&lt;/FQL&gt;&lt;FQL&gt;&lt;Q&gt;ALK-US^FF_LIABS(ANN_R,12/2013,,,,,B)&lt;/Q&gt;&lt;R&gt;1&lt;/R&gt;&lt;C&gt;1&lt;/C&gt;&lt;D xsi:type="xsd:double"&gt;3.809&lt;/D&gt;&lt;/FQL&gt;&lt;FQL&gt;&lt;Q&gt;ALK-US^FF_LIABS(ANN_R,12/2012,,,,,B)&lt;/Q&gt;&lt;R&gt;1&lt;/R&gt;&lt;C&gt;1&lt;/C&gt;&lt;D xsi:type="xsd:double"&gt;4.084&lt;/D&gt;&lt;/FQL&gt;&lt;FQL&gt;&lt;Q&gt;ALK-US^FF_LIABS(ANN_R,12/2011,,,,,B)&lt;/Q&gt;&lt;R&gt;1&lt;/R&gt;&lt;C&gt;1&lt;/C&gt;&lt;D xsi:type="xsd:double"&gt;4.0218&lt;/D&gt;&lt;/FQL&gt;&lt;FQL&gt;&lt;Q&gt;SKYW-US^FF_DEBT_ST(ANN_R,12/2020,,,,,B,"FILING_DATE=1")&lt;/Q&gt;&lt;R&gt;1&lt;/R&gt;&lt;C&gt;1&lt;/C&gt;&lt;D xsi:type="xsd:double"&gt;0.458932&lt;/D&gt;&lt;/FQL&gt;&lt;FQL&gt;&lt;Q&gt;SKYW-US^FF_DEBT_ST(ANN_R,12/2019,,,,,B,"FILING_DATE=1")&lt;/Q&gt;&lt;R&gt;1&lt;/R&gt;&lt;C&gt;1&lt;/C&gt;&lt;D xsi:type="xsd:double"&gt;0.350206&lt;/D&gt;&lt;/FQL&gt;&lt;FQL&gt;&lt;Q&gt;SKYW-US^FF_DEBT_ST(ANN_R,12/2018,,,,,B,"FILING_DATE=1")&lt;/Q&gt;&lt;R&gt;1&lt;/R&gt;&lt;C&gt;1&lt;/C&gt;&lt;D xsi:type="xsd:double"&gt;0.309678&lt;/D&gt;&lt;/FQL&gt;&lt;FQL&gt;&lt;Q&gt;SKYW-US^FF_DEBT_ST(ANN_R,12/2017,,,,,B,"FILING_DATE=1")&lt;/Q&gt;&lt;R&gt;1&lt;/R&gt;&lt;C&gt;1&lt;/C&gt;&lt;D xsi:type="xsd:double"&gt;0.30546&lt;/D&gt;&lt;/FQL&gt;&lt;FQL&gt;&lt;Q&gt;SKYW-US^FF_DEBT_ST(ANN_R,12/2016,,,,,B,"FILING_DATE=1")&lt;/Q&gt;&lt;R&gt;1&lt;/R&gt;&lt;C&gt;1&lt;/C&gt;&lt;D xsi:type="xsd:double"&gt;0.268667&lt;/D&gt;&lt;/FQL&gt;&lt;FQL&gt;&lt;Q&gt;SKYW-US^FF_DEBT_ST(ANN_R,12/2015,,,,,B,"FILING_DATE=1")&lt;/Q&gt;&lt;R&gt;1&lt;/R&gt;&lt;C&gt;1&lt;/C&gt;&lt;D xsi:type="xsd:double"&gt;0.211821&lt;/D&gt;&lt;/FQL&gt;&lt;FQL&gt;&lt;Q&gt;SKYW-US^FF_DEBT_ST(ANN_R,12/2014,,,,,B,"FILING_DATE=1")&lt;/Q&gt;&lt;R&gt;1&lt;/R&gt;&lt;C&gt;1&lt;/C&gt;&lt;D xsi:type="xsd:double"&gt;0.177389&lt;/D&gt;&lt;/FQL&gt;&lt;FQL&gt;&lt;Q&gt;SKYW-US^FF_DEBT_ST(ANN_R,12/2013,,,,,B,"FILING_DATE=1")&lt;/Q&gt;&lt;R&gt;1&lt;/R&gt;&lt;C&gt;1&lt;/C&gt;&lt;D xsi:type="xsd:double"&gt;0.171454&lt;/D&gt;&lt;/FQL&gt;&lt;FQL&gt;&lt;Q&gt;SKYW-US^FF_DEBT_ST(ANN_R,12/2012,,,,,B,"FILING_DATE=1")&lt;/Q&gt;&lt;R&gt;1&lt;/R&gt;&lt;C&gt;1&lt;/C&gt;&lt;D xsi:type="xsd:double"&gt;0.208398&lt;/D&gt;&lt;/FQL&gt;&lt;FQL&gt;&lt;Q&gt;SKYW-US^FF_DEBT_ST(ANN_R,12/2011,,,,,B,"FILING_DATE=1")&lt;/Q&gt;&lt;R&gt;1&lt;/R&gt;&lt;C&gt;1&lt;/C&gt;&lt;D xsi:type="xsd:double"&gt;0.159039&lt;/D&gt;&lt;/FQL&gt;&lt;FQL&gt;&lt;Q&gt;SKYW-US^FF_PAY_ACCT(ANN_R,12/2020,,,,,B,"FILING_DATE=1")&lt;/Q&gt;&lt;R&gt;1&lt;/R&gt;&lt;C&gt;1&lt;/C&gt;&lt;D xsi:type="xsd:double"&gt;0.284473&lt;/D&gt;&lt;/FQL&gt;&lt;FQL&gt;&lt;Q&gt;SKYW-US^FF_PAY_ACCT(ANN_R,12/2019,,,,,B,"FILING_DATE=1")&lt;/Q&gt;&lt;R&gt;1&lt;/R&gt;&lt;C&gt;1&lt;/C&gt;&lt;D xsi:type="xsd:double"&gt;0.331982&lt;/D&gt;&lt;/FQL&gt;&lt;FQL&gt;&lt;Q&gt;SKYW-US^FF_PAY_ACCT(ANN_R,12/2018,,,,,B,"FILING_DATE=1")&lt;/Q&gt;&lt;R&gt;1&lt;/R&gt;&lt;C&gt;1&lt;/C&gt;&lt;D xsi:type="xsd:double"&gt;0.288904&lt;/D&gt;&lt;/FQL&gt;&lt;FQL&gt;&lt;Q&gt;SKYW-US^FF_PAY_ACCT(ANN_R,12/2017,,,,,B,"FILING_DATE=1")&lt;/Q&gt;&lt;R&gt;1&lt;/R&gt;&lt;C&gt;1&lt;/C&gt;&lt;D xsi:type="xsd:double"&gt;0.241215&lt;/D&gt;&lt;/FQL&gt;&lt;FQL&gt;&lt;Q&gt;SKYW-US^FF_PAY_ACCT(ANN_R,12/2016,,,,,B,"FILING_DATE=1")&lt;/Q&gt;&lt;R&gt;1&lt;/R&gt;&lt;C&gt;1&lt;/C&gt;&lt;D xsi:type="xsd:double"&gt;0.279864&lt;/D&gt;&lt;/FQL&gt;&lt;FQL&gt;&lt;Q&gt;SKYW-US^FF_PAY_ACCT(ANN_R,12/2015,,,,,B,"FILING_DATE=1")&lt;/Q&gt;&lt;R&gt;1&lt;/R&gt;&lt;C&gt;1&lt;/C&gt;&lt;D xsi:type="xsd:double"&gt;0.270097&lt;/D&gt;&lt;/FQL&gt;&lt;FQL&gt;&lt;Q&gt;SKYW-US^FF_PAY_ACCT(ANN_R,12/2014,,,,,B,"FILING_DATE=1")&lt;/Q&gt;&lt;R&gt;1&lt;/R&gt;&lt;C&gt;1&lt;/C&gt;&lt;D xsi:type="xsd:double"&gt;0.245518&lt;/D&gt;&lt;/FQL&gt;&lt;FQL&gt;&lt;Q&gt;SKYW-US^FF_PAY_ACCT(ANN_R,12/2013,,,,,B,"FILING_DATE=1")&lt;/Q&gt;&lt;R&gt;1&lt;/R&gt;&lt;C&gt;1&lt;/C&gt;&lt;D xsi:type="xsd:double"&gt;0.222671&lt;/D&gt;&lt;/FQL&gt;&lt;FQL&gt;&lt;Q&gt;SKYW-US^FF_PAY_ACCT(ANN_R,12/2012,,,,,B,"FILING_DATE=1")&lt;/Q&gt;&lt;R&gt;1&lt;/R&gt;&lt;C&gt;1&lt;/C&gt;&lt;D xsi:type="xsd:double"&gt;0.220784&lt;/D&gt;&lt;/FQL&gt;&lt;FQL&gt;&lt;Q&gt;SKYW-US^FF_PAY_ACCT(ANN_R,12/2011,,,,,B,"FILING_DATE=1")&lt;/Q&gt;&lt;R&gt;1&lt;/R&gt;&lt;C&gt;1&lt;/C&gt;&lt;D xsi:type="xsd:double"&gt;0.20649&lt;/D&gt;&lt;/FQL&gt;&lt;FQL&gt;&lt;Q&gt;SKYW-US^FF_INC_PAY_TAX(ANN_R,12/2020,,,,,B,"FILING_DATE=1")&lt;/Q&gt;&lt;R&gt;1&lt;/R&gt;&lt;C&gt;1&lt;/C&gt;&lt;D xsi:type="xsd:string"&gt;#NUM&lt;/D&gt;&lt;/FQL&gt;&lt;FQL&gt;&lt;Q&gt;SKYW-US^FF_INC_PAY_TAX(ANN_R,12/2019,,,,,B,"FILING_DATE=1")&lt;/Q&gt;&lt;R&gt;1&lt;/R&gt;&lt;C&gt;1&lt;/C&gt;&lt;D xsi:type="xsd:string"&gt;#NUM&lt;/D&gt;&lt;/FQL&gt;&lt;FQL&gt;&lt;Q&gt;SKYW-US^FF_INC_PAY_TAX(ANN_R,12/2018,,,,,B,"FILING_DATE=1")&lt;/Q&gt;&lt;R&gt;1&lt;/R&gt;&lt;C&gt;1&lt;/C&gt;&lt;D xsi:type="xsd:string"&gt;#NUM&lt;/D&gt;&lt;/FQL&gt;&lt;FQL&gt;&lt;Q&gt;SKYW-US^FF_INC_PAY_TAX(ANN_R,12/2017,,,,,B,"FILING_DATE=1")&lt;/Q&gt;&lt;R&gt;1&lt;/R&gt;&lt;C&gt;1&lt;/C&gt;&lt;D xsi:type="xsd:string"&gt;#NUM&lt;/D&gt;&lt;/FQL&gt;&lt;FQL&gt;&lt;Q&gt;SKYW-US^FF_INC_PAY_TAX(ANN_R,12/2016,,,,,B,"FILING_DATE=1")&lt;/Q&gt;&lt;R&gt;1&lt;/R&gt;&lt;C&gt;1&lt;/C&gt;&lt;D xsi:type="xsd:string"&gt;#NUM&lt;/D&gt;&lt;/FQL&gt;&lt;FQL&gt;&lt;Q&gt;SKYW-US^FF_INC_PAY_TAX(ANN_R,12/2015,,,,,B,"FILING_DATE=1")&lt;/Q&gt;&lt;R&gt;1&lt;/R&gt;&lt;C&gt;1&lt;/C&gt;&lt;D xsi:type="xsd:string"&gt;#NUM&lt;/D&gt;&lt;/FQL&gt;&lt;FQL&gt;&lt;Q&gt;SKYW-US^FF_INC_PAY_TAX(ANN_R,12/2014,,,,,B,"FILING_DATE=1")&lt;/Q&gt;&lt;R&gt;1&lt;/R&gt;&lt;C&gt;1&lt;/C&gt;&lt;D xsi:type="xsd:string"&gt;#NUM&lt;/D&gt;&lt;/FQL&gt;&lt;FQL&gt;&lt;Q&gt;SKYW-US^FF_INC_PAY_TAX(ANN_R,12/2013,,,,,B,"FILING_DATE=1")&lt;/Q&gt;&lt;R&gt;1&lt;/R&gt;&lt;C&gt;1&lt;/C&gt;&lt;D xsi:type="xsd:string"&gt;#NUM&lt;/D&gt;&lt;/FQL&gt;&lt;FQL&gt;&lt;Q&gt;SKYW-US^FF_INC_PAY_TAX(ANN_R,12/2012,,,,,B,"FILING_DATE=1")&lt;/Q&gt;&lt;R&gt;1&lt;/R&gt;&lt;C&gt;1&lt;/C&gt;&lt;D xsi:type="xsd:string"&gt;#NUM&lt;/D&gt;&lt;/FQL&gt;&lt;FQL&gt;&lt;Q&gt;SKYW-US^FF_INC_PAY_TAX(ANN_R,12/2011,,,,,B,"FILING_DATE=1")&lt;/Q&gt;&lt;R&gt;1&lt;/R&gt;&lt;C&gt;1&lt;/C&gt;&lt;D xsi:type="xsd:string"&gt;#NUM&lt;/D&gt;&lt;/FQL&gt;&lt;FQL&gt;&lt;Q&gt;SKYW-US^FF_LIABS_CURR_OTH(ANN_R,12/2020,,,,,B,"FILING_DATE=1")&lt;/Q&gt;&lt;R&gt;1&lt;/R&gt;&lt;C&gt;1&lt;/C&gt;&lt;D xsi:type="xsd:double"&gt;0.181271&lt;/D&gt;&lt;/FQL&gt;&lt;FQL&gt;&lt;Q&gt;SKYW-US^FF_LIABS_CURR_OTH(ANN_R,12/2019,,,,,B,"FILING_DATE=1")&lt;/Q&gt;&lt;R&gt;1&lt;/R&gt;&lt;C&gt;1&lt;/C&gt;&lt;D xsi:type="xsd:double"&gt;0.242638&lt;/D&gt;&lt;/FQL&gt;&lt;FQL&gt;&lt;Q&gt;SKYW-US^FF_LIABS_CURR_OTH(ANN_R,12/2018,,,,,B,"FILING_DATE=1")&lt;/Q&gt;&lt;R&gt;1&lt;/R&gt;&lt;C&gt;1&lt;/C&gt;&lt;D xsi:type="xsd:double"&gt;0.222243&lt;/D&gt;&lt;/FQL&gt;&lt;FQL&gt;&lt;Q&gt;SKYW-US^FF_LIABS_CURR_OTH(ANN_R,12/2017,,,,,B,"FILING_DATE=1")&lt;/Q&gt;&lt;R&gt;1&lt;/R&gt;&lt;C&gt;1&lt;/C&gt;&lt;D xsi:type="xsd:double"&gt;0.20059&lt;/D&gt;&lt;/FQL&gt;&lt;FQL&gt;&lt;Q&gt;SKYW-US^FF_LIABS_CURR_OTH(ANN_R,12/2016,,,,,B,"FILING_DATE=1")&lt;/Q&gt;&lt;R&gt;1&lt;/R&gt;&lt;C&gt;1&lt;/C&gt;&lt;D xsi:type="xsd:double"&gt;0.199495&lt;/D&gt;&lt;/FQL&gt;&lt;FQL&gt;&lt;Q&gt;SKYW-US^FF_LIABS_CURR_OTH(ANN_R,12/2015,,,,,B,"FILING_DATE=1")&lt;/Q&gt;&lt;R&gt;1&lt;/R&gt;&lt;C&gt;1&lt;/C&gt;&lt;D xsi:type="xsd:double"&gt;0.202437&lt;/D&gt;&lt;/FQL&gt;&lt;FQL&gt;&lt;Q&gt;SKYW-US^FF_LIABS_CURR_OTH(ANN_R,12/2014,,,,,B,"FILING_DATE=1")&lt;/Q&gt;&lt;R&gt;1&lt;/R&gt;&lt;C&gt;1&lt;/C&gt;&lt;D xsi:type="xsd:double"&gt;0.197557&lt;/D&gt;&lt;/FQL&gt;&lt;FQL&gt;&lt;Q&gt;SKYW-US^FF_LIABS_CURR_OTH(ANN_R,12/2013,,,,,B,"FILING_DATE=1")&lt;/Q&gt;&lt;R&gt;1&lt;/R&gt;&lt;C&gt;1&lt;/C&gt;&lt;D xsi:type="xsd:double"&gt;0.196045&lt;/D&gt;&lt;/FQL&gt;&lt;FQL&gt;&lt;Q&gt;SKYW-US^FF_LIABS_CURR_OTH(ANN_R,12/2012,,,,,B,"FILING_DATE=1")&lt;/Q&gt;&lt;R&gt;1&lt;/R&gt;&lt;C&gt;1&lt;/C&gt;&lt;D xsi:type="xsd:double"&gt;0.17378&lt;/D&gt;&lt;/FQL&gt;&lt;FQL&gt;&lt;Q&gt;SKYW-US^FF_LIABS_CURR_OTH(ANN_R,12/2011,,,,,B,"FILING_DATE=1")&lt;/Q&gt;&lt;R&gt;1&lt;/R&gt;&lt;C&gt;1&lt;/C&gt;&lt;D xsi:type="xsd:double"&gt;0.171965&lt;/D&gt;&lt;/FQL&gt;&lt;FQL&gt;&lt;Q&gt;SKYW-US^FF_LIABS_CURR(ANN_R,12/2020,,,,,B,"FILING_DATE=1")&lt;/Q&gt;&lt;R&gt;1&lt;/R&gt;&lt;C&gt;1&lt;/C&gt;&lt;D xsi:type="xsd:double"&gt;0.924676&lt;/D&gt;&lt;/FQL&gt;&lt;FQL&gt;&lt;Q&gt;SKYW-US^FF_LIABS_CURR(ANN_R,12/2019,,,,,B,"FILING_DATE=1")&lt;/Q&gt;&lt;R&gt;1&lt;/R&gt;&lt;C&gt;1&lt;/C&gt;&lt;D xsi:type="xsd:double"&gt;0.924826&lt;/D&gt;&lt;/FQL&gt;&lt;FQL&gt;&lt;Q&gt;SKYW-US^FF_LIABS_CURR(ANN_R,12/2018,,,,,B,"FILING_DATE=1")&lt;/Q&gt;&lt;R&gt;1&lt;/R&gt;&lt;C&gt;1&lt;/C&gt;&lt;D xsi:type="xsd:double"&gt;0.820825&lt;/D&gt;&lt;/FQL&gt;&lt;FQL&gt;&lt;Q&gt;SKYW-US^FF_LIABS_CURR(ANN_R,12/2017,,,,,B,"FILING_DATE=1")&lt;/Q&gt;&lt;R&gt;1&lt;/R&gt;&lt;C&gt;1&lt;/C&gt;&lt;D xsi:type="xsd:double"&gt;0.747265&lt;/D&gt;&lt;/FQL&gt;&lt;FQL&gt;&lt;Q&gt;SKYW-US^FF_LIABS_CURR(ANN_R,12/2016,,,,,B,"FILING_DATE=1")&lt;/Q&gt;&lt;R&gt;1&lt;/R&gt;&lt;C&gt;1&lt;/C&gt;&lt;D xsi:type="xsd:double"&gt;0.748026&lt;/D&gt;&lt;/FQL&gt;&lt;FQL&gt;&lt;Q&gt;SKYW-US^FF_LIABS_CURR(ANN_R,12/2015,,,,,B,"FILING_DATE=1")&lt;/Q&gt;&lt;R&gt;1&lt;/R&gt;&lt;C&gt;1&lt;/C&gt;&lt;D xsi:type="xsd:double"&gt;0.684355&lt;/D&gt;&lt;/FQL&gt;&lt;FQL&gt;&lt;Q&gt;SKYW-US^FF_LIABS_CURR(ANN_R,12/2014,,,,,B,"FILING_DATE=1")&lt;/Q&gt;&lt;R&gt;1&lt;/R&gt;&lt;C&gt;1&lt;/C&gt;&lt;D xsi:type="xsd:double"&gt;0.620464&lt;/D&gt;&lt;/FQL&gt;&lt;FQL&gt;&lt;Q&gt;SKYW-US^FF_LIABS_CURR(ANN_R,12/2013,,,,,B,"FILING_DATE=1")&lt;/Q&gt;&lt;R&gt;1&lt;/R&gt;&lt;C&gt;1&lt;/C&gt;&lt;D xsi:type="xsd:double"&gt;0.591425&lt;/D&gt;&lt;/FQL&gt;&lt;FQL&gt;&lt;Q&gt;SKYW-US^FF_LIABS_CURR(ANN_R,12/2012,,,,,B,"FILING_DATE=1")&lt;/Q&gt;&lt;R&gt;1&lt;/R&gt;&lt;C&gt;1&lt;/C&gt;&lt;D xsi:type="xsd:double"&gt;0.624148&lt;/D&gt;&lt;/FQL&gt;&lt;FQL&gt;&lt;Q&gt;SKYW-US^FF_LIABS_CURR(ANN_R,12/2011,,,,,B,"FILING_DATE=1")&lt;/Q&gt;&lt;R&gt;1&lt;/R&gt;&lt;C&gt;1&lt;/C&gt;&lt;D xsi:type="xsd:double"&gt;0.56264&lt;/D&gt;&lt;/FQL&gt;&lt;FQL&gt;&lt;Q&gt;SKYW-US^FF_DEBT_LT(ANN_R,12/2020,,,,,B,"FILING_DATE=1")&lt;/Q&gt;&lt;R&gt;1&lt;/R&gt;&lt;C&gt;1&lt;/C&gt;&lt;D xsi:type="xsd:double"&gt;2.888226&lt;/D&gt;&lt;/FQL&gt;&lt;FQL&gt;&lt;Q&gt;SKYW-US^FF_DEBT_LT(ANN_R,12/2019,,,,,B,"FILING_DATE=1")&lt;/Q&gt;&lt;R&gt;1&lt;/R&gt;&lt;C&gt;1&lt;/C&gt;&lt;D xsi:type="xsd:double"&gt;2.809768&lt;/D&gt;&lt;/FQL&gt;&lt;FQL&gt;&lt;Q&gt;SKYW-US^FF_DEBT_LT(ANN_R,12/2018,,,,,B,"FILING_DATE=1")&lt;/Q&gt;&lt;R&gt;1&lt;/R&gt;&lt;C&gt;1&lt;/C&gt;&lt;D xsi:type="xsd:double"&gt;2.377346&lt;/D&gt;&lt;/FQL&gt;&lt;FQL&gt;&lt;Q&gt;SKYW-US^FF_DEBT_LT(ANN_R,12/2017,,,,,B,"FILING_DATE=1")&lt;/Q&gt;&lt;R&gt;1&lt;/R&gt;&lt;C&gt;1&lt;/C&gt;&lt;D xsi:type="xsd:double"&gt;2.240051&lt;/D&gt;&lt;/FQL&gt;&lt;FQL&gt;&lt;Q&gt;SKYW-US^FF_DEBT_LT(ANN_R,12/2016,,,,,B,"FILING_DATE=1")&lt;/Q&gt;&lt;R&gt;1&lt;/R&gt;&lt;C&gt;1&lt;/C&gt;&lt;D xsi:type="xsd:double"&gt;1.659234&lt;/D&gt;&lt;/FQL&gt;&lt;FQL&gt;&lt;Q&gt;SKYW-US^FF_DEBT_LT(ANN_R,12/2015,,,,,B,"FILING_DATE=1")&lt;/Q&gt;&lt;R&gt;1&lt;/R&gt;&lt;C&gt;1&lt;/C&gt;&lt;D xsi:type="xsd:double"&gt;1.53399&lt;/D&gt;&lt;/FQL&gt;&lt;FQL&gt;&lt;Q&gt;SKYW-US^FF_DEBT_LT(ANN_R,12/2014,,,,,B,"FILING_DATE=1")&lt;/Q&gt;&lt;R&gt;1&lt;/R&gt;&lt;C&gt;1&lt;/C&gt;&lt;D xsi:type="xsd:double"&gt;1.293179&lt;/D&gt;&lt;/FQL&gt;&lt;FQL&gt;&lt;Q&gt;SKYW-US^FF_DEBT_LT(ANN_R,12/2013,,,,,B,"FILING_DATE=1")&lt;/Q&gt;&lt;R&gt;1&lt;/R&gt;&lt;C&gt;1&lt;/C&gt;&lt;D xsi:type="xsd:double"&gt;1.470568&lt;/D&gt;&lt;/FQL&gt;&lt;FQL&gt;&lt;Q&gt;SKYW-US^FF_DEBT_LT(ANN_R,12/2012,,,,,B,"FILING_DATE=1")&lt;/Q&gt;&lt;R&gt;1&lt;/R&gt;&lt;C&gt;1&lt;/C&gt;&lt;D xsi:type="xsd:double"&gt;1.606993&lt;/D&gt;&lt;/FQL&gt;&lt;FQL&gt;&lt;Q&gt;SKYW-US^FF_DEBT_LT(ANN_R,12/2011,,,,,B,"FILING_DATE=1")&lt;/Q&gt;&lt;R&gt;1&lt;/R&gt;&lt;C&gt;1&lt;/C&gt;&lt;D xsi:type="xsd:double"&gt;1.738936&lt;/D&gt;&lt;/FQL&gt;&lt;FQL&gt;&lt;Q&gt;SKYW-US^FF_CASH_ST(ANN_R,12/2020,,,,,B,"FILING_DATE=1")&lt;/Q&gt;&lt;R&gt;1&lt;/R&gt;&lt;C&gt;1&lt;/C&gt;&lt;D xsi:type="xsd:double"&gt;0.520172&lt;/D&gt;&lt;/FQL&gt;&lt;FQL&gt;&lt;Q&gt;SKYW-US^FF_CASH_ST(ANN_R,12/2019,,,,,B,"FILING_DATE=1")&lt;/Q&gt;&lt;R&gt;1&lt;/R&gt;&lt;C&gt;1&lt;/C&gt;&lt;D xsi:type="xsd:double"&gt;0.689329&lt;/D&gt;&lt;/FQL&gt;&lt;FQL&gt;&lt;Q&gt;SKYW-US^FF_CASH_ST(ANN_R,12/2018,,,,,B,"FILING_DATE=1")&lt;/Q&gt;&lt;R&gt;1&lt;/R&gt;&lt;C&gt;1&lt;/C&gt;&lt;D xsi:type="xsd:double"&gt;0.685295&lt;/D&gt;&lt;/FQL&gt;&lt;FQL&gt;&lt;Q&gt;SKYW-US^FF_CASH_ST(ANN_R,12/2017,,,,,B,"FILING_DATE=1")&lt;/Q&gt;&lt;R&gt;1&lt;/R&gt;&lt;C&gt;1&lt;/C&gt;&lt;D xsi:type="xsd:double"&gt;0.564907&lt;/D&gt;&lt;/FQL&gt;&lt;FQL&gt;&lt;Q&gt;SKYW-US^FF_CASH_ST(ANN_R,12/2016,,,,,B,"FILING_DATE=1")&lt;/Q&gt;&lt;R&gt;1&lt;/R&gt;&lt;C&gt;1&lt;/C&gt;&lt;D xsi:type="xsd:double"&gt;0.497919&lt;/D&gt;&lt;/FQL&gt;&lt;FQL&gt;&lt;Q&gt;SKYW-US^FF_CASH_ST(ANN_R,12/2015,,,,,B,"FILING_DATE=1")&lt;/Q&gt;&lt;R&gt;1&lt;/R&gt;&lt;C&gt;1&lt;/C&gt;&lt;D xsi:type="xsd:double"&gt;0.55913&lt;/D&gt;&lt;/FQL&gt;&lt;FQL&gt;&lt;Q&gt;SKYW-US^FF_CASH_ST(ANN_R,12/2014,,,,,B,"FILING_DATE=1")&lt;/Q&gt;&lt;R&gt;1&lt;/R&gt;&lt;C&gt;1&lt;/C&gt;&lt;D xsi:type="xsd:double"&gt;0.670094&lt;/D&gt;&lt;/FQL&gt;&lt;FQL&gt;&lt;Q&gt;SKYW-US^FF_CASH_ST(ANN_R,12/2013,,,,,B,"FILING_DATE=1")&lt;/Q&gt;&lt;R&gt;1&lt;/R&gt;&lt;C&gt;1&lt;/C&gt;&lt;D xsi:type="xsd:double"&gt;0.709442&lt;/D&gt;&lt;/FQL&gt;&lt;FQL&gt;&lt;Q&gt;SKYW-US^FF_CASH_ST(ANN_R,12/2012,,,,,B,"FILING_DATE=1")&lt;/Q&gt;&lt;R&gt;1&lt;/R&gt;&lt;C&gt;1&lt;/C&gt;&lt;D xsi:type="xsd:double"&gt;0.646512&lt;/D&gt;&lt;/FQL&gt;&lt;FQL&gt;&lt;Q&gt;SKYW-US^FF_CASH_ST(ANN_R,12/2011,,,,,B,"FILING_DATE=1")&lt;/Q&gt;&lt;R&gt;1&lt;/R&gt;&lt;C&gt;1&lt;/C&gt;&lt;D xsi:type="xsd:double"&gt;0.804852&lt;/D&gt;&lt;/FQL&gt;&lt;FQL&gt;&lt;Q&gt;SKYW-US^FF_RECEIV_ST(ANN_R,12/2020,,,,,B)&lt;/Q&gt;&lt;R&gt;1&lt;/R&gt;&lt;C&gt;1&lt;/C&gt;&lt;D xsi:type="xsd:double"&gt;0.038378&lt;/D&gt;&lt;/FQL&gt;&lt;FQL&gt;&lt;Q&gt;SKYW-US^FF_RECEIV_ST(ANN_R,12/2019,,,,,B)&lt;/Q&gt;&lt;R&gt;1&lt;/R&gt;&lt;C&gt;1&lt;/C&gt;&lt;D xsi:type="xsd:double"&gt;0.094118&lt;/D&gt;&lt;/FQL&gt;&lt;FQL&gt;&lt;Q&gt;SKYW-US^FF_RECEIV_ST(ANN_R,12/2018,,,,,B)&lt;/Q&gt;&lt;R&gt;1&lt;/R&gt;&lt;C&gt;1&lt;/C&gt;&lt;D xsi:type="xsd:double"&gt;0.09013&lt;/D&gt;&lt;/FQL&gt;&lt;FQL&gt;&lt;Q&gt;SKYW-US^FF_RECEIV_ST(ANN_R,12/2017,,,,,B)&lt;/Q&gt;&lt;R&gt;1&lt;/R&gt;&lt;C&gt;1&lt;/C&gt;&lt;D xsi:type="xsd:double"&gt;0.048047&lt;/D&gt;&lt;/FQL&gt;&lt;FQL&gt;&lt;Q&gt;SKYW-US^FF_RECEIV_ST(ANN_R,12/2016,,,,,B)&lt;/Q&gt;&lt;R&gt;1&lt;/R&gt;&lt;C&gt;1&lt;/C&gt;&lt;D xsi:type="xsd:double"&gt;0.053905&lt;/D&gt;&lt;/FQL&gt;&lt;FQL&gt;&lt;Q&gt;SKYW-US^FF_RECEIV_ST(ANN_R,12/2015,,,,,B)&lt;/Q&gt;&lt;R&gt;1&lt;/R&gt;&lt;C&gt;1&lt;/C&gt;&lt;D xsi:type="xsd:double"&gt;0.065033&lt;/D&gt;&lt;/FQL&gt;&lt;FQL&gt;&lt;Q&gt;SKYW-US^FF_RECEIV_ST(ANN_R,12/2014,,,,,B)&lt;/Q&gt;&lt;R&gt;1&lt;/R&gt;&lt;C&gt;1&lt;/C&gt;&lt;D xsi:type="xsd:double"&gt;0.085878&lt;/D&gt;&lt;/FQL&gt;&lt;FQL&gt;&lt;Q&gt;SKYW-US^FF_RECEIV_ST(ANN_R,12/2013,,,,,B)&lt;/Q&gt;&lt;R&gt;1&lt;/R&gt;&lt;C&gt;1&lt;/C&gt;&lt;D xsi:type="xsd:double"&gt;0.112026&lt;/D&gt;&lt;/FQL&gt;&lt;FQL&gt;&lt;Q&gt;SKYW-US^FF_RECEIV_ST(ANN_R,12/2012,,,,,B)&lt;/Q&gt;&lt;R&gt;1&lt;/R&gt;&lt;C&gt;1&lt;/C&gt;&lt;D xsi:type="xsd:double"&gt;0.081102&lt;/D&gt;&lt;/FQL&gt;&lt;FQL&gt;&lt;Q&gt;SKYW-US^FF_RECEIV_ST(ANN_R,12/2011,,,,,B)&lt;/Q&gt;&lt;R&gt;1&lt;/R&gt;&lt;C&gt;1&lt;/C&gt;&lt;D xsi:type="xsd:double"&gt;0.132078&lt;/D&gt;&lt;/FQL&gt;&lt;FQL&gt;&lt;Q&gt;SKYW-US^FF_INVEN(ANN_R,12/2020,,,,,B)&lt;/Q&gt;&lt;R&gt;1&lt;/R&gt;&lt;C&gt;1&lt;/C&gt;&lt;D xsi:type="xsd:double"&gt;0.091196&lt;/D&gt;&lt;/FQL&gt;&lt;FQL&gt;&lt;Q&gt;SKYW-US^FF_INVEN(ANN_R,12/2019,,,,,B)&lt;/Q&gt;&lt;R&gt;1&lt;/R&gt;&lt;C&gt;1&lt;/C&gt;&lt;D xsi:type="xsd:double"&gt;0.110503&lt;/D&gt;&lt;/FQL&gt;&lt;FQL&gt;&lt;Q&gt;SKYW-US^FF_INVEN(ANN_R,12/2018,,,,,B)&lt;/Q&gt;&lt;R&gt;1&lt;/R&gt;&lt;C&gt;1&lt;/C&gt;&lt;D xsi:type="xsd:double"&gt;0.12769&lt;/D&gt;&lt;/FQL&gt;&lt;FQL&gt;&lt;Q&gt;SKYW-US^FF_INVEN(ANN_R,12/2017,,,,,B)&lt;/Q&gt;&lt;R&gt;1&lt;/R&gt;&lt;C&gt;1&lt;/C&gt;&lt;D xsi:type="xsd:double"&gt;0.119755&lt;/D&gt;&lt;/FQL&gt;&lt;FQL&gt;&lt;Q&gt;SKYW-US^FF_INVEN(ANN_R,12/2016,,,,,B)&lt;/Q&gt;&lt;R&gt;1&lt;/R&gt;&lt;C&gt;1&lt;/C&gt;&lt;D xsi:type="xsd:double"&gt;0.118509&lt;/D&gt;&lt;/FQL&gt;&lt;FQL&gt;&lt;Q&gt;SKYW-US^FF_INVEN(ANN_R,12/2015,,,,,B)&lt;/Q&gt;&lt;R&gt;1&lt;/R&gt;&lt;C&gt;1&lt;/C&gt;&lt;D xsi:type="xsd:double"&gt;0.140312&lt;/D&gt;&lt;/FQL&gt;&lt;FQL&gt;&lt;Q&gt;SKYW-US^FF_INVEN(ANN_R,12/2014,,,,,B)&lt;/Q&gt;&lt;R&gt;1&lt;/R&gt;&lt;C&gt;1&lt;/C&gt;&lt;D xsi:type="xsd:double"&gt;0.137452&lt;/D&gt;&lt;/FQL&gt;&lt;FQL&gt;&lt;Q&gt;SKYW-US^FF_INVEN(ANN_R,12/2013,,,,,B)&lt;/Q&gt;&lt;R&gt;1&lt;/R&gt;&lt;C&gt;1&lt;/C&gt;&lt;D xsi:type="xsd:double"&gt;0.138094&lt;/D&gt;&lt;/FQL&gt;&lt;FQL&gt;&lt;Q&gt;SKYW-US^FF_INVEN(ANN_R,12/2012,,,,,B)&lt;/Q&gt;&lt;R&gt;1&lt;/R&gt;&lt;C&gt;1&lt;/C&gt;&lt;D xsi:type="xsd:double"&gt;0.113581&lt;/D&gt;&lt;/FQL&gt;&lt;FQL&gt;&lt;Q&gt;SKYW-US^FF_INVEN(ANN_R,12/2011,,,,,B)&lt;/Q&gt;&lt;R&gt;1&lt;/R&gt;&lt;C&gt;1&lt;/C&gt;&lt;D xsi:type="xsd:double"&gt;0.115211&lt;/D&gt;&lt;/FQL&gt;&lt;FQL&gt;&lt;Q&gt;SKYW-US^FF_ASSETS_CURR_OTH(ANN_R,12/2020,,,,,B,"FILING_DATE=1")&lt;/Q&gt;&lt;R&gt;1&lt;/R&gt;&lt;C&gt;1&lt;/C&gt;&lt;D xsi:type="xsd:double"&gt;0.035553&lt;/D&gt;&lt;/FQL&gt;&lt;FQL&gt;&lt;Q&gt;SKYW-US^FF_ASSETS_CURR_OTH(ANN_R,12/2019,,,,,B,"FILING_DATE=1")&lt;/Q&gt;&lt;R&gt;1&lt;/R&gt;&lt;C&gt;1&lt;/C&gt;&lt;D xsi:type="xsd:double"&gt;0.113645&lt;/D&gt;&lt;/FQL&gt;&lt;FQL&gt;&lt;Q&gt;SKYW-US^FF_ASSETS_CURR_OTH(ANN_R,12/2018,,,,,B,"FILING_DATE=1")&lt;/Q&gt;&lt;R&gt;1&lt;/R&gt;&lt;C&gt;1&lt;/C&gt;&lt;D xsi:type="xsd:double"&gt;0.142036&lt;/D&gt;&lt;/FQL&gt;&lt;FQL&gt;&lt;Q&gt;SKYW-US^FF_ASSETS_CURR_OTH(ANN_R,12/2017,,,,,B,"FILING_DATE=1")&lt;/Q&gt;&lt;R&gt;1&lt;/R&gt;&lt;C&gt;1&lt;/C&gt;&lt;D xsi:type="xsd:double"&gt;0.180471&lt;/D&gt;&lt;/FQL&gt;&lt;FQL&gt;&lt;Q&gt;SKYW-US^FF_ASSETS_CURR_OTH(ANN_R,12/2016,,,,,B,"FILING_DATE=1")&lt;/Q&gt;&lt;R&gt;1&lt;/R&gt;&lt;C&gt;1&lt;/C&gt;&lt;D xsi:type="xsd:double"&gt;0.314306&lt;/D&gt;&lt;/FQL&gt;&lt;FQL&gt;&lt;Q&gt;SKYW-US^FF_ASSETS_CURR_OTH(ANN_R,12/2015,,,,,B,"FILING_DATE=1")&lt;/Q&gt;&lt;R&gt;1&lt;/R&gt;&lt;C&gt;1&lt;/C&gt;&lt;D xsi:type="xsd:double"&gt;0.508543&lt;/D&gt;&lt;/FQL&gt;&lt;FQL&gt;&lt;Q&gt;SKYW-US^FF_ASSETS_CURR_OTH(ANN_R,12/2014,,,,,B,"FILING_DATE=1")&lt;/Q&gt;&lt;R&gt;1&lt;/R&gt;&lt;C&gt;1&lt;/C&gt;&lt;D xsi:type="xsd:double"&gt;0.544223&lt;/D&gt;&lt;/FQL&gt;&lt;FQL&gt;&lt;Q&gt;SKYW-US^FF_ASSETS_CURR_OTH(ANN_R,12/2013,,,,,B,"FILING_DATE=1")&lt;/Q&gt;&lt;R&gt;1&lt;/R&gt;&lt;C&gt;1&lt;/C&gt;&lt;D xsi:type="xsd:double"&gt;0.480915&lt;/D&gt;&lt;/FQL&gt;&lt;FQL&gt;&lt;Q&gt;SKYW-US^FF_ASSETS_CURR_OTH(ANN_R,12/2012,,,,,B,"FILING_DATE=1")&lt;/Q&gt;&lt;R&gt;1&lt;/R&gt;&lt;C&gt;1&lt;/C&gt;&lt;D xsi:type="xsd:double"&gt;0.386663&lt;/D&gt;&lt;/FQL&gt;&lt;FQL&gt;&lt;Q&gt;SKYW-US^FF_ASSETS_CURR_OTH(ANN_R,12/2011,,,,,B,"FILING_DATE=1")&lt;/Q&gt;&lt;R&gt;1&lt;/R&gt;&lt;C&gt;1&lt;/C&gt;&lt;D xsi:type="xsd:double"&gt;0.344578&lt;/D&gt;&lt;/FQL&gt;&lt;FQL&gt;&lt;Q&gt;SKYW-US^FF_ASSETS_CURR(ANN_R,12/2020,,,,,B,"FILING_DATE=1")&lt;/Q&gt;&lt;R&gt;1&lt;/R&gt;&lt;C&gt;1&lt;/C&gt;&lt;D xsi:type="xsd:double"&gt;0.760346&lt;/D&gt;&lt;/FQL&gt;&lt;FQL&gt;&lt;Q&gt;SKYW-US^FF_ASSETS_CURR(ANN_R,12/2019,,,,,B,"FILING_DATE=1")&lt;/Q&gt;&lt;R&gt;1&lt;/R&gt;&lt;C&gt;1&lt;/C&gt;&lt;D xsi:type="xsd:double"&gt;1.020794&lt;/D&gt;&lt;/FQL&gt;&lt;FQL&gt;&lt;Q&gt;SKYW-US^FF_ASSETS_CURR(ANN_R,12/2018,,,,,B,"FILING_DATE=1")&lt;/Q&gt;&lt;R&gt;1&lt;/R&gt;&lt;C&gt;1&lt;/C&gt;&lt;D xsi:type="xsd:double"&gt;0.995133&lt;/D&gt;&lt;/FQL&gt;&lt;FQL&gt;&lt;Q&gt;SKYW-US^FF_ASSETS_CURR(ANN_R,12/2017,,,,,B,"FILING_DATE=1")&lt;/Q&gt;&lt;R&gt;1&lt;/R&gt;&lt;C&gt;1&lt;/C&gt;&lt;D xsi:type="xsd:double"&gt;0.917792&lt;/D&gt;&lt;/FQL&gt;&lt;FQL&gt;&lt;Q&gt;SKYW-US^FF_ASSETS_CURR(ANN_R,12/2016,,,,,B,"FILING_DATE=1")&lt;/Q&gt;&lt;R&gt;1&lt;/R&gt;&lt;C&gt;1&lt;/C&gt;&lt;D xsi:type="xsd:double"&gt;1.01757&lt;/D&gt;&lt;/FQL&gt;&lt;FQL&gt;&lt;Q&gt;SKYW-US^FF_ASSETS_CURR(ANN_R,12/2015,,,,,B,"FILING_DATE=1")&lt;/Q&gt;&lt;R&gt;1&lt;/R&gt;&lt;C&gt;1&lt;/C&gt;&lt;D xsi:type="xsd:double"&gt;1.291003&lt;/D&gt;&lt;/FQL&gt;&lt;FQL&gt;&lt;Q&gt;SKYW-US^FF_ASSETS_CURR(ANN_R,12/2014,,,,,B,"FILING_DATE=1")&lt;/Q&gt;&lt;R&gt;1&lt;/R&gt;&lt;C&gt;1&lt;/C&gt;&lt;D xsi:type="xsd:double"&gt;1.464437&lt;/D&gt;&lt;/FQL&gt;&lt;FQL&gt;&lt;Q&gt;SKYW-US^FF_ASSETS_CURR(ANN_R,12/2013,,,,,B,"FILING_DATE=1")&lt;/Q&gt;&lt;R&gt;1&lt;/R&gt;&lt;C&gt;1&lt;/C&gt;&lt;D xsi:type="xsd:double"&gt;1.38504&lt;/D&gt;&lt;/FQL&gt;&lt;FQL&gt;&lt;Q&gt;SKYW-US^FF_ASSETS_CURR(ANN_R,12/2012,,,,,B,"FILING_DATE=1")&lt;/Q&gt;&lt;R&gt;1&lt;/R&gt;&lt;C&gt;1&lt;/C&gt;&lt;D xsi:type="xsd:double"&gt;1.280464&lt;/D&gt;&lt;/FQL&gt;&lt;FQL&gt;&lt;Q&gt;SKYW-US^FF_ASSETS_CURR(ANN_R,12/2011,,,,,B,"FILING_DATE=1")&lt;/Q&gt;&lt;R&gt;1&lt;/R&gt;&lt;C&gt;1&lt;/C&gt;&lt;D xsi:type="xsd:double"&gt;1.369565&lt;/D&gt;&lt;/FQL&gt;&lt;FQL&gt;&lt;Q&gt;SKYW-US^FF_PPE_NET(ANN_R,12/2020,,,,,B,"FILING_DATE=1")&lt;/Q&gt;&lt;R&gt;1&lt;/R&gt;&lt;C&gt;1&lt;/C&gt;&lt;D xsi:type="xsd:double"&gt;5.73069&lt;/D&gt;&lt;/FQL&gt;&lt;FQL&gt;&lt;Q&gt;SKYW-US^FF_PPE_NET(ANN_R,12/2019,,,,,B,"FILING_DATE=1")&lt;/Q&gt;&lt;R&gt;1&lt;/R&gt;&lt;C&gt;1&lt;/C&gt;&lt;D xsi:type="xsd:double"&gt;5.005744&lt;/D&gt;&lt;/FQL&gt;&lt;FQL&gt;&lt;Q&gt;SKYW-US^FF_PPE_NET(ANN_R,12/2018,,,,,B,"FILING_DATE=1")&lt;/Q&gt;&lt;R&gt;1&lt;/R&gt;&lt;C&gt;1&lt;/C&gt;&lt;D xsi:type="xsd:double"&gt;4.183003&lt;/D&gt;&lt;/FQL&gt;&lt;FQL&gt;&lt;Q&gt;SKYW-US^FF_PPE_NET(ANN_R,12/2017,,,,,B,"FILING_DATE=1")&lt;/Q&gt;&lt;R&gt;1&lt;/R&gt;&lt;C&gt;1&lt;/C&gt;&lt;D xsi:type="xsd:double"&gt;3.821697&lt;/D&gt;&lt;/FQL&gt;&lt;FQL&gt;&lt;Q&gt;SKYW-US^FF_PPE_NET(ANN_R,12/2016,,,,,B,"FILING_DATE=1")&lt;/Q&gt;&lt;R&gt;1&lt;/R&gt;&lt;C&gt;1&lt;/C&gt;&lt;D xsi:type="xsd:double"&gt;3.470747&lt;/D&gt;&lt;/FQL&gt;&lt;FQL&gt;&lt;Q&gt;SKYW-US^FF_PPE_NET(ANN_R,12/2015,,,,,B,"FILING_DATE=1")&lt;/Q&gt;&lt;R&gt;1&lt;/R&gt;&lt;C&gt;1&lt;/C&gt;&lt;D xsi:type="xsd:double"&gt;3.021188&lt;/D&gt;&lt;/FQL&gt;&lt;FQL&gt;&lt;Q&gt;SKYW-US^FF_PPE_NET(ANN_R,12/2014,,,,,B,"FILING_DATE=1")&lt;/Q&gt;&lt;R&gt;1&lt;/R&gt;&lt;C&gt;1&lt;/C&gt;&lt;D xsi:type="xsd:double"&gt;2.651793&lt;/D&gt;&lt;/FQL&gt;&lt;FQL&gt;&lt;Q&gt;SKYW-US^FF_PPE_NET(ANN_R,12/2013,,,,,B,"FILING_DATE=1")&lt;/Q&gt;&lt;R&gt;1&lt;/R&gt;&lt;C&gt;1&lt;/C&gt;&lt;D xsi:type="xsd:double"&gt;2.710996&lt;/D&gt;&lt;/FQL&gt;&lt;FQL&gt;&lt;Q&gt;SKYW-US^FF_PPE_NET(ANN_R,12/2012,,,,,B,"FILING_DATE=1")&lt;/Q&gt;&lt;R&gt;1&lt;/R&gt;&lt;C&gt;1&lt;/C&gt;&lt;D xsi:type="xsd:double"&gt;2.883475&lt;/D&gt;&lt;/FQL&gt;&lt;FQL&gt;&lt;Q&gt;SKYW-US^FF_PPE_NET(ANN_R,12/2011,,,,,B,"FILING_DATE=1")&lt;/Q&gt;&lt;R&gt;1&lt;/R&gt;&lt;C&gt;1&lt;/C&gt;&lt;D xsi:type="xsd:double"&gt;2.942819&lt;/D&gt;&lt;/FQL&gt;&lt;FQL&gt;&lt;Q&gt;SKYW-US^FF_INVEST_ADV(ANN_R,12/2020,,,,,B)&lt;/Q&gt;&lt;R&gt;1&lt;/R&gt;&lt;C&gt;1&lt;/C&gt;&lt;D xsi:type="xsd:double"&gt;0.0255&lt;/D&gt;&lt;/FQL&gt;&lt;FQL&gt;&lt;Q&gt;SKYW-US^FF_INVEST_ADV(ANN_R,12/2019,,,,,B)&lt;/Q&gt;&lt;R&gt;1&lt;/R&gt;&lt;C&gt;1&lt;/C&gt;&lt;D xsi:type="xsd:double"&gt;0.0239&lt;/D&gt;&lt;/FQL&gt;&lt;FQL&gt;&lt;Q&gt;SKYW-US^FF_INVEST_ADV(ANN_R,12/2018,,,,,B)&lt;/Q&gt;&lt;R&gt;1&lt;/R&gt;&lt;C&gt;1&lt;/C&gt;&lt;D xsi:type="xsd:double"&gt;0&lt;/D&gt;&lt;/FQL&gt;&lt;FQL&gt;&lt;Q&gt;SKYW-US^FF_INVEST_ADV(ANN_R,12/2017,,,,,B)&lt;/Q&gt;&lt;R&gt;1&lt;/R&gt;&lt;C&gt;1&lt;/C&gt;&lt;D xsi:type="xsd:double"&gt;0&lt;/D&gt;&lt;/FQL&gt;&lt;FQL&gt;&lt;Q&gt;SKYW-US^FF_INVEST_ADV(ANN_R,12/2016,,,,,B)&lt;/Q&gt;&lt;R&gt;1&lt;/R&gt;&lt;C&gt;1&lt;/C&gt;&lt;D xsi:type="xsd:double"&gt;0&lt;/D&gt;&lt;/FQL&gt;&lt;FQL&gt;&lt;Q&gt;SKYW-US^FF_INVEST_ADV(ANN_R,12/2015,,,,,B)&lt;/Q&gt;&lt;R&gt;1&lt;/R&gt;&lt;C&gt;1&lt;/C&gt;&lt;D xsi:type="xsd:double"&gt;0.0023&lt;/D&gt;&lt;/FQL&gt;&lt;FQL&gt;&lt;Q&gt;SKYW-US^FF_INVEST_ADV(ANN_R,12/2014,,,,,B)&lt;/Q&gt;&lt;R&gt;1&lt;/R&gt;&lt;C&gt;1&lt;/C&gt;&lt;D xsi:type="xsd:double"&gt;0.002309&lt;/D&gt;&lt;/FQL&gt;&lt;FQL&gt;&lt;Q&gt;SKYW-US^FF_INVEST_ADV(ANN_R,12/2013,,,,,B)&lt;/Q&gt;&lt;R&gt;1&lt;/R&gt;&lt;C&gt;1&lt;/C&gt;&lt;D xsi:type="xsd:double"&gt;0.0213&lt;/D&gt;&lt;/FQL&gt;&lt;FQL&gt;&lt;Q&gt;SKYW-US^FF_INVEST_ADV(ANN_R,12/2012,,,,,B)&lt;/Q&gt;&lt;R&gt;1&lt;/R&gt;&lt;C&gt;1&lt;/C&gt;&lt;D xsi:type="xsd:double"&gt;0.005544&lt;/D&gt;&lt;/FQL&gt;&lt;FQL&gt;&lt;Q&gt;SKYW-US^FF_INVEST_ADV(ANN_R,12/2011,,,,,B)&lt;/Q&gt;&lt;R&gt;1&lt;/R&gt;&lt;C&gt;1&lt;/C&gt;&lt;D xsi:type="xsd:double"&gt;0.0038&lt;/D&gt;&lt;/FQL&gt;&lt;FQL&gt;&lt;Q&gt;SKYW-US^FF_INTANG_ASSETS(ANN,12/2020,,,,,B)&lt;/Q&gt;&lt;R&gt;1&lt;/R&gt;&lt;C&gt;1&lt;/C&gt;&lt;D xsi:type="xsd:double"&gt;0&lt;/D&gt;&lt;/FQL&gt;&lt;FQL&gt;&lt;Q&gt;SKYW-US^FF_INTANG_ASSETS(ANN,12/2019,,,,,B)&lt;/Q&gt;&lt;R&gt;1&lt;/R&gt;&lt;C&gt;1&lt;/C&gt;&lt;D xsi:type="xsd:double"&gt;0&lt;/D&gt;&lt;/FQL&gt;&lt;FQL&gt;&lt;Q&gt;SKYW-US^FF_INTANG_ASSETS(ANN,12/2018,,,,,B)&lt;/Q&gt;&lt;R&gt;1&lt;/R&gt;&lt;C&gt;1&lt;/C&gt;&lt;D xsi:type="xsd:double"&gt;0&lt;/D&gt;&lt;/FQL&gt;&lt;FQL&gt;&lt;Q&gt;SKYW-US^FF_INTANG_ASSETS(ANN,12/2017,,,,,B)&lt;/Q&gt;&lt;R&gt;1&lt;/R&gt;&lt;C&gt;1&lt;/C&gt;&lt;D xsi:type="xsd:double"&gt;0&lt;/D&gt;&lt;/FQL&gt;&lt;FQL&gt;&lt;Q&gt;SKYW-US^FF_INTANG_ASSETS(ANN,12/2016,,,,,B)&lt;/Q&gt;&lt;R&gt;1&lt;/R&gt;&lt;C&gt;1&lt;/C&gt;&lt;D xsi:type="xsd:double"&gt;0.008249&lt;/D&gt;&lt;/FQL&gt;&lt;FQL&gt;&lt;Q&gt;SKYW-US^FF_INTANG_ASSETS(ANN,12/2015,,,,,B)&lt;/Q&gt;&lt;R&gt;1&lt;/R&gt;&lt;C&gt;1&lt;/C&gt;&lt;D xsi:type="xsd:double"&gt;0.010499&lt;/D&gt;&lt;/FQL&gt;&lt;FQL&gt;&lt;Q&gt;SKYW-US^FF_INTANG_ASSETS(ANN,12/2014,,,,,B)&lt;/Q&gt;&lt;R&gt;1&lt;/R&gt;&lt;C&gt;1&lt;/C&gt;&lt;D xsi:type="xsd:double"&gt;0.012748&lt;/D&gt;&lt;/FQL&gt;&lt;FQL&gt;&lt;Q&gt;SKYW-US^FF_INTANG_ASSETS(ANN,12/2013,,,,,B)&lt;/Q&gt;&lt;R&gt;1&lt;/R&gt;&lt;C&gt;1&lt;/C&gt;&lt;D xsi:type="xsd:double"&gt;0.014998&lt;/D&gt;&lt;/FQL&gt;&lt;FQL&gt;&lt;Q&gt;SKYW-US^FF_INTANG_ASSETS(ANN,12/2012,,,,,B)&lt;/Q&gt;&lt;R&gt;1&lt;/R&gt;&lt;C&gt;1&lt;/C&gt;&lt;D xsi:type="xsd:double"&gt;0.017248&lt;/D&gt;&lt;/FQL&gt;&lt;FQL&gt;&lt;Q&gt;SKYW-US^FF_INTANG_ASSETS(ANN,12/2011,,,,,B)&lt;/Q&gt;&lt;R&gt;1&lt;/R&gt;&lt;C&gt;1&lt;/C&gt;&lt;D xsi:type="xsd:double"&gt;0.019497&lt;/D&gt;&lt;/FQL&gt;&lt;FQL&gt;&lt;Q&gt;SKYW-US^FF_DFD_TAX_DB(ANN_R,12/2020,,,,,B)&lt;/Q&gt;&lt;R&gt;1&lt;/R&gt;&lt;C&gt;1&lt;/C&gt;&lt;D xsi:type="xsd:double"&gt;0.32414&lt;/D&gt;&lt;/FQL&gt;&lt;FQL&gt;&lt;Q&gt;SKYW-US^FF_DFD_TAX_DB(ANN_R,12/2019,,,,,B)&lt;/Q&gt;&lt;R&gt;0&lt;/R&gt;&lt;C&gt;0&lt;/C&gt;&lt;/FQL&gt;&lt;FQL&gt;&lt;Q&gt;SKYW-US^FF_DFD_TAX_DB(ANN_R,12/2018,,,,,B)&lt;/Q&gt;&lt;R&gt;0&lt;/R&gt;&lt;C&gt;0&lt;/C&gt;&lt;/FQL&gt;&lt;FQL&gt;&lt;Q&gt;SKYW-US^FF_DFD_TAX_DB(ANN_R,12/2017,,,,,B)&lt;/Q&gt;&lt;R&gt;0&lt;/R&gt;&lt;C&gt;0&lt;/C&gt;&lt;/FQL&gt;&lt;FQL&gt;&lt;Q&gt;SKYW-US^FF_DFD_TAX_DB(ANN_R,12/2016,,,,,B)&lt;/Q&gt;&lt;R&gt;0&lt;/R&gt;&lt;C&gt;0&lt;/C&gt;&lt;/FQL&gt;&lt;FQL&gt;&lt;Q&gt;SKYW-US^FF_DFD_TAX_DB(ANN_R,12/2015,,,,,B)&lt;/Q&gt;&lt;R&gt;0&lt;/R&gt;&lt;C&gt;0&lt;/C&gt;&lt;/FQL&gt;&lt;FQL&gt;&lt;Q&gt;SKYW-US^FF_DFD_TAX_DB(ANN_R,12/2014,,,,,B)&lt;/Q&gt;&lt;R&gt;0&lt;/R&gt;&lt;C&gt;0&lt;/C&gt;&lt;/FQL&gt;&lt;FQL&gt;&lt;Q&gt;SKYW-US^FF_DFD_TAX_DB(ANN_R,12/2013,,,,,B)&lt;/Q&gt;&lt;R&gt;0&lt;/R&gt;&lt;C&gt;0&lt;/C&gt;&lt;/FQL&gt;&lt;FQL&gt;&lt;Q&gt;SKYW-US^FF_DFD_TAX_DB(ANN_R,12/2012,,,,,B)&lt;/Q&gt;&lt;R&gt;0&lt;/R&gt;&lt;C&gt;0&lt;/C&gt;&lt;/FQL&gt;&lt;FQL&gt;&lt;Q&gt;SKYW-US^FF_DFD_TAX_DB(ANN_R,12/2011,,,,,B)&lt;/Q&gt;&lt;R&gt;1&lt;/R&gt;&lt;C&gt;1&lt;/C&gt;&lt;D xsi:type="xsd:double"&gt;0&lt;/D&gt;&lt;/FQL&gt;&lt;FQL&gt;&lt;Q&gt;SKYW-US^FF_ASSETS(ANN_R,12/2020,,,,,B)&lt;/Q&gt;&lt;R&gt;1&lt;/R&gt;&lt;C&gt;1&lt;/C&gt;&lt;D xsi:type="xsd:double"&gt;7.211762&lt;/D&gt;&lt;/FQL&gt;&lt;FQL&gt;&lt;Q&gt;SKYW-US^FF_ASSETS(ANN_R,12/2019,,,,,B)&lt;/Q&gt;&lt;R&gt;1&lt;/R&gt;&lt;C&gt;1&lt;/C&gt;&lt;D xsi:type="xsd:double"&gt;6.657129&lt;/D&gt;&lt;/FQL&gt;&lt;FQL&gt;&lt;Q&gt;SKYW-US^FF_ASSETS(ANN_R,12/2018,,,,,B)&lt;/Q&gt;&lt;R&gt;1&lt;/R&gt;&lt;C&gt;1&lt;/C&gt;&lt;D xsi:type="xsd:double"&gt;6.313212&lt;/D&gt;&lt;/FQL&gt;&lt;FQL&gt;&lt;Q&gt;SKYW-US^FF_ASSETS(ANN_R,12/2017,,,,,B)&lt;/Q&gt;&lt;R&gt;1&lt;/R&gt;&lt;C&gt;1&lt;/C&gt;&lt;D xsi:type="xsd:double"&gt;5.4744&lt;/D&gt;&lt;/FQL&gt;&lt;FQL&gt;&lt;Q&gt;SKYW-US^FF_ASSETS(ANN_R,12/2016,,,,,B)&lt;/Q&gt;&lt;R&gt;1&lt;/R&gt;&lt;C&gt;1&lt;/C&gt;&lt;D xsi:type="xsd:double"&gt;5.007966&lt;/D&gt;&lt;/FQL&gt;&lt;FQL&gt;&lt;Q&gt;SKYW-US^FF_ASSETS(ANN_R,12/2015,,,,,B)&lt;/Q&gt;&lt;R&gt;1&lt;/R&gt;&lt;C&gt;1&lt;/C&gt;&lt;D xsi:type="xsd:double"&gt;4.781984&lt;/D&gt;&lt;/FQL&gt;&lt;FQL&gt;&lt;Q&gt;SKYW-US^FF_ASSETS(ANN_R,12/2014,,,,,B)&lt;/Q&gt;&lt;R&gt;1&lt;/R&gt;&lt;C&gt;1&lt;/C&gt;&lt;D xsi:type="xsd:double"&gt;4.409928&lt;/D&gt;&lt;/FQL&gt;&lt;FQL&gt;&lt;Q&gt;SKYW-US^FF_ASSETS(ANN_R,12/2013,,,,,B)&lt;/Q&gt;&lt;R&gt;1&lt;/R&gt;&lt;C&gt;1&lt;/C&gt;&lt;D xsi:type="xsd:double"&gt;4.233219&lt;/D&gt;&lt;/FQL&gt;&lt;FQL&gt;&lt;Q&gt;SKYW-US^FF_ASSETS(ANN_R,12/2012,,,,,B)&lt;/Q&gt;&lt;R&gt;1&lt;/R&gt;&lt;C&gt;1&lt;/C&gt;&lt;D xsi:type="xsd:double"&gt;4.254637&lt;/D&gt;&lt;/FQL&gt;&lt;FQL&gt;&lt;Q&gt;SKYW-US^FF_ASSETS(ANN_R,12/2011,,,,,B)&lt;/Q&gt;&lt;R&gt;1&lt;/R&gt;&lt;C&gt;1&lt;/C&gt;&lt;D xsi:type="xsd:double"&gt;4.281908&lt;/D&gt;&lt;/FQL&gt;&lt;FQL&gt;&lt;Q&gt;SKYW-US^FF_PROV_RISK(ANN_R,12/2020,,,,,B)&lt;/Q&gt;&lt;R&gt;1&lt;/R&gt;&lt;C&gt;1&lt;/C&gt;&lt;D xsi:type="xsd:double"&gt;0&lt;/D&gt;&lt;/FQL&gt;&lt;FQL&gt;&lt;Q&gt;SKYW-US^FF_PROV_RISK(ANN_R,12/2019,,,,,B)&lt;/Q&gt;&lt;R&gt;1&lt;/R&gt;&lt;C&gt;1&lt;/C&gt;&lt;D xsi:type="xsd:double"&gt;0&lt;/D&gt;&lt;/FQL&gt;&lt;FQL&gt;&lt;Q&gt;SKYW-US^FF_PROV_RISK(ANN_R,12/2018,,,,,B)&lt;/Q&gt;&lt;R&gt;1&lt;/R&gt;&lt;C&gt;1&lt;/C&gt;&lt;D xsi:type="xsd:double"&gt;0&lt;/D&gt;&lt;/FQL&gt;&lt;FQL&gt;&lt;Q&gt;SKYW-US^FF_PROV_RISK(ANN_R,12/2017,,,,,B)&lt;/Q&gt;&lt;R&gt;1&lt;/R&gt;&lt;C&gt;1&lt;/C&gt;&lt;D xsi:type="xsd:double"&gt;0&lt;/D&gt;&lt;/FQL&gt;&lt;FQL&gt;&lt;Q&gt;SKYW-US^FF_PROV_RISK(ANN_R,12/2016,,,,,B)&lt;/Q&gt;&lt;R&gt;1&lt;/R&gt;&lt;C&gt;1&lt;/C&gt;&lt;D xsi:type="xsd:double"&gt;0&lt;/D&gt;&lt;/FQL&gt;&lt;FQL&gt;&lt;Q&gt;SKYW-US^FF_PROV_RISK(ANN_R,12/2015,,,,,B)&lt;/Q&gt;&lt;R&gt;1&lt;/R&gt;&lt;C&gt;1&lt;/C&gt;&lt;D xsi:type="xsd:double"&gt;0&lt;/D&gt;&lt;/FQL&gt;&lt;FQL&gt;&lt;Q&gt;SKYW-US^FF_PROV_RISK(ANN_R,12/2014,,,,,B)&lt;/Q&gt;&lt;R&gt;1&lt;/R&gt;&lt;C&gt;1&lt;/C&gt;&lt;D xsi:type="xsd:double"&gt;0&lt;/D&gt;&lt;/FQL&gt;&lt;FQL&gt;&lt;Q&gt;SKYW-US^FF_PROV_RISK(ANN_R,12/2013,,,,,B)&lt;/Q&gt;&lt;R&gt;1&lt;/R&gt;&lt;C&gt;1&lt;/C&gt;&lt;D xsi:type="xsd:double"&gt;0&lt;/D&gt;&lt;/FQL&gt;&lt;FQL&gt;&lt;Q&gt;SKYW-US^FF_PROV_RISK(ANN_R,12/2012,,,,,B)&lt;/Q&gt;&lt;R&gt;1&lt;/R&gt;&lt;C&gt;1&lt;/C&gt;&lt;D xsi:type="xsd:double"&gt;0&lt;/D&gt;&lt;/FQL&gt;&lt;FQL&gt;&lt;Q&gt;SKYW-US^FF_PROV_RISK(ANN_R,12/2011,,,,,B)&lt;/Q&gt;&lt;R&gt;1&lt;/R&gt;&lt;C&gt;1&lt;/C&gt;&lt;D xsi:type="xsd:double"&gt;0&lt;/D&gt;&lt;/FQL&gt;&lt;FQL&gt;&lt;Q&gt;SKYW-US^FF_DFD_TAX_CR(ANN_R,12/2020,,,,,B,"FILING_DATE=1")&lt;/Q&gt;&lt;R&gt;1&lt;/R&gt;&lt;C&gt;1&lt;/C&gt;&lt;D xsi:type="xsd:double"&gt;0.62358&lt;/D&gt;&lt;/FQL&gt;&lt;FQL&gt;&lt;Q&gt;SKYW-US^FF_DFD_TAX_CR(ANN_R,12/2019,,,,,B,"FILING_DATE=1")&lt;/Q&gt;&lt;R&gt;1&lt;/R&gt;&lt;C&gt;1&lt;/C&gt;&lt;D xsi:type="xsd:double"&gt;0.518159&lt;/D&gt;&lt;/FQL&gt;&lt;FQL&gt;&lt;Q&gt;SKYW-US^FF_DFD_TAX_CR(ANN_R,12/2018,,,,,B,"FILING_DATE=1")&lt;/Q&gt;&lt;R&gt;1&lt;/R&gt;&lt;C&gt;1&lt;/C&gt;&lt;D xsi:type="xsd:double"&gt;0.41902&lt;/D&gt;&lt;/FQL&gt;&lt;FQL&gt;&lt;Q&gt;SKYW-US^FF_DFD_TAX_CR(ANN_R,12/2017,,,,,B,"FILING_DATE=1")&lt;/Q&gt;&lt;R&gt;1&lt;/R&gt;&lt;C&gt;1&lt;/C&gt;&lt;D xsi:type="xsd:double"&gt;0.565404&lt;/D&gt;&lt;/FQL&gt;&lt;FQL&gt;&lt;Q&gt;SKYW-US^FF_DFD_TAX_CR(ANN_R,12/2016,,,,,B,"FILING_DATE=1")&lt;/Q&gt;&lt;R&gt;1&lt;/R&gt;&lt;C&gt;1&lt;/C&gt;&lt;D xsi:type="xsd:double"&gt;0.749575&lt;/D&gt;&lt;/FQL&gt;&lt;FQL&gt;&lt;Q&gt;SKYW-US^FF_DFD_TAX_CR(ANN_R,12/2015,,,,,B,"FILING_DATE=1")&lt;/Q&gt;&lt;R&gt;1&lt;/R&gt;&lt;C&gt;1&lt;/C&gt;&lt;D xsi:type="xsd:double"&gt;0.669385&lt;/D&gt;&lt;/FQL&gt;&lt;FQL&gt;&lt;Q&gt;SKYW-US^FF_DFD_TAX_CR(ANN_R,12/2014,,,,,B,"FILING_DATE=1")&lt;/Q&gt;&lt;R&gt;1&lt;/R&gt;&lt;C&gt;1&lt;/C&gt;&lt;D xsi:type="xsd:double"&gt;0.727358&lt;/D&gt;&lt;/FQL&gt;&lt;FQL&gt;&lt;Q&gt;SKYW-US^FF_DFD_TAX_CR(ANN_R,12/2013,,,,,B,"FILING_DATE=1")&lt;/Q&gt;&lt;R&gt;1&lt;/R&gt;&lt;C&gt;1&lt;/C&gt;&lt;D xsi:type="xsd:double"&gt;0.65762&lt;/D&gt;&lt;/FQL&gt;&lt;FQL&gt;&lt;Q&gt;SKYW-US^FF_DFD_TAX_CR(ANN_R,12/2012,,,,,B,"FILING_DATE=1")&lt;/Q&gt;&lt;R&gt;1&lt;/R&gt;&lt;C&gt;1&lt;/C&gt;&lt;D xsi:type="xsd:double"&gt;0.567874&lt;/D&gt;&lt;/FQL&gt;&lt;FQL&gt;&lt;Q&gt;SKYW-US^FF_DFD_TAX_CR(ANN_R,12/2011,,,,,B,"FILING_DATE=1")&lt;/Q&gt;&lt;R&gt;1&lt;/R&gt;&lt;C&gt;1&lt;/C&gt;&lt;D xsi:type="xsd:double"&gt;0.569847&lt;/D&gt;&lt;/FQL&gt;&lt;FQL&gt;&lt;Q&gt;SKYW-US^FF_LIABS_OTH(ANN_R,12/2020,,,,,B,"FILING_DATE=1")&lt;/Q&gt;&lt;R&gt;1&lt;/R&gt;&lt;C&gt;1&lt;/C&gt;&lt;D xsi:type="xsd:double"&gt;0.04563&lt;/D&gt;&lt;/FQL&gt;&lt;FQL&gt;&lt;Q&gt;SKYW-US^FF_LIABS_OTH(ANN_R,12/2019,,,,,B,"FILING_DATE=1")&lt;/Q&gt;&lt;R&gt;1&lt;/R&gt;&lt;C&gt;1&lt;/C&gt;&lt;D xsi:type="xsd:double"&gt;0.09618&lt;/D&gt;&lt;/FQL&gt;&lt;FQL&gt;&lt;Q&gt;SKYW-US^FF_LIABS_OTH(ANN_R,12/2018,,,,,B,"FILING_DATE=1")&lt;/Q&gt;&lt;R&gt;1&lt;/R&gt;&lt;C&gt;1&lt;/C&gt;&lt;D xsi:type="xsd:double"&gt;0.10289&lt;/D&gt;&lt;/FQL&gt;&lt;FQL&gt;&lt;Q&gt;SKYW-US^FF_LIABS_OTH(ANN_R,12/2017,,,,,B,"FILING_DATE=1")&lt;/Q&gt;&lt;R&gt;1&lt;/R&gt;&lt;C&gt;1&lt;/C&gt;&lt;D xsi:type="xsd:double"&gt;0.1043&lt;/D&gt;&lt;/FQL&gt;&lt;FQL&gt;&lt;Q&gt;SKYW-US^FF_LIABS_OTH(ANN_R,12/2016,,,,,B,"FILING_DATE=1")&lt;/Q&gt;&lt;R&gt;1&lt;/R&gt;&lt;C&gt;1&lt;/C&gt;&lt;D xsi:type="xsd:double"&gt;0.11871&lt;/D&gt;&lt;/FQL&gt;&lt;FQL&gt;&lt;Q&gt;SKYW-US^FF_LIABS_OTH(ANN_R,12/2015,,,,,B,"FILING_DATE=1")&lt;/Q&gt;&lt;R&gt;1&lt;/R&gt;&lt;C&gt;1&lt;/C&gt;&lt;D xsi:type="xsd:double"&gt;0.12185&lt;/D&gt;&lt;/FQL&gt;&lt;FQL&gt;&lt;Q&gt;SKYW-US^FF_LIABS_OTH(ANN_R,12/2014,,,,,B,"FILING_DATE=1")&lt;/Q&gt;&lt;R&gt;1&lt;/R&gt;&lt;C&gt;1&lt;/C&gt;&lt;D xsi:type="xsd:double"&gt;0.15728&lt;/D&gt;&lt;/FQL&gt;&lt;FQL&gt;&lt;Q&gt;SKYW-US^FF_LIABS_OTH(ANN_R,12/2013,,,,,B,"FILING_DATE=1")&lt;/Q&gt;&lt;R&gt;1&lt;/R&gt;&lt;C&gt;1&lt;/C&gt;&lt;D xsi:type="xsd:double"&gt;0.14785&lt;/D&gt;&lt;/FQL&gt;&lt;FQL&gt;&lt;Q&gt;SKYW-US^FF_LIABS_OTH(ANN_R,12/2012,,,,,B,"FILING_DATE=1")&lt;/Q&gt;&lt;R&gt;1&lt;/R&gt;&lt;C&gt;1&lt;/C&gt;&lt;D xsi:type="xsd:double"&gt;0.14863&lt;/D&gt;&lt;/FQL&gt;&lt;FQL&gt;&lt;Q&gt;SKYW-US^FF_LIABS_OTH(ANN_R,12/2011,,,,,B,"FILING_DATE=1")&lt;/Q&gt;&lt;R&gt;1&lt;/R&gt;&lt;C&gt;1&lt;/C&gt;&lt;D xsi:type="xsd:double"&gt;0.15416&lt;/D&gt;&lt;/FQL&gt;&lt;FQL&gt;&lt;Q&gt;SKYW-US^FF_LIABS(ANN_R,12/2020,,,,,B)&lt;/Q&gt;&lt;R&gt;1&lt;/R&gt;&lt;C&gt;1&lt;/C&gt;&lt;D xsi:type="xsd:double"&gt;5.072217&lt;/D&gt;&lt;/FQL&gt;&lt;FQL&gt;&lt;Q&gt;SKYW-US^FF_LIABS(ANN_R,12/2019,,,,,B)&lt;/Q&gt;&lt;R&gt;1&lt;/R&gt;&lt;C&gt;1&lt;/C&gt;&lt;D xsi:type="xsd:double"&gt;4.482115&lt;/D&gt;&lt;/FQL&gt;&lt;FQL&gt;&lt;Q&gt;SKYW-US^FF_LIABS(ANN_R,12/2018,,,,,B)&lt;/Q&gt;&lt;R&gt;1&lt;/R&gt;&lt;C&gt;1&lt;/C&gt;&lt;D xsi:type="xsd:double"&gt;4.348931&lt;/D&gt;&lt;/FQL&gt;&lt;FQL&gt;&lt;Q&gt;SKYW-US^FF_LIABS(ANN_R,12/2017,,,,,B)&lt;/Q&gt;&lt;R&gt;1&lt;/R&gt;&lt;C&gt;1&lt;/C&gt;&lt;D xsi:type="xsd:double"&gt;3.720078&lt;/D&gt;&lt;/FQL&gt;&lt;FQL&gt;&lt;Q&gt;SKYW-US^FF_LIABS(ANN_R,12/2016,,,,,B)&lt;/Q&gt;&lt;R&gt;1&lt;/R&gt;&lt;C&gt;1&lt;/C&gt;&lt;D xsi:type="xsd:double"&gt;3.657023&lt;/D&gt;&lt;/FQL&gt;&lt;FQL&gt;&lt;Q&gt;SKYW-US^FF_LIABS(ANN_R,12/2015,,,,,B)&lt;/Q&gt;&lt;R&gt;1&lt;/R&gt;&lt;C&gt;1&lt;/C&gt;&lt;D xsi:type="xsd:double"&gt;3.275549&lt;/D&gt;&lt;/FQL&gt;&lt;FQL&gt;&lt;Q&gt;SKYW-US^FF_LIABS(ANN_R,12/2014,,,,,B)&lt;/Q&gt;&lt;R&gt;1&lt;/R&gt;&lt;C&gt;1&lt;/C&gt;&lt;D xsi:type="xsd:double"&gt;3.009582&lt;/D&gt;&lt;/FQL&gt;&lt;FQL&gt;&lt;Q&gt;SKYW-US^FF_LIABS(ANN_R,12/2013,,,,,B)&lt;/Q&gt;&lt;R&gt;1&lt;/R&gt;&lt;C&gt;1&lt;/C&gt;&lt;D xsi:type="xsd:double"&gt;2.79828&lt;/D&gt;&lt;/FQL&gt;&lt;FQL&gt;&lt;Q&gt;SKYW-US^FF_LIABS(ANN_R,12/2012,,,,,B)&lt;/Q&gt;&lt;R&gt;1&lt;/R&gt;&lt;C&gt;1&lt;/C&gt;&lt;D xsi:type="xsd:double"&gt;2.867462&lt;/D&gt;&lt;/FQL&gt;&lt;FQL&gt;&lt;Q&gt;SKYW-US^FF_LIABS(ANN_R,12/2011,,,,,B)&lt;/Q&gt;&lt;R&gt;1&lt;/R&gt;&lt;C&gt;1&lt;/C&gt;&lt;D xsi:type="xsd:double"&gt;2.947647&lt;/D&gt;&lt;/FQL&gt;&lt;FQL&gt;&lt;Q&gt;DAL-US^FF_EBITDA_OPER(ANN_R,12/2011,,,,,B)&lt;/Q&gt;&lt;R&gt;1&lt;/R&gt;&lt;C&gt;1&lt;/C&gt;&lt;D xsi:type="xsd:double"&gt;3.32&lt;/D&gt;&lt;/FQL&gt;&lt;FQL&gt;&lt;Q&gt;DAL-US^FF_EBITDA_OPER(ANN_R,12/2012,,,,,B)&lt;/Q&gt;&lt;R&gt;1&lt;/R&gt;&lt;C&gt;1&lt;/C&gt;&lt;D xsi:type="xsd:double"&gt;4.283&lt;/D&gt;&lt;/FQL&gt;&lt;FQL&gt;&lt;Q&gt;DAL-US^FF_EBITDA_OPER(ANN_R,12/2013,,,,,B)&lt;/Q&gt;&lt;R&gt;1&lt;/R&gt;&lt;C&gt;1&lt;/C&gt;&lt;D xsi:type="xsd:double"&gt;4.832&lt;/D&gt;&lt;/FQL&gt;&lt;FQL&gt;&lt;Q&gt;DAL-US^FF_EBITDA_OPER(ANN_R,12/2014,,,,,B)&lt;/Q&gt;&lt;R&gt;1&lt;/R&gt;&lt;C&gt;1&lt;/C&gt;&lt;D xsi:type="xsd:double"&gt;6.535&lt;/D&gt;&lt;/FQL&gt;&lt;FQL&gt;&lt;Q&gt;DAL-US^FF_EBITDA_OPER(ANN_R,12/2015,,,,,B)&lt;/Q&gt;&lt;R&gt;1&lt;/R&gt;&lt;C&gt;1&lt;/C&gt;&lt;D xsi:type="xsd:double"&gt;10.215&lt;/D&gt;&lt;/FQL&gt;&lt;FQL&gt;&lt;Q&gt;DAL-US^FF_EBITDA_OPER(ANN_R,12/2016,,,,,B)&lt;/Q&gt;&lt;R&gt;1&lt;/R&gt;&lt;C&gt;1&lt;/C&gt;&lt;D xsi:type="xsd:double"&gt;9.183&lt;/D&gt;&lt;/FQL&gt;&lt;FQL&gt;&lt;Q&gt;DAL-US^FF_EBITDA_OPER(ANN_R,12/2017,,,,,B)&lt;/Q&gt;&lt;R&gt;1&lt;/R&gt;&lt;C&gt;1&lt;/C&gt;&lt;D xsi:type="xsd:double"&gt;8.259&lt;/D&gt;&lt;/FQL&gt;&lt;FQL&gt;&lt;Q&gt;DAL-US^FF_EBITDA_OPER(ANN_R,12/2018,,,,,B)&lt;/Q&gt;&lt;R&gt;1&lt;/R&gt;&lt;C&gt;1&lt;/C&gt;&lt;D xsi:type="xsd:double"&gt;7.596&lt;/D&gt;&lt;/FQL&gt;&lt;FQL&gt;&lt;Q&gt;DAL-US^FF_EBITDA_OPER(ANN_R,12/2019,,,,,B)&lt;/Q&gt;&lt;R&gt;1&lt;/R&gt;&lt;C&gt;1&lt;/C&gt;&lt;D xsi:type="xsd:double"&gt;9.239&lt;/D&gt;&lt;/FQL&gt;&lt;FQL&gt;&lt;Q&gt;DAL-US^FF_EBITDA_OPER(ANN_R,12/2020,,,,,B)&lt;/Q&gt;&lt;R&gt;1&lt;/R&gt;&lt;C&gt;1&lt;/C&gt;&lt;D xsi:type="xsd:double"&gt;-5.969&lt;/D&gt;&lt;/FQL&gt;&lt;FQL&gt;&lt;Q&gt;AAL-US^FF_NON_OPER_INC(ANN_R,12/2011,,,,,B)&lt;/Q&gt;&lt;R&gt;1&lt;/R&gt;&lt;C&gt;1&lt;/C&gt;&lt;D xsi:type="xsd:double"&gt;-0.746&lt;/D&gt;&lt;/FQL&gt;&lt;FQL&gt;&lt;Q&gt;AAL-US^FF_NON_OPER_INC(ANN_R,12/2012,,,,,B)&lt;/Q&gt;&lt;R&gt;1&lt;/R&gt;&lt;C&gt;1&lt;/C&gt;&lt;D xsi:type="xsd:double"&gt;0.265&lt;/D&gt;&lt;/FQL&gt;&lt;FQL&gt;&lt;Q&gt;AAL-US^FF_NON_OPER_INC(ANN_R,12/2013,,,,,B)&lt;/Q&gt;&lt;R&gt;1&lt;/R&gt;&lt;C&gt;1&lt;/C&gt;&lt;D xsi:type="xsd:double"&gt;-0.034&lt;/D&gt;&lt;/FQL&gt;&lt;FQL&gt;&lt;Q&gt;AAL-US^FF_NON_OPER_INC(ANN_R,12/2014,,,,,B)&lt;/Q&gt;&lt;R&gt;1&lt;/R&gt;&lt;C&gt;1&lt;/C&gt;&lt;D xsi:type="xsd:double"&gt;0.024&lt;/D&gt;&lt;/FQL&gt;&lt;FQL&gt;&lt;Q&gt;AAL-US^FF_NON_OPER_INC(ANN_R,12/2015,,,,,B)&lt;/Q&gt;&lt;R&gt;1&lt;/R&gt;&lt;C&gt;1&lt;/C&gt;&lt;D xsi:type="xsd:double"&gt;-0.717&lt;/D&gt;&lt;/FQL&gt;&lt;FQL&gt;&lt;Q&gt;AAL-US^FF_NON_OPER_INC(ANN_R,12/2016,,,,,B)&lt;/Q&gt;&lt;R&gt;1&lt;/R&gt;&lt;C&gt;1&lt;/C&gt;&lt;D xsi:type="xsd:double"&gt;0.055&lt;/D&gt;&lt;/FQL&gt;&lt;FQL&gt;&lt;Q&gt;AAL-US^FF_NON_OPER_INC(ANN_R,12/2017,,,,,B)&lt;/Q&gt;&lt;R&gt;1&lt;/R&gt;&lt;C&gt;1&lt;/C&gt;&lt;D xsi:type="xsd:double"&gt;0.239&lt;/D&gt;&lt;/FQL&gt;&lt;FQL&gt;&lt;Q&gt;AAL-US^FF_NON_OPER_INC(ANN_R,12/2018,,,,,B)&lt;/Q&gt;&lt;R&gt;1&lt;/R&gt;&lt;C&gt;1&lt;/C&gt;&lt;D xsi:type="xsd:double"&gt;0.397&lt;/D&gt;&lt;/FQL&gt;&lt;FQL&gt;&lt;Q&gt;AAL-US^FF_NON_OPER_INC(ANN_R,12/2019,,,,,B)&lt;/Q&gt;&lt;R&gt;1&lt;/R&gt;&lt;C&gt;1&lt;/C&gt;&lt;D xsi:type="xsd:double"&gt;0.289&lt;/D&gt;&lt;/FQL&gt;&lt;FQL&gt;&lt;Q&gt;AAL-US^FF_NON_OPER_INC(ANN_R,12/2020,,,,,B)&lt;/Q&gt;&lt;R&gt;1&lt;/R&gt;&lt;C&gt;1&lt;/C&gt;&lt;D xsi:type="xsd:double"&gt;0.365&lt;/D&gt;&lt;/FQL&gt;&lt;FQL&gt;&lt;Q&gt;AAL-US^FF_UNUSUAL_EXP(ANN_R,12/2011,,,,,B)&lt;/Q&gt;&lt;R&gt;1&lt;/R&gt;&lt;C&gt;1&lt;/C&gt;&lt;D xsi:type="xsd:double"&gt;0.502&lt;/D&gt;&lt;/FQL&gt;&lt;FQL&gt;&lt;Q&gt;AAL-US^FF_UNUSUAL_EXP(ANN_R,12/2012,,,,,B)&lt;/Q&gt;&lt;R&gt;1&lt;/R&gt;&lt;C&gt;1&lt;/C&gt;&lt;D xsi:type="xsd:double"&gt;2.596&lt;/D&gt;&lt;/FQL&gt;&lt;FQL&gt;&lt;Q&gt;AAL-US^FF_UNUSUAL_EXP(ANN_R,12/2013,,,,,B)&lt;/Q&gt;&lt;R&gt;1&lt;/R&gt;&lt;C&gt;1&lt;/C&gt;&lt;D xsi:type="xsd:double"&gt;3.222&lt;/D&gt;&lt;/FQL&gt;&lt;FQL&gt;&lt;Q&gt;AAL-US^FF_UNUSUAL_EXP(ANN_R,12/2014,,,,,B)&lt;/Q&gt;&lt;R&gt;1&lt;/R&gt;&lt;C&gt;1&lt;/C&gt;&lt;D xsi:type="xsd:double"&gt;0.824&lt;/D&gt;&lt;/FQL&gt;&lt;FQL&gt;&lt;Q&gt;AAL-US^FF_UNUSUAL_EXP(ANN_R,12/2015,,,,,B)&lt;/Q&gt;&lt;R&gt;1&lt;/R&gt;&lt;C&gt;1&lt;/C&gt;&lt;D xsi:type="xsd:double"&gt;1.08&lt;/D&gt;&lt;/FQL&gt;&lt;FQL&gt;&lt;Q&gt;AAL-US^FF_UNUSUAL_EXP(ANN_R,12/2016,,,,,B)&lt;/Q&gt;&lt;R&gt;1&lt;/R&gt;&lt;C&gt;1&lt;/C&gt;&lt;D xsi:type="xsd:double"&gt;0.772&lt;/D&gt;&lt;/FQL&gt;&lt;FQL&gt;&lt;Q&gt;AAL-US^FF_UNUSUAL_EXP(ANN_R,12/2017,,,,,B)&lt;/Q&gt;&lt;R&gt;1&lt;/R&gt;&lt;C&gt;1&lt;/C&gt;&lt;D xsi:type="xsd:double"&gt;0.756&lt;/D&gt;&lt;/FQL&gt;&lt;FQL&gt;&lt;Q&gt;AAL-US^FF_UNUSUAL_EXP(ANN_R,12/2018,,,,,B)&lt;/Q&gt;&lt;R&gt;1&lt;/R&gt;&lt;C&gt;1&lt;/C&gt;&lt;D xsi:type="xsd:double"&gt;0.906&lt;/D&gt;&lt;/FQL&gt;&lt;FQL&gt;&lt;Q&gt;AAL-US^FF_UNUSUAL_EXP(ANN_R,12/2019,,,,,B)&lt;/Q&gt;&lt;R&gt;1&lt;/R&gt;&lt;C&gt;1&lt;/C&gt;&lt;D xsi:type="xsd:double"&gt;0.644&lt;/D&gt;&lt;/FQL&gt;&lt;FQL&gt;&lt;Q&gt;AAL-US^FF_UNUSUAL_EXP(ANN_R,12/2020,,,,,B)&lt;/Q&gt;&lt;R&gt;1&lt;/R&gt;&lt;C&gt;1&lt;/C&gt;&lt;D xsi:type="xsd:double"&gt;-0.796&lt;/D&gt;&lt;/FQL&gt;&lt;FQL&gt;&lt;Q&gt;AAL-US^FF_EBITDA_OPER(ANN_R,12/2019,,,,,B)&lt;/Q&gt;&lt;R&gt;1&lt;/R&gt;&lt;C&gt;1&lt;/C&gt;&lt;D xsi:type="xsd:double"&gt;6.024&lt;/D&gt;&lt;/FQL&gt;&lt;FQL&gt;&lt;Q&gt;AAL-US^FF_EBITDA_OPER(ANN_R,12/2020,,,,,B)&lt;/Q&gt;&lt;R&gt;1&lt;/R&gt;&lt;C&gt;1&lt;/C&gt;&lt;D xsi:type="xsd:double"&gt;-9.022&lt;/D&gt;&lt;/FQL&gt;&lt;FQL&gt;&lt;Q&gt;AAL-US^FF_EBIT_OPER(ANN_R,12/2011,,,,,B)&lt;/Q&gt;&lt;R&gt;1&lt;/R&gt;&lt;C&gt;1&lt;/C&gt;&lt;D xsi:type="xsd:double"&gt;0.055&lt;/D&gt;&lt;/FQL&gt;&lt;FQL&gt;&lt;Q&gt;AAL-US^FF_INC_TAX(ANN_R,12/2011,,,,,B)&lt;/Q&gt;&lt;R&gt;1&lt;/R&gt;&lt;C&gt;1&lt;/C&gt;&lt;D xsi:type="xsd:double"&gt;0&lt;/D&gt;&lt;/FQL&gt;&lt;FQL&gt;&lt;Q&gt;AAL-US^FF_EBIT_OPER(ANN_R,12/2012,,,,,B)&lt;/Q&gt;&lt;R&gt;1&lt;/R&gt;&lt;C&gt;1&lt;/C&gt;&lt;D xsi:type="xsd:double"&gt;0.498&lt;/D&gt;&lt;/FQL&gt;&lt;FQL&gt;&lt;Q&gt;AAL-US^FF_INC_TAX(ANN_R,12/2012,,,,,B)&lt;/Q&gt;&lt;R&gt;1&lt;/R&gt;&lt;C&gt;1&lt;/C&gt;&lt;D xsi:type="xsd:double"&gt;-0.569&lt;/D&gt;&lt;/FQL&gt;&lt;FQL&gt;&lt;Q&gt;AAL-US^FF_EBIT_OPER(ANN_R,12/2013,,,,,B)&lt;/Q&gt;&lt;R&gt;1&lt;/R&gt;&lt;C&gt;1&lt;/C&gt;&lt;D xsi:type="xsd:double"&gt;1.932&lt;/D&gt;&lt;/FQL&gt;&lt;FQL&gt;&lt;Q&gt;AAL-US^FF_INC_TAX(ANN_R,12/2013,,,,,B)&lt;/Q&gt;&lt;R&gt;1&lt;/R&gt;&lt;C&gt;1&lt;/C&gt;&lt;D xsi:type="xsd:double"&gt;-0.346&lt;/D&gt;&lt;/FQL&gt;&lt;FQL&gt;&lt;Q&gt;AAL-US^FF_EBIT_OPER(ANN_R,12/2014,,,,,B)&lt;/Q&gt;&lt;R&gt;1&lt;/R&gt;&lt;C&gt;1&lt;/C&gt;&lt;D xsi:type="xsd:double"&gt;5.077&lt;/D&gt;&lt;/FQL&gt;&lt;FQL&gt;&lt;Q&gt;AAL-US^FF_INC_TAX(ANN_R,12/2014,,,,,B)&lt;/Q&gt;&lt;R&gt;1&lt;/R&gt;&lt;C&gt;1&lt;/C&gt;&lt;D xsi:type="xsd:double"&gt;0.33&lt;/D&gt;&lt;/FQL&gt;&lt;FQL&gt;&lt;Q&gt;AAL-US^FF_EBIT_OPER(ANN_R,12/2015,,,,,B)&lt;/Q&gt;&lt;R&gt;1&lt;/R&gt;&lt;C&gt;1&lt;/C&gt;&lt;D xsi:type="xsd:double"&gt;7.293&lt;/D&gt;&lt;/FQL&gt;&lt;FQL&gt;&lt;Q&gt;AAL-US^FF_INC_TAX(ANN_R,12/2015,,,,,B)&lt;/Q&gt;&lt;R&gt;1&lt;/R&gt;&lt;C&gt;1&lt;/C&gt;&lt;D xsi:type="xsd:double"&gt;-2.994&lt;/D&gt;&lt;/FQL&gt;&lt;FQL&gt;&lt;Q&gt;AAL-US^FF_EBIT_OPER(ANN_R,12/2016,,,,,B)&lt;/Q&gt;&lt;R&gt;1&lt;/R&gt;&lt;C&gt;1&lt;/C&gt;&lt;D xsi:type="xsd:double"&gt;6.007&lt;/D&gt;&lt;/FQL&gt;&lt;FQL&gt;&lt;Q&gt;AAL-US^FF_INC_TAX(ANN_R,12/2016,,,,,B)&lt;/Q&gt;&lt;R&gt;1&lt;/R&gt;&lt;C&gt;1&lt;/C&gt;&lt;D xsi:type="xsd:double"&gt;1.623&lt;/D&gt;&lt;/FQL&gt;&lt;FQL&gt;&lt;Q&gt;AAL-US^FF_EBIT_OPER(ANN_R,12/2017,,,,,B)&lt;/Q&gt;&lt;R&gt;1&lt;/R&gt;&lt;C&gt;1&lt;/C&gt;&lt;D xsi:type="xsd:double"&gt;4.965&lt;/D&gt;&lt;/FQL&gt;&lt;FQL&gt;&lt;Q&gt;AAL-US^FF_INC_TAX(ANN_R,12/2017,,,,,B)&lt;/Q&gt;&lt;R&gt;1&lt;/R&gt;&lt;C&gt;1&lt;/C&gt;&lt;D xsi:type="xsd:double"&gt;2.113&lt;/D&gt;&lt;/FQL&gt;&lt;FQL&gt;&lt;Q&gt;AAL-US^FF_EBIT_OPER(ANN_R,12/2018,,,,,B)&lt;/Q&gt;&lt;R&gt;1&lt;/R&gt;&lt;C&gt;1&lt;/C&gt;&lt;D xsi:type="xsd:double"&gt;3.449&lt;/D&gt;&lt;/FQL&gt;&lt;FQL&gt;&lt;Q&gt;AAL-US^FF_INC_TAX(ANN_R,12/2018,,,,,B)&lt;/Q&gt;&lt;R&gt;1&lt;/R&gt;&lt;C&gt;1&lt;/C&gt;&lt;D xsi:type="xsd:double"&gt;0.472&lt;/D&gt;&lt;/FQL&gt;&lt;FQL&gt;&lt;Q&gt;AAL-US^FF_EBIT_OPER(ANN_R,12/2019,,,,,B)&lt;/Q&gt;&lt;R&gt;1&lt;/R&gt;&lt;C&gt;1&lt;/C&gt;&lt;D xsi:type="xsd:double"&gt;3.706&lt;/D&gt;&lt;/FQL&gt;&lt;FQL&gt;&lt;Q&gt;AAL-US^FF_INC_TAX(ANN_R,12/2019,,,,,B)&lt;/Q&gt;&lt;R&gt;1&lt;/R&gt;&lt;C&gt;1&lt;/C&gt;&lt;D xsi:type="xsd:double"&gt;0.57&lt;/D&gt;&lt;/FQL&gt;&lt;FQL&gt;&lt;Q&gt;AAL-US^FF_COGS(ANN_R,12/2019,,,,,B)&lt;/Q&gt;&lt;R&gt;1&lt;/R&gt;&lt;C&gt;1&lt;/C&gt;&lt;D xsi:type="xsd:double"&gt;34.345&lt;/D&gt;&lt;/FQL&gt;&lt;FQL&gt;&lt;Q&gt;AAL-US^FF_COGS(ANN_R,12/2020,,,,,B)&lt;/Q&gt;&lt;R&gt;1&lt;/R&gt;&lt;C&gt;1&lt;/C&gt;&lt;D xsi:type="xsd:double"&gt;24.655&lt;/D&gt;&lt;/FQL&gt;&lt;FQL&gt;&lt;Q&gt;AAL-US^FF_SALES(ANN_R,12/2011,,,,,B)&lt;/Q&gt;&lt;R&gt;1&lt;/R&gt;&lt;C&gt;1&lt;/C&gt;&lt;D xsi:type="xsd:double"&gt;23.979&lt;/D&gt;&lt;/FQL&gt;&lt;FQL&gt;&lt;Q&gt;AAL-US^FF_SALES(ANN_R,12/2012,,,,,B)&lt;/Q&gt;&lt;R&gt;1&lt;/R&gt;&lt;C&gt;1&lt;/C&gt;&lt;D xsi:type="xsd:double"&gt;24.855&lt;/D&gt;&lt;/FQL&gt;&lt;FQL&gt;&lt;Q&gt;AAL-US^FF_SALES(ANN_R,12/2013,,,,,B)&lt;/Q&gt;&lt;R&gt;1&lt;/R&gt;&lt;C&gt;1&lt;/C&gt;&lt;D xsi:type="xsd:double"&gt;26.743&lt;/D&gt;&lt;/FQL&gt;&lt;FQL&gt;&lt;Q&gt;AAL-US^FF_SALES(ANN_R,12/2014,,,,,B)&lt;/Q&gt;&lt;R&gt;1&lt;/R&gt;&lt;C&gt;1&lt;/C&gt;&lt;D xsi:type="xsd:double"&gt;42.65&lt;/D&gt;&lt;/FQL&gt;&lt;FQL&gt;&lt;Q&gt;AAL-US^FF_SALES(ANN_R,12/2015,,,,,B)&lt;/Q&gt;&lt;R&gt;1&lt;/R&gt;&lt;C&gt;1&lt;/C&gt;&lt;D xsi:type="xsd:double"&gt;40.99&lt;/D&gt;&lt;/FQL&gt;&lt;FQL&gt;&lt;Q&gt;AAL-US^FF_SALES(ANN_R,12/2016,,,,,B)&lt;/Q&gt;&lt;R&gt;1&lt;/R&gt;&lt;C&gt;1&lt;/C&gt;&lt;D xsi:type="xsd:double"&gt;40.18&lt;/D&gt;&lt;/FQL&gt;&lt;FQL&gt;&lt;Q&gt;AAL-US^FF_SALES(ANN_R,12/2017,,,,,B)&lt;/Q&gt;&lt;R&gt;1&lt;/R&gt;&lt;C&gt;1&lt;/C&gt;&lt;D xsi:type="xsd:double"&gt;42.622&lt;/D&gt;&lt;/FQL&gt;&lt;FQL&gt;&lt;Q&gt;AAL-US^FF_SALES(ANN_R,12/2018,,,,,B)&lt;/Q&gt;&lt;R&gt;1&lt;/R&gt;&lt;C&gt;1&lt;/C&gt;&lt;D xsi:type="xsd:double"&gt;44.541&lt;/D&gt;&lt;/FQL&gt;&lt;FQL&gt;&lt;Q&gt;AAL-US^FF_EBIT_OPER(ANN_R,12/2020,,,,,B)&lt;/Q&gt;&lt;R&gt;1&lt;/R&gt;&lt;C&gt;1&lt;/C&gt;&lt;D xsi:type="xsd:double"&gt;-11.387&lt;/D&gt;&lt;/FQL&gt;&lt;FQL&gt;&lt;Q&gt;AAL-US^FF_INC_TAX(ANN_R,12/2020,,,,,B)&lt;/Q&gt;&lt;R&gt;1&lt;/R&gt;&lt;C&gt;1&lt;/C&gt;&lt;D xsi:type="xsd:double"&gt;-2.568&lt;/D&gt;&lt;/FQL&gt;&lt;FQL&gt;&lt;Q&gt;AAL-US^FF_INT_EXP_NET(ANN_R,12/2011,,,,,B)&lt;/Q&gt;&lt;R&gt;1&lt;/R&gt;&lt;C&gt;1&lt;/C&gt;&lt;D xsi:type="xsd:double"&gt;0.786&lt;/D&gt;&lt;/FQL&gt;&lt;FQL&gt;&lt;Q&gt;AAL-US^FF_INT_EXP_NET(ANN_R,12/2012,,,,,B)&lt;/Q&gt;&lt;R&gt;1&lt;/R&gt;&lt;C&gt;1&lt;/C&gt;&lt;D xsi:type="xsd:double"&gt;0.612&lt;/D&gt;&lt;/FQL&gt;&lt;FQL&gt;&lt;Q&gt;AAL-US^FF_INT_EXP_NET(ANN_R,12/2013,,,,,B)&lt;/Q&gt;&lt;R&gt;1&lt;/R&gt;&lt;C&gt;1&lt;/C&gt;&lt;D xsi:type="xsd:double"&gt;0.856&lt;/D&gt;&lt;/FQL&gt;&lt;FQL&gt;&lt;Q&gt;AAL-US^FF_INT_EXP_NET(ANN_R,12/2014,,,,,B)&lt;/Q&gt;&lt;R&gt;1&lt;/R&gt;&lt;C&gt;1&lt;/C&gt;&lt;D xsi:type="xsd:double"&gt;0.887&lt;/D&gt;&lt;/FQL&gt;&lt;FQL&gt;&lt;Q&gt;AAL-US^FF_INT_EXP_NET(ANN_R,12/2015,,,,,B)&lt;/Q&gt;&lt;R&gt;1&lt;/R&gt;&lt;C&gt;1&lt;/C&gt;&lt;D xsi:type="xsd:double"&gt;0.88&lt;/D&gt;&lt;/FQL&gt;&lt;FQL&gt;&lt;Q&gt;AAL-US^FF_INT_EXP_NET(ANN_R,12/2016,,,,,B)&lt;/Q&gt;&lt;R&gt;1&lt;/R&gt;&lt;C&gt;1&lt;/C&gt;&lt;D xsi:type="xsd:double"&gt;0.991&lt;/D&gt;&lt;/FQL&gt;&lt;FQL&gt;&lt;Q&gt;AAL-US^FF_INT_EXP_NET(ANN_R,12/2017,,,,,B)&lt;/Q&gt;&lt;R&gt;1&lt;/R&gt;&lt;C&gt;1&lt;/C&gt;&lt;D xsi:type="xsd:double"&gt;1.053&lt;/D&gt;&lt;/FQL&gt;&lt;FQL&gt;&lt;Q&gt;AAL-US^FF_INT_EXP_NET(ANN_R,12/2018,,,,,B)&lt;/Q&gt;&lt;R&gt;1&lt;/R&gt;&lt;C&gt;1&lt;/C&gt;&lt;D xsi:type="xsd:double"&gt;1.056&lt;/D&gt;&lt;/FQL&gt;&lt;FQL&gt;&lt;Q&gt;AAL-US^FF_INT_EXP_NET(ANN_R,12/2019,,,,,B)&lt;/Q&gt;&lt;R&gt;1&lt;/R&gt;&lt;C&gt;1&lt;/C&gt;&lt;D xsi:type="xsd:double"&gt;1.095&lt;/D&gt;&lt;/FQL&gt;&lt;FQL&gt;&lt;Q&gt;AAL-US^FF_INT_EXP_NET(ANN_R,12/2020,,,,,B)&lt;/Q&gt;&lt;R&gt;1&lt;/R&gt;&lt;C&gt;1&lt;/C&gt;&lt;D xsi:type="xsd:double"&gt;1.227&lt;/D&gt;&lt;/FQL&gt;&lt;FQL&gt;&lt;Q&gt;AAL-US^FF_SGA(ANN_R,12/2011,,,,,B)&lt;/Q&gt;&lt;R&gt;1&lt;/R&gt;&lt;C&gt;1&lt;/C&gt;&lt;D xsi:type="xsd:double"&gt;1.062&lt;/D&gt;&lt;/FQL&gt;&lt;FQL&gt;&lt;Q&gt;AAL-US^FF_SGA(ANN_R,12/2012,,,,,B)&lt;/Q&gt;&lt;R&gt;1&lt;/R&gt;&lt;C&gt;1&lt;/C&gt;&lt;D xsi:type="xsd:double"&gt;1.586&lt;/D&gt;&lt;/FQL&gt;&lt;FQL&gt;&lt;Q&gt;AAL-US^FF_SGA(ANN_R,12/2013,,,,,B)&lt;/Q&gt;&lt;R&gt;1&lt;/R&gt;&lt;C&gt;1&lt;/C&gt;&lt;D xsi:type="xsd:double"&gt;1.312&lt;/D&gt;&lt;/FQL&gt;&lt;FQL&gt;&lt;Q&gt;AAL-US^FF_SGA(ANN_R,12/2014,,,,,B)&lt;/Q&gt;&lt;R&gt;1&lt;/R&gt;&lt;C&gt;1&lt;/C&gt;&lt;D xsi:type="xsd:double"&gt;1.851&lt;/D&gt;&lt;/FQ</t>
        </r>
      </text>
    </comment>
    <comment ref="A25" authorId="0" shapeId="0" xr:uid="{A0A6C4CE-E3D0-48B8-B4C1-9BAD45D43A50}">
      <text>
        <r>
          <rPr>
            <b/>
            <sz val="9"/>
            <color indexed="81"/>
            <rFont val="Tahoma"/>
            <charset val="1"/>
          </rPr>
          <t>L&gt;&lt;FQL&gt;&lt;Q&gt;AAL-US^FF_SGA(ANN_R,12/2015,,,,,B)&lt;/Q&gt;&lt;R&gt;1&lt;/R&gt;&lt;C&gt;1&lt;/C&gt;&lt;D xsi:type="xsd:double"&gt;1.727&lt;/D&gt;&lt;/FQL&gt;&lt;FQL&gt;&lt;Q&gt;AAL-US^FF_SGA(ANN_R,12/2016,,,,,B)&lt;/Q&gt;&lt;R&gt;1&lt;/R&gt;&lt;C&gt;1&lt;/C&gt;&lt;D xsi:type="xsd:double"&gt;1.67&lt;/D&gt;&lt;/FQL&gt;&lt;FQL&gt;&lt;Q&gt;AAL-US^FF_SGA(ANN_R,12/2017,,,,,B)&lt;/Q&gt;&lt;R&gt;1&lt;/R&gt;&lt;C&gt;1&lt;/C&gt;&lt;D xsi:type="xsd:double"&gt;1.838&lt;/D&gt;&lt;/FQL&gt;&lt;FQL&gt;&lt;Q&gt;AAL-US^FF_SGA(ANN_R,12/2018,,,,,B)&lt;/Q&gt;&lt;R&gt;1&lt;/R&gt;&lt;C&gt;1&lt;/C&gt;&lt;D xsi:type="xsd:double"&gt;1.889&lt;/D&gt;&lt;/FQL&gt;&lt;FQL&gt;&lt;Q&gt;AAL-US^FF_SGA(ANN_R,12/2019,,,,,B)&lt;/Q&gt;&lt;R&gt;1&lt;/R&gt;&lt;C&gt;1&lt;/C&gt;&lt;D xsi:type="xsd:double"&gt;2.004&lt;/D&gt;&lt;/FQL&gt;&lt;FQL&gt;&lt;Q&gt;AAL-US^FF_SGA(ANN_R,12/2020,,,,,B)&lt;/Q&gt;&lt;R&gt;1&lt;/R&gt;&lt;C&gt;1&lt;/C&gt;&lt;D xsi:type="xsd:double"&gt;0.666&lt;/D&gt;&lt;/FQL&gt;&lt;FQL&gt;&lt;Q&gt;AAL-US^FF_COGS(ANN_R,12/2011,,,,,B)&lt;/Q&gt;&lt;R&gt;1&lt;/R&gt;&lt;C&gt;1&lt;/C&gt;&lt;D xsi:type="xsd:double"&gt;20.68&lt;/D&gt;&lt;/FQL&gt;&lt;FQL&gt;&lt;Q&gt;AAL-US^FF_COGS(ANN_R,12/2012,,,,,B)&lt;/Q&gt;&lt;R&gt;1&lt;/R&gt;&lt;C&gt;1&lt;/C&gt;&lt;D xsi:type="xsd:double"&gt;19.879&lt;/D&gt;&lt;/FQL&gt;&lt;FQL&gt;&lt;Q&gt;AAL-US^FF_COGS(ANN_R,12/2013,,,,,B)&lt;/Q&gt;&lt;R&gt;1&lt;/R&gt;&lt;C&gt;1&lt;/C&gt;&lt;D xsi:type="xsd:double"&gt;20.139&lt;/D&gt;&lt;/FQL&gt;&lt;FQL&gt;&lt;Q&gt;AAL-US^FF_COGS(ANN_R,12/2014,,,,,B)&lt;/Q&gt;&lt;R&gt;1&lt;/R&gt;&lt;C&gt;1&lt;/C&gt;&lt;D xsi:type="xsd:double"&gt;31.081&lt;/D&gt;&lt;/FQL&gt;&lt;FQL&gt;&lt;Q&gt;AAL-US^FF_COGS(ANN_R,12/2015,,,,,B)&lt;/Q&gt;&lt;R&gt;1&lt;/R&gt;&lt;C&gt;1&lt;/C&gt;&lt;D xsi:type="xsd:double"&gt;27.014&lt;/D&gt;&lt;/FQL&gt;&lt;FQL&gt;&lt;Q&gt;AAL-US^FF_COGS(ANN_R,12/2016,,,,,B)&lt;/Q&gt;&lt;R&gt;1&lt;/R&gt;&lt;C&gt;1&lt;/C&gt;&lt;D xsi:type="xsd:double"&gt;27.521&lt;/D&gt;&lt;/FQL&gt;&lt;FQL&gt;&lt;Q&gt;AAL-US^FF_COGS(ANN_R,12/2017,,,,,B)&lt;/Q&gt;&lt;R&gt;1&lt;/R&gt;&lt;C&gt;1&lt;/C&gt;&lt;D xsi:type="xsd:double"&gt;30.417&lt;/D&gt;&lt;/FQL&gt;&lt;FQL&gt;&lt;Q&gt;AAL-US^FF_COGS(ANN_R,12/2018,,,,,B)&lt;/Q&gt;&lt;R&gt;1&lt;/R&gt;&lt;C&gt;1&lt;/C&gt;&lt;D xsi:type="xsd:double"&gt;33.522&lt;/D&gt;&lt;/FQL&gt;&lt;FQL&gt;&lt;Q&gt;48.2147338942975^FORMULA_DESCRIPTION("FF_CURR_RATIO")&lt;/Q&gt;&lt;R&gt;1&lt;/R&gt;&lt;C&gt;1&lt;/C&gt;&lt;D xsi:type="xsd:string"&gt;Current Ratio&lt;/D&gt;&lt;/FQL&gt;&lt;FQL&gt;&lt;Q&gt;35548^FORMULA_DESCRIPTION("FF_EBIT_OPER_INT_COVG")&lt;/Q&gt;&lt;R&gt;1&lt;/R&gt;&lt;C&gt;1&lt;/C&gt;&lt;D xsi:type="xsd:string"&gt;EBIT Interest Coverage&lt;/D&gt;&lt;/FQL&gt;&lt;FQL&gt;&lt;Q&gt;DAL-US^JULIAN(FG_PRICE(44196).DATES)&lt;/Q&gt;&lt;R&gt;1&lt;/R&gt;&lt;C&gt;1&lt;/C&gt;&lt;D xsi:type="xsd:long"&gt;44196&lt;/D&gt;&lt;/FQL&gt;&lt;FQL&gt;&lt;Q&gt;AC-CA^JULIAN(FG_PRICE(44196).DATES)&lt;/Q&gt;&lt;R&gt;1&lt;/R&gt;&lt;C&gt;1&lt;/C&gt;&lt;D xsi:type="xsd:long"&gt;44196&lt;/D&gt;&lt;/FQL&gt;&lt;FQL&gt;&lt;Q&gt;AAL-US^JULIAN(FG_PRICE(44196).DATES)&lt;/Q&gt;&lt;R&gt;1&lt;/R&gt;&lt;C&gt;1&lt;/C&gt;&lt;D xsi:type="xsd:long"&gt;44196&lt;/D&gt;&lt;/FQL&gt;&lt;FQL&gt;&lt;Q&gt;LUV-US^JULIAN(FG_PRICE(44196).DATES)&lt;/Q&gt;&lt;R&gt;1&lt;/R&gt;&lt;C&gt;1&lt;/C&gt;&lt;D xsi:type="xsd:long"&gt;44196&lt;/D&gt;&lt;/FQL&gt;&lt;FQL&gt;&lt;Q&gt;ALK-US^JULIAN(FG_PRICE(44196).DATES)&lt;/Q&gt;&lt;R&gt;1&lt;/R&gt;&lt;C&gt;1&lt;/C&gt;&lt;D xsi:type="xsd:long"&gt;44196&lt;/D&gt;&lt;/FQL&gt;&lt;FQL&gt;&lt;Q&gt;SKYW-US^JULIAN(FG_PRICE(44196).DATES)&lt;/Q&gt;&lt;R&gt;1&lt;/R&gt;&lt;C&gt;1&lt;/C&gt;&lt;D xsi:type="xsd:long"&gt;44196&lt;/D&gt;&lt;/FQL&gt;&lt;FQL&gt;&lt;Q&gt;DAL-US^FG_PRICE(44196)&lt;/Q&gt;&lt;R&gt;1&lt;/R&gt;&lt;C&gt;1&lt;/C&gt;&lt;D xsi:type="xsd:double"&gt;40.21&lt;/D&gt;&lt;/FQL&gt;&lt;FQL&gt;&lt;Q&gt;AC-CA^FG_PRICE(44196)&lt;/Q&gt;&lt;R&gt;1&lt;/R&gt;&lt;C&gt;1&lt;/C&gt;&lt;D xsi:type="xsd:double"&gt;22.77&lt;/D&gt;&lt;/FQL&gt;&lt;FQL&gt;&lt;Q&gt;AAL-US^FG_PRICE(44196)&lt;/Q&gt;&lt;R&gt;1&lt;/R&gt;&lt;C&gt;1&lt;/C&gt;&lt;D xsi:type="xsd:double"&gt;15.77&lt;/D&gt;&lt;/FQL&gt;&lt;FQL&gt;&lt;Q&gt;LUV-US^FG_PRICE(44196)&lt;/Q&gt;&lt;R&gt;1&lt;/R&gt;&lt;C&gt;1&lt;/C&gt;&lt;D xsi:type="xsd:double"&gt;46.61&lt;/D&gt;&lt;/FQL&gt;&lt;FQL&gt;&lt;Q&gt;ALK-US^FG_PRICE(44196)&lt;/Q&gt;&lt;R&gt;1&lt;/R&gt;&lt;C&gt;1&lt;/C&gt;&lt;D xsi:type="xsd:double"&gt;52&lt;/D&gt;&lt;/FQL&gt;&lt;FQL&gt;&lt;Q&gt;SKYW-US^FG_PRICE(44196)&lt;/Q&gt;&lt;R&gt;1&lt;/R&gt;&lt;C&gt;1&lt;/C&gt;&lt;D xsi:type="xsd:double"&gt;40.31&lt;/D&gt;&lt;/FQL&gt;&lt;FQL&gt;&lt;Q&gt;DAL-US^FF_ENTRPR_VAL_DAILY(44196,,,,,"DIL")&lt;/Q&gt;&lt;R&gt;1&lt;/R&gt;&lt;C&gt;1&lt;/C&gt;&lt;D xsi:type="xsd:double"&gt;46833.56&lt;/D&gt;&lt;/FQL&gt;&lt;FQL&gt;&lt;Q&gt;AC-CA^FF_ENTRPR_VAL_DAILY(44196,,,,,"DIL")&lt;/Q&gt;&lt;R&gt;1&lt;/R&gt;&lt;C&gt;1&lt;/C&gt;&lt;D xsi:type="xsd:double"&gt;11803.14&lt;/D&gt;&lt;/FQL&gt;&lt;FQL&gt;&lt;Q&gt;AAL-US^FF_ENTRPR_VAL_DAILY(44196,,,,,"DIL")&lt;/Q&gt;&lt;R&gt;1&lt;/R&gt;&lt;C&gt;1&lt;/C&gt;&lt;D xsi:type="xsd:double"&gt;41178.91376&lt;/D&gt;&lt;/FQL&gt;&lt;FQL&gt;&lt;Q&gt;LUV-US^FF_ENTRPR_VAL_DAILY(44196,,,,,"DIL")&lt;/Q&gt;&lt;R&gt;1&lt;/R&gt;&lt;C&gt;1&lt;/C&gt;&lt;D xsi:type="xsd:double"&gt;25199.65&lt;/D&gt;&lt;/FQL&gt;&lt;FQL&gt;&lt;Q&gt;ALK-US^FF_ENTRPR_VAL_DAILY(44196,,,,,"DIL")&lt;/Q&gt;&lt;R&gt;1&lt;/R&gt;&lt;C&gt;1&lt;/C&gt;&lt;D xsi:type="xsd:double"&gt;8126.4&lt;/D&gt;&lt;/FQL&gt;&lt;FQL&gt;&lt;Q&gt;SKYW-US^FF_ENTRPR_VAL_DAILY(44196,,,,,"DIL")&lt;/Q&gt;&lt;R&gt;1&lt;/R&gt;&lt;C&gt;1&lt;/C&gt;&lt;D xsi:type="xsd:double"&gt;4689.63445&lt;/D&gt;&lt;/FQL&gt;&lt;FQL&gt;&lt;Q&gt;DAL-US^P_PRICE(44196,44196)&lt;/Q&gt;&lt;R&gt;1&lt;/R&gt;&lt;C&gt;1&lt;/C&gt;&lt;D xsi:type="xsd:double"&gt;40.21&lt;/D&gt;&lt;/FQL&gt;&lt;FQL&gt;&lt;Q&gt;AC-CA^P_PRICE(44196,44196)&lt;/Q&gt;&lt;R&gt;1&lt;/R&gt;&lt;C&gt;1&lt;/C&gt;&lt;D xsi:type="xsd:double"&gt;22.77&lt;/D&gt;&lt;/FQL&gt;&lt;FQL&gt;&lt;Q&gt;AAL-US^P_PRICE(44196,44196)&lt;/Q&gt;&lt;R&gt;1&lt;/R&gt;&lt;C&gt;1&lt;/C&gt;&lt;D xsi:type="xsd:double"&gt;15.77&lt;/D&gt;&lt;/FQL&gt;&lt;FQL&gt;&lt;Q&gt;LUV-US^P_PRICE(44196,44196)&lt;/Q&gt;&lt;R&gt;1&lt;/R&gt;&lt;C&gt;1&lt;/C&gt;&lt;D xsi:type="xsd:double"&gt;46.61&lt;/D&gt;&lt;/FQL&gt;&lt;FQL&gt;&lt;Q&gt;ALK-US^P_PRICE(44196,44196)&lt;/Q&gt;&lt;R&gt;1&lt;/R&gt;&lt;C&gt;1&lt;/C&gt;&lt;D xsi:type="xsd:double"&gt;52&lt;/D&gt;&lt;/FQL&gt;&lt;FQL&gt;&lt;Q&gt;SKYW-US^P_PRICE(44196,44196)&lt;/Q&gt;&lt;R&gt;1&lt;/R&gt;&lt;C&gt;1&lt;/C&gt;&lt;D xsi:type="xsd:double"&gt;40.31&lt;/D&gt;&lt;/FQL&gt;&lt;FQL&gt;&lt;Q&gt;TRYUS3M-FDS^FG_YIELD(12/2020,12/2013,AY,,"YTM")&lt;/Q&gt;&lt;R&gt;8&lt;/R&gt;&lt;C&gt;1&lt;/C&gt;&lt;D xsi:type="xsd:double"&gt;0.0775&lt;/D&gt;&lt;D xsi:type="xsd:double"&gt;1.5488&lt;/D&gt;&lt;D xsi:type="xsd:double"&gt;2.4484&lt;/D&gt;&lt;D xsi:type="xsd:double"&gt;1.3861&lt;/D&gt;&lt;D xsi:type="xsd:double"&gt;0.4593&lt;/D&gt;&lt;D xsi:type="xsd:double"&gt;0.1856&lt;/D&gt;&lt;D xsi:type="xsd:double"&gt;0.0228&lt;/D&gt;&lt;D xsi:type="xsd:double"&gt;0.0583&lt;/D&gt;&lt;/FQL&gt;&lt;FQL&gt;&lt;Q&gt;SKYW-US^FF_PBK(ANN_R,0)&lt;/Q&gt;&lt;R&gt;1&lt;/R&gt;&lt;C&gt;1&lt;/C&gt;&lt;D xsi:type="xsd:double"&gt;0.945439398296192&lt;/D&gt;&lt;/FQL&gt;&lt;FQL&gt;&lt;Q&gt;LUV-US^FF_CO_NAME&lt;/Q&gt;&lt;R&gt;1&lt;/R&gt;&lt;C&gt;1&lt;/C&gt;&lt;D xsi:type="xsd:string"&gt;Southwest Airlines Co.&lt;/D&gt;&lt;/FQL&gt;&lt;FQL&gt;&lt;Q&gt;LUV-US^FF_ADDRESS&lt;/Q&gt;&lt;R&gt;1&lt;/R&gt;&lt;C&gt;1&lt;/C&gt;&lt;D xsi:type="xsd:string"&gt;Suite 400&lt;/D&gt;&lt;/FQL&gt;&lt;FQL&gt;&lt;Q&gt;LUV-US^FF_ADDRESS2&lt;/Q&gt;&lt;R&gt;1&lt;/R&gt;&lt;C&gt;1&lt;/C&gt;&lt;D xsi:type="xsd:string"&gt;2702 Love Field Drive&lt;/D&gt;&lt;/FQL&gt;&lt;FQL&gt;&lt;Q&gt;LUV-US^FF_CITY&lt;/Q&gt;&lt;R&gt;1&lt;/R&gt;&lt;C&gt;1&lt;/C&gt;&lt;D xsi:type="xsd:string"&gt;Dallas&lt;/D&gt;&lt;/FQL&gt;&lt;FQL&gt;&lt;Q&gt;LUV-US^FF_POSTAL&lt;/Q&gt;&lt;R&gt;1&lt;/R&gt;&lt;C&gt;1&lt;/C&gt;&lt;D xsi:type="xsd:string"&gt;75235-1611&lt;/D&gt;&lt;/FQL&gt;&lt;FQL&gt;&lt;Q&gt;LUV-US^FF_STATE_PROVINCE&lt;/Q&gt;&lt;R&gt;1&lt;/R&gt;&lt;C&gt;1&lt;/C&gt;&lt;D xsi:type="xsd:string"&gt;Texas&lt;/D&gt;&lt;/FQL&gt;&lt;FQL&gt;&lt;Q&gt;LUV-US^FF_COUNTRY&lt;/Q&gt;&lt;R&gt;1&lt;/R&gt;&lt;C&gt;1&lt;/C&gt;&lt;D xsi:type="xsd:string"&gt;UNITED STATES&lt;/D&gt;&lt;/FQL&gt;&lt;FQL&gt;&lt;Q&gt;CPA-US^FF_CO_NAME&lt;/Q&gt;&lt;R&gt;1&lt;/R&gt;&lt;C&gt;1&lt;/C&gt;&lt;D xsi:type="xsd:string"&gt;Copa Holdings SA&lt;/D&gt;&lt;/FQL&gt;&lt;FQL&gt;&lt;Q&gt;CPA-US^FF_ADDRESS&lt;/Q&gt;&lt;R&gt;1&lt;/R&gt;&lt;C&gt;1&lt;/C&gt;&lt;D xsi:type="xsd:string"&gt;Costa del Este, Complejo Business&lt;/D&gt;&lt;/FQL&gt;&lt;FQL&gt;&lt;Q&gt;CPA-US^FF_ADDRESS2&lt;/Q&gt;&lt;R&gt;1&lt;/R&gt;&lt;C&gt;1&lt;/C&gt;&lt;D xsi:type="xsd:string"&gt;Av. Principal y Av. de la Rotonda&lt;/D&gt;&lt;/FQL&gt;&lt;FQL&gt;&lt;Q&gt;CPA-US^FF_CITY&lt;/Q&gt;&lt;R&gt;1&lt;/R&gt;&lt;C&gt;1&lt;/C&gt;&lt;D xsi:type="xsd:string"&gt;Panama City&lt;/D&gt;&lt;/FQL&gt;&lt;FQL&gt;&lt;Q&gt;CPA-US^FF_POSTAL&lt;/Q&gt;&lt;R&gt;1&lt;/R&gt;&lt;C&gt;1&lt;/C&gt;&lt;D xsi:type="xsd:string"&gt;0831-0206&lt;/D&gt;&lt;/FQL&gt;&lt;FQL&gt;&lt;Q&gt;CPA-US^FF_STATE_PROVINCE&lt;/Q&gt;&lt;R&gt;1&lt;/R&gt;&lt;C&gt;1&lt;/C&gt;&lt;D xsi:type="xsd:string"&gt;Panama&lt;/D&gt;&lt;/FQL&gt;&lt;FQL&gt;&lt;Q&gt;CPA-US^FF_COUNTRY&lt;/Q&gt;&lt;R&gt;1&lt;/R&gt;&lt;C&gt;1&lt;/C&gt;&lt;D xsi:type="xsd:string"&gt;PANAMA&lt;/D&gt;&lt;/FQL&gt;&lt;FQL&gt;&lt;Q&gt;CPA-US^FF_SALES(ANN_R,0)&lt;/Q&gt;&lt;R&gt;1&lt;/R&gt;&lt;C&gt;1&lt;/C&gt;&lt;D xsi:type="xsd:double"&gt;801.003&lt;/D&gt;&lt;/FQL&gt;&lt;FQL&gt;&lt;Q&gt;CPA-US^FF_EMP_NUM(ANN,0)&lt;/Q&gt;&lt;R&gt;1&lt;/R&gt;&lt;C&gt;1&lt;/C&gt;&lt;D xsi:type="xsd:double"&gt;5667&lt;/D&gt;&lt;/FQL&gt;&lt;FQL&gt;&lt;Q&gt;CPA-US^OS_TOP_HLDR_ULTPRNT(1,0D,,MTD,,F,SEC)[0]&lt;/Q&gt;&lt;R&gt;1&lt;/R&gt;&lt;C&gt;1&lt;/C&gt;&lt;D xsi:type="xsd:string"&gt;Baillie Gifford &amp;amp; Co.&lt;/D&gt;&lt;/FQL&gt;&lt;FQL&gt;&lt;Q&gt;CPA-US^FF_BUS_DESC_EXT&lt;/Q&gt;&lt;R&gt;1&lt;/R&gt;&lt;C&gt;1&lt;/C&gt;&lt;D xsi:type="xsd:string"&gt;Copa Holdings SA engages in the provision of air transportation. It involves in an airline operation which provides passenger and cargo services through the Copa Airlines and Copa Colombia principal operating subsidiaries. The firm offers international flights to Costa Rica, Jamaica, Colombia and other cities. The company was founded on May 6, 1998 and is headquartered in Panama.&lt;/D&gt;&lt;/FQL&gt;&lt;FQL&gt;&lt;Q&gt;CPA-US^HOMEPAGE&lt;/Q&gt;&lt;R&gt;1&lt;/R&gt;&lt;C&gt;1&lt;/C&gt;&lt;D xsi:type="xsd:string"&gt;http://www.copaair.com&lt;/D&gt;&lt;/FQL&gt;&lt;FQL&gt;&lt;Q&gt;CPA-US^FG_EXCHANGE&lt;/Q&gt;&lt;R&gt;1&lt;/R&gt;&lt;C&gt;1&lt;/C&gt;&lt;D xsi:type="xsd:string"&gt;NYSE&lt;/D&gt;&lt;/FQL&gt;&lt;FQL&gt;&lt;Q&gt;AC-CA^FF_PBK(ANN_R,0)&lt;/Q&gt;&lt;R&gt;1&lt;/R&gt;&lt;C&gt;1&lt;/C&gt;&lt;D xsi:type="xsd:double"&gt;4.41024369646987&lt;/D&gt;&lt;/FQL&gt;&lt;FQL&gt;&lt;Q&gt;AC-CA^FF_ROE(ANN_R,0)&lt;/Q&gt;&lt;R&gt;1&lt;/R&gt;&lt;C&gt;1&lt;/C&gt;&lt;D xsi:type="xsd:double"&gt;-151.98691741619&lt;/D&gt;&lt;/FQL&gt;&lt;FQL&gt;&lt;Q&gt;SKYW-US^FF_CO_NAME&lt;/Q&gt;&lt;R&gt;1&lt;/R&gt;&lt;C&gt;1&lt;/C&gt;&lt;D xsi:type="xsd:string"&gt;Sky West, Inc.&lt;/D&gt;&lt;/FQL&gt;&lt;FQL&gt;&lt;Q&gt;SKYW-US^FF_ADDRESS&lt;/Q&gt;&lt;R&gt;0&lt;/R&gt;&lt;C&gt;0&lt;/C&gt;&lt;/FQL&gt;&lt;FQL&gt;&lt;Q&gt;SKYW-US^FF_ADDRESS2&lt;/Q&gt;&lt;R&gt;1&lt;/R&gt;&lt;C&gt;1&lt;/C&gt;&lt;D xsi:type="xsd:string"&gt;444 South River Road&lt;/D&gt;&lt;/FQL&gt;&lt;FQL&gt;&lt;Q&gt;SKYW-US^FF_CITY&lt;/Q&gt;&lt;R&gt;1&lt;/R&gt;&lt;C&gt;1&lt;/C&gt;&lt;D xsi:type="xsd:string"&gt;St. George&lt;/D&gt;&lt;/FQL&gt;&lt;FQL&gt;&lt;Q&gt;SKYW-US^FF_POSTAL&lt;/Q&gt;&lt;R&gt;1&lt;/R&gt;&lt;C&gt;1&lt;/C&gt;&lt;D xsi:type="xsd:string"&gt;84790&lt;/D&gt;&lt;/FQL&gt;&lt;FQL&gt;&lt;Q&gt;SKYW-US^FF_STATE_PROVINCE&lt;/Q&gt;&lt;R&gt;1&lt;/R&gt;&lt;C&gt;1&lt;/C&gt;&lt;D xsi:type="xsd:string"&gt;Utah&lt;/D&gt;&lt;/FQL&gt;&lt;FQL&gt;&lt;Q&gt;SKYW-US^FF_COUNTRY&lt;/Q&gt;&lt;R&gt;1&lt;/R&gt;&lt;C&gt;1&lt;/C&gt;&lt;D xsi:type="xsd:string"&gt;UNITED STATES&lt;/D&gt;&lt;/FQL&gt;&lt;FQL&gt;&lt;Q&gt;AC-CA^FF_CO_NAME&lt;/Q&gt;&lt;R&gt;1&lt;/R&gt;&lt;C&gt;1&lt;/C&gt;&lt;D xsi:type="xsd:string"&gt;Air Canada&lt;/D&gt;&lt;/FQL&gt;&lt;FQL&gt;&lt;Q&gt;AC-CA^FF_ADDRESS&lt;/Q&gt;&lt;R&gt;1&lt;/R&gt;&lt;C&gt;1&lt;/C&gt;&lt;D xsi:type="xsd:string"&gt;7373 Côte-Vertu Boulevard West&lt;/D&gt;&lt;/FQL&gt;&lt;FQL&gt;&lt;Q&gt;AC-CA^FF_ADDRESS2&lt;/Q&gt;&lt;R&gt;1&lt;/R&gt;&lt;C&gt;1&lt;/C&gt;&lt;D xsi:type="xsd:string"&gt;Air Canada Centre&lt;/D&gt;&lt;/FQL&gt;&lt;FQL&gt;&lt;Q&gt;AC-CA^FF_CITY&lt;/Q&gt;&lt;R&gt;1&lt;/R&gt;&lt;C&gt;1&lt;/C&gt;&lt;D xsi:type="xsd:string"&gt;Saint-Laurent&lt;/D&gt;&lt;/FQL&gt;&lt;FQL&gt;&lt;Q&gt;AC-CA^FF_POSTAL&lt;/Q&gt;&lt;R&gt;1&lt;/R&gt;&lt;C&gt;1&lt;/C&gt;&lt;D xsi:type="xsd:string"&gt;H4S 1Z3&lt;/D&gt;&lt;/FQL&gt;&lt;FQL&gt;&lt;Q&gt;AC-CA^FF_STATE_PROVINCE&lt;/Q&gt;&lt;R&gt;1&lt;/R&gt;&lt;C&gt;1&lt;/C&gt;&lt;D xsi:type="xsd:string"&gt;Québec&lt;/D&gt;&lt;/FQL&gt;&lt;FQL&gt;&lt;Q&gt;AC-CA^FF_COUNTRY&lt;/Q&gt;&lt;R&gt;1&lt;/R&gt;&lt;C&gt;1&lt;/C&gt;&lt;D xsi:type="xsd:string"&gt;CANADA&lt;/D&gt;&lt;/FQL&gt;&lt;FQL&gt;&lt;Q&gt;ALGT-US^FF_CO_NAME&lt;/Q&gt;&lt;R&gt;1&lt;/R&gt;&lt;C&gt;1&lt;/C&gt;&lt;D xsi:type="xsd:string"&gt;Allegiant Travel Co.&lt;/D&gt;&lt;/FQL&gt;&lt;FQL&gt;&lt;Q&gt;ALGT-US^FF_ADDRESS&lt;/Q&gt;&lt;R&gt;0&lt;/R&gt;&lt;C&gt;0&lt;/C&gt;&lt;/FQL&gt;&lt;FQL&gt;&lt;Q&gt;ALGT-US^FF_ADDRESS2&lt;/Q&gt;&lt;R&gt;1&lt;/R&gt;&lt;C&gt;1&lt;/C&gt;&lt;D xsi:type="xsd:string"&gt;1201 North Town Center Drive&lt;/D&gt;&lt;/FQL&gt;&lt;FQL&gt;&lt;Q&gt;ALGT-US^FF_CITY&lt;/Q&gt;&lt;R&gt;1&lt;/R&gt;&lt;C&gt;1&lt;/C&gt;&lt;D xsi:type="xsd:string"&gt;Las Vegas&lt;/D&gt;&lt;/FQL&gt;&lt;FQL&gt;&lt;Q&gt;ALGT-US^FF_POSTAL&lt;/Q&gt;&lt;R&gt;1&lt;/R&gt;&lt;C&gt;1&lt;/C&gt;&lt;D xsi:type="xsd:string"&gt;89144&lt;/D&gt;&lt;/FQL&gt;&lt;FQL&gt;&lt;Q&gt;ALGT-US^FF_STATE_PROVINCE&lt;/Q&gt;&lt;R&gt;1&lt;/R&gt;&lt;C&gt;1&lt;/C&gt;&lt;D xsi:type="xsd:string"&gt;Nevada&lt;/D&gt;&lt;/FQL&gt;&lt;FQL&gt;&lt;Q&gt;ALGT-US^FF_COUNTRY&lt;/Q&gt;&lt;R&gt;1&lt;/R&gt;&lt;C&gt;1&lt;/C&gt;&lt;D xsi:type="xsd:string"&gt;UNITED STATES&lt;/D&gt;&lt;/FQL&gt;&lt;FQL&gt;&lt;Q&gt;ALGT-US^FF_SALES(ANN_R,0)&lt;/Q&gt;&lt;R&gt;1&lt;/R&gt;&lt;C&gt;1&lt;/C&gt;&lt;D xsi:type="xsd:double"&gt;990.073&lt;/D&gt;&lt;/FQL&gt;&lt;FQL&gt;&lt;Q&gt;ALGT-US^FF_EMP_NUM(ANN,0)&lt;/Q&gt;&lt;R&gt;1&lt;/R&gt;&lt;C&gt;1&lt;/C&gt;&lt;D xsi:type="xsd:double"&gt;3863&lt;/D&gt;&lt;/FQL&gt;&lt;FQL&gt;&lt;Q&gt;ALGT-US^OS_TOP_HLDR_ULTPRNT(1,0D,,MTD,,F,SEC)[0]&lt;/Q&gt;&lt;R&gt;1&lt;/R&gt;&lt;C&gt;1&lt;/C&gt;&lt;D xsi:type="xsd:string"&gt;BlackRock, Inc.&lt;/D&gt;&lt;/FQL&gt;&lt;FQL&gt;&lt;Q&gt;ALGT-US^FF_BUS_DESC_EXT&lt;/Q&gt;&lt;R&gt;1&lt;/R&gt;&lt;C&gt;1&lt;/C&gt;&lt;D xsi:type="xsd:string"&gt;Allegiant Travel Co. engages in the provision of travel services. It includes scheduled service air transportation, air-related travel services and product, third party travel products, and fixed fee contract air transportation. It operates through the following segments: Airline, Sunseeker Resort, and Other non-Airline.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represents activity related to the development and construction of Sunseeker Resort in Southwest Florida, as well as the operation of Kingsway Golf Course. The Other non-Airline segment includes the Teesnap golf course management solution and Allegiant Nonstop family entertainment centers. The company was founded in January 1997 and is headquartered in Las Vegas, NV.&lt;/D&gt;&lt;/FQL&gt;&lt;FQL&gt;&lt;Q&gt;ALGT-US^HOMEPAGE&lt;/Q&gt;&lt;R&gt;1&lt;/R&gt;&lt;C&gt;1&lt;/C&gt;&lt;D xsi:type="xsd:string"&gt;http://www.allegiantair.com&lt;/D&gt;&lt;/FQL&gt;&lt;FQL&gt;&lt;Q&gt;ALGT-US^FG_EXCHANGE&lt;/Q&gt;&lt;R&gt;1&lt;/R&gt;&lt;C&gt;1&lt;/C&gt;&lt;D xsi:type="xsd:string"&gt;NASDAQ&lt;/D&gt;&lt;/FQL&gt;&lt;FQL&gt;&lt;Q&gt;ULCC-US^FF_CO_NAME&lt;/Q&gt;&lt;R&gt;1&lt;/R&gt;&lt;C&gt;1&lt;/C&gt;&lt;D xsi:type="xsd:string"&gt;Frontier Group Holdings, Inc.&lt;/D&gt;&lt;/FQL&gt;&lt;FQL&gt;&lt;Q&gt;ULCC-US^FF_ADDRESS&lt;/Q&gt;&lt;R&gt;0&lt;/R&gt;&lt;C&gt;0&lt;/C&gt;&lt;/FQL&gt;&lt;FQL&gt;&lt;Q&gt;ULCC-US^FF_ADDRESS2&lt;/Q&gt;&lt;R&gt;1&lt;/R&gt;&lt;C&gt;1&lt;/C&gt;&lt;D xsi:type="xsd:string"&gt;4545 Airport Way&lt;/D&gt;&lt;/FQL&gt;&lt;FQL&gt;&lt;Q&gt;ULCC-US^FF_CITY&lt;/Q&gt;&lt;R&gt;1&lt;/R&gt;&lt;C&gt;1&lt;/C&gt;&lt;D xsi:type="xsd:string"&gt;Denver&lt;/D&gt;&lt;/FQL&gt;&lt;FQL&gt;&lt;Q&gt;ULCC-US^FF_POSTAL&lt;/Q&gt;&lt;R&gt;1&lt;/R&gt;&lt;C&gt;1&lt;/C&gt;&lt;D xsi:type="xsd:string"&gt;80239&lt;/D&gt;&lt;/FQL&gt;&lt;FQL&gt;&lt;Q&gt;ULCC-US^FF_STATE_PROVINCE&lt;/Q&gt;&lt;R&gt;1&lt;/R&gt;&lt;C&gt;1&lt;/C&gt;&lt;D xsi:type="xsd:string"&gt;Colorado&lt;/D&gt;&lt;/FQL&gt;&lt;FQL&gt;&lt;Q&gt;ULCC-US^FF_COUNTRY&lt;/Q&gt;&lt;R&gt;1&lt;/R&gt;&lt;C&gt;1&lt;/C&gt;&lt;D xsi:type="xsd:string"&gt;UNITED STATES&lt;/D&gt;&lt;/FQL&gt;&lt;FQL&gt;&lt;Q&gt;ULCC-US^FF_SALES(ANN_R,0)&lt;/Q&gt;&lt;R&gt;1&lt;/R&gt;&lt;C&gt;1&lt;/C&gt;&lt;D xsi:type="xsd:double"&gt;1250&lt;/D&gt;&lt;/FQL&gt;&lt;FQL&gt;&lt;Q&gt;ULCC-US^FF_EMP_NUM(ANN,0)&lt;/Q&gt;&lt;R&gt;1&lt;/R&gt;&lt;C&gt;1&lt;/C&gt;&lt;D xsi:type="xsd:double"&gt;5005&lt;/D&gt;&lt;/FQL&gt;&lt;FQL&gt;&lt;Q&gt;ULCC-US^OS_TOP_HLDR_ULTPRNT(1,0D,,MTD,,F,SEC)[0]&lt;/Q&gt;&lt;R&gt;1&lt;/R&gt;&lt;C&gt;1&lt;/C&gt;&lt;D xsi:type="xsd:string"&gt;JPMorgan Chase &amp;amp; Co.&lt;/D&gt;&lt;/FQL&gt;&lt;FQL&gt;&lt;Q&gt;ULCC-US^FF_BUS_DESC_EXT&lt;/Q&gt;&lt;R&gt;1&lt;/R&gt;&lt;C&gt;1&lt;/C&gt;&lt;D xsi:type="xsd:string"&gt;Frontier Group Holdings, Inc. engages in the operation of passenger airline. It offers flights throughout the United States and selected international Mexico, and the Caribbean. The company was founded on September 2013 and is headquartered in Denver, CO.&lt;/D&gt;&lt;/FQL&gt;&lt;FQL&gt;&lt;Q&gt;ULCC-US^HOMEPAGE&lt;/Q&gt;&lt;R&gt;1&lt;/R&gt;&lt;C&gt;1&lt;/C&gt;&lt;D xsi:type="xsd:string"&gt;http://ir.flyfrontier.com&lt;/D&gt;&lt;/FQL&gt;&lt;FQL&gt;&lt;Q&gt;ULCC-US^FG_EXCHANGE&lt;/Q&gt;&lt;R&gt;1&lt;/R&gt;&lt;C&gt;1&lt;/C&gt;&lt;D xsi:type="xsd:string"&gt;NASDAQ&lt;/D&gt;&lt;/FQL&gt;&lt;FQL&gt;&lt;Q&gt;SAVE-US^FF_CO_NAME&lt;/Q&gt;&lt;R&gt;1&lt;/R&gt;&lt;C&gt;1&lt;/C&gt;&lt;D xsi:type="xsd:string"&gt;Spirit Airlines, Inc.&lt;/D&gt;&lt;/FQL&gt;&lt;FQL&gt;&lt;Q&gt;SAVE-US^FF_ADDRESS&lt;/Q&gt;&lt;R&gt;0&lt;/R&gt;&lt;C&gt;0&lt;/C&gt;&lt;/FQL&gt;&lt;FQL&gt;&lt;Q&gt;SAVE-US^FF_ADDRESS2&lt;/Q&gt;&lt;R&gt;1&lt;/R&gt;&lt;C&gt;1&lt;/C&gt;&lt;D xsi:type="xsd:string"&gt;2800 Executive Way&lt;/D&gt;&lt;/FQL&gt;&lt;FQL&gt;&lt;Q&gt;SAVE-US^FF_CITY&lt;/Q&gt;&lt;R&gt;1&lt;/R&gt;&lt;C&gt;1&lt;/C&gt;&lt;D xsi:type="xsd:string"&gt;Miramar&lt;/D&gt;&lt;/FQL&gt;&lt;FQL&gt;&lt;Q&gt;SAVE-US^FF_POSTAL&lt;/Q&gt;&lt;R&gt;1&lt;/R&gt;&lt;C&gt;1&lt;/C&gt;&lt;D xsi:type="xsd:string"&gt;33025&lt;/D&gt;&lt;/FQL&gt;&lt;FQL&gt;&lt;Q&gt;SAVE-US^FF_STATE_PROVINCE&lt;/Q&gt;&lt;R&gt;1&lt;/R&gt;&lt;C&gt;1&lt;/C&gt;&lt;D xsi:type="xsd:string"&gt;Florida&lt;/D&gt;&lt;/FQL&gt;&lt;FQL&gt;&lt;Q&gt;SAVE-US^FF_COUNTRY&lt;/Q&gt;&lt;R&gt;1&lt;/R&gt;&lt;C&gt;1&lt;/C&gt;&lt;D xsi:type="xsd:string"&gt;UNITED STATES&lt;/D&gt;&lt;/FQL&gt;&lt;FQL&gt;&lt;Q&gt;SAVE-US^FF_SALES(ANN_R,0)&lt;/Q&gt;&lt;R&gt;1&lt;/R&gt;&lt;C&gt;1&lt;/C&gt;&lt;D xsi:type="xsd:double"&gt;1810.022&lt;/D&gt;&lt;/FQL&gt;&lt;FQL&gt;&lt;Q&gt;SAVE-US^FF_EMP_NUM(ANN,0)&lt;/Q&gt;&lt;R&gt;1&lt;/R&gt;&lt;C&gt;1&lt;/C&gt;&lt;D xsi:type="xsd:double"&gt;8692&lt;/D&gt;&lt;/FQL&gt;&lt;FQL&gt;&lt;Q&gt;SAVE-US^OS_TOP_HLDR_ULTPRNT(1,0D,,MTD,,F,SEC)[0]&lt;/Q&gt;&lt;R&gt;1&lt;/R&gt;&lt;C&gt;1&lt;/C&gt;&lt;D xsi:type="xsd:string"&gt;The Vanguard Group, Inc.&lt;/D&gt;&lt;/FQL&gt;&lt;FQL&gt;&lt;Q&gt;SAVE-US^FF_BUS_DESC_EXT&lt;/Q&gt;&lt;R&gt;1&lt;/R&gt;&lt;C&gt;1&lt;/C&gt;&lt;D xsi:type="xsd:string"&gt;Spirit Airlines, Inc. is an airline that offers travel to price-conscious customers. Its customers start with an unbundled base fares that remove components included in the price of an airline ticket. The company was founded by Ned Homfeld in 1964 and is headquartered in Miramar, FL.&lt;/D&gt;&lt;/FQL&gt;&lt;FQL&gt;&lt;Q&gt;SAVE-US^HOMEPAGE&lt;/Q&gt;&lt;R&gt;1&lt;/R&gt;&lt;C&gt;1&lt;/C&gt;&lt;D xsi:type="xsd:string"&gt;http://www.spirit.com&lt;/D&gt;&lt;/FQL&gt;&lt;FQL&gt;&lt;Q&gt;SAVE-US^FG_EXCHANGE&lt;/Q&gt;&lt;R&gt;1&lt;/R&gt;&lt;C&gt;1&lt;/C&gt;&lt;D xsi:type="xsd:string"&gt;NYSE&lt;/D&gt;&lt;/FQL&gt;&lt;FQL&gt;&lt;Q&gt;CHR-CA^FF_PBK(ANN_R,0)&lt;/Q&gt;&lt;R&gt;1&lt;/R&gt;&lt;C&gt;1&lt;/C&gt;&lt;D xsi:type="xsd:double"&gt;0.933836427192307&lt;/D&gt;&lt;/FQL&gt;&lt;FQL&gt;&lt;Q&gt;CHR-CA^FF_ROE(ANN_R,0)&lt;/Q&gt;&lt;R&gt;1&lt;/R&gt;&lt;C&gt;1&lt;/C&gt;&lt;D xsi:type="xsd:double"&gt;6.65727380096539&lt;/D&gt;&lt;/FQL&gt;&lt;FQL&gt;&lt;Q&gt;CHR-CA^FF_PE(ANN_R,0)&lt;/Q&gt;&lt;R&gt;1&lt;/R&gt;&lt;C&gt;1&lt;/C&gt;&lt;D xsi:type="xsd:double"&gt;14.4137125048695&lt;/D&gt;&lt;/FQL&gt;&lt;FQL&gt;&lt;Q&gt;CPA-US^FF_PBK(ANN_R,0)&lt;/Q&gt;&lt;R&gt;1&lt;/R&gt;&lt;C&gt;1&lt;/C&gt;&lt;D xsi:type="xsd:double"&gt;2.54870861689903&lt;/D&gt;&lt;/FQL&gt;&lt;FQL&gt;&lt;Q&gt;CPA-US^FF_ROE(ANN_R,0)&lt;/Q&gt;&lt;R&gt;1&lt;/R&gt;&lt;C&gt;1&lt;/C&gt;&lt;D xsi:type="xsd:double"&gt;-37.723709197928&lt;/D&gt;&lt;/FQL&gt;&lt;FQL&gt;&lt;Q&gt;CPA-US^FF_PE(ANN_R,0)&lt;/Q&gt;&lt;R&gt;0&lt;/R&gt;&lt;C&gt;0&lt;/C&gt;&lt;/FQL&gt;&lt;FQL&gt;&lt;Q&gt;CHR-CA^FF_CO_NAME&lt;/Q&gt;&lt;R&gt;1&lt;/R&gt;&lt;C&gt;1&lt;/C&gt;&lt;D xsi:type="xsd:string"&gt;Chorus Aviation, Inc.&lt;/D&gt;&lt;/FQL&gt;&lt;FQL&gt;&lt;Q&gt;CHR-CA^FF_ADDRESS&lt;/Q&gt;&lt;R&gt;1&lt;/R&gt;&lt;C&gt;1&lt;/C&gt;&lt;D xsi:type="xsd:string"&gt;Suite 380&lt;/D&gt;&lt;/FQL&gt;&lt;FQL&gt;&lt;Q&gt;CHR-CA^FF_ADDRESS2&lt;/Q&gt;&lt;R&gt;1&lt;/R&gt;&lt;C&gt;1&lt;/C&gt;&lt;D xsi:type="xsd:string"&gt;3 Spectacle Lake Drive&lt;/D&gt;&lt;/FQL&gt;&lt;FQL&gt;&lt;Q&gt;CHR-CA^FF_CITY&lt;/Q&gt;&lt;R&gt;1&lt;/R&gt;&lt;C&gt;1&lt;/C&gt;&lt;D xsi:type="xsd:string"&gt;Dartmouth&lt;/D&gt;&lt;/FQL&gt;&lt;FQL&gt;&lt;Q&gt;CHR-CA^FF_POSTAL&lt;/Q&gt;&lt;R&gt;1&lt;/R&gt;&lt;C&gt;1&lt;/C&gt;&lt;D xsi:type="xsd:string"&gt;B3B 1W8&lt;/D&gt;&lt;/FQL&gt;&lt;FQL&gt;&lt;Q&gt;CHR-CA^FF_STATE_PROVINCE&lt;/Q&gt;&lt;R&gt;1&lt;/R&gt;&lt;C&gt;1&lt;/C&gt;&lt;D xsi:type="xsd:string"&gt;Nova Scotia&lt;/D&gt;&lt;/FQL&gt;&lt;FQL&gt;&lt;Q&gt;CHR-CA^FF_COUNTRY&lt;/Q&gt;&lt;R&gt;1&lt;/R&gt;&lt;C&gt;1&lt;/C&gt;&lt;D xsi:type="xsd:string"&gt;CANADA&lt;/D&gt;&lt;/FQL&gt;&lt;FQL&gt;&lt;Q&gt;CHR-CA^FF_SALES(ANN_R,0)&lt;/Q&gt;&lt;R&gt;1&lt;/R&gt;&lt;C&gt;1&lt;/C&gt;&lt;D xsi:type="xsd:double"&gt;948.721&lt;/D&gt;&lt;/FQL&gt;&lt;FQL&gt;&lt;Q&gt;AAL-US^FF_PBK(ANN_R,0)&lt;/Q&gt;&lt;R&gt;0&lt;/R&gt;&lt;C&gt;0&lt;/C&gt;&lt;/FQL&gt;&lt;FQL&gt;&lt;Q&gt;ALK-US^FF_PBK(ANN_R,0)&lt;/Q&gt;&lt;R&gt;1&lt;/R&gt;&lt;C&gt;1&lt;/C&gt;&lt;D xsi:type="xsd:double"&gt;2.16175228314299&lt;/D&gt;&lt;/FQL&gt;&lt;FQL&gt;&lt;Q&gt;AAL-US^FF_CO_NAME&lt;/Q&gt;&lt;R&gt;1&lt;/R&gt;&lt;C&gt;1&lt;/C&gt;&lt;D xsi:type="xsd:string"&gt;American Airlines Group, Inc.&lt;/D&gt;&lt;/FQL&gt;&lt;FQL&gt;&lt;Q&gt;AAL-US^FF_ADDRESS&lt;/Q&gt;&lt;R&gt;0&lt;/R&gt;&lt;C&gt;0&lt;/C&gt;&lt;/FQL&gt;&lt;FQL&gt;&lt;Q&gt;AAL-US^FF_ADDRESS2&lt;/Q&gt;&lt;R&gt;1&lt;/R&gt;&lt;C&gt;1&lt;/C&gt;&lt;D xsi:type="xsd:string"&gt;1 Skyview Drive&lt;/D&gt;&lt;/FQL&gt;&lt;FQL&gt;&lt;Q&gt;AAL-US^FF_CITY&lt;/Q&gt;&lt;R&gt;1&lt;/R&gt;&lt;C&gt;1&lt;/C&gt;&lt;D xsi:type="xsd:string"&gt;Fort Worth&lt;/D&gt;&lt;/FQL&gt;&lt;FQL&gt;&lt;Q&gt;AAL-US^FF_POSTAL&lt;/Q&gt;&lt;R&gt;1&lt;/R&gt;&lt;C&gt;1&lt;/C&gt;&lt;D xsi:type="xsd:string"&gt;76155&lt;/D&gt;&lt;/FQL&gt;&lt;FQL&gt;&lt;Q&gt;AAL-US^FF_STATE_PROVINCE&lt;/Q&gt;&lt;R&gt;1&lt;/R&gt;&lt;C&gt;1&lt;/C&gt;&lt;D xsi:type="xsd:string"&gt;Texas&lt;/D&gt;&lt;/FQL&gt;&lt;FQL&gt;&lt;Q&gt;AAL-US^FF_COUNTRY&lt;/Q&gt;&lt;R&gt;1&lt;/R&gt;&lt;C&gt;1&lt;/C&gt;&lt;D xsi:type="xsd:string"&gt;UNITED STATES&lt;/D&gt;&lt;/FQL&gt;&lt;FQL&gt;&lt;Q&gt;ALK-US^FF_CO_NAME&lt;/Q&gt;&lt;R&gt;1&lt;/R&gt;&lt;C&gt;1&lt;/C&gt;&lt;D xsi:type="xsd:string"&gt;Alaska Air Group, Inc.&lt;/D&gt;&lt;/FQL&gt;&lt;FQL&gt;&lt;Q&gt;ALK-US^FF_ADDRESS&lt;/Q&gt;&lt;R&gt;0&lt;/R&gt;&lt;C&gt;0&lt;/C&gt;&lt;/FQL&gt;&lt;FQL&gt;&lt;Q&gt;ALK-US^FF_ADDRESS2&lt;/Q&gt;&lt;R&gt;1&lt;/R&gt;&lt;C&gt;1&lt;/C&gt;&lt;D xsi:type="xsd:string"&gt;19300 International Boulevard&lt;/D&gt;&lt;/FQL&gt;&lt;FQL&gt;&lt;Q&gt;ALK-US^FF_CITY&lt;/Q&gt;&lt;R&gt;1&lt;/R&gt;&lt;C&gt;1&lt;/C&gt;&lt;D xsi:type="xsd:string"&gt;Seattle&lt;/D&gt;&lt;/FQL&gt;&lt;FQL&gt;&lt;Q&gt;ALK-US^FF_POSTAL&lt;/Q&gt;&lt;R&gt;1&lt;/R&gt;&lt;C&gt;1&lt;/C&gt;&lt;D xsi:type="xsd:string"&gt;98188-5304&lt;/D&gt;&lt;/FQL&gt;&lt;FQL&gt;&lt;Q&gt;ALK-US^FF_STATE_PROVINCE&lt;/Q&gt;&lt;R&gt;1&lt;/R&gt;&lt;C&gt;1&lt;/C&gt;&lt;D xsi:type="xsd:string"&gt;Washington&lt;/D&gt;&lt;/FQL&gt;&lt;FQL&gt;&lt;Q&gt;ALK-US^FF_COUNTRY&lt;/Q&gt;&lt;R&gt;1&lt;/R&gt;&lt;C&gt;1&lt;/C&gt;&lt;D xsi:type="xsd:string"&gt;UNITED STATES&lt;/D&gt;&lt;/FQL&gt;&lt;FQL&gt;&lt;Q&gt;ELAL-IL^FF_CO_NAME&lt;/Q&gt;&lt;R&gt;1&lt;/R&gt;&lt;C&gt;1&lt;/C&gt;&lt;D xsi:type="xsd:string"&gt;El Al Israel Airlines Ltd.&lt;/D&gt;&lt;/FQL&gt;&lt;FQL&gt;&lt;Q&gt;ELAL-IL^FF_ADDRESS&lt;/Q&gt;&lt;R&gt;0&lt;/R&gt;&lt;C&gt;0&lt;/C&gt;&lt;/FQL&gt;&lt;FQL&gt;&lt;Q&gt;ELAL-IL^FF_ADDRESS2&lt;/Q&gt;&lt;R&gt;1&lt;/R&gt;&lt;C&gt;1&lt;/C&gt;&lt;D xsi:type="xsd:string"&gt;Ben Guron Airport&lt;/D&gt;&lt;/FQL&gt;&lt;FQL&gt;&lt;Q&gt;ELAL-IL^FF_CITY&lt;/Q&gt;&lt;R&gt;1&lt;/R&gt;&lt;C&gt;1&lt;/C&gt;&lt;D xsi:type="xsd:string"&gt;Lod&lt;/D&gt;&lt;/FQL&gt;&lt;FQL&gt;&lt;Q&gt;ELAL-IL^FF_POSTAL&lt;/Q&gt;&lt;R&gt;1&lt;/R&gt;&lt;C&gt;1&lt;/C&gt;&lt;D xsi:type="xsd:string"&gt;7015001&lt;/D&gt;&lt;/FQL&gt;&lt;FQL&gt;&lt;Q&gt;ELAL-IL^FF_STATE_PROVINCE&lt;/Q&gt;&lt;R&gt;1&lt;/R&gt;&lt;C&gt;1&lt;/C&gt;&lt;D xsi:type="xsd:string"&gt;HaMerkaz&lt;/D&gt;&lt;/FQL&gt;&lt;FQL&gt;&lt;Q&gt;ELAL-IL^FF_COUNTRY&lt;/Q&gt;&lt;R&gt;1&lt;/R&gt;&lt;C&gt;1&lt;/C&gt;&lt;D xsi:type="xsd:string"&gt;ISRAEL&lt;/D&gt;&lt;/FQL&gt;&lt;FQL&gt;&lt;Q&gt;ELAL-IL^FF_SALES(ANN_R,0)&lt;/Q&gt;&lt;R&gt;1&lt;/R&gt;&lt;C&gt;1&lt;/C&gt;&lt;D xsi:type="xsd:double"&gt;2142.77332857255&lt;/D&gt;&lt;/FQL&gt;&lt;FQL&gt;&lt;Q&gt;ELAL-IL^FF_EMP_NUM(ANN,0)&lt;/Q&gt;&lt;R&gt;1&lt;/R&gt;&lt;C&gt;1&lt;/C&gt;&lt;D xsi:type="xsd:double"&gt;1472&lt;/D&gt;&lt;/FQL&gt;&lt;FQL&gt;&lt;Q&gt;ELAL-IL^OS_TOP_HLDR_ULTPRNT(1,0D,,MTD,,F,SEC)[0]&lt;/Q&gt;&lt;R&gt;1&lt;/R&gt;&lt;C&gt;1&lt;/C&gt;&lt;D xsi:type="xsd:string"&gt;The Charles Schwab Corp.&lt;/D&gt;&lt;/FQL&gt;&lt;FQL&gt;&lt;Q&gt;ELAL-IL^FF_BUS_DESC_EXT&lt;/Q&gt;&lt;R&gt;1&lt;/R&gt;&lt;C&gt;1&lt;/C&gt;&lt;D xsi:type="xsd:string"&gt;El Al Israel Airlines Ltd. engages in the provision of commercial flights and air cargo services. The company was founded in 1948 and is headquartered in Lod, Israel.&lt;/D&gt;&lt;/FQL&gt;&lt;FQL&gt;&lt;Q&gt;ELAL-IL^HOMEPAGE&lt;/Q&gt;&lt;R&gt;1&lt;/R&gt;&lt;C&gt;1&lt;/C&gt;&lt;D xsi:type="xsd:string"&gt;http://elal.com&lt;/D&gt;&lt;/FQL&gt;&lt;FQL&gt;&lt;Q&gt;ELAL-IL^FG_EXCHANGE&lt;/Q&gt;&lt;R&gt;1&lt;/R&gt;&lt;C&gt;1&lt;/C&gt;&lt;D xsi:type="xsd:string"&gt;Tel Aviv&lt;/D&gt;&lt;/FQL&gt;&lt;FQL&gt;&lt;Q&gt;1055-HK^FF_CO_NAME&lt;/Q&gt;&lt;R&gt;1&lt;/R&gt;&lt;C&gt;1&lt;/C&gt;&lt;D xsi:type="xsd:string"&gt;China Southern Airlines Co. Ltd.&lt;/D&gt;&lt;/FQL&gt;&lt;FQL&gt;&lt;Q&gt;1055-HK^FF_ADDRESS&lt;/Q&gt;&lt;R&gt;1&lt;/R&gt;&lt;C&gt;1&lt;/C&gt;&lt;D xsi:type="xsd:string"&gt;68 Qixin Road&lt;/D&gt;&lt;/FQL&gt;&lt;FQL&gt;&lt;Q&gt;1055-HK^FF_ADDRESS2&lt;/Q&gt;&lt;R&gt;1&lt;/R&gt;&lt;C&gt;1&lt;/C&gt;&lt;D xsi:type="xsd:string"&gt;China Southern Airlines Building&lt;/D&gt;&lt;/FQL&gt;&lt;FQL&gt;&lt;Q&gt;1055-HK^FF_CITY&lt;/Q&gt;&lt;R&gt;1&lt;/R&gt;&lt;C&gt;1&lt;/C&gt;&lt;D xsi:type="xsd:string"&gt;Guangzhou&lt;/D&gt;&lt;/FQL&gt;&lt;FQL&gt;&lt;Q&gt;1055-HK^FF_POSTAL&lt;/Q&gt;&lt;R&gt;1&lt;/R&gt;&lt;C&gt;1&lt;/C&gt;&lt;D xsi:type="xsd:string"&gt;510403&lt;/D&gt;&lt;/FQL&gt;&lt;FQL&gt;&lt;Q&gt;1055-HK^FF_STATE_PROVINCE&lt;/Q&gt;&lt;R&gt;1&lt;/R&gt;&lt;C&gt;1&lt;/C&gt;&lt;D xsi:type="xsd:string"&gt;Guangdong&lt;/D&gt;&lt;/FQL&gt;&lt;FQL&gt;&lt;Q&gt;1055-HK^FF_COUNTRY&lt;/Q&gt;&lt;R&gt;1&lt;/R&gt;&lt;C&gt;1&lt;/C&gt;&lt;D xsi:type="xsd:string"&gt;CHINA&lt;/D&gt;&lt;/FQL&gt;&lt;FQL&gt;&lt;Q&gt;1055-HK^FF_SALES(ANN_R,0)&lt;/Q&gt;&lt;R&gt;1&lt;/R&gt;&lt;C&gt;1&lt;/C&gt;&lt;D xsi:type="xsd:double"&gt;104010.18187226&lt;/D&gt;&lt;/FQL&gt;&lt;FQL&gt;&lt;Q&gt;1055-HK^FF_EMP_NUM(ANN,0)&lt;/Q&gt;&lt;R&gt;1&lt;/R&gt;&lt;C&gt;1&lt;/C&gt;&lt;D xsi:type="xsd:double"&gt;100431&lt;/D&gt;&lt;/FQL&gt;&lt;FQL&gt;&lt;Q&gt;1055-HK^OS_TOP_HLDR_ULTPRNT(1,0D,,MTD,,F,SEC)[0]&lt;/Q&gt;&lt;R&gt;1&lt;/R&gt;&lt;C&gt;1&lt;/C&gt;&lt;D xsi:type="xsd:string"&gt;GF Securities Co., Ltd.&lt;/D&gt;&lt;/FQL&gt;&lt;FQL&gt;&lt;Q&gt;1055-HK^FF_BUS_DESC_EXT&lt;/Q&gt;&lt;R&gt;1&lt;/R&gt;&lt;C&gt;1&lt;/C&gt;&lt;D xsi:type="xsd:string"&gt;China Southern Airlines Co. Ltd. engages in the provision of domestic, international, and regional scheduled and unscheduled air transportation of passenger, cargo, mail and baggage, general aviation, and aircraft maintenance. The company operates through the following segments: Airline Transportation Operations and Other segments. The Airline Transportation Operations segment engages in the passenger and cargo and mail operations. The other segment includes hotel and tour operation, ground services, cargo handling and other miscellaneous services. The company was founded on March 25, 1995 and is headquartered in Guangzhou, China.&lt;/D&gt;&lt;/FQL&gt;&lt;FQL&gt;&lt;Q&gt;1055-HK^HOMEPAGE&lt;/Q&gt;&lt;R&gt;1&lt;/R&gt;&lt;C&gt;1&lt;/C&gt;&lt;D xsi:type="xsd:string"&gt;http://www.csair.com&lt;/D&gt;&lt;/FQL&gt;&lt;FQL&gt;&lt;Q&gt;1055-HK^FG_EXCHANGE&lt;/Q&gt;&lt;R&gt;1&lt;/R&gt;&lt;C&gt;1&lt;/C&gt;&lt;D xsi:type="xsd:string"&gt;Hong Kong&lt;/D&gt;&lt;/FQL&gt;&lt;FQL&gt;&lt;Q&gt;PFAVH-CO^FF_CO_NAME&lt;/Q&gt;&lt;R&gt;1&lt;/R&gt;&lt;C&gt;1&lt;/C&gt;&lt;D xsi:type="xsd:string"&gt;Avianca Holdings SA&lt;/D&gt;&lt;/FQL&gt;&lt;FQL&gt;&lt;Q&gt;PFAVH-CO^FF_ADDRESS&lt;/Q&gt;&lt;R&gt;1&lt;/R&gt;&lt;C&gt;1&lt;/C&gt;&lt;D xsi:type="xsd:string"&gt;Santa María Business District&lt;/D&gt;&lt;/FQL&gt;&lt;FQL&gt;&lt;Q&gt;PFAVH-CO^FF_ADDRESS2&lt;/Q&gt;&lt;R&gt;1&lt;/R&gt;&lt;C&gt;1&lt;/C&gt;&lt;D xsi:type="xsd:string"&gt;West Boulevard&lt;/D&gt;&lt;/FQL&gt;&lt;FQL&gt;&lt;Q&gt;PFAVH-CO^FF_CITY&lt;/Q&gt;&lt;R&gt;1&lt;/R&gt;&lt;C&gt;1&lt;/C&gt;&lt;D xsi:type="xsd:string"&gt;Panama City&lt;/D&gt;&lt;/FQL&gt;&lt;FQL&gt;&lt;Q&gt;PFAVH-CO^FF_POSTAL&lt;/Q&gt;&lt;R&gt;0&lt;/R&gt;&lt;C&gt;0&lt;/C&gt;&lt;/FQL&gt;&lt;FQL&gt;&lt;Q&gt;PFAVH-CO^FF_STATE_PROVINCE&lt;/Q&gt;&lt;R&gt;1&lt;/R&gt;&lt;C&gt;1&lt;/C&gt;&lt;D xsi:type="xsd:string"&gt;Panama&lt;/D&gt;&lt;/FQL&gt;&lt;FQL&gt;&lt;Q&gt;PFAVH-CO^FF_COUNTRY&lt;/Q&gt;&lt;R&gt;1&lt;/R&gt;&lt;C&gt;1&lt;/C&gt;&lt;D xsi:type="xsd:string"&gt;PANAMA&lt;/D&gt;&lt;/FQL&gt;&lt;FQL&gt;&lt;Q&gt;PFAVH-CO^FF_SALES(ANN_R,0)&lt;/Q&gt;&lt;R&gt;1&lt;/R&gt;&lt;C&gt;1&lt;/C&gt;&lt;D xsi:type="xsd:double"&gt;6326017.76349383&lt;/D&gt;&lt;/FQL&gt;&lt;FQL&gt;&lt;Q&gt;PFAVH-CO^FF_EMP_NUM(ANN,0)&lt;/Q&gt;&lt;R&gt;0&lt;/R&gt;&lt;C&gt;0&lt;/C&gt;&lt;/FQL&gt;&lt;FQL&gt;&lt;Q&gt;PFAVH-CO^OS_TOP_HLDR_ULTPRNT(1,0D,,MTD,,F,SEC)[0]&lt;/Q&gt;&lt;R&gt;1&lt;/R&gt;&lt;C&gt;1&lt;/C&gt;&lt;D xsi:type="xsd:string"&gt;GFH HFEVA LLC&lt;/D&gt;&lt;/FQL&gt;&lt;FQL&gt;&lt;Q&gt;PFAVH-CO^FF_BUS_DESC_EXT&lt;/Q&gt;&lt;R&gt;1&lt;/R&gt;&lt;C&gt;1&lt;/C&gt;&lt;D xsi:type="xsd:string"&gt;Avianca Holdings SA engages in the provision of air transport services. The company offers passenger airlines, cargo airlines, loyalty program, as well as related activities including tourism, engineering, and specialized maintenance services. It operates through the Air Transportation and Loyalty segments. The Air Transportation segment corresponds to passenger and cargo operating revenues on scheduled flights and freight transport, including flights operated by other airlines under code-sharing agreements. The Loyalty segment refers to the traveler program for the firm's frequent passengers. The company was founded on October 5, 2009 and is headquartered in Panama City, Panama.&lt;/D&gt;&lt;/FQL&gt;&lt;FQL&gt;&lt;Q&gt;PFAVH-CO^HOMEPAGE&lt;/Q&gt;&lt;R&gt;1&lt;/R&gt;&lt;C&gt;1&lt;/C&gt;&lt;D xsi:type="xsd:string"&gt;http://www.aviancaholdings.com&lt;/D&gt;&lt;/FQL&gt;&lt;FQL&gt;&lt;Q&gt;PFAVH-CO^FG_EXCHANGE&lt;/Q&gt;&lt;R&gt;1&lt;/R&gt;&lt;C&gt;1&lt;/C&gt;&lt;D xsi:type="xsd:string"&gt;Colombia&lt;/D&gt;&lt;/FQL&gt;&lt;FQL&gt;&lt;Q&gt;QAN-AU^FF_CO_NAME&lt;/Q&gt;&lt;R&gt;1&lt;/R&gt;&lt;C&gt;1&lt;/C&gt;&lt;D xsi:type="xsd:string"&gt;Qantas Airways Ltd.&lt;/D&gt;&lt;/FQL&gt;&lt;FQL&gt;&lt;Q&gt;QAN-AU^FF_ADDRESS&lt;/Q&gt;&lt;R&gt;0&lt;/R&gt;&lt;C&gt;0&lt;/C&gt;&lt;/FQL&gt;&lt;FQL&gt;&lt;Q&gt;QAN-AU^FF_ADDRESS2&lt;/Q&gt;&lt;R&gt;1&lt;/R&gt;&lt;C&gt;1&lt;/C&gt;&lt;D xsi:type="xsd:string"&gt;10 Bourke Road&lt;/D&gt;&lt;/FQL&gt;&lt;FQL&gt;&lt;Q&gt;QAN-AU^FF_CITY&lt;/Q&gt;&lt;R&gt;1&lt;/R&gt;&lt;C&gt;1&lt;/C&gt;&lt;D xsi:type="xsd:string"&gt;Mascot&lt;/D&gt;&lt;/FQL&gt;&lt;FQL&gt;&lt;Q&gt;QAN-AU^FF_POSTAL&lt;/Q&gt;&lt;R&gt;1&lt;/R&gt;&lt;C&gt;1&lt;/C&gt;&lt;D xsi:type="xsd:string"&gt;2020&lt;/D&gt;&lt;/FQL&gt;&lt;FQL&gt;&lt;Q&gt;QAN-AU^FF_STATE_PROVINCE&lt;/Q&gt;&lt;R&gt;1&lt;/R&gt;&lt;C&gt;1&lt;/C&gt;&lt;D xsi:type="xsd:string"&gt;New South Wales (NSW)&lt;/D&gt;&lt;/FQL&gt;&lt;FQL&gt;&lt;Q&gt;QAN-AU^FF_COUNTRY&lt;/Q&gt;&lt;R&gt;1&lt;/R&gt;&lt;C&gt;1&lt;/C&gt;&lt;D xsi:type="xsd:string"&gt;AUSTRALIA&lt;/D&gt;&lt;/FQL&gt;&lt;FQL&gt;&lt;Q&gt;QAN-AU^FF_SALES(ANN_R,0)&lt;/Q&gt;&lt;R&gt;1&lt;/R&gt;&lt;C&gt;1&lt;/C&gt;&lt;D xsi:type="xsd:double"&gt;5385&lt;/D&gt;&lt;/FQL&gt;&lt;FQL&gt;&lt;Q&gt;QAN-AU^FF_EMP_NUM(ANN,0)&lt;/Q&gt;&lt;R&gt;1&lt;/R&gt;&lt;C&gt;1&lt;/C&gt;&lt;D xsi:type="xsd:double"&gt;25000&lt;/D&gt;&lt;/FQL&gt;&lt;FQL&gt;&lt;Q&gt;QAN-AU^OS_TOP_HLDR_ULTPRNT(1,0D,,MTD,,F,SEC)[0]&lt;/Q&gt;&lt;R&gt;1&lt;/R&gt;&lt;C&gt;1&lt;/C&gt;&lt;D xsi:type="xsd:string"&gt;Mitsubishi UFJ Financial Group, Inc.&lt;/D&gt;&lt;/FQL&gt;&lt;FQL&gt;&lt;Q&gt;QAN-AU^FF_BUS_DESC_EXT&lt;/Q&gt;&lt;R&gt;1&lt;/R&gt;&lt;C&gt;1&lt;/C&gt;&lt;D xsi:type="xsd:string"&gt;Qantas Airways Ltd. provides air transportation services. The firm engages in the international and domestic air transportation services; sale of worldwide and domestic holiday tours; and associated support activities including catering, information technology, ground handling, and engineering and maintenance. It operates its business through the following segments: Qantas Domestic, Qantas International, Jetstar Group, Qantas Loyalty, and Corporate. The Qantas Domestic segment engages in the Australian domestic passenger flying business of Qantas brands. The Qantas International segment includes international passenger flying business of Qantas brands. The Jetstar Group deals with the Jetstar passenger flying business. The Qantas Loyalty segment operates the Qantas customer loyalty program for Qantas brands. The Corporate segment is a centralised management and governance of the Qantas Group. The company was founded on November 16, 1920 and is headquartered in Mascot, Australia.&lt;/D&gt;&lt;/FQL&gt;&lt;FQL&gt;&lt;Q&gt;QAN-AU^HOMEPAGE&lt;/Q&gt;&lt;R&gt;1&lt;/R&gt;&lt;C&gt;1&lt;/C&gt;&lt;D xsi:type="xsd:string"&gt;http://qantas.com&lt;/D&gt;&lt;/FQL&gt;&lt;FQL&gt;&lt;Q&gt;QAN-AU^FG_EXCHANGE&lt;/Q&gt;&lt;R&gt;1&lt;/R&gt;&lt;C&gt;1&lt;/C&gt;&lt;D xsi:type="xsd:string"&gt;ASX&lt;/D&gt;&lt;/FQL&gt;&lt;FQL&gt;&lt;Q&gt;MESA-US^FF_CO_NAME&lt;/Q&gt;&lt;R&gt;1&lt;/R&gt;&lt;C&gt;1&lt;/C&gt;&lt;D xsi:type="xsd:string"&gt;Mesa Air Group, Inc.&lt;/D&gt;&lt;/FQL&gt;&lt;FQL&gt;&lt;Q&gt;MESA-US^FF_ADDRESS&lt;/Q&gt;&lt;R&gt;1&lt;/R&gt;&lt;C&gt;1&lt;/C&gt;&lt;D xsi:type="xsd:string"&gt;Suite 700&lt;/D&gt;&lt;/FQL&gt;&lt;FQL&gt;&lt;Q&gt;MESA-US^FF_ADDRESS2&lt;/Q&gt;&lt;R&gt;1&lt;/R&gt;&lt;C&gt;1&lt;/C&gt;&lt;D xsi:type="xsd:string"&gt;410 North 44th Street&lt;/D&gt;&lt;/FQL&gt;&lt;FQL&gt;&lt;Q&gt;MESA-US^FF_CITY&lt;/Q&gt;&lt;R&gt;1&lt;/R&gt;&lt;C&gt;1&lt;/C&gt;&lt;D xsi:type="xsd:string"&gt;Phoenix&lt;/D&gt;&lt;/FQL&gt;&lt;FQL&gt;&lt;Q&gt;MESA-US^FF_POSTAL&lt;/Q&gt;&lt;R&gt;1&lt;/R&gt;&lt;C&gt;1&lt;/C&gt;&lt;D xsi:type="xsd:string"&gt;85008&lt;/D&gt;&lt;/FQL&gt;&lt;FQL&gt;&lt;Q&gt;MESA-US^FF_STATE_PROVINCE&lt;/Q&gt;&lt;R&gt;1&lt;/R&gt;&lt;C&gt;1&lt;/C&gt;&lt;D xsi:type="xsd:string"&gt;Arizona&lt;/D&gt;&lt;/FQL&gt;&lt;FQL&gt;&lt;Q&gt;MESA-US^FF_COUNTRY&lt;/Q&gt;&lt;R&gt;1&lt;/R&gt;&lt;C&gt;1&lt;/C&gt;&lt;D xsi:type="xsd:string"&gt;UNITED STATES&lt;/D&gt;&lt;/FQL&gt;&lt;FQL&gt;&lt;Q&gt;MESA-US^FF_SALES(ANN_R,0)&lt;/Q&gt;&lt;R&gt;1&lt;/R&gt;&lt;C&gt;1&lt;/C&gt;&lt;D xsi:type="xsd:double"&gt;545.07&lt;/D&gt;&lt;/FQL&gt;&lt;FQL&gt;&lt;Q&gt;MESA-US^FF_EMP_NUM(ANN,0)&lt;/Q&gt;&lt;R&gt;1&lt;/R&gt;&lt;C&gt;1&lt;/C&gt;&lt;D xsi:type="xsd:double"&gt;3200&lt;/D&gt;&lt;/FQL&gt;&lt;FQL&gt;&lt;Q&gt;MESA-US^OS_TOP_HLDR_ULTPRNT(1,0D,,MTD,,F,SEC)[0]&lt;/Q&gt;&lt;R&gt;1&lt;/R&gt;&lt;C&gt;1&lt;/C&gt;&lt;D xsi:type="xsd:string"&gt;BlackRock, Inc.&lt;/D&gt;&lt;/FQL&gt;&lt;FQL&gt;&lt;Q&gt;MESA-US^FF_BUS_DESC_EXT&lt;/Q&gt;&lt;R&gt;1&lt;/R&gt;&lt;C&gt;1&lt;/C&gt;&lt;D xsi:type="xsd:string"&gt;Mesa Air Group, Inc. operates as a holding company. The firm engages in the provision of regional air carrier and passenger transportation services. Its fleet includes American Eagle and United Express flights. The company was founded in 1982 and is headquartered in Phoenix, AZ.&lt;/D&gt;&lt;/FQL&gt;&lt;FQL&gt;&lt;Q&gt;MESA-US^HOMEPAGE&lt;/Q&gt;&lt;R&gt;1&lt;/R&gt;&lt;C&gt;1&lt;/C&gt;&lt;D xsi:type="xsd:string"&gt;http://www.mesa-air.com&lt;/D&gt;&lt;/FQL&gt;&lt;FQL&gt;&lt;Q&gt;MESA-US^FG_EXCHANGE&lt;/Q&gt;&lt;R&gt;1&lt;/R&gt;&lt;C&gt;1&lt;/C&gt;&lt;D xsi:type="xsd:string"&gt;NASDAQ&lt;/D&gt;&lt;/FQL&gt;&lt;FQL&gt;&lt;Q&gt;VOLARA-MX^FF_CO_NAME&lt;/Q&gt;&lt;R&gt;1&lt;/R&gt;&lt;C&gt;1&lt;/C&gt;&lt;D xsi:type="xsd:string"&gt;Controladora Vuela Compañía de Aviación SAB de CV&lt;/D&gt;&lt;/FQL&gt;&lt;FQL&gt;&lt;Q&gt;VOLARA-MX^FF_ADDRESS&lt;/Q&gt;&lt;R&gt;1&lt;/R&gt;&lt;C&gt;1&lt;/C&gt;&lt;D xsi:type="xsd:string"&gt;Colonia Zedec Santa Fe&lt;/D&gt;&lt;/FQL&gt;&lt;FQL&gt;&lt;Q&gt;VOLARA-MX^FF_ADDRESS2&lt;/Q&gt;&lt;R&gt;1&lt;/R&gt;&lt;C&gt;1&lt;/C&gt;&lt;D xsi:type="xsd:string"&gt;Av. Antonio Dovalí Jaime No. 70&lt;/D&gt;&lt;/FQL&gt;&lt;FQL&gt;&lt;Q&gt;VOLARA-MX^FF_CITY&lt;/Q&gt;&lt;R&gt;1&lt;/R&gt;&lt;C&gt;1&lt;/C&gt;&lt;D xsi:type="xsd:string"&gt;Mexico City&lt;/D&gt;&lt;/FQL&gt;&lt;FQL&gt;&lt;Q&gt;VOLARA-MX^FF_POSTAL&lt;/Q&gt;&lt;R&gt;1&lt;/R&gt;&lt;C&gt;1&lt;/C&gt;&lt;D xsi:type="xsd:string"&gt;01210&lt;/D&gt;&lt;/FQL&gt;&lt;FQL&gt;&lt;Q&gt;VOLARA-MX^FF_STATE_PROVINCE&lt;/Q&gt;&lt;R&gt;1&lt;/R&gt;&lt;C&gt;1&lt;/C&gt;&lt;D xsi:type="xsd:string"&gt;Distrito Federal&lt;/D&gt;&lt;/FQL&gt;&lt;FQL&gt;&lt;Q&gt;VOLARA-MX^FF_COUNTRY&lt;/Q&gt;&lt;R&gt;1&lt;/R&gt;&lt;C&gt;1&lt;/C&gt;&lt;D xsi:type="xsd:string"&gt;MEXICO&lt;/D&gt;&lt;/FQL&gt;&lt;FQL&gt;&lt;Q&gt;VOLARA-MX^FF_SALES(ANN_R,0)&lt;/Q&gt;&lt;R&gt;1&lt;/R&gt;&lt;C&gt;1&lt;/C&gt;&lt;D xsi:type="xsd:double"&gt;22570.813&lt;/D&gt;&lt;/FQL&gt;&lt;FQL&gt;&lt;Q&gt;VOLARA-MX^FF_EMP_NUM(ANN,0)&lt;/Q&gt;&lt;R&gt;1&lt;/R&gt;&lt;C&gt;1&lt;/C&gt;&lt;D xsi:type="xsd:double"&gt;4846&lt;/D&gt;&lt;/FQL&gt;&lt;FQL&gt;&lt;Q&gt;VOLARA-MX^OS_TOP_HLDR_ULTPRNT(1,0D,,MTD,,F,SEC)[0]&lt;/Q&gt;&lt;R&gt;1&lt;/R&gt;&lt;C&gt;1&lt;/C&gt;&lt;D xsi:type="xsd:string"&gt;BPCE SA&lt;/D&gt;&lt;/FQL&gt;&lt;FQL&gt;&lt;Q&gt;VOLARA-MX^FF_BUS_DESC_EXT&lt;/Q&gt;&lt;R&gt;1&lt;/R&gt;&lt;C&gt;1&lt;/C&gt;&lt;D xsi:type="xsd:string"&gt;Controladora Vuela Compañía de Aviación SAB de CV is a holding company, which engages in the provision of air transportation and related services. It also offers cargo services. The company was founded by Roberto Jose Kriete Avila and Carlos Mendoza Valencia on October 27, 2005 and is headquartered in Mexico City.&lt;/D&gt;&lt;/FQL&gt;&lt;FQL&gt;&lt;Q&gt;VOLARA-MX^HOMEPAGE&lt;/Q&gt;&lt;R&gt;1&lt;/R&gt;&lt;C&gt;1&lt;/C&gt;&lt;D xsi:type="xsd:string"&gt;http://www.volaris.com&lt;/D&gt;&lt;/FQL&gt;&lt;FQL&gt;&lt;Q&gt;VOLARA-MX^FG_EXCHANGE&lt;/Q&gt;&lt;R&gt;1&lt;/R&gt;&lt;C&gt;1&lt;/C&gt;&lt;D xsi:type="xsd:string"&gt;Mexico&lt;/D&gt;&lt;/FQL&gt;&lt;FQL&gt;&lt;Q&gt;AEROMEX-MX^FF_CO_NAME&lt;/Q&gt;&lt;R&gt;1&lt;/R&gt;&lt;C&gt;1&lt;/C&gt;&lt;D xsi:type="xsd:string"&gt;Grupo Aeroméxico SAB de CV&lt;/D&gt;&lt;/FQL&gt;&lt;FQL&gt;&lt;Q&gt;AEROMEX-MX^FF_ADDRESS&lt;/Q&gt;&lt;R&gt;1&lt;/R&gt;&lt;C&gt;1&lt;/C&gt;&lt;D xsi:type="xsd:string"&gt;piso 25 Cuauhtemoc&lt;/D&gt;&lt;/FQL&gt;&lt;FQL&gt;&lt;Q&gt;AEROMEX-MX^FF_ADDRESS2&lt;/Q&gt;&lt;R&gt;1&lt;/R&gt;&lt;C&gt;1&lt;/C&gt;&lt;D xsi:type="xsd:string"&gt;Av. Paseo de la Reforma 243&lt;/D&gt;&lt;/FQL&gt;&lt;FQL&gt;&lt;Q&gt;AEROMEX-MX^FF_CITY&lt;/Q&gt;&lt;R&gt;1&lt;/R&gt;&lt;C&gt;1&lt;/C&gt;&lt;D xsi:type="xsd:string"&gt;Mexico City&lt;/D&gt;&lt;/FQL&gt;&lt;FQL&gt;&lt;Q&gt;AEROMEX-MX^FF_POSTAL&lt;/Q&gt;&lt;R&gt;1&lt;/R&gt;&lt;C&gt;1&lt;/C&gt;&lt;D xsi:type="xsd:string"&gt;06500&lt;/D&gt;&lt;/FQL&gt;&lt;FQL&gt;&lt;Q&gt;AEROMEX-MX^FF_STATE_PROVINCE&lt;/Q&gt;&lt;R&gt;1&lt;/R&gt;&lt;C&gt;1&lt;/C&gt;&lt;D xsi:type="xsd:string"&gt;Distrito Federal&lt;/D&gt;&lt;/FQL&gt;&lt;FQL&gt;&lt;Q&gt;AEROMEX-MX^FF_COUNTRY&lt;/Q&gt;&lt;R&gt;1&lt;/R&gt;&lt;C&gt;1&lt;/C&gt;&lt;D xsi:type="xsd:string"&gt;MEXICO&lt;/D&gt;&lt;/FQL&gt;&lt;FQL&gt;&lt;Q&gt;AEROMEX-MX^FF_SALES(ANN_R,0)&lt;/Q&gt;&lt;R&gt;1&lt;/R&gt;&lt;C&gt;1&lt;/C&gt;&lt;D xsi:type="xsd:double"&gt;28522.135&lt;/D&gt;&lt;/FQL&gt;&lt;FQL&gt;&lt;Q&gt;AEROMEX-MX^FF_EMP_NUM(ANN,0)&lt;/Q&gt;&lt;R&gt;0&lt;/R&gt;&lt;C&gt;0&lt;/C&gt;&lt;/FQL&gt;&lt;FQL&gt;&lt;Q&gt;AEROMEX-MX^OS_TOP_HLDR_ULTPRNT(1,0D,,MTD,,F,SEC)[0]&lt;/Q&gt;&lt;R&gt;1&lt;/R&gt;&lt;C&gt;1&lt;/C&gt;&lt;D xsi:type="xsd:string"&gt;Corporativo GBM SAB de CV&lt;/D&gt;&lt;/FQL&gt;&lt;FQL&gt;&lt;Q&gt;AEROMEX-MX^FF_BUS_DESC_EXT&lt;/Q&gt;&lt;R&gt;1&lt;/R&gt;&lt;C&gt;1&lt;/C&gt;&lt;D xsi:type="xsd:string"&gt;Grupo Aeroméxico SAB de CV engages in the provision of air transportation services. It operates through the following geographical segments: Mexico; North, Central and South America; and Europe and Asia. It offers flight schedules, ticket sales, vacation packages, in-flight dining and entertainment and cargo handling. The company was founded on March 19, 2002 and is headquartered in Mexico City, Mexico.&lt;/D&gt;&lt;/FQL&gt;&lt;FQL&gt;&lt;Q&gt;AEROMEX-MX^HOMEPAGE&lt;/Q&gt;&lt;R&gt;1&lt;/R&gt;&lt;C&gt;1&lt;/C&gt;&lt;D xsi:type="xsd:string"&gt;http://www.aeromexico.com&lt;/D&gt;&lt;/FQL&gt;&lt;FQL&gt;&lt;Q&gt;AEROMEX-MX^FG_EXCHANGE&lt;/Q&gt;&lt;R&gt;1&lt;/R&gt;&lt;C&gt;1&lt;/C&gt;&lt;D xsi:type="xsd:string"&gt;Mexico&lt;/D&gt;&lt;/FQL&gt;&lt;FQL&gt;&lt;Q&gt;HA-US^FF_CO_NAME&lt;/Q&gt;&lt;R&gt;1&lt;/R&gt;&lt;C&gt;1&lt;/C&gt;&lt;D xsi:type="xsd:string"&gt;Hawaiian Holdings, Inc.&lt;/D&gt;&lt;/FQL&gt;&lt;FQL&gt;&lt;Q&gt;HA-US^FF_ADDRESS&lt;/Q&gt;&lt;R&gt;1&lt;/R&gt;&lt;C&gt;1&lt;/C&gt;&lt;D xsi:type="xsd:string"&gt;Suite G-350&lt;/D&gt;&lt;/FQL&gt;&lt;FQL&gt;&lt;Q&gt;HA-US^FF_ADDRESS2&lt;/Q&gt;&lt;R&gt;1&lt;/R&gt;&lt;C&gt;1&lt;/C&gt;&lt;D xsi:type="xsd:string"&gt;3375 Koapaka Street&lt;/D&gt;&lt;/FQL&gt;&lt;FQL&gt;&lt;Q&gt;HA-US^FF_CITY&lt;/Q&gt;&lt;R&gt;1&lt;/R&gt;&lt;C&gt;1&lt;/C&gt;&lt;D xsi:type="xsd:string"&gt;Honolulu&lt;/D&gt;&lt;/FQL&gt;&lt;FQL&gt;&lt;Q&gt;HA-US^FF_POSTAL&lt;/Q&gt;&lt;R&gt;1&lt;/R&gt;&lt;C&gt;1&lt;/C&gt;&lt;D xsi:type="xsd:string"&gt;96819-1804&lt;/D&gt;&lt;/FQL&gt;&lt;FQL&gt;&lt;Q&gt;HA-US^FF_STATE_PROVINCE&lt;/Q&gt;&lt;R&gt;1&lt;/R&gt;&lt;C&gt;1&lt;/C&gt;&lt;D xsi:type="xsd:string"&gt;Hawaii&lt;/D&gt;&lt;/FQL&gt;&lt;FQL&gt;&lt;Q&gt;HA-US^FF_COUNTRY&lt;/Q&gt;&lt;R&gt;1&lt;/R&gt;&lt;C&gt;1&lt;/C&gt;&lt;D xsi:type="xsd:string"&gt;UNITED STATES&lt;/D&gt;&lt;/FQL&gt;&lt;FQL&gt;&lt;Q&gt;HA-US^FF_SALES(ANN_R,0)&lt;/Q&gt;&lt;R&gt;1&lt;/R&gt;&lt;C&gt;1&lt;/C&gt;&lt;D xsi:type="xsd:double"&gt;841.738&lt;/D&gt;&lt;/FQL&gt;&lt;FQL&gt;&lt;Q&gt;HA-US^FF_EMP_NUM(ANN,0)&lt;/Q&gt;&lt;R&gt;1&lt;/R&gt;&lt;C&gt;1&lt;/C&gt;&lt;D xsi:type="xsd:double"&gt;5278&lt;/D&gt;&lt;/FQL&gt;&lt;FQL&gt;&lt;Q&gt;HA-US^OS_TOP_HLDR_ULTPRNT(1,0D,,MTD,,F,SEC)[0]&lt;/Q&gt;&lt;R&gt;1&lt;/R&gt;&lt;C&gt;1&lt;/C&gt;&lt;D xsi:type="xsd:string"&gt;BlackRock, Inc.&lt;/D&gt;&lt;/FQL&gt;&lt;FQL&gt;&lt;Q&gt;HA-US^FF_BUS_DESC_EXT&lt;/Q&gt;&lt;R&gt;1&lt;/R&gt;&lt;C&gt;1&lt;/C&gt;&lt;D xsi:type="xsd:string"&gt;Hawaiian Holdings, Inc. is a holding company, which engages in the provision of air transportation services. It offers cargo handling and passenger flights between the Hawaiian Islands and its neighbor island routes through its subsidiary, Hawaiian Airlines, Inc. The company was founded on January 30, 1929 and is headquartered in Honolulu, HI.&lt;/D&gt;&lt;/FQL&gt;&lt;FQL&gt;&lt;Q&gt;HA-US^HOMEPAGE&lt;/Q&gt;&lt;R&gt;1&lt;/R&gt;&lt;C&gt;1&lt;/C&gt;&lt;D xsi:type="xsd:string"&gt;http://www.hawaiianairlines.com&lt;/D&gt;&lt;/FQL&gt;&lt;FQL&gt;&lt;Q&gt;HA-US^FG_EXCHANGE&lt;/Q&gt;&lt;R&gt;1&lt;/R&gt;&lt;C&gt;1&lt;/C&gt;&lt;D xsi:type="xsd:string"&gt;NASDAQ&lt;/D&gt;&lt;/FQL&gt;&lt;FQL&gt;&lt;Q&gt;AAL-US^FF_EMP_NUM(ANN,0)&lt;/Q&gt;&lt;R&gt;1&lt;/R&gt;&lt;C&gt;1&lt;/C&gt;&lt;D xsi:type="xsd:double"&gt;102700&lt;/D&gt;&lt;/FQL&gt;&lt;FQL&gt;&lt;Q&gt;AAL-US^OS_TOP_HLDR_ULTPRNT(1,0D,,MTD,,F,SEC)[0]&lt;/Q&gt;&lt;R&gt;1&lt;/R&gt;&lt;C&gt;1&lt;/C&gt;&lt;D xsi:type="xsd:string"&gt;The Vanguard Group, Inc.&lt;/D&gt;&lt;/FQL&gt;&lt;FQL&gt;&lt;Q&gt;AAL-US^FF_BUS_DESC_EXT&lt;/Q&gt;&lt;R&gt;1&lt;/R&gt;&lt;C&gt;1&lt;/C&gt;&lt;D xsi:type="xsd:string"&gt;American Airlines Group, Inc. is a holding company, which engages in the operation of a network carrier through its principal wholly-owned mainline operating subsidiary, American. The firm offers air transportation for passengers and cargo. It operates through the following geographical segments: Department of Transportation Domestic; Department of Transportation Latin America; Department of Transportation Atlantic; and Department of Transportation Pacific. The company was founded on December 9, 2013 and is headquartered in Fort Worth, TX.&lt;/D&gt;&lt;/FQL&gt;&lt;FQL&gt;&lt;Q&gt;AAL-US^HOMEPAGE&lt;/Q&gt;&lt;R&gt;1&lt;/R&gt;&lt;C&gt;1&lt;/C&gt;&lt;D xsi:type="xsd:string"&gt;http://www.aa.com&lt;/D&gt;&lt;/FQL&gt;&lt;FQL&gt;&lt;Q&gt;AAL-US^FG_EXCHANGE&lt;/Q&gt;&lt;R&gt;1&lt;/R&gt;&lt;C&gt;1&lt;/C&gt;&lt;D xsi:type="xsd:string"&gt;NASDAQ&lt;/D&gt;&lt;/FQL&gt;&lt;FQL&gt;&lt;Q&gt;ALK-US^FF_EMP_NUM(ANN,0)&lt;/Q&gt;&lt;R&gt;1&lt;/R&gt;&lt;C&gt;1&lt;/C&gt;&lt;D xsi:type="xsd:double"&gt;21997&lt;/D&gt;&lt;/FQL&gt;&lt;FQL&gt;&lt;Q&gt;ALK-US^OS_TOP_HLDR_ULTPRNT(1,0D,,MTD,,F,SEC)[0]&lt;/Q&gt;&lt;R&gt;1&lt;/R&gt;&lt;C&gt;1&lt;/C&gt;&lt;D xsi:type="xsd:string"&gt;The Vanguard Group, Inc.&lt;/D&gt;&lt;/FQL&gt;&lt;FQL&gt;&lt;Q&gt;ALK-US^FF_BUS_DESC_EXT&lt;/Q&gt;&lt;R&gt;1&lt;/R&gt;&lt;C&gt;1&lt;/C&gt;&lt;D xsi:type="xsd:string"&gt;Alaska Air Group, Inc. is a holding company, which engages in the provision of air transportation services. It operates through the following segments: Mainline, Regional and Horizon. The Mainline segment includes Alaska's Boeing or Airbus jet aircraft for passengers and cargo throughout the U.S., and in parts of Canada, Mexico, and Costa Rica. The Regional segment consists of Horizon's and other third-party carriers’ scheduled air transportation for passengers across a shorter distance network within the U.S. and Canada under capacity purchase agreements (CPAs). The Horizon segment comprises of the the capacity sold to Alaska under CPA. The company was founded in 1985 and is headquartered in Seattle, WA.&lt;/D&gt;&lt;/FQL&gt;&lt;FQL&gt;&lt;Q&gt;ALK-US^HOMEPAGE&lt;/Q&gt;&lt;R&gt;1&lt;/R&gt;&lt;C&gt;1&lt;/C&gt;&lt;D xsi:type="xsd:string"&gt;http://www.alaskaair.com&lt;/D&gt;&lt;/FQL&gt;&lt;FQL&gt;&lt;Q&gt;ALK-US^FG_EXCHANGE&lt;/Q&gt;&lt;R&gt;1&lt;/R&gt;&lt;C&gt;1&lt;/C&gt;&lt;D xsi:type="xsd:string"&gt;NYSE&lt;/D&gt;&lt;/FQL&gt;&lt;FQL&gt;&lt;Q&gt;2610-TW^FF_EMP_NUM(ANN,0)&lt;/Q&gt;&lt;R&gt;0&lt;/R&gt;&lt;C&gt;0&lt;/C&gt;&lt;/FQL&gt;&lt;FQL&gt;&lt;Q&gt;2610-TW^OS_TOP_HLDR_ULTPRNT(1,0D,,MTD,,F,SEC)[0]&lt;/Q&gt;&lt;R&gt;1&lt;/R&gt;&lt;C&gt;1&lt;/C&gt;&lt;D xsi:type="xsd:string"&gt;The Vanguard Group, Inc.&lt;/D&gt;&lt;/FQL&gt;&lt;FQL&gt;&lt;Q&gt;2610-TW^FF_BUS_DESC_EXT&lt;/Q&gt;&lt;R&gt;1&lt;/R&gt;&lt;C&gt;1&lt;/C&gt;&lt;D xsi:type="xsd:string"&gt;China Airlines Ltd. engages in the provision of international air passenger transport and freight services. Its business includes air passenger transport in regular or occasional international charter contract; air cargo services; civil</t>
        </r>
      </text>
    </comment>
    <comment ref="A26" authorId="0" shapeId="0" xr:uid="{C2F94307-B01D-4D46-9E5E-C0401F2A9162}">
      <text>
        <r>
          <rPr>
            <b/>
            <sz val="9"/>
            <color indexed="81"/>
            <rFont val="Tahoma"/>
            <charset val="1"/>
          </rPr>
          <t xml:space="preserve"> aviation international airport and transit of aircraft handling services; aircraft merchandise sales; aircraft catering; aircraft internal products such as cloth laundry washing and hospitality industry general business; in, out, and transit air cargo warehousing services; and aircraft airframe maintenance. The company was founded on September 07, 1959 and is headquartered in Taoyuan, Taiwan.&lt;/D&gt;&lt;/FQL&gt;&lt;FQL&gt;&lt;Q&gt;2610-TW^HOMEPAGE&lt;/Q&gt;&lt;R&gt;1&lt;/R&gt;&lt;C&gt;1&lt;/C&gt;&lt;D xsi:type="xsd:string"&gt;http://china-airlines.com&lt;/D&gt;&lt;/FQL&gt;&lt;FQL&gt;&lt;Q&gt;2610-TW^FG_EXCHANGE&lt;/Q&gt;&lt;R&gt;1&lt;/R&gt;&lt;C&gt;1&lt;/C&gt;&lt;D xsi:type="xsd:string"&gt;Taiwan&lt;/D&gt;&lt;/FQL&gt;&lt;FQL&gt;&lt;Q&gt;2610-TW^FF_CO_NAME&lt;/Q&gt;&lt;R&gt;1&lt;/R&gt;&lt;C&gt;1&lt;/C&gt;&lt;D xsi:type="xsd:string"&gt;China Airlines Ltd.&lt;/D&gt;&lt;/FQL&gt;&lt;FQL&gt;&lt;Q&gt;2610-TW^FF_ADDRESS&lt;/Q&gt;&lt;R&gt;1&lt;/R&gt;&lt;C&gt;1&lt;/C&gt;&lt;D xsi:type="xsd:string"&gt;Dayuan District&lt;/D&gt;&lt;/FQL&gt;&lt;FQL&gt;&lt;Q&gt;2610-TW^FF_ADDRESS2&lt;/Q&gt;&lt;R&gt;1&lt;/R&gt;&lt;C&gt;1&lt;/C&gt;&lt;D xsi:type="xsd:string"&gt;No. 1 Hangzhan South Road&lt;/D&gt;&lt;/FQL&gt;&lt;FQL&gt;&lt;Q&gt;2610-TW^FF_CITY&lt;/Q&gt;&lt;R&gt;1&lt;/R&gt;&lt;C&gt;1&lt;/C&gt;&lt;D xsi:type="xsd:string"&gt;Taoyuan&lt;/D&gt;&lt;/FQL&gt;&lt;FQL&gt;&lt;Q&gt;2610-TW^FF_POSTAL&lt;/Q&gt;&lt;R&gt;1&lt;/R&gt;&lt;C&gt;1&lt;/C&gt;&lt;D xsi:type="xsd:string"&gt;337 58&lt;/D&gt;&lt;/FQL&gt;&lt;FQL&gt;&lt;Q&gt;2610-TW^FF_STATE_PROVINCE&lt;/Q&gt;&lt;R&gt;1&lt;/R&gt;&lt;C&gt;1&lt;/C&gt;&lt;D xsi:type="xsd:string"&gt;Taipei City&lt;/D&gt;&lt;/FQL&gt;&lt;FQL&gt;&lt;Q&gt;2610-TW^FF_COUNTRY&lt;/Q&gt;&lt;R&gt;1&lt;/R&gt;&lt;C&gt;1&lt;/C&gt;&lt;D xsi:type="xsd:string"&gt;TAIWAN&lt;/D&gt;&lt;/FQL&gt;&lt;FQL&gt;&lt;Q&gt;2610-TW^FF_SALES(ANN_R,0)&lt;/Q&gt;&lt;R&gt;1&lt;/R&gt;&lt;C&gt;1&lt;/C&gt;&lt;D xsi:type="xsd:double"&gt;115250.55&lt;/D&gt;&lt;/FQL&gt;&lt;FQL&gt;&lt;Q&gt;2610-TW^FF_PBK(ANN_R,0)&lt;/Q&gt;&lt;R&gt;1&lt;/R&gt;&lt;C&gt;1&lt;/C&gt;&lt;D xsi:type="xsd:double"&gt;1.13444116298577&lt;/D&gt;&lt;/FQL&gt;&lt;FQL&gt;&lt;Q&gt;2610-TW^FF_ROE(ANN_R,0)&lt;/Q&gt;&lt;R&gt;1&lt;/R&gt;&lt;C&gt;1&lt;/C&gt;&lt;D xsi:type="xsd:double"&gt;0.245370268335611&lt;/D&gt;&lt;/FQL&gt;&lt;FQL&gt;&lt;Q&gt;2610-TW^FF_PE(ANN_R,0)&lt;/Q&gt;&lt;R&gt;1&lt;/R&gt;&lt;C&gt;1&lt;/C&gt;&lt;D xsi:type="xsd:double"&gt;467.054263565892&lt;/D&gt;&lt;/FQL&gt;&lt;FQL&gt;&lt;Q&gt;ELAL-IL^FF_PBK(ANN_R,0)&lt;/Q&gt;&lt;R&gt;0&lt;/R&gt;&lt;C&gt;0&lt;/C&gt;&lt;/FQL&gt;&lt;FQL&gt;&lt;Q&gt;ELAL-IL^FF_ROE(ANN_R,0)&lt;/Q&gt;&lt;R&gt;0&lt;/R&gt;&lt;C&gt;0&lt;/C&gt;&lt;/FQL&gt;&lt;FQL&gt;&lt;Q&gt;ELAL-IL^FF_PE(ANN_R,0)&lt;/Q&gt;&lt;R&gt;0&lt;/R&gt;&lt;C&gt;0&lt;/C&gt;&lt;/FQL&gt;&lt;FQL&gt;&lt;Q&gt;1055-HK^FF_PBK(ANN_R,0)&lt;/Q&gt;&lt;R&gt;1&lt;/R&gt;&lt;C&gt;1&lt;/C&gt;&lt;D xsi:type="xsd:double"&gt;0.724018060368454&lt;/D&gt;&lt;/FQL&gt;&lt;FQL&gt;&lt;Q&gt;1055-HK^FF_ROE(ANN_R,0)&lt;/Q&gt;&lt;R&gt;1&lt;/R&gt;&lt;C&gt;1&lt;/C&gt;&lt;D xsi:type="xsd:double"&gt;-15.8078994468866&lt;/D&gt;&lt;/FQL&gt;&lt;FQL&gt;&lt;Q&gt;1055-HK^FF_PE(ANN_R,0)&lt;/Q&gt;&lt;R&gt;0&lt;/R&gt;&lt;C&gt;0&lt;/C&gt;&lt;/FQL&gt;&lt;FQL&gt;&lt;Q&gt;PFAVH-CO^FF_PBK(ANN_R,0)&lt;/Q&gt;&lt;R&gt;0&lt;/R&gt;&lt;C&gt;0&lt;/C&gt;&lt;/FQL&gt;&lt;FQL&gt;&lt;Q&gt;PFAVH-CO^FF_ROE(ANN_R,0)&lt;/Q&gt;&lt;R&gt;0&lt;/R&gt;&lt;C&gt;0&lt;/C&gt;&lt;/FQL&gt;&lt;FQL&gt;&lt;Q&gt;PFAVH-CO^FF_PE(ANN_R,0)&lt;/Q&gt;&lt;R&gt;0&lt;/R&gt;&lt;C&gt;0&lt;/C&gt;&lt;/FQL&gt;&lt;FQL&gt;&lt;Q&gt;QAN-AU^FF_PBK(ANN_R,0)&lt;/Q&gt;&lt;R&gt;1&lt;/R&gt;&lt;C&gt;1&lt;/C&gt;&lt;D xsi:type="xsd:double"&gt;17.1040557900532&lt;/D&gt;&lt;/FQL&gt;&lt;FQL&gt;&lt;Q&gt;QAN-AU^FF_ROE(ANN_R,0)&lt;/Q&gt;&lt;R&gt;1&lt;/R&gt;&lt;C&gt;1&lt;/C&gt;&lt;D xsi:type="xsd:double"&gt;-169.744597249509&lt;/D&gt;&lt;/FQL&gt;&lt;FQL&gt;&lt;Q&gt;QAN-AU^FF_PE(ANN_R,0)&lt;/Q&gt;&lt;R&gt;0&lt;/R&gt;&lt;C&gt;0&lt;/C&gt;&lt;/FQL&gt;&lt;FQL&gt;&lt;Q&gt;MESA-US^FF_PBK(ANN_R,0)&lt;/Q&gt;&lt;R&gt;1&lt;/R&gt;&lt;C&gt;1&lt;/C&gt;&lt;D xsi:type="xsd:double"&gt;0.228901134884067&lt;/D&gt;&lt;/FQL&gt;&lt;FQL&gt;&lt;Q&gt;MESA-US^FF_ROE(ANN_R,0)&lt;/Q&gt;&lt;R&gt;1&lt;/R&gt;&lt;C&gt;1&lt;/C&gt;&lt;D xsi:type="xsd:double"&gt;6.21549415147438&lt;/D&gt;&lt;/FQL&gt;&lt;FQL&gt;&lt;Q&gt;MESA-US^FF_PE(ANN_R,0)&lt;/Q&gt;&lt;R&gt;1&lt;/R&gt;&lt;C&gt;1&lt;/C&gt;&lt;D xsi:type="xsd:double"&gt;3.79274877860633&lt;/D&gt;&lt;/FQL&gt;&lt;FQL&gt;&lt;Q&gt;VOLARA-MX^FF_PBK(ANN_R,0)&lt;/Q&gt;&lt;R&gt;1&lt;/R&gt;&lt;C&gt;1&lt;/C&gt;&lt;D xsi:type="xsd:double"&gt;10.1602172325816&lt;/D&gt;&lt;/FQL&gt;&lt;FQL&gt;&lt;Q&gt;VOLARA-MX^FF_ROE(ANN_R,0)&lt;/Q&gt;&lt;R&gt;1&lt;/R&gt;&lt;C&gt;1&lt;/C&gt;&lt;D xsi:type="xsd:double"&gt;-103.143383969095&lt;/D&gt;&lt;/FQL&gt;&lt;FQL&gt;&lt;Q&gt;VOLARA-MX^FF_PE(ANN_R,0)&lt;/Q&gt;&lt;R&gt;0&lt;/R&gt;&lt;C&gt;0&lt;/C&gt;&lt;/FQL&gt;&lt;FQL&gt;&lt;Q&gt;AEROMEX-MX^FF_PBK(ANN_R,0)&lt;/Q&gt;&lt;R&gt;0&lt;/R&gt;&lt;C&gt;0&lt;/C&gt;&lt;/FQL&gt;&lt;FQL&gt;&lt;Q&gt;AEROMEX-MX^FF_ROE(ANN_R,0)&lt;/Q&gt;&lt;R&gt;0&lt;/R&gt;&lt;C&gt;0&lt;/C&gt;&lt;/FQL&gt;&lt;FQL&gt;&lt;Q&gt;AEROMEX-MX^FF_PE(ANN_R,0)&lt;/Q&gt;&lt;R&gt;0&lt;/R&gt;&lt;C&gt;0&lt;/C&gt;&lt;/FQL&gt;&lt;FQL&gt;&lt;Q&gt;HA-US^FF_PBK(ANN_R,0)&lt;/Q&gt;&lt;R&gt;1&lt;/R&gt;&lt;C&gt;1&lt;/C&gt;&lt;D xsi:type="xsd:double"&gt;1.41990872473746&lt;/D&gt;&lt;/FQL&gt;&lt;FQL&gt;&lt;Q&gt;HA-US^FF_ROE(ANN_R,0)&lt;/Q&gt;&lt;R&gt;1&lt;/R&gt;&lt;C&gt;1&lt;/C&gt;&lt;D xsi:type="xsd:double"&gt;-60.7549675882739&lt;/D&gt;&lt;/FQL&gt;&lt;FQL&gt;&lt;Q&gt;HA-US^FF_PE(ANN_R,0)&lt;/Q&gt;&lt;R&gt;0&lt;/R&gt;&lt;C&gt;0&lt;/C&gt;&lt;/FQL&gt;&lt;FQL&gt;&lt;Q&gt;LTM-CL^FF_PBK(ANN_R,0)&lt;/Q&gt;&lt;R&gt;0&lt;/R&gt;&lt;C&gt;0&lt;/C&gt;&lt;/FQL&gt;&lt;FQL&gt;&lt;Q&gt;LTM-CL^FF_ROE(ANN_R,0)&lt;/Q&gt;&lt;R&gt;1&lt;/R&gt;&lt;C&gt;1&lt;/C&gt;&lt;D xsi:type="xsd:double"&gt;-1154.11078303383&lt;/D&gt;&lt;/FQL&gt;&lt;FQL&gt;&lt;Q&gt;LTM-CL^FF_PE(ANN_R,0)&lt;/Q&gt;&lt;R&gt;0&lt;/R&gt;&lt;C&gt;0&lt;/C&gt;&lt;/FQL&gt;&lt;FQL&gt;&lt;Q&gt;LTM-CL^FF_EMP_NUM(ANN,0)&lt;/Q&gt;&lt;R&gt;1&lt;/R&gt;&lt;C&gt;1&lt;/C&gt;&lt;D xsi:type="xsd:double"&gt;29115&lt;/D&gt;&lt;/FQL&gt;&lt;FQL&gt;&lt;Q&gt;LTM-CL^OS_TOP_HLDR_ULTPRNT(1,0D,,MTD,,F,SEC)[0]&lt;/Q&gt;&lt;R&gt;1&lt;/R&gt;&lt;C&gt;1&lt;/C&gt;&lt;D xsi:type="xsd:string"&gt;The Vanguard Group, Inc.&lt;/D&gt;&lt;/FQL&gt;&lt;FQL&gt;&lt;Q&gt;LTM-CL^FF_BUS_DESC_EXT&lt;/Q&gt;&lt;R&gt;1&lt;/R&gt;&lt;C&gt;1&lt;/C&gt;&lt;D xsi:type="xsd:string"&gt;LATAM Airlines Group SA is holding company, which engages in the provision of passenger air transportation and cargo services. The Air Transportation segment corresponds to the route network for air transport. The Multiplus Coalition and Loyalty Program segment offers a coalition system, interrelated among its members, along with being a government entity with a separately business and not directly related to air transport. The company was founded in 1929 and is headquartered in Las Condes, Chile.&lt;/D&gt;&lt;/FQL&gt;&lt;FQL&gt;&lt;Q&gt;LTM-CL^HOMEPAGE&lt;/Q&gt;&lt;R&gt;1&lt;/R&gt;&lt;C&gt;1&lt;/C&gt;&lt;D xsi:type="xsd:string"&gt;http://www.latamairlinesgroup.net&lt;/D&gt;&lt;/FQL&gt;&lt;FQL&gt;&lt;Q&gt;LTM-CL^FG_EXCHANGE&lt;/Q&gt;&lt;R&gt;1&lt;/R&gt;&lt;C&gt;1&lt;/C&gt;&lt;D xsi:type="xsd:string"&gt;Santiago&lt;/D&gt;&lt;/FQL&gt;&lt;FQL&gt;&lt;Q&gt;SKYW-US^FF_EMP_NUM(ANN,0)&lt;/Q&gt;&lt;R&gt;1&lt;/R&gt;&lt;C&gt;1&lt;/C&gt;&lt;D xsi:type="xsd:double"&gt;12502&lt;/D&gt;&lt;/FQL&gt;&lt;FQL&gt;&lt;Q&gt;SKYW-US^OS_TOP_HLDR_ULTPRNT(1,0D,,MTD,,F,SEC)[0]&lt;/Q&gt;&lt;R&gt;1&lt;/R&gt;&lt;C&gt;1&lt;/C&gt;&lt;D xsi:type="xsd:string"&gt;BlackRock, Inc.&lt;/D&gt;&lt;/FQL&gt;&lt;FQL&gt;&lt;Q&gt;SKYW-US^FF_BUS_DESC_EXT&lt;/Q&gt;&lt;R&gt;1&lt;/R&gt;&lt;C&gt;1&lt;/C&gt;&lt;D xsi:type="xsd:string"&gt;Sky West, Inc. is a holding company, which engages in the provision of scheduled passenger services in the United States of America, Canada, Mexico and the Caribbean. It operates through the following three segments: SkyWest Airlines and SkyWest Leasing. The SkyWest Airlines segment provides as well as Mexico and Canada. The SkyWest Leasing segment includes revenue attributed from ownership cost earned under the applicable cost and fixed-fee flying contracts. The company was founded in 1972 and is headquartered in St. George, UT.&lt;/D&gt;&lt;/FQL&gt;&lt;FQL&gt;&lt;Q&gt;SKYW-US^HOMEPAGE&lt;/Q&gt;&lt;R&gt;1&lt;/R&gt;&lt;C&gt;1&lt;/C&gt;&lt;D xsi:type="xsd:string"&gt;http://www.skywest.com&lt;/D&gt;&lt;/FQL&gt;&lt;FQL&gt;&lt;Q&gt;SKYW-US^FG_EXCHANGE&lt;/Q&gt;&lt;R&gt;1&lt;/R&gt;&lt;C&gt;1&lt;/C&gt;&lt;D xsi:type="xsd:string"&gt;NASDAQ&lt;/D&gt;&lt;/FQL&gt;&lt;FQL&gt;&lt;Q&gt;AC-CA^FF_EMP_NUM(ANN,0)&lt;/Q&gt;&lt;R&gt;0&lt;/R&gt;&lt;C&gt;0&lt;/C&gt;&lt;/FQL&gt;&lt;FQL&gt;&lt;Q&gt;AC-CA^OS_TOP_HLDR_ULTPRNT(1,0D,,MTD,,F,SEC)[0]&lt;/Q&gt;&lt;R&gt;1&lt;/R&gt;&lt;C&gt;1&lt;/C&gt;&lt;D xsi:type="xsd:string"&gt;FMR LLC&lt;/D&gt;&lt;/FQL&gt;&lt;FQL&gt;&lt;Q&gt;AC-CA^FF_BUS_DESC_EXT&lt;/Q&gt;&lt;R&gt;1&lt;/R&gt;&lt;C&gt;1&lt;/C&gt;&lt;D xsi:type="xsd:string"&gt;Air Canada provides airline transportation services. It engages in full-service airline, scheduled passenger and cargo services, serving more than two hundred airports on six continents. It operates through the following geographical segments: Canada, U.S. Transborder, Atlantic, Pacific, and Other. The company was founded on April 11, 1936 and is headquartered in Saint-Laurent, Canada.&lt;/D&gt;&lt;/FQL&gt;&lt;FQL&gt;&lt;Q&gt;AC-CA^HOMEPAGE&lt;/Q&gt;&lt;R&gt;1&lt;/R&gt;&lt;C&gt;1&lt;/C&gt;&lt;D xsi:type="xsd:string"&gt;http://aircanada.com&lt;/D&gt;&lt;/FQL&gt;&lt;FQL&gt;&lt;Q&gt;AC-CA^FG_EXCHANGE&lt;/Q&gt;&lt;R&gt;1&lt;/R&gt;&lt;C&gt;1&lt;/C&gt;&lt;D xsi:type="xsd:string"&gt;Toronto&lt;/D&gt;&lt;/FQL&gt;&lt;FQL&gt;&lt;Q&gt;CHR-CA^FF_EMP_NUM(ANN,0)&lt;/Q&gt;&lt;R&gt;1&lt;/R&gt;&lt;C&gt;1&lt;/C&gt;&lt;D xsi:type="xsd:double"&gt;2875&lt;/D&gt;&lt;/FQL&gt;&lt;FQL&gt;&lt;Q&gt;CHR-CA^OS_TOP_HLDR_ULTPRNT(1,0D,,MTD,,F,SEC)[0]&lt;/Q&gt;&lt;R&gt;1&lt;/R&gt;&lt;C&gt;1&lt;/C&gt;&lt;D xsi:type="xsd:string"&gt;Connor, Clark &amp;amp; Lunn Financial Group Ltd.&lt;/D&gt;&lt;/FQL&gt;&lt;FQL&gt;&lt;Q&gt;CHR-CA^FF_BUS_DESC_EXT&lt;/Q&gt;&lt;R&gt;1&lt;/R&gt;&lt;C&gt;1&lt;/C&gt;&lt;D xsi:type="xsd:string"&gt;Chorus Aviation, Inc. is a holding company, which engages in the provision of aviation services. It operates through the Regional Aviation Services and Regional Aircraft Leasing segments. The Regional Aviation Services segment includes contract flying operations; aircraft leasing under the capacity purchase agreement; and maintenance, repair, overhaul, part sales, and technical services. The Regional Aircraft Leasing segment provides aircraft leasing to third-party air operators through its subsidiary Chorus Aviation Capital. The company was founded on November 25, 2005 and is headquartered in Dartmouth, Canada.&lt;/D&gt;&lt;/FQL&gt;&lt;FQL&gt;&lt;Q&gt;CHR-CA^HOMEPAGE&lt;/Q&gt;&lt;R&gt;1&lt;/R&gt;&lt;C&gt;1&lt;/C&gt;&lt;D xsi:type="xsd:string"&gt;http://www.chorusaviation.com&lt;/D&gt;&lt;/FQL&gt;&lt;FQL&gt;&lt;Q&gt;CHR-CA^FG_EXCHANGE&lt;/Q&gt;&lt;R&gt;1&lt;/R&gt;&lt;C&gt;1&lt;/C&gt;&lt;D xsi:type="xsd:string"&gt;Toronto&lt;/D&gt;&lt;/FQL&gt;&lt;FQL&gt;&lt;Q&gt;LTM-CL^FF_CO_NAME&lt;/Q&gt;&lt;R&gt;1&lt;/R&gt;&lt;C&gt;1&lt;/C&gt;&lt;D xsi:type="xsd:string"&gt;LATAM Airlines Group SA&lt;/D&gt;&lt;/FQL&gt;&lt;FQL&gt;&lt;Q&gt;LTM-CL^FF_ADDRESS&lt;/Q&gt;&lt;R&gt;1&lt;/R&gt;&lt;C&gt;1&lt;/C&gt;&lt;D xsi:type="xsd:string"&gt;20th Floor&lt;/D&gt;&lt;/FQL&gt;&lt;FQL&gt;&lt;Q&gt;LTM-CL^FF_ADDRESS2&lt;/Q&gt;&lt;R&gt;1&lt;/R&gt;&lt;C&gt;1&lt;/C&gt;&lt;D xsi:type="xsd:string"&gt;Avenida Presidente Riesco 5711&lt;/D&gt;&lt;/FQL&gt;&lt;FQL&gt;&lt;Q&gt;LTM-CL^FF_CITY&lt;/Q&gt;&lt;R&gt;1&lt;/R&gt;&lt;C&gt;1&lt;/C&gt;&lt;D xsi:type="xsd:string"&gt;Las Condes&lt;/D&gt;&lt;/FQL&gt;&lt;FQL&gt;&lt;Q&gt;LTM-CL^FF_POSTAL&lt;/Q&gt;&lt;R&gt;1&lt;/R&gt;&lt;C&gt;1&lt;/C&gt;&lt;D xsi:type="xsd:string"&gt;7550000&lt;/D&gt;&lt;/FQL&gt;&lt;FQL&gt;&lt;Q&gt;LTM-CL^FF_STATE_PROVINCE&lt;/Q&gt;&lt;R&gt;1&lt;/R&gt;&lt;C&gt;1&lt;/C&gt;&lt;D xsi:type="xsd:string"&gt;Santiago (Metropolitana)&lt;/D&gt;&lt;/FQL&gt;&lt;FQL&gt;&lt;Q&gt;LTM-CL^FF_COUNTRY&lt;/Q&gt;&lt;R&gt;1&lt;/R&gt;&lt;C&gt;1&lt;/C&gt;&lt;D xsi:type="xsd:string"&gt;CHILE&lt;/D&gt;&lt;/FQL&gt;&lt;FQL&gt;&lt;Q&gt;LTM-CL^FF_SALES(ANN_R,0)&lt;/Q&gt;&lt;R&gt;1&lt;/R&gt;&lt;C&gt;1&lt;/C&gt;&lt;D xsi:type="xsd:double"&gt;3106055.84591991&lt;/D&gt;&lt;/FQL&gt;&lt;FQL&gt;&lt;Q&gt;PAL-PH^FF_EMP_NUM(ANN,0)&lt;/Q&gt;&lt;R&gt;1&lt;/R&gt;&lt;C&gt;1&lt;/C&gt;&lt;D xsi:type="xsd:double"&gt;6238&lt;/D&gt;&lt;/FQL&gt;&lt;FQL&gt;&lt;Q&gt;PAL-PH^OS_TOP_HLDR_ULTPRNT(1,0D,,MTD,,F,SEC)[0]&lt;/Q&gt;&lt;R&gt;0&lt;/R&gt;&lt;C&gt;0&lt;/C&gt;&lt;/FQL&gt;&lt;FQL&gt;&lt;Q&gt;PAL-PH^FF_BUS_DESC_EXT&lt;/Q&gt;&lt;R&gt;1&lt;/R&gt;&lt;C&gt;1&lt;/C&gt;&lt;D xsi:type="xsd:string"&gt;PAL Holdings, Inc. engages in the provision of airline business services. Its services include group booking, charter, transfer, corporate sales, general sales agent, travel insurance, and cargo. The company was founded on May 10, 1930 and is headquartered in Pasay City, Philippines.&lt;/D&gt;&lt;/FQL&gt;&lt;FQL&gt;&lt;Q&gt;PAL-PH^HOMEPAGE&lt;/Q&gt;&lt;R&gt;1&lt;/R&gt;&lt;C&gt;1&lt;/C&gt;&lt;D xsi:type="xsd:string"&gt;http://www.philippineairlines.com&lt;/D&gt;&lt;/FQL&gt;&lt;FQL&gt;&lt;Q&gt;PAL-PH^FG_EXCHANGE&lt;/Q&gt;&lt;R&gt;1&lt;/R&gt;&lt;C&gt;1&lt;/C&gt;&lt;D xsi:type="xsd:string"&gt;Philippines&lt;/D&gt;&lt;/FQL&gt;&lt;FQL&gt;&lt;Q&gt;TRZ-CA^FF_EMP_NUM(ANN,0)&lt;/Q&gt;&lt;R&gt;1&lt;/R&gt;&lt;C&gt;1&lt;/C&gt;&lt;D xsi:type="xsd:double"&gt;1785&lt;/D&gt;&lt;/FQL&gt;&lt;FQL&gt;&lt;Q&gt;TRZ-CA^OS_TOP_HLDR_ULTPRNT(1,0D,,MTD,,F,SEC)[0]&lt;/Q&gt;&lt;R&gt;1&lt;/R&gt;&lt;C&gt;1&lt;/C&gt;&lt;D xsi:type="xsd:string"&gt;Letko, Brosseau &amp;amp; Associates Inc.&lt;/D&gt;&lt;/FQL&gt;&lt;FQL&gt;&lt;Q&gt;TRZ-CA^FF_BUS_DESC_EXT&lt;/Q&gt;&lt;R&gt;1&lt;/R&gt;&lt;C&gt;1&lt;/C&gt;&lt;D xsi:type="xsd:string"&gt;Transat A.T., Inc. develops and markets holiday travel services in packages, including air travel and hotel stays, and air-only formats. The firm operates through Holiday Travel segment, which develops and markets holiday travel services in packages, including air travel and hotel stays, and air-only formats. It operates under the Transat and Air Transat brands. The company was founded by Jean-Marc Eustache, Lina De Cesare and Philippe Sureau on February 13, 1987 and is headquartered in Montreal, Canada.&lt;/D&gt;&lt;/FQL&gt;&lt;FQL&gt;&lt;Q&gt;TRZ-CA^HOMEPAGE&lt;/Q&gt;&lt;R&gt;1&lt;/R&gt;&lt;C&gt;1&lt;/C&gt;&lt;D xsi:type="xsd:string"&gt;http://www.transat.com&lt;/D&gt;&lt;/FQL&gt;&lt;FQL&gt;&lt;Q&gt;TRZ-CA^FG_EXCHANGE&lt;/Q&gt;&lt;R&gt;1&lt;/R&gt;&lt;C&gt;1&lt;/C&gt;&lt;D xsi:type="xsd:string"&gt;Toronto&lt;/D&gt;&lt;/FQL&gt;&lt;FQL&gt;&lt;Q&gt;LUV-US^FF_EMP_NUM(ANN,0)&lt;/Q&gt;&lt;R&gt;1&lt;/R&gt;&lt;C&gt;1&lt;/C&gt;&lt;D xsi:type="xsd:double"&gt;56500&lt;/D&gt;&lt;/FQL&gt;&lt;FQL&gt;&lt;Q&gt;LUV-US^OS_TOP_HLDR_ULTPRNT(1,0D,,MTD,,F,SEC)[0]&lt;/Q&gt;&lt;R&gt;1&lt;/R&gt;&lt;C&gt;1&lt;/C&gt;&lt;D xsi:type="xsd:string"&gt;PRIMECAP Management Co.&lt;/D&gt;&lt;/FQL&gt;&lt;FQL&gt;&lt;Q&gt;LUV-US^FF_BUS_DESC_EXT&lt;/Q&gt;&lt;R&gt;1&lt;/R&gt;&lt;C&gt;1&lt;/C&gt;&lt;D xsi:type="xsd:string"&gt;Southwest Airlines Co. engages in the management of a passenger airline. It offers ancillary services such as earlybird check-in, upgraded boarding, and transportation of pets and unaccompanied minors. The firm operates in U.S. states, District of Columbia, the Commonwealth of Puerto Rico, Mexico, Jamaica, The Bahamas, Aruba, Dominican Republic, Costa Rica, Belize, Cuba, the Cayman Islands, and Turks and Caicos. The company was founded by Rollin W. King and Herbert D. Kelleher on March 15, 1967 and is headquartered in Dallas, TX.&lt;/D&gt;&lt;/FQL&gt;&lt;FQL&gt;&lt;Q&gt;LUV-US^HOMEPAGE&lt;/Q&gt;&lt;R&gt;1&lt;/R&gt;&lt;C&gt;1&lt;/C&gt;&lt;D xsi:type="xsd:string"&gt;http://www.southwest.com&lt;/D&gt;&lt;/FQL&gt;&lt;FQL&gt;&lt;Q&gt;LUV-US^FG_EXCHANGE&lt;/Q&gt;&lt;R&gt;1&lt;/R&gt;&lt;C&gt;1&lt;/C&gt;&lt;D xsi:type="xsd:string"&gt;NYSE&lt;/D&gt;&lt;/FQL&gt;&lt;FQL&gt;&lt;Q&gt;PAL-PH^FF_CO_NAME&lt;/Q&gt;&lt;R&gt;1&lt;/R&gt;&lt;C&gt;1&lt;/C&gt;&lt;D xsi:type="xsd:string"&gt;PAL Holdings, Inc.&lt;/D&gt;&lt;/FQL&gt;&lt;FQL&gt;&lt;Q&gt;PAL-PH^FF_ADDRESS&lt;/Q&gt;&lt;R&gt;1&lt;/R&gt;&lt;C&gt;1&lt;/C&gt;&lt;D xsi:type="xsd:string"&gt;President Diosdado Macapagal Avenue&lt;/D&gt;&lt;/FQL&gt;&lt;FQL&gt;&lt;Q&gt;PAL-PH^FF_ADDRESS2&lt;/Q&gt;&lt;R&gt;1&lt;/R&gt;&lt;C&gt;1&lt;/C&gt;&lt;D xsi:type="xsd:string"&gt;PNB Financial Center, CCP Complex&lt;/D&gt;&lt;/FQL&gt;&lt;FQL&gt;&lt;Q&gt;PAL-PH^FF_CITY&lt;/Q&gt;&lt;R&gt;1&lt;/R&gt;&lt;C&gt;1&lt;/C&gt;&lt;D xsi:type="xsd:string"&gt;Pasay City&lt;/D&gt;&lt;/FQL&gt;&lt;FQL&gt;&lt;Q&gt;PAL-PH^FF_POSTAL&lt;/Q&gt;&lt;R&gt;1&lt;/R&gt;&lt;C&gt;1&lt;/C&gt;&lt;D xsi:type="xsd:string"&gt;1307&lt;/D&gt;&lt;/FQL&gt;&lt;FQL&gt;&lt;Q&gt;PAL-PH^FF_STATE_PROVINCE&lt;/Q&gt;&lt;R&gt;1&lt;/R&gt;&lt;C&gt;1&lt;/C&gt;&lt;D xsi:type="xsd:string"&gt;Metropolitan Manila&lt;/D&gt;&lt;/FQL&gt;&lt;FQL&gt;&lt;Q&gt;PAL-PH^FF_COUNTRY&lt;/Q&gt;&lt;R&gt;1&lt;/R&gt;&lt;C&gt;1&lt;/C&gt;&lt;D xsi:type="xsd:string"&gt;PHILIPPINES&lt;/D&gt;&lt;/FQL&gt;&lt;FQL&gt;&lt;Q&gt;PAL-PH^FF_SALES(ANN_R,0)&lt;/Q&gt;&lt;R&gt;1&lt;/R&gt;&lt;C&gt;1&lt;/C&gt;&lt;D xsi:type="xsd:double"&gt;55263.966&lt;/D&gt;&lt;/FQL&gt;&lt;FQL&gt;&lt;Q&gt;TRZ-CA^FF_CO_NAME&lt;/Q&gt;&lt;R&gt;1&lt;/R&gt;&lt;C&gt;1&lt;/C&gt;&lt;D xsi:type="xsd:string"&gt;Transat A.T., Inc.&lt;/D&gt;&lt;/FQL&gt;&lt;FQL&gt;&lt;Q&gt;TRZ-CA^FF_ADDRESS&lt;/Q&gt;&lt;R&gt;1&lt;/R&gt;&lt;C&gt;1&lt;/C&gt;&lt;D xsi:type="xsd:string"&gt;300 Léo-Pariseau Street&lt;/D&gt;&lt;/FQL&gt;&lt;FQL&gt;&lt;Q&gt;TRZ-CA^FF_ADDRESS2&lt;/Q&gt;&lt;R&gt;1&lt;/R&gt;&lt;C&gt;1&lt;/C&gt;&lt;D xsi:type="xsd:string"&gt;Place du Parc&lt;/D&gt;&lt;/FQL&gt;&lt;FQL&gt;&lt;Q&gt;TRZ-CA^FF_CITY&lt;/Q&gt;&lt;R&gt;1&lt;/R&gt;&lt;C&gt;1&lt;/C&gt;&lt;D xsi:type="xsd:string"&gt;Montréal&lt;/D&gt;&lt;/FQL&gt;&lt;FQL&gt;&lt;Q&gt;TRZ-CA^FF_POSTAL&lt;/Q&gt;&lt;R&gt;1&lt;/R&gt;&lt;C&gt;1&lt;/C&gt;&lt;D xsi:type="xsd:string"&gt;H2X 4C2&lt;/D&gt;&lt;/FQL&gt;&lt;FQL&gt;&lt;Q&gt;TRZ-CA^FF_STATE_PROVINCE&lt;/Q&gt;&lt;R&gt;1&lt;/R&gt;&lt;C&gt;1&lt;/C&gt;&lt;D xsi:type="xsd:string"&gt;Québec&lt;/D&gt;&lt;/FQL&gt;&lt;FQL&gt;&lt;Q&gt;TRZ-CA^FF_COUNTRY&lt;/Q&gt;&lt;R&gt;1&lt;/R&gt;&lt;C&gt;1&lt;/C&gt;&lt;D xsi:type="xsd:string"&gt;CANADA&lt;/D&gt;&lt;/FQL&gt;&lt;FQL&gt;&lt;Q&gt;TRZ-CA^FF_SALES(ANN_R,0)&lt;/Q&gt;&lt;R&gt;1&lt;/R&gt;&lt;C&gt;1&lt;/C&gt;&lt;D xsi:type="xsd:double"&gt;1302.069&lt;/D&gt;&lt;/FQL&gt;&lt;FQL&gt;&lt;Q&gt;SKYW-US^FE_ESTIMATE(SALES,MEDIAN,ANN_ROLL,+5,NOW,,,'')&lt;/Q&gt;&lt;R&gt;0&lt;/R&gt;&lt;C&gt;0&lt;/C&gt;&lt;/FQL&gt;&lt;FQL&gt;&lt;Q&gt;SKYW-US^FF_EBIT_OPER(ANN_R,NOW)&lt;/Q&gt;&lt;R&gt;1&lt;/R&gt;&lt;C&gt;1&lt;/C&gt;&lt;D xsi:type="xsd:double"&gt;-236.689&lt;/D&gt;&lt;/FQL&gt;&lt;FQL&gt;&lt;Q&gt;SKYW-US^FE_ESTIMATE(EBIT,MEDIAN,ANN_ROLL,+5,NOW,,,'')&lt;/Q&gt;&lt;R&gt;0&lt;/R&gt;&lt;C&gt;0&lt;/C&gt;&lt;/FQL&gt;&lt;FQL&gt;&lt;Q&gt;SKYW-US^FF_DEP_AMORT_EXP(ANN_R,0)&lt;/Q&gt;&lt;R&gt;1&lt;/R&gt;&lt;C&gt;1&lt;/C&gt;&lt;D xsi:type="xsd:double"&gt;474.959&lt;/D&gt;&lt;/FQL&gt;&lt;FQL&gt;&lt;Q&gt;SKYW-US^FE_ESTIMATE(DEP_AMORT_EXP,MEDIAN,ANN_ROLL,+5,NOW,,,'')&lt;/Q&gt;&lt;R&gt;0&lt;/R&gt;&lt;C&gt;0&lt;/C&gt;&lt;/FQL&gt;&lt;FQL&gt;&lt;Q&gt;SKYW-US^FF_EBITDA_OPER(ANN,NOW)&lt;/Q&gt;&lt;R&gt;1&lt;/R&gt;&lt;C&gt;1&lt;/C&gt;&lt;D xsi:type="xsd:double"&gt;238.27&lt;/D&gt;&lt;/FQL&gt;&lt;FQL&gt;&lt;Q&gt;SKYW-US^FE_ESTIMATE(EBITDA,MEDIAN,ANN_ROLL,+5,NOW,,,'')&lt;/Q&gt;&lt;R&gt;0&lt;/R&gt;&lt;C&gt;0&lt;/C&gt;&lt;/FQL&gt;&lt;FQL&gt;&lt;Q&gt;SKYW-US^FF_EPS(ANN_R,NOW)&lt;/Q&gt;&lt;R&gt;1&lt;/R&gt;&lt;C&gt;1&lt;/C&gt;&lt;D xsi:type="xsd:double"&gt;-0.1696&lt;/D&gt;&lt;/FQL&gt;&lt;FQL&gt;&lt;Q&gt;SKYW-US^FE_ESTIMATE(EPS,MEDIAN,ANN_ROLL,+5,NOW,,,'')&lt;/Q&gt;&lt;R&gt;0&lt;/R&gt;&lt;C&gt;0&lt;/C&gt;&lt;/FQL&gt;&lt;FQL&gt;&lt;Q&gt;AC-CA^FE_ESTIMATE(SALES,MEDIAN,ANN_ROLL,+5,NOW,,,'')&lt;/Q&gt;&lt;R&gt;1&lt;/R&gt;&lt;C&gt;1&lt;/C&gt;&lt;D xsi:type="xsd:double"&gt;20662.5&lt;/D&gt;&lt;/FQL&gt;&lt;FQL&gt;&lt;Q&gt;AC-CA^FF_EBIT_OPER(ANN_R,NOW)&lt;/Q&gt;&lt;R&gt;1&lt;/R&gt;&lt;C&gt;1&lt;/C&gt;&lt;D xsi:type="xsd:double"&gt;-3892&lt;/D&gt;&lt;/FQL&gt;&lt;FQL&gt;&lt;Q&gt;AC-CA^FE_ESTIMATE(EBIT,MEDIAN,ANN_ROLL,+5,NOW,,,'')&lt;/Q&gt;&lt;R&gt;1&lt;/R&gt;&lt;C&gt;1&lt;/C&gt;&lt;D xsi:type="xsd:double"&gt;2550&lt;/D&gt;&lt;/FQL&gt;&lt;FQL&gt;&lt;Q&gt;AC-CA^FF_DEP_AMORT_EXP(ANN_R,0)&lt;/Q&gt;&lt;R&gt;1&lt;/R&gt;&lt;C&gt;1&lt;/C&gt;&lt;D xsi:type="xsd:double"&gt;1835&lt;/D&gt;&lt;/FQL&gt;&lt;FQL&gt;&lt;Q&gt;AC-CA^FE_ESTIMATE(DEP_AMORT_EXP,MEDIAN,ANN_ROLL,+5,NOW,,,'')&lt;/Q&gt;&lt;R&gt;1&lt;/R&gt;&lt;C&gt;1&lt;/C&gt;&lt;D xsi:type="xsd:double"&gt;1857&lt;/D&gt;&lt;/FQL&gt;&lt;FQL&gt;&lt;Q&gt;AC-CA^FF_EBITDA_OPER(ANN,NOW)&lt;/Q&gt;&lt;R&gt;1&lt;/R&gt;&lt;C&gt;1&lt;/C&gt;&lt;D xsi:type="xsd:double"&gt;-2057&lt;/D&gt;&lt;/FQL&gt;&lt;FQL&gt;&lt;Q&gt;AC-CA^FE_ESTIMATE(EBITDA,MEDIAN,ANN_ROLL,+5,NOW,,,'')&lt;/Q&gt;&lt;R&gt;1&lt;/R&gt;&lt;C&gt;1&lt;/C&gt;&lt;D xsi:type="xsd:double"&gt;4365.5&lt;/D&gt;&lt;/FQL&gt;&lt;FQL&gt;&lt;Q&gt;AC-CA^FF_EPS(ANN_R,NOW)&lt;/Q&gt;&lt;R&gt;1&lt;/R&gt;&lt;C&gt;1&lt;/C&gt;&lt;D xsi:type="xsd:double"&gt;-16.4787&lt;/D&gt;&lt;/FQL&gt;&lt;FQL&gt;&lt;Q&gt;AC-CA^FE_ESTIMATE(EPS,MEDIAN,ANN_ROLL,+5,NOW,,,'')&lt;/Q&gt;&lt;R&gt;1&lt;/R&gt;&lt;C&gt;1&lt;/C&gt;&lt;D xsi:type="xsd:double"&gt;5.125&lt;/D&gt;&lt;/FQL&gt;&lt;FQL&gt;&lt;Q&gt;SKYW-US^FF_COM_SHS_OUT_EPS_BASIC(ANN_R,0)&lt;/Q&gt;&lt;R&gt;1&lt;/R&gt;&lt;C&gt;1&lt;/C&gt;&lt;D xsi:type="xsd:double"&gt;50.195&lt;/D&gt;&lt;/FQL&gt;&lt;FQL&gt;&lt;Q&gt;AC-CA^FF_COM_SHS_OUT_EPS_BASIC(ANN_R,0)&lt;/Q&gt;&lt;R&gt;1&lt;/R&gt;&lt;C&gt;1&lt;/C&gt;&lt;D xsi:type="xsd:double"&gt;282&lt;/D&gt;&lt;/FQL&gt;&lt;FQL&gt;&lt;Q&gt;SKYW-US^FG_MKT_VALUE(0)&lt;/Q&gt;&lt;R&gt;1&lt;/R&gt;&lt;C&gt;1&lt;/C&gt;&lt;D xsi:type="xsd:double"&gt;2228.303&lt;/D&gt;&lt;/FQL&gt;&lt;FQL&gt;&lt;Q&gt;SKYW-US^FF_ENTRPR_VAL(ANN_R,0)&lt;/Q&gt;&lt;R&gt;1&lt;/R&gt;&lt;C&gt;1&lt;/C&gt;&lt;D xsi:type="xsd:double"&gt;4689.63445&lt;/D&gt;&lt;/FQL&gt;&lt;FQL&gt;&lt;Q&gt;AC-CA^FG_MKT_VALUE(0)&lt;/Q&gt;&lt;R&gt;1&lt;/R&gt;&lt;C&gt;1&lt;/C&gt;&lt;D xsi:type="xsd:double"&gt;8342.275&lt;/D&gt;&lt;/FQL&gt;&lt;FQL&gt;&lt;Q&gt;AC-CA^FF_ENTRPR_VAL(ANN_R,0)&lt;/Q&gt;&lt;R&gt;1&lt;/R&gt;&lt;C&gt;1&lt;/C&gt;&lt;D xsi:type="xsd:double"&gt;11803.14&lt;/D&gt;&lt;/FQL&gt;&lt;FQL&gt;&lt;Q&gt;SKYW-US^FG_COMPANY_NAME&lt;/Q&gt;&lt;R&gt;1&lt;/R&gt;&lt;C&gt;1&lt;/C&gt;&lt;D xsi:type="xsd:string"&gt;SkyWest, Inc&lt;/D&gt;&lt;/FQL&gt;&lt;FQL&gt;&lt;Q&gt;AC-CA^FG_COMPANY_NAME&lt;/Q&gt;&lt;R&gt;1&lt;/R&gt;&lt;C&gt;1&lt;/C&gt;&lt;D xsi:type="xsd:string"&gt;Air Canada&lt;/D&gt;&lt;/FQL&gt;&lt;FQL&gt;&lt;Q&gt;AAL-US^FE_ESTIMATE(SALES,MEDIAN,ANN_ROLL,+5,NOW,,,'')&lt;/Q&gt;&lt;R&gt;0&lt;/R&gt;&lt;C&gt;0&lt;/C&gt;&lt;/FQL&gt;&lt;FQL&gt;&lt;Q&gt;AAL-US^FF_EBIT_OPER(ANN_R,NOW)&lt;/Q&gt;&lt;R&gt;1&lt;/R&gt;&lt;C&gt;1&lt;/C&gt;&lt;D xsi:type="xsd:double"&gt;-11387&lt;/D&gt;&lt;/FQL&gt;&lt;FQL&gt;&lt;Q&gt;AAL-US^FE_ESTIMATE(EBIT,MEDIAN,ANN_ROLL,+5,NOW,,,'')&lt;/Q&gt;&lt;R&gt;0&lt;/R&gt;&lt;C&gt;0&lt;/C&gt;&lt;/FQL&gt;&lt;FQL&gt;&lt;Q&gt;AAL-US^FF_DEP_AMORT_EXP(ANN_R,0)&lt;/Q&gt;&lt;R&gt;1&lt;/R&gt;&lt;C&gt;1&lt;/C&gt;&lt;D xsi:type="xsd:double"&gt;2365&lt;/D&gt;&lt;/FQL&gt;&lt;FQL&gt;&lt;Q&gt;AAL-US^FE_ESTIMATE(DEP_AMORT_EXP,MEDIAN,ANN_ROLL,+5,NOW,,,'')&lt;/Q&gt;&lt;R&gt;0&lt;/R&gt;&lt;C&gt;0&lt;/C&gt;&lt;/FQL&gt;&lt;FQL&gt;&lt;Q&gt;AAL-US^FF_EBITDA_OPER(ANN,NOW)&lt;/Q&gt;&lt;R&gt;1&lt;/R&gt;&lt;C&gt;1&lt;/C&gt;&lt;D xsi:type="xsd:double"&gt;-9022&lt;/D&gt;&lt;/FQL&gt;&lt;FQL&gt;&lt;Q&gt;AAL-US^FE_ESTIMATE(EBITDA,MEDIAN,ANN_ROLL,+5,NOW,,,'')&lt;/Q&gt;&lt;R&gt;0&lt;/R&gt;&lt;C&gt;0&lt;/C&gt;&lt;/FQL&gt;&lt;FQL&gt;&lt;Q&gt;AAL-US^FF_EPS(ANN_R,NOW)&lt;/Q&gt;&lt;R&gt;1&lt;/R&gt;&lt;C&gt;1&lt;/C&gt;&lt;D xsi:type="xsd:double"&gt;-18.3617&lt;/D&gt;&lt;/FQL&gt;&lt;FQL&gt;&lt;Q&gt;AAL-US^FE_ESTIMATE(EPS,MEDIAN,ANN_ROLL,+5,NOW,,,'')&lt;/Q&gt;&lt;R&gt;0&lt;/R&gt;&lt;C&gt;0&lt;/C&gt;&lt;/FQL&gt;&lt;FQL&gt;&lt;Q&gt;ALK-US^FE_ESTIMATE(SALES,MEDIAN,ANN_ROLL,+5,NOW,,,'')&lt;/Q&gt;&lt;R&gt;0&lt;/R&gt;&lt;C&gt;0&lt;/C&gt;&lt;/FQL&gt;&lt;FQL&gt;&lt;Q&gt;ALK-US^FF_EBIT_OPER(ANN_R,NOW)&lt;/Q&gt;&lt;R&gt;1&lt;/R&gt;&lt;C&gt;1&lt;/C&gt;&lt;D xsi:type="xsd:double"&gt;-1691&lt;/D&gt;&lt;/FQL&gt;&lt;FQL&gt;&lt;Q&gt;ALK-US^FE_ESTIMATE(EBIT,MEDIAN,ANN_ROLL,+5,NOW,,,'')&lt;/Q&gt;&lt;R&gt;0&lt;/R&gt;&lt;C&gt;0&lt;/C&gt;&lt;/FQL&gt;&lt;FQL&gt;&lt;Q&gt;ALK-US^FF_DEP_AMORT_EXP(ANN_R,0)&lt;/Q&gt;&lt;R&gt;1&lt;/R&gt;&lt;C&gt;1&lt;/C&gt;&lt;D xsi:type="xsd:double"&gt;420&lt;/D&gt;&lt;/FQL&gt;&lt;FQL&gt;&lt;Q&gt;ALK-US^FE_ESTIMATE(DEP_AMORT_EXP,MEDIAN,ANN_ROLL,+5,NOW,,,'')&lt;/Q&gt;&lt;R&gt;0&lt;/R&gt;&lt;C&gt;0&lt;/C&gt;&lt;/FQL&gt;&lt;FQL&gt;&lt;Q&gt;ALK-US^FF_EBITDA_OPER(ANN,NOW)&lt;/Q&gt;&lt;R&gt;1&lt;/R&gt;&lt;C&gt;1&lt;/C&gt;&lt;D xsi:type="xsd:double"&gt;-1271&lt;/D&gt;&lt;/FQL&gt;&lt;FQL&gt;&lt;Q&gt;ALK-US^FE_ESTIMATE(EBITDA,MEDIAN,ANN_ROLL,+5,NOW,,,'')&lt;/Q&gt;&lt;R&gt;0&lt;/R&gt;&lt;C&gt;0&lt;/C&gt;&lt;/FQL&gt;&lt;FQL&gt;&lt;Q&gt;ALK-US^FF_EPS(ANN_R,NOW)&lt;/Q&gt;&lt;R&gt;1&lt;/R&gt;&lt;C&gt;1&lt;/C&gt;&lt;D xsi:type="xsd:double"&gt;-10.725&lt;/D&gt;&lt;/FQL&gt;&lt;FQL&gt;&lt;Q&gt;ALK-US^FE_ESTIMATE(EPS,MEDIAN,ANN_ROLL,+5,NOW,,,'')&lt;/Q&gt;&lt;R&gt;0&lt;/R&gt;&lt;C&gt;0&lt;/C&gt;&lt;/FQL&gt;&lt;FQL&gt;&lt;Q&gt;AAL-US^FF_COM_SHS_OUT_EPS_BASIC(ANN_R,0)&lt;/Q&gt;&lt;R&gt;1&lt;/R&gt;&lt;C&gt;1&lt;/C&gt;&lt;D xsi:type="xsd:double"&gt;483.888&lt;/D&gt;&lt;/FQL&gt;&lt;FQL&gt;&lt;Q&gt;ALK-US^FF_COM_SHS_OUT_EPS_BASIC(ANN_R,0)&lt;/Q&gt;&lt;R&gt;1&lt;/R&gt;&lt;C&gt;1&lt;/C&gt;&lt;D xsi:type="xsd:double"&gt;123.45&lt;/D&gt;&lt;/FQL&gt;&lt;FQL&gt;&lt;Q&gt;AAL-US^FG_MKT_VALUE(0)&lt;/Q&gt;&lt;R&gt;1&lt;/R&gt;&lt;C&gt;1&lt;/C&gt;&lt;D xsi:type="xsd:double"&gt;12600.621&lt;/D&gt;&lt;/FQL&gt;&lt;FQL&gt;&lt;Q&gt;AAL-US^FF_ENTRPR_VAL(ANN_R,0)&lt;/Q&gt;&lt;R&gt;1&lt;/R&gt;&lt;C&gt;1&lt;/C&gt;&lt;D xsi:type="xsd:double"&gt;41178.91376&lt;/D&gt;&lt;/FQL&gt;&lt;FQL&gt;&lt;Q&gt;ALK-US^FG_MKT_VALUE(0)&lt;/Q&gt;&lt;R&gt;1&lt;/R&gt;&lt;C&gt;1&lt;/C&gt;&lt;D xsi:type="xsd:double"&gt;6630.2046&lt;/D&gt;&lt;/FQL&gt;&lt;FQL&gt;&lt;Q&gt;ALK-US^FF_ENTRPR_VAL(ANN_R,0)&lt;/Q&gt;&lt;R&gt;1&lt;/R&gt;&lt;C&gt;1&lt;/C&gt;&lt;D xsi:type="xsd:double"&gt;8126.4&lt;/D&gt;&lt;/FQL&gt;&lt;FQL&gt;&lt;Q&gt;AAL-US^FG_COMPANY_NAME&lt;/Q&gt;&lt;R&gt;1&lt;/R&gt;&lt;C&gt;1&lt;/C&gt;&lt;D xsi:type="xsd:string"&gt;American Airlines Group, Inc.&lt;/D&gt;&lt;/FQL&gt;&lt;FQL&gt;&lt;Q&gt;ALK-US^FG_COMPANY_NAME&lt;/Q&gt;&lt;R&gt;1&lt;/R&gt;&lt;C&gt;1&lt;/C&gt;&lt;D xsi:type="xsd:string"&gt;Alaska Air Group, Inc.&lt;/D&gt;&lt;/FQL&gt;&lt;FQL&gt;&lt;Q&gt;CHR-CA^FF_COM_SHS_OUT_EPS_BASIC(ANN_R,0)&lt;/Q&gt;&lt;R&gt;1&lt;/R&gt;&lt;C&gt;1&lt;/C&gt;&lt;D xsi:type="xsd:double"&gt;161.585547&lt;/D&gt;&lt;/FQL&gt;&lt;FQL&gt;&lt;Q&gt;CHR-CA^FE_ESTIMATE(SALES,MEDIAN,ANN_ROLL,+5,NOW,,,'')&lt;/Q&gt;&lt;R&gt;1&lt;/R&gt;&lt;C&gt;1&lt;/C&gt;&lt;D xsi:type="xsd:double"&gt;1652.457&lt;/D&gt;&lt;/FQL&gt;&lt;FQL&gt;&lt;Q&gt;CHR-CA^FF_EBIT_OPER(ANN_R,NOW)&lt;/Q&gt;&lt;R&gt;1&lt;/R&gt;&lt;C&gt;1&lt;/C&gt;&lt;D xsi:type="xsd:double"&gt;114.547&lt;/D&gt;&lt;/FQL&gt;&lt;FQL&gt;&lt;Q&gt;CHR-CA^FE_ESTIMATE(EBIT,MEDIAN,ANN_ROLL,+5,NOW,,,'')&lt;/Q&gt;&lt;R&gt;1&lt;/R&gt;&lt;C&gt;1&lt;/C&gt;&lt;D xsi:type="xsd:double"&gt;339.581&lt;/D&gt;&lt;/FQL&gt;&lt;FQL&gt;&lt;Q&gt;CHR-CA^FF_DEP_AMORT_EXP(ANN_R,0)&lt;/Q&gt;&lt;R&gt;1&lt;/R&gt;&lt;C&gt;1&lt;/C&gt;&lt;D xsi:type="xsd:double"&gt;224.354&lt;/D&gt;&lt;/FQL&gt;&lt;FQL&gt;&lt;Q&gt;CHR-CA^FE_ESTIMATE(DEP_AMORT_EXP,MEDIAN,ANN_ROLL,+5,NOW,,,'')&lt;/Q&gt;&lt;R&gt;0&lt;/R&gt;&lt;C&gt;0&lt;/C&gt;&lt;/FQL&gt;&lt;FQL&gt;&lt;Q&gt;CHR-CA^FF_EBITDA_OPER(ANN,NOW)&lt;/Q&gt;&lt;R&gt;1&lt;/R&gt;&lt;C&gt;1&lt;/C&gt;&lt;D xsi:type="xsd:double"&gt;338.901&lt;/D&gt;&lt;/FQL&gt;&lt;FQL&gt;&lt;Q&gt;CHR-CA^FE_ESTIMATE(EBITDA,MEDIAN,ANN_ROLL,+5,NOW,,,'')&lt;/Q&gt;&lt;R&gt;1&lt;/R&gt;&lt;C&gt;1&lt;/C&gt;&lt;D xsi:type="xsd:double"&gt;509.622&lt;/D&gt;&lt;/FQL&gt;&lt;FQL&gt;&lt;Q&gt;CHR-CA^FF_EPS(ANN_R,NOW)&lt;/Q&gt;&lt;R&gt;1&lt;/R&gt;&lt;C&gt;1&lt;/C&gt;&lt;D xsi:type="xsd:double"&gt;0.2567&lt;/D&gt;&lt;/FQL&gt;&lt;FQL&gt;&lt;Q&gt;CHR-CA^FE_ESTIMATE(EPS,MEDIAN,ANN_ROLL,+5,NOW,,,'')&lt;/Q&gt;&lt;R&gt;1&lt;/R&gt;&lt;C&gt;1&lt;/C&gt;&lt;D xsi:type="xsd:double"&gt;1.09&lt;/D&gt;&lt;/FQL&gt;&lt;FQL&gt;&lt;Q&gt;CPA-US^FF_COM_SHS_OUT_EPS_BASIC(ANN_R,0)&lt;/Q&gt;&lt;R&gt;1&lt;/R&gt;&lt;C&gt;1&lt;/C&gt;&lt;D xsi:type="xsd:double"&gt;42.508&lt;/D&gt;&lt;/FQL&gt;&lt;FQL&gt;&lt;Q&gt;CPA-US^FE_ESTIMATE(SALES,MEDIAN,ANN_ROLL,+5,NOW,,,'')&lt;/Q&gt;&lt;R&gt;0&lt;/R&gt;&lt;C&gt;0&lt;/C&gt;&lt;/FQL&gt;&lt;FQL&gt;&lt;Q&gt;CPA-US^FF_EBIT_OPER(ANN_R,NOW)&lt;/Q&gt;&lt;R&gt;1&lt;/R&gt;&lt;C&gt;1&lt;/C&gt;&lt;D xsi:type="xsd:double"&gt;-217.843&lt;/D&gt;&lt;/FQL&gt;&lt;FQL&gt;&lt;Q&gt;CPA-US^FE_ESTIMATE(EBIT,MEDIAN,ANN_ROLL,+5,NOW,,,'')&lt;/Q&gt;&lt;R&gt;0&lt;/R&gt;&lt;C&gt;0&lt;/C&gt;&lt;/FQL&gt;&lt;FQL&gt;&lt;Q&gt;CPA-US^FF_DEP_AMORT_EXP(ANN_R,0)&lt;/Q&gt;&lt;R&gt;1&lt;/R&gt;&lt;C&gt;1&lt;/C&gt;&lt;D xsi:type="xsd:double"&gt;259.336&lt;/D&gt;&lt;/FQL&gt;&lt;FQL&gt;&lt;Q&gt;CPA-US^FE_ESTIMATE(DEP_AMORT_EXP,MEDIAN,ANN_ROLL,+5,NOW,,,'')&lt;/Q&gt;&lt;R&gt;0&lt;/R&gt;&lt;C&gt;0&lt;/C&gt;&lt;/FQL&gt;&lt;FQL&gt;&lt;Q&gt;CPA-US^FF_EBITDA_OPER(ANN,NOW)&lt;/Q&gt;&lt;R&gt;1&lt;/R&gt;&lt;C&gt;1&lt;/C&gt;&lt;D xsi:type="xsd:double"&gt;41.493&lt;/D&gt;&lt;/FQL&gt;&lt;FQL&gt;&lt;Q&gt;CPA-US^FE_ESTIMATE(EBITDA,MEDIAN,ANN_ROLL,+5,NOW,,,'')&lt;/Q&gt;&lt;R&gt;0&lt;/R&gt;&lt;C&gt;0&lt;/C&gt;&lt;/FQL&gt;&lt;FQL&gt;&lt;Q&gt;CPA-US^FF_EPS(ANN_R,NOW)&lt;/Q&gt;&lt;R&gt;1&lt;/R&gt;&lt;C&gt;1&lt;/C&gt;&lt;D xsi:type="xsd:double"&gt;-14.2811&lt;/D&gt;&lt;/FQL&gt;&lt;FQL&gt;&lt;Q&gt;CPA-US^FE_ESTIMATE(EPS,MEDIAN,ANN_ROLL,+5,NOW,,,'')&lt;/Q&gt;&lt;R&gt;0&lt;/R&gt;&lt;C&gt;0&lt;/C&gt;&lt;/FQL&gt;&lt;FQL&gt;&lt;Q&gt;PAL-PH^FF_COM_SHS_OUT_EPS_BASIC(ANN_R,0)&lt;/Q&gt;&lt;R&gt;1&lt;/R&gt;&lt;C&gt;1&lt;/C&gt;&lt;D xsi:type="xsd:double"&gt;11610.978242&lt;/D&gt;&lt;/FQL&gt;&lt;FQL&gt;&lt;Q&gt;PAL-PH^FE_ESTIMATE(SALES,MEDIAN,ANN_ROLL,+5,NOW,,,'')&lt;/Q&gt;&lt;R&gt;0&lt;/R&gt;&lt;C&gt;0&lt;/C&gt;&lt;/FQL&gt;&lt;FQL&gt;&lt;Q&gt;PAL-PH^FF_EBIT_OPER(ANN_R,NOW)&lt;/Q&gt;&lt;R&gt;1&lt;/R&gt;&lt;C&gt;1&lt;/C&gt;&lt;D xsi:type="xsd:double"&gt;-26576.538&lt;/D&gt;&lt;/FQL&gt;&lt;FQL&gt;&lt;Q&gt;PAL-PH^FE_ESTIMATE(EBIT,MEDIAN,ANN_ROLL,+5,NOW,,,'')&lt;/Q&gt;&lt;R&gt;0&lt;/R&gt;&lt;C&gt;0&lt;/C&gt;&lt;/FQL&gt;&lt;FQL&gt;&lt;Q&gt;PAL-PH^FF_DEP_AMORT_EXP(ANN_R,0)&lt;/Q&gt;&lt;R&gt;1&lt;/R&gt;&lt;C&gt;1&lt;/C&gt;&lt;D xsi:type="xsd:double"&gt;25853.203&lt;/D&gt;&lt;/FQL&gt;&lt;FQL&gt;&lt;Q&gt;PAL-PH^FE_ESTIMATE(DEP_AMORT_EXP,MEDIAN,ANN_ROLL,+5,NOW,,,'')&lt;/Q&gt;&lt;R&gt;0&lt;/R&gt;&lt;C&gt;0&lt;/C&gt;&lt;/FQL&gt;&lt;FQL&gt;&lt;Q&gt;PAL-PH^FF_EBITDA_OPER(ANN,NOW)&lt;/Q&gt;&lt;R&gt;1&lt;/R&gt;&lt;C&gt;1&lt;/C&gt;&lt;D xsi:type="xsd:double"&gt;-723.335&lt;/D&gt;&lt;/FQL&gt;&lt;FQL&gt;&lt;Q&gt;PAL-PH^FE_ESTIMATE(EBITDA,MEDIAN,ANN_ROLL,+5,NOW,,,'')&lt;/Q&gt;&lt;R&gt;0&lt;/R&gt;&lt;C&gt;0&lt;/C&gt;&lt;/FQL&gt;&lt;FQL&gt;&lt;Q&gt;PAL-PH^FF_EPS(ANN_R,NOW)&lt;/Q&gt;&lt;R&gt;1&lt;/R&gt;&lt;C&gt;1&lt;/C&gt;&lt;D xsi:type="xsd:double"&gt;-6.1847&lt;/D&gt;&lt;/FQL&gt;&lt;FQL&gt;&lt;Q&gt;PAL-PH^FE_ESTIMATE(EPS,MEDIAN,ANN_ROLL,+5,NOW,,,'')&lt;/Q&gt;&lt;R&gt;0&lt;/R&gt;&lt;C&gt;0&lt;/C&gt;&lt;/FQL&gt;&lt;FQL&gt;&lt;Q&gt;TRZ-CA^FF_COM_SHS_OUT_EPS_BASIC(ANN_R,0)&lt;/Q&gt;&lt;R&gt;1&lt;/R&gt;&lt;C&gt;1&lt;/C&gt;&lt;D xsi:type="xsd:double"&gt;37.747&lt;/D&gt;&lt;/FQL&gt;&lt;FQL&gt;&lt;Q&gt;TRZ-CA^FE_ESTIMATE(SALES,MEDIAN,ANN_ROLL,+5,NOW,,,'')&lt;/Q&gt;&lt;R&gt;1&lt;/R&gt;&lt;C&gt;1&lt;/C&gt;&lt;D xsi:type="xsd:double"&gt;2953.394&lt;/D&gt;&lt;/FQL&gt;&lt;FQL&gt;&lt;Q&gt;TRZ-CA^FF_EBIT_OPER(ANN_R,NOW)&lt;/Q&gt;&lt;R&gt;0&lt;/R&gt;&lt;C&gt;0&lt;/C&gt;&lt;/FQL&gt;&lt;FQL&gt;&lt;Q&gt;TRZ-CA^FE_ESTIMATE(EBIT,MEDIAN,ANN_ROLL,+5,NOW,,,'')&lt;/Q&gt;&lt;R&gt;0&lt;/R&gt;&lt;C&gt;0&lt;/C&gt;&lt;/FQL&gt;&lt;FQL&gt;&lt;Q&gt;TRZ-CA^FF_DEP_AMORT_EXP(ANN_R,0)&lt;/Q&gt;&lt;R&gt;1&lt;/R&gt;&lt;C&gt;1&lt;/C&gt;&lt;D xsi:type="xsd:double"&gt;204.11&lt;/D&gt;&lt;/FQL&gt;&lt;FQL&gt;&lt;Q&gt;TRZ-CA^FE_ESTIMATE(DEP_AMORT_EXP,MEDIAN,ANN_ROLL,+5,NOW,,,'')&lt;/Q&gt;&lt;R&gt;1&lt;/R&gt;&lt;C&gt;1&lt;/C&gt;&lt;D xsi:type="xsd:double"&gt;178.706&lt;/D&gt;&lt;/FQL&gt;&lt;FQL&gt;&lt;Q&gt;TRZ-CA^FF_EBITDA_OPER(ANN,NOW)&lt;/Q&gt;&lt;R&gt;0&lt;/R&gt;&lt;C&gt;0&lt;/C&gt;&lt;/FQL&gt;&lt;FQL&gt;&lt;Q&gt;TRZ-CA^FE_ESTIMATE(EBITDA,MEDIAN,ANN_ROLL,+5,NOW,,,'')&lt;/Q&gt;&lt;R&gt;1&lt;/R&gt;&lt;C&gt;1&lt;/C&gt;&lt;D xsi:type="xsd:double"&gt;212.986&lt;/D&gt;&lt;/FQL&gt;&lt;FQL&gt;&lt;Q&gt;TRZ-CA^FF_EPS(ANN_R,NOW)&lt;/Q&gt;&lt;R&gt;0&lt;/R&gt;&lt;C&gt;0&lt;/C&gt;&lt;/FQL&gt;&lt;FQL&gt;&lt;Q&gt;TRZ-CA^FE_ESTIMATE(EPS,MEDIAN,ANN_ROLL,+5,NOW,,,'')&lt;/Q&gt;&lt;R&gt;1&lt;/R&gt;&lt;C&gt;1&lt;/C&gt;&lt;D xsi:type="xsd:double"&gt;-1.08&lt;/D&gt;&lt;/FQL&gt;&lt;FQL&gt;&lt;Q&gt;CHR-CA^FG_COMPANY_NAME&lt;/Q&gt;&lt;R&gt;1&lt;/R&gt;&lt;C&gt;1&lt;/C&gt;&lt;D xsi:type="xsd:string"&gt;Chorus Aviation Inc.&lt;/D&gt;&lt;/FQL&gt;&lt;FQL&gt;&lt;Q&gt;CHR-CA^FG_PRICE(0)&lt;/Q&gt;&lt;R&gt;1&lt;/R&gt;&lt;C&gt;1&lt;/C&gt;&lt;D xsi:type="xsd:double"&gt;3.9&lt;/D&gt;&lt;/FQL&gt;&lt;FQL&gt;&lt;Q&gt;CHR-CA^FG_MKT_VALUE(0)&lt;/Q&gt;&lt;R&gt;1&lt;/R&gt;&lt;C&gt;1&lt;/C&gt;&lt;D xsi:type="xsd:double"&gt;692.8389&lt;/D&gt;&lt;/FQL&gt;&lt;FQL&gt;&lt;Q&gt;CHR-CA^FF_ENTRPR_VAL(ANN_R,0)&lt;/Q&gt;&lt;R&gt;1&lt;/R&gt;&lt;C&gt;1&lt;/C&gt;&lt;D xsi:type="xsd:double"&gt;2634.3681368&lt;/D&gt;&lt;/FQL&gt;&lt;FQL&gt;&lt;Q&gt;CPA-US^FG_COMPANY_NAME&lt;/Q&gt;&lt;R&gt;1&lt;/R&gt;&lt;C&gt;1&lt;/C&gt;&lt;D xsi:type="xsd:string"&gt;Copa Holdings, S.A. Class A&lt;/D&gt;&lt;/FQL&gt;&lt;FQL&gt;&lt;Q&gt;CPA-US^FG_PRICE(0)&lt;/Q&gt;&lt;R&gt;1&lt;/R&gt;&lt;C&gt;1&lt;/C&gt;&lt;D xsi:type="xsd:double"&gt;77.39&lt;/D&gt;&lt;/FQL&gt;&lt;FQL&gt;&lt;Q&gt;CPA-US^FG_MKT_VALUE(0)&lt;/Q&gt;&lt;R&gt;1&lt;/R&gt;&lt;C&gt;1&lt;/C&gt;&lt;D xsi:type="xsd:double"&gt;3287.8386&lt;/D&gt;&lt;/FQL&gt;&lt;FQL&gt;&lt;Q&gt;CPA-US^FF_ENTRPR_VAL(ANN_R,0)&lt;/Q&gt;&lt;R&gt;1&lt;/R&gt;&lt;C&gt;1&lt;/C&gt;&lt;D xsi:type="xsd:double"&gt;3787.42184&lt;/D&gt;&lt;/FQL&gt;&lt;FQL&gt;&lt;Q&gt;PAL-PH^FG_COMPANY_NAME&lt;/Q&gt;&lt;R&gt;1&lt;/R&gt;&lt;C&gt;1&lt;/C&gt;&lt;D xsi:type="xsd:string"&gt;PAL Holdings, Inc.&lt;/D&gt;&lt;/FQL&gt;&lt;FQL&gt;&lt;Q&gt;PAL-PH^FG_PRICE(0)&lt;/Q&gt;&lt;R&gt;1&lt;/R&gt;&lt;C&gt;1&lt;/C&gt;&lt;D xsi:type="xsd:double"&gt;6.05&lt;/D&gt;&lt;/FQL&gt;&lt;FQL&gt;&lt;Q&gt;PAL-PH^FG_MKT_VALUE(0)&lt;/Q&gt;&lt;R&gt;0&lt;/R&gt;&lt;C&gt;0&lt;/C&gt;&lt;/FQL&gt;&lt;FQL&gt;&lt;Q&gt;PAL-PH^FF_ENTRPR_VAL(ANN_R,0)&lt;/Q&gt;&lt;R&gt;1&lt;/R&gt;&lt;C&gt;1&lt;/C&gt;&lt;D xsi:type="xsd:double"&gt;275621.3134851&lt;/D&gt;&lt;/FQL&gt;&lt;FQL&gt;&lt;Q&gt;TRZ-CA^FG_COMPANY_NAME&lt;/Q&gt;&lt;R&gt;1&lt;/R&gt;&lt;C&gt;1&lt;/C&gt;&lt;D xsi:type="xsd:string"&gt;Transat A.T. Inc.&lt;/D&gt;&lt;/FQL&gt;&lt;FQL&gt;&lt;Q&gt;TRZ-CA^FG_PRICE(0)&lt;/Q&gt;&lt;R&gt;1&lt;/R&gt;&lt;C&gt;1&lt;/C&gt;&lt;D xsi:type="xsd:double"&gt;4.86&lt;/D&gt;&lt;/FQL&gt;&lt;FQL&gt;&lt;Q&gt;TRZ-CA^FG_MKT_VALUE(0)&lt;/Q&gt;&lt;R&gt;1&lt;/R&gt;&lt;C&gt;1&lt;/C&gt;&lt;D xsi:type="xsd:double"&gt;183.45091&lt;/D&gt;&lt;/FQL&gt;&lt;FQL&gt;&lt;Q&gt;TRZ-CA^FF_ENTRPR_VAL(ANN_R,0)&lt;/Q&gt;&lt;R&gt;1&lt;/R&gt;&lt;C&gt;1&lt;/C&gt;&lt;D xsi:type="xsd:double"&gt;643.21955&lt;/D&gt;&lt;/FQL&gt;&lt;FQL&gt;&lt;Q&gt;2610-TW^FF_COM_SHS_OUT_EPS_BASIC(ANN_R,0)&lt;/Q&gt;&lt;R&gt;1&lt;/R&gt;&lt;C&gt;1&lt;/C&gt;&lt;D xsi:type="xsd:double"&gt;5418.776&lt;/D&gt;&lt;/FQL&gt;&lt;FQL&gt;&lt;Q&gt;2610-TW^FE_ESTIMATE(SALES,MEDIAN,ANN_ROLL,+5,NOW,,,'')&lt;/Q&gt;&lt;R&gt;0&lt;/R&gt;&lt;C&gt;0&lt;/C&gt;&lt;/FQL&gt;&lt;FQL&gt;&lt;Q&gt;2610-TW^FF_EBIT_OPER(ANN_R,NOW)&lt;/Q&gt;&lt;R&gt;1&lt;/R&gt;&lt;C&gt;1&lt;/C&gt;&lt;D xsi:type="xsd:double"&gt;2184.686&lt;/D&gt;&lt;/FQL&gt;&lt;FQL&gt;&lt;Q&gt;2610-TW^FE_ESTIMATE(EBIT,MEDIAN,ANN_ROLL,+5,NOW,,,'')&lt;/Q&gt;&lt;R&gt;0&lt;/R&gt;&lt;C&gt;0&lt;/C&gt;&lt;/FQL&gt;&lt;FQL&gt;&lt;Q&gt;2610-TW^FF_DEP_AMORT_EXP(ANN_R,0)&lt;/Q&gt;&lt;R&gt;1&lt;/R&gt;&lt;C&gt;1&lt;/C&gt;&lt;D xsi:type="xsd:double"&gt;31373.913&lt;/D&gt;&lt;/FQL&gt;&lt;FQL&gt;&lt;Q&gt;2610-TW^FE_ESTIMATE(DEP_AMORT_EXP,MEDIAN,ANN_ROLL,+5,NOW,,,'')&lt;/Q&gt;&lt;R&gt;0&lt;/R&gt;&lt;C&gt;0&lt;/C&gt;&lt;/FQL&gt;&lt;FQL&gt;&lt;Q&gt;2610-TW^FF_EBITDA_OPER(ANN,NOW)&lt;/Q&gt;&lt;R&gt;1&lt;/R&gt;&lt;C&gt;1&lt;/C&gt;&lt;D xsi:type="xsd:double"&gt;33558.599&lt;/D&gt;&lt;/FQL&gt;&lt;FQL&gt;&lt;Q&gt;2610-TW^FE_ESTIMATE(EBITDA,MEDIAN,ANN_ROLL,+5,NOW,,,'')&lt;/Q&gt;&lt;R&gt;0&lt;/R&gt;&lt;C&gt;0&lt;/C&gt;&lt;/FQL&gt;&lt;FQL&gt;&lt;Q&gt;2610-TW^FF_EPS(ANN_R,NOW)&lt;/Q&gt;&lt;R&gt;1&lt;/R&gt;&lt;C&gt;1&lt;/C&gt;&lt;D xsi:type="xsd:double"&gt;0.0258&lt;/D&gt;&lt;/FQL&gt;&lt;FQL&gt;&lt;Q&gt;2610-TW^FE_ESTIMATE(EPS,MEDIAN,ANN_ROLL,+5,NOW,,,'')&lt;/Q&gt;&lt;R&gt;0&lt;/R&gt;&lt;C&gt;0&lt;/C&gt;&lt;/FQL&gt;&lt;FQL&gt;&lt;Q&gt;ELAL-IL^FF_COM_SHS_OUT_EPS_BASIC(ANN_R,0)&lt;/Q&gt;&lt;R&gt;1&lt;/R&gt;&lt;C&gt;1&lt;/C&gt;&lt;D xsi:type="xsd:double"&gt;89.312625&lt;/D&gt;&lt;/FQL&gt;&lt;FQL&gt;&lt;Q&gt;ELAL-IL^FE_ESTIMATE(SALES,MEDIAN,ANN_ROLL,+5,NOW,,,'')&lt;/Q&gt;&lt;R&gt;0&lt;/R&gt;&lt;C&gt;0&lt;/C&gt;&lt;/FQL&gt;&lt;FQL&gt;&lt;Q&gt;ELAL-IL^FF_EBIT_OPER(ANN_R,NOW)&lt;/Q&gt;&lt;R&gt;1&lt;/R&gt;&lt;C&gt;1&lt;/C&gt;&lt;D xsi:type="xsd:double"&gt;-1325.65647&lt;/D&gt;&lt;/FQL&gt;&lt;FQL&gt;&lt;Q&gt;ELAL-IL^FE_ESTIMATE(EBIT,MEDIAN,ANN_ROLL,+5,NOW,,,'')&lt;/Q&gt;&lt;R&gt;0&lt;/R&gt;&lt;C&gt;0&lt;/C&gt;&lt;/FQL&gt;&lt;FQL&gt;&lt;Q&gt;ELAL-IL^FF_DEP_AMORT_EXP(ANN_R,0)&lt;/Q&gt;&lt;R&gt;1&lt;/R&gt;&lt;C&gt;1&lt;/C&gt;&lt;D xsi:type="xsd:double"&gt;826.766773826812&lt;/D&gt;&lt;/FQL&gt;&lt;FQL&gt;&lt;Q&gt;ELAL-IL^FE_ESTIMATE(DEP_AMORT_EXP,MEDIAN,ANN_ROLL,+5,NOW,,,'')&lt;/Q&gt;&lt;R&gt;0&lt;/R&gt;&lt;C&gt;0&lt;/C&gt;&lt;/FQL&gt;&lt;FQL&gt;&lt;Q&gt;ELAL-IL^FF_EBITDA_OPER(ANN,NOW)&lt;/Q&gt;&lt;R&gt;1&lt;/R&gt;&lt;C&gt;1&lt;/C&gt;&lt;D xsi:type="xsd:double"&gt;-498.8897&lt;/D&gt;&lt;/FQL&gt;&lt;FQL&gt;&lt;Q&gt;ELAL-IL^FE_ESTIMATE(EBITDA,MEDIAN,ANN_ROLL,+5,NOW,,,'')&lt;/Q&gt;&lt;R&gt;0&lt;/R&gt;&lt;C&gt;0&lt;/C&gt;&lt;/FQL&gt;&lt;FQL&gt;&lt;Q&gt;ELAL-IL^FF_EPS(ANN_R,NOW)&lt;/Q&gt;&lt;R&gt;1&lt;/R&gt;&lt;C&gt;1&lt;/C&gt;&lt;D xsi:type="xsd:double"&gt;-20.4479&lt;/D&gt;&lt;/FQL&gt;&lt;FQL&gt;&lt;Q&gt;ELAL-IL^FE_ESTIMATE(EPS,MEDIAN,ANN_ROLL,+5,NOW,,,'')&lt;/Q&gt;&lt;R&gt;0&lt;/R&gt;&lt;C&gt;0&lt;/C&gt;&lt;/FQL&gt;&lt;FQL&gt;&lt;Q&gt;1055-HK^FF_COM_SHS_OUT_EPS_BASIC(ANN_R,0)&lt;/Q&gt;&lt;R&gt;1&lt;/R&gt;&lt;C&gt;1&lt;/C&gt;&lt;D xsi:type="xsd:double"&gt;14057&lt;/D&gt;&lt;/FQL&gt;&lt;FQL&gt;&lt;Q&gt;1055-HK^FE_ESTIMATE(SALES,MEDIAN,ANN_ROLL,+5,NOW,,,'')&lt;/Q&gt;&lt;R&gt;0&lt;/R&gt;&lt;C&gt;0&lt;/C&gt;&lt;/FQL&gt;&lt;FQL&gt;&lt;Q&gt;1055-HK^FF_EBIT_OPER(ANN_R,NOW)&lt;/Q&gt;&lt;R&gt;1&lt;/R&gt;&lt;C&gt;1&lt;/C&gt;&lt;D xsi:type="xsd:double"&gt;-14146.17582&lt;/D&gt;&lt;/FQL&gt;&lt;FQL&gt;&lt;Q&gt;1055-HK^FE_ESTIMATE(EBIT,MEDIAN,ANN_ROLL,+5,NOW,,,'')&lt;/Q&gt;&lt;R&gt;0&lt;/R&gt;&lt;C&gt;0&lt;/C&gt;&lt;/FQL&gt;&lt;FQL&gt;&lt;Q&gt;1055-HK^FF_DEP_AMORT_EXP(ANN_R,0)&lt;/Q&gt;&lt;R&gt;1&lt;/R&gt;&lt;C&gt;1&lt;/C&gt;&lt;D xsi:type="xsd:double"&gt;27558.5798599536&lt;/D&gt;&lt;/FQL&gt;&lt;FQL&gt;&lt;Q&gt;1055-HK^FE_ESTIMATE(DEP_AMORT_EXP,MEDIAN,ANN_ROLL,+5,NOW,,,'')&lt;/Q&gt;&lt;R&gt;0&lt;/R&gt;&lt;C&gt;0&lt;/C&gt;&lt;/FQL&gt;&lt;FQL&gt;&lt;Q&gt;1055-HK^FF_EBITDA_OPER(ANN,NOW)&lt;/Q&gt;&lt;R&gt;1&lt;/R&gt;&lt;C&gt;1&lt;/C&gt;&lt;D xsi:type="xsd:double"&gt;13412.40404&lt;/D&gt;&lt;/FQL&gt;&lt;FQL&gt;&lt;Q&gt;1055-HK^FE_ESTIMATE(EBITDA,MEDIAN,ANN_ROLL,+5,NOW,,,'')&lt;/Q&gt;&lt;R&gt;0&lt;/R&gt;&lt;C&gt;0&lt;/C&gt;&lt;/FQL&gt;&lt;FQL&gt;&lt;Q&gt;1055-HK^FF_EPS(ANN_R,NOW)&lt;/Q&gt;&lt;R&gt;1&lt;/R&gt;&lt;C&gt;1&lt;/C&gt;&lt;D xsi:type="xsd:double"&gt;-0.7713&lt;/D&gt;&lt;/FQL&gt;&lt;FQL&gt;&lt;Q&gt;1055-HK^FE_ESTIMATE(EPS,MEDIAN,ANN_ROLL,+5,NOW,,,'')&lt;/Q&gt;&lt;R&gt;0&lt;/R&gt;&lt;C&gt;0&lt;/C&gt;&lt;/FQL&gt;&lt;FQL&gt;&lt;Q&gt;PFAVH-CO^FF_COM_SHS_OUT_EPS_BASIC(ANN_R,0)&lt;/Q&gt;&lt;R&gt;1&lt;/R&gt;&lt;C&gt;1&lt;/C&gt;&lt;D xsi:type="xsd:double"&gt;996.987&lt;/D&gt;&lt;/FQL&gt;&lt;FQL&gt;&lt;Q&gt;PFAVH-CO^FE_ESTIMATE(SALES,MEDIAN,ANN_ROLL,+5,NOW,,,'')&lt;/Q&gt;&lt;R&gt;0&lt;/R&gt;&lt;C&gt;0&lt;/C&gt;&lt;/FQL&gt;&lt;FQL&gt;&lt;Q&gt;PFAVH-CO^FF_EBIT_OPER(ANN_R,NOW)&lt;/Q&gt;&lt;R&gt;1&lt;/R&gt;&lt;C&gt;1&lt;/C&gt;&lt;D xsi:type="xsd:double"&gt;-1889003.3056&lt;/D&gt;&lt;/FQL&gt;&lt;FQL&gt;&lt;Q&gt;PFAVH-CO^FE_ESTIMATE(EBIT,MEDIAN,ANN_ROLL,+5,NOW,,,'')&lt;/Q&gt;&lt;R&gt;0&lt;/R&gt;&lt;C&gt;0&lt;/C&gt;&lt;/FQL&gt;&lt;FQL&gt;&lt;Q&gt;PFAVH-CO^FF_DEP_AMORT_EXP(ANN_R,0)&lt;/Q&gt;&lt;R&gt;1&lt;/R&gt;&lt;C&gt;1&lt;/C&gt;&lt;D xsi:type="xsd:double"&gt;1969945.70052649&lt;/D&gt;&lt;/FQL&gt;&lt;FQL&gt;&lt;Q&gt;PFAVH-CO^FE_ESTIMATE(DEP_AMORT_EXP,MEDIAN,ANN_ROLL,+5,NOW,,,'')&lt;/Q&gt;&lt;R&gt;0&lt;/R&gt;&lt;C&gt;0&lt;/C&gt;&lt;/FQL&gt;&lt;FQL&gt;&lt;Q&gt;PFAVH-CO^FF_EBITDA_OPER(ANN,NOW)&lt;/Q&gt;&lt;R&gt;1&lt;/R&gt;&lt;C&gt;1&lt;/C&gt;&lt;D xsi:type="xsd:double"&gt;80942.39493&lt;/D&gt;&lt;/FQL&gt;&lt;FQL&gt;&lt;Q&gt;PFAVH-CO^FE_ESTIMATE(EBITDA,MEDIAN,ANN_ROLL,+5,NOW,,,'')&lt;/Q&gt;&lt;R&gt;0&lt;/R&gt;&lt;C&gt;0&lt;/C&gt;&lt;/FQL&gt;&lt;FQL&gt;&lt;Q&gt;PFAVH-CO^FF_EPS(ANN_R,NOW)&lt;/Q&gt;&lt;R&gt;1&lt;/R&gt;&lt;C&gt;1&lt;/C&gt;&lt;D xsi:type="xsd:double"&gt;-4029.4529&lt;/D&gt;&lt;/FQL&gt;&lt;FQL&gt;&lt;Q&gt;PFAVH-CO^FE_ESTIMATE(EPS,MEDIAN,ANN_ROLL,+5,NOW,,,'')&lt;/Q&gt;&lt;R&gt;0&lt;/R&gt;&lt;C&gt;0&lt;/C&gt;&lt;/FQL&gt;&lt;FQL&gt;&lt;Q&gt;QAN-AU^FF_COM_SHS_OUT_EPS_BASIC(ANN_R,0)&lt;/Q&gt;&lt;R&gt;1&lt;/R&gt;&lt;C&gt;1&lt;/C&gt;&lt;D xsi:type="xsd:double"&gt;1882&lt;/D&gt;&lt;/FQL&gt;&lt;FQL&gt;&lt;Q&gt;QAN-AU^FE_ESTIMATE(SALES,MEDIAN,ANN_ROLL,+5,NOW,,,'')&lt;/Q&gt;&lt;R&gt;1&lt;/R&gt;&lt;C&gt;1&lt;/C&gt;&lt;D xsi:type="xsd:double"&gt;20351&lt;/D&gt;&lt;/FQL&gt;&lt;FQL&gt;&lt;Q&gt;QAN-AU^FF_EBIT_OPER(ANN_R,NOW)&lt;/Q&gt;&lt;R&gt;1&lt;/R&gt;&lt;C&gt;1&lt;/C&gt;&lt;D xsi:type="xsd:double"&gt;-2671&lt;/D&gt;&lt;/FQL&gt;&lt;FQL&gt;&lt;Q&gt;QAN-AU^FE_ESTIMATE(EBIT,MEDIAN,ANN_ROLL,+5,NOW,,,'')&lt;/Q&gt;&lt;R&gt;1&lt;/R&gt;&lt;C&gt;1&lt;/C&gt;&lt;D xsi:type="xsd:double"&gt;2252&lt;/D&gt;&lt;/FQL&gt;&lt;FQL&gt;&lt;Q&gt;QAN-AU^FF_DEP_AMORT_EXP(ANN_R,0)&lt;/Q&gt;&lt;R&gt;1&lt;/R&gt;&lt;C&gt;1&lt;/C&gt;&lt;D xsi:type="xsd:double"&gt;1939&lt;/D&gt;&lt;/FQL&gt;&lt;FQL&gt;&lt;Q&gt;QAN-AU^FE_ESTIMATE(DEP_AMORT_EXP,MEDIAN,ANN_ROLL,+5,NOW,,,'')&lt;/Q&gt;&lt;R&gt;0&lt;/R&gt;&lt;C&gt;0&lt;/C&gt;&lt;/FQL&gt;&lt;FQL&gt;&lt;Q&gt;QAN-AU^FF_EBITDA_OPER(ANN,NOW)&lt;/Q&gt;&lt;R&gt;1&lt;/R&gt;&lt;C&gt;1&lt;/C&gt;&lt;D xsi:type="xsd:double"&gt;-732&lt;/D&gt;&lt;/FQL&gt;&lt;FQL&gt;&lt;Q&gt;QAN-AU^FE_ESTIMATE(EBITDA,MEDIAN,ANN_ROLL,+5,NOW,,,'')&lt;/Q&gt;&lt;R&gt;1&lt;/R&gt;&lt;C&gt;1&lt;/C&gt;&lt;D xsi:type="xsd:double"&gt;4329&lt;/D&gt;&lt;/FQL&gt;&lt;FQL&gt;&lt;Q&gt;QAN-AU^FF_EPS(ANN_R,NOW)&lt;/Q&gt;&lt;R&gt;1&lt;/R&gt;&lt;C&gt;1&lt;/C&gt;&lt;D xsi:type="xsd:double"&gt;-0.9182&lt;/D&gt;&lt;/FQL&gt;&lt;FQL&gt;&lt;Q&gt;QAN-AU^FE_ESTIMATE(EPS,MEDIAN,ANN_ROLL,+5,NOW,,,'')&lt;/Q&gt;&lt;R&gt;1&lt;/R&gt;&lt;C&gt;1&lt;/C&gt;&lt;D xsi:type="xsd:double"&gt;0.832&lt;/D&gt;&lt;/FQL&gt;&lt;FQL&gt;&lt;Q&gt;MESA-US^FF_COM_SHS_OUT_EPS_BASIC(ANN_R,0)&lt;/Q&gt;&lt;R&gt;1&lt;/R&gt;&lt;C&gt;1&lt;/C&gt;&lt;D xsi:type="xsd:double"&gt;35.237&lt;/D&gt;&lt;/FQL&gt;&lt;FQL&gt;&lt;Q&gt;MESA-US^FE_ESTIMATE(SALES,MEDIAN,ANN_ROLL,+5,NOW,,,'')&lt;/Q&gt;&lt;R&gt;0&lt;/R&gt;&lt;C&gt;0&lt;/C&gt;&lt;/FQL&gt;&lt;FQL&gt;&lt;Q&gt;MESA-US^FF_EBIT_OPER(ANN_R,NOW)&lt;/Q&gt;&lt;R&gt;0&lt;/R&gt;&lt;C&gt;0&lt;/C&gt;&lt;/FQL&gt;&lt;FQL&gt;&lt;Q&gt;MESA-US^FE_ESTIMATE(EBIT,MEDIAN,ANN_ROLL,+5,NOW,,,'')&lt;/Q&gt;&lt;R&gt;0&lt;/R&gt;&lt;C&gt;0&lt;/C&gt;&lt;/FQL&gt;&lt;FQL&gt;&lt;Q&gt;MESA-US^FF_DEP_AMORT_EXP(ANN_R,0)&lt;/Q&gt;&lt;R&gt;1&lt;/R&gt;&lt;C&gt;1&lt;/C&gt;&lt;D xsi:type="xsd:double"&gt;82.296&lt;/D&gt;&lt;/FQL&gt;&lt;FQL&gt;&lt;Q&gt;MESA-US^FE_ESTIMATE(DEP_AMORT_EXP,MEDIAN,ANN_ROLL,+5,NOW,,,'')&lt;/Q&gt;&lt;R&gt;0&lt;/R&gt;&lt;C&gt;0&lt;/C&gt;&lt;/FQL&gt;&lt;FQL&gt;&lt;Q&gt;MESA-US^FF_EBITDA_OPER(ANN,NOW)&lt;/Q&gt;&lt;R&gt;0&lt;/R&gt;&lt;C&gt;0&lt;/C&gt;&lt;/FQL&gt;&lt;FQL&gt;&lt;Q&gt;MESA-US^FE_ESTIMATE(EBITDA,MEDIAN,ANN_ROLL,+5,NOW,,,'')&lt;/Q&gt;&lt;R&gt;0&lt;/R&gt;&lt;C&gt;0&lt;/C&gt;&lt;/FQL&gt;&lt;FQL&gt;&lt;Q&gt;MESA-US^FF_EPS(ANN_R,NOW)&lt;/Q&gt;&lt;R&gt;0&lt;/R&gt;&lt;C&gt;0&lt;/C&gt;&lt;/FQL&gt;&lt;FQL&gt;&lt;Q&gt;MESA-US^FE_ESTIMATE(EPS,MEDIAN,ANN_ROLL,+5,NOW,,,'')&lt;/Q&gt;&lt;R&gt;0&lt;/R&gt;&lt;C&gt;0&lt;/C&gt;&lt;/FQL&gt;&lt;FQL&gt;&lt;Q&gt;VOLARA-MX^FF_COM_SHS_OUT_EPS_BASIC(ANN_R,0)&lt;/Q&gt;&lt;R&gt;1&lt;/R&gt;&lt;C&gt;1&lt;/C&gt;&lt;D xsi:type="xsd:double"&gt;1021.561&lt;/D&gt;&lt;/FQL&gt;&lt;FQL&gt;&lt;Q&gt;VOLARA-MX^FE_ESTIMATE(SALES,MEDIAN,ANN_ROLL,+5,NOW,,,'')&lt;/Q&gt;&lt;R&gt;0&lt;/R&gt;&lt;C&gt;0&lt;/C&gt;&lt;/FQL&gt;&lt;FQL&gt;&lt;Q&gt;VOLARA-MX^FF_EBIT_OPER(ANN_R,NOW)&lt;/Q&gt;&lt;R&gt;1&lt;/R&gt;&lt;C&gt;1&lt;/C&gt;&lt;D xsi:type="xsd:double"&gt;-3572.707&lt;/D&gt;&lt;/FQL&gt;&lt;FQL&gt;&lt;Q&gt;VOLARA-MX^FE_ESTIMATE(EBIT,MEDIAN,ANN_ROLL,+5,NOW,,,'')&lt;/Q&gt;&lt;R&gt;0&lt;/R&gt;&lt;C&gt;0&lt;/C&gt;&lt;/FQL&gt;&lt;FQL&gt;&lt;Q&gt;VOLARA-MX^FF_DEP_AMORT_EXP(ANN_R,0)&lt;/Q&gt;&lt;R&gt;1&lt;/R&gt;&lt;C&gt;1&lt;/C&gt;&lt;D xsi:type="xsd:double"&gt;5947.421&lt;/D&gt;&lt;/FQL&gt;&lt;FQL&gt;&lt;Q&gt;VOLARA-MX^FE_ESTIMATE(DEP_AMORT_EXP,MEDIAN,ANN_ROLL,+5,NOW,,,'')&lt;/Q&gt;&lt;R&gt;0&lt;/R&gt;&lt;C&gt;0&lt;/C&gt;&lt;/FQL&gt;&lt;FQL&gt;&lt;Q&gt;VOLARA-MX^FF_EBITDA_OPER(ANN,NOW)&lt;/Q&gt;&lt;R&gt;1&lt;/R&gt;&lt;C&gt;1&lt;/C&gt;&lt;D xsi:type="xsd:double"&gt;2374.714&lt;/D&gt;&lt;/FQL&gt;&lt;FQL&gt;&lt;Q&gt;VOLARA-MX^FE_ESTIMATE(EBITDA,MEDIAN,ANN_ROLL,+5,NOW,,,'')&lt;/Q&gt;&lt;R&gt;0&lt;/R&gt;&lt;C&gt;0&lt;/C&gt;&lt;/FQL&gt;&lt;FQL&gt;&lt;Q&gt;VOLARA-MX^FF_EPS(ANN_R,NOW)&lt;/Q&gt;&lt;R&gt;1&lt;/R&gt;&lt;C&gt;1&lt;/C&gt;&lt;D xsi:type="xsd:double"&gt;-4.2032&lt;/D&gt;&lt;/FQL&gt;&lt;FQL&gt;&lt;Q&gt;VOLARA-MX^FE_ESTIMATE(EPS,MEDIAN,ANN_ROLL,+5,NOW,,,'')&lt;/Q&gt;&lt;R&gt;0&lt;/R&gt;&lt;C&gt;0&lt;/C&gt;&lt;/FQL&gt;&lt;FQL&gt;&lt;Q&gt;AEROMEX-MX^FF_COM_SHS_OUT_EPS_BASIC(ANN_R,0)&lt;/Q&gt;&lt;R&gt;1&lt;/R&gt;&lt;C&gt;1&lt;/C&gt;&lt;D xsi:type="xsd:double"&gt;682.275305&lt;/D&gt;&lt;/FQL&gt;&lt;FQL&gt;&lt;Q&gt;AEROMEX-MX^FE_ESTIMATE(SALES,MEDIAN,ANN_ROLL,+5,NOW,,,'')&lt;/Q&gt;&lt;R&gt;0&lt;/R&gt;&lt;C&gt;0&lt;/C&gt;&lt;/FQL&gt;&lt;FQL&gt;&lt;Q&gt;AEROMEX-MX^FF_EBIT_OPER(ANN_R,NOW)&lt;/Q&gt;&lt;R&gt;1&lt;/R&gt;&lt;C&gt;1&lt;/C&gt;&lt;D xsi:type="xsd:double"&gt;-17638.447&lt;/D&gt;&lt;/FQL&gt;&lt;FQL&gt;&lt;Q&gt;AEROMEX-MX^FE_ESTIMATE(EBIT,MEDIAN,ANN_ROLL,+5,NOW,,,'')&lt;/Q&gt;&lt;R&gt;0&lt;/R&gt;&lt;C&gt;0&lt;/C&gt;&lt;/FQL&gt;&lt;FQL&gt;&lt;Q&gt;AEROMEX-MX^FF_DEP_AMORT_EXP(ANN_R,0)&lt;/Q&gt;&lt;R&gt;1&lt;/R&gt;&lt;C&gt;1&lt;/C&gt;&lt;D xsi:type="xsd:double"&gt;12767.821&lt;/D&gt;&lt;/FQL&gt;&lt;FQL&gt;&lt;Q&gt;AEROMEX-MX^FE_ESTIMATE(DEP_AMORT_EXP,MEDIAN,ANN_ROLL,+5,NOW,,,'')&lt;/Q&gt;&lt;R&gt;0&lt;/R&gt;&lt;C&gt;0&lt;/C&gt;&lt;/FQL&gt;&lt;FQL&gt;&lt;Q&gt;AEROMEX-MX^FF_EBITDA_OPER(ANN,NOW)&lt;/Q&gt;&lt;R&gt;1&lt;/R&gt;&lt;C&gt;1&lt;/C&gt;&lt;D xsi:type="xsd:double"&gt;-4870.626&lt;/D&gt;&lt;/FQL&gt;&lt;FQL&gt;&lt;Q&gt;AEROMEX-MX^FE_ESTIMATE(EBITDA,MEDIAN,ANN_ROLL,+5,NOW,,,'')&lt;/Q&gt;&lt;R&gt;0&lt;/R&gt;&lt;C&gt;0&lt;/C&gt;&lt;/FQL&gt;&lt;FQL&gt;&lt;Q&gt;AEROMEX-MX^FF_EPS(ANN_R,NOW)&lt;/Q&gt;&lt;R&gt;1&lt;/R&gt;&lt;C&gt;1&lt;/C&gt;&lt;D xsi:type="xsd:double"&gt;-62.3347&lt;/D&gt;&lt;/FQL&gt;&lt;FQL&gt;&lt;Q&gt;AEROMEX-MX^FE_ESTIMATE(EPS,MEDIAN,ANN_ROLL,+5,NOW,,,'')&lt;/Q&gt;&lt;R&gt;0&lt;/R&gt;&lt;C&gt;0&lt;/C&gt;&lt;/FQL&gt;&lt;FQL&gt;&lt;Q&gt;HA-US^FF_COM_SHS_OUT_EPS_BASIC(ANN_R,0)&lt;/Q&gt;&lt;R&gt;1&lt;/R&gt;&lt;C&gt;1&lt;/C&gt;&lt;D xsi:type="xsd:double"&gt;46.1&lt;/D&gt;&lt;/FQL&gt;&lt;FQL&gt;&lt;Q&gt;HA-US^FE_ESTIMATE(SALES,MEDIAN,ANN_ROLL,+5,NOW,,,'')&lt;/Q&gt;&lt;R&gt;0&lt;/R&gt;&lt;C&gt;0&lt;/C&gt;&lt;/FQL&gt;&lt;FQL&gt;&lt;Q&gt;HA-US^FF_EBIT_OPER(ANN_R,NOW)&lt;/Q&gt;&lt;R&gt;1&lt;/R&gt;&lt;C&gt;1&lt;/C&gt;&lt;D xsi:type="xsd:double"&gt;-466.575&lt;/D&gt;&lt;/FQL&gt;&lt;FQL&gt;&lt;Q&gt;HA-US^FE_ESTIMATE(EBIT,MEDIAN,ANN_ROLL,+5,NOW,,,'')&lt;/Q&gt;&lt;R&gt;0&lt;/R&gt;&lt;C&gt;0&lt;/C&gt;&lt;/FQL&gt;&lt;FQL&gt;&lt;Q&gt;HA-US^FF_DEP_AMORT_EXP(ANN_R,0)&lt;/Q&gt;&lt;R&gt;1&lt;/R&gt;&lt;C&gt;1&lt;/C&gt;&lt;D xsi:type="xsd:double"&gt;151.665&lt;/D&gt;&lt;/FQL&gt;&lt;FQL&gt;&lt;Q&gt;HA-US^FE_ESTIMATE(DEP_AMORT_EXP,MEDIAN,ANN_ROLL,+5,NOW,,,'')&lt;/Q&gt;&lt;R&gt;0&lt;/R&gt;&lt;C&gt;0&lt;/C&gt;&lt;/FQL&gt;&lt;FQL&gt;&lt;Q&gt;HA-US^FF_EBITDA_OPER(ANN,NOW)&lt;/Q&gt;&lt;R&gt;1&lt;/R&gt;&lt;C&gt;1&lt;/C&gt;&lt;D xsi:type="xsd:double"&gt;-314.91&lt;/D&gt;&lt;/FQL&gt;&lt;FQL&gt;&lt;Q&gt;HA-US^FE_ESTIMATE(EBITDA,MEDIAN,ANN_ROLL,+5,NOW,,,'')&lt;/Q&gt;&lt;R&gt;0&lt;/R&gt;&lt;C&gt;0&lt;/C&gt;&lt;/FQL&gt;&lt;FQL&gt;&lt;Q&gt;HA-US^FF_EPS(ANN_R,NOW)&lt;/Q&gt;&lt;R&gt;1&lt;/R&gt;&lt;C&gt;1&lt;/C&gt;&lt;D xsi:type="xsd:double"&gt;-11.0832&lt;/D&gt;&lt;/FQL&gt;&lt;FQL&gt;&lt;Q&gt;HA-US^FE_ESTIMATE(EPS,MEDIAN,ANN_ROLL,+5,NOW,,,'')&lt;/Q&gt;&lt;R&gt;0&lt;/R&gt;&lt;C&gt;0&lt;/C&gt;&lt;/FQL&gt;&lt;FQL&gt;&lt;Q&gt;LTM-CL^FF_COM_SHS_OUT_EPS_BASIC(ANN_R,0)&lt;/Q&gt;&lt;R&gt;1&lt;/R&gt;&lt;C&gt;1&lt;/C&gt;&lt;D xsi:type="xsd:double"&gt;606.407693&lt;/D&gt;&lt;/FQL&gt;&lt;FQL&gt;&lt;Q&gt;LTM-CL^FE_ESTIMATE(SALES,MEDIAN,ANN_ROLL,+5,NOW,,,'')&lt;/Q&gt;&lt;R&gt;0&lt;/R&gt;&lt;C&gt;0&lt;/C&gt;&lt;/FQL&gt;&lt;FQL&gt;&lt;Q&gt;LTM-CL^FF_EBIT_OPER(ANN_R,NOW)&lt;/Q&gt;&lt;R&gt;1&lt;/R&gt;&lt;C&gt;1&lt;/C&gt;&lt;D xsi:type="xsd:double"&gt;-1389557.86161&lt;/D&gt;&lt;/FQL&gt;&lt;FQL&gt;&lt;Q&gt;LTM-CL^FE_ESTIMATE(EBIT,MEDIAN,ANN_ROLL,+5,NOW,,,'')&lt;/Q&gt;&lt;R&gt;0&lt;/R&gt;&lt;C&gt;0&lt;/C&gt;&lt;/FQL&gt;&lt;FQL&gt;&lt;Q&gt;LTM-CL^FF_DEP_AMORT_EXP(ANN_R,0)&lt;/Q&gt;&lt;R&gt;1&lt;/R&gt;&lt;C&gt;1&lt;/C&gt;&lt;D xsi:type="xsd:double"&gt;1099866.65727221&lt;/D&gt;&lt;/FQL&gt;&lt;FQL&gt;&lt;Q&gt;LTM-CL^FE_ESTIMATE(DEP_AMORT_EXP,MEDIAN,ANN_ROLL</t>
        </r>
      </text>
    </comment>
    <comment ref="A27" authorId="0" shapeId="0" xr:uid="{6817EF19-88E2-4415-8037-E61FCF16827B}">
      <text>
        <r>
          <rPr>
            <b/>
            <sz val="9"/>
            <color indexed="81"/>
            <rFont val="Tahoma"/>
            <charset val="1"/>
          </rPr>
          <t>,+5,NOW,,,'')&lt;/Q&gt;&lt;R&gt;0&lt;/R&gt;&lt;C&gt;0&lt;/C&gt;&lt;/FQL&gt;&lt;FQL&gt;&lt;Q&gt;LTM-CL^FF_EBITDA_OPER(ANN,NOW)&lt;/Q&gt;&lt;R&gt;1&lt;/R&gt;&lt;C&gt;1&lt;/C&gt;&lt;D xsi:type="xsd:double"&gt;-289691.20434&lt;/D&gt;&lt;/FQL&gt;&lt;FQL&gt;&lt;Q&gt;LTM-CL^FE_ESTIMATE(EBITDA,MEDIAN,ANN_ROLL,+5,NOW,,,'')&lt;/Q&gt;&lt;R&gt;0&lt;/R&gt;&lt;C&gt;0&lt;/C&gt;&lt;/FQL&gt;&lt;FQL&gt;&lt;Q&gt;LTM-CL^FF_EPS(ANN_R,NOW)&lt;/Q&gt;&lt;R&gt;1&lt;/R&gt;&lt;C&gt;1&lt;/C&gt;&lt;D xsi:type="xsd:double"&gt;-5934.3209&lt;/D&gt;&lt;/FQL&gt;&lt;FQL&gt;&lt;Q&gt;LTM-CL^FE_ESTIMATE(EPS,MEDIAN,ANN_ROLL,+5,NOW,,,'')&lt;/Q&gt;&lt;R&gt;0&lt;/R&gt;&lt;C&gt;0&lt;/C&gt;&lt;/FQL&gt;&lt;FQL&gt;&lt;Q&gt;2610-TW^FG_COMPANY_NAME&lt;/Q&gt;&lt;R&gt;1&lt;/R&gt;&lt;C&gt;1&lt;/C&gt;&lt;D xsi:type="xsd:string"&gt;China Airlines Ltd.&lt;/D&gt;&lt;/FQL&gt;&lt;FQL&gt;&lt;Q&gt;2610-TW^FG_PRICE(0)&lt;/Q&gt;&lt;R&gt;1&lt;/R&gt;&lt;C&gt;1&lt;/C&gt;&lt;D xsi:type="xsd:double"&gt;29.65&lt;/D&gt;&lt;/FQL&gt;&lt;FQL&gt;&lt;Q&gt;2610-TW^FG_MKT_VALUE(0)&lt;/Q&gt;&lt;R&gt;1&lt;/R&gt;&lt;C&gt;1&lt;/C&gt;&lt;D xsi:type="xsd:double"&gt;168093.11&lt;/D&gt;&lt;/FQL&gt;&lt;FQL&gt;&lt;Q&gt;2610-TW^FF_ENTRPR_VAL(ANN_R,0)&lt;/Q&gt;&lt;R&gt;1&lt;/R&gt;&lt;C&gt;1&lt;/C&gt;&lt;D xsi:type="xsd:double"&gt;175128.1438&lt;/D&gt;&lt;/FQL&gt;&lt;FQL&gt;&lt;Q&gt;ELAL-IL^FG_COMPANY_NAME&lt;/Q&gt;&lt;R&gt;1&lt;/R&gt;&lt;C&gt;1&lt;/C&gt;&lt;D xsi:type="xsd:string"&gt;El Al Israel Airlines Ltd&lt;/D&gt;&lt;/FQL&gt;&lt;FQL&gt;&lt;Q&gt;ELAL-IL^FG_PRICE(0)&lt;/Q&gt;&lt;R&gt;1&lt;/R&gt;&lt;C&gt;1&lt;/C&gt;&lt;D xsi:type="xsd:double"&gt;3.183&lt;/D&gt;&lt;/FQL&gt;&lt;FQL&gt;&lt;Q&gt;ELAL-IL^FG_MKT_VALUE(0)&lt;/Q&gt;&lt;R&gt;1&lt;/R&gt;&lt;C&gt;1&lt;/C&gt;&lt;D xsi:type="xsd:double"&gt;537.2999&lt;/D&gt;&lt;/FQL&gt;&lt;FQL&gt;&lt;Q&gt;ELAL-IL^FF_ENTRPR_VAL(ANN_R,0)&lt;/Q&gt;&lt;R&gt;1&lt;/R&gt;&lt;C&gt;1&lt;/C&gt;&lt;D xsi:type="xsd:double"&gt;7300.6517806&lt;/D&gt;&lt;/FQL&gt;&lt;FQL&gt;&lt;Q&gt;1055-HK^FG_COMPANY_NAME&lt;/Q&gt;&lt;R&gt;1&lt;/R&gt;&lt;C&gt;1&lt;/C&gt;&lt;D xsi:type="xsd:string"&gt;China Southern Airlines Company Limited Class H&lt;/D&gt;&lt;/FQL&gt;&lt;FQL&gt;&lt;Q&gt;1055-HK^FG_PRICE(0)&lt;/Q&gt;&lt;R&gt;1&lt;/R&gt;&lt;C&gt;1&lt;/C&gt;&lt;D xsi:type="xsd:double"&gt;4.73&lt;/D&gt;&lt;/FQL&gt;&lt;FQL&gt;&lt;Q&gt;1055-HK^FG_MKT_VALUE(0)&lt;/Q&gt;&lt;R&gt;1&lt;/R&gt;&lt;C&gt;1&lt;/C&gt;&lt;D xsi:type="xsd:double"&gt;80166.164&lt;/D&gt;&lt;/FQL&gt;&lt;FQL&gt;&lt;Q&gt;1055-HK^FF_ENTRPR_VAL(ANN_R,0)&lt;/Q&gt;&lt;R&gt;1&lt;/R&gt;&lt;C&gt;1&lt;/C&gt;&lt;D xsi:type="xsd:double"&gt;279407.498161051&lt;/D&gt;&lt;/FQL&gt;&lt;FQL&gt;&lt;Q&gt;PFAVH-CO^FG_COMPANY_NAME&lt;/Q&gt;&lt;R&gt;1&lt;/R&gt;&lt;C&gt;1&lt;/C&gt;&lt;D xsi:type="xsd:string"&gt;Avianca Holdings SA Pfd&lt;/D&gt;&lt;/FQL&gt;&lt;FQL&gt;&lt;Q&gt;PFAVH-CO^FG_PRICE(0)&lt;/Q&gt;&lt;R&gt;1&lt;/R&gt;&lt;C&gt;1&lt;/C&gt;&lt;D xsi:type="xsd:double"&gt;42.5&lt;/D&gt;&lt;/FQL&gt;&lt;FQL&gt;&lt;Q&gt;PFAVH-CO^FG_MKT_VALUE(0)&lt;/Q&gt;&lt;R&gt;1&lt;/R&gt;&lt;C&gt;1&lt;/C&gt;&lt;D xsi:type="xsd:double"&gt;42371.95&lt;/D&gt;&lt;/FQL&gt;&lt;FQL&gt;&lt;Q&gt;PFAVH-CO^FF_ENTRPR_VAL(ANN_R,0)&lt;/Q&gt;&lt;R&gt;1&lt;/R&gt;&lt;C&gt;1&lt;/C&gt;&lt;D xsi:type="xsd:double"&gt;18292073.2128244&lt;/D&gt;&lt;/FQL&gt;&lt;FQL&gt;&lt;Q&gt;QAN-AU^FG_COMPANY_NAME&lt;/Q&gt;&lt;R&gt;1&lt;/R&gt;&lt;C&gt;1&lt;/C&gt;&lt;D xsi:type="xsd:string"&gt;Qantas Airways Limited&lt;/D&gt;&lt;/FQL&gt;&lt;FQL&gt;&lt;Q&gt;QAN-AU^FG_PRICE(0)&lt;/Q&gt;&lt;R&gt;1&lt;/R&gt;&lt;C&gt;1&lt;/C&gt;&lt;D xsi:type="xsd:double"&gt;5.29&lt;/D&gt;&lt;/FQL&gt;&lt;FQL&gt;&lt;Q&gt;QAN-AU^FG_MKT_VALUE(0)&lt;/Q&gt;&lt;R&gt;1&lt;/R&gt;&lt;C&gt;1&lt;/C&gt;&lt;D xsi:type="xsd:double"&gt;9960.756&lt;/D&gt;&lt;/FQL&gt;&lt;FQL&gt;&lt;Q&gt;QAN-AU^FF_ENTRPR_VAL(ANN_R,0)&lt;/Q&gt;&lt;R&gt;1&lt;/R&gt;&lt;C&gt;1&lt;/C&gt;&lt;D xsi:type="xsd:double"&gt;14781.12&lt;/D&gt;&lt;/FQL&gt;&lt;FQL&gt;&lt;Q&gt;MESA-US^FG_COMPANY_NAME&lt;/Q&gt;&lt;R&gt;1&lt;/R&gt;&lt;C&gt;1&lt;/C&gt;&lt;D xsi:type="xsd:string"&gt;Mesa Air Group Inc&lt;/D&gt;&lt;/FQL&gt;&lt;FQL&gt;&lt;Q&gt;MESA-US^FG_PRICE(0)&lt;/Q&gt;&lt;R&gt;1&lt;/R&gt;&lt;C&gt;1&lt;/C&gt;&lt;D xsi:type="xsd:double"&gt;7.68&lt;/D&gt;&lt;/FQL&gt;&lt;FQL&gt;&lt;Q&gt;MESA-US^FG_MKT_VALUE(0)&lt;/Q&gt;&lt;R&gt;1&lt;/R&gt;&lt;C&gt;1&lt;/C&gt;&lt;D xsi:type="xsd:double"&gt;275.64285&lt;/D&gt;&lt;/FQL&gt;&lt;FQL&gt;&lt;Q&gt;MESA-US^FF_ENTRPR_VAL(ANN_R,0)&lt;/Q&gt;&lt;R&gt;1&lt;/R&gt;&lt;C&gt;1&lt;/C&gt;&lt;D xsi:type="xsd:double"&gt;839.5046&lt;/D&gt;&lt;/FQL&gt;&lt;FQL&gt;&lt;Q&gt;VOLARA-MX^FG_COMPANY_NAME&lt;/Q&gt;&lt;R&gt;1&lt;/R&gt;&lt;C&gt;1&lt;/C&gt;&lt;D xsi:type="xsd:string"&gt;Controladora Vuela Compania de Aviacion SAB de CV Class A&lt;/D&gt;&lt;/FQL&gt;&lt;FQL&gt;&lt;Q&gt;VOLARA-MX^FG_PRICE(0)&lt;/Q&gt;&lt;R&gt;1&lt;/R&gt;&lt;C&gt;1&lt;/C&gt;&lt;D xsi:type="xsd:double"&gt;33.01&lt;/D&gt;&lt;/FQL&gt;&lt;FQL&gt;&lt;Q&gt;VOLARA-MX^FG_MKT_VALUE(0)&lt;/Q&gt;&lt;R&gt;1&lt;/R&gt;&lt;C&gt;1&lt;/C&gt;&lt;D xsi:type="xsd:double"&gt;38136.6&lt;/D&gt;&lt;/FQL&gt;&lt;FQL&gt;&lt;Q&gt;VOLARA-MX^FF_ENTRPR_VAL(ANN_R,0)&lt;/Q&gt;&lt;R&gt;1&lt;/R&gt;&lt;C&gt;1&lt;/C&gt;&lt;D xsi:type="xsd:double"&gt;64685.85597&lt;/D&gt;&lt;/FQL&gt;&lt;FQL&gt;&lt;Q&gt;AEROMEX-MX^FG_COMPANY_NAME&lt;/Q&gt;&lt;R&gt;1&lt;/R&gt;&lt;C&gt;1&lt;/C&gt;&lt;D xsi:type="xsd:string"&gt;Grupo Aeromexico SA de CV&lt;/D&gt;&lt;/FQL&gt;&lt;FQL&gt;&lt;Q&gt;AEROMEX-MX^FG_PRICE(0)&lt;/Q&gt;&lt;R&gt;1&lt;/R&gt;&lt;C&gt;1&lt;/C&gt;&lt;D xsi:type="xsd:double"&gt;5.38&lt;/D&gt;&lt;/FQL&gt;&lt;FQL&gt;&lt;Q&gt;AEROMEX-MX^FG_MKT_VALUE(0)&lt;/Q&gt;&lt;R&gt;1&lt;/R&gt;&lt;C&gt;1&lt;/C&gt;&lt;D xsi:type="xsd:double"&gt;3669.8057&lt;/D&gt;&lt;/FQL&gt;&lt;FQL&gt;&lt;Q&gt;AEROMEX-MX^FF_ENTRPR_VAL(ANN_R,0)&lt;/Q&gt;&lt;R&gt;1&lt;/R&gt;&lt;C&gt;1&lt;/C&gt;&lt;D xsi:type="xsd:double"&gt;69822.89455275&lt;/D&gt;&lt;/FQL&gt;&lt;FQL&gt;&lt;Q&gt;HA-US^FG_COMPANY_NAME&lt;/Q&gt;&lt;R&gt;1&lt;/R&gt;&lt;C&gt;1&lt;/C&gt;&lt;D xsi:type="xsd:string"&gt;Hawaiian Holdings, Inc.&lt;/D&gt;&lt;/FQL&gt;&lt;FQL&gt;&lt;Q&gt;HA-US^FG_PRICE(0)&lt;/Q&gt;&lt;R&gt;1&lt;/R&gt;&lt;C&gt;1&lt;/C&gt;&lt;D xsi:type="xsd:double"&gt;19.82&lt;/D&gt;&lt;/FQL&gt;&lt;FQL&gt;&lt;Q&gt;HA-US^FG_MKT_VALUE(0)&lt;/Q&gt;&lt;R&gt;1&lt;/R&gt;&lt;C&gt;1&lt;/C&gt;&lt;D xsi:type="xsd:double"&gt;1015.03766&lt;/D&gt;&lt;/FQL&gt;&lt;FQL&gt;&lt;Q&gt;HA-US^FF_ENTRPR_VAL(ANN_R,0)&lt;/Q&gt;&lt;R&gt;1&lt;/R&gt;&lt;C&gt;1&lt;/C&gt;&lt;D xsi:type="xsd:double"&gt;1829.111&lt;/D&gt;&lt;/FQL&gt;&lt;FQL&gt;&lt;Q&gt;LTM-CL^FG_COMPANY_NAME&lt;/Q&gt;&lt;R&gt;1&lt;/R&gt;&lt;C&gt;1&lt;/C&gt;&lt;D xsi:type="xsd:string"&gt;LATAM Airlines Group SA&lt;/D&gt;&lt;/FQL&gt;&lt;FQL&gt;&lt;Q&gt;LTM-CL^FG_PRICE(0)&lt;/Q&gt;&lt;R&gt;1&lt;/R&gt;&lt;C&gt;1&lt;/C&gt;&lt;D xsi:type="xsd:double"&gt;907.83&lt;/D&gt;&lt;/FQL&gt;&lt;FQL&gt;&lt;Q&gt;LTM-CL^FG_MKT_VALUE(0)&lt;/Q&gt;&lt;R&gt;1&lt;/R&gt;&lt;C&gt;1&lt;/C&gt;&lt;D xsi:type="xsd:double"&gt;550515.4&lt;/D&gt;&lt;/FQL&gt;&lt;FQL&gt;&lt;Q&gt;LTM-CL^FF_ENTRPR_VAL(ANN_R,0)&lt;/Q&gt;&lt;R&gt;1&lt;/R&gt;&lt;C&gt;1&lt;/C&gt;&lt;D xsi:type="xsd:double"&gt;7272713.82855622&lt;/D&gt;&lt;/FQL&gt;&lt;FQL&gt;&lt;Q&gt;AAL-US^FF_SALES(ANN_R,12/2019,,,,,B)&lt;/Q&gt;&lt;R&gt;1&lt;/R&gt;&lt;C&gt;1&lt;/C&gt;&lt;D xsi:type="xsd:double"&gt;45.768&lt;/D&gt;&lt;/FQL&gt;&lt;FQL&gt;&lt;Q&gt;AAL-US^FF_SALES(ANN_R,12/2020,,,,,B)&lt;/Q&gt;&lt;R&gt;1&lt;/R&gt;&lt;C&gt;1&lt;/C&gt;&lt;D xsi:type="xsd:double"&gt;17.337&lt;/D&gt;&lt;/FQL&gt;&lt;FQL&gt;&lt;Q&gt;AAL-US^FF_EBITDA_OPER(ANN_R,12/2018,,,,,B)&lt;/Q&gt;&lt;R&gt;1&lt;/R&gt;&lt;C&gt;1&lt;/C&gt;&lt;D xsi:type="xsd:double"&gt;5.606&lt;/D&gt;&lt;/FQL&gt;&lt;FQL&gt;&lt;Q&gt;AAL-US^FF_EBITDA_OPER(ANN_R,12/2017,,,,,B)&lt;/Q&gt;&lt;R&gt;1&lt;/R&gt;&lt;C&gt;1&lt;/C&gt;&lt;D xsi:type="xsd:double"&gt;6.982&lt;/D&gt;&lt;/FQL&gt;&lt;FQL&gt;&lt;Q&gt;AAL-US^FF_EBITDA_OPER(ANN_R,12/2016,,,,,B)&lt;/Q&gt;&lt;R&gt;1&lt;/R&gt;&lt;C&gt;1&lt;/C&gt;&lt;D xsi:type="xsd:double"&gt;7.833&lt;/D&gt;&lt;/FQL&gt;&lt;FQL&gt;&lt;Q&gt;AAL-US^FF_EBITDA_OPER(ANN_R,12/2015,,,,,B)&lt;/Q&gt;&lt;R&gt;1&lt;/R&gt;&lt;C&gt;1&lt;/C&gt;&lt;D xsi:type="xsd:double"&gt;8.9&lt;/D&gt;&lt;/FQL&gt;&lt;FQL&gt;&lt;Q&gt;AAL-US^FF_EBITDA_OPER(ANN_R,12/2014,,,,,B)&lt;/Q&gt;&lt;R&gt;1&lt;/R&gt;&lt;C&gt;1&lt;/C&gt;&lt;D xsi:type="xsd:double"&gt;6.589&lt;/D&gt;&lt;/FQL&gt;&lt;FQL&gt;&lt;Q&gt;AAL-US^FF_EBITDA_OPER(ANN_R,12/2013,,,,,B)&lt;/Q&gt;&lt;R&gt;1&lt;/R&gt;&lt;C&gt;1&lt;/C&gt;&lt;D xsi:type="xsd:double"&gt;2.953&lt;/D&gt;&lt;/FQL&gt;&lt;FQL&gt;&lt;Q&gt;AAL-US^FF_EBITDA_OPER(ANN_R,12/2012,,,,,B)&lt;/Q&gt;&lt;R&gt;1&lt;/R&gt;&lt;C&gt;1&lt;/C&gt;&lt;D xsi:type="xsd:double"&gt;1.513&lt;/D&gt;&lt;/FQL&gt;&lt;FQL&gt;&lt;Q&gt;AAL-US^FF_EBITDA_OPER(ANN_R,12/2011,,,,,B)&lt;/Q&gt;&lt;R&gt;1&lt;/R&gt;&lt;C&gt;1&lt;/C&gt;&lt;D xsi:type="xsd:double"&gt;1.141&lt;/D&gt;&lt;/FQL&gt;&lt;FQL&gt;&lt;Q&gt;AAL-US^FF_COM_SHS_OUT(ANN_R,12/2020)&lt;/Q&gt;&lt;R&gt;1&lt;/R&gt;&lt;C&gt;1&lt;/C&gt;&lt;D xsi:type="xsd:double"&gt;621.479522&lt;/D&gt;&lt;/FQL&gt;&lt;FQL&gt;&lt;Q&gt;AAL-US^FF_COM_SHS_OUT(ANN_R,12/2019)&lt;/Q&gt;&lt;R&gt;1&lt;/R&gt;&lt;C&gt;1&lt;/C&gt;&lt;D xsi:type="xsd:double"&gt;428.202506&lt;/D&gt;&lt;/FQL&gt;&lt;FQL&gt;&lt;Q&gt;AAL-US^FF_COM_SHS_OUT(ANN_R,12/2018)&lt;/Q&gt;&lt;R&gt;1&lt;/R&gt;&lt;C&gt;1&lt;/C&gt;&lt;D xsi:type="xsd:double"&gt;460.61087&lt;/D&gt;&lt;/FQL&gt;&lt;FQL&gt;&lt;Q&gt;AAL-US^FF_COM_SHS_OUT(ANN_R,12/2017)&lt;/Q&gt;&lt;R&gt;1&lt;/R&gt;&lt;C&gt;1&lt;/C&gt;&lt;D xsi:type="xsd:double"&gt;475.507887&lt;/D&gt;&lt;/FQL&gt;&lt;FQL&gt;&lt;Q&gt;AAL-US^FF_COM_SHS_OUT(ANN_R,12/2016)&lt;/Q&gt;&lt;R&gt;1&lt;/R&gt;&lt;C&gt;1&lt;/C&gt;&lt;D xsi:type="xsd:double"&gt;507.294153&lt;/D&gt;&lt;/FQL&gt;&lt;FQL&gt;&lt;Q&gt;AAL-US^FF_COM_SHS_OUT(ANN_R,12/2015)&lt;/Q&gt;&lt;R&gt;1&lt;/R&gt;&lt;C&gt;1&lt;/C&gt;&lt;D xsi:type="xsd:double"&gt;624.622381&lt;/D&gt;&lt;/FQL&gt;&lt;FQL&gt;&lt;Q&gt;AAL-US^FF_COM_SHS_OUT(ANN_R,12/2014)&lt;/Q&gt;&lt;R&gt;1&lt;/R&gt;&lt;C&gt;1&lt;/C&gt;&lt;D xsi:type="xsd:double"&gt;697.474535&lt;/D&gt;&lt;/FQL&gt;&lt;FQL&gt;&lt;Q&gt;AAL-US^FF_COM_SHS_OUT(ANN_R,12/2013)&lt;/Q&gt;&lt;R&gt;1&lt;/R&gt;&lt;C&gt;1&lt;/C&gt;&lt;D xsi:type="xsd:double"&gt;261.069&lt;/D&gt;&lt;/FQL&gt;&lt;FQL&gt;&lt;Q&gt;AAL-US^FF_COM_SHS_OUT(ANN_R,12/2012)&lt;/Q&gt;&lt;R&gt;1&lt;/R&gt;&lt;C&gt;1&lt;/C&gt;&lt;D xsi:type="xsd:double"&gt;335.292238&lt;/D&gt;&lt;/FQL&gt;&lt;FQL&gt;&lt;Q&gt;AAL-US^FF_COM_SHS_OUT(ANN_R,12/2011)&lt;/Q&gt;&lt;R&gt;1&lt;/R&gt;&lt;C&gt;1&lt;/C&gt;&lt;D xsi:type="xsd:double"&gt;335.267398&lt;/D&gt;&lt;/FQL&gt;&lt;FQL&gt;&lt;Q&gt;DAL-US^FF_INC_TAX(ANN_R,12/2020,,,,,B)&lt;/Q&gt;&lt;R&gt;1&lt;/R&gt;&lt;C&gt;1&lt;/C&gt;&lt;D xsi:type="xsd:double"&gt;-3.202&lt;/D&gt;&lt;/FQL&gt;&lt;FQL&gt;&lt;Q&gt;DAL-US^FF_EBIT_OPER(ANN_R,12/2020,,,,,B)&lt;/Q&gt;&lt;R&gt;1&lt;/R&gt;&lt;C&gt;1&lt;/C&gt;&lt;D xsi:type="xsd:double"&gt;-8.281&lt;/D&gt;&lt;/FQL&gt;&lt;FQL&gt;&lt;Q&gt;DAL-US^FF_INC_TAX(ANN_R,12/2019,,,,,B)&lt;/Q&gt;&lt;R&gt;1&lt;/R&gt;&lt;C&gt;1&lt;/C&gt;&lt;D xsi:type="xsd:double"&gt;1.431&lt;/D&gt;&lt;/FQL&gt;&lt;FQL&gt;&lt;Q&gt;DAL-US^FF_EBIT_OPER(ANN_R,12/2019,,,,,B)&lt;/Q&gt;&lt;R&gt;1&lt;/R&gt;&lt;C&gt;1&lt;/C&gt;&lt;D xsi:type="xsd:double"&gt;6.658&lt;/D&gt;&lt;/FQL&gt;&lt;FQL&gt;&lt;Q&gt;DAL-US^FF_INC_TAX(ANN_R,12/2018,,,,,B)&lt;/Q&gt;&lt;R&gt;1&lt;/R&gt;&lt;C&gt;1&lt;/C&gt;&lt;D xsi:type="xsd:double"&gt;1.216&lt;/D&gt;&lt;/FQL&gt;&lt;FQL&gt;&lt;Q&gt;DAL-US^FF_EBIT_OPER(ANN_R,12/2018,,,,,B)&lt;/Q&gt;&lt;R&gt;1&lt;/R&gt;&lt;C&gt;1&lt;/C&gt;&lt;D xsi:type="xsd:double"&gt;5.267&lt;/D&gt;&lt;/FQL&gt;&lt;FQL&gt;&lt;Q&gt;DAL-US^FF_INC_TAX(ANN_R,12/2017,,,,,B)&lt;/Q&gt;&lt;R&gt;1&lt;/R&gt;&lt;C&gt;1&lt;/C&gt;&lt;D xsi:type="xsd:double"&gt;2.295&lt;/D&gt;&lt;/FQL&gt;&lt;FQL&gt;&lt;Q&gt;DAL-US^FF_EBIT_OPER(ANN_R,12/2017,,,,,B)&lt;/Q&gt;&lt;R&gt;1&lt;/R&gt;&lt;C&gt;1&lt;/C&gt;&lt;D xsi:type="xsd:double"&gt;6.037&lt;/D&gt;&lt;/FQL&gt;&lt;FQL&gt;&lt;Q&gt;AAL-US^FF_TAX_RATE(ANN_R,12/2020)&lt;/Q&gt;&lt;R&gt;0&lt;/R&gt;&lt;C&gt;0&lt;/C&gt;&lt;/FQL&gt;&lt;FQL&gt;&lt;Q&gt;LUV-US^FF_NON_OPER_INC(ANN_R,12/2020,,,,,B)&lt;/Q&gt;&lt;R&gt;1&lt;/R&gt;&lt;C&gt;1&lt;/C&gt;&lt;D xsi:type="xsd:double"&gt;-0.147&lt;/D&gt;&lt;/FQL&gt;&lt;FQL&gt;&lt;Q&gt;LUV-US^FF_NON_OPER_INC(ANN_R,12/2019,,,,,B)&lt;/Q&gt;&lt;R&gt;1&lt;/R&gt;&lt;C&gt;1&lt;/C&gt;&lt;D xsi:type="xsd:double"&gt;0.029&lt;/D&gt;&lt;/FQL&gt;&lt;FQL&gt;&lt;Q&gt;LUV-US^FF_NON_OPER_INC(ANN_R,12/2018,,,,,B)&lt;/Q&gt;&lt;R&gt;1&lt;/R&gt;&lt;C&gt;1&lt;/C&gt;&lt;D xsi:type="xsd:double"&gt;0.078&lt;/D&gt;&lt;/FQL&gt;&lt;FQL&gt;&lt;Q&gt;LUV-US^FF_NON_OPER_INC(ANN_R,12/2017,,,,,B)&lt;/Q&gt;&lt;R&gt;1&lt;/R&gt;&lt;C&gt;1&lt;/C&gt;&lt;D xsi:type="xsd:double"&gt;-0.433&lt;/D&gt;&lt;/FQL&gt;&lt;FQL&gt;&lt;Q&gt;LUV-US^FF_NON_OPER_INC(ANN_R,12/2016,,,,,B)&lt;/Q&gt;&lt;R&gt;1&lt;/R&gt;&lt;C&gt;1&lt;/C&gt;&lt;D xsi:type="xsd:double"&gt;0.003&lt;/D&gt;&lt;/FQL&gt;&lt;FQL&gt;&lt;Q&gt;LUV-US^FF_NON_OPER_INC(ANN_R,12/2015,,,,,B)&lt;/Q&gt;&lt;R&gt;1&lt;/R&gt;&lt;C&gt;1&lt;/C&gt;&lt;D xsi:type="xsd:double"&gt;-0.033&lt;/D&gt;&lt;/FQL&gt;&lt;FQL&gt;&lt;Q&gt;LUV-US^FF_NON_OPER_INC(ANN_R,12/2014,,,,,B)&lt;/Q&gt;&lt;R&gt;1&lt;/R&gt;&lt;C&gt;1&lt;/C&gt;&lt;D xsi:type="xsd:double"&gt;0.263&lt;/D&gt;&lt;/FQL&gt;&lt;FQL&gt;&lt;Q&gt;LUV-US^FF_NON_OPER_INC(ANN_R,12/2013,,,,,B)&lt;/Q&gt;&lt;R&gt;1&lt;/R&gt;&lt;C&gt;1&lt;/C&gt;&lt;D xsi:type="xsd:double"&gt;0.188&lt;/D&gt;&lt;/FQL&gt;&lt;FQL&gt;&lt;Q&gt;LUV-US^FF_NON_OPER_INC(ANN_R,12/2012,,,,,B)&lt;/Q&gt;&lt;R&gt;1&lt;/R&gt;&lt;C&gt;1&lt;/C&gt;&lt;D xsi:type="xsd:double"&gt;-0.177&lt;/D&gt;&lt;/FQL&gt;&lt;FQL&gt;&lt;Q&gt;LUV-US^FF_NON_OPER_INC(ANN_R,12/2011,,,,,B)&lt;/Q&gt;&lt;R&gt;1&lt;/R&gt;&lt;C&gt;1&lt;/C&gt;&lt;D xsi:type="xsd:double"&gt;-0.171&lt;/D&gt;&lt;/FQL&gt;&lt;FQL&gt;&lt;Q&gt;LUV-US^FF_UNUSUAL_EXP(ANN_R,12/2020,,,,,B)&lt;/Q&gt;&lt;R&gt;1&lt;/R&gt;&lt;C&gt;1&lt;/C&gt;&lt;D xsi:type="xsd:double"&gt;-0.906&lt;/D&gt;&lt;/FQL&gt;&lt;FQL&gt;&lt;Q&gt;LUV-US^FF_UNUSUAL_EXP(ANN_R,12/2019,,,,,B)&lt;/Q&gt;&lt;R&gt;1&lt;/R&gt;&lt;C&gt;1&lt;/C&gt;&lt;D xsi:type="xsd:double"&gt;0.024&lt;/D&gt;&lt;/FQL&gt;&lt;FQL&gt;&lt;Q&gt;LUV-US^FF_UNUSUAL_EXP(ANN_R,12/2018,,,,,B)&lt;/Q&gt;&lt;R&gt;1&lt;/R&gt;&lt;C&gt;1&lt;/C&gt;&lt;D xsi:type="xsd:double"&gt;0.029&lt;/D&gt;&lt;/FQL&gt;&lt;FQL&gt;&lt;Q&gt;LUV-US^FF_UNUSUAL_EXP(ANN_R,12/2017,,,,,B)&lt;/Q&gt;&lt;R&gt;1&lt;/R&gt;&lt;C&gt;1&lt;/C&gt;&lt;D xsi:type="xsd:double"&gt;0.225&lt;/D&gt;&lt;/FQL&gt;&lt;FQL&gt;&lt;Q&gt;LUV-US^FF_UNUSUAL_EXP(ANN_R,12/2016,,,,,B)&lt;/Q&gt;&lt;R&gt;0&lt;/R&gt;&lt;C&gt;0&lt;/C&gt;&lt;/FQL&gt;&lt;FQL&gt;&lt;Q&gt;LUV-US^FF_UNUSUAL_EXP(ANN_R,12/2015,,,,,B)&lt;/Q&gt;&lt;R&gt;1&lt;/R&gt;&lt;C&gt;1&lt;/C&gt;&lt;D xsi:type="xsd:double"&gt;0.988&lt;/D&gt;&lt;/FQL&gt;&lt;FQL&gt;&lt;Q&gt;LUV-US^FF_UNUSUAL_EXP(ANN_R,12/2014,,,,,B)&lt;/Q&gt;&lt;R&gt;1&lt;/R&gt;&lt;C&gt;1&lt;/C&gt;&lt;D xsi:type="xsd:double"&gt;0.634&lt;/D&gt;&lt;/FQL&gt;&lt;FQL&gt;&lt;Q&gt;LUV-US^FF_UNUSUAL_EXP(ANN_R,12/2013,,,,,B)&lt;/Q&gt;&lt;R&gt;1&lt;/R&gt;&lt;C&gt;1&lt;/C&gt;&lt;D xsi:type="xsd:double"&gt;0.043&lt;/D&gt;&lt;/FQL&gt;&lt;FQL&gt;&lt;Q&gt;LUV-US^FF_UNUSUAL_EXP(ANN_R,12/2012,,,,,B)&lt;/Q&gt;&lt;R&gt;1&lt;/R&gt;&lt;C&gt;1&lt;/C&gt;&lt;D xsi:type="xsd:double"&gt;-0.081&lt;/D&gt;&lt;/FQL&gt;&lt;FQL&gt;&lt;Q&gt;LUV-US^FF_UNUSUAL_EXP(ANN_R,12/2011,,,,,B)&lt;/Q&gt;&lt;R&gt;1&lt;/R&gt;&lt;C&gt;1&lt;/C&gt;&lt;D xsi:type="xsd:double"&gt;0.262&lt;/D&gt;&lt;/FQL&gt;&lt;FQL&gt;&lt;Q&gt;LUV-US^FF_SALES(ANN_R,12/2020,,,,,B)&lt;/Q&gt;&lt;R&gt;1&lt;/R&gt;&lt;C&gt;1&lt;/C&gt;&lt;D xsi:type="xsd:double"&gt;9.048&lt;/D&gt;&lt;/FQL&gt;&lt;FQL&gt;&lt;Q&gt;LUV-US^FF_SALES(ANN_R,12/2019,,,,,B)&lt;/Q&gt;&lt;R&gt;1&lt;/R&gt;&lt;C&gt;1&lt;/C&gt;&lt;D xsi:type="xsd:double"&gt;22.428&lt;/D&gt;&lt;/FQL&gt;&lt;FQL&gt;&lt;Q&gt;LUV-US^FF_SALES(ANN_R,12/2018,,,,,B)&lt;/Q&gt;&lt;R&gt;1&lt;/R&gt;&lt;C&gt;1&lt;/C&gt;&lt;D xsi:type="xsd:double"&gt;21.965&lt;/D&gt;&lt;/FQL&gt;&lt;FQL&gt;&lt;Q&gt;LUV-US^FF_SALES(ANN_R,12/2017,,,,,B)&lt;/Q&gt;&lt;R&gt;1&lt;/R&gt;&lt;C&gt;1&lt;/C&gt;&lt;D xsi:type="xsd:double"&gt;21.146&lt;/D&gt;&lt;/FQL&gt;&lt;FQL&gt;&lt;Q&gt;LUV-US^FF_SALES(ANN_R,12/2016,,,,,B)&lt;/Q&gt;&lt;R&gt;1&lt;/R&gt;&lt;C&gt;1&lt;/C&gt;&lt;D xsi:type="xsd:double"&gt;20.289&lt;/D&gt;&lt;/FQL&gt;&lt;FQL&gt;&lt;Q&gt;LUV-US^FF_SALES(ANN_R,12/2015,,,,,B)&lt;/Q&gt;&lt;R&gt;1&lt;/R&gt;&lt;C&gt;1&lt;/C&gt;&lt;D xsi:type="xsd:double"&gt;19.82&lt;/D&gt;&lt;/FQL&gt;&lt;FQL&gt;&lt;Q&gt;LUV-US^FF_SALES(ANN_R,12/2014,,,,,B)&lt;/Q&gt;&lt;R&gt;1&lt;/R&gt;&lt;C&gt;1&lt;/C&gt;&lt;D xsi:type="xsd:double"&gt;18.605&lt;/D&gt;&lt;/FQL&gt;&lt;FQL&gt;&lt;Q&gt;LUV-US^FF_SALES(ANN_R,12/2013,,,,,B)&lt;/Q&gt;&lt;R&gt;1&lt;/R&gt;&lt;C&gt;1&lt;/C&gt;&lt;D xsi:type="xsd:double"&gt;17.699&lt;/D&gt;&lt;/FQL&gt;&lt;FQL&gt;&lt;Q&gt;LUV-US^FF_SALES(ANN_R,12/2012,,,,,B)&lt;/Q&gt;&lt;R&gt;1&lt;/R&gt;&lt;C&gt;1&lt;/C&gt;&lt;D xsi:type="xsd:double"&gt;17.088&lt;/D&gt;&lt;/FQL&gt;&lt;FQL&gt;&lt;Q&gt;LUV-US^FF_SALES(ANN_R,12/2011,,,,,B)&lt;/Q&gt;&lt;R&gt;1&lt;/R&gt;&lt;C&gt;1&lt;/C&gt;&lt;D xsi:type="xsd:double"&gt;15.658&lt;/D&gt;&lt;/FQL&gt;&lt;FQL&gt;&lt;Q&gt;LUV-US^FF_COGS(ANN_R,12/2020,,,,,B)&lt;/Q&gt;&lt;R&gt;1&lt;/R&gt;&lt;C&gt;1&lt;/C&gt;&lt;D xsi:type="xsd:double"&gt;11.835&lt;/D&gt;&lt;/FQL&gt;&lt;FQL&gt;&lt;Q&gt;LUV-US^FF_COGS(ANN_R,12/2019,,,,,B)&lt;/Q&gt;&lt;R&gt;1&lt;/R&gt;&lt;C&gt;1&lt;/C&gt;&lt;D xsi:type="xsd:double"&gt;16.397&lt;/D&gt;&lt;/FQL&gt;&lt;FQL&gt;&lt;Q&gt;LUV-US^FF_COGS(ANN_R,12/2018,,,,,B)&lt;/Q&gt;&lt;R&gt;1&lt;/R&gt;&lt;C&gt;1&lt;/C&gt;&lt;D xsi:type="xsd:double"&gt;15.94&lt;/D&gt;&lt;/FQL&gt;&lt;FQL&gt;&lt;Q&gt;LUV-US^FF_COGS(ANN_R,12/2017,,,,,B)&lt;/Q&gt;&lt;R&gt;1&lt;/R&gt;&lt;C&gt;1&lt;/C&gt;&lt;D xsi:type="xsd:double"&gt;14.34&lt;/D&gt;&lt;/FQL&gt;&lt;FQL&gt;&lt;Q&gt;LUV-US^FF_COGS(ANN_R,12/2016,,,,,B)&lt;/Q&gt;&lt;R&gt;1&lt;/R&gt;&lt;C&gt;1&lt;/C&gt;&lt;D xsi:type="xsd:double"&gt;14.064&lt;/D&gt;&lt;/FQL&gt;&lt;FQL&gt;&lt;Q&gt;LUV-US^FF_COGS(ANN_R,12/2015,,,,,B)&lt;/Q&gt;&lt;R&gt;1&lt;/R&gt;&lt;C&gt;1&lt;/C&gt;&lt;D xsi:type="xsd:double"&gt;13.045&lt;/D&gt;&lt;/FQL&gt;&lt;FQL&gt;&lt;Q&gt;LUV-US^FF_COGS(ANN_R,12/2014,,,,,B)&lt;/Q&gt;&lt;R&gt;1&lt;/R&gt;&lt;C&gt;1&lt;/C&gt;&lt;D xsi:type="xsd:double"&gt;14.083&lt;/D&gt;&lt;/FQL&gt;&lt;FQL&gt;&lt;Q&gt;LUV-US^FF_COGS(ANN_R,12/2013,,,,,B)&lt;/Q&gt;&lt;R&gt;1&lt;/R&gt;&lt;C&gt;1&lt;/C&gt;&lt;D xsi:type="xsd:double"&gt;14.374&lt;/D&gt;&lt;/FQL&gt;&lt;FQL&gt;&lt;Q&gt;LUV-US^FF_COGS(ANN_R,12/2012,,,,,B)&lt;/Q&gt;&lt;R&gt;1&lt;/R&gt;&lt;C&gt;1&lt;/C&gt;&lt;D xsi:type="xsd:double"&gt;14.142&lt;/D&gt;&lt;/FQL&gt;&lt;FQL&gt;&lt;Q&gt;LUV-US^FF_COGS(ANN_R,12/2011,,,,,B)&lt;/Q&gt;&lt;R&gt;1&lt;/R&gt;&lt;C&gt;1&lt;/C&gt;&lt;D xsi:type="xsd:double"&gt;12.841&lt;/D&gt;&lt;/FQL&gt;&lt;FQL&gt;&lt;Q&gt;LUV-US^FF_SGA(ANN_R,12/2020,,,,,B)&lt;/Q&gt;&lt;R&gt;1&lt;/R&gt;&lt;C&gt;1&lt;/C&gt;&lt;D xsi:type="xsd:double"&gt;1.926&lt;/D&gt;&lt;/FQL&gt;&lt;FQL&gt;&lt;Q&gt;LUV-US^FF_SGA(ANN_R,12/2019,,,,,B)&lt;/Q&gt;&lt;R&gt;1&lt;/R&gt;&lt;C&gt;1&lt;/C&gt;&lt;D xsi:type="xsd:double"&gt;3.026&lt;/D&gt;&lt;/FQL&gt;&lt;FQL&gt;&lt;Q&gt;LUV-US^FF_SGA(ANN_R,12/2018,,,,,B)&lt;/Q&gt;&lt;R&gt;1&lt;/R&gt;&lt;C&gt;1&lt;/C&gt;&lt;D xsi:type="xsd:double"&gt;2.852&lt;/D&gt;&lt;/FQL&gt;&lt;FQL&gt;&lt;Q&gt;LUV-US^FF_SGA(ANN_R,12/2017,,,,,B)&lt;/Q&gt;&lt;R&gt;1&lt;/R&gt;&lt;C&gt;1&lt;/C&gt;&lt;D xsi:type="xsd:double"&gt;2.847&lt;/D&gt;&lt;/FQL&gt;&lt;FQL&gt;&lt;Q&gt;LUV-US^FF_SGA(ANN_R,12/2016,,,,,B)&lt;/Q&gt;&lt;R&gt;1&lt;/R&gt;&lt;C&gt;1&lt;/C&gt;&lt;D xsi:type="xsd:double"&gt;2.703&lt;/D&gt;&lt;/FQL&gt;&lt;FQL&gt;&lt;Q&gt;LUV-US^FF_SGA(ANN_R,12/2015,,,,,B)&lt;/Q&gt;&lt;R&gt;1&lt;/R&gt;&lt;C&gt;1&lt;/C&gt;&lt;D xsi:type="xsd:double"&gt;2.205&lt;/D&gt;&lt;/FQL&gt;&lt;FQL&gt;&lt;Q&gt;LUV-US^FF_SGA(ANN_R,12/2014,,,,,B)&lt;/Q&gt;&lt;R&gt;1&lt;/R&gt;&lt;C&gt;1&lt;/C&gt;&lt;D xsi:type="xsd:double"&gt;2.205&lt;/D&gt;&lt;/FQL&gt;&lt;FQL&gt;&lt;Q&gt;LUV-US^FF_SGA(ANN_R,12/2013,,,,,B)&lt;/Q&gt;&lt;R&gt;1&lt;/R&gt;&lt;C&gt;1&lt;/C&gt;&lt;D xsi:type="xsd:double"&gt;2.126&lt;/D&gt;&lt;/FQL&gt;&lt;FQL&gt;&lt;Q&gt;LUV-US^FF_SGA(ANN_R,12/2012,,,,,B)&lt;/Q&gt;&lt;R&gt;1&lt;/R&gt;&lt;C&gt;1&lt;/C&gt;&lt;D xsi:type="xsd:double"&gt;2.039&lt;/D&gt;&lt;/FQL&gt;&lt;FQL&gt;&lt;Q&gt;LUV-US^FF_SGA(ANN_R,12/2011,,,,,B)&lt;/Q&gt;&lt;R&gt;1&lt;/R&gt;&lt;C&gt;1&lt;/C&gt;&lt;D xsi:type="xsd:double"&gt;1.879&lt;/D&gt;&lt;/FQL&gt;&lt;FQL&gt;&lt;Q&gt;LUV-US^FF_INT_EXP_NET(ANN_R,12/2020,,,,,B)&lt;/Q&gt;&lt;R&gt;1&lt;/R&gt;&lt;C&gt;1&lt;/C&gt;&lt;D xsi:type="xsd:double"&gt;0.302&lt;/D&gt;&lt;/FQL&gt;&lt;FQL&gt;&lt;Q&gt;LUV-US^FF_INT_EXP_NET(ANN_R,12/2019,,,,,B)&lt;/Q&gt;&lt;R&gt;1&lt;/R&gt;&lt;C&gt;1&lt;/C&gt;&lt;D xsi:type="xsd:double"&gt;0.053&lt;/D&gt;&lt;/FQL&gt;&lt;FQL&gt;&lt;Q&gt;LUV-US^FF_INT_EXP_NET(ANN_R,12/2018,,,,,B)&lt;/Q&gt;&lt;R&gt;1&lt;/R&gt;&lt;C&gt;1&lt;/C&gt;&lt;D xsi:type="xsd:double"&gt;0.058&lt;/D&gt;&lt;/FQL&gt;&lt;FQL&gt;&lt;Q&gt;LUV-US^FF_INT_EXP_NET(ANN_R,12/2017,,,,,B)&lt;/Q&gt;&lt;R&gt;1&lt;/R&gt;&lt;C&gt;1&lt;/C&gt;&lt;D xsi:type="xsd:double"&gt;0.036&lt;/D&gt;&lt;/FQL&gt;&lt;FQL&gt;&lt;Q&gt;LUV-US^FF_INT_EXP_NET(ANN_R,12/2016,,,,,B)&lt;/Q&gt;&lt;R&gt;1&lt;/R&gt;&lt;C&gt;1&lt;/C&gt;&lt;D xsi:type="xsd:double"&gt;0.075&lt;/D&gt;&lt;/FQL&gt;&lt;FQL&gt;&lt;Q&gt;LUV-US^FF_INT_EXP_NET(ANN_R,12/2015,,,,,B)&lt;/Q&gt;&lt;R&gt;1&lt;/R&gt;&lt;C&gt;1&lt;/C&gt;&lt;D xsi:type="xsd:double"&gt;0.07&lt;/D&gt;&lt;/FQL&gt;&lt;FQL&gt;&lt;Q&gt;LUV-US^FF_INT_EXP_NET(ANN_R,12/2014,,,,,B)&lt;/Q&gt;&lt;R&gt;1&lt;/R&gt;&lt;C&gt;1&lt;/C&gt;&lt;D xsi:type="xsd:double"&gt;0.13&lt;/D&gt;&lt;/FQL&gt;&lt;FQL&gt;&lt;Q&gt;LUV-US^FF_INT_EXP_NET(ANN_R,12/2013,,,,,B)&lt;/Q&gt;&lt;R&gt;1&lt;/R&gt;&lt;C&gt;1&lt;/C&gt;&lt;D xsi:type="xsd:double"&gt;0.135&lt;/D&gt;&lt;/FQL&gt;&lt;FQL&gt;&lt;Q&gt;LUV-US^FF_INT_EXP_NET(ANN_R,12/2012,,,,,B)&lt;/Q&gt;&lt;R&gt;1&lt;/R&gt;&lt;C&gt;1&lt;/C&gt;&lt;D xsi:type="xsd:double"&gt;0.126&lt;/D&gt;&lt;/FQL&gt;&lt;FQL&gt;&lt;Q&gt;LUV-US^FF_INT_EXP_NET(ANN_R,12/2011,,,,,B)&lt;/Q&gt;&lt;R&gt;1&lt;/R&gt;&lt;C&gt;1&lt;/C&gt;&lt;D xsi:type="xsd:double"&gt;0.182&lt;/D&gt;&lt;/FQL&gt;&lt;FQL&gt;&lt;Q&gt;LUV-US^FF_INC_TAX(ANN_R,12/2020,,,,,B)&lt;/Q&gt;&lt;R&gt;1&lt;/R&gt;&lt;C&gt;1&lt;/C&gt;&lt;D xsi:type="xsd:double"&gt;-1.182&lt;/D&gt;&lt;/FQL&gt;&lt;FQL&gt;&lt;Q&gt;LUV-US^FF_EBIT_OPER(ANN_R,12/2020,,,,,B)&lt;/Q&gt;&lt;R&gt;1&lt;/R&gt;&lt;C&gt;1&lt;/C&gt;&lt;D xsi:type="xsd:double"&gt;-4.713&lt;/D&gt;&lt;/FQL&gt;&lt;FQL&gt;&lt;Q&gt;LUV-US^FF_INC_TAX(ANN_R,12/2019,,,,,B)&lt;/Q&gt;&lt;R&gt;1&lt;/R&gt;&lt;C&gt;1&lt;/C&gt;&lt;D xsi:type="xsd:double"&gt;0.657&lt;/D&gt;&lt;/FQL&gt;&lt;FQL&gt;&lt;Q&gt;LUV-US^FF_EBIT_OPER(ANN_R,12/2019,,,,,B)&lt;/Q&gt;&lt;R&gt;1&lt;/R&gt;&lt;C&gt;1&lt;/C&gt;&lt;D xsi:type="xsd:double"&gt;3.005&lt;/D&gt;&lt;/FQL&gt;&lt;FQL&gt;&lt;Q&gt;LUV-US^FF_INC_TAX(ANN_R,12/2018,,,,,B)&lt;/Q&gt;&lt;R&gt;1&lt;/R&gt;&lt;C&gt;1&lt;/C&gt;&lt;D xsi:type="xsd:double"&gt;0.699&lt;/D&gt;&lt;/FQL&gt;&lt;FQL&gt;&lt;Q&gt;LUV-US^FF_EBIT_OPER(ANN_R,12/2018,,,,,B)&lt;/Q&gt;&lt;R&gt;1&lt;/R&gt;&lt;C&gt;1&lt;/C&gt;&lt;D xsi:type="xsd:double"&gt;3.173&lt;/D&gt;&lt;/FQL&gt;&lt;FQL&gt;&lt;Q&gt;LUV-US^FF_INC_TAX(ANN_R,12/2017,,,,,B)&lt;/Q&gt;&lt;R&gt;1&lt;/R&gt;&lt;C&gt;1&lt;/C&gt;&lt;D xsi:type="xsd:double"&gt;-0.092&lt;/D&gt;&lt;/FQL&gt;&lt;FQL&gt;&lt;Q&gt;LUV-US^FF_EBIT_OPER(ANN_R,12/2017,,,,,B)&lt;/Q&gt;&lt;R&gt;1&lt;/R&gt;&lt;C&gt;1&lt;/C&gt;&lt;D xsi:type="xsd:double"&gt;3.959&lt;/D&gt;&lt;/FQL&gt;&lt;FQL&gt;&lt;Q&gt;LUV-US^FF_INC_TAX(ANN_R,12/2016,,,,,B)&lt;/Q&gt;&lt;R&gt;1&lt;/R&gt;&lt;C&gt;1&lt;/C&gt;&lt;D xsi:type="xsd:double"&gt;1.267&lt;/D&gt;&lt;/FQL&gt;&lt;FQL&gt;&lt;Q&gt;LUV-US^FF_EBIT_OPER(ANN_R,12/2016,,,,,B)&lt;/Q&gt;&lt;R&gt;1&lt;/R&gt;&lt;C&gt;1&lt;/C&gt;&lt;D xsi:type="xsd:double"&gt;3.522&lt;/D&gt;&lt;/FQL&gt;&lt;FQL&gt;&lt;Q&gt;LUV-US^FF_INC_TAX(ANN_R,12/2015,,,,,B)&lt;/Q&gt;&lt;R&gt;1&lt;/R&gt;&lt;C&gt;1&lt;/C&gt;&lt;D xsi:type="xsd:double"&gt;1.298&lt;/D&gt;&lt;/FQL&gt;&lt;FQL&gt;&lt;Q&gt;LUV-US^FF_EBIT_OPER(ANN_R,12/2015,,,,,B)&lt;/Q&gt;&lt;R&gt;1&lt;/R&gt;&lt;C&gt;1&lt;/C&gt;&lt;D xsi:type="xsd:double"&gt;4.57&lt;/D&gt;&lt;/FQL&gt;&lt;FQL&gt;&lt;Q&gt;LUV-US^FF_INC_TAX(ANN_R,12/2014,,,,,B)&lt;/Q&gt;&lt;R&gt;1&lt;/R&gt;&lt;C&gt;1&lt;/C&gt;&lt;D xsi:type="xsd:double"&gt;0.68&lt;/D&gt;&lt;/FQL&gt;&lt;FQL&gt;&lt;Q&gt;LUV-US^FF_EBIT_OPER(ANN_R,12/2014,,,,,B)&lt;/Q&gt;&lt;R&gt;1&lt;/R&gt;&lt;C&gt;1&lt;/C&gt;&lt;D xsi:type="xsd:double"&gt;2.317&lt;/D&gt;&lt;/FQL&gt;&lt;FQL&gt;&lt;Q&gt;LUV-US^FF_INC_TAX(ANN_R,12/2013,,,,,B)&lt;/Q&gt;&lt;R&gt;1&lt;/R&gt;&lt;C&gt;1&lt;/C&gt;&lt;D xsi:type="xsd:double"&gt;0.455&lt;/D&gt;&lt;/FQL&gt;&lt;FQL&gt;&lt;Q&gt;LUV-US^FF_EBIT_OPER(ANN_R,12/2013,,,,,B)&lt;/Q&gt;&lt;R&gt;1&lt;/R&gt;&lt;C&gt;1&lt;/C&gt;&lt;D xsi:type="xsd:double"&gt;1.199&lt;/D&gt;&lt;/FQL&gt;&lt;FQL&gt;&lt;Q&gt;LUV-US^FF_INC_TAX(ANN_R,12/2012,,,,,B)&lt;/Q&gt;&lt;R&gt;1&lt;/R&gt;&lt;C&gt;1&lt;/C&gt;&lt;D xsi:type="xsd:double"&gt;0.264&lt;/D&gt;&lt;/FQL&gt;&lt;FQL&gt;&lt;Q&gt;LUV-US^FF_EBIT_OPER(ANN_R,12/2012,,,,,B)&lt;/Q&gt;&lt;R&gt;1&lt;/R&gt;&lt;C&gt;1&lt;/C&gt;&lt;D xsi:type="xsd:double"&gt;0.907&lt;/D&gt;&lt;/FQL&gt;&lt;FQL&gt;&lt;Q&gt;LUV-US^FF_INC_TAX(ANN_R,12/2011,,,,,B)&lt;/Q&gt;&lt;R&gt;1&lt;/R&gt;&lt;C&gt;1&lt;/C&gt;&lt;D xsi:type="xsd:double"&gt;0.145&lt;/D&gt;&lt;/FQL&gt;&lt;FQL&gt;&lt;Q&gt;LUV-US^FF_EBIT_OPER(ANN_R,12/2011,,,,,B)&lt;/Q&gt;&lt;R&gt;1&lt;/R&gt;&lt;C&gt;1&lt;/C&gt;&lt;D xsi:type="xsd:double"&gt;0.938&lt;/D&gt;&lt;/FQL&gt;&lt;FQL&gt;&lt;Q&gt;LUV-US^FF_EBITDA_OPER(ANN_R,12/2020,,,,,B)&lt;/Q&gt;&lt;R&gt;1&lt;/R&gt;&lt;C&gt;1&lt;/C&gt;&lt;D xsi:type="xsd:double"&gt;-3.458&lt;/D&gt;&lt;/FQL&gt;&lt;FQL&gt;&lt;Q&gt;LUV-US^FF_EBITDA_OPER(ANN_R,12/2019,,,,,B)&lt;/Q&gt;&lt;R&gt;1&lt;/R&gt;&lt;C&gt;1&lt;/C&gt;&lt;D xsi:type="xsd:double"&gt;4.224&lt;/D&gt;&lt;/FQL&gt;&lt;FQL&gt;&lt;Q&gt;LUV-US^FF_EBITDA_OPER(ANN_R,12/2018,,,,,B)&lt;/Q&gt;&lt;R&gt;1&lt;/R&gt;&lt;C&gt;1&lt;/C&gt;&lt;D xsi:type="xsd:double"&gt;4.374&lt;/D&gt;&lt;/FQL&gt;&lt;FQL&gt;&lt;Q&gt;LUV-US^FF_EBITDA_OPER(ANN_R,12/2017,,,,,B)&lt;/Q&gt;&lt;R&gt;1&lt;/R&gt;&lt;C&gt;1&lt;/C&gt;&lt;D xsi:type="xsd:double"&gt;5.177&lt;/D&gt;&lt;/FQL&gt;&lt;FQL&gt;&lt;Q&gt;LUV-US^FF_EBITDA_OPER(ANN_R,12/2016,,,,,B)&lt;/Q&gt;&lt;R&gt;1&lt;/R&gt;&lt;C&gt;1&lt;/C&gt;&lt;D xsi:type="xsd:double"&gt;4.743&lt;/D&gt;&lt;/FQL&gt;&lt;FQL&gt;&lt;Q&gt;LUV-US^FF_EBITDA_OPER(ANN_R,12/2015,,,,,B)&lt;/Q&gt;&lt;R&gt;1&lt;/R&gt;&lt;C&gt;1&lt;/C&gt;&lt;D xsi:type="xsd:double"&gt;5.585&lt;/D&gt;&lt;/FQL&gt;&lt;FQL&gt;&lt;Q&gt;LUV-US^FF_EBITDA_OPER(ANN_R,12/2014,,,,,B)&lt;/Q&gt;&lt;R&gt;1&lt;/R&gt;&lt;C&gt;1&lt;/C&gt;&lt;D xsi:type="xsd:double"&gt;3.255&lt;/D&gt;&lt;/FQL&gt;&lt;FQL&gt;&lt;Q&gt;LUV-US^FF_EBITDA_OPER(ANN_R,12/2013,,,,,B)&lt;/Q&gt;&lt;R&gt;1&lt;/R&gt;&lt;C&gt;1&lt;/C&gt;&lt;D xsi:type="xsd:double"&gt;2.066&lt;/D&gt;&lt;/FQL&gt;&lt;FQL&gt;&lt;Q&gt;LUV-US^FF_EBITDA_OPER(ANN_R,12/2012,,,,,B)&lt;/Q&gt;&lt;R&gt;1&lt;/R&gt;&lt;C&gt;1&lt;/C&gt;&lt;D xsi:type="xsd:double"&gt;1.751&lt;/D&gt;&lt;/FQL&gt;&lt;FQL&gt;&lt;Q&gt;LUV-US^FF_EBITDA_OPER(ANN_R,12/2011,,,,,B)&lt;/Q&gt;&lt;R&gt;1&lt;/R&gt;&lt;C&gt;1&lt;/C&gt;&lt;D xsi:type="xsd:double"&gt;1.653&lt;/D&gt;&lt;/FQL&gt;&lt;FQL&gt;&lt;Q&gt;LUV-US^FF_COM_SHS_OUT(ANN_R,12/2020)&lt;/Q&gt;&lt;R&gt;1&lt;/R&gt;&lt;C&gt;1&lt;/C&gt;&lt;D xsi:type="xsd:double"&gt;590.474337&lt;/D&gt;&lt;/FQL&gt;&lt;FQL&gt;&lt;Q&gt;LUV-US^FF_COM_SHS_OUT(ANN_R,12/2019)&lt;/Q&gt;&lt;R&gt;1&lt;/R&gt;&lt;C&gt;1&lt;/C&gt;&lt;D xsi:type="xsd:double"&gt;519.064316&lt;/D&gt;&lt;/FQL&gt;&lt;FQL&gt;&lt;Q&gt;LUV-US^FF_COM_SHS_OUT(ANN_R,12/2018)&lt;/Q&gt;&lt;R&gt;1&lt;/R&gt;&lt;C&gt;1&lt;/C&gt;&lt;D xsi:type="xsd:double"&gt;552.603359&lt;/D&gt;&lt;/FQL&gt;&lt;FQL&gt;&lt;Q&gt;LUV-US^FF_COM_SHS_OUT(ANN_R,12/2017)&lt;/Q&gt;&lt;R&gt;1&lt;/R&gt;&lt;C&gt;1&lt;/C&gt;&lt;D xsi:type="xsd:double"&gt;588.550778&lt;/D&gt;&lt;/FQL&gt;&lt;FQL&gt;&lt;Q&gt;LUV-US^FF_COM_SHS_OUT(ANN_R,12/2016)&lt;/Q&gt;&lt;R&gt;1&lt;/R&gt;&lt;C&gt;1&lt;/C&gt;&lt;D xsi:type="xsd:double"&gt;647.601617&lt;/D&gt;&lt;/FQL&gt;&lt;FQL&gt;&lt;Q&gt;LUV-US^FF_COM_SHS_OUT(ANN_R,12/2015)&lt;/Q&gt;&lt;R&gt;1&lt;/R&gt;&lt;C&gt;1&lt;/C&gt;&lt;D xsi:type="xsd:double"&gt;647.601617&lt;/D&gt;&lt;/FQL&gt;&lt;FQL&gt;&lt;Q&gt;LUV-US^FF_COM_SHS_OUT(ANN_R,12/2014)&lt;/Q&gt;&lt;R&gt;1&lt;/R&gt;&lt;C&gt;1&lt;/C&gt;&lt;D xsi:type="xsd:double"&gt;675.594084&lt;/D&gt;&lt;/FQL&gt;&lt;FQL&gt;&lt;Q&gt;LUV-US^FF_COM_SHS_OUT(ANN_R,12/2013)&lt;/Q&gt;&lt;R&gt;1&lt;/R&gt;&lt;C&gt;1&lt;/C&gt;&lt;D xsi:type="xsd:double"&gt;700.474688&lt;/D&gt;&lt;/FQL&gt;&lt;FQL&gt;&lt;Q&gt;LUV-US^FF_COM_SHS_OUT(ANN_R,12/2012)&lt;/Q&gt;&lt;R&gt;1&lt;/R&gt;&lt;C&gt;1&lt;/C&gt;&lt;D xsi:type="xsd:double"&gt;730.319489&lt;/D&gt;&lt;/FQL&gt;&lt;FQL&gt;&lt;Q&gt;LUV-US^FF_COM_SHS_OUT(ANN_R,12/2011)&lt;/Q&gt;&lt;R&gt;1&lt;/R&gt;&lt;C&gt;1&lt;/C&gt;&lt;D xsi:type="xsd:double"&gt;772.560643&lt;/D&gt;&lt;/FQL&gt;&lt;FQL&gt;&lt;Q&gt;ALK-US^FF_COM_SHS_OUT(ANN_R,12/2012)&lt;/Q&gt;&lt;R&gt;1&lt;/R&gt;&lt;C&gt;1&lt;/C&gt;&lt;D xsi:type="xsd:double"&gt;140.753086&lt;/D&gt;&lt;/FQL&gt;&lt;FQL&gt;&lt;Q&gt;ALK-US^FF_COM_SHS_OUT(ANN_R,12/2013)&lt;/Q&gt;&lt;R&gt;1&lt;/R&gt;&lt;C&gt;1&lt;/C&gt;&lt;D xsi:type="xsd:double"&gt;137.491906&lt;/D&gt;&lt;/FQL&gt;&lt;FQL&gt;&lt;Q&gt;ALK-US^FF_COM_SHS_OUT(ANN_R,12/2014)&lt;/Q&gt;&lt;R&gt;1&lt;/R&gt;&lt;C&gt;1&lt;/C&gt;&lt;D xsi:type="xsd:double"&gt;131.481473&lt;/D&gt;&lt;/FQL&gt;&lt;FQL&gt;&lt;Q&gt;ALK-US^FF_EBITDA_OPER(ANN_R,12/2012,,,,,B)&lt;/Q&gt;&lt;R&gt;1&lt;/R&gt;&lt;C&gt;1&lt;/C&gt;&lt;D xsi:type="xsd:double"&gt;0.864&lt;/D&gt;&lt;/FQL&gt;&lt;FQL&gt;&lt;Q&gt;ALK-US^FF_EBITDA_OPER(ANN_R,12/2013,,,,,B)&lt;/Q&gt;&lt;R&gt;1&lt;/R&gt;&lt;C&gt;1&lt;/C&gt;&lt;D xsi:type="xsd:double"&gt;0.966&lt;/D&gt;&lt;/FQL&gt;&lt;FQL&gt;&lt;Q&gt;ALK-US^FF_EBITDA_OPER(ANN_R,12/2014,,,,,B)&lt;/Q&gt;&lt;R&gt;1&lt;/R&gt;&lt;C&gt;1&lt;/C&gt;&lt;D xsi:type="xsd:double"&gt;1.25&lt;/D&gt;&lt;/FQL&gt;&lt;FQL&gt;&lt;Q&gt;ALK-US^FF_EBITDA_OPER(ANN_R,12/2015,,,,,B)&lt;/Q&gt;&lt;R&gt;1&lt;/R&gt;&lt;C&gt;1&lt;/C&gt;&lt;D xsi:type="xsd:double"&gt;1.675&lt;/D&gt;&lt;/FQL&gt;&lt;FQL&gt;&lt;Q&gt;ALK-US^FF_COM_SHS_OUT(ANN_R,12/2015)&lt;/Q&gt;&lt;R&gt;1&lt;/R&gt;&lt;C&gt;1&lt;/C&gt;&lt;D xsi:type="xsd:double"&gt;125.175325&lt;/D&gt;&lt;/FQL&gt;&lt;FQL&gt;&lt;Q&gt;ALK-US^FF_COM_SHS_OUT(ANN_R,12/2016)&lt;/Q&gt;&lt;R&gt;1&lt;/R&gt;&lt;C&gt;1&lt;/C&gt;&lt;D xsi:type="xsd:double"&gt;123.328051&lt;/D&gt;&lt;/FQL&gt;&lt;FQL&gt;&lt;Q&gt;ALK-US^FF_EBIT_OPER(ANN_R,12/2011,,,,,B)&lt;/Q&gt;&lt;R&gt;1&lt;/R&gt;&lt;C&gt;1&lt;/C&gt;&lt;D xsi:type="xsd:double"&gt;0.5027&lt;/D&gt;&lt;/FQL&gt;&lt;FQL&gt;&lt;Q&gt;ALK-US^FF_INC_TAX(ANN_R,12/2011,,,,,B)&lt;/Q&gt;&lt;R&gt;1&lt;/R&gt;&lt;C&gt;1&lt;/C&gt;&lt;D xsi:type="xsd:double"&gt;0.1492&lt;/D&gt;&lt;/FQL&gt;&lt;FQL&gt;&lt;Q&gt;ALK-US^FF_EBIT_OPER(ANN_R,12/2012,,,,,B)&lt;/Q&gt;&lt;R&gt;1&lt;/R&gt;&lt;C&gt;1&lt;/C&gt;&lt;D xsi:type="xsd:double"&gt;0.6&lt;/D&gt;&lt;/FQL&gt;&lt;FQL&gt;&lt;Q&gt;ALK-US^FF_INC_TAX(ANN_R,12/2012,,,,,B)&lt;/Q&gt;&lt;R&gt;1&lt;/R&gt;&lt;C&gt;1&lt;/C&gt;&lt;D xsi:type="xsd:double"&gt;0.198&lt;/D&gt;&lt;/FQL&gt;&lt;FQL&gt;&lt;Q&gt;ALK-US^FF_EBIT_OPER(ANN_R,12/2013,,,,,B)&lt;/Q&gt;&lt;R&gt;1&lt;/R&gt;&lt;C&gt;1&lt;/C&gt;&lt;D xsi:type="xsd:double"&gt;0.696&lt;/D&gt;&lt;/FQL&gt;&lt;FQL&gt;&lt;Q&gt;ALK-US^FF_INC_TAX(ANN_R,12/2013,,,,,B)&lt;/Q&gt;&lt;R&gt;1&lt;/R&gt;&lt;C&gt;1&lt;/C&gt;&lt;D xsi:type="xsd:double"&gt;0.308&lt;/D&gt;&lt;/FQL&gt;&lt;FQL&gt;&lt;Q&gt;ALK-US^FF_EBIT_OPER(ANN_R,12/2014,,,,,B)&lt;/Q&gt;&lt;R&gt;1&lt;/R&gt;&lt;C&gt;1&lt;/C&gt;&lt;D xsi:type="xsd:double"&gt;0.956&lt;/D&gt;&lt;/FQL&gt;&lt;FQL&gt;&lt;Q&gt;ALK-US^FF_INC_TAX(ANN_R,12/2014,,,,,B)&lt;/Q&gt;&lt;R&gt;1&lt;/R&gt;&lt;C&gt;1&lt;/C&gt;&lt;D xsi:type="xsd:double"&gt;0.37&lt;/D&gt;&lt;/FQL&gt;&lt;FQL&gt;&lt;Q&gt;ALK-US^FF_EBIT_OPER(ANN_R,12/2015,,,,,B)&lt;/Q&gt;&lt;R&gt;1&lt;/R&gt;&lt;C&gt;1&lt;/C&gt;&lt;D xsi:type="xsd:double"&gt;1.355&lt;/D&gt;&lt;/FQL&gt;&lt;FQL&gt;&lt;Q&gt;ALK-US^FF_INC_TAX(ANN_R,12/2015,,,,,B)&lt;/Q&gt;&lt;R&gt;1&lt;/R&gt;&lt;C&gt;1&lt;/C&gt;&lt;D xsi:type="xsd:double"&gt;0.464&lt;/D&gt;&lt;/FQL&gt;&lt;FQL&gt;&lt;Q&gt;ALK-US^FF_EBIT_OPER(ANN_R,12/2016,,,,,B)&lt;/Q&gt;&lt;R&gt;1&lt;/R&gt;&lt;C&gt;1&lt;/C&gt;&lt;D xsi:type="xsd:double"&gt;1.475&lt;/D&gt;&lt;/FQL&gt;&lt;FQL&gt;&lt;Q&gt;ALK-US^FF_INC_TAX(ANN_R,12/2016,,,,,B)&lt;/Q&gt;&lt;R&gt;1&lt;/R&gt;&lt;C&gt;1&lt;/C&gt;&lt;D xsi:type="xsd:double"&gt;0.531&lt;/D&gt;&lt;/FQL&gt;&lt;FQL&gt;&lt;Q&gt;ALK-US^FF_EBIT_OPER(ANN_R,12/2017,,,,,B)&lt;/Q&gt;&lt;R&gt;1&lt;/R&gt;&lt;C&gt;1&lt;/C&gt;&lt;D xsi:type="xsd:double"&gt;1.339&lt;/D&gt;&lt;/FQL&gt;&lt;FQL&gt;&lt;Q&gt;ALK-US^FF_INC_TAX(ANN_R,12/2017,,,,,B)&lt;/Q&gt;&lt;R&gt;1&lt;/R&gt;&lt;C&gt;1&lt;/C&gt;&lt;D xsi:type="xsd:double"&gt;0.199&lt;/D&gt;&lt;/FQL&gt;&lt;FQL&gt;&lt;Q&gt;ALK-US^FF_EBIT_OPER(ANN_R,12/2018,,,,,B)&lt;/Q&gt;&lt;R&gt;1&lt;/R&gt;&lt;C&gt;1&lt;/C&gt;&lt;D xsi:type="xsd:double"&gt;0.732&lt;/D&gt;&lt;/FQL&gt;&lt;FQL&gt;&lt;Q&gt;ALK-US^FF_INC_TAX(ANN_R,12/2018,,,,,B)&lt;/Q&gt;&lt;R&gt;1&lt;/R&gt;&lt;C&gt;1&lt;/C&gt;&lt;D xsi:type="xsd:double"&gt;0.148&lt;/D&gt;&lt;/FQL&gt;&lt;FQL&gt;&lt;Q&gt;ALK-US^FF_EBIT_OPER(ANN_R,12/2019,,,,,B)&lt;/Q&gt;&lt;R&gt;1&lt;/R&gt;&lt;C&gt;1&lt;/C&gt;&lt;D xsi:type="xsd:double"&gt;1.12&lt;/D&gt;&lt;/FQL&gt;&lt;FQL&gt;&lt;Q&gt;ALK-US^FF_INC_TAX(ANN_R,12/2019,,,,,B)&lt;/Q&gt;&lt;R&gt;1&lt;/R&gt;&lt;C&gt;1&lt;/C&gt;&lt;D xsi:type="xsd:double"&gt;0.247&lt;/D&gt;&lt;/FQL&gt;&lt;FQL&gt;&lt;Q&gt;ALK-US^FF_EBIT_OPER(ANN_R,12/2020,,,,,B)&lt;/Q&gt;&lt;R&gt;1&lt;/R&gt;&lt;C&gt;1&lt;/C&gt;&lt;D xsi:type="xsd:double"&gt;-1.691&lt;/D&gt;&lt;/FQL&gt;&lt;FQL&gt;&lt;Q&gt;ALK-US^FF_INC_TAX(ANN_R,12/2020,,,,,B)&lt;/Q&gt;&lt;R&gt;1&lt;/R&gt;&lt;C&gt;1&lt;/C&gt;&lt;D xsi:type="xsd:double"&gt;-0.516&lt;/D&gt;&lt;/FQL&gt;&lt;FQL&gt;&lt;Q&gt;ALK-US^FF_INT_EXP_NET(ANN_R,12/2011,,,,,B)&lt;/Q&gt;&lt;R&gt;1&lt;/R&gt;&lt;C&gt;1&lt;/C&gt;&lt;D xsi:type="xsd:double"&gt;0.0748&lt;/D&gt;&lt;/FQL&gt;&lt;FQL&gt;&lt;Q&gt;ALK-US^FF_INT_EXP_NET(ANN_R,12/2012,,,,,B)&lt;/Q&gt;&lt;R&gt;1&lt;/R&gt;&lt;C&gt;1&lt;/C&gt;&lt;D xsi:type="xsd:double"&gt;0.046&lt;/D&gt;&lt;/FQL&gt;&lt;FQL&gt;&lt;Q&gt;ALK-US^FF_INT_EXP_NET(ANN_R,12/2013,,,,,B)&lt;/Q&gt;&lt;R&gt;1&lt;/R&gt;&lt;C&gt;1&lt;/C&gt;&lt;D xsi:type="xsd:double"&gt;0.035&lt;/D&gt;&lt;/FQL&gt;&lt;FQL&gt;&lt;Q&gt;ALK-US^FF_INT_EXP_NET(ANN_R,12/2014,,,,,B)&lt;/Q&gt;&lt;R&gt;1&lt;/R&gt;&lt;C&gt;1&lt;/C&gt;&lt;D xsi:type="xsd:double"&gt;0.028&lt;/D&gt;&lt;/FQL&gt;&lt;FQL&gt;&lt;Q&gt;ALK-US^FF_INT_EXP_NET(ANN_R,12/2015,,,,,B)&lt;/Q&gt;&lt;R&gt;1&lt;/R&gt;&lt;C&gt;1&lt;/C&gt;&lt;D xsi:type="xsd:double"&gt;0.008&lt;/D&gt;&lt;/FQL&gt;&lt;FQL&gt;&lt;Q&gt;ALK-US^FF_INT_EXP_NET(ANN_R,12/2016,,,,,B)&lt;/Q&gt;&lt;R&gt;1&lt;/R&gt;&lt;C&gt;1&lt;/C&gt;&lt;D xsi:type="xsd:double"&gt;0.03&lt;/D&gt;&lt;/FQL&gt;&lt;FQL&gt;&lt;Q&gt;ALK-US^FF_INT_EXP_NET(ANN_R,12/2017,,,,,B)&lt;/Q&gt;&lt;R&gt;1&lt;/R&gt;&lt;C&gt;1&lt;/C&gt;&lt;D xsi:type="xsd:double"&gt;0.086&lt;/D&gt;&lt;/FQL&gt;&lt;FQL&gt;&lt;Q&gt;ALK-US^FF_INT_EXP_NET(ANN_R,12/2018,,,,,B)&lt;/Q&gt;&lt;R&gt;1&lt;/R&gt;&lt;C&gt;1&lt;/C&gt;&lt;D xsi:type="xsd:double"&gt;0.073&lt;/D&gt;&lt;/FQL&gt;&lt;FQL&gt;&lt;Q&gt;ALK-US^FF_INT_EXP_NET(ANN_R,12/2019,,,,,B)&lt;/Q&gt;&lt;R&gt;1&lt;/R&gt;&lt;C&gt;1&lt;/C&gt;&lt;D xsi:type="xsd:double"&gt;0.063&lt;/D&gt;&lt;/FQL&gt;&lt;FQL&gt;&lt;Q&gt;ALK-US^FF_INT_EXP_NET(ANN_R,12/2020,,,,,B)&lt;/Q&gt;&lt;R&gt;1&lt;/R&gt;&lt;C&gt;1&lt;/C&gt;&lt;D xsi:type="xsd:double"&gt;0.087&lt;/D&gt;&lt;/FQL&gt;&lt;FQL&gt;&lt;Q&gt;ALK-US^FF_COM_SHS_OUT(ANN_R,12/2017)&lt;/Q&gt;&lt;R&gt;1&lt;/R&gt;&lt;C&gt;1&lt;/C&gt;&lt;D xsi:type="xsd:double"&gt;123.060638&lt;/D&gt;&lt;/FQL&gt;&lt;FQL&gt;&lt;Q&gt;ALK-US^FF_COM_SHS_OUT(ANN_R,12/2018)&lt;/Q&gt;&lt;R&gt;1&lt;/R&gt;&lt;C&gt;1&lt;/C&gt;&lt;D xsi:type="xsd:double"&gt;123.19443&lt;/D&gt;&lt;/FQL&gt;&lt;FQL&gt;&lt;Q&gt;ALK-US^FF_COM_SHS_OUT(ANN_R,12/2019)&lt;/Q&gt;&lt;R&gt;1&lt;/R&gt;&lt;C&gt;1&lt;/C&gt;&lt;D xsi:type="xsd:double"&gt;123.000307&lt;/D&gt;&lt;/FQL&gt;&lt;FQL&gt;&lt;Q&gt;ALK-US^FF_COM_SHS_OUT(ANN_R,12/2020)&lt;/Q&gt;&lt;R&gt;1&lt;/R&gt;&lt;C&gt;1&lt;/C&gt;&lt;D xsi:type="xsd:double"&gt;124.21759&lt;/D&gt;&lt;/FQL&gt;&lt;FQL&gt;&lt;Q&gt;ALK-US^FF_EBITDA_OPER(ANN_R,12/2011,,,,,B)&lt;/Q&gt;&lt;R&gt;1&lt;/R&gt;&lt;C&gt;1&lt;/C&gt;&lt;D xsi:type="xsd:double"&gt;0.7496&lt;/D&gt;&lt;/FQL&gt;&lt;FQL&gt;&lt;Q&gt;ALK-US^FF_EBITDA_OPER(ANN_R,12/2016,,,,,B)&lt;/Q&gt;&lt;R&gt;1&lt;/R&gt;&lt;C&gt;1&lt;/C&gt;&lt;D xsi:type="xsd:double"&gt;1.838&lt;/D&gt;&lt;/FQL&gt;&lt;FQL&gt;&lt;Q&gt;ALK-US^FF_EBITDA_OPER(ANN_R,12/2017,,,,,B)&lt;/Q&gt;&lt;R&gt;1&lt;/R&gt;&lt;C&gt;1&lt;/C&gt;&lt;D xsi:type="xsd:double"&gt;1.711&lt;/D&gt;&lt;/FQL&gt;&lt;FQL&gt;&lt;Q&gt;ALK-US^FF_EBITDA_OPER(ANN_R,12/2018,,,,,B)&lt;/Q&gt;&lt;R&gt;1&lt;/R&gt;&lt;C&gt;1&lt;/C&gt;&lt;D xsi:type="xsd:double"&gt;1.13&lt;/D&gt;&lt;/FQL&gt;&lt;FQL&gt;&lt;Q&gt;ALK-US^FF_EBITDA_OPER(ANN_R,12/2019,,,,,B)&lt;/Q&gt;&lt;R&gt;1&lt;/R&gt;&lt;C&gt;1&lt;/C&gt;&lt;D xsi:type="xsd:double"&gt;1.543&lt;/D&gt;&lt;/FQL&gt;&lt;FQL&gt;&lt;Q&gt;ALK-US^FF_EBITDA_OPER(ANN_R,12/2020,,,,,B)&lt;/Q&gt;&lt;R&gt;1&lt;/R&gt;&lt;C&gt;1&lt;/C&gt;&lt;D xsi:type="xsd:double"&gt;-1.271&lt;/D&gt;&lt;/FQL&gt;&lt;FQL&gt;&lt;Q&gt;ALK-US^FF_SGA(ANN_R,12/2011,,,,,B)&lt;/Q&gt;&lt;R&gt;1&lt;/R&gt;&lt;C&gt;1&lt;/C&gt;&lt;D xsi:type="xsd:double"&gt;0.1753&lt;/D&gt;&lt;/FQL&gt;&lt;FQL&gt;&lt;Q&gt;ALK-US^FF_SGA(ANN_R,12/2012,,,,,B)&lt;/Q&gt;&lt;R&gt;1&lt;/R&gt;&lt;C&gt;1&lt;/C&gt;&lt;D xsi:type="xsd:double"&gt;0.168&lt;/D&gt;&lt;/FQL&gt;&lt;FQL&gt;&lt;Q&gt;ALK-US^FF_SGA(ANN_R,12/2013,,,,,B)&lt;/Q&gt;&lt;R&gt;1&lt;/R&gt;&lt;C&gt;1&lt;/C&gt;&lt;D xsi:type="xsd:double"&gt;0.179&lt;/D&gt;&lt;/FQL&gt;&lt;FQL&gt;&lt;Q&gt;ALK-US^FF_SGA(ANN_R,12/2014,,,,,B)&lt;/Q&gt;&lt;R&gt;1&lt;/R&gt;&lt;C&gt;1&lt;/C&gt;&lt;D xsi:type="xsd:double"&gt;0.199&lt;/D&gt;&lt;/FQL&gt;&lt;FQL&gt;&lt;Q&gt;ALK-US^FF_SGA(ANN_R,12/2015,,,,,B)&lt;/Q&gt;&lt;R&gt;1&lt;/R&gt;&lt;C&gt;1&lt;/C&gt;&lt;D xsi:type="xsd:double"&gt;0.211&lt;/D&gt;&lt;/FQL&gt;&lt;FQL&gt;&lt;Q&gt;ALK-US^FF_SGA(ANN_R,12/2016,,,,,B)&lt;/Q&gt;&lt;R&gt;1&lt;/R&gt;&lt;C&gt;1&lt;/C&gt;&lt;D xsi:type="xsd:double"&gt;0.225&lt;/D&gt;&lt;/FQL&gt;&lt;FQL&gt;&lt;Q&gt;ALK-US^FF_SGA(ANN_R,12/2017,,,,,B)&lt;/Q&gt;&lt;R&gt;1&lt;/R&gt;&lt;C&gt;1&lt;/C&gt;&lt;D xsi:type="xsd:double"&gt;0.368&lt;/D&gt;&lt;/FQL&gt;&lt;FQL&gt;&lt;Q&gt;ALK-US^FF_SGA(ANN_R,12/2018,,,,,B)&lt;/Q&gt;&lt;R&gt;1&lt;/R&gt;&lt;C&gt;1&lt;/C&gt;&lt;D xsi:type="xsd:double"&gt;0.326&lt;/D&gt;&lt;/FQL&gt;&lt;FQL&gt;&lt;Q&gt;ALK-US^FF_SGA(ANN_R,12/2019,,,,,B)&lt;/Q&gt;&lt;R&gt;1&lt;/R&gt;&lt;C&gt;1&lt;/C&gt;&lt;D xsi:type="xsd:double"&gt;0.313&lt;/D&gt;&lt;/FQL&gt;&lt;FQL&gt;&lt;Q&gt;ALK-US^FF_SGA(ANN_R,12/2020,,,,,B)&lt;/Q&gt;&lt;R&gt;1&lt;/R&gt;&lt;C&gt;1&lt;/C&gt;&lt;D xsi:type="xsd:double"&gt;0.101&lt;/D&gt;&lt;/FQL&gt;&lt;FQL&gt;&lt;Q&gt;ALK-US^FF_COGS(ANN_R,12/2011,,,,,B)&lt;/Q&gt;&lt;R&gt;1&lt;/R&gt;&lt;C&gt;1&lt;/C&gt;&lt;D xsi:type="xsd:double"&gt;3.4045&lt;/D&gt;&lt;/FQL&gt;&lt;FQL&gt;&lt;Q&gt;ALK-US^FF_COGS(ANN_R,12/2012,,,,,B)&lt;/Q&gt;&lt;R&gt;1&lt;/R&gt;&lt;C&gt;1&lt;/C&gt;&lt;D xsi:type="xsd:double"&gt;3.641&lt;/D&gt;&lt;/FQL&gt;&lt;FQL&gt;&lt;Q&gt;ALK-US^FF_COGS(ANN_R,12/2013,,,,,B)&lt;/Q&gt;&lt;R&gt;1&lt;/R&gt;&lt;C&gt;1&lt;/C&gt;&lt;D xsi:type="xsd:double"&gt;3.811&lt;/D&gt;&lt;/FQL&gt;&lt;FQL&gt;&lt;Q&gt;ALK-US^FF_COGS(ANN_R,12/2014,,,,,B)&lt;/Q&gt;&lt;R&gt;1&lt;/R&gt;&lt;C&gt;1&lt;/C&gt;&lt;D xsi:type="xsd:double"&gt;3.905&lt;/D&gt;&lt;/FQL&gt;&lt;FQL&gt;&lt;Q&gt;ALK-US^FF_COGS(ANN_R,12/2015,,,,,B)&lt;/Q&gt;&lt;R&gt;1&lt;/R&gt;&lt;C&gt;1&lt;/C&gt;&lt;D xsi:type="xsd:double"&gt;3.676&lt;/D&gt;&lt;/FQL&gt;&lt;FQL&gt;&lt;Q&gt;ALK-US^FF_COGS(ANN_R,12/2016,,,,,B)&lt;/Q&gt;&lt;R&gt;1&lt;/R&gt;&lt;C&gt;1&lt;/C&gt;&lt;D xsi:type="xsd:double"&gt;3.866&lt;/D&gt;&lt;/FQL&gt;&lt;FQL&gt;&lt;Q&gt;ALK-US^FF_COGS(ANN_R,12/2017,,,,,B)&lt;/Q&gt;&lt;R&gt;1&lt;/R&gt;&lt;C&gt;1&lt;/C&gt;&lt;D xsi:type="xsd:double"&gt;5.625&lt;/D&gt;&lt;/FQL&gt;&lt;FQL&gt;&lt;Q&gt;ALK-US^FF_COGS(ANN_R,12/2018,,,,,B)&lt;/Q&gt;&lt;R&gt;1&lt;/R&gt;&lt;C&gt;1&lt;/C&gt;&lt;D xsi:type="xsd:double"&gt;6.634&lt;/D&gt;&lt;/FQL&gt;&lt;FQL&gt;&lt;Q&gt;ALK-US^FF_COGS(ANN_R,12/2019,,,,,B)&lt;/Q&gt;&lt;R&gt;1&lt;/R&gt;&lt;C&gt;1&lt;/C&gt;&lt;D xsi:type="xsd:double"&gt;6.789&lt;/D&gt;&lt;/FQL&gt;&lt;FQL&gt;&lt;Q&gt;ALK-US^FF_COGS(ANN_R,12/2020,,,,,B)&lt;/Q&gt;&lt;R&gt;1&lt;/R&gt;&lt;C&gt;1&lt;/C&gt;&lt;D xsi:type="xsd:double"&gt;4.749&lt;/D&gt;&lt;/FQL&gt;&lt;FQL&gt;&lt;Q&gt;ALK-US^FF_SALES(ANN_R,12/2011,,,,,B)&lt;/Q&gt;&lt;R&gt;1&lt;/R&gt;&lt;C&gt;1&lt;/C&gt;&lt;D xsi:type="xsd:double"&gt;4.3178&lt;/D&gt;&lt;/FQL&gt;&lt;FQL&gt;&lt;Q&gt;ALK-US^FF_SALES(ANN_R,12/2012,,,,,B)&lt;/Q&gt;&lt;R&gt;1&lt;/R&gt;&lt;C&gt;1&lt;/C&gt;&lt;D xsi:type="xsd:double"&gt;4.657&lt;/D&gt;&lt;/FQL&gt;&lt;FQL&gt;&lt;Q&gt;ALK-US^FF_SALES(ANN_R,12/2013,,,,,B)&lt;/Q&gt;&lt;R&gt;1&lt;/R&gt;&lt;C&gt;1&lt;/C&gt;&lt;D xsi:type="xsd:double"&gt;4.964&lt;/D&gt;&lt;/FQL&gt;&lt;FQL&gt;&lt;Q&gt;ALK-US^FF_SALES(ANN_R,12/2014,,,,,B)&lt;/Q&gt;&lt;R&gt;1&lt;/R&gt;&lt;C&gt;1&lt;/C&gt;&lt;D xsi:type="xsd:double"&gt;5.368&lt;/D&gt;&lt;/FQL&gt;&lt;FQL&gt;&lt;Q&gt;ALK-US^FF_SALES(ANN_R,12/2015,,,,,B)&lt;/Q&gt;&lt;R&gt;1&lt;/R&gt;&lt;C&gt;1&lt;/C&gt;&lt;D xsi:type="xsd:double"&gt;5.598&lt;/D&gt;&lt;/FQL&gt;&lt;FQL&gt;&lt;Q&gt;ALK-US^FF_SALES(ANN_R,12/2016,,,,,B)&lt;/Q&gt;&lt;R&gt;1&lt;/R&gt;&lt;C&gt;1&lt;/C&gt;&lt;D xsi:type="xsd:double"&gt;5.931&lt;/D&gt;&lt;/FQL&gt;&lt;FQL&gt;&lt;Q&gt;ALK-US^FF_SALES(ANN_R,12/2017,,,,,B)&lt;/Q&gt;&lt;R&gt;1&lt;/R&gt;&lt;C&gt;1&lt;/C&gt;&lt;D xsi:type="xsd:double"&gt;7.894&lt;/D&gt;&lt;/FQL&gt;&lt;FQL&gt;&lt;Q&gt;ALK-US^FF_SALES(ANN_R,12/2018,,,,,B)&lt;/Q&gt;&lt;R&gt;1&lt;/R&gt;&lt;C&gt;1&lt;/C&gt;&lt;D xsi:type="xsd:double"&gt;8.264&lt;/D&gt;&lt;/FQL&gt;&lt;FQL&gt;&lt;Q&gt;ALK-US^FF_SALES(ANN_R,12/2019,,,,,B)&lt;/Q&gt;&lt;R&gt;1&lt;/R&gt;&lt;C&gt;1&lt;/C&gt;&lt;D xsi:type="xsd:double"&gt;8.781&lt;/D&gt;&lt;/FQL&gt;&lt;FQL&gt;&lt;Q&gt;ALK-US^FF_SALES(ANN_R,12/2020,,,,,B)&lt;/Q&gt;&lt;R&gt;1&lt;/R&gt;&lt;C&gt;1&lt;/C&gt;&lt;D xsi:type="xsd:double"&gt;3.566&lt;/D&gt;&lt;/FQL&gt;&lt;FQL&gt;&lt;Q&gt;ALK-US^FF_UNUSUAL_EXP(ANN_R,12/2011,,,,,B)&lt;/Q&gt;&lt;R&gt;1&lt;/R&gt;&lt;C&gt;1&lt;/C&gt;&lt;D xsi:type="xsd:double"&gt;0.0451&lt;/D&gt;&lt;/FQL&gt;&lt;FQL&gt;&lt;Q&gt;ALK-US^FF_UNUSUAL_EXP(ANN_R,12/2012,,,,,B)&lt;/Q&gt;&lt;R&gt;1&lt;/R&gt;&lt;C&gt;1&lt;/C&gt;&lt;D xsi:type="xsd:double"&gt;0.038&lt;/D&gt;&lt;/FQL&gt;&lt;FQL&gt;&lt;Q&gt;ALK-US^FF_UNUSUAL_EXP(ANN_R,12/2013,,,,,B)&lt;/Q&gt;&lt;R&gt;1&lt;/R&gt;&lt;C&gt;1&lt;/C&gt;&lt;D xsi:type="xsd:double"&gt;-0.2&lt;/D&gt;&lt;/FQL&gt;&lt;FQL&gt;&lt;Q&gt;ALK-US^FF_UNUSUAL_EXP(ANN_R,12/2014,,,,,B)&lt;/Q&gt;&lt;R&gt;1&lt;/R&gt;&lt;C&gt;1&lt;/C&gt;&lt;D xsi:type="xsd:double"&gt;-0.053&lt;/D&gt;&lt;/FQL&gt;&lt;FQL&gt;&lt;Q&gt;ALK-US^FF_UNUSUAL_EXP(ANN_R,12/2015,,,,,B)&lt;/Q&gt;&lt;R&gt;1&lt;/R&gt;&lt;C&gt;1&lt;/C&gt;&lt;D xsi:type="xsd:double"&gt;0.032&lt;/D&gt;&lt;/FQL&gt;&lt;FQL&gt;&lt;Q&gt;ALK-US^FF_UNUSUAL_EXP(ANN_R,12/2016,,,,,B)&lt;/Q&gt;&lt;R&gt;1&lt;/R&gt;&lt;C&gt;1&lt;/C&gt;&lt;D xsi:type="xsd:double"&gt;0.104&lt;/D&gt;&lt;/FQL&gt;&lt;FQL&gt;&lt;Q&gt;ALK-US^FF_UNUSUAL_EXP(ANN_R,12/2017,,,,,B)&lt;/Q&gt;&lt;R&gt;1&lt;/R&gt;&lt;C&gt;1&lt;/C&gt;&lt;D xsi:type="xsd:double"&gt;0.109&lt;/D&gt;&lt;/FQL&gt;&lt;FQL&gt;&lt;Q&gt;ALK-US^FF_UNUSUAL_EXP(ANN_R,12/2018,,,,,B)&lt;/Q&gt;&lt;R&gt;1&lt;/R&gt;&lt;C&gt;1&lt;/C&gt;&lt;D xsi:type="xsd:double"&gt;0.11&lt;/D&gt;&lt;/FQL&gt;&lt;FQL&gt;&lt;Q&gt;ALK-US^FF_UNUSUAL_EXP(ANN_R,12/2019,,,,,B)&lt;/Q&gt;&lt;R&gt;1&lt;/R&gt;&lt;C&gt;1&lt;/C&gt;&lt;D xsi:type="xsd:double"&gt;0.038&lt;/D&gt;&lt;/FQL&gt;&lt;FQL&gt;&lt;Q&gt;ALK-US^FF_UNUSUAL_EXP(ANN_R,12/2020,,,,,B)&lt;/Q&gt;&lt;R&gt;1&lt;/R&gt;&lt;C&gt;1&lt;/C&gt;&lt;D xsi:type="xsd:double"&gt;0.089&lt;/D&gt;&lt;/FQL&gt;&lt;FQL&gt;&lt;Q&gt;ALK-US^FF_NON_OPER_INC(ANN_R,12/2011,,,,,B)&lt;/Q&gt;&lt;R&gt;1&lt;/R&gt;&lt;C&gt;1&lt;/C&gt;&lt;D xsi:type="xsd:double"&gt;0.0109&lt;/D&gt;&lt;/FQL&gt;&lt;FQL&gt;&lt;Q&gt;ALK-US^FF_NON_OPER_INC(ANN_R,12/2012,,,,,B)&lt;/Q&gt;&lt;R&gt;1&lt;/R&gt;&lt;C&gt;1&lt;/C&gt;&lt;D xsi:type="xsd:double"&gt;-0.002&lt;/D&gt;&lt;/FQL&gt;&lt;FQL&gt;&lt;Q&gt;ALK-US^FF_NON_OPER_INC(ANN_R,12/2013,,,,,B)&lt;/Q&gt;&lt;R&gt;1&lt;/R&gt;&lt;C&gt;1&lt;/C&gt;&lt;D xsi:type="xsd:double"&gt;-0.045&lt;/D&gt;&lt;/FQL&gt;&lt;FQL&gt;&lt;Q&gt;ALK-US^FF_NON_OPER_INC(ANN_R,12/2014,,,,,B)&lt;/Q&gt;&lt;R&gt;1&lt;/R&gt;&lt;C&gt;1&lt;/C&gt;&lt;D xsi:type="xsd:double"&gt;-0.006&lt;/D&gt;&lt;/FQL&gt;&lt;FQL&gt;&lt;Q&gt;ALK-US^FF_NON_OPER_INC(ANN_R,12/2015,,,,,B)&lt;/Q&gt;&lt;R&gt;1&lt;/R&gt;&lt;C&gt;1&lt;/C&gt;&lt;D xsi:type="xsd:double"&gt;-0.003&lt;/D&gt;&lt;/FQL&gt;&lt;FQL&gt;&lt;Q&gt;ALK-US^FF_NON_OPER_INC(ANN_R,12/2016,,,,,B)&lt;/Q&gt;&lt;R&gt;1&lt;/R&gt;&lt;C&gt;1&lt;/C&gt;&lt;D xsi:type="xsd:double"&gt;0.004&lt;/D&gt;&lt;/FQL&gt;&lt;FQL&gt;&lt;Q&gt;ALK-US^FF_NON_OPER_INC(ANN_R,12/2017,,,,,B)&lt;/Q&gt;&lt;R&gt;1&lt;/R&gt;&lt;C&gt;1&lt;/C&gt;&lt;D xsi:type="xsd:double"&gt;0.015&lt;/D&gt;&lt;/FQL&gt;&lt;FQL&gt;&lt;Q&gt;ALK-US^FF_NON_OPER_INC(ANN_R,12/2018,,,,,B)&lt;/Q&gt;&lt;R&gt;1&lt;/R&gt;&lt;C&gt;1&lt;/C&gt;&lt;D xsi:type="xsd:double"&gt;0.036&lt;/D&gt;&lt;/FQL&gt;&lt;FQL&gt;&lt;Q&gt;ALK-US^FF_NON_OPER_INC(ANN_R,12/2019,,,,,B)&lt;/Q&gt;&lt;R&gt;1&lt;/R&gt;&lt;C&gt;1&lt;/C&gt;&lt;D xsi:type="xsd:double"&gt;-0.003&lt;/D&gt;&lt;/FQL&gt;&lt;FQL&gt;&lt;Q&gt;ALK-US^FF_NON_OPER_INC(ANN_R,12/2020,,,,,B)&lt;/Q&gt;&lt;R&gt;1&lt;/R&gt;&lt;C&gt;1&lt;/C&gt;&lt;D xsi:type="xsd:double"&gt;0.027&lt;/D&gt;&lt;/FQL&gt;&lt;FQL&gt;&lt;Q&gt;ALK-US^FF_COM_SHS_OUT(ANN_R,12/2011)&lt;/Q&gt;&lt;R&gt;1&lt;/R&gt;&lt;C&gt;1&lt;/C&gt;&lt;D xsi:type="xsd:double"&gt;141.8991&lt;/D&gt;&lt;/FQL&gt;&lt;FQL&gt;&lt;Q&gt;SKYW-US^FF_NON_OPER_INC(ANN_R,12/2020,,,,,B)&lt;/Q&gt;&lt;R&gt;1&lt;/R&gt;&lt;C&gt;1&lt;/C&gt;&lt;D xsi:type="xsd:double"&gt;0.007039&lt;/D&gt;&lt;/FQL&gt;&lt;FQL&gt;&lt;Q&gt;SKYW-US^FF_NON_OPER_INC(ANN_R,12/2019,,,,,B)&lt;/Q&gt;&lt;R&gt;1&lt;/R&gt;&lt;C&gt;1&lt;/C&gt;&lt;D xsi:type="xsd:double"&gt;0.061801&lt;/D&gt;&lt;/FQL&gt;&lt;FQL&gt;&lt;Q&gt;SKYW-US^FF_NON_OPER_INC(ANN_R,12/2018,,,,,B)&lt;/Q&gt;&lt;R&gt;1&lt;/R&gt;&lt;C&gt;1&lt;/C&gt;&lt;D xsi:type="xsd:double"&gt;0.012443&lt;/D&gt;&lt;/FQL&gt;&lt;FQL&gt;&lt;Q&gt;SKYW-US^FF_NON_OPER_INC(ANN_R,12/2017,,,,,B)&lt;/Q&gt;&lt;R&gt;1&lt;/R&gt;&lt;C&gt;1&lt;/C&gt;&lt;D xsi:type="xsd:double"&gt;0.004909&lt;/D&gt;&lt;/FQL&gt;&lt;FQL&gt;&lt;Q&gt;SKYW-US^FF_NON_OPER_INC(ANN_R,12/2016,,,,,B)&lt;/Q&gt;&lt;R&gt;1&lt;/R&gt;&lt;C&gt;1&lt;/C&gt;&lt;D xsi:type="xsd:double"&gt;0.000773&lt;/D&gt;&lt;/FQL&gt;&lt;FQL&gt;&lt;Q&gt;SKYW-US^FF_NON_OPER_INC(ANN_R,12/2015,,,,,B)&lt;/Q&gt;&lt;R&gt;1&lt;/R&gt;&lt;C&gt;1&lt;/C&gt;&lt;D xsi:type="xsd:double"&gt;0.001997&lt;/D&gt;&lt;/FQL&gt;&lt;FQL&gt;&lt;Q&gt;SKYW-US^FF_NON_OPER_INC(ANN_R,12/2014,,,,,B)&lt;/Q&gt;&lt;R&gt;1&lt;/R&gt;&lt;C&gt;1&lt;/C&gt;&lt;D xsi:type="xsd:double"&gt;0.024806&lt;/D&gt;&lt;/FQL&gt;&lt;FQL&gt;&lt;Q&gt;SKYW-US^FF_NON_OPER_INC(ANN_R,12/2013,,,,,B)&lt;/Q&gt;&lt;R&gt;1&lt;/R&gt;&lt;C&gt;1&lt;/C&gt;&lt;D xsi:type="xsd:double"&gt;0.014079&lt;/D&gt;&lt;/FQL&gt;&lt;FQL&gt;&lt;Q&gt;SKYW-US^FF_NON_OPER_INC(ANN_R,12/2012,,,,,B)&lt;/Q&gt;&lt;R&gt;1&lt;/R&gt;&lt;C&gt;1&lt;/C&gt;&lt;D xsi:type="xsd:double"&gt;-0.002712&lt;/D&gt;&lt;/FQL&gt;&lt;FQL&gt;&lt;Q&gt;SKYW-US^FF_NON_OPER_INC(ANN_R,12/2011,,,,,B)&lt;/Q&gt;&lt;R&gt;1&lt;/R&gt;&lt;C&gt;1&lt;/C&gt;&lt;D xsi:type="xsd:double"&gt;-0.005184&lt;/D&gt;&lt;/FQL&gt;&lt;FQL&gt;&lt;Q&gt;SKYW-US^FF_UNUSUAL_EXP(ANN_R,12/2020,,,,,B)&lt;/Q&gt;&lt;R&gt;1&lt;/R&gt;&lt;C&gt;1&lt;/C&gt;&lt;D xsi:type="xsd:double"&gt;-0.345491&lt;/D&gt;&lt;/FQL&gt;&lt;FQL&gt;&lt;Q&gt;SKYW-US^FF_UNUSUAL_EXP(ANN_R,12/2019,,,,,B)&lt;/Q&gt;&lt;R&gt;1&lt;/R&gt;&lt;C&gt;1&lt;/C&gt;&lt;D xsi:type="xsd:double"&gt;0.021869&lt;/D&gt;&lt;/FQL&gt;&lt;FQL&gt;&lt;Q&gt;SKYW-US^FF_UNUSUAL_EXP(ANN_R,12/2018,,,,,B)&lt;/Q&gt;&lt;R&gt;1&lt;/R&gt;&lt;C&gt;1&lt;/C&gt;&lt;D xsi:type="xsd:double"&gt;0&lt;/D&gt;&lt;/FQL&gt;&lt;FQL&gt;&lt;Q&gt;SKYW-US^FF_UNUSUAL_EXP(ANN_R,12/2017,,,,,B)&lt;/Q&gt;&lt;R&gt;1&lt;/R&gt;&lt;C&gt;1&lt;/C&gt;&lt;D xsi:type="xsd:double"&gt;0&lt;/D&gt;&lt;/FQL&gt;&lt;FQL&gt;&lt;Q&gt;SKYW-US^FF_UNUSUAL_EXP(ANN_R,12/2016,,,,,B)&lt;/Q&gt;&lt;R&gt;1&lt;/R&gt;&lt;C&gt;1&lt;/C&gt;&lt;D xsi:type="xsd:double"&gt;0.46437&lt;/D&gt;&lt;/FQL&gt;&lt;FQL&gt;&lt;Q&gt;SKYW-US^FF_UNUSUAL_EXP(ANN_R,12/2015,,,,,B)&lt;/Q&gt;&lt;R&gt;1&lt;/R&gt;&lt;C&gt;1&lt;/C&gt;&lt;D xsi:type="xsd:double"&gt;-0.03366&lt;/D&gt;&lt;/FQL&gt;&lt;FQL&gt;&lt;Q&gt;SKYW-US^FF_UNUSUAL_EXP(ANN_R,12/2014,,,,,B)&lt;/Q&gt;&lt;R&gt;1&lt;/R&gt;&lt;C&gt;1&lt;/C&gt;&lt;D xsi:type="xsd:double"&gt;0.074777&lt;/D&gt;&lt;/FQL&gt;&lt;FQL&gt;&lt;Q&gt;SKYW-US^FF_UNUSUAL_EXP(ANN_R,12/2013,,,,,B)&lt;/Q&gt;&lt;R&gt;1&lt;/R&gt;&lt;C&gt;1&lt;/C&gt;&lt;D xsi:type="xsd:double"&gt;0&lt;/D&gt;&lt;/FQL&gt;&lt;FQL&gt;&lt;Q&gt;SKYW-US^FF_UNUSUAL_EXP(ANN_R,12/2012,,,,,B)&lt;/Q&gt;&lt;R&gt;1&lt;/R&gt;&lt;C&gt;1&lt;/C&gt;&lt;D xsi:type="xsd:double"&gt;0&lt;/D&gt;&lt;/FQL&gt;&lt;FQL&gt;&lt;Q&gt;SKYW-US^FF_UNUSUAL_EXP(ANN_R,12/2011,,,,,B)&lt;/Q&gt;&lt;R&gt;1&lt;/R&gt;&lt;C&gt;1&lt;/C&gt;&lt;D xsi:type="xsd:double"&gt;0.011481&lt;/D&gt;&lt;/FQL&gt;&lt;FQL&gt;&lt;Q&gt;SKYW-US^FF_SALES(ANN_R,12/2020,,,,,B)&lt;/Q&gt;&lt;R&gt;1&lt;/R&gt;&lt;C&gt;1&lt;/C&gt;&lt;D xsi:type="xsd:double"&gt;2.127106&lt;/D&gt;&lt;/FQL&gt;&lt;FQL&gt;&lt;Q&gt;SKYW-US^FF_SALES(ANN_R,12/2019,,,,,B)&lt;/Q&gt;&lt;R&gt;1&lt;/R&gt;&lt;C&gt;1&lt;/C&gt;&lt;D xsi:type="xsd:double"&gt;2.971963&lt;/D&gt;&lt;/FQL&gt;&lt;FQL&gt;&lt;Q&gt;SKYW-US^FF_SALES(ANN_R,12/2018,,,,,B)&lt;/Q&gt;&lt;R&gt;1&lt;/R&gt;&lt;C&gt;1&lt;/C&gt;&lt;D xsi:type="xsd:double"&gt;3.221679&lt;/D&gt;&lt;/FQL&gt;&lt;FQL&gt;&lt;Q&gt;SKYW-US^FF_SALES(ANN_R,12/2017,,,,,B)&lt;/Q&gt;&lt;R&gt;1&lt;/R&gt;&lt;C&gt;1&lt;/C&gt;&lt;D xsi:type="xsd:double"&gt;3.122592&lt;/D&gt;&lt;/FQL&gt;&lt;FQL&gt;&lt;Q&gt;SKYW-US^FF_SALES(ANN_R,12/2016,,,,,B)&lt;/Q&gt;&lt;R&gt;1&lt;/R&gt;&lt;C&gt;1&lt;/C&gt;&lt;D xsi:type="xsd:double"&gt;3.121206&lt;/D&gt;&lt;/FQL&gt;&lt;FQL&gt;&lt;Q&gt;SKYW-US^FF_SALES(ANN_R,12/2015,,,,,B)&lt;/Q&gt;&lt;R&gt;1&lt;/R&gt;&lt;C&gt;1&lt;/C&gt;&lt;D xsi:type="xsd:double"&gt;3.095563&lt;/D&gt;&lt;/FQL&gt;&lt;FQL&gt;&lt;Q&gt;SKYW-US^FF_SALES(ANN_R,12/2014,,,,,B)&lt;/Q&gt;&lt;R&gt;1&lt;/R&gt;&lt;C&gt;1&lt;/C&gt;&lt;D xsi:type="xsd:double"&gt;3.237447&lt;/D&gt;&lt;/FQL&gt;&lt;FQL&gt;&lt;Q&gt;SKYW-US^FF_SALES(ANN_R,12/2013,,,,,B)&lt;/Q&gt;&lt;R&gt;1&lt;/R&gt;&lt;C&gt;1&lt;/C&gt;&lt;D xsi:type="xsd:double"&gt;3.297725&lt;/D&gt;&lt;/FQL&gt;&lt;FQL&gt;&lt;Q&gt;SKYW-US^FF_SALES(ANN_R,12/2012,,,,,B)&lt;/Q&gt;&lt;R&gt;1&lt;/R&gt;&lt;C&gt;1&lt;/C&gt;&lt;D xsi:type="xsd:double"&gt;3.534372&lt;/D&gt;&lt;/FQL&gt;&lt;FQL&gt;&lt;Q&gt;SKYW-US^FF_SALES(ANN_R,12/2011,,,,,B)&lt;/Q&gt;&lt;R&gt;1&lt;/R&gt;&lt;C&gt;1&lt;/C&gt;&lt;D xsi:type="xsd:double"&gt;3.654923&lt;/D&gt;&lt;/FQL&gt;&lt;FQL&gt;&lt;Q&gt;SKYW-US^FF_COGS(ANN_R,12/2020,,,,,B)&lt;/Q&gt;&lt;R&gt;1&lt;/R&gt;&lt;C&gt;1&lt;/C&gt;&lt;D xsi:type="xsd:double"&gt;2.140998&lt;/D&gt;&lt;/FQL&gt;&lt;FQL&gt;&lt;Q&gt;SKYW-US^FF_COGS(ANN_R,12/2019,,,,,B)&lt;/Q&gt;&lt;R&gt;1&lt;/R&gt;&lt;C&gt;1&lt;/C&gt;&lt;D xsi:type="xsd:double"&gt;2.194107&lt;/D&gt;&lt;/FQL&gt;&lt;FQL&gt;&lt;Q&gt;SKYW-US^FF_COGS(ANN_R,12/2018,,,,,B)&lt;/Q&gt;&lt;R&gt;1&lt;/R&gt;&lt;C&gt;1&lt;/C&gt;&lt;D xsi:type="xsd:double"&gt;2.474573&lt;/D&gt;&lt;/FQL&gt;&lt;FQL&gt;&lt;Q&gt;SKYW-US^FF_COGS(ANN_R,12/2017,,,,,B)&lt;/Q&gt;&lt;R&gt;1&lt;/R&gt;&lt;C&gt;1&lt;/C&gt;&lt;D xsi:type="xsd:double"&gt;2.483615&lt;/D&gt;&lt;/FQL&gt;&lt;FQL&gt;&lt;Q&gt;SKYW-US</t>
        </r>
      </text>
    </comment>
    <comment ref="A28" authorId="0" shapeId="0" xr:uid="{5CF76461-3E7A-49BB-862C-B6F306973A1D}">
      <text>
        <r>
          <rPr>
            <b/>
            <sz val="9"/>
            <color indexed="81"/>
            <rFont val="Tahoma"/>
            <charset val="1"/>
          </rPr>
          <t>^FF_COGS(ANN_R,12/2016,,,,,B)&lt;/Q&gt;&lt;R&gt;1&lt;/R&gt;&lt;C&gt;1&lt;/C&gt;&lt;D xsi:type="xsd:double"&gt;2.5232&lt;/D&gt;&lt;/FQL&gt;&lt;FQL&gt;&lt;Q&gt;SKYW-US^FF_COGS(ANN_R,12/2015,,,,,B)&lt;/Q&gt;&lt;R&gt;1&lt;/R&gt;&lt;C&gt;1&lt;/C&gt;&lt;D xsi:type="xsd:double"&gt;2.601363&lt;/D&gt;&lt;/FQL&gt;&lt;FQL&gt;&lt;Q&gt;SKYW-US^FF_COGS(ANN_R,12/2014,,,,,B)&lt;/Q&gt;&lt;R&gt;1&lt;/R&gt;&lt;C&gt;1&lt;/C&gt;&lt;D xsi:type="xsd:double"&gt;2.874092&lt;/D&gt;&lt;/FQL&gt;&lt;FQL&gt;&lt;Q&gt;SKYW-US^FF_COGS(ANN_R,12/2013,,,,,B)&lt;/Q&gt;&lt;R&gt;1&lt;/R&gt;&lt;C&gt;1&lt;/C&gt;&lt;D xsi:type="xsd:double"&gt;2.905373&lt;/D&gt;&lt;/FQL&gt;&lt;FQL&gt;&lt;Q&gt;SKYW-US^FF_COGS(ANN_R,12/2012,,,,,B)&lt;/Q&gt;&lt;R&gt;1&lt;/R&gt;&lt;C&gt;1&lt;/C&gt;&lt;D xsi:type="xsd:double"&gt;3.138543&lt;/D&gt;&lt;/FQL&gt;&lt;FQL&gt;&lt;Q&gt;SKYW-US^FF_COGS(ANN_R,12/2011,,,,,B)&lt;/Q&gt;&lt;R&gt;1&lt;/R&gt;&lt;C&gt;1&lt;/C&gt;&lt;D xsi:type="xsd:double"&gt;3.367856&lt;/D&gt;&lt;/FQL&gt;&lt;FQL&gt;&lt;Q&gt;SKYW-US^FF_SGA(ANN_R,12/2020,,,,,B)&lt;/Q&gt;&lt;R&gt;1&lt;/R&gt;&lt;C&gt;1&lt;/C&gt;&lt;D xsi:type="xsd:double"&gt;0.222797&lt;/D&gt;&lt;/FQL&gt;&lt;FQL&gt;&lt;Q&gt;SKYW-US^FF_SGA(ANN_R,12/2019,,,,,B)&lt;/Q&gt;&lt;R&gt;1&lt;/R&gt;&lt;C&gt;1&lt;/C&gt;&lt;D xsi:type="xsd:double"&gt;0.243729&lt;/D&gt;&lt;/FQL&gt;&lt;FQL&gt;&lt;Q&gt;SKYW-US^FF_SGA(ANN_R,12/2018,,,,,B)&lt;/Q&gt;&lt;R&gt;1&lt;/R&gt;&lt;C&gt;1&lt;/C&gt;&lt;D xsi:type="xsd:double"&gt;0.272827&lt;/D&gt;&lt;/FQL&gt;&lt;FQL&gt;&lt;Q&gt;SKYW-US^FF_SGA(ANN_R,12/2017,,,,,B)&lt;/Q&gt;&lt;R&gt;1&lt;/R&gt;&lt;C&gt;1&lt;/C&gt;&lt;D xsi:type="xsd:double"&gt;0.250778&lt;/D&gt;&lt;/FQL&gt;&lt;FQL&gt;&lt;Q&gt;SKYW-US^FF_SGA(ANN_R,12/2016,,,,,B)&lt;/Q&gt;&lt;R&gt;1&lt;/R&gt;&lt;C&gt;1&lt;/C&gt;&lt;D xsi:type="xsd:double"&gt;0.305041&lt;/D&gt;&lt;/FQL&gt;&lt;FQL&gt;&lt;Q&gt;SKYW-US^FF_SGA(ANN_R,12/2015,,,,,B)&lt;/Q&gt;&lt;R&gt;1&lt;/R&gt;&lt;C&gt;1&lt;/C&gt;&lt;D xsi:type="xsd:double"&gt;0.259685&lt;/D&gt;&lt;/FQL&gt;&lt;FQL&gt;&lt;Q&gt;SKYW-US^FF_SGA(ANN_R,12/2014,,,,,B)&lt;/Q&gt;&lt;R&gt;1&lt;/R&gt;&lt;C&gt;1&lt;/C&gt;&lt;D xsi:type="xsd:double"&gt;0.26373&lt;/D&gt;&lt;/FQL&gt;&lt;FQL&gt;&lt;Q&gt;SKYW-US^FF_SGA(ANN_R,12/2013,,,,,B)&lt;/Q&gt;&lt;R&gt;1&lt;/R&gt;&lt;C&gt;1&lt;/C&gt;&lt;D xsi:type="xsd:double"&gt;0.239241&lt;/D&gt;&lt;/FQL&gt;&lt;FQL&gt;&lt;Q&gt;SKYW-US^FF_SGA(ANN_R,12/2012,,,,,B)&lt;/Q&gt;&lt;R&gt;0&lt;/R&gt;&lt;C&gt;0&lt;/C&gt;&lt;/FQL&gt;&lt;FQL&gt;&lt;Q&gt;SKYW-US^FF_SGA(ANN_R,12/2011,,,,,B)&lt;/Q&gt;&lt;R&gt;0&lt;/R&gt;&lt;C&gt;0&lt;/C&gt;&lt;/FQL&gt;&lt;FQL&gt;&lt;Q&gt;SKYW-US^FF_INT_EXP_NET(ANN_R,12/2020,,,,,B)&lt;/Q&gt;&lt;R&gt;1&lt;/R&gt;&lt;C&gt;1&lt;/C&gt;&lt;D xsi:type="xsd:double"&gt;0.123173&lt;/D&gt;&lt;/FQL&gt;&lt;FQL&gt;&lt;Q&gt;SKYW-US^FF_INT_EXP_NET(ANN_R,12/2019,,,,,B)&lt;/Q&gt;&lt;R&gt;1&lt;/R&gt;&lt;C&gt;1&lt;/C&gt;&lt;D xsi:type="xsd:double"&gt;0.127755&lt;/D&gt;&lt;/FQL&gt;&lt;FQL&gt;&lt;Q&gt;SKYW-US^FF_INT_EXP_NET(ANN_R,12/2018,,,,,B)&lt;/Q&gt;&lt;R&gt;1&lt;/R&gt;&lt;C&gt;1&lt;/C&gt;&lt;D xsi:type="xsd:double"&gt;0.120409&lt;/D&gt;&lt;/FQL&gt;&lt;FQL&gt;&lt;Q&gt;SKYW-US^FF_INT_EXP_NET(ANN_R,12/2017,,,,,B)&lt;/Q&gt;&lt;R&gt;1&lt;/R&gt;&lt;C&gt;1&lt;/C&gt;&lt;D xsi:type="xsd:double"&gt;0.104925&lt;/D&gt;&lt;/FQL&gt;&lt;FQL&gt;&lt;Q&gt;SKYW-US^FF_INT_EXP_NET(ANN_R,12/2016,,,,,B)&lt;/Q&gt;&lt;R&gt;1&lt;/R&gt;&lt;C&gt;1&lt;/C&gt;&lt;D xsi:type="xsd:double"&gt;0.078177&lt;/D&gt;&lt;/FQL&gt;&lt;FQL&gt;&lt;Q&gt;SKYW-US^FF_INT_EXP_NET(ANN_R,12/2015,,,,,B)&lt;/Q&gt;&lt;R&gt;1&lt;/R&gt;&lt;C&gt;1&lt;/C&gt;&lt;D xsi:type="xsd:double"&gt;0.07585&lt;/D&gt;&lt;/FQL&gt;&lt;FQL&gt;&lt;Q&gt;SKYW-US^FF_INT_EXP_NET(ANN_R,12/2014,,,,,B)&lt;/Q&gt;&lt;R&gt;1&lt;/R&gt;&lt;C&gt;1&lt;/C&gt;&lt;D xsi:type="xsd:double"&gt;0.065995&lt;/D&gt;&lt;/FQL&gt;&lt;FQL&gt;&lt;Q&gt;SKYW-US^FF_INT_EXP_NET(ANN_R,12/2013,,,,,B)&lt;/Q&gt;&lt;R&gt;1&lt;/R&gt;&lt;C&gt;1&lt;/C&gt;&lt;D xsi:type="xsd:double"&gt;0.068658&lt;/D&gt;&lt;/FQL&gt;&lt;FQL&gt;&lt;Q&gt;SKYW-US^FF_INT_EXP_NET(ANN_R,12/2012,,,,,B)&lt;/Q&gt;&lt;R&gt;1&lt;/R&gt;&lt;C&gt;1&lt;/C&gt;&lt;D xsi:type="xsd:double"&gt;0.07738&lt;/D&gt;&lt;/FQL&gt;&lt;FQL&gt;&lt;Q&gt;SKYW-US^FF_INT_EXP_NET(ANN_R,12/2011,,,,,B)&lt;/Q&gt;&lt;R&gt;1&lt;/R&gt;&lt;C&gt;1&lt;/C&gt;&lt;D xsi:type="xsd:double"&gt;0.080383&lt;/D&gt;&lt;/FQL&gt;&lt;FQL&gt;&lt;Q&gt;SKYW-US^FF_INC_TAX(ANN_R,12/2020,,,,,B)&lt;/Q&gt;&lt;R&gt;1&lt;/R&gt;&lt;C&gt;1&lt;/C&gt;&lt;D xsi:type="xsd:double"&gt;0.001188&lt;/D&gt;&lt;/FQL&gt;&lt;FQL&gt;&lt;Q&gt;SKYW-US^FF_EBIT_OPER(ANN_R,12/2020,,,,,B)&lt;/Q&gt;&lt;R&gt;1&lt;/R&gt;&lt;C&gt;1&lt;/C&gt;&lt;D xsi:type="xsd:double"&gt;-0.23669&lt;/D&gt;&lt;/FQL&gt;&lt;FQL&gt;&lt;Q&gt;SKYW-US^FF_INC_TAX(ANN_R,12/2019,,,,,B)&lt;/Q&gt;&lt;R&gt;1&lt;/R&gt;&lt;C&gt;1&lt;/C&gt;&lt;D xsi:type="xsd:double"&gt;0.106206&lt;/D&gt;&lt;/FQL&gt;&lt;FQL&gt;&lt;Q&gt;SKYW-US^FF_EBIT_OPER(ANN_R,12/2019,,,,,B)&lt;/Q&gt;&lt;R&gt;1&lt;/R&gt;&lt;C&gt;1&lt;/C&gt;&lt;D xsi:type="xsd:double"&gt;0.53413&lt;/D&gt;&lt;/FQL&gt;&lt;FQL&gt;&lt;Q&gt;SKYW-US^FF_INC_TAX(ANN_R,12/2018,,,,,B)&lt;/Q&gt;&lt;R&gt;1&lt;/R&gt;&lt;C&gt;1&lt;/C&gt;&lt;D xsi:type="xsd:double"&gt;0.085942&lt;/D&gt;&lt;/FQL&gt;&lt;FQL&gt;&lt;Q&gt;SKYW-US^FF_EBIT_OPER(ANN_R,12/2018,,,,,B)&lt;/Q&gt;&lt;R&gt;1&lt;/R&gt;&lt;C&gt;1&lt;/C&gt;&lt;D xsi:type="xsd:double"&gt;0.47428&lt;/D&gt;&lt;/FQL&gt;&lt;FQL&gt;&lt;Q&gt;SKYW-US^FF_INC_TAX(ANN_R,12/2017,,,,,B)&lt;/Q&gt;&lt;R&gt;1&lt;/R&gt;&lt;C&gt;1&lt;/C&gt;&lt;D xsi:type="xsd:double"&gt;-0.140724&lt;/D&gt;&lt;/FQL&gt;&lt;FQL&gt;&lt;Q&gt;SKYW-US^FF_EBIT_OPER(ANN_R,12/2017,,,,,B)&lt;/Q&gt;&lt;R&gt;1&lt;/R&gt;&lt;C&gt;1&lt;/C&gt;&lt;D xsi:type="xsd:double"&gt;0.3882&lt;/D&gt;&lt;/FQL&gt;&lt;FQL&gt;&lt;Q&gt;SKYW-US^FF_INC_TAX(ANN_R,12/2016,,,,,B)&lt;/Q&gt;&lt;R&gt;1&lt;/R&gt;&lt;C&gt;1&lt;/C&gt;&lt;D xsi:type="xsd:double"&gt;-0.087226&lt;/D&gt;&lt;/FQL&gt;&lt;FQL&gt;&lt;Q&gt;SKYW-US^FF_EBIT_OPER(ANN_R,12/2016,,,,,B)&lt;/Q&gt;&lt;R&gt;1&lt;/R&gt;&lt;C&gt;1&lt;/C&gt;&lt;D xsi:type="xsd:double"&gt;0.29297&lt;/D&gt;&lt;/FQL&gt;&lt;FQL&gt;&lt;Q&gt;SKYW-US^FF_INC_TAX(ANN_R,12/2015,,,,,B)&lt;/Q&gt;&lt;R&gt;1&lt;/R&gt;&lt;C&gt;1&lt;/C&gt;&lt;D xsi:type="xsd:double"&gt;0.076505&lt;/D&gt;&lt;/FQL&gt;&lt;FQL&gt;&lt;Q&gt;SKYW-US^FF_EBIT_OPER(ANN_R,12/2015,,,,,B)&lt;/Q&gt;&lt;R&gt;1&lt;/R&gt;&lt;C&gt;1&lt;/C&gt;&lt;D xsi:type="xsd:double"&gt;0.23451&lt;/D&gt;&lt;/FQL&gt;&lt;FQL&gt;&lt;Q&gt;SKYW-US^FF_INC_TAX(ANN_R,12/2014,,,,,B)&lt;/Q&gt;&lt;R&gt;1&lt;/R&gt;&lt;C&gt;1&lt;/C&gt;&lt;D xsi:type="xsd:double"&gt;0.007811&lt;/D&gt;&lt;/FQL&gt;&lt;FQL&gt;&lt;Q&gt;SKYW-US^FF_EBIT_OPER(ANN_R,12/2014,,,,,B)&lt;/Q&gt;&lt;R&gt;1&lt;/R&gt;&lt;C&gt;1&lt;/C&gt;&lt;D xsi:type="xsd:double"&gt;0.09963&lt;/D&gt;&lt;/FQL&gt;&lt;FQL&gt;&lt;Q&gt;SKYW-US^FF_INC_TAX(ANN_R,12/2013,,,,,B)&lt;/Q&gt;&lt;R&gt;1&lt;/R&gt;&lt;C&gt;1&lt;/C&gt;&lt;D xsi:type="xsd:double"&gt;0.039576&lt;/D&gt;&lt;/FQL&gt;&lt;FQL&gt;&lt;Q&gt;SKYW-US^FF_EBIT_OPER(ANN_R,12/2013,,,,,B)&lt;/Q&gt;&lt;R&gt;1&lt;/R&gt;&lt;C&gt;1&lt;/C&gt;&lt;D xsi:type="xsd:double"&gt;0.15311&lt;/D&gt;&lt;/FQL&gt;&lt;FQL&gt;&lt;Q&gt;SKYW-US^FF_INC_TAX(ANN_R,12/2012,,,,,B)&lt;/Q&gt;&lt;R&gt;1&lt;/R&gt;&lt;C&gt;1&lt;/C&gt;&lt;D xsi:type="xsd:double"&gt;0.034739&lt;/D&gt;&lt;/FQL&gt;&lt;FQL&gt;&lt;Q&gt;SKYW-US^FF_EBIT_OPER(ANN_R,12/2012,,,,,B)&lt;/Q&gt;&lt;R&gt;1&lt;/R&gt;&lt;C&gt;1&lt;/C&gt;&lt;D xsi:type="xsd:double"&gt;0.16599&lt;/D&gt;&lt;/FQL&gt;&lt;FQL&gt;&lt;Q&gt;SKYW-US^FF_INC_TAX(ANN_R,12/2011,,,,,B)&lt;/Q&gt;&lt;R&gt;1&lt;/R&gt;&lt;C&gt;1&lt;/C&gt;&lt;D xsi:type="xsd:double"&gt;-0.022835&lt;/D&gt;&lt;/FQL&gt;&lt;FQL&gt;&lt;Q&gt;SKYW-US^FF_EBIT_OPER(ANN_R,12/2011,,,,,B)&lt;/Q&gt;&lt;R&gt;1&lt;/R&gt;&lt;C&gt;1&lt;/C&gt;&lt;D xsi:type="xsd:double"&gt;0.04688&lt;/D&gt;&lt;/FQL&gt;&lt;FQL&gt;&lt;Q&gt;SKYW-US^FF_EBITDA_OPER(ANN_R,12/2020,,,,,B)&lt;/Q&gt;&lt;R&gt;1&lt;/R&gt;&lt;C&gt;1&lt;/C&gt;&lt;D xsi:type="xsd:double"&gt;0.23827&lt;/D&gt;&lt;/FQL&gt;&lt;FQL&gt;&lt;Q&gt;SKYW-US^FF_EBITDA_OPER(ANN_R,12/2019,,,,,B)&lt;/Q&gt;&lt;R&gt;1&lt;/R&gt;&lt;C&gt;1&lt;/C&gt;&lt;D xsi:type="xsd:double"&gt;0.90223&lt;/D&gt;&lt;/FQL&gt;&lt;FQL&gt;&lt;Q&gt;SKYW-US^FF_EBITDA_OPER(ANN_R,12/2018,,,,,B)&lt;/Q&gt;&lt;R&gt;1&lt;/R&gt;&lt;C&gt;1&lt;/C&gt;&lt;D xsi:type="xsd:double"&gt;0.80887&lt;/D&gt;&lt;/FQL&gt;&lt;FQL&gt;&lt;Q&gt;SKYW-US^FF_EBITDA_OPER(ANN_R,12/2017,,,,,B)&lt;/Q&gt;&lt;R&gt;1&lt;/R&gt;&lt;C&gt;1&lt;/C&gt;&lt;D xsi:type="xsd:double"&gt;0.68097&lt;/D&gt;&lt;/FQL&gt;&lt;FQL&gt;&lt;Q&gt;SKYW-US^FF_EBITDA_OPER(ANN_R,12/2016,,,,,B)&lt;/Q&gt;&lt;R&gt;1&lt;/R&gt;&lt;C&gt;1&lt;/C&gt;&lt;D xsi:type="xsd:double"&gt;0.57794&lt;/D&gt;&lt;/FQL&gt;&lt;FQL&gt;&lt;Q&gt;SKYW-US^FF_EBITDA_OPER(ANN_R,12/2015,,,,,B)&lt;/Q&gt;&lt;R&gt;1&lt;/R&gt;&lt;C&gt;1&lt;/C&gt;&lt;D xsi:type="xsd:double"&gt;0.49902&lt;/D&gt;&lt;/FQL&gt;&lt;FQL&gt;&lt;Q&gt;SKYW-US^FF_EBITDA_OPER(ANN_R,12/2014,,,,,B)&lt;/Q&gt;&lt;R&gt;1&lt;/R&gt;&lt;C&gt;1&lt;/C&gt;&lt;D xsi:type="xsd:double"&gt;0.35927&lt;/D&gt;&lt;/FQL&gt;&lt;FQL&gt;&lt;Q&gt;SKYW-US^FF_EBITDA_OPER(ANN_R,12/2013,,,,,B)&lt;/Q&gt;&lt;R&gt;1&lt;/R&gt;&lt;C&gt;1&lt;/C&gt;&lt;D xsi:type="xsd:double"&gt;0.39812&lt;/D&gt;&lt;/FQL&gt;&lt;FQL&gt;&lt;Q&gt;SKYW-US^FF_EBITDA_OPER(ANN_R,12/2012,,,,,B)&lt;/Q&gt;&lt;R&gt;1&lt;/R&gt;&lt;C&gt;1&lt;/C&gt;&lt;D xsi:type="xsd:double"&gt;0.41795&lt;/D&gt;&lt;/FQL&gt;&lt;FQL&gt;&lt;Q&gt;SKYW-US^FF_EBITDA_OPER(ANN_R,12/2011,,,,,B)&lt;/Q&gt;&lt;R&gt;1&lt;/R&gt;&lt;C&gt;1&lt;/C&gt;&lt;D xsi:type="xsd:double"&gt;0.30106&lt;/D&gt;&lt;/FQL&gt;&lt;FQL&gt;&lt;Q&gt;SKYW-US^FF_COM_SHS_OUT(ANN_R,12/2020)&lt;/Q&gt;&lt;R&gt;1&lt;/R&gt;&lt;C&gt;1&lt;/C&gt;&lt;D xsi:type="xsd:double"&gt;50.18135&lt;/D&gt;&lt;/FQL&gt;&lt;FQL&gt;&lt;Q&gt;SKYW-US^FF_COM_SHS_OUT(ANN_R,12/2019)&lt;/Q&gt;&lt;R&gt;1&lt;/R&gt;&lt;C&gt;1&lt;/C&gt;&lt;D xsi:type="xsd:double"&gt;50.322758&lt;/D&gt;&lt;/FQL&gt;&lt;FQL&gt;&lt;Q&gt;SKYW-US^FF_COM_SHS_OUT(ANN_R,12/2018)&lt;/Q&gt;&lt;R&gt;1&lt;/R&gt;&lt;C&gt;1&lt;/C&gt;&lt;D xsi:type="xsd:double"&gt;51.38829&lt;/D&gt;&lt;/FQL&gt;&lt;FQL&gt;&lt;Q&gt;SKYW-US^FF_COM_SHS_OUT(ANN_R,12/2017)&lt;/Q&gt;&lt;R&gt;1&lt;/R&gt;&lt;C&gt;1&lt;/C&gt;&lt;D xsi:type="xsd:double"&gt;51.754569&lt;/D&gt;&lt;/FQL&gt;&lt;FQL&gt;&lt;Q&gt;SKYW-US^FF_COM_SHS_OUT(ANN_R,12/2016)&lt;/Q&gt;&lt;R&gt;1&lt;/R&gt;&lt;C&gt;1&lt;/C&gt;&lt;D xsi:type="xsd:double"&gt;51.765919&lt;/D&gt;&lt;/FQL&gt;&lt;FQL&gt;&lt;Q&gt;SKYW-US^FF_COM_SHS_OUT(ANN_R,12/2015)&lt;/Q&gt;&lt;R&gt;1&lt;/R&gt;&lt;C&gt;1&lt;/C&gt;&lt;D xsi:type="xsd:double"&gt;51.004985&lt;/D&gt;&lt;/FQL&gt;&lt;FQL&gt;&lt;Q&gt;SKYW-US^FF_COM_SHS_OUT(ANN_R,12/2014)&lt;/Q&gt;&lt;R&gt;1&lt;/R&gt;&lt;C&gt;1&lt;/C&gt;&lt;D xsi:type="xsd:double"&gt;51.186025&lt;/D&gt;&lt;/FQL&gt;&lt;FQL&gt;&lt;Q&gt;SKYW-US^FF_COM_SHS_OUT(ANN_R,12/2013)&lt;/Q&gt;&lt;R&gt;1&lt;/R&gt;&lt;C&gt;1&lt;/C&gt;&lt;D xsi:type="xsd:double"&gt;51.230066&lt;/D&gt;&lt;/FQL&gt;&lt;FQL&gt;&lt;Q&gt;SKYW-US^FF_COM_SHS_OUT(ANN_R,12/2012)&lt;/Q&gt;&lt;R&gt;1&lt;/R&gt;&lt;C&gt;1&lt;/C&gt;&lt;D xsi:type="xsd:double"&gt;51.43279&lt;/D&gt;&lt;/FQL&gt;&lt;FQL&gt;&lt;Q&gt;SKYW-US^FF_COM_SHS_OUT(ANN_R,12/2011)&lt;/Q&gt;&lt;R&gt;1&lt;/R&gt;&lt;C&gt;1&lt;/C&gt;&lt;D xsi:type="xsd:double"&gt;50.612215&lt;/D&gt;&lt;/FQL&gt;&lt;FQL&gt;&lt;Q&gt;AC-CA^FF_NON_OPER_INC(ANN_R,12/2020,,,,,B)&lt;/Q&gt;&lt;R&gt;1&lt;/R&gt;&lt;C&gt;1&lt;/C&gt;&lt;D xsi:type="xsd:double"&gt;-0.2&lt;/D&gt;&lt;/FQL&gt;&lt;FQL&gt;&lt;Q&gt;AC-CA^FF_NON_OPER_INC(ANN_R,12/2019,,,,,B)&lt;/Q&gt;&lt;R&gt;1&lt;/R&gt;&lt;C&gt;1&lt;/C&gt;&lt;D xsi:type="xsd:double"&gt;-0.125&lt;/D&gt;&lt;/FQL&gt;&lt;FQL&gt;&lt;Q&gt;AC-CA^FF_NON_OPER_INC(ANN_R,12/2018,,,,,B)&lt;/Q&gt;&lt;R&gt;1&lt;/R&gt;&lt;C&gt;1&lt;/C&gt;&lt;D xsi:type="xsd:double"&gt;-1.32&lt;/D&gt;&lt;/FQL&gt;&lt;FQL&gt;&lt;Q&gt;AC-CA^FF_NON_OPER_INC(ANN_R,12/2017,,,,,B)&lt;/Q&gt;&lt;R&gt;1&lt;/R&gt;&lt;C&gt;1&lt;/C&gt;&lt;D xsi:type="xsd:double"&gt;-0.421&lt;/D&gt;&lt;/FQL&gt;&lt;FQL&gt;&lt;Q&gt;AC-CA^FF_NON_OPER_INC(ANN_R,12/2016,,,,,B)&lt;/Q&gt;&lt;R&gt;1&lt;/R&gt;&lt;C&gt;1&lt;/C&gt;&lt;D xsi:type="xsd:double"&gt;-0.625&lt;/D&gt;&lt;/FQL&gt;&lt;FQL&gt;&lt;Q&gt;AC-CA^FF_NON_OPER_INC(ANN_R,12/2015,,,,,B)&lt;/Q&gt;&lt;R&gt;1&lt;/R&gt;&lt;C&gt;1&lt;/C&gt;&lt;D xsi:type="xsd:double"&gt;-0.836&lt;/D&gt;&lt;/FQL&gt;&lt;FQL&gt;&lt;Q&gt;AC-CA^FF_NON_OPER_INC(ANN_R,12/2014,,,,,B)&lt;/Q&gt;&lt;R&gt;1&lt;/R&gt;&lt;C&gt;1&lt;/C&gt;&lt;D xsi:type="xsd:double"&gt;-0.511&lt;/D&gt;&lt;/FQL&gt;&lt;FQL&gt;&lt;Q&gt;AC-CA^FF_NON_OPER_INC(ANN_R,12/2013,,,,,B)&lt;/Q&gt;&lt;R&gt;1&lt;/R&gt;&lt;C&gt;1&lt;/C&gt;&lt;D xsi:type="xsd:double"&gt;-0.309&lt;/D&gt;&lt;/FQL&gt;&lt;FQL&gt;&lt;Q&gt;AC-CA^FF_NON_OPER_INC(ANN_R,12/2012,,,,,B)&lt;/Q&gt;&lt;R&gt;1&lt;/R&gt;&lt;C&gt;1&lt;/C&gt;&lt;D xsi:type="xsd:double"&gt;-0.255&lt;/D&gt;&lt;/FQL&gt;&lt;FQL&gt;&lt;Q&gt;AC-CA^FF_NON_OPER_INC(ANN_R,12/2011,,,,,B)&lt;/Q&gt;&lt;R&gt;1&lt;/R&gt;&lt;C&gt;1&lt;/C&gt;&lt;D xsi:type="xsd:double"&gt;-0.072&lt;/D&gt;&lt;/FQL&gt;&lt;FQL&gt;&lt;Q&gt;AC-CA^FF_UNUSUAL_EXP(ANN_R,12/2020,,,,,B)&lt;/Q&gt;&lt;R&gt;1&lt;/R&gt;&lt;C&gt;1&lt;/C&gt;&lt;D xsi:type="xsd:double"&gt;0.13&lt;/D&gt;&lt;/FQL&gt;&lt;FQL&gt;&lt;Q&gt;AC-CA^FF_UNUSUAL_EXP(ANN_R,12/2019,,,,,B)&lt;/Q&gt;&lt;R&gt;1&lt;/R&gt;&lt;C&gt;1&lt;/C&gt;&lt;D xsi:type="xsd:double"&gt;-0.029&lt;/D&gt;&lt;/FQL&gt;&lt;FQL&gt;&lt;Q&gt;AC-CA^FF_UNUSUAL_EXP(ANN_R,12/2018,,,,,B)&lt;/Q&gt;&lt;R&gt;1&lt;/R&gt;&lt;C&gt;1&lt;/C&gt;&lt;D xsi:type="xsd:double"&gt;-0.008&lt;/D&gt;&lt;/FQL&gt;&lt;FQL&gt;&lt;Q&gt;AC-CA^FF_UNUSUAL_EXP(ANN_R,12/2017,,,,,B)&lt;/Q&gt;&lt;R&gt;1&lt;/R&gt;&lt;C&gt;1&lt;/C&gt;&lt;D xsi:type="xsd:double"&gt;-0.014&lt;/D&gt;&lt;/FQL&gt;&lt;FQL&gt;&lt;Q&gt;AC-CA^FF_UNUSUAL_EXP(ANN_R,12/2016,,,,,B)&lt;/Q&gt;&lt;R&gt;1&lt;/R&gt;&lt;C&gt;1&lt;/C&gt;&lt;D xsi:type="xsd:double"&gt;0.176&lt;/D&gt;&lt;/FQL&gt;&lt;FQL&gt;&lt;Q&gt;AC-CA^FF_UNUSUAL_EXP(ANN_R,12/2015,,,,,B)&lt;/Q&gt;&lt;R&gt;1&lt;/R&gt;&lt;C&gt;1&lt;/C&gt;&lt;D xsi:type="xsd:double"&gt;0.053&lt;/D&gt;&lt;/FQL&gt;&lt;FQL&gt;&lt;Q&gt;AC-CA^FF_UNUSUAL_EXP(ANN_R,12/2014,,,,,B)&lt;/Q&gt;&lt;R&gt;1&lt;/R&gt;&lt;C&gt;1&lt;/C&gt;&lt;D xsi:type="xsd:double"&gt;-0.057&lt;/D&gt;&lt;/FQL&gt;&lt;FQL&gt;&lt;Q&gt;AC-CA^FF_UNUSUAL_EXP(ANN_R,12/2013,,,,,B)&lt;/Q&gt;&lt;R&gt;1&lt;/R&gt;&lt;C&gt;1&lt;/C&gt;&lt;D xsi:type="xsd:double"&gt;-0.11899997&lt;/D&gt;&lt;/FQL&gt;&lt;FQL&gt;&lt;Q&gt;AC-CA^FF_UNUSUAL_EXP(ANN_R,12/2012,,,,,B)&lt;/Q&gt;&lt;R&gt;1&lt;/R&gt;&lt;C&gt;1&lt;/C&gt;&lt;D xsi:type="xsd:double"&gt;-0.103&lt;/D&gt;&lt;/FQL&gt;&lt;FQL&gt;&lt;Q&gt;AC-CA^FF_UNUSUAL_EXP(ANN_R,12/2011,,,,,B)&lt;/Q&gt;&lt;R&gt;1&lt;/R&gt;&lt;C&gt;1&lt;/C&gt;&lt;D xsi:type="xsd:double"&gt;0.063&lt;/D&gt;&lt;/FQL&gt;&lt;FQL&gt;&lt;Q&gt;AC-CA^FF_SALES(ANN_R,12/2020,,,,,B)&lt;/Q&gt;&lt;R&gt;1&lt;/R&gt;&lt;C&gt;1&lt;/C&gt;&lt;D xsi:type="xsd:double"&gt;5.833&lt;/D&gt;&lt;/FQL&gt;&lt;FQL&gt;&lt;Q&gt;AC-CA^FF_SALES(ANN_R,12/2019,,,,,B)&lt;/Q&gt;&lt;R&gt;1&lt;/R&gt;&lt;C&gt;1&lt;/C&gt;&lt;D xsi:type="xsd:double"&gt;19.131&lt;/D&gt;&lt;/FQL&gt;&lt;FQL&gt;&lt;Q&gt;AC-CA^FF_SALES(ANN_R,12/2018,,,,,B)&lt;/Q&gt;&lt;R&gt;1&lt;/R&gt;&lt;C&gt;1&lt;/C&gt;&lt;D xsi:type="xsd:double"&gt;18.003&lt;/D&gt;&lt;/FQL&gt;&lt;FQL&gt;&lt;Q&gt;AC-CA^FF_SALES(ANN_R,12/2017,,,,,B)&lt;/Q&gt;&lt;R&gt;1&lt;/R&gt;&lt;C&gt;1&lt;/C&gt;&lt;D xsi:type="xsd:double"&gt;16.252&lt;/D&gt;&lt;/FQL&gt;&lt;FQL&gt;&lt;Q&gt;AC-CA^FF_SALES(ANN_R,12/2016,,,,,B)&lt;/Q&gt;&lt;R&gt;1&lt;/R&gt;&lt;C&gt;1&lt;/C&gt;&lt;D xsi:type="xsd:double"&gt;14.677&lt;/D&gt;&lt;/FQL&gt;&lt;FQL&gt;&lt;Q&gt;AC-CA^FF_SALES(ANN_R,12/2015,,,,,B)&lt;/Q&gt;&lt;R&gt;1&lt;/R&gt;&lt;C&gt;1&lt;/C&gt;&lt;D xsi:type="xsd:double"&gt;13.868&lt;/D&gt;&lt;/FQL&gt;&lt;FQL&gt;&lt;Q&gt;AC-CA^FF_SALES(ANN_R,12/2014,,,,,B)&lt;/Q&gt;&lt;R&gt;1&lt;/R&gt;&lt;C&gt;1&lt;/C&gt;&lt;D xsi:type="xsd:double"&gt;13.272&lt;/D&gt;&lt;/FQL&gt;&lt;FQL&gt;&lt;Q&gt;AC-CA^FF_SALES(ANN_R,12/2013,,,,,B)&lt;/Q&gt;&lt;R&gt;1&lt;/R&gt;&lt;C&gt;1&lt;/C&gt;&lt;D xsi:type="xsd:double"&gt;12.382&lt;/D&gt;&lt;/FQL&gt;&lt;FQL&gt;&lt;Q&gt;AC-CA^FF_SALES(ANN_R,12/2012,,,,,B)&lt;/Q&gt;&lt;R&gt;1&lt;/R&gt;&lt;C&gt;1&lt;/C&gt;&lt;D xsi:type="xsd:double"&gt;12.114&lt;/D&gt;&lt;/FQL&gt;&lt;FQL&gt;&lt;Q&gt;AC-CA^FF_SALES(ANN_R,12/2011,,,,,B)&lt;/Q&gt;&lt;R&gt;1&lt;/R&gt;&lt;C&gt;1&lt;/C&gt;&lt;D xsi:type="xsd:double"&gt;11.612&lt;/D&gt;&lt;/FQL&gt;&lt;FQL&gt;&lt;Q&gt;AC-CA^FF_COGS(ANN_R,12/2020,,,,,B)&lt;/Q&gt;&lt;R&gt;1&lt;/R&gt;&lt;C&gt;1&lt;/C&gt;&lt;D xsi:type="xsd:double"&gt;7.66&lt;/D&gt;&lt;/FQL&gt;&lt;FQL&gt;&lt;Q&gt;AC-CA^FF_COGS(ANN_R,12/2019,,,,,B)&lt;/Q&gt;&lt;R&gt;1&lt;/R&gt;&lt;C&gt;1&lt;/C&gt;&lt;D xsi:type="xsd:double"&gt;13.869&lt;/D&gt;&lt;/FQL&gt;&lt;FQL&gt;&lt;Q&gt;AC-CA^FF_COGS(ANN_R,12/2018,,,,,B)&lt;/Q&gt;&lt;R&gt;1&lt;/R&gt;&lt;C&gt;1&lt;/C&gt;&lt;D xsi:type="xsd:double"&gt;13.304&lt;/D&gt;&lt;/FQL&gt;&lt;FQL&gt;&lt;Q&gt;AC-CA^FF_COGS(ANN_R,12/2017,,,,,B)&lt;/Q&gt;&lt;R&gt;1&lt;/R&gt;&lt;C&gt;1&lt;/C&gt;&lt;D xsi:type="xsd:double"&gt;12.546&lt;/D&gt;&lt;/FQL&gt;&lt;FQL&gt;&lt;Q&gt;AC-CA^FF_COGS(ANN_R,12/2016,,,,,B)&lt;/Q&gt;&lt;R&gt;1&lt;/R&gt;&lt;C&gt;1&lt;/C&gt;&lt;D xsi:type="xsd:double"&gt;11.094&lt;/D&gt;&lt;/FQL&gt;&lt;FQL&gt;&lt;Q&gt;AC-CA^FF_COGS(ANN_R,12/2015,,,,,B)&lt;/Q&gt;&lt;R&gt;1&lt;/R&gt;&lt;C&gt;1&lt;/C&gt;&lt;D xsi:type="xsd:double"&gt;10.414&lt;/D&gt;&lt;/FQL&gt;&lt;FQL&gt;&lt;Q&gt;AC-CA^FF_COGS(ANN_R,12/2014,,,,,B)&lt;/Q&gt;&lt;R&gt;1&lt;/R&gt;&lt;C&gt;1&lt;/C&gt;&lt;D xsi:type="xsd:double"&gt;9.79&lt;/D&gt;&lt;/FQL&gt;&lt;FQL&gt;&lt;Q&gt;AC-CA^FF_COGS(ANN_R,12/2013,,,,,B)&lt;/Q&gt;&lt;R&gt;1&lt;/R&gt;&lt;C&gt;1&lt;/C&gt;&lt;D xsi:type="xsd:double"&gt;9.40899997&lt;/D&gt;&lt;/FQL&gt;&lt;FQL&gt;&lt;Q&gt;AC-CA^FF_COGS(ANN_R,12/2012,,,,,B)&lt;/Q&gt;&lt;R&gt;1&lt;/R&gt;&lt;C&gt;1&lt;/C&gt;&lt;D xsi:type="xsd:double"&gt;9.369&lt;/D&gt;&lt;/FQL&gt;&lt;FQL&gt;&lt;Q&gt;AC-CA^FF_COGS(ANN_R,12/2011,,,,,B)&lt;/Q&gt;&lt;R&gt;1&lt;/R&gt;&lt;C&gt;1&lt;/C&gt;&lt;D xsi:type="xsd:double"&gt;9.094&lt;/D&gt;&lt;/FQL&gt;&lt;FQL&gt;&lt;Q&gt;AC-CA^FF_SGA(ANN_R,12/2020,,,,,B)&lt;/Q&gt;&lt;R&gt;1&lt;/R&gt;&lt;C&gt;1&lt;/C&gt;&lt;D xsi:type="xsd:double"&gt;2.051&lt;/D&gt;&lt;/FQL&gt;&lt;FQL&gt;&lt;Q&gt;AC-CA^FF_SGA(ANN_R,12/2019,,,,,B)&lt;/Q&gt;&lt;R&gt;1&lt;/R&gt;&lt;C&gt;1&lt;/C&gt;&lt;D xsi:type="xsd:double"&gt;2.892&lt;/D&gt;&lt;/FQL&gt;&lt;FQL&gt;&lt;Q&gt;AC-CA^FF_SGA(ANN_R,12/2018,,,,,B)&lt;/Q&gt;&lt;R&gt;1&lt;/R&gt;&lt;C&gt;1&lt;/C&gt;&lt;D xsi:type="xsd:double"&gt;2.611&lt;/D&gt;&lt;/FQL&gt;&lt;FQL&gt;&lt;Q&gt;AC-CA^FF_SGA(ANN_R,12/2017,,,,,B)&lt;/Q&gt;&lt;R&gt;1&lt;/R&gt;&lt;C&gt;1&lt;/C&gt;&lt;D xsi:type="xsd:double"&gt;1.738&lt;/D&gt;&lt;/FQL&gt;&lt;FQL&gt;&lt;Q&gt;AC-CA^FF_SGA(ANN_R,12/2016,,,,,B)&lt;/Q&gt;&lt;R&gt;1&lt;/R&gt;&lt;C&gt;1&lt;/C&gt;&lt;D xsi:type="xsd:double"&gt;1.589&lt;/D&gt;&lt;/FQL&gt;&lt;FQL&gt;&lt;Q&gt;AC-CA^FF_SGA(ANN_R,12/2015,,,,,B)&lt;/Q&gt;&lt;R&gt;1&lt;/R&gt;&lt;C&gt;1&lt;/C&gt;&lt;D xsi:type="xsd:double"&gt;1.415&lt;/D&gt;&lt;/FQL&gt;&lt;FQL&gt;&lt;Q&gt;AC-CA^FF_SGA(ANN_R,12/2014,,,,,B)&lt;/Q&gt;&lt;R&gt;1&lt;/R&gt;&lt;C&gt;1&lt;/C&gt;&lt;D xsi:type="xsd:double"&gt;1.562&lt;/D&gt;&lt;/FQL&gt;&lt;FQL&gt;&lt;Q&gt;AC-CA^FF_SGA(ANN_R,12/2013,,,,,B)&lt;/Q&gt;&lt;R&gt;1&lt;/R&gt;&lt;C&gt;1&lt;/C&gt;&lt;D xsi:type="xsd:double"&gt;1.092&lt;/D&gt;&lt;/FQL&gt;&lt;FQL&gt;&lt;Q&gt;AC-CA^FF_SGA(ANN_R,12/2012,,,,,B)&lt;/Q&gt;&lt;R&gt;1&lt;/R&gt;&lt;C&gt;1&lt;/C&gt;&lt;D xsi:type="xsd:double"&gt;1.082&lt;/D&gt;&lt;/FQL&gt;&lt;FQL&gt;&lt;Q&gt;AC-CA^FF_SGA(ANN_R,12/2011,,,,,B)&lt;/Q&gt;&lt;R&gt;1&lt;/R&gt;&lt;C&gt;1&lt;/C&gt;&lt;D xsi:type="xsd:double"&gt;1.083&lt;/D&gt;&lt;/FQL&gt;&lt;FQL&gt;&lt;Q&gt;AC-CA^FF_INT_EXP_NET(ANN_R,12/2020,,,,,B)&lt;/Q&gt;&lt;R&gt;1&lt;/R&gt;&lt;C&gt;1&lt;/C&gt;&lt;D xsi:type="xsd:double"&gt;0.631&lt;/D&gt;&lt;/FQL&gt;&lt;FQL&gt;&lt;Q&gt;AC-CA^FF_INT_EXP_NET(ANN_R,12/2019,,,,,B)&lt;/Q&gt;&lt;R&gt;1&lt;/R&gt;&lt;C&gt;1&lt;/C&gt;&lt;D xsi:type="xsd:double"&gt;0.48&lt;/D&gt;&lt;/FQL&gt;&lt;FQL&gt;&lt;Q&gt;AC-CA^FF_INT_EXP_NET(ANN_R,12/2018,,,,,B)&lt;/Q&gt;&lt;R&gt;1&lt;/R&gt;&lt;C&gt;1&lt;/C&gt;&lt;D xsi:type="xsd:double"&gt;0.532&lt;/D&gt;&lt;/FQL&gt;&lt;FQL&gt;&lt;Q&gt;AC-CA^FF_INT_EXP_NET(ANN_R,12/2017,,,,,B)&lt;/Q&gt;&lt;R&gt;1&lt;/R&gt;&lt;C&gt;1&lt;/C&gt;&lt;D xsi:type="xsd:double"&gt;0.275&lt;/D&gt;&lt;/FQL&gt;&lt;FQL&gt;&lt;Q&gt;AC-CA^FF_INT_EXP_NET(ANN_R,12/2016,,,,,B)&lt;/Q&gt;&lt;R&gt;1&lt;/R&gt;&lt;C&gt;1&lt;/C&gt;&lt;D xsi:type="xsd:double"&gt;0.316&lt;/D&gt;&lt;/FQL&gt;&lt;FQL&gt;&lt;Q&gt;AC-CA^FF_INT_EXP_NET(ANN_R,12/2015,,,,,B)&lt;/Q&gt;&lt;R&gt;1&lt;/R&gt;&lt;C&gt;1&lt;/C&gt;&lt;D xsi:type="xsd:double"&gt;0.332&lt;/D&gt;&lt;/FQL&gt;&lt;FQL&gt;&lt;Q&gt;AC-CA^FF_INT_EXP_NET(ANN_R,12/2014,,,,,B)&lt;/Q&gt;&lt;R&gt;1&lt;/R&gt;&lt;C&gt;1&lt;/C&gt;&lt;D xsi:type="xsd:double"&gt;0.292&lt;/D&gt;&lt;/FQL&gt;&lt;FQL&gt;&lt;Q&gt;AC-CA^FF_INT_EXP_NET(ANN_R,12/2013,,,,,B)&lt;/Q&gt;&lt;R&gt;1&lt;/R&gt;&lt;C&gt;1&lt;/C&gt;&lt;D xsi:type="xsd:double"&gt;0.351&lt;/D&gt;&lt;/FQL&gt;&lt;FQL&gt;&lt;Q&gt;AC-CA^FF_INT_EXP_NET(ANN_R,12/2012,,,,,B)&lt;/Q&gt;&lt;R&gt;1&lt;/R&gt;&lt;C&gt;1&lt;/C&gt;&lt;D xsi:type="xsd:double"&gt;0.286&lt;/D&gt;&lt;/FQL&gt;&lt;FQL&gt;&lt;Q&gt;AC-CA^FF_INT_EXP_NET(ANN_R,12/2011,,,,,B)&lt;/Q&gt;&lt;R&gt;1&lt;/R&gt;&lt;C&gt;1&lt;/C&gt;&lt;D xsi:type="xsd:double"&gt;0.32&lt;/D&gt;&lt;/FQL&gt;&lt;FQL&gt;&lt;Q&gt;AC-CA^FF_INC_TAX(ANN_R,12/2020,,,,,B)&lt;/Q&gt;&lt;R&gt;1&lt;/R&gt;&lt;C&gt;1&lt;/C&gt;&lt;D xsi:type="xsd:double"&gt;-0.206&lt;/D&gt;&lt;/FQL&gt;&lt;FQL&gt;&lt;Q&gt;AC-CA^FF_EBIT_OPER(ANN_R,12/2020,,,,,B)&lt;/Q&gt;&lt;R&gt;1&lt;/R&gt;&lt;C&gt;1&lt;/C&gt;&lt;D xsi:type="xsd:double"&gt;-3.892&lt;/D&gt;&lt;/FQL&gt;&lt;FQL&gt;&lt;Q&gt;AC-CA^FF_INC_TAX(ANN_R,12/2019,,,,,B)&lt;/Q&gt;&lt;R&gt;1&lt;/R&gt;&lt;C&gt;1&lt;/C&gt;&lt;D xsi:type="xsd:double"&gt;0.299&lt;/D&gt;&lt;/FQL&gt;&lt;FQL&gt;&lt;Q&gt;AC-CA^FF_EBIT_OPER(ANN_R,12/2019,,,,,B)&lt;/Q&gt;&lt;R&gt;1&lt;/R&gt;&lt;C&gt;1&lt;/C&gt;&lt;D xsi:type="xsd:double"&gt;2.351&lt;/D&gt;&lt;/FQL&gt;&lt;FQL&gt;&lt;Q&gt;AC-CA^FF_INC_TAX(ANN_R,12/2018,,,,,B)&lt;/Q&gt;&lt;R&gt;1&lt;/R&gt;&lt;C&gt;1&lt;/C&gt;&lt;D xsi:type="xsd:double"&gt;0.191&lt;/D&gt;&lt;/FQL&gt;&lt;FQL&gt;&lt;Q&gt;AC-CA^FF_EBIT_OPER(ANN_R,12/2018,,,,,B)&lt;/Q&gt;&lt;R&gt;1&lt;/R&gt;&lt;C&gt;1&lt;/C&gt;&lt;D xsi:type="xsd:double"&gt;2.072&lt;/D&gt;&lt;/FQL&gt;&lt;FQL&gt;&lt;Q&gt;AC-CA^FF_INC_TAX(ANN_R,12/2017,,,,,B)&lt;/Q&gt;&lt;R&gt;1&lt;/R&gt;&lt;C&gt;1&lt;/C&gt;&lt;D xsi:type="xsd:double"&gt;-0.743&lt;/D&gt;&lt;/FQL&gt;&lt;FQL&gt;&lt;Q&gt;AC-CA^FF_EBIT_OPER(ANN_R,12/2017,,,,,B)&lt;/Q&gt;&lt;R&gt;1&lt;/R&gt;&lt;C&gt;1&lt;/C&gt;&lt;D xsi:type="xsd:double"&gt;1.968&lt;/D&gt;&lt;/FQL&gt;&lt;FQL&gt;&lt;Q&gt;AC-CA^FF_INC_TAX(ANN_R,12/2016,,,,,B)&lt;/Q&gt;&lt;R&gt;1&lt;/R&gt;&lt;C&gt;1&lt;/C&gt;&lt;D xsi:type="xsd:double"&gt;0.001&lt;/D&gt;&lt;/FQL&gt;&lt;FQL&gt;&lt;Q&gt;AC-CA^FF_EBIT_OPER(ANN_R,12/2016,,,,,B)&lt;/Q&gt;&lt;R&gt;1&lt;/R&gt;&lt;C&gt;1&lt;/C&gt;&lt;D xsi:type="xsd:double"&gt;1.994&lt;/D&gt;&lt;/FQL&gt;&lt;FQL&gt;&lt;Q&gt;AC-CA^FF_INC_TAX(ANN_R,12/2015,,,,,B)&lt;/Q&gt;&lt;R&gt;1&lt;/R&gt;&lt;C&gt;1&lt;/C&gt;&lt;D xsi:type="xsd:double"&gt;0&lt;/D&gt;&lt;/FQL&gt;&lt;FQL&gt;&lt;Q&gt;AC-CA^FF_EBIT_OPER(ANN_R,12/2015,,,,,B)&lt;/Q&gt;&lt;R&gt;1&lt;/R&gt;&lt;C&gt;1&lt;/C&gt;&lt;D xsi:type="xsd:double"&gt;1.531&lt;/D&gt;&lt;/FQL&gt;&lt;FQL&gt;&lt;Q&gt;AC-CA^FF_INC_TAX(ANN_R,12/2014,,,,,B)&lt;/Q&gt;&lt;R&gt;1&lt;/R&gt;&lt;C&gt;1&lt;/C&gt;&lt;D xsi:type="xsd:double"&gt;0&lt;/D&gt;&lt;/FQL&gt;&lt;FQL&gt;&lt;Q&gt;AC-CA^FF_EBIT_OPER(ANN_R,12/2014,,,,,B)&lt;/Q&gt;&lt;R&gt;1&lt;/R&gt;&lt;C&gt;1&lt;/C&gt;&lt;D xsi:type="xsd:double"&gt;0.851&lt;/D&gt;&lt;/FQL&gt;&lt;FQL&gt;&lt;Q&gt;AC-CA^FF_INC_TAX(ANN_R,12/2013,,,,,B)&lt;/Q&gt;&lt;R&gt;1&lt;/R&gt;&lt;C&gt;1&lt;/C&gt;&lt;D xsi:type="xsd:double"&gt;-0.008&lt;/D&gt;&lt;/FQL&gt;&lt;FQL&gt;&lt;Q&gt;AC-CA^FF_EBIT_OPER(ANN_R,12/2013,,,,,B)&lt;/Q&gt;&lt;R&gt;1&lt;/R&gt;&lt;C&gt;1&lt;/C&gt;&lt;D xsi:type="xsd:double"&gt;0.543&lt;/D&gt;&lt;/FQL&gt;&lt;FQL&gt;&lt;Q&gt;AC-CA^FF_INC_TAX(ANN_R,12/2012,,,,,B)&lt;/Q&gt;&lt;R&gt;1&lt;/R&gt;&lt;C&gt;1&lt;/C&gt;&lt;D xsi:type="xsd:double"&gt;0.001&lt;/D&gt;&lt;/FQL&gt;&lt;FQL&gt;&lt;Q&gt;AC-CA^FF_EBIT_OPER(ANN_R,12/2012,,,,,B)&lt;/Q&gt;&lt;R&gt;1&lt;/R&gt;&lt;C&gt;1&lt;/C&gt;&lt;D xsi:type="xsd:double"&gt;0.358&lt;/D&gt;&lt;/FQL&gt;&lt;FQL&gt;&lt;Q&gt;AC-CA^FF_INC_TAX(ANN_R,12/2011,,,,,B)&lt;/Q&gt;&lt;R&gt;1&lt;/R&gt;&lt;C&gt;1&lt;/C&gt;&lt;D xsi:type="xsd:double"&gt;-0.001&lt;/D&gt;&lt;/FQL&gt;&lt;FQL&gt;&lt;Q&gt;AC-CA^FF_EBIT_OPER(ANN_R,12/2011,,,,,B)&lt;/Q&gt;&lt;R&gt;1&lt;/R&gt;&lt;C&gt;1&lt;/C&gt;&lt;D xsi:type="xsd:double"&gt;0.205&lt;/D&gt;&lt;/FQL&gt;&lt;FQL&gt;&lt;Q&gt;AC-CA^FF_EBITDA_OPER(ANN_R,12/2020,,,,,B)&lt;/Q&gt;&lt;R&gt;1&lt;/R&gt;&lt;C&gt;1&lt;/C&gt;&lt;D xsi:type="xsd:double"&gt;-2.057&lt;/D&gt;&lt;/FQL&gt;&lt;FQL&gt;&lt;Q&gt;AC-CA^FF_EBITDA_OPER(ANN_R,12/2019,,,,,B)&lt;/Q&gt;&lt;R&gt;1&lt;/R&gt;&lt;C&gt;1&lt;/C&gt;&lt;D xsi:type="xsd:double"&gt;4.318&lt;/D&gt;&lt;/FQL&gt;&lt;FQL&gt;&lt;Q&gt;AC-CA^FF_EBITDA_OPER(ANN_R,12/2018,,,,,B)&lt;/Q&gt;&lt;R&gt;1&lt;/R&gt;&lt;C&gt;1&lt;/C&gt;&lt;D xsi:type="xsd:double"&gt;3.773&lt;/D&gt;&lt;/FQL&gt;&lt;FQL&gt;&lt;Q&gt;AC-CA^FF_EBITDA_OPER(ANN_R,12/2017,,,,,B)&lt;/Q&gt;&lt;R&gt;1&lt;/R&gt;&lt;C&gt;1&lt;/C&gt;&lt;D xsi:type="xsd:double"&gt;2.952&lt;/D&gt;&lt;/FQL&gt;&lt;FQL&gt;&lt;Q&gt;AC-CA^FF_EBITDA_OPER(ANN_R,12/2016,,,,,B)&lt;/Q&gt;&lt;R&gt;1&lt;/R&gt;&lt;C&gt;1&lt;/C&gt;&lt;D xsi:type="xsd:double"&gt;2.81&lt;/D&gt;&lt;/FQL&gt;&lt;FQL&gt;&lt;Q&gt;AC-CA^FF_EBITDA_OPER(ANN_R,12/2015,,,,,B)&lt;/Q&gt;&lt;R&gt;1&lt;/R&gt;&lt;C&gt;1&lt;/C&gt;&lt;D xsi:type="xsd:double"&gt;2.186&lt;/D&gt;&lt;/FQL&gt;&lt;FQL&gt;&lt;Q&gt;AC-CA^FF_EBITDA_OPER(ANN_R,12/2014,,,,,B)&lt;/Q&gt;&lt;R&gt;1&lt;/R&gt;&lt;C&gt;1&lt;/C&gt;&lt;D xsi:type="xsd:double"&gt;1.394&lt;/D&gt;&lt;/FQL&gt;&lt;FQL&gt;&lt;Q&gt;AC-CA^FF_EBITDA_OPER(ANN_R,12/2013,,,,,B)&lt;/Q&gt;&lt;R&gt;1&lt;/R&gt;&lt;C&gt;1&lt;/C&gt;&lt;D xsi:type="xsd:double"&gt;1.121&lt;/D&gt;&lt;/FQL&gt;&lt;FQL&gt;&lt;Q&gt;AC-CA^FF_EBITDA_OPER(ANN_R,12/2012,,,,,B)&lt;/Q&gt;&lt;R&gt;1&lt;/R&gt;&lt;C&gt;1&lt;/C&gt;&lt;D xsi:type="xsd:double"&gt;1.027&lt;/D&gt;&lt;/FQL&gt;&lt;FQL&gt;&lt;Q&gt;AC-CA^FF_EBITDA_OPER(ANN_R,12/2011,,,,,B)&lt;/Q&gt;&lt;R&gt;1&lt;/R&gt;&lt;C&gt;1&lt;/C&gt;&lt;D xsi:type="xsd:double"&gt;0.933&lt;/D&gt;&lt;/FQL&gt;&lt;FQL&gt;&lt;Q&gt;AC-CA^FF_COM_SHS_OUT(ANN_R,12/2020)&lt;/Q&gt;&lt;R&gt;1&lt;/R&gt;&lt;C&gt;1&lt;/C&gt;&lt;D xsi:type="xsd:double"&gt;332.172288&lt;/D&gt;&lt;/FQL&gt;&lt;FQL&gt;&lt;Q&gt;AC-CA^FF_COM_SHS_OUT(ANN_R,12/2019)&lt;/Q&gt;&lt;R&gt;1&lt;/R&gt;&lt;C&gt;1&lt;/C&gt;&lt;D xsi:type="xsd:double"&gt;263.816578&lt;/D&gt;&lt;/FQL&gt;&lt;FQL&gt;&lt;Q&gt;AC-CA^FF_COM_SHS_OUT(ANN_R,12/2018)&lt;/Q&gt;&lt;R&gt;1&lt;/R&gt;&lt;C&gt;1&lt;/C&gt;&lt;D xsi:type="xsd:double"&gt;270.729911&lt;/D&gt;&lt;/FQL&gt;&lt;FQL&gt;&lt;Q&gt;AC-CA^FF_COM_SHS_OUT(ANN_R,12/2017)&lt;/Q&gt;&lt;R&gt;1&lt;/R&gt;&lt;C&gt;1&lt;/C&gt;&lt;D xsi:type="xsd:double"&gt;273.076646&lt;/D&gt;&lt;/FQL&gt;&lt;FQL&gt;&lt;Q&gt;AC-CA^FF_COM_SHS_OUT(ANN_R,12/2016)&lt;/Q&gt;&lt;R&gt;1&lt;/R&gt;&lt;C&gt;1&lt;/C&gt;&lt;D xsi:type="xsd:double"&gt;273.212802&lt;/D&gt;&lt;/FQL&gt;&lt;FQL&gt;&lt;Q&gt;AC-CA^FF_COM_SHS_OUT(ANN_R,12/2015)&lt;/Q&gt;&lt;R&gt;1&lt;/R&gt;&lt;C&gt;1&lt;/C&gt;&lt;D xsi:type="xsd:double"&gt;282.782178&lt;/D&gt;&lt;/FQL&gt;&lt;FQL&gt;&lt;Q&gt;AC-CA^FF_COM_SHS_OUT(ANN_R,12/2014)&lt;/Q&gt;&lt;R&gt;1&lt;/R&gt;&lt;C&gt;1&lt;/C&gt;&lt;D xsi:type="xsd:double"&gt;286.489294&lt;/D&gt;&lt;/FQL&gt;&lt;FQL&gt;&lt;Q&gt;AC-CA^FF_COM_SHS_OUT(ANN_R,12/2013)&lt;/Q&gt;&lt;R&gt;1&lt;/R&gt;&lt;C&gt;1&lt;/C&gt;&lt;D xsi:type="xsd:double"&gt;284.532439&lt;/D&gt;&lt;/FQL&gt;&lt;FQL&gt;&lt;Q&gt;AC-CA^FF_COM_SHS_OUT(ANN_R,12/2012)&lt;/Q&gt;&lt;R&gt;1&lt;/R&gt;&lt;C&gt;1&lt;/C&gt;&lt;D xsi:type="xsd:double"&gt;274.443803&lt;/D&gt;&lt;/FQL&gt;&lt;FQL&gt;&lt;Q&gt;AC-CA^FF_COM_SHS_OUT(ANN_R,12/2011)&lt;/Q&gt;&lt;R&gt;1&lt;/R&gt;&lt;C&gt;1&lt;/C&gt;&lt;D xsi:type="xsd:double"&gt;277.371493&lt;/D&gt;&lt;/FQL&gt;&lt;FQL&gt;&lt;Q&gt;AC-CA^FF_TAX_RATE(ANN_R,12/2020)&lt;/Q&gt;&lt;R&gt;0&lt;/R&gt;&lt;C&gt;0&lt;/C&gt;&lt;/FQL&gt;&lt;FQL&gt;&lt;Q&gt;AC-CA^FF_DFD_TAX(ANN_R,12/2020,,,,,B)&lt;/Q&gt;&lt;R&gt;1&lt;/R&gt;&lt;C&gt;1&lt;/C&gt;&lt;D xsi:type="xsd:double"&gt;0.05&lt;/D&gt;&lt;/FQL&gt;&lt;FQL&gt;&lt;Q&gt;AC-CA^FF_DFD_TAX(ANN_R,12/2019,,,,,B)&lt;/Q&gt;&lt;R&gt;1&lt;/R&gt;&lt;C&gt;1&lt;/C&gt;&lt;D xsi:type="xsd:double"&gt;-0.061&lt;/D&gt;&lt;/FQL&gt;&lt;FQL&gt;&lt;Q&gt;^-FF_ACQ_BUS_CF('ANN','0','-9','YEARLY',RP,'LOCAL','B')&lt;/Q&gt;&lt;R&gt;0&lt;/R&gt;&lt;C&gt;0&lt;/C&gt;&lt;/FQL&gt;&lt;FQL&gt;&lt;Q&gt;AC-CA^FF_DFD_TAX(ANN_R,12/2018,,,,,B)&lt;/Q&gt;&lt;R&gt;1&lt;/R&gt;&lt;C&gt;1&lt;/C&gt;&lt;D xsi:type="xsd:double"&gt;-0.262&lt;/D&gt;&lt;/FQL&gt;&lt;FQL&gt;&lt;Q&gt;AC-CA^FF_DFD_TAX(ANN_R,12/2017,,,,,B)&lt;/Q&gt;&lt;R&gt;1&lt;/R&gt;&lt;C&gt;1&lt;/C&gt;&lt;D xsi:type="xsd:double"&gt;-0.407&lt;/D&gt;&lt;/FQL&gt;&lt;FQL&gt;&lt;Q&gt;AC-CA^FF_DFD_TAX(ANN_R,12/2016,,,,,B)&lt;/Q&gt;&lt;R&gt;1&lt;/R&gt;&lt;C&gt;1&lt;/C&gt;&lt;D xsi:type="xsd:double"&gt;0.049&lt;/D&gt;&lt;/FQL&gt;&lt;FQL&gt;&lt;Q&gt;AC-CA^FF_DFD_TAX(ANN_R,12/2015,,,,,B)&lt;/Q&gt;&lt;R&gt;0&lt;/R&gt;&lt;C&gt;0&lt;/C&gt;&lt;/FQL&gt;&lt;FQL&gt;&lt;Q&gt;AC-CA^FF_DFD_TAX(ANN_R,12/2013,,,,,B)&lt;/Q&gt;&lt;R&gt;0&lt;/R&gt;&lt;C&gt;0&lt;/C&gt;&lt;/FQL&gt;&lt;FQL&gt;&lt;Q&gt;AC-CA^FF_DFD_TAX(ANN_R,12/2012,,,,,B)&lt;/Q&gt;&lt;R&gt;0&lt;/R&gt;&lt;C&gt;0&lt;/C&gt;&lt;/FQL&gt;&lt;FQL&gt;&lt;Q&gt;AC-CA^FF_DFD_TAX(ANN_R,12/2011,,,,,B)&lt;/Q&gt;&lt;R&gt;1&lt;/R&gt;&lt;C&gt;1&lt;/C&gt;&lt;D xsi:type="xsd:double"&gt;0.048&lt;/D&gt;&lt;/FQL&gt;&lt;FQL&gt;&lt;Q&gt;^FF_NON_CASH('ANN','0','-9','YEARLY',RP,'LOCAL','B')&lt;/Q&gt;&lt;R&gt;0&lt;/R&gt;&lt;C&gt;0&lt;/C&gt;&lt;/FQL&gt;&lt;FQL&gt;&lt;Q&gt;AC-CA^FF_INT_EXP_OTH_BORR(ANN_R,12/2020,,,,,B)&lt;/Q&gt;&lt;R&gt;0&lt;/R&gt;&lt;C&gt;0&lt;/C&gt;&lt;/FQL&gt;&lt;FQL&gt;&lt;Q&gt;DAL-US^FF_INT_EXP_OTH_BORR(ANN_R,12/2020,,,,,B)&lt;/Q&gt;&lt;R&gt;0&lt;/R&gt;&lt;C&gt;0&lt;/C&gt;&lt;/FQL&gt;&lt;FQL&gt;&lt;Q&gt;AC-CA^FF_CAPEX(ANN_R,12/2020,,,,,B)&lt;/Q&gt;&lt;R&gt;1&lt;/R&gt;&lt;C&gt;1&lt;/C&gt;&lt;D xsi:type="xsd:double"&gt;1.202&lt;/D&gt;&lt;/FQL&gt;&lt;FQL&gt;&lt;Q&gt;AC-CA^FF_CAPEX(ANN_R,12/2019,,,,,B)&lt;/Q&gt;&lt;R&gt;1&lt;/R&gt;&lt;C&gt;1&lt;/C&gt;&lt;D xsi:type="xsd:double"&gt;2.025&lt;/D&gt;&lt;/FQL&gt;&lt;FQL&gt;&lt;Q&gt;AC-CA^FF_DEP_AMORT_EXP(ANN_R,12/2011,,,,,B)&lt;/Q&gt;&lt;R&gt;1&lt;/R&gt;&lt;C&gt;1&lt;/C&gt;&lt;D xsi:type="xsd:double"&gt;0.728&lt;/D&gt;&lt;/FQL&gt;&lt;FQL&gt;&lt;Q&gt;AC-CA^FF_DEP_AMORT_EXP(ANN_R,12/2012,,,,,B)&lt;/Q&gt;&lt;R&gt;1&lt;/R&gt;&lt;C&gt;1&lt;/C&gt;&lt;D xsi:type="xsd:double"&gt;0.669&lt;/D&gt;&lt;/FQL&gt;&lt;FQL&gt;&lt;Q&gt;AC-CA^FF_DEP_AMORT_EXP(ANN_R,12/2013,,,,,B)&lt;/Q&gt;&lt;R&gt;1&lt;/R&gt;&lt;C&gt;1&lt;/C&gt;&lt;D xsi:type="xsd:double"&gt;0.57799997&lt;/D&gt;&lt;/FQL&gt;&lt;FQL&gt;&lt;Q&gt;AC-CA^FF_DEP_AMORT_EXP(ANN_R,12/2014,,,,,B)&lt;/Q&gt;&lt;R&gt;1&lt;/R&gt;&lt;C&gt;1&lt;/C&gt;&lt;D xsi:type="xsd:double"&gt;0.543&lt;/D&gt;&lt;/FQL&gt;&lt;FQL&gt;&lt;Q&gt;AC-CA^FF_DEP_AMORT_EXP(ANN_R,12/2015,,,,,B)&lt;/Q&gt;&lt;R&gt;1&lt;/R&gt;&lt;C&gt;1&lt;/C&gt;&lt;D xsi:type="xsd:double"&gt;0.655&lt;/D&gt;&lt;/FQL&gt;&lt;FQL&gt;&lt;Q&gt;AC-CA^FF_DEP_AMORT_EXP(ANN_R,12/2016,,,,,B)&lt;/Q&gt;&lt;R&gt;1&lt;/R&gt;&lt;C&gt;1&lt;/C&gt;&lt;D xsi:type="xsd:double"&gt;0.816&lt;/D&gt;&lt;/FQL&gt;&lt;FQL&gt;&lt;Q&gt;AC-CA^FF_DFD_TAX(ANN_R,12/2014,,,,,B)&lt;/Q&gt;&lt;R&gt;1&lt;/R&gt;&lt;C&gt;1&lt;/C&gt;&lt;D xsi:type="xsd:double"&gt;0.049&lt;/D&gt;&lt;/FQL&gt;&lt;FQL&gt;&lt;Q&gt;AC-CA^FF_INVEST_ACTIV_OTH(ANN_R,12/2020,,,,,B)&lt;/Q&gt;&lt;R&gt;1&lt;/R&gt;&lt;C&gt;1&lt;/C&gt;&lt;D xsi:type="xsd:double"&gt;0.035&lt;/D&gt;&lt;/FQL&gt;&lt;FQL&gt;&lt;Q&gt;AC-CA^FF_CAPEX(ANN_R,12/2017,,,,,B)&lt;/Q&gt;&lt;R&gt;1&lt;/R&gt;&lt;C&gt;1&lt;/C&gt;&lt;D xsi:type="xsd:double"&gt;2.422&lt;/D&gt;&lt;/FQL&gt;&lt;FQL&gt;&lt;Q&gt;DAL-US^FF_INVEST_ACTIV_OTH(ANN_R,12/2020,,,,,B)&lt;/Q&gt;&lt;R&gt;1&lt;/R&gt;&lt;C&gt;1&lt;/C&gt;&lt;D xsi:type="xsd:double"&gt;0.087&lt;/D&gt;&lt;/FQL&gt;&lt;FQL&gt;&lt;Q&gt;DAL-US^FF_INVEST_ACTIV_OTH(ANN_R,12/2019,,,,,B)&lt;/Q&gt;&lt;R&gt;1&lt;/R&gt;&lt;C&gt;1&lt;/C&gt;&lt;D xsi:type="xsd:double"&gt;0.058&lt;/D&gt;&lt;/FQL&gt;&lt;FQL&gt;&lt;Q&gt;AC-CA^FF_CAPEX(ANN_R,12/2018,,,,,B)&lt;/Q&gt;&lt;R&gt;1&lt;/R&gt;&lt;C&gt;1&lt;/C&gt;&lt;D xsi:type="xsd:double"&gt;2.436&lt;/D&gt;&lt;/FQL&gt;&lt;FQL&gt;&lt;Q&gt;DAL-US^FF_INVEST_ACTIV_OTH(ANN_R,12/2018,,,,,B)&lt;/Q&gt;&lt;R&gt;1&lt;/R&gt;&lt;C&gt;1&lt;/C&gt;&lt;D xsi:type="xsd:double"&gt;0.154&lt;/D&gt;&lt;/FQL&gt;&lt;FQL&gt;&lt;Q&gt;AC-CA^FF_CAPEX(ANN_R,12/2016,,,,,B)&lt;/Q&gt;&lt;R&gt;1&lt;/R&gt;&lt;C&gt;1&lt;/C&gt;&lt;D xsi:type="xsd:double"&gt;2.921&lt;/D&gt;&lt;/FQL&gt;&lt;FQL&gt;&lt;Q&gt;AC-CA^FF_CAPEX(ANN_R,12/2015,,,,,B)&lt;/Q&gt;&lt;R&gt;1&lt;/R&gt;&lt;C&gt;1&lt;/C&gt;&lt;D xsi:type="xsd:double"&gt;1.815&lt;/D&gt;&lt;/FQL&gt;&lt;FQL&gt;&lt;Q&gt;AC-CA^FF_DEP_AMORT_EXP(ANN_R,12/2017,,,,,B)&lt;/Q&gt;&lt;R&gt;1&lt;/R&gt;&lt;C&gt;1&lt;/C&gt;&lt;D xsi:type="xsd:double"&gt;0.984&lt;/D&gt;&lt;/FQL&gt;&lt;FQL&gt;&lt;Q&gt;AC-CA^FF_DEP_AMORT_EXP(ANN_R,12/2018,,,,,B)&lt;/Q&gt;&lt;R&gt;1&lt;/R&gt;&lt;C&gt;1&lt;/C&gt;&lt;D xsi:type="xsd:double"&gt;1.701&lt;/D&gt;&lt;/FQL&gt;&lt;FQL&gt;&lt;Q&gt;AC-CA^FF_DEP_AMORT_EXP(ANN_R,12/2019,,,,,B)&lt;/Q&gt;&lt;R&gt;1&lt;/R&gt;&lt;C&gt;1&lt;/C&gt;&lt;D xsi:type="xsd:double"&gt;1.967&lt;/D&gt;&lt;/FQL&gt;&lt;FQL&gt;&lt;Q&gt;AC-CA^FF_DEP_AMORT_EXP(ANN_R,12/2020,,,,,B)&lt;/Q&gt;&lt;R&gt;1&lt;/R&gt;&lt;C&gt;1&lt;/C&gt;&lt;D xsi:type="xsd:double"&gt;1.835&lt;/D&gt;&lt;/FQL&gt;&lt;FQL&gt;&lt;Q&gt;AC-CA^FF_FIN_ACTIV_OTH_CF('ANN','0','-9','YEARLY',RP,'LOCAL','B')&lt;/Q&gt;&lt;R&gt;10&lt;/R&gt;&lt;C&gt;1&lt;/C&gt;&lt;D xsi:type="xsd:double"&gt;0&lt;/D&gt;&lt;D xsi:type="xsd:double"&gt;0&lt;/D&gt;&lt;D xsi:type="xsd:double"&gt;0&lt;/D&gt;&lt;D xsi:type="xsd:double"&gt;0&lt;/D&gt;&lt;D xsi:type="xsd:double"&gt;-0.032&lt;/D&gt;&lt;D xsi:type="xsd:double"&gt;-0.051&lt;/D&gt;&lt;D xsi:type="xsd:double"&gt;0&lt;/D&gt;&lt;D xsi:type="xsd:double"&gt;-0.015&lt;/D&gt;&lt;D xsi:type="xsd:double"&gt;-0.016&lt;/D&gt;&lt;D xsi:type="xsd:double"&gt;-0.052&lt;/D&gt;&lt;/FQL&gt;&lt;FQL&gt;&lt;Q&gt;AC-CA^FF_DEBT_CF('ANN','0','-9','YEARLY',RP,'LOCAL','B')&lt;/Q&gt;&lt;R&gt;10&lt;/R&gt;&lt;C&gt;1&lt;/C&gt;&lt;D xsi:type="xsd:double"&gt;4.128&lt;/D&gt;&lt;D xsi:type="xsd:double"&gt;-0.433&lt;/D&gt;&lt;D xsi:type="xsd:double"&gt;0.028&lt;/D&gt;&lt;D xsi:type="xsd:double"&gt;-0.107&lt;/D&gt;&lt;D xsi:type="xsd:double"&gt;0.261&lt;/D&gt;&lt;D xsi:type="xsd:double"&gt;0.179&lt;/D&gt;&lt;D xsi:type="xsd:double"&gt;0.501&lt;/D&gt;&lt;D xsi:type="xsd:double"&gt;0.327&lt;/D&gt;&lt;D xsi:type="xsd:double"&gt;-0.316&lt;/D&gt;&lt;D xsi:type="xsd:double"&gt;-0.376&lt;/D&gt;&lt;/FQL&gt;&lt;FQL&gt;&lt;Q&gt;AC-CA^FF_STK_CHG_CF('ANN','0','-9','YEARLY',RP,'LOCAL','B')&lt;/Q&gt;&lt;R&gt;10&lt;/R&gt;&lt;C&gt;1&lt;/C&gt;&lt;D xsi:type="xsd:double"&gt;1.237&lt;/D&gt;&lt;D xsi:type="xsd:double"&gt;-0.364&lt;/D&gt;&lt;D xsi:type="xsd:double"&gt;-0.068&lt;/D&gt;&lt;D xsi:type="xsd:double"&gt;-0.062&lt;/D&gt;&lt;D xsi:type="xsd:double"&gt;-0.092&lt;/D&gt;&lt;D xsi:type="xsd:double"&gt;-0.059&lt;/D&gt;&lt;D xsi:type="xsd:double"&gt;0.001&lt;/D&gt;&lt;D xsi:type="xsd:double"&gt;0.014&lt;/D&gt;&lt;D xsi:type="xsd:double"&gt;-0.005&lt;/D&gt;&lt;D xsi:type="xsd:double"&gt;0&lt;/D&gt;&lt;/FQL&gt;&lt;FQL&gt;&lt;Q&gt;AC-CA^-FF_DIV_CF('ANN','0','-9','YEARLY',RP,'LOCAL','B')&lt;/Q&gt;&lt;R&gt;10&lt;/R&gt;&lt;C&gt;1&lt;/C&gt;&lt;D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xsi:type="xsd:double"&gt;0&lt;/D&gt;&lt;/FQL&gt;&lt;FQL&gt;&lt;Q&gt;AC-CA^SUMAV(FF_INVEST_USES_CF('ANN','0','-9','YEARLY',RP,'LOCAL','B'),FF_INVEST_SOURCES_CF('ANN','0','-9','YEARLY',RP,'LOCAL','B'))&lt;/Q&gt;&lt;R&gt;10&lt;/R&gt;&lt;C&gt;1&lt;/C&gt;&lt;D xsi:type="xsd:double"&gt;0.035&lt;/D&gt;&lt;D xsi:type="xsd:double"&gt;0.075&lt;/D&gt;&lt;D xsi:type="xsd:double"&gt;0.047&lt;/D&gt;&lt;D xsi:type="xsd:double"&gt;-0.016&lt;/D&gt;&lt;D xsi:type="xsd:double"&gt;-0.009&lt;/D&gt;&lt;D xsi:type="xsd:double"&gt;0.002&lt;/D&gt;&lt;D xsi:type="xsd:double"&gt;-0.003&lt;/D&gt;&lt;D xsi:type="xsd:double"&gt;0.041&lt;/D&gt;&lt;D xsi:type="xsd:double"&gt;0.032&lt;/D&gt;&lt;D xsi:type="xsd:double"&gt;-0.037&lt;/D&gt;&lt;/FQL&gt;&lt;FQL&gt;&lt;Q&gt;AC-CA^FF_INVEST_PURCH_SALE_CF('ANN','0','-9','YEARLY',RP,'LOCAL','B')&lt;/Q&gt;&lt;R&gt;10&lt;/R&gt;&lt;C&gt;1&lt;/C&gt;&lt;D xsi:type="xsd:double"&gt;-0.063&lt;/D&gt;&lt;D xsi:type="xsd:double"&gt;-0.352&lt;/D&gt;&lt;D xsi:type="xsd:double"&gt;-0.848&lt;/D&gt;&lt;D xsi:type="xsd:double"&gt;-0.998&lt;/D&gt;&lt;D xsi:type="xsd:double"&gt;-0.099&lt;/D&gt;&lt;D xsi:type="xsd:double"&gt;-0.398&lt;/D&gt;&lt;D xsi:type="xsd:double"&gt;-0.1&lt;/D&gt;&lt;D xsi:type="xsd:double"&gt;-0.21&lt;/D&gt;&lt;D xsi:type="xsd:double"&gt;-0.022&lt;/D&gt;&lt;D xsi:type="xsd:double"&gt;-0.149&lt;/D&gt;&lt;/FQL&gt;&lt;FQL&gt;&lt;Q&gt;AC-CA^FF_CAPEX(ANN_R,12/2014,,,,,B)&lt;/Q&gt;&lt;R&gt;1&lt;/R&gt;&lt;C&gt;1&lt;/C&gt;&lt;D xsi:type="xsd:double"&gt;1.501&lt;/D&gt;&lt;/FQL&gt;&lt;FQL&gt;&lt;Q&gt;AC-CA^-FF_ACQ_BUS_CF('ANN','0','-9','YEARLY',RP,'LOCAL','B')&lt;/Q&gt;&lt;R&gt;10&lt;/R&gt;&lt;C&gt;1&lt;/C&gt;&lt;D xsi:type="xsd:double"&gt;0&lt;/D&gt;&lt;D xsi:type="xsd:double"&gt;-0.517&lt;/D&gt;&lt;D xsi:type="xsd:string"&gt;@NA&lt;/D&gt;&lt;D xsi:type="xsd:string"&gt;@NA&lt;/D&gt;&lt;D xsi:type="xsd:string"&gt;@NA&lt;/D&gt;&lt;D xsi:type="xsd:string"&gt;@NA&lt;/D&gt;&lt;D xsi:type="xsd:string"&gt;@NA&lt;/D&gt;&lt;D xsi:type="xsd:string"&gt;@NA&lt;/D&gt;&lt;D xsi:type="xsd:string"&gt;@NA&lt;/D&gt;&lt;D xsi:type="xsd:double"&gt;0&lt;/D&gt;&lt;/FQL&gt;&lt;FQL&gt;&lt;Q&gt;AC-CA^FF_CAPEX(ANN_R,12/2013,,,,,B)&lt;/Q&gt;&lt;R&gt;1&lt;/R&gt;&lt;C&gt;1&lt;/C&gt;&lt;D xsi:type="xsd:double"&gt;0.962&lt;/D&gt;&lt;/FQL&gt;&lt;FQL&gt;&lt;Q&gt;AC-CA^FF_WKCAP_CHG('ANN','0','-9','YEARLY',RP,'LOCAL','B')&lt;/Q&gt;&lt;R&gt;10&lt;/R&gt;&lt;C&gt;1&lt;/C&gt;&lt;D xsi:type="xsd:double"&gt;-0.236&lt;/D&gt;&lt;D xsi:type="xsd:double"&gt;0.566&lt;/D&gt;&lt;D xsi:type="xsd:double"&gt;0.267&lt;/D&gt;&lt;D xsi:type="xsd:double"&gt;0.349&lt;/D&gt;&lt;D xsi:type="xsd:double"&gt;0.194&lt;/D&gt;&lt;D xsi:type="xsd:double"&gt;0.191&lt;/D&gt;&lt;D xsi:type="xsd:double"&gt;0.04&lt;/D&gt;&lt;D xsi:type="xsd:double"&gt;0.033&lt;/D&gt;&lt;D xsi:type="xsd:double"&gt;0.22&lt;/D&gt;&lt;D xsi:type="xsd:double"&gt;0.06&lt;/D&gt;&lt;/FQL&gt;&lt;FQL&gt;&lt;Q&gt;AC-CA^FF_CAPEX(ANN_R,12/2012,,,,,B)&lt;/Q&gt;&lt;R&gt;1&lt;/R&gt;&lt;C&gt;1&lt;/C&gt;&lt;D xsi:type="xsd:double"&gt;0.444&lt;/D&gt;&lt;/FQL&gt;&lt;FQL&gt;&lt;Q&gt;AC-CA^FF_NON_CASH('ANN','0','-9','YEARLY',RP,'LOCAL','B')&lt;/Q&gt;&lt;R&gt;10&lt;/R&gt;&lt;C&gt;1&lt;/C&gt;&lt;D xsi:type="xsd:double"&gt;0.859&lt;/D&gt;&lt;D xsi:type="xsd:double"&gt;1.456&lt;/D&gt;&lt;D xsi:type="xsd:double"&gt;0.911&lt;/D&gt;&lt;D xsi:type="xsd:double"&gt;0.142&lt;/D&gt;&lt;D xsi:type="xsd:double"&gt;0.512&lt;/D&gt;&lt;D xsi:type="xsd:double"&gt;0.856&lt;/D&gt;&lt;D xsi:type="xsd:double"&gt;0.253&lt;/D&gt;&lt;D xsi:type="xsd:double"&gt;0.11000003&lt;/D&gt;&lt;D xsi:type="xsd:double"&gt;-0.38&lt;/D&gt;&lt;D xsi:type="xsd:double"&gt;0.047&lt;/D&gt;&lt;/FQL&gt;&lt;FQL&gt;&lt;Q&gt;AC-CA^FF_CAPEX(ANN_R,12/2011,,,,,B)&lt;/Q&gt;&lt;R&gt;1&lt;/R&gt;&lt;C&gt;1&lt;/C&gt;&lt;D xsi:type="xsd:double"&gt;0.22&lt;/D&gt;&lt;/FQL&gt;&lt;FQL&gt;&lt;Q&gt;AAL-US^FF_NON_CASH('ANN','0','-9','YEARLY',RP,'LOCAL','B')&lt;/Q&gt;&lt;R&gt;10&lt;/R&gt;&lt;C&gt;1&lt;/C&gt;&lt;D xsi:type="xsd:double"&gt;1.323&lt;/D&gt;&lt;D xsi:type="xsd:double"&gt;0.118&lt;/D&gt;&lt;D xsi:type="xsd:double"&gt;0.088&lt;/D&gt;&lt;D xsi:type="xsd:double"&gt;0.077&lt;/D&gt;&lt;D xsi:type="xsd:double"&gt;0.165&lt;/D&gt;&lt;D xsi:type="xsd:double"&gt;0.23&lt;/D&gt;&lt;D xsi:type="xsd:double"&gt;0.025&lt;/D&gt;&lt;D xsi:type="xsd:double"&gt;1.675&lt;/D&gt;&lt;D xsi:type="xsd:double"&gt;1.802&lt;/D&gt;&lt;D xsi:type="xsd:double"&gt;1.063&lt;/D&gt;&lt;/FQL&gt;&lt;FQL&gt;&lt;Q&gt;AAL-US^FF_WKCAP_CHG('ANN','0','-9','YEARLY',RP,'LOCAL','B')&lt;/Q&gt;&lt;R&gt;10&lt;/R&gt;&lt;C&gt;1&lt;/C&gt;&lt;D xsi:type="xsd:double"&gt;1.217&lt;/D&gt;&lt;D xsi:type="xsd:double"&gt;-0.867&lt;/D&gt;&lt;D xsi:type="xsd:double"&gt;-0.566&lt;/D&gt;&lt;D xsi:type="xsd:double"&gt;-0.41&lt;/D&gt;&lt;D xsi:type="xsd:double"&gt;0.254&lt;/D&gt;&lt;D xsi:type="xsd:double"&gt;-0.186&lt;/D&gt;&lt;D xsi:type="xsd:double"&gt;-1.686&lt;/D&gt;&lt;D xsi:type="xsd:double"&gt;0.138&lt;/D&gt;&lt;D xsi:type="xsd:double"&gt;0.338&lt;/D&gt;&lt;D xsi:type="xsd:double"&gt;0.51&lt;/D&gt;&lt;/FQL&gt;&lt;FQL&gt;&lt;Q&gt;AAL-US^-FF_ACQ_BUS_CF('ANN','0','-9','YEARLY',RP,'LOCAL','B')&lt;/Q&gt;&lt;R&gt;10&lt;/R&gt;&lt;C&gt;1&lt;/C&gt;&lt;D xsi:type="xsd:double"&gt;0&lt;/D&gt;&lt;D xsi:type="xsd:double"&gt;0&lt;/D&gt;&lt;D xsi:type="xsd:double"&gt;0&lt;/D&gt;&lt;D xsi:type="xsd:string"&gt;@NA&lt;/D&gt;&lt;D xsi:type="xsd:double"&gt;0&lt;/D&gt;&lt;D xsi:type="xsd:double"&gt;0&lt;/D&gt;&lt;D xsi:type="xsd:double"&gt;0&lt;/D&gt;&lt;D xsi:type="xsd:double"&gt;0&lt;/D&gt;&lt;D xsi:type="xsd:double"&gt;0&lt;/D&gt;&lt;D xsi:type="xsd:double"&gt;0&lt;/D&gt;&lt;/FQL&gt;&lt;FQL&gt;&lt;Q&gt;AAL-US^FF_INVEST_PURCH_SALE_CF('ANN','0','-9','YEARLY',RP,'LOCAL','B')&lt;/Q&gt;&lt;R&gt;10&lt;/R&gt;&lt;C&gt;1&lt;/C&gt;&lt;D xsi:type="xsd:double"&gt;-3.337&lt;/D&gt;&lt;D xsi:type="xsd:double"&gt;0.957&lt;/D&gt;&lt;D xsi:type="xsd:double"&gt;0.572&lt;/D&gt;&lt;D xsi:type="xsd:double"&gt;1.079&lt;/D&gt;&lt;D xsi:type="xsd:double"&gt;-0.149&lt;/D&gt;&lt;D xsi:type="xsd:double"&gt;0.443000000000001&lt;/D&gt;&lt;D xsi:type="xsd:double"&gt;1.799&lt;/D&gt;&lt;D xsi:type="xsd:double"&gt;-1.181&lt;/D&gt;&lt;D xsi:type="xsd:double"&gt;0.306&lt;/D&gt;&lt;D xsi:type="xsd:double"&gt;0.61&lt;/D&gt;&lt;/FQL&gt;&lt;FQL&gt;&lt;Q&gt;AAL-US^SUMAV(FF_INVEST_USES_CF('ANN','0','-9','YEARLY',RP,'LOCAL','B'),FF_INVEST_SOURCES_CF('ANN','0','-9','YEARLY',RP,'LOCAL','B'))&lt;/Q&gt;&lt;R&gt;10&lt;/R&gt;&lt;C&gt;1&lt;/C&gt;&lt;D xsi:type="xsd:double"&gt;-0.063&lt;/D&gt;&lt;D xsi:type="xsd:double"&gt;0.164&lt;/D&gt;&lt;D xsi:type="xsd:double"&gt;-0.007&lt;/D&gt;&lt;D xsi:type="xsd:double"&gt;0&lt;/D&gt;&lt;D xsi:type="xsd:double"&gt;0.002&lt;/D&gt;&lt;D xsi:type="xsd:double"&gt;0&lt;/D&gt;&lt;D xsi:type="xsd:double"&gt;0.307&lt;/D&gt;&lt;D xsi:type="xsd:double"&gt;0&lt;/D&gt;&lt;D xsi:type="xsd:double"&gt;0&lt;/D&gt;&lt;D xsi:type="xsd:double"&gt;-0.288&lt;/D&gt;&lt;/FQL&gt;&lt;FQL&gt;&lt;Q&gt;AAL-US^-FF_DIV_CF('ANN','0','-9','YEARLY',RP,'LOCAL','B')&lt;/Q&gt;&lt;R&gt;10&lt;/R&gt;&lt;C&gt;1&lt;/C&gt;&lt;D xsi:type="xsd:double"&gt;-0.043&lt;/D&gt;&lt;D xsi:type="xsd:double"&gt;-0.178&lt;/D&gt;&lt;D xsi:type="xsd:double"&gt;-0.186&lt;/D&gt;&lt;D xsi:type="xsd:double"&gt;-0.198&lt;/D&gt;&lt;D xsi:type="xsd:double"&gt;-0.224&lt;/D&gt;&lt;D xsi:type="xsd:double"&gt;-0.278&lt;/D&gt;&lt;D xsi:type="xsd:double"&gt;-0.144&lt;/D&gt;&lt;D xsi:type="xsd:double"&gt;0&lt;/D&gt;&lt;D xsi:type="xsd:double"&gt;0&lt;/D&gt;&lt;D xsi:type="xsd:double"&gt;0&lt;/D&gt;&lt;/FQL&gt;&lt;FQL&gt;&lt;Q&gt;AAL-US^FF_STK_CHG_CF('ANN','0','-9','YEARLY',RP,'LOCAL','B')&lt;/Q&gt;&lt;R&gt;10&lt;/R&gt;&lt;C&gt;1&lt;/C&gt;&lt;D xsi:type="xsd:double"&gt;2.797&lt;/D&gt;&lt;D xsi:type="xsd:double"&gt;-1.097&lt;/D&gt;&lt;D xsi:type="xsd:double"&gt;-0.837&lt;/D&gt;&lt;D xsi:type="xsd:double"&gt;-1.615&lt;/D&gt;&lt;D xsi:type="xsd:double"&gt;-4.5&lt;/D&gt;&lt;D xsi:type="xsd:double"&gt;-3.846&lt;/D&gt;&lt;D xsi:type="xsd:double"&gt;-1.052&lt;/D&gt;&lt;D xsi:type="xsd:double"&gt;0&lt;/D&gt;&lt;D xsi:type="xsd:double"&gt;0&lt;/D&gt;&lt;D xsi:type="xsd:double"&gt;0&lt;/D&gt;&lt;/FQL&gt;&lt;FQL&gt;&lt;Q&gt;AAL-US^FF_DEBT_CF('ANN','0','-9','YEARLY',RP,'LOCAL','B')&lt;/Q&gt;&lt;R&gt;10&lt;/R&gt;&lt;C&gt;1&lt;/C&gt;&lt;D xsi:type="xsd:double"&gt;8.152&lt;/D&gt;&lt;D xsi:type="xsd:double"&gt;-0.291&lt;/D&gt;&lt;D xsi:type="xsd:double"&gt;-0.646&lt;/D&gt;&lt;D xsi:type="xsd:double"&gt;0.641&lt;/D&gt;&lt;D xsi:type="xsd:double"&gt;3.797&lt;/D&gt;&lt;D xsi:type="xsd:double"&gt;2.769&lt;/D&gt;&lt;D xsi:type="xsd:double"&gt;0.0640000000000001&lt;/D&gt;&lt;D xsi:type="xsd:double"&gt;2.088&lt;/D&gt;&lt;D xsi:type="xsd:double"&gt;0.489&lt;/D&gt;&lt;D xsi:type="xsd:double"&gt;0.024&lt;/D&gt;&lt;/FQL&gt;&lt;FQL&gt;&lt;Q&gt;AAL-US^FF_FIN_ACTIV_OTH_CF('ANN','0','-9','YEARLY',RP,'LOCAL','B')&lt;/Q&gt;&lt;R&gt;10&lt;/R&gt;&lt;C&gt;1&lt;/C&gt;&lt;D xsi:type="xsd:double"&gt;0.088&lt;/D&gt;&lt;D xsi:type="xsd:double"&gt;-0.002&lt;/D&gt;&lt;D xsi:type="xsd:double"&gt;-0.003&lt;/D&gt;&lt;D xsi:type="xsd:double"&gt;0.027&lt;/D&gt;&lt;D xsi:type="xsd:double"&gt;0.033&lt;/D&gt;&lt;D xsi:type="xsd:double"&gt;0.096&lt;/D&gt;&lt;D xsi:type="xsd:double"&gt;0.817&lt;/D&gt;&lt;D xsi:type="xsd:double"&gt;1.711&lt;/D&gt;&lt;D xsi:type="xsd:double"&gt;0&lt;/D&gt;&lt;D xsi:type="xsd:double"&gt;0.703&lt;/D&gt;&lt;/FQL&gt;&lt;FQL&gt;&lt;Q&gt;AAL-US^FF_DEP_AMORT_EXP(ANN_R,12/2020,,,,,B)&lt;/Q&gt;&lt;R&gt;1&lt;/R&gt;&lt;C&gt;1&lt;/C&gt;&lt;D xsi:type="xsd:double"&gt;2.365&lt;/D&gt;&lt;/FQL&gt;&lt;FQL&gt;&lt;Q&gt;AAL-US^FF_DEP_AMORT_EXP(ANN_R,12/2019,,,,,B)&lt;/Q&gt;&lt;R&gt;1&lt;/R&gt;&lt;C&gt;1&lt;/C&gt;&lt;D xsi:type="xsd:double"&gt;2.318&lt;/D&gt;&lt;/FQL&gt;&lt;FQL&gt;&lt;Q&gt;AAL-US^FF_DEP_AMORT_EXP(ANN_R,12/2018,,,,,B)&lt;/Q&gt;&lt;R&gt;1&lt;/R&gt;&lt;C&gt;1&lt;/C&gt;&lt;D xsi:type="xsd:double"&gt;2.157&lt;/D&gt;&lt;/FQL&gt;&lt;FQL&gt;&lt;Q&gt;AAL-US^FF_DEP_AMORT_EXP(ANN_R,12/2017,,,,,B)&lt;/Q&gt;&lt;R&gt;1&lt;/R&gt;&lt;C&gt;1&lt;/C&gt;&lt;D xsi:type="xsd:double"&gt;2.017&lt;/D&gt;&lt;/FQL&gt;&lt;FQL&gt;&lt;Q&gt;AAL-US^FF_DEP_AMORT_EXP(ANN_R,12/2016,,,,,B)&lt;/Q&gt;&lt;R&gt;1&lt;/R&gt;&lt;C&gt;1&lt;/C&gt;&lt;D xsi:type="xsd:double"&gt;1.826&lt;/D&gt;&lt;/FQL&gt;&lt;FQL&gt;&lt;Q&gt;AAL-US^FF_DEP_AMORT_EXP(ANN_R,12/2015,,,,,B)&lt;/Q&gt;&lt;R&gt;1&lt;/R&gt;&lt;C&gt;1&lt;/C&gt;&lt;D xsi:type="xsd:double"&gt;1.607&lt;/D&gt;&lt;/FQL&gt;&lt;FQL&gt;&lt;Q&gt;AAL-US^FF_DEP_AMORT_EXP(ANN_R,12/2014,,,,,B)&lt;/Q&gt;&lt;R&gt;1&lt;/R&gt;&lt;C&gt;1&lt;/C&gt;&lt;D xsi:type="xsd:double"&gt;1.512&lt;/D&gt;&lt;/FQL&gt;&lt;FQL&gt;&lt;Q&gt;AAL-US^FF_DEP_AMORT_EXP(ANN_R,12/2013,,,,,B)&lt;/Q&gt;&lt;R&gt;1&lt;/R&gt;&lt;C&gt;1&lt;/C&gt;&lt;D xsi:type="xsd:double"&gt;1.021&lt;/D&gt;&lt;/FQL&gt;&lt;FQL&gt;&lt;Q&gt;AAL-US^FF_DEP_AMORT_EXP(ANN_R,12/2012,,,,,B)&lt;/Q&gt;&lt;R&gt;1&lt;/R&gt;&lt;C&gt;1&lt;/C&gt;&lt;D xsi:type="xsd:double"&gt;1.015&lt;/D&gt;&lt;/FQL&gt;&lt;FQL&gt;&lt;Q&gt;AAL-US^FF_DEP_AMORT_EXP(ANN_R,12/2011,,,,,B)&lt;/Q&gt;&lt;R&gt;1&lt;/R&gt;&lt;C&gt;1&lt;/C&gt;&lt;D xsi:type="xsd:double"&gt;1.086&lt;/D&gt;&lt;/FQL&gt;&lt;FQL&gt;&lt;Q&gt;AAL-US^FF_DFD_TAX(ANN_R,12/2020,,,,,B)&lt;/Q&gt;&lt;R&gt;1&lt;/R&gt;&lt;C&gt;1&lt;/C&gt;&lt;D xsi:type="xsd:double"&gt;-3.239&lt;/D&gt;&lt;/FQL&gt;&lt;FQL&gt;&lt;Q&gt;AAL-US^FF_DFD_TAX(ANN_R,12/2019,,,,,B)&lt;/Q&gt;&lt;R&gt;1&lt;/R&gt;&lt;C&gt;1&lt;/C&gt;&lt;D xsi:type="xsd:double"&gt;-0.645&lt;/D&gt;&lt;/FQL&gt;&lt;FQL&gt;&lt;Q&gt;AAL-US^FF_DFD_TAX(ANN_R,12/2018,,,,,B)&lt;/Q&gt;&lt;R&gt;1&lt;/R&gt;&lt;C&gt;1&lt;/C&gt;&lt;D xsi:type="xsd:double"&gt;-1.145&lt;/D&gt;&lt;/FQL&gt;&lt;FQL&gt;&lt;Q&gt;AAL-US^FF_DFD_TAX(ANN_R,12/2017,,,,,B)&lt;/Q&gt;&lt;R&gt;1&lt;/R&gt;&lt;C&gt;1&lt;/C&gt;&lt;D xsi:type="xsd:double"&gt;-1.816&lt;/D&gt;&lt;/FQL&gt;&lt;FQL&gt;&lt;Q&gt;AAL-US^FF_DFD_TAX(ANN_R,12/2016,,,,,B)&lt;/Q&gt;&lt;R&gt;1&lt;/R&gt;&lt;C&gt;1&lt;/C&gt;&lt;D xsi:type="xsd:double"&gt;-1.498&lt;/D&gt;&lt;/FQL&gt;&lt;FQL&gt;&lt;Q&gt;AAL-US^FF_DFD_TAX(ANN_R,12/2015,,,,,B)&lt;/Q&gt;&lt;R&gt;1&lt;/R&gt;&lt;C&gt;1&lt;/C&gt;&lt;D xsi:type="xsd:double"&gt;-2.477&lt;/D&gt;&lt;/FQL&gt;&lt;FQL&gt;&lt;Q&gt;AAL-US^FF_DFD_TAX(ANN_R,12/2014,,,,,B)&lt;/Q&gt;&lt;R&gt;1&lt;/R&gt;&lt;C&gt;1&lt;/C&gt;&lt;D xsi:type="xsd:double"&gt;0&lt;/D&gt;&lt;/FQL&gt;&lt;FQL&gt;&lt;Q&gt;AAL-US^FF_DFD_TAX(ANN_R,12/2013,,,,,B)&lt;/Q&gt;&lt;R&gt;0&lt;/R&gt;&lt;C&gt;0&lt;/C&gt;&lt;/FQL&gt;&lt;FQL&gt;&lt;Q&gt;AAL-US^FF_DFD_TAX(ANN_R,12/2012,,,,,B)&lt;/Q&gt;&lt;R&gt;0&lt;/R&gt;&lt;C&gt;0&lt;/C&gt;&lt;/FQL&gt;&lt;FQL&gt;&lt;Q&gt;AAL-US^FF_DFD_TAX(ANN_R,12/2011,,,,,B)&lt;/Q&gt;&lt;R&gt;1&lt;/R&gt;&lt;C&gt;1&lt;/C&gt;&lt;D xsi:type="xsd:double"&gt;0&lt;/D&gt;&lt;/FQL&gt;&lt;FQL&gt;&lt;Q&gt;AAL-US^FF_CAPEX(ANN_R,12/2020,,,,,B)&lt;/Q&gt;&lt;R&gt;1&lt;/R&gt;&lt;C&gt;1&lt;/C&gt;&lt;D xsi:type="xsd:double"&gt;1.958&lt;/D&gt;&lt;/FQL&gt;&lt;FQL&gt;&lt;Q&gt;AAL-US^FF_CAPEX(ANN_R,12/2019,,,,,B)&lt;/Q&gt;&lt;R&gt;1&lt;/R&gt;&lt;C&gt;1&lt;/C&gt;&lt;D xsi:type="xsd:double"&gt;4.268&lt;/D&gt;&lt;/FQL&gt;&lt;FQL&gt;&lt;Q&gt;AAL-US^FF_CAPEX(ANN_R,12/2018,,,,,B)&lt;/Q&gt;&lt;R&gt;1&lt;/R&gt;&lt;C&gt;1&lt;/C&gt;&lt;D xsi:type="xsd:double"&gt;3.745&lt;/D&gt;&lt;/FQL&gt;&lt;FQL&gt;&lt;Q&gt;AAL-US^FF_CAPEX(ANN_R,12/2017,,,,,B)&lt;/Q&gt;&lt;R&gt;1&lt;/R&gt;&lt;C&gt;1&lt;/C&gt;&lt;D xsi:type="xsd:double"&gt;5.971&lt;/D&gt;&lt;/FQL&gt;&lt;FQL&gt;&lt;Q&gt;AAL-US^FF_CAPEX(ANN_R,12/2016,,,,,B)&lt;/Q&gt;&lt;R&gt;1&lt;/R&gt;&lt;C&gt;1&lt;/C&gt;&lt;D xsi:type="xsd:double"&gt;5.731&lt;/D&gt;&lt;/FQL&gt;&lt;FQL&gt;&lt;Q&gt;AAL-US^FF_CAPEX(ANN_R,12/2015,,,,,B)&lt;/Q&gt;&lt;R&gt;1&lt;/R&gt;&lt;C&gt;1&lt;/C&gt;&lt;D xsi:type="xsd:double"&gt;6.151&lt;/D&gt;&lt;/FQL&gt;&lt;FQL&gt;&lt;Q&gt;AAL-US^FF_CAPEX(ANN_R,12/2014,,,,,B)&lt;/Q&gt;&lt;R&gt;1&lt;/R&gt;&lt;C&gt;1&lt;/C&gt;&lt;D xsi:type="xsd:double"&gt;5.311&lt;/D&gt;&lt;/FQL&gt;&lt;FQL&gt;&lt;Q&gt;AAL-US^FF_CAPEX(ANN_R,12/2013,,,,,B)&lt;/Q&gt;&lt;R&gt;1&lt;/R&gt;&lt;C&gt;1&lt;/C&gt;&lt;D xsi:type="xsd:double"&gt;3.114&lt;/D&gt;&lt;/FQL&gt;&lt;FQL&gt;&lt;Q&gt;AAL-US^FF_CAPEX(ANN_R,12/2012,,,,,B)&lt;/Q&gt;&lt;R&gt;1&lt;/R&gt;&lt;C&gt;1&lt;/C&gt;&lt;D xsi:type="xsd:double"&gt;1.888&lt;/D&gt;&lt;/FQL&gt;&lt;FQL&gt;&lt;Q&gt;AAL-US^FF_CAPEX(ANN_R,12/2011,</t>
        </r>
      </text>
    </comment>
    <comment ref="A29" authorId="0" shapeId="0" xr:uid="{8C45751B-BF16-43D8-99F2-648071B6D6CC}">
      <text>
        <r>
          <rPr>
            <b/>
            <sz val="9"/>
            <color indexed="81"/>
            <rFont val="Tahoma"/>
            <charset val="1"/>
          </rPr>
          <t>,,,,B)&lt;/Q&gt;&lt;R&gt;1&lt;/R&gt;&lt;C&gt;1&lt;/C&gt;&lt;D xsi:type="xsd:double"&gt;1.614&lt;/D&gt;&lt;/FQL&gt;&lt;FQL&gt;&lt;Q&gt;LUV-US^FF_NON_CASH('ANN','0','-9','YEARLY',RP,'LOCAL','B')&lt;/Q&gt;&lt;R&gt;10&lt;/R&gt;&lt;C&gt;1&lt;/C&gt;&lt;D xsi:type="xsd:double"&gt;-0.175&lt;/D&gt;&lt;D xsi:type="xsd:double"&gt;0&lt;/D&gt;&lt;D xsi:type="xsd:double"&gt;-0.014&lt;/D&gt;&lt;D xsi:type="xsd:double"&gt;0.013&lt;/D&gt;&lt;D xsi:type="xsd:double"&gt;-0.179&lt;/D&gt;&lt;D xsi:type="xsd:double"&gt;0.113&lt;/D&gt;&lt;D xsi:type="xsd:double"&gt;0.279&lt;/D&gt;&lt;D xsi:type="xsd:double"&gt;-0.005&lt;/D&gt;&lt;D xsi:type="xsd:double"&gt;-0.201&lt;/D&gt;&lt;D xsi:type="xsd:double"&gt;0.077&lt;/D&gt;&lt;/FQL&gt;&lt;FQL&gt;&lt;Q&gt;LUV-US^FF_WKCAP_CHG('ANN','0','-9','YEARLY',RP,'LOCAL','B')&lt;/Q&gt;&lt;R&gt;10&lt;/R&gt;&lt;C&gt;1&lt;/C&gt;&lt;D xsi:type="xsd:double"&gt;1.583&lt;/D&gt;&lt;D xsi:type="xsd:double"&gt;0.523&lt;/D&gt;&lt;D xsi:type="xsd:double"&gt;0.94&lt;/D&gt;&lt;D xsi:type="xsd:double"&gt;0.422&lt;/D&gt;&lt;D xsi:type="xsd:double"&gt;0.552&lt;/D&gt;&lt;D xsi:type="xsd:double"&gt;0.038&lt;/D&gt;&lt;D xsi:type="xsd:double"&gt;0.048&lt;/D&gt;&lt;D xsi:type="xsd:double"&gt;0.811&lt;/D&gt;&lt;D xsi:type="xsd:double"&gt;0.749&lt;/D&gt;&lt;D xsi:type="xsd:double"&gt;0.292&lt;/D&gt;&lt;/FQL&gt;&lt;FQL&gt;&lt;Q&gt;LUV-US^-FF_ACQ_BUS_CF('ANN','0','-9','YEARLY',RP,'LOCAL','B')&lt;/Q&gt;&lt;R&gt;10&lt;/R&gt;&lt;C&gt;1&lt;/C&gt;&lt;D xsi:type="xsd:double"&gt;0&lt;/D&gt;&lt;D xsi:type="xsd:double"&gt;0&lt;/D&gt;&lt;D xsi:type="xsd:double"&gt;0&lt;/D&gt;&lt;D xsi:type="xsd:double"&gt;0&lt;/D&gt;&lt;D xsi:type="xsd:double"&gt;0&lt;/D&gt;&lt;D xsi:type="xsd:double"&gt;0&lt;/D&gt;&lt;D xsi:type="xsd:double"&gt;0&lt;/D&gt;&lt;D xsi:type="xsd:double"&gt;0&lt;/D&gt;&lt;D xsi:type="xsd:double"&gt;0&lt;/D&gt;&lt;D xsi:type="xsd:double"&gt;-0.035&lt;/D&gt;&lt;/FQL&gt;&lt;FQL&gt;&lt;Q&gt;LUV-US^FF_INVEST_PURCH_SALE_CF('ANN','0','-9','YEARLY',RP,'LOCAL','B')&lt;/Q&gt;&lt;R&gt;10&lt;/R&gt;&lt;C&gt;1&lt;/C&gt;&lt;D xsi:type="xsd:double"&gt;-0.744&lt;/D&gt;&lt;D xsi:type="xsd:double"&gt;0.324&lt;/D&gt;&lt;D xsi:type="xsd:double"&gt;-0.0670000000000002&lt;/D&gt;&lt;D xsi:type="xsd:double"&gt;-0.159&lt;/D&gt;&lt;D xsi:type="xsd:double"&gt;-0.125&lt;/D&gt;&lt;D xsi:type="xsd:double"&gt;0.237&lt;/D&gt;&lt;D xsi:type="xsd:double"&gt;0.105&lt;/D&gt;&lt;D xsi:type="xsd:double"&gt;0.0629999999999997&lt;/D&gt;&lt;D xsi:type="xsd:double"&gt;0.515&lt;/D&gt;&lt;D xsi:type="xsd:double"&gt;-0.048&lt;/D&gt;&lt;/FQL&gt;&lt;FQL&gt;&lt;Q&gt;LUV-US^SUMAV(FF_INVEST_USES_CF('ANN','0','-9','YEARLY',RP,'LOCAL','B'),FF_INVEST_SOURCES_CF('ANN','0','-9','YEARLY',RP,'LOCAL','B'))&lt;/Q&gt;&lt;R&gt;10&lt;/R&gt;&lt;C&gt;1&lt;/C&gt;&lt;D xsi:type="xsd:double"&gt;0.428&lt;/D&gt;&lt;D xsi:type="xsd:double"&gt;0.4&lt;/D&gt;&lt;D xsi:type="xsd:double"&gt;0.005&lt;/D&gt;&lt;D xsi:type="xsd:double"&gt;0&lt;/D&gt;&lt;D xsi:type="xsd:double"&gt;0&lt;/D&gt;&lt;D xsi:type="xsd:double"&gt;-0.007&lt;/D&gt;&lt;D xsi:type="xsd:double"&gt;-0.004&lt;/D&gt;&lt;D xsi:type="xsd:double"&gt;0&lt;/D&gt;&lt;D xsi:type="xsd:double"&gt;0&lt;/D&gt;&lt;D xsi:type="xsd:double"&gt;0&lt;/D&gt;&lt;/FQL&gt;&lt;FQL&gt;&lt;Q&gt;LUV-US^-FF_DIV_CF('ANN','0','-9','YEARLY',RP,'LOCAL','B')&lt;/Q&gt;&lt;R&gt;10&lt;/R&gt;&lt;C&gt;1&lt;/C&gt;&lt;D xsi:type="xsd:double"&gt;-0.188&lt;/D&gt;&lt;D xsi:type="xsd:double"&gt;-0.372&lt;/D&gt;&lt;D xsi:type="xsd:double"&gt;-0.332&lt;/D&gt;&lt;D xsi:type="xsd:double"&gt;-0.274&lt;/D&gt;&lt;D xsi:type="xsd:double"&gt;-0.222&lt;/D&gt;&lt;D xsi:type="xsd:double"&gt;-0.18&lt;/D&gt;&lt;D xsi:type="xsd:double"&gt;-0.139&lt;/D&gt;&lt;D xsi:type="xsd:double"&gt;-0.071&lt;/D&gt;&lt;D xsi:type="xsd:double"&gt;-0.022&lt;/D&gt;&lt;D xsi:type="xsd:double"&gt;-0.014&lt;/D&gt;&lt;/FQL&gt;&lt;FQL&gt;&lt;Q&gt;LUV-US^FF_STK_CHG_CF('ANN','0','-9','YEARLY',RP,'LOCAL','B')&lt;/Q&gt;&lt;R&gt;10&lt;/R&gt;&lt;C&gt;1&lt;/C&gt;&lt;D xsi:type="xsd:double"&gt;1.891&lt;/D&gt;&lt;D xsi:type="xsd:double"&gt;-1.96&lt;/D&gt;&lt;D xsi:type="xsd:double"&gt;-1.965&lt;/D&gt;&lt;D xsi:type="xsd:double"&gt;-1.571&lt;/D&gt;&lt;D xsi:type="xsd:double"&gt;-1.721&lt;/D&gt;&lt;D xsi:type="xsd:double"&gt;-1.134&lt;/D&gt;&lt;D xsi:type="xsd:double"&gt;-0.845&lt;/D&gt;&lt;D xsi:type="xsd:double"&gt;-0.444&lt;/D&gt;&lt;D xsi:type="xsd:double"&gt;-0.373&lt;/D&gt;&lt;D xsi:type="xsd:double"&gt;-0.205&lt;/D&gt;&lt;/FQL&gt;&lt;FQL&gt;&lt;Q&gt;LUV-US^FF_DEBT_CF('ANN','0','-9','YEARLY',RP,'LOCAL','B')&lt;/Q&gt;&lt;R&gt;10&lt;/R&gt;&lt;C&gt;1&lt;/C&gt;&lt;D xsi:type="xsd:double"&gt;7.965&lt;/D&gt;&lt;D xsi:type="xsd:double"&gt;-0.615&lt;/D&gt;&lt;D xsi:type="xsd:double"&gt;-0.342&lt;/D&gt;&lt;D xsi:type="xsd:double"&gt;0.00800000000000001&lt;/D&gt;&lt;D xsi:type="xsd:double"&gt;-0.076&lt;/D&gt;&lt;D xsi:type="xsd:double"&gt;0.287&lt;/D&gt;&lt;D xsi:type="xsd:double"&gt;-0.261&lt;/D&gt;&lt;D xsi:type="xsd:double"&gt;-0.318&lt;/D&gt;&lt;D xsi:type="xsd:double"&gt;-0.578&lt;/D&gt;&lt;D xsi:type="xsd:double"&gt;-0.621&lt;/D&gt;&lt;/FQL&gt;&lt;FQL&gt;&lt;Q&gt;LUV-US^FF_FIN_ACTIV_OTH_CF('ANN','0','-9','YEARLY',RP,'LOCAL','B')&lt;/Q&gt;&lt;R&gt;10&lt;/R&gt;&lt;C&gt;1&lt;/C&gt;&lt;D xsi:type="xsd:double"&gt;-0.01&lt;/D&gt;&lt;D xsi:type="xsd:double"&gt;-0.043&lt;/D&gt;&lt;D xsi:type="xsd:double"&gt;0.143&lt;/D&gt;&lt;D xsi:type="xsd:double"&gt;0.131&lt;/D&gt;&lt;D xsi:type="xsd:double"&gt;0.095&lt;/D&gt;&lt;D xsi:type="xsd:double"&gt;0.003&lt;/D&gt;&lt;D xsi:type="xsd:double"&gt;-0.003&lt;/D&gt;&lt;D xsi:type="xsd:double"&gt;-0.018&lt;/D&gt;&lt;D xsi:type="xsd:double"&gt;0.026&lt;/D&gt;&lt;D xsi:type="xsd:double"&gt;0.074&lt;/D&gt;&lt;/FQL&gt;&lt;FQL&gt;&lt;Q&gt;LUV-US^FF_DEP_AMORT_EXP(ANN_R,12/2020,,,,,B)&lt;/Q&gt;&lt;R&gt;1&lt;/R&gt;&lt;C&gt;1&lt;/C&gt;&lt;D xsi:type="xsd:double"&gt;1.255&lt;/D&gt;&lt;/FQL&gt;&lt;FQL&gt;&lt;Q&gt;LUV-US^FF_DEP_AMORT_EXP(ANN_R,12/2019,,,,,B)&lt;/Q&gt;&lt;R&gt;1&lt;/R&gt;&lt;C&gt;1&lt;/C&gt;&lt;D xsi:type="xsd:double"&gt;1.219&lt;/D&gt;&lt;/FQL&gt;&lt;FQL&gt;&lt;Q&gt;LUV-US^FF_DEP_AMORT_EXP(ANN_R,12/2018,,,,,B)&lt;/Q&gt;&lt;R&gt;1&lt;/R&gt;&lt;C&gt;1&lt;/C&gt;&lt;D xsi:type="xsd:double"&gt;1.201&lt;/D&gt;&lt;/FQL&gt;&lt;FQL&gt;&lt;Q&gt;LUV-US^FF_DEP_AMORT_EXP(ANN_R,12/2017,,,,,B)&lt;/Q&gt;&lt;R&gt;1&lt;/R&gt;&lt;C&gt;1&lt;/C&gt;&lt;D xsi:type="xsd:double"&gt;1.218&lt;/D&gt;&lt;/FQL&gt;&lt;FQL&gt;&lt;Q&gt;LUV-US^FF_DEP_AMORT_EXP(ANN_R,12/2016,,,,,B)&lt;/Q&gt;&lt;R&gt;1&lt;/R&gt;&lt;C&gt;1&lt;/C&gt;&lt;D xsi:type="xsd:double"&gt;1.221&lt;/D&gt;&lt;/FQL&gt;&lt;FQL&gt;&lt;Q&gt;LUV-US^FF_DEP_AMORT_EXP(ANN_R,12/2015,,,,,B)&lt;/Q&gt;&lt;R&gt;1&lt;/R&gt;&lt;C&gt;1&lt;/C&gt;&lt;D xsi:type="xsd:double"&gt;1.015&lt;/D&gt;&lt;/FQL&gt;&lt;FQL&gt;&lt;Q&gt;LUV-US^FF_DEP_AMORT_EXP(ANN_R,12/2014,,,,,B)&lt;/Q&gt;&lt;R&gt;1&lt;/R&gt;&lt;C&gt;1&lt;/C&gt;&lt;D xsi:type="xsd:double"&gt;0.938&lt;/D&gt;&lt;/FQL&gt;&lt;FQL&gt;&lt;Q&gt;LUV-US^FF_DEP_AMORT_EXP(ANN_R,12/2013,,,,,B)&lt;/Q&gt;&lt;R&gt;1&lt;/R&gt;&lt;C&gt;1&lt;/C&gt;&lt;D xsi:type="xsd:double"&gt;0.867&lt;/D&gt;&lt;/FQL&gt;&lt;FQL&gt;&lt;Q&gt;LUV-US^FF_DEP_AMORT_EXP(ANN_R,12/2012,,,,,B)&lt;/Q&gt;&lt;R&gt;1&lt;/R&gt;&lt;C&gt;1&lt;/C&gt;&lt;D xsi:type="xsd:double"&gt;0.844&lt;/D&gt;&lt;/FQL&gt;&lt;FQL&gt;&lt;Q&gt;LUV-US^FF_DEP_AMORT_EXP(ANN_R,12/2011,,,,,B)&lt;/Q&gt;&lt;R&gt;1&lt;/R&gt;&lt;C&gt;1&lt;/C&gt;&lt;D xsi:type="xsd:double"&gt;0.715&lt;/D&gt;&lt;/FQL&gt;&lt;FQL&gt;&lt;Q&gt;LUV-US^FF_DFD_TAX(ANN_R,12/2020,,,,,B)&lt;/Q&gt;&lt;R&gt;1&lt;/R&gt;&lt;C&gt;1&lt;/C&gt;&lt;D xsi:type="xsd:double"&gt;1.634&lt;/D&gt;&lt;/FQL&gt;&lt;FQL&gt;&lt;Q&gt;LUV-US^FF_DFD_TAX(ANN_R,12/2019,,,,,B)&lt;/Q&gt;&lt;R&gt;1&lt;/R&gt;&lt;C&gt;1&lt;/C&gt;&lt;D xsi:type="xsd:double"&gt;2.364&lt;/D&gt;&lt;/FQL&gt;&lt;FQL&gt;&lt;Q&gt;LUV-US^FF_DFD_TAX(ANN_R,12/2018,,,,,B)&lt;/Q&gt;&lt;R&gt;1&lt;/R&gt;&lt;C&gt;1&lt;/C&gt;&lt;D xsi:type="xsd:double"&gt;2.427&lt;/D&gt;&lt;/FQL&gt;&lt;FQL&gt;&lt;Q&gt;LUV-US^FF_DFD_TAX(ANN_R,12/2017,,,,,B)&lt;/Q&gt;&lt;R&gt;1&lt;/R&gt;&lt;C&gt;1&lt;/C&gt;&lt;D xsi:type="xsd:double"&gt;2.119&lt;/D&gt;&lt;/FQL&gt;&lt;FQL&gt;&lt;Q&gt;LUV-US^FF_DFD_TAX(ANN_R,12/2016,,,,,B)&lt;/Q&gt;&lt;R&gt;1&lt;/R&gt;&lt;C&gt;1&lt;/C&gt;&lt;D xsi:type="xsd:double"&gt;3.374&lt;/D&gt;&lt;/FQL&gt;&lt;FQL&gt;&lt;Q&gt;LUV-US^FF_DFD_TAX(ANN_R,12/2015,,,,,B)&lt;/Q&gt;&lt;R&gt;1&lt;/R&gt;&lt;C&gt;1&lt;/C&gt;&lt;D xsi:type="xsd:double"&gt;2.49&lt;/D&gt;&lt;/FQL&gt;&lt;FQL&gt;&lt;Q&gt;LUV-US^FF_DFD_TAX(ANN_R,12/2014,,,,,B)&lt;/Q&gt;&lt;R&gt;1&lt;/R&gt;&lt;C&gt;1&lt;/C&gt;&lt;D xsi:type="xsd:double"&gt;3.259&lt;/D&gt;&lt;/FQL&gt;&lt;FQL&gt;&lt;Q&gt;LUV-US^FF_DFD_TAX(ANN_R,12/2013,,,,,B)&lt;/Q&gt;&lt;R&gt;1&lt;/R&gt;&lt;C&gt;1&lt;/C&gt;&lt;D xsi:type="xsd:double"&gt;2.934&lt;/D&gt;&lt;/FQL&gt;&lt;FQL&gt;&lt;Q&gt;LUV-US^FF_DFD_TAX(ANN_R,12/2012,,,,,B)&lt;/Q&gt;&lt;R&gt;1&lt;/R&gt;&lt;C&gt;1&lt;/C&gt;&lt;D xsi:type="xsd:double"&gt;2.884&lt;/D&gt;&lt;/FQL&gt;&lt;FQL&gt;&lt;Q&gt;LUV-US^FF_DFD_TAX(ANN_R,12/2011,,,,,B)&lt;/Q&gt;&lt;R&gt;1&lt;/R&gt;&lt;C&gt;1&lt;/C&gt;&lt;D xsi:type="xsd:double"&gt;2.566&lt;/D&gt;&lt;/FQL&gt;&lt;FQL&gt;&lt;Q&gt;LUV-US^FF_CAPEX(ANN_R,12/2020,,,,,B)&lt;/Q&gt;&lt;R&gt;1&lt;/R&gt;&lt;C&gt;1&lt;/C&gt;&lt;D xsi:type="xsd:double"&gt;0.515&lt;/D&gt;&lt;/FQL&gt;&lt;FQL&gt;&lt;Q&gt;LUV-US^FF_CAPEX(ANN_R,12/2019,,,,,B)&lt;/Q&gt;&lt;R&gt;1&lt;/R&gt;&lt;C&gt;1&lt;/C&gt;&lt;D xsi:type="xsd:double"&gt;1.027&lt;/D&gt;&lt;/FQL&gt;&lt;FQL&gt;&lt;Q&gt;LUV-US^FF_CAPEX(ANN_R,12/2018,,,,,B)&lt;/Q&gt;&lt;R&gt;1&lt;/R&gt;&lt;C&gt;1&lt;/C&gt;&lt;D xsi:type="xsd:double"&gt;1.976&lt;/D&gt;&lt;/FQL&gt;&lt;FQL&gt;&lt;Q&gt;LUV-US^FF_CAPEX(ANN_R,12/2017,,,,,B)&lt;/Q&gt;&lt;R&gt;1&lt;/R&gt;&lt;C&gt;1&lt;/C&gt;&lt;D xsi:type="xsd:double"&gt;2.249&lt;/D&gt;&lt;/FQL&gt;&lt;FQL&gt;&lt;Q&gt;LUV-US^FF_CAPEX(ANN_R,12/2016,,,,,B)&lt;/Q&gt;&lt;R&gt;1&lt;/R&gt;&lt;C&gt;1&lt;/C&gt;&lt;D xsi:type="xsd:double"&gt;2.147&lt;/D&gt;&lt;/FQL&gt;&lt;FQL&gt;&lt;Q&gt;LUV-US^FF_CAPEX(ANN_R,12/2015,,,,,B)&lt;/Q&gt;&lt;R&gt;1&lt;/R&gt;&lt;C&gt;1&lt;/C&gt;&lt;D xsi:type="xsd:double"&gt;2.143&lt;/D&gt;&lt;/FQL&gt;&lt;FQL&gt;&lt;Q&gt;LUV-US^FF_CAPEX(ANN_R,12/2014,,,,,B)&lt;/Q&gt;&lt;R&gt;1&lt;/R&gt;&lt;C&gt;1&lt;/C&gt;&lt;D xsi:type="xsd:double"&gt;1.828&lt;/D&gt;&lt;/FQL&gt;&lt;FQL&gt;&lt;Q&gt;LUV-US^FF_CAPEX(ANN_R,12/2013,,,,,B)&lt;/Q&gt;&lt;R&gt;1&lt;/R&gt;&lt;C&gt;1&lt;/C&gt;&lt;D xsi:type="xsd:double"&gt;1.447&lt;/D&gt;&lt;/FQL&gt;&lt;FQL&gt;&lt;Q&gt;LUV-US^FF_CAPEX(ANN_R,12/2012,,,,,B)&lt;/Q&gt;&lt;R&gt;1&lt;/R&gt;&lt;C&gt;1&lt;/C&gt;&lt;D xsi:type="xsd:double"&gt;1.348&lt;/D&gt;&lt;/FQL&gt;&lt;FQL&gt;&lt;Q&gt;LUV-US^FF_CAPEX(ANN_R,12/2011,,,,,B)&lt;/Q&gt;&lt;R&gt;1&lt;/R&gt;&lt;C&gt;1&lt;/C&gt;&lt;D xsi:type="xsd:double"&gt;0.968&lt;/D&gt;&lt;/FQL&gt;&lt;FQL&gt;&lt;Q&gt;ALK-US^FF_NON_CASH('ANN','0','-9','YEARLY',RP,'LOCAL','B')&lt;/Q&gt;&lt;R&gt;10&lt;/R&gt;&lt;C&gt;1&lt;/C&gt;&lt;D xsi:type="xsd:double"&gt;0.871&lt;/D&gt;&lt;D xsi:type="xsd:double"&gt;0.029&lt;/D&gt;&lt;D xsi:type="xsd:double"&gt;0.047&lt;/D&gt;&lt;D xsi:type="xsd:double"&gt;0.055&lt;/D&gt;&lt;D xsi:type="xsd:double"&gt;0.026&lt;/D&gt;&lt;D xsi:type="xsd:double"&gt;0.025&lt;/D&gt;&lt;D xsi:type="xsd:double"&gt;0.006&lt;/D&gt;&lt;D xsi:type="xsd:double"&gt;-0.115&lt;/D&gt;&lt;D xsi:type="xsd:double"&gt;0.053&lt;/D&gt;&lt;D xsi:type="xsd:double"&gt;0.0698&lt;/D&gt;&lt;/FQL&gt;&lt;FQL&gt;&lt;Q&gt;ALK-US^FF_WKCAP_CHG('ANN','0','-9','YEARLY',RP,'LOCAL','B')&lt;/Q&gt;&lt;R&gt;10&lt;/R&gt;&lt;C&gt;1&lt;/C&gt;&lt;D xsi:type="xsd:double"&gt;0.099&lt;/D&gt;&lt;D xsi:type="xsd:double"&gt;0.292&lt;/D&gt;&lt;D xsi:type="xsd:double"&gt;0.167&lt;/D&gt;&lt;D xsi:type="xsd:double"&gt;0.11&lt;/D&gt;&lt;D xsi:type="xsd:double"&gt;0.089&lt;/D&gt;&lt;D xsi:type="xsd:double"&gt;0.335&lt;/D&gt;&lt;D xsi:type="xsd:double"&gt;0.011&lt;/D&gt;&lt;D xsi:type="xsd:double"&gt;0.172&lt;/D&gt;&lt;D xsi:type="xsd:double"&gt;0.026&lt;/D&gt;&lt;D xsi:type="xsd:double"&gt;-0.01&lt;/D&gt;&lt;/FQL&gt;&lt;FQL&gt;&lt;Q&gt;ALK-US^-FF_ACQ_BUS_CF('ANN','0','-9','YEARLY',RP,'LOCAL','B')&lt;/Q&gt;&lt;R&gt;10&lt;/R&gt;&lt;C&gt;1&lt;/C&gt;&lt;D xsi:type="xsd:double"&gt;0&lt;/D&gt;&lt;D xsi:type="xsd:double"&gt;0&lt;/D&gt;&lt;D xsi:type="xsd:double"&gt;0&lt;/D&gt;&lt;D xsi:type="xsd:double"&gt;0&lt;/D&gt;&lt;D xsi:type="xsd:double"&gt;-1.951&lt;/D&gt;&lt;D xsi:type="xsd:string"&gt;@NA&lt;/D&gt;&lt;D xsi:type="xsd:double"&gt;0&lt;/D&gt;&lt;D xsi:type="xsd:double"&gt;0&lt;/D&gt;&lt;D xsi:type="xsd:double"&gt;0&lt;/D&gt;&lt;D xsi:type="xsd:double"&gt;0&lt;/D&gt;&lt;/FQL&gt;&lt;FQL&gt;&lt;Q&gt;ALK-US^FF_INVEST_PURCH_SALE_CF('ANN','0','-9','YEARLY',RP,'LOCAL','B')&lt;/Q&gt;&lt;R&gt;10&lt;/R&gt;&lt;C&gt;1&lt;/C&gt;&lt;D xsi:type="xsd:double"&gt;-0.644&lt;/D&gt;&lt;D xsi:type="xsd:double"&gt;-0.136&lt;/D&gt;&lt;D xsi:type="xsd:double"&gt;0.282&lt;/D&gt;&lt;D xsi:type="xsd:double"&gt;-0.181&lt;/D&gt;&lt;D xsi:type="xsd:double"&gt;0.002&lt;/D&gt;&lt;D xsi:type="xsd:double"&gt;-0.152&lt;/D&gt;&lt;D xsi:type="xsd:double"&gt;0.143&lt;/D&gt;&lt;D xsi:type="xsd:double"&gt;-0.129&lt;/D&gt;&lt;D xsi:type="xsd:double"&gt;-0.0820000000000001&lt;/D&gt;&lt;D xsi:type="xsd:double"&gt;0.0722&lt;/D&gt;&lt;/FQL&gt;&lt;FQL&gt;&lt;Q&gt;ALK-US^SUMAV(FF_INVEST_USES_CF('ANN','0','-9','YEARLY',RP,'LOCAL','B'),FF_INVEST_SOURCES_CF('ANN','0','-9','YEARLY',RP,'LOCAL','B'))&lt;/Q&gt;&lt;R&gt;10&lt;/R&gt;&lt;C&gt;1&lt;/C&gt;&lt;D xsi:type="xsd:double"&gt;-0.022&lt;/D&gt;&lt;D xsi:type="xsd:double"&gt;0.041&lt;/D&gt;&lt;D xsi:type="xsd:double"&gt;0&lt;/D&gt;&lt;D xsi:type="xsd:double"&gt;0&lt;/D&gt;&lt;D xsi:type="xsd:double"&gt;0&lt;/D&gt;&lt;D xsi:type="xsd:double"&gt;0&lt;/D&gt;&lt;D xsi:type="xsd:double"&gt;0&lt;/D&gt;&lt;D xsi:type="xsd:double"&gt;0&lt;/D&gt;&lt;D xsi:type="xsd:double"&gt;-0.056&lt;/D&gt;&lt;D xsi:type="xsd:double"&gt;-0.1089&lt;/D&gt;&lt;/FQL&gt;&lt;FQL&gt;&lt;Q&gt;ALK-US^-FF_DIV_CF('ANN','0','-9','YEARLY',RP,'LOCAL','B')&lt;/Q&gt;&lt;R&gt;10&lt;/R&gt;&lt;C&gt;1&lt;/C&gt;&lt;D xsi:type="xsd:double"&gt;-0.045&lt;/D&gt;&lt;D xsi:type="xsd:double"&gt;-0.173&lt;/D&gt;&lt;D xsi:type="xsd:double"&gt;-0.158&lt;/D&gt;&lt;D xsi:type="xsd:double"&gt;-0.148&lt;/D&gt;&lt;D xsi:type="xsd:double"&gt;-0.136&lt;/D&gt;&lt;D xsi:type="xsd:double"&gt;-0.102&lt;/D&gt;&lt;D xsi:type="xsd:double"&gt;-0.068&lt;/D&gt;&lt;D xsi:type="xsd:double"&gt;-0.028&lt;/D&gt;&lt;D xsi:type="xsd:double"&gt;0&lt;/D&gt;&lt;D xsi:type="xsd:double"&gt;0&lt;/D&gt;&lt;/FQL&gt;&lt;FQL&gt;&lt;Q&gt;ALK-US^FF_STK_CHG_CF('ANN','0','-9','YEARLY',RP,'LOCAL','B')&lt;/Q&gt;&lt;R&gt;10&lt;/R&gt;&lt;C&gt;1&lt;/C&gt;&lt;D xsi:type="xsd:double"&gt;-0.031&lt;/D&gt;&lt;D xsi:type="xsd:double"&gt;-0.075&lt;/D&gt;&lt;D xsi:type="xsd:double"&gt;-0.05&lt;/D&gt;&lt;D xsi:type="xsd:double"&gt;-0.075&lt;/D&gt;&lt;D xsi:type="xsd:double"&gt;-0.193&lt;/D&gt;&lt;D xsi:type="xsd:double"&gt;-0.505&lt;/D&gt;&lt;D xsi:type="xsd:double"&gt;-0.321&lt;/D&gt;&lt;D xsi:type="xsd:double"&gt;-0.135&lt;/D&gt;&lt;D xsi:type="xsd:double"&gt;-0.029&lt;/D&gt;&lt;D xsi:type="xsd:double"&gt;-0.0601&lt;/D&gt;&lt;/FQL&gt;&lt;FQL&gt;&lt;Q&gt;ALK-US^FF_DEBT_CF('ANN','0','-9','YEARLY',RP,'LOCAL','B')&lt;/Q&gt;&lt;R&gt;10&lt;/R&gt;&lt;C&gt;1&lt;/C&gt;&lt;D xsi:type="xsd:double"&gt;1.999&lt;/D&gt;&lt;D xsi:type="xsd:double"&gt;-0.608&lt;/D&gt;&lt;D xsi:type="xsd:double"&gt;-0.468&lt;/D&gt;&lt;D xsi:type="xsd:double"&gt;-0.397&lt;/D&gt;&lt;D xsi:type="xsd:double"&gt;1.795&lt;/D&gt;&lt;D xsi:type="xsd:double"&gt;-0.116&lt;/D&gt;&lt;D xsi:type="xsd:double"&gt;-0.068&lt;/D&gt;&lt;D xsi:type="xsd:double"&gt;-0.161&lt;/D&gt;&lt;D xsi:type="xsd:double"&gt;-0.275&lt;/D&gt;&lt;D xsi:type="xsd:double"&gt;-0.227&lt;/D&gt;&lt;/FQL&gt;&lt;FQL&gt;&lt;Q&gt;ALK-US^FF_FIN_ACTIV_OTH_CF('ANN','0','-9','YEARLY',RP,'LOCAL','B')&lt;/Q&gt;&lt;R&gt;10&lt;/R&gt;&lt;C&gt;1&lt;/C&gt;&lt;D xsi:type="xsd:double"&gt;0.058&lt;/D&gt;&lt;D xsi:type="xsd:double"&gt;0.043&lt;/D&gt;&lt;D xsi:type="xsd:double"&gt;0.029&lt;/D&gt;&lt;D xsi:type="xsd:double"&gt;0.028&lt;/D&gt;&lt;D xsi:type="xsd:double"&gt;0.025&lt;/D&gt;&lt;D xsi:type="xsd:double"&gt;0.035&lt;/D&gt;&lt;D xsi:type="xsd:double"&gt;-0.005&lt;/D&gt;&lt;D xsi:type="xsd:double"&gt;-0.001&lt;/D&gt;&lt;D xsi:type="xsd:double"&gt;0.216&lt;/D&gt;&lt;D xsi:type="xsd:double"&gt;0.0071&lt;/D&gt;&lt;/FQL&gt;&lt;FQL&gt;&lt;Q&gt;ALK-US^FF_DEP_AMORT_EXP(ANN_R,12/2020,,,,,B)&lt;/Q&gt;&lt;R&gt;1&lt;/R&gt;&lt;C&gt;1&lt;/C&gt;&lt;D xsi:type="xsd:double"&gt;0.42&lt;/D&gt;&lt;/FQL&gt;&lt;FQL&gt;&lt;Q&gt;ALK-US^FF_DEP_AMORT_EXP(ANN_R,12/2019,,,,,B)&lt;/Q&gt;&lt;R&gt;1&lt;/R&gt;&lt;C&gt;1&lt;/C&gt;&lt;D xsi:type="xsd:double"&gt;0.423&lt;/D&gt;&lt;/FQL&gt;&lt;FQL&gt;&lt;Q&gt;ALK-US^FF_DEP_AMORT_EXP(ANN_R,12/2018,,,,,B)&lt;/Q&gt;&lt;R&gt;1&lt;/R&gt;&lt;C&gt;1&lt;/C&gt;&lt;D xsi:type="xsd:double"&gt;0.398&lt;/D&gt;&lt;/FQL&gt;&lt;FQL&gt;&lt;Q&gt;ALK-US^FF_DEP_AMORT_EXP(ANN_R,12/2017,,,,,B)&lt;/Q&gt;&lt;R&gt;1&lt;/R&gt;&lt;C&gt;1&lt;/C&gt;&lt;D xsi:type="xsd:double"&gt;0.372&lt;/D&gt;&lt;/FQL&gt;&lt;FQL&gt;&lt;Q&gt;ALK-US^FF_DEP_AMORT_EXP(ANN_R,12/2016,,,,,B)&lt;/Q&gt;&lt;R&gt;1&lt;/R&gt;&lt;C&gt;1&lt;/C&gt;&lt;D xsi:type="xsd:double"&gt;0.363&lt;/D&gt;&lt;/FQL&gt;&lt;FQL&gt;&lt;Q&gt;ALK-US^FF_DEP_AMORT_EXP(ANN_R,12/2015,,,,,B)&lt;/Q&gt;&lt;R&gt;1&lt;/R&gt;&lt;C&gt;1&lt;/C&gt;&lt;D xsi:type="xsd:double"&gt;0.32&lt;/D&gt;&lt;/FQL&gt;&lt;FQL&gt;&lt;Q&gt;ALK-US^FF_DEP_AMORT_EXP(ANN_R,12/2014,,,,,B)&lt;/Q&gt;&lt;R&gt;1&lt;/R&gt;&lt;C&gt;1&lt;/C&gt;&lt;D xsi:type="xsd:double"&gt;0.294&lt;/D&gt;&lt;/FQL&gt;&lt;FQL&gt;&lt;Q&gt;ALK-US^FF_DEP_AMORT_EXP(ANN_R,12/2013,,,,,B)&lt;/Q&gt;&lt;R&gt;1&lt;/R&gt;&lt;C&gt;1&lt;/C&gt;&lt;D xsi:type="xsd:double"&gt;0.27&lt;/D&gt;&lt;/FQL&gt;&lt;FQL&gt;&lt;Q&gt;ALK-US^FF_DEP_AMORT_EXP(ANN_R,12/2012,,,,,B)&lt;/Q&gt;&lt;R&gt;1&lt;/R&gt;&lt;C&gt;1&lt;/C&gt;&lt;D xsi:type="xsd:double"&gt;0.264&lt;/D&gt;&lt;/FQL&gt;&lt;FQL&gt;&lt;Q&gt;ALK-US^FF_DEP_AMORT_EXP(ANN_R,12/2011,,,,,B)&lt;/Q&gt;&lt;R&gt;1&lt;/R&gt;&lt;C&gt;1&lt;/C&gt;&lt;D xsi:type="xsd:double"&gt;0.2469&lt;/D&gt;&lt;/FQL&gt;&lt;FQL&gt;&lt;Q&gt;ALK-US^FF_DFD_TAX(ANN_R,12/2020,,,,,B)&lt;/Q&gt;&lt;R&gt;1&lt;/R&gt;&lt;C&gt;1&lt;/C&gt;&lt;D xsi:type="xsd:double"&gt;0.407&lt;/D&gt;&lt;/FQL&gt;&lt;FQL&gt;&lt;Q&gt;ALK-US^FF_DFD_TAX(ANN_R,12/2019,,,,,B)&lt;/Q&gt;&lt;R&gt;1&lt;/R&gt;&lt;C&gt;1&lt;/C&gt;&lt;D xsi:type="xsd:double"&gt;0.715&lt;/D&gt;&lt;/FQL&gt;&lt;FQL&gt;&lt;Q&gt;ALK-US^FF_DFD_TAX(ANN_R,12/2018,,,,,B)&lt;/Q&gt;&lt;R&gt;1&lt;/R&gt;&lt;C&gt;1&lt;/C&gt;&lt;D xsi:type="xsd:double"&gt;0.512&lt;/D&gt;&lt;/FQL&gt;&lt;FQL&gt;&lt;Q&gt;ALK-US^FF_DFD_TAX(ANN_R,12/2017,,,,,B)&lt;/Q&gt;&lt;R&gt;1&lt;/R&gt;&lt;C&gt;1&lt;/C&gt;&lt;D xsi:type="xsd:double"&gt;0.37&lt;/D&gt;&lt;/FQL&gt;&lt;FQL&gt;&lt;Q&gt;ALK-US^FF_DFD_TAX(ANN_R,12/2016,,,,,B)&lt;/Q&gt;&lt;R&gt;1&lt;/R&gt;&lt;C&gt;1&lt;/C&gt;&lt;D xsi:type="xsd:double"&gt;0.463&lt;/D&gt;&lt;/FQL&gt;&lt;FQL&gt;&lt;Q&gt;ALK-US^FF_DFD_TAX(ANN_R,12/2015,,,,,B)&lt;/Q&gt;&lt;R&gt;1&lt;/R&gt;&lt;C&gt;1&lt;/C&gt;&lt;D xsi:type="xsd:double"&gt;0.682&lt;/D&gt;&lt;/FQL&gt;&lt;FQL&gt;&lt;Q&gt;ALK-US^FF_DFD_TAX(ANN_R,12/2014,,,,,B)&lt;/Q&gt;&lt;R&gt;1&lt;/R&gt;&lt;C&gt;1&lt;/C&gt;&lt;D xsi:type="xsd:double"&gt;0.75&lt;/D&gt;&lt;/FQL&gt;&lt;FQL&gt;&lt;Q&gt;ALK-US^FF_DFD_TAX(ANN_R,12/2013,,,,,B)&lt;/Q&gt;&lt;R&gt;1&lt;/R&gt;&lt;C&gt;1&lt;/C&gt;&lt;D xsi:type="xsd:double"&gt;0.709&lt;/D&gt;&lt;/FQL&gt;&lt;FQL&gt;&lt;Q&gt;ALK-US^FF_DFD_TAX(ANN_R,12/2012,,,,,B)&lt;/Q&gt;&lt;R&gt;1&lt;/R&gt;&lt;C&gt;1&lt;/C&gt;&lt;D xsi:type="xsd:double"&gt;0.446&lt;/D&gt;&lt;/FQL&gt;&lt;FQL&gt;&lt;Q&gt;ALK-US^FF_DFD_TAX(ANN_R,12/2011,,,,,B)&lt;/Q&gt;&lt;R&gt;1&lt;/R&gt;&lt;C&gt;1&lt;/C&gt;&lt;D xsi:type="xsd:double"&gt;0.3629&lt;/D&gt;&lt;/FQL&gt;&lt;FQL&gt;&lt;Q&gt;ALK-US^FF_CAPEX(ANN_R,12/2020,,,,,B)&lt;/Q&gt;&lt;R&gt;1&lt;/R&gt;&lt;C&gt;1&lt;/C&gt;&lt;D xsi:type="xsd:double"&gt;0.206&lt;/D&gt;&lt;/FQL&gt;&lt;FQL&gt;&lt;Q&gt;ALK-US^FF_CAPEX(ANN_R,12/2019,,,,,B)&lt;/Q&gt;&lt;R&gt;1&lt;/R&gt;&lt;C&gt;1&lt;/C&gt;&lt;D xsi:type="xsd:double"&gt;0.696&lt;/D&gt;&lt;/FQL&gt;&lt;FQL&gt;&lt;Q&gt;ALK-US^FF_CAPEX(ANN_R,12/2018,,,,,B)&lt;/Q&gt;&lt;R&gt;1&lt;/R&gt;&lt;C&gt;1&lt;/C&gt;&lt;D xsi:type="xsd:double"&gt;0.96&lt;/D&gt;&lt;/FQL&gt;&lt;FQL&gt;&lt;Q&gt;ALK-US^FF_CAPEX(ANN_R,12/2017,,,,,B)&lt;/Q&gt;&lt;R&gt;1&lt;/R&gt;&lt;C&gt;1&lt;/C&gt;&lt;D xsi:type="xsd:double"&gt;1.026&lt;/D&gt;&lt;/FQL&gt;&lt;FQL&gt;&lt;Q&gt;ALK-US^FF_CAPEX(ANN_R,12/2016,,,,,B)&lt;/Q&gt;&lt;R&gt;1&lt;/R&gt;&lt;C&gt;1&lt;/C&gt;&lt;D xsi:type="xsd:double"&gt;0.678&lt;/D&gt;&lt;/FQL&gt;&lt;FQL&gt;&lt;Q&gt;ALK-US^FF_CAPEX(ANN_R,12/2015,,,,,B)&lt;/Q&gt;&lt;R&gt;1&lt;/R&gt;&lt;C&gt;1&lt;/C&gt;&lt;D xsi:type="xsd:double"&gt;0.831&lt;/D&gt;&lt;/FQL&gt;&lt;FQL&gt;&lt;Q&gt;ALK-US^FF_CAPEX(ANN_R,12/2014,,,,,B)&lt;/Q&gt;&lt;R&gt;1&lt;/R&gt;&lt;C&gt;1&lt;/C&gt;&lt;D xsi:type="xsd:double"&gt;0.694&lt;/D&gt;&lt;/FQL&gt;&lt;FQL&gt;&lt;Q&gt;ALK-US^FF_CAPEX(ANN_R,12/2013,,,,,B)&lt;/Q&gt;&lt;R&gt;1&lt;/R&gt;&lt;C&gt;1&lt;/C&gt;&lt;D xsi:type="xsd:double"&gt;0.569&lt;/D&gt;&lt;/FQL&gt;&lt;FQL&gt;&lt;Q&gt;ALK-US^FF_CAPEX(ANN_R,12/2012,,,,,B)&lt;/Q&gt;&lt;R&gt;1&lt;/R&gt;&lt;C&gt;1&lt;/C&gt;&lt;D xsi:type="xsd:double"&gt;0.518&lt;/D&gt;&lt;/FQL&gt;&lt;FQL&gt;&lt;Q&gt;ALK-US^FF_CAPEX(ANN_R,12/2011,,,,,B)&lt;/Q&gt;&lt;R&gt;1&lt;/R&gt;&lt;C&gt;1&lt;/C&gt;&lt;D xsi:type="xsd:double"&gt;0.3874&lt;/D&gt;&lt;/FQL&gt;&lt;FQL&gt;&lt;Q&gt;SKYW-US^FF_NON_CASH('ANN','0','-9','YEARLY',RP,'LOCAL','B')&lt;/Q&gt;&lt;R&gt;10&lt;/R&gt;&lt;C&gt;1&lt;/C&gt;&lt;D xsi:type="xsd:double"&gt;0.027589&lt;/D&gt;&lt;D xsi:type="xsd:double"&gt;-0.014382&lt;/D&gt;&lt;D xsi:type="xsd:double"&gt;0.013105&lt;/D&gt;&lt;D xsi:type="xsd:double"&gt;0.01058&lt;/D&gt;&lt;D xsi:type="xsd:double"&gt;0.471938&lt;/D&gt;&lt;D xsi:type="xsd:double"&gt;-0.028292&lt;/D&gt;&lt;D xsi:type="xsd:double"&gt;0.040377&lt;/D&gt;&lt;D xsi:type="xsd:double"&gt;-0.036073&lt;/D&gt;&lt;D xsi:type="xsd:double"&gt;-0.010229&lt;/D&gt;&lt;D xsi:type="xsd:double"&gt;0.006528&lt;/D&gt;&lt;/FQL&gt;&lt;FQL&gt;&lt;Q&gt;SKYW-US^FF_WKCAP_CHG('ANN','0','-9','YEARLY',RP,'LOCAL','B')&lt;/Q&gt;&lt;R&gt;10&lt;/R&gt;&lt;C&gt;1&lt;/C&gt;&lt;D xsi:type="xsd:double"&gt;0.198987&lt;/D&gt;&lt;D xsi:type="xsd:double"&gt;-0.082439&lt;/D&gt;&lt;D xsi:type="xsd:double"&gt;0.075329&lt;/D&gt;&lt;D xsi:type="xsd:double"&gt;0.089143&lt;/D&gt;&lt;D xsi:type="xsd:double"&gt;-0.005188&lt;/D&gt;&lt;D xsi:type="xsd:double"&gt;-0.011138&lt;/D&gt;&lt;D xsi:type="xsd:double"&gt;0.00462&lt;/D&gt;&lt;D xsi:type="xsd:double"&gt;-0.023339&lt;/D&gt;&lt;D xsi:type="xsd:double"&gt;-0.038862&lt;/D&gt;&lt;D xsi:type="xsd:double"&gt;-0.049712&lt;/D&gt;&lt;/FQL&gt;&lt;FQL&gt;&lt;Q&gt;SKYW-US^-FF_ACQ_BUS_CF('ANN','0','-9','YEARLY',RP,'LOCAL','B')&lt;/Q&gt;&lt;R&gt;10&lt;/R&gt;&lt;C&gt;1&lt;/C&gt;&lt;D xsi:type="xsd:double"&gt;0&lt;/D&gt;&lt;D xsi:type="xsd:double"&gt;0&lt;/D&gt;&lt;D xsi:type="xsd:string"&gt;@NA&lt;/D&gt;&lt;D xsi:type="xsd:string"&gt;@NA&lt;/D&gt;&lt;D xsi:type="xsd:string"&gt;@NA&lt;/D&gt;&lt;D xsi:type="xsd:string"&gt;@NA&lt;/D&gt;&lt;D xsi:type="xsd:string"&gt;@NA&lt;/D&gt;&lt;D xsi:type="xsd:string"&gt;@NA&lt;/D&gt;&lt;D xsi:type="xsd:double"&gt;0&lt;/D&gt;&lt;D xsi:type="xsd:double"&gt;0&lt;/D&gt;&lt;/FQL&gt;&lt;FQL&gt;&lt;Q&gt;SKYW-US^FF_INVEST_PURCH_SALE_CF('ANN','0','-9','YEARLY',RP,'LOCAL','B')&lt;/Q&gt;&lt;R&gt;10&lt;/R&gt;&lt;C&gt;1&lt;/C&gt;&lt;D xsi:type="xsd:double"&gt;-0.177219&lt;/D&gt;&lt;D xsi:type="xsd:double"&gt;-0.0719889999999999&lt;/D&gt;&lt;D xsi:type="xsd:double"&gt;0.142576&lt;/D&gt;&lt;D xsi:type="xsd:double"&gt;-0.0935840000000001&lt;/D&gt;&lt;D xsi:type="xsd:double"&gt;-0.12322&lt;/D&gt;&lt;D xsi:type="xsd:double"&gt;0.12863&lt;/D&gt;&lt;D xsi:type="xsd:double"&gt;0.088421&lt;/D&gt;&lt;D xsi:type="xsd:double"&gt;0.0855179999999999&lt;/D&gt;&lt;D xsi:type="xsd:double"&gt;-0.0504680000000001&lt;/D&gt;&lt;D xsi:type="xsd:double"&gt;0.173635&lt;/D&gt;&lt;/FQL&gt;&lt;FQL&gt;&lt;Q&gt;SKYW-US^SUMAV(FF_INVEST_USES_CF('ANN','0','-9','YEARLY',RP,'LOCAL','B'),FF_INVEST_SOURCES_CF('ANN','0','-9','YEARLY',RP,'LOCAL','B'))&lt;/Q&gt;&lt;R&gt;10&lt;/R&gt;&lt;C&gt;1&lt;/C&gt;&lt;D xsi:type="xsd:double"&gt;0&lt;/D&gt;&lt;D xsi:type="xsd:double"&gt;0.004133&lt;/D&gt;&lt;D xsi:type="xsd:double"&gt;0&lt;/D&gt;&lt;D xsi:type="xsd:double"&gt;0.036533&lt;/D&gt;&lt;D xsi:type="xsd:double"&gt;0.097097&lt;/D&gt;&lt;D xsi:type="xsd:double"&gt;0.012622&lt;/D&gt;&lt;D xsi:type="xsd:double"&gt;-0.007681&lt;/D&gt;&lt;D xsi:type="xsd:double"&gt;0.000229&lt;/D&gt;&lt;D xsi:type="xsd:double"&gt;0&lt;/D&gt;&lt;D xsi:type="xsd:double"&gt;-0.012683&lt;/D&gt;&lt;/FQL&gt;&lt;FQL&gt;&lt;Q&gt;SKYW-US^-FF_DIV_CF('ANN','0','-9','YEARLY',RP,'LOCAL','B')&lt;/Q&gt;&lt;R&gt;10&lt;/R&gt;&lt;C&gt;1&lt;/C&gt;&lt;D xsi:type="xsd:double"&gt;-0.013059&lt;/D&gt;&lt;D xsi:type="xsd:double"&gt;-0.023467&lt;/D&gt;&lt;D xsi:type="xsd:double"&gt;-0.019744&lt;/D&gt;&lt;D xsi:type="xsd:double"&gt;-0.015015&lt;/D&gt;&lt;D xsi:type="xsd:double"&gt;-0.009256&lt;/D&gt;&lt;D xsi:type="xsd:double"&gt;-0.00826&lt;/D&gt;&lt;D xsi:type="xsd:double"&gt;-0.008195&lt;/D&gt;&lt;D xsi:type="xsd:double"&gt;-0.008258&lt;/D&gt;&lt;D xsi:type="xsd:double"&gt;-0.008177&lt;/D&gt;&lt;D xsi:type="xsd:double"&gt;-0.008466&lt;/D&gt;&lt;/FQL&gt;&lt;FQL&gt;&lt;Q&gt;SKYW-US^FF_STK_CHG_CF('ANN','0','-9','YEARLY',RP,'LOCAL','B')&lt;/Q&gt;&lt;R&gt;10&lt;/R&gt;&lt;C&gt;1&lt;/C&gt;&lt;D xsi:type="xsd:double"&gt;-0.017181&lt;/D&gt;&lt;D xsi:type="xsd:double"&gt;-0.08835&lt;/D&gt;&lt;D xsi:type="xsd:double"&gt;-0.049236&lt;/D&gt;&lt;D xsi:type="xsd:double"&gt;-0.015348&lt;/D&gt;&lt;D xsi:type="xsd:double"&gt;0.008142&lt;/D&gt;&lt;D xsi:type="xsd:double"&gt;-0.008972&lt;/D&gt;&lt;D xsi:type="xsd:double"&gt;-0.005722&lt;/D&gt;&lt;D xsi:type="xsd:double"&gt;-0.007354&lt;/D&gt;&lt;D xsi:type="xsd:double"&gt;0.005329&lt;/D&gt;&lt;D xsi:type="xsd:double"&gt;-0.056235&lt;/D&gt;&lt;/FQL&gt;&lt;FQL&gt;&lt;Q&gt;SKYW-US^FF_DEBT_CF('ANN','0','-9','YEARLY',RP,'LOCAL','B')&lt;/Q&gt;&lt;R&gt;10&lt;/R&gt;&lt;C&gt;1&lt;/C&gt;&lt;D xsi:type="xsd:double"&gt;0.149273&lt;/D&gt;&lt;D xsi:type="xsd:double"&gt;-0.184044&lt;/D&gt;&lt;D xsi:type="xsd:double"&gt;0.409998&lt;/D&gt;&lt;D xsi:type="xsd:double"&gt;0.137682&lt;/D&gt;&lt;D xsi:type="xsd:double"&gt;0.615258&lt;/D&gt;&lt;D xsi:type="xsd:double"&gt;0.237604&lt;/D&gt;&lt;D xsi:type="xsd:double"&gt;0.275243&lt;/D&gt;&lt;D xsi:type="xsd:double"&gt;-0.171453&lt;/D&gt;&lt;D xsi:type="xsd:double"&gt;-0.17337&lt;/D&gt;&lt;D xsi:type="xsd:double"&gt;-0.082584&lt;/D&gt;&lt;/FQL&gt;&lt;FQL&gt;&lt;Q&gt;SKYW-US^FF_FIN_ACTIV_OTH_CF('ANN','0','-9','YEARLY',RP,'LOCAL','B')&lt;/Q&gt;&lt;R&gt;10&lt;/R&gt;&lt;C&gt;1&lt;/C&gt;&lt;D xsi:type="xsd:double"&gt;-0.006165&lt;/D&gt;&lt;D xsi:type="xsd:double"&gt;-0.009313&lt;/D&gt;&lt;D xsi:type="xsd:double"&gt;-0.013556&lt;/D&gt;&lt;D xsi:type="xsd:double"&gt;-0.00508&lt;/D&gt;&lt;D xsi:type="xsd:double"&gt;0&lt;/D&gt;&lt;D xsi:type="xsd:double"&gt;0&lt;/D&gt;&lt;D xsi:type="xsd:double"&gt;0&lt;/D&gt;&lt;D xsi:type="xsd:double"&gt;0&lt;/D&gt;&lt;D xsi:type="xsd:double"&gt;0&lt;/D&gt;&lt;D xsi:type="xsd:double"&gt;0.0139&lt;/D&gt;&lt;/FQL&gt;&lt;FQL&gt;&lt;Q&gt;SKYW-US^FF_DEP_AMORT_EXP(ANN_R,12/2020,,,,,B)&lt;/Q&gt;&lt;R&gt;1&lt;/R&gt;&lt;C&gt;1&lt;/C&gt;&lt;D xsi:type="xsd:double"&gt;0.474959&lt;/D&gt;&lt;/FQL&gt;&lt;FQL&gt;&lt;Q&gt;SKYW-US^FF_DEP_AMORT_EXP(ANN_R,12/2019,,,,,B)&lt;/Q&gt;&lt;R&gt;1&lt;/R&gt;&lt;C&gt;1&lt;/C&gt;&lt;D xsi:type="xsd:double"&gt;0.368098&lt;/D&gt;&lt;/FQL&gt;&lt;FQL&gt;&lt;Q&gt;SKYW-US^FF_DEP_AMORT_EXP(ANN_R,12/2018,,,,,B)&lt;/Q&gt;&lt;R&gt;1&lt;/R&gt;&lt;C&gt;1&lt;/C&gt;&lt;D xsi:type="xsd:double"&gt;0.334589&lt;/D&gt;&lt;/FQL&gt;&lt;FQL&gt;&lt;Q&gt;SKYW-US^FF_DEP_AMORT_EXP(ANN_R,12/2017,,,,,B)&lt;/Q&gt;&lt;R&gt;1&lt;/R&gt;&lt;C&gt;1&lt;/C&gt;&lt;D xsi:type="xsd:double"&gt;0.292768&lt;/D&gt;&lt;/FQL&gt;&lt;FQL&gt;&lt;Q&gt;SKYW-US^FF_DEP_AMORT_EXP(ANN_R,12/2016,,,,,B)&lt;/Q&gt;&lt;R&gt;1&lt;/R&gt;&lt;C&gt;1&lt;/C&gt;&lt;D xsi:type="xsd:double"&gt;0.284969&lt;/D&gt;&lt;/FQL&gt;&lt;FQL&gt;&lt;Q&gt;SKYW-US^FF_DEP_AMORT_EXP(ANN_R,12/2015,,,,,B)&lt;/Q&gt;&lt;R&gt;1&lt;/R&gt;&lt;C&gt;1&lt;/C&gt;&lt;D xsi:type="xsd:double"&gt;0.264507&lt;/D&gt;&lt;/FQL&gt;&lt;FQL&gt;&lt;Q&gt;SKYW-US^FF_DEP_AMORT_EXP(ANN_R,12/2014,,,,,B)&lt;/Q&gt;&lt;R&gt;1&lt;/R&gt;&lt;C&gt;1&lt;/C&gt;&lt;D xsi:type="xsd:double"&gt;0.259642&lt;/D&gt;&lt;/FQL&gt;&lt;FQL&gt;&lt;Q&gt;SKYW-US^FF_DEP_AMORT_EXP(ANN_R,12/2013,,,,,B)&lt;/Q&gt;&lt;R&gt;1&lt;/R&gt;&lt;C&gt;1&lt;/C&gt;&lt;D xsi:type="xsd:double"&gt;0.245005&lt;/D&gt;&lt;/FQL&gt;&lt;FQL&gt;&lt;Q&gt;SKYW-US^FF_DEP_AMORT_EXP(ANN_R,12/2012,,,,,B)&lt;/Q&gt;&lt;R&gt;1&lt;/R&gt;&lt;C&gt;1&lt;/C&gt;&lt;D xsi:type="xsd:double"&gt;0.251958&lt;/D&gt;&lt;/FQL&gt;&lt;FQL&gt;&lt;Q&gt;SKYW-US^FF_DEP_AMORT_EXP(ANN_R,12/2011,,,,,B)&lt;/Q&gt;&lt;R&gt;1&lt;/R&gt;&lt;C&gt;1&lt;/C&gt;&lt;D xsi:type="xsd:double"&gt;0.254182&lt;/D&gt;&lt;/FQL&gt;&lt;FQL&gt;&lt;Q&gt;SKYW-US^FF_DFD_TAX(ANN_R,12/2020,,,,,B)&lt;/Q&gt;&lt;R&gt;1&lt;/R&gt;&lt;C&gt;1&lt;/C&gt;&lt;D xsi:type="xsd:double"&gt;0.625931&lt;/D&gt;&lt;/FQL&gt;&lt;FQL&gt;&lt;Q&gt;SKYW-US^FF_DFD_TAX(ANN_R,12/2019,,,,,B)&lt;/Q&gt;&lt;R&gt;1&lt;/R&gt;&lt;C&gt;1&lt;/C&gt;&lt;D xsi:type="xsd:double"&gt;0.62358&lt;/D&gt;&lt;/FQL&gt;&lt;FQL&gt;&lt;Q&gt;SKYW-US^FF_DFD_TAX(ANN_R,12/2018,,,,,B)&lt;/Q&gt;&lt;R&gt;1&lt;/R&gt;&lt;C&gt;1&lt;/C&gt;&lt;D xsi:type="xsd:double"&gt;0.518159&lt;/D&gt;&lt;/FQL&gt;&lt;FQL&gt;&lt;Q&gt;SKYW-US^FF_DFD_TAX(ANN_R,12/2017,,,,,B)&lt;/Q&gt;&lt;R&gt;1&lt;/R&gt;&lt;C&gt;1&lt;/C&gt;&lt;D xsi:type="xsd:double"&gt;0.41902&lt;/D&gt;&lt;/FQL&gt;&lt;FQL&gt;&lt;Q&gt;SKYW-US^FF_DFD_TAX(ANN_R,12/2016,,,,,B)&lt;/Q&gt;&lt;R&gt;1&lt;/R&gt;&lt;C&gt;1&lt;/C&gt;&lt;D xsi:type="xsd:double"&gt;0.565404&lt;/D&gt;&lt;/FQL&gt;&lt;FQL&gt;&lt;Q&gt;SKYW-US^FF_DFD_TAX(ANN_R,12/2015,,,,,B)&lt;/Q&gt;&lt;R&gt;1&lt;/R&gt;&lt;C&gt;1&lt;/C&gt;&lt;D xsi:type="xsd:double"&gt;0.749575&lt;/D&gt;&lt;/FQL&gt;&lt;FQL&gt;&lt;Q&gt;SKYW-US^FF_DFD_TAX(ANN_R,12/2014,,,,,B)&lt;/Q&gt;&lt;R&gt;1&lt;/R&gt;&lt;C&gt;1&lt;/C&gt;&lt;D xsi:type="xsd:double"&gt;0.669385&lt;/D&gt;&lt;/FQL&gt;&lt;FQL&gt;&lt;Q&gt;SKYW-US^FF_DFD_TAX(ANN_R,12/2013,,,,,B)&lt;/Q&gt;&lt;R&gt;1&lt;/R&gt;&lt;C&gt;1&lt;/C&gt;&lt;D xsi:type="xsd:double"&gt;0.727358&lt;/D&gt;&lt;/FQL&gt;&lt;FQL&gt;&lt;Q&gt;SKYW-US^FF_DFD_TAX(ANN_R,12/2012,,,,,B)&lt;/Q&gt;&lt;R&gt;1&lt;/R&gt;&lt;C&gt;1&lt;/C&gt;&lt;D xsi:type="xsd:double"&gt;0.65762&lt;/D&gt;&lt;/FQL&gt;&lt;FQL&gt;&lt;Q&gt;SKYW-US^FF_DFD_TAX(ANN_R,12/2011,,,,,B)&lt;/Q&gt;&lt;R&gt;1&lt;/R&gt;&lt;C&gt;1&lt;/C&gt;&lt;D xsi:type="xsd:double"&gt;0.567874&lt;/D&gt;&lt;/FQL&gt;&lt;FQL&gt;&lt;Q&gt;SKYW-US^FF_CAPEX(ANN_R,12/2020,,,,,B)&lt;/Q&gt;&lt;R&gt;1&lt;/R&gt;&lt;C&gt;1&lt;/C&gt;&lt;D xsi:type="xsd:double"&gt;0.509491&lt;/D&gt;&lt;/FQL&gt;&lt;FQL&gt;&lt;Q&gt;SKYW-US^FF_CAPEX(ANN_R,12/2019,,,,,B)&lt;/Q&gt;&lt;R&gt;1&lt;/R&gt;&lt;C&gt;1&lt;/C&gt;&lt;D xsi:type="xsd:double"&gt;0.668386&lt;/D&gt;&lt;/FQL&gt;&lt;FQL&gt;&lt;Q&gt;SKYW-US^FF_CAPEX(ANN_R,12/2018,,,,,B)&lt;/Q&gt;&lt;R&gt;1&lt;/R&gt;&lt;C&gt;1&lt;/C&gt;&lt;D xsi:type="xsd:double"&gt;1.12598&lt;/D&gt;&lt;/FQL&gt;&lt;FQL&gt;&lt;Q&gt;SKYW-US^FF_CAPEX(ANN_R,12/2017,,,,,B)&lt;/Q&gt;&lt;R&gt;1&lt;/R&gt;&lt;C&gt;1&lt;/C&gt;&lt;D xsi:type="xsd:double"&gt;0.709747&lt;/D&gt;&lt;/FQL&gt;&lt;FQL&gt;&lt;Q&gt;SKYW-US^FF_CAPEX(ANN_R,12/2016,,,,,B)&lt;/Q&gt;&lt;R&gt;1&lt;/R&gt;&lt;C&gt;1&lt;/C&gt;&lt;D xsi:type="xsd:double"&gt;1.153963&lt;/D&gt;&lt;/FQL&gt;&lt;FQL&gt;&lt;Q&gt;SKYW-US^FF_CAPEX(ANN_R,12/2015,,,,,B)&lt;/Q&gt;&lt;R&gt;1&lt;/R&gt;&lt;C&gt;1&lt;/C&gt;&lt;D xsi:type="xsd:double"&gt;0.721276&lt;/D&gt;&lt;/FQL&gt;&lt;FQL&gt;&lt;Q&gt;SKYW-US^FF_CAPEX(ANN_R,12/2014,,,,,B)&lt;/Q&gt;&lt;R&gt;1&lt;/R&gt;&lt;C&gt;1&lt;/C&gt;&lt;D xsi:type="xsd:double"&gt;0.675439&lt;/D&gt;&lt;/FQL&gt;&lt;FQL&gt;&lt;Q&gt;SKYW-US^FF_CAPEX(ANN_R,12/2013,,,,,B)&lt;/Q&gt;&lt;R&gt;1&lt;/R&gt;&lt;C&gt;1&lt;/C&gt;&lt;D xsi:type="xsd:double"&gt;0.152001&lt;/D&gt;&lt;/FQL&gt;&lt;FQL&gt;&lt;Q&gt;SKYW-US^FF_CAPEX(ANN_R,12/2012,,,,,B)&lt;/Q&gt;&lt;R&gt;1&lt;/R&gt;&lt;C&gt;1&lt;/C&gt;&lt;D xsi:type="xsd:double"&gt;0.073157&lt;/D&gt;&lt;/FQL&gt;&lt;FQL&gt;&lt;Q&gt;SKYW-US^FF_CAPEX(ANN_R,12/2011,,,,,B)&lt;/Q&gt;&lt;R&gt;1&lt;/R&gt;&lt;C&gt;1&lt;/C&gt;&lt;D xsi:type="xsd:double"&gt;0.172698&lt;/D&gt;&lt;/FQL&gt;&lt;FQL&gt;&lt;Q&gt;LUV-US^FF_INVEST_ADV(ANN_R,12/2020,,,,,B)&lt;/Q&gt;&lt;R&gt;1&lt;/R&gt;&lt;C&gt;1&lt;/C&gt;&lt;D xsi:type="xsd:double"&gt;0.211&lt;/D&gt;&lt;/FQL&gt;&lt;FQL&gt;&lt;Q&gt;LUV-US^FF_INVEST_ADV(ANN_R,12/2019,,,,,B)&lt;/Q&gt;&lt;R&gt;1&lt;/R&gt;&lt;C&gt;1&lt;/C&gt;&lt;D xsi:type="xsd:double"&gt;0.049&lt;/D&gt;&lt;/FQL&gt;&lt;FQL&gt;&lt;Q&gt;LUV-US^FF_INVEST_ADV(ANN_R,12/2018,,,,,B)&lt;/Q&gt;&lt;R&gt;1&lt;/R&gt;&lt;C&gt;1&lt;/C&gt;&lt;D xsi:type="xsd:double"&gt;0.095&lt;/D&gt;&lt;/FQL&gt;&lt;FQL&gt;&lt;Q&gt;LUV-US^FF_INVEST_ADV(ANN_R,12/2017,,,,,B)&lt;/Q&gt;&lt;R&gt;1&lt;/R&gt;&lt;C&gt;1&lt;/C&gt;&lt;D xsi:type="xsd:double"&gt;0.136&lt;/D&gt;&lt;/FQL&gt;&lt;FQL&gt;&lt;Q&gt;LUV-US^FF_INVEST_ADV(ANN_R,12/2016,,,,,B)&lt;/Q&gt;&lt;R&gt;1&lt;/R&gt;&lt;C&gt;1&lt;/C&gt;&lt;D xsi:type="xsd:double"&gt;0.12&lt;/D&gt;&lt;/FQL&gt;&lt;FQL&gt;&lt;Q&gt;LUV-US^FF_INVEST_ADV(ANN_R,12/2015,,,,,B)&lt;/Q&gt;&lt;R&gt;1&lt;/R&gt;&lt;C&gt;1&lt;/C&gt;&lt;D xsi:type="xsd:double"&gt;0.049&lt;/D&gt;&lt;/FQL&gt;&lt;FQL&gt;&lt;Q&gt;LUV-US^FF_INVEST_ADV(ANN_R,12/2014,,,,,B)&lt;/Q&gt;&lt;R&gt;1&lt;/R&gt;&lt;C&gt;1&lt;/C&gt;&lt;D xsi:type="xsd:double"&gt;0.048&lt;/D&gt;&lt;/FQL&gt;&lt;FQL&gt;&lt;Q&gt;LUV-US^FF_INVEST_ADV(ANN_R,12/2013,,,,,B)&lt;/Q&gt;&lt;R&gt;1&lt;/R&gt;&lt;C&gt;1&lt;/C&gt;&lt;D xsi:type="xsd:double"&gt;0.189&lt;/D&gt;&lt;/FQL&gt;&lt;FQL&gt;&lt;Q&gt;LUV-US^FF_INVEST_ADV(ANN_R,12/2012,,,,,B)&lt;/Q&gt;&lt;R&gt;1&lt;/R&gt;&lt;C&gt;1&lt;/C&gt;&lt;D xsi:type="xsd:double"&gt;0.347&lt;/D&gt;&lt;/FQL&gt;&lt;FQL&gt;&lt;Q&gt;LUV-US^FF_INVEST_ADV(ANN_R,12/2011,,,,,B)&lt;/Q&gt;&lt;R&gt;1&lt;/R&gt;&lt;C&gt;1&lt;/C&gt;&lt;D xsi:type="xsd:double"&gt;0.35&lt;/D&gt;&lt;/FQL&gt;&lt;FQL&gt;&lt;Q&gt;LUV-US^FF_INTANG_ASSETS(ANN,12/2020,,,,,B)&lt;/Q&gt;&lt;R&gt;1&lt;/R&gt;&lt;C&gt;1&lt;/C&gt;&lt;D xsi:type="xsd:double"&gt;0&lt;/D&gt;&lt;/FQL&gt;&lt;FQL&gt;&lt;Q&gt;LUV-US^FF_INTANG_ASSETS(ANN,12/2019,,,,,B)&lt;/Q&gt;&lt;R&gt;1&lt;/R&gt;&lt;C&gt;1&lt;/C&gt;&lt;D xsi:type="xsd:double"&gt;0&lt;/D&gt;&lt;/FQL&gt;&lt;FQL&gt;&lt;Q&gt;LUV-US^FF_INTANG_ASSETS(ANN,12/2018,,,,,B)&lt;/Q&gt;&lt;R&gt;1&lt;/R&gt;&lt;C&gt;1&lt;/C&gt;&lt;D xsi:type="xsd:double"&gt;1.37&lt;/D&gt;&lt;/FQL&gt;&lt;FQL&gt;&lt;Q&gt;LUV-US^FF_INTANG_ASSETS(ANN,12/2017,,,,,B)&lt;/Q&gt;&lt;R&gt;1&lt;/R&gt;&lt;C&gt;1&lt;/C&gt;&lt;D xsi:type="xsd:double"&gt;1.3830001&lt;/D&gt;&lt;/FQL&gt;&lt;FQL&gt;&lt;Q&gt;LUV-US^FF_INTANG_ASSETS(ANN,12/2016,,,,,B)&lt;/Q&gt;&lt;R&gt;1&lt;/R&gt;&lt;C&gt;1&lt;/C&gt;&lt;D xsi:type="xsd:double"&gt;1.396&lt;/D&gt;&lt;/FQL&gt;&lt;FQL&gt;&lt;Q&gt;LUV-US^FF_INTANG_ASSETS(ANN,12/2015,,,,,B)&lt;/Q&gt;&lt;R&gt;1&lt;/R&gt;&lt;C&gt;1&lt;/C&gt;&lt;D xsi:type="xsd:double"&gt;1.434&lt;/D&gt;&lt;/FQL&gt;&lt;FQL&gt;&lt;Q&gt;LUV-US^FF_INTANG_ASSETS(ANN,12/2014,,,,,B)&lt;/Q&gt;&lt;R&gt;1&lt;/R&gt;&lt;C&gt;1&lt;/C&gt;&lt;D xsi:type="xsd:double"&gt;1.3329998&lt;/D&gt;&lt;/FQL&gt;&lt;FQL&gt;&lt;Q&gt;LUV-US^FF_INTANG_ASSETS(ANN,12/2013,,,,,B)&lt;/Q&gt;&lt;R&gt;1&lt;/R&gt;&lt;C&gt;1&lt;/C&gt;&lt;D xsi:type="xsd:double"&gt;1.136&lt;/D&gt;&lt;/FQL&gt;&lt;FQL&gt;&lt;Q&gt;LUV-US^FF_INTANG_ASSETS(ANN,12/2012,,,,,B)&lt;/Q&gt;&lt;R&gt;1&lt;/R&gt;&lt;C&gt;1&lt;/C&gt;&lt;D xsi:type="xsd:double"&gt;1.108&lt;/D&gt;&lt;/FQL&gt;&lt;FQL&gt;&lt;Q&gt;LUV-US^FF_INTANG_ASSETS(ANN,12/2011,,,,,B)&lt;/Q&gt;&lt;R&gt;1&lt;/R&gt;&lt;C&gt;1&lt;/C&gt;&lt;D xsi:type="xsd:double"&gt;1.125&lt;/D&gt;&lt;/FQL&gt;&lt;FQL&gt;&lt;Q&gt;LUV-US^FF_DFD_TAX_DB(ANN_R,12/2020,,,,,B)&lt;/Q&gt;&lt;R&gt;1&lt;/R&gt;&lt;C&gt;1&lt;/C&gt;&lt;D xsi:type="xsd:double"&gt;1.985&lt;/D&gt;&lt;/FQL&gt;&lt;FQL&gt;&lt;Q&gt;LUV-US^FF_DFD_TAX_DB(ANN_R,12/2019,,,,,B)&lt;/Q&gt;&lt;R&gt;1&lt;/R&gt;&lt;C&gt;1&lt;/C&gt;&lt;D xsi:type="xsd:double"&gt;1.118&lt;/D&gt;&lt;/FQL&gt;&lt;FQL&gt;&lt;Q&gt;LUV-US^FF_DFD_TAX_DB(ANN_R,12/2018,,,,,B)&lt;/Q&gt;&lt;R&gt;1&lt;/R&gt;&lt;C&gt;1&lt;/C&gt;&lt;D xsi:type="xsd:double"&gt;1.06&lt;/D&gt;&lt;/FQL&gt;&lt;FQL&gt;&lt;Q&gt;LUV-US^FF_DFD_TAX_DB(ANN_R,12/2017,,,,,B)&lt;/Q&gt;&lt;R&gt;1&lt;/R&gt;&lt;C&gt;1&lt;/C&gt;&lt;D xsi:type="xsd:double"&gt;1.087&lt;/D&gt;&lt;/FQL&gt;&lt;FQL&gt;&lt;Q&gt;LUV-US^FF_DFD_TAX_DB(ANN_R,12/2016,,,,,B)&lt;/Q&gt;&lt;R&gt;1&lt;/R&gt;&lt;C&gt;1&lt;/C&gt;&lt;D xsi:type="xsd:double"&gt;1.486&lt;/D&gt;&lt;/FQL&gt;&lt;FQL&gt;&lt;Q&gt;LUV-US^FF_DFD_TAX_DB(ANN_R,12/2015,,,,,B)&lt;/Q&gt;&lt;R&gt;1&lt;/R&gt;&lt;C&gt;1&lt;/C&gt;&lt;D xsi:type="xsd:double"&gt;2.001&lt;/D&gt;&lt;/FQL&gt;&lt;FQL&gt;&lt;Q&gt;LUV-US^FF_DFD_TAX_DB(ANN_R,12/2014,,,,,B)&lt;/Q&gt;&lt;R&gt;0&lt;/R&gt;&lt;C&gt;0&lt;/C&gt;&lt;/FQL&gt;&lt;FQL&gt;&lt;Q&gt;LUV-US^FF_DFD_TAX_DB(ANN_R,12/2013,,,,,B)&lt;/Q&gt;&lt;R&gt;0&lt;/R&gt;&lt;C&gt;0&lt;/C&gt;&lt;/FQL&gt;&lt;FQL&gt;&lt;Q&gt;LUV-US^FF_DFD_TAX_DB(ANN_R,12/2012,,,,,B)&lt;/Q&gt;&lt;R&gt;0&lt;/R&gt;&lt;C&gt;0&lt;/C&gt;&lt;/FQL&gt;&lt;FQL&gt;&lt;Q&gt;LUV-US^FF_DFD_TAX_DB(ANN_R,12/2011,,,,,B)&lt;/Q&gt;&lt;R&gt;0&lt;/R&gt;&lt;C&gt;0&lt;/C&gt;&lt;/FQL&gt;&lt;FQL&gt;&lt;Q&gt;LUV-US^FF_ASSETS_CURR_OTH(ANN_R,12/2020,,,,,B,"FILING_DATE=1")&lt;/Q&gt;&lt;R&gt;1&lt;/R&gt;&lt;C&gt;1&lt;/C&gt;&lt;D xsi:type="xsd:double"&gt;0.287&lt;/D&gt;&lt;/FQL&gt;&lt;FQL&gt;&lt;Q&gt;LUV-US^FF_ASSETS_CURR_OTH(ANN_R,12/2019,,,,,B,"FILING_DATE=1")&lt;/Q&gt;&lt;R&gt;1&lt;/R&gt;&lt;C&gt;1&lt;/C&gt;&lt;D xsi:type="xsd:double"&gt;0.31&lt;/D&gt;&lt;/FQL&gt;&lt;FQL&gt;&lt;Q&gt;LUV-US^FF_ASSETS_CURR_OTH(ANN_R,12/2018,,,,,B,"FILING_DATE=1")&lt;/Q&gt;&lt;R&gt;1&lt;/R&gt;&lt;C&gt;1&lt;/C&gt;&lt;D xsi:type="xsd:double"&gt;0.46&lt;/D&gt;&lt;/FQL&gt;&lt;FQL&gt;&lt;Q&gt;LUV-US^FF_ASSETS_CURR_OTH(ANN_R,12/2017,,,,,B,"FILING_DATE=1")&lt;/Q&gt;&lt;R&gt;1&lt;/R&gt;&lt;C&gt;1&lt;/C&gt;&lt;D xsi:type="xsd:double"&gt;0.31&lt;/D&gt;&lt;/FQL&gt;&lt;FQL&gt;&lt;Q&gt;LUV-US^FF_ASSETS_CURR_OTH(ANN_R,12/2016,,,,,B,"FILING_DATE=1")&lt;/Q&gt;&lt;R&gt;1&lt;/R&gt;&lt;C&gt;1&lt;/C&gt;&lt;D xsi:type="xsd:double"&gt;0.188&lt;/D&gt;&lt;/FQL&gt;&lt;FQL&gt;&lt;Q&gt;LUV-US^FF_ASSETS_CURR_OTH(ANN_R,12/2015,,,,,B,"FILING_DATE=1")&lt;/Q&gt;&lt;R&gt;1&lt;/R&gt;&lt;C&gt;1&lt;/C&gt;&lt;D xsi:type="xsd:double"&gt;0.709&lt;/D&gt;&lt;/FQL&gt;&lt;FQL&gt;&lt;Q&gt;LUV-US^FF_ASSETS_CURR_OTH(ANN_R,12/2014,,,,,B,"FILING_DATE=1")&lt;/Q&gt;&lt;R&gt;1&lt;/R&gt;&lt;C&gt;1&lt;/C&gt;&lt;D xsi:type="xsd:double"&gt;0.418&lt;/D&gt;&lt;/FQL&gt;&lt;FQL&gt;&lt;Q&gt;LUV-US^FF_ASSETS_CURR_OTH(ANN_R,12/2013,,,,,B,"FILING_DATE=1")&lt;/Q&gt;&lt;R&gt;1&lt;/R&gt;&lt;C&gt;1&lt;/C&gt;&lt;D xsi:type="xsd:double"&gt;0.456&lt;/D&gt;&lt;/FQL&gt;&lt;FQL&gt;&lt;Q&gt;LUV-US^FF_ASSETS_CURR_OTH(ANN_R,12/2012,,,,,B,"FILING_DATE=1")&lt;/Q&gt;&lt;R&gt;1&lt;/R&gt;&lt;C&gt;1&lt;/C&gt;&lt;D xsi:type="xsd:double"&gt;0.501&lt;/D&gt;&lt;/FQL&gt;&lt;FQL&gt;&lt;Q&gt;LUV-US^FF_ASSETS_CURR_OTH(ANN_R,12/2011,,,,,B,"FILING_DATE=1")&lt;/Q&gt;&lt;R&gt;1&lt;/R&gt;&lt;C&gt;1&lt;/C&gt;&lt;D xsi:type="xsd:double"&gt;0.303&lt;/D&gt;&lt;/FQL&gt;&lt;FQL&gt;&lt;Q&gt;LUV-US^FF_ASSETS(ANN_R,12/2020,,,,,B)&lt;/Q&gt;&lt;R&gt;1&lt;/R&gt;&lt;C&gt;1&lt;/C&gt;&lt;D xsi:type="xsd:double"&gt;36.573&lt;/D&gt;&lt;/FQL&gt;&lt;FQL&gt;&lt;Q&gt;LUV-US^FF_ASSETS(ANN_R,12/2019,,,,,B)&lt;/Q&gt;&lt;R&gt;1&lt;/R&gt;&lt;C&gt;1&lt;/C&gt;&lt;D xsi:type="xsd:double"&gt;27.013&lt;/D&gt;&lt;/FQL&gt;&lt;FQL&gt;&lt;Q&gt;LUV-US^FF_ASSETS(ANN_R,12/2018,,,,,B)&lt;/Q&gt;&lt;R&gt;1&lt;/R&gt;&lt;C&gt;1&lt;/C&gt;&lt;D xsi:type="xsd:double"&gt;27.303&lt;/D&gt;&lt;/FQL&gt;&lt;FQL&gt;&lt;Q&gt;LUV-US^FF_ASSETS(ANN_R,12/2017,,,,,B)&lt;/Q&gt;&lt;R&gt;1&lt;/R&gt;&lt;C&gt;1&lt;/C&gt;&lt;D xsi:type="xsd:double"&gt;26.197&lt;/D&gt;&lt;/FQL&gt;&lt;FQL&gt;&lt;Q&gt;LUV-US^FF_ASSETS(ANN_R,12/2016,,,,,B)&lt;/Q&gt;&lt;R&gt;1&lt;/R&gt;&lt;C&gt;1&lt;/C&gt;&lt;D xsi:type="xsd:double"&gt;24.772&lt;/D&gt;&lt;/FQL&gt;&lt;FQL&gt;&lt;Q&gt;LUV-US^FF_ASSETS(ANN_R,12/2015,,,,,B)&lt;/Q&gt;&lt;R&gt;1&lt;/R&gt;&lt;C&gt;1&lt;/C&gt;&lt;D xsi:type="xsd:double"&gt;23.313&lt;/D&gt;&lt;/FQL&gt;&lt;FQL&gt;&lt;Q&gt;LUV-US^FF_ASSETS(ANN_R,12/2014,,,,,B)&lt;/Q&gt;&lt;R&gt;1&lt;/R&gt;&lt;C&gt;1&lt;/C&gt;&lt;D xsi:type="xsd:double"&gt;20.2&lt;/D&gt;&lt;/FQL&gt;&lt;FQL&gt;&lt;Q&gt;LUV-US^FF_ASSETS(ANN_R,12/2013,,,,,B)&lt;/Q&gt;&lt;R&gt;1&lt;/R&gt;&lt;C&gt;1&lt;/C&gt;&lt;D xsi:type="xsd:double"&gt;19.345&lt;/D&gt;&lt;/FQL&gt;&lt;FQL&gt;&lt;Q&gt;LUV-US^FF_ASSETS(ANN_R,12/2012,,,,,B)&lt;/Q&gt;&lt;R&gt;1&lt;/R&gt;&lt;C&gt;1&lt;/C&gt;&lt;D xsi:type="xsd:double"&gt;18.596&lt;/D&gt;&lt;/FQL&gt;&lt;FQL&gt;&lt;Q&gt;LUV-US^FF_ASSETS(ANN_R,12/2011,,,,,B)&lt;/Q&gt;&lt;R&gt;1&lt;/R&gt;&lt;C&gt;1&lt;/C&gt;&lt;D xsi:type="xsd:double"&gt;18.068&lt;/D&gt;&lt;/FQL&gt;&lt;FQL&gt;&lt;Q&gt;LUV-US^FF_CASH_ST(ANN_R,12/2020,,,,,B,"FILING_DATE=1")&lt;/Q&gt;&lt;R&gt;1&lt;/R&gt;&lt;C&gt;1&lt;/C&gt;&lt;D xsi:type="xsd:double"&gt;4.072&lt;/D&gt;&lt;/FQL&gt;&lt;FQL&gt;&lt;Q&gt;LUV-US^FF_CASH_ST(ANN_R,12/2019,,,,,B,"FILING_DATE=1")&lt;/Q&gt;&lt;R&gt;1&lt;/R&gt;&lt;C&gt;1&lt;/C&gt;&lt;D xsi:type="xsd:double"&gt;3.689&lt;/D&gt;&lt;/FQL&gt;&lt;FQL&gt;&lt;Q&gt;LUV-US^FF_CASH_ST(ANN_R,12/2018,,,,,B,"FILING_DATE=1")&lt;/Q&gt;&lt;R&gt;1&lt;/R&gt;&lt;C&gt;1&lt;/C&gt;&lt;D xsi:type="xsd:double"&gt;3.273&lt;/D&gt;&lt;/FQL&gt;&lt;FQL&gt;&lt;Q&gt;LUV-US^FF_CASH_ST(ANN_R,12/2017,,,,,B,"FILING_DATE=1")&lt;/Q&gt;&lt;R&gt;1&lt;/R&gt;&lt;C&gt;1&lt;/C&gt;&lt;D xsi:type="xsd:double"&gt;3.305&lt;/D&gt;&lt;/FQL&gt;&lt;FQL&gt;&lt;Q&gt;LUV-US^FF_CASH_ST(ANN_R,12/2016,,,,,B,"FILING_DATE=1")&lt;/Q&gt;&lt;R&gt;1&lt;/R&gt;&lt;C&gt;1&lt;/C&gt;&lt;D xsi:type="xsd:double"&gt;3.051&lt;/D&gt;&lt;/FQL&gt;&lt;FQL&gt;&lt;Q&gt;LUV-US^FF_CASH_ST(ANN_R,12/2015,,,,,B,"FILING_DATE=1")&lt;/Q&gt;&lt;R&gt;1&lt;/R&gt;&lt;C&gt;1&lt;/C&gt;&lt;D xsi:type="xsd:double"&gt;2.988&lt;/D&gt;&lt;/FQL&gt;&lt;FQL&gt;&lt;Q&gt;LUV-US^FF_CASH_ST(ANN_R,12/2014,,,,,B,"FILING_DATE=1")&lt;/Q&gt;&lt;R&gt;1&lt;/R&gt;&lt;C&gt;1&lt;/C&gt;&lt;D xsi:type="xsd:double"&gt;3.152&lt;/D&gt;&lt;/FQL&gt;&lt;FQL&gt;&lt;Q&gt;LUV-US^FF_CASH_ST(ANN_R,12/2013,,,,,B,"FILING_DATE=1")&lt;/Q&gt;&lt;R&gt;1&lt;/R&gt;&lt;C&gt;1&lt;/C&gt;&lt;D xsi:type="xsd:double"&gt;2.97&lt;/D&gt;&lt;/FQL&gt;&lt;FQL&gt;&lt;Q&gt;LUV-US^FF_CASH_ST(ANN_R,12/2012,,,,,B,"FILING_DATE=1")&lt;/Q&gt;&lt;R&gt;1&lt;/R&gt;&lt;C&gt;1&lt;/C&gt;&lt;D xsi:type="xsd:double"&gt;3.144&lt;/D&gt;&lt;/FQL&gt;&lt;FQL&gt;&lt;Q&gt;LUV-US^FF_CASH_ST(ANN_R,12/2011,,,,,B,"FILING_DATE=1")&lt;/Q&gt;&lt;R&gt;1&lt;/R&gt;&lt;C&gt;1&lt;/C&gt;&lt;D xsi:type="xsd:double"&gt;3.538&lt;/D&gt;&lt;/FQL&gt;&lt;FQL&gt;&lt;Q&gt;LUV-US^FF_RECEIV_ST(ANN_R,12/2020,,,,,B)&lt;/Q&gt;&lt;R&gt;1&lt;/R&gt;&lt;C&gt;1&lt;/C&gt;&lt;D xsi:type="xsd:double"&gt;1.13&lt;/D&gt;&lt;/FQL&gt;&lt;FQL&gt;&lt;Q&gt;LUV-US^FF_RECEIV_ST(ANN_R,12/2019,,,,,B)&lt;/Q&gt;&lt;R&gt;1&lt;/R&gt;&lt;C&gt;1&lt;/C&gt;&lt;D xsi:type="xsd:double"&gt;1.086&lt;/D&gt;&lt;/FQL&gt;&lt;FQL&gt;&lt;Q&gt;LUV-US^FF_RECEIV_ST(ANN_R,12/2018,,,,,B)&lt;/Q&gt;&lt;R&gt;1&lt;/R&gt;&lt;C&gt;1&lt;/C&gt;&lt;D xsi:type="xsd:double"&gt;0.568&lt;/D&gt;&lt;/FQL&gt;&lt;FQL&gt;&lt;Q&gt;LUV-US^FF_RECEIV_ST(ANN_R,12/2017,,,,,B)&lt;/Q&gt;&lt;R&gt;1&lt;/R&gt;&lt;C&gt;1&lt;/C&gt;&lt;D xsi:type="xsd:double"&gt;0.662&lt;/D&gt;&lt;/FQL&gt;&lt;FQL&gt;&lt;Q&gt;LUV-US^FF_RECEIV_ST(ANN_R,12/2016,,,,,B)&lt;/Q&gt;&lt;R&gt;1&lt;/R&gt;&lt;C&gt;1&lt;/C&gt;&lt;D xsi:type="xsd:double"&gt;0.546&lt;/D&gt;&lt;/FQL&gt;&lt;FQL&gt;&lt;Q&gt;LUV-US^FF_RECEIV_ST(ANN_R,12/2015,,,,,B)&lt;/Q&gt;&lt;R&gt;1&lt;/R&gt;&lt;C&gt;1&lt;/C&gt;&lt;D xsi:type="xsd:double"&gt;0.474&lt;/D&gt;&lt;/FQL&gt;&lt;FQL&gt;&lt;Q&gt;LUV-US^FF_RECEIV_ST(ANN_R,12/2014,,,,,B)&lt;/Q&gt;&lt;R&gt;1&lt;/R&gt;&lt;C&gt;1&lt;/C&gt;&lt;D xsi:type="xsd:double"&gt;0.365&lt;/D&gt;&lt;/FQL&gt;&lt;FQL&gt;&lt;Q&gt;LUV-US^FF_RECEIV_ST(ANN_R,12/2013,,,,,B)&lt;/Q&gt;&lt;R&gt;1&lt;/R&gt;&lt;C&gt;1&lt;/C&gt;&lt;D xsi:type="xsd:double"&gt;0.419&lt;/D&gt;&lt;/FQL&gt;&lt;FQL&gt;&lt;Q&gt;LUV-US^FF_RECEIV_ST(ANN_R,12/2012,,,,,B)&lt;/Q&gt;&lt;R&gt;1&lt;/R&gt;&lt;C&gt;1&lt;/C&gt;&lt;D xsi:type="xsd:double"&gt;0.332&lt;/D&gt;&lt;/FQL&gt;&lt;FQL&gt;&lt;Q&gt;LUV-US^FF_RECEIV_ST(ANN_R,12/2011,,,,,B)&lt;/Q&gt;&lt;R&gt;1&lt;/R&gt;&lt;C&gt;1&lt;/C&gt;&lt;D xsi:type="xsd:double"&gt;0.299&lt;/D&gt;&lt;/FQL&gt;&lt;FQL&gt;&lt;Q&gt;LUV-US^FF_INVEN(ANN_R,12/2020,,,,,B)&lt;/Q&gt;&lt;R&gt;1&lt;/R&gt;&lt;C&gt;1&lt;/C&gt;&lt;D xsi:type="xsd:double"&gt;0.414&lt;/D&gt;&lt;/FQL&gt;&lt;FQL&gt;&lt;Q&gt;LUV-US^FF_INVEN(ANN_R,12/2019,,,,,B)&lt;/Q&gt;&lt;R&gt;1&lt;/R&gt;&lt;C&gt;1&lt;/C&gt;&lt;D xsi:type="xsd:double"&gt;0.529&lt;/D&gt;&lt;/FQL&gt;&lt;FQL&gt;&lt;Q&gt;LUV-US^FF_INVEN(ANN_R,12/2018,,,,,B)&lt;/Q&gt;&lt;R&gt;1&lt;/R&gt;&lt;C&gt;1&lt;/C&gt;&lt;D xsi:type="xsd:double"&gt;0.461&lt;/D&gt;&lt;/FQL&gt;&lt;FQL&gt;&lt;Q&gt;LUV-US^FF_INVEN(ANN_R,12/2017,,,,,B)&lt;/Q&gt;&lt;R&gt;1&lt;/R&gt;&lt;C&gt;1&lt;/C&gt;&lt;D xsi:type="xsd:double"&gt;0.42&lt;/D&gt;&lt;/FQL&gt;&lt;FQL&gt;&lt;Q&gt;LUV-US^FF_INVEN(ANN_R,12/2016,,,,,B)&lt;/Q&gt;&lt;R&gt;1&lt;/R&gt;&lt;C&gt;1&lt;/C&gt;&lt;D xsi:type="xsd:double"&gt;0.337&lt;/D&gt;&lt;/FQL&gt;&lt;FQL&gt;&lt;Q&gt;LUV-US^FF_INVEN(ANN_R,12/2015,,,,,B)&lt;/Q&gt;&lt;R&gt;1&lt;/R&gt;&lt;C&gt;1&lt;/C&gt;&lt;D xsi:type="xsd:double"&gt;0.311&lt;/D&gt;&lt;/FQL&gt;&lt;FQL&gt;&lt;Q&gt;LUV-US^FF_INVEN(ANN_R,12/2014,,,,,B)&lt;/Q&gt;&lt;R&gt;1&lt;/R&gt;&lt;C&gt;1&lt;/C&gt;&lt;D xsi:type="xsd:double"&gt;0.342&lt;/D&gt;&lt;/FQL&gt;&lt;FQL&gt;&lt;Q&gt;LUV-US^FF_INVEN(ANN_R,12/2013,,,,,B)&lt;/Q&gt;&lt;R&gt;1&lt;/R&gt;&lt;C&gt;1&lt;/C&gt;&lt;D xsi:type="xsd:double"&gt;0.467&lt;/D&gt;&lt;/FQL&gt;&lt;FQL&gt;&lt;Q&gt;LUV-US^FF_INVEN(ANN_R,12/2012,,,,,B)&lt;/Q&gt;&lt;R&gt;1&lt;/R&gt;&lt;C&gt;1&lt;/C&gt;&lt;D xsi:type="xsd:double"&gt;0.469&lt;/D&gt;&lt;/FQL&gt;&lt;FQL&gt;&lt;Q&gt;LUV-US^FF_INVEN(ANN_R,12/2011,,,,,B)&lt;/Q&gt;&lt;R&gt;1&lt;/R&gt;&lt;C&gt;1&lt;/C&gt;&lt;D xsi:type="xsd:double"&gt;0.401&lt;/D&gt;&lt;/FQL&gt;&lt;FQL&gt;&lt;Q&gt;LUV-US^FF_ASSETS_CURR(ANN_R,12/2020,,,,,B,"FILING_DATE=1")&lt;/Q&gt;&lt;R&gt;1&lt;/R&gt;&lt;C&gt;1&lt;/C&gt;&lt;D xsi:type="xsd:double"&gt;5.974&lt;/D&gt;&lt;/FQL&gt;&lt;FQL&gt;&lt;Q&gt;LUV-US^FF_ASSETS_CURR(ANN_R,12/2019,,,,,B,"FILING_DATE=1")&lt;/Q&gt;&lt;R&gt;1&lt;/R&gt;&lt;C&gt;1&lt;/C&gt;&lt;D xsi:type="xsd:double"&gt;5.028&lt;/D&gt;&lt;/FQL&gt;&lt;FQL&gt;&lt;Q&gt;LUV-US^FF_ASSETS_CURR(ANN_R,12/2018,,,,,B,"FILING_DATE=1")&lt;/Q&gt;&lt;R&gt;1&lt;/R&gt;&lt;C&gt;1&lt;/C&gt;&lt;D xsi:type="xsd:double"&gt;4.815&lt;/D&gt;&lt;/FQL&gt;&lt;FQL&gt;&lt;Q&gt;LUV-US^FF_ASSETS_CURR(ANN_R,12/2017,,,,,B,"FILING_DATE=1")&lt;/Q&gt;&lt;R&gt;1&lt;/R&gt;&lt;C&gt;1&lt;/C&gt;&lt;D xsi:type="xsd:double"&gt;4.498&lt;/D&gt;&lt;/FQL&gt;&lt;FQL&gt;&lt;Q&gt;LUV-US^FF_ASSETS_CURR(ANN_R,12/2016,,,,,B,"FILING_DATE=1")&lt;/Q&gt;&lt;R&gt;1&lt;/R&gt;&lt;C&gt;1&lt;/C&gt;&lt;D xsi:type="xsd:double"&gt;4.024&lt;/D&gt;&lt;/FQL&gt;&lt;FQL&gt;&lt;Q&gt;LUV-US^FF_ASSETS_CURR(ANN_R,12/2015,,,,,B,"FILING_DATE=1")&lt;/Q&gt;&lt;R&gt;1&lt;/R&gt;&lt;C&gt;1&lt;/C&gt;&lt;D xsi:type="xsd:double"&gt;4.404&lt;/D&gt;&lt;/FQL&gt;&lt;FQL&gt;&lt;Q&gt;LUV-US^FF_ASSETS_CURR(ANN_R,12/2014,,,,,B,"FILING_DATE=1")&lt;/Q&gt;&lt;R&gt;1&lt;/R&gt;&lt;C&gt;1&lt;/C&gt;&lt;D xsi:type="xsd:double"&gt;4.456&lt;/D&gt;&lt;/FQL&gt;&lt;FQL&gt;&lt;Q&gt;LUV-US^FF_ASSETS_CURR(ANN_R,12/2013,,,,,B,"FILING_DATE=1")&lt;/Q&gt;&lt;R&gt;1&lt;/R&gt;&lt;C&gt;1&lt;/C&gt;&lt;D xsi:type="xsd:double"&gt;4.227&lt;/D&gt;&lt;/FQL&gt;&lt;FQL&gt;&lt;Q&gt;LUV-US^FF_ASSETS_CURR(ANN_R,12/2012,,,,,B,"FILING_DATE=1")&lt;/Q&gt;&lt;R&gt;1&lt;/R&gt;&lt;C&gt;1&lt;/C&gt;&lt;D xsi:type="xsd:double"&gt;4.345&lt;/D&gt;&lt;/FQL&gt;&lt;FQL&gt;&lt;Q&gt;LUV-US^FF_ASSETS_CURR(ANN_R,12/2011,,,,,B,"FILING_DATE=1")&lt;/Q&gt;&lt;R&gt;1&lt;/R&gt;&lt;C&gt;1&lt;/C&gt;&lt;D xsi:type="xsd:double"&gt;4.279&lt;/D&gt;&lt;/FQL&gt;&lt;FQL&gt;&lt;Q&gt;LUV-US^FF_PPE_NET(ANN_R,12/2020,,,,,B,"FILING_DATE=1")&lt;/Q&gt;&lt;R&gt;1&lt;/R&gt;&lt;C&gt;1&lt;/C&gt;&lt;D xsi:type="xsd:double"&gt;18.374&lt;/D&gt;&lt;/FQL&gt;&lt;FQL&gt;&lt;Q&gt;LUV-US^FF_PPE_NET(ANN_R,12/2019,,,,,B,"FILING_DATE=1")&lt;/Q&gt;&lt;R&gt;1&lt;/R&gt;&lt;C&gt;1&lt;/C&gt;&lt;D xsi:type="xsd:double"&gt;19.525&lt;/D&gt;&lt;/FQL&gt;&lt;FQL&gt;&lt;Q&gt;LUV-US^FF_PPE_NET(ANN_R,12/2018,,,,,B,"FILING_DATE=1")&lt;/Q&gt;&lt;R&gt;1&lt;/R&gt;&lt;C&gt;1&lt;/C&gt;&lt;D xsi:type="xsd:double"&gt;18.539&lt;/D&gt;&lt;/FQL&gt;&lt;FQL&gt;&lt;Q&gt;LUV-US^FF_PPE_NET(ANN_R,12/2017,,,,,B,"FILING_DATE=1")&lt;/Q&gt;&lt;R&gt;1&lt;/R&gt;&lt;C&gt;1&lt;/C&gt;&lt;D xsi:type="xsd:double"&gt;17.044&lt;/D&gt;&lt;/FQL&gt;&lt;FQL&gt;&lt;Q&gt;LUV-US^FF_PPE_NET(ANN_R,12/2016,,,,,B,"FILING_DATE=1")&lt;/Q&gt;&lt;R&gt;1&lt;/R&gt;&lt;C&gt;1&lt;/C&gt;&lt;D xsi:type="xsd:double"&gt;15.601&lt;/</t>
        </r>
      </text>
    </comment>
    <comment ref="A30" authorId="0" shapeId="0" xr:uid="{19C4864B-4CE5-4053-B804-4D4A464E5E17}">
      <text>
        <r>
          <rPr>
            <b/>
            <sz val="9"/>
            <color indexed="81"/>
            <rFont val="Tahoma"/>
            <charset val="1"/>
          </rPr>
          <t>D&gt;&lt;/FQL&gt;&lt;FQL&gt;&lt;Q&gt;LUV-US^FF_PPE_NET(ANN_R,12/2015,,,,,B,"FILING_DATE=1")&lt;/Q&gt;&lt;R&gt;1&lt;/R&gt;&lt;C&gt;1&lt;/C&gt;&lt;D xsi:type="xsd:double"&gt;14.292&lt;/D&gt;&lt;/FQL&gt;&lt;FQL&gt;&lt;Q&gt;LUV-US^FF_PPE_NET(ANN_R,12/2014,,,,,B,"FILING_DATE=1")&lt;/Q&gt;&lt;R&gt;1&lt;/R&gt;&lt;C&gt;1&lt;/C&gt;&lt;D xsi:type="xsd:double"&gt;13.389&lt;/D&gt;&lt;/FQL&gt;&lt;FQL&gt;&lt;Q&gt;LUV-US^FF_PPE_NET(ANN_R,12/2013,,,,,B,"FILING_DATE=1")&lt;/Q&gt;&lt;R&gt;1&lt;/R&gt;&lt;C&gt;1&lt;/C&gt;&lt;D xsi:type="xsd:double"&gt;12.766&lt;/D&gt;&lt;/FQL&gt;&lt;FQL&gt;&lt;Q&gt;LUV-US^FF_PPE_NET(ANN_R,12/2012,,,,,B,"FILING_DATE=1")&lt;/Q&gt;&lt;R&gt;1&lt;/R&gt;&lt;C&gt;1&lt;/C&gt;&lt;D xsi:type="xsd:double"&gt;12.127&lt;/D&gt;&lt;/FQL&gt;&lt;FQL&gt;&lt;Q&gt;LUV-US^FF_PPE_NET(ANN_R,12/2011,,,,,B,"FILING_DATE=1")&lt;/Q&gt;&lt;R&gt;1&lt;/R&gt;&lt;C&gt;1&lt;/C&gt;&lt;D xsi:type="xsd:double"&gt;10.578&lt;/D&gt;&lt;/FQL&gt;&lt;FQL&gt;&lt;Q&gt;LUV-US^FF_DEBT_ST(ANN_R,12/2020,,,,,B,"FILING_DATE=1")&lt;/Q&gt;&lt;R&gt;1&lt;/R&gt;&lt;C&gt;1&lt;/C&gt;&lt;D xsi:type="xsd:double"&gt;1.172&lt;/D&gt;&lt;/FQL&gt;&lt;FQL&gt;&lt;Q&gt;LUV-US^FF_DEBT_ST(ANN_R,12/2019,,,,,B,"FILING_DATE=1")&lt;/Q&gt;&lt;R&gt;1&lt;/R&gt;&lt;C&gt;1&lt;/C&gt;&lt;D xsi:type="xsd:double"&gt;0.606&lt;/D&gt;&lt;/FQL&gt;&lt;FQL&gt;&lt;Q&gt;LUV-US^FF_DEBT_ST(ANN_R,12/2018,,,,,B,"FILING_DATE=1")&lt;/Q&gt;&lt;R&gt;1&lt;/R&gt;&lt;C&gt;1&lt;/C&gt;&lt;D xsi:type="xsd:double"&gt;0.348&lt;/D&gt;&lt;/FQL&gt;&lt;FQL&gt;&lt;Q&gt;LUV-US^FF_DEBT_ST(ANN_R,12/2017,,,,,B,"FILING_DATE=1")&lt;/Q&gt;&lt;R&gt;1&lt;/R&gt;&lt;C&gt;1&lt;/C&gt;&lt;D xsi:type="xsd:double"&gt;0.566&lt;/D&gt;&lt;/FQL&gt;&lt;FQL&gt;&lt;Q&gt;LUV-US^FF_DEBT_ST(ANN_R,12/2016,,,,,B,"FILING_DATE=1")&lt;/Q&gt;&lt;R&gt;1&lt;/R&gt;&lt;C&gt;1&lt;/C&gt;&lt;D xsi:type="xsd:double"&gt;0.637&lt;/D&gt;&lt;/FQL&gt;&lt;FQL&gt;&lt;Q&gt;LUV-US^FF_DEBT_ST(ANN_R,12/2015,,,,,B,"FILING_DATE=1")&lt;/Q&gt;&lt;R&gt;1&lt;/R&gt;&lt;C&gt;1&lt;/C&gt;&lt;D xsi:type="xsd:double"&gt;0.258&lt;/D&gt;&lt;/FQL&gt;&lt;FQL&gt;&lt;Q&gt;LUV-US^FF_DEBT_ST(ANN_R,12/2014,,,,,B,"FILING_DATE=1")&lt;/Q&gt;&lt;R&gt;1&lt;/R&gt;&lt;C&gt;1&lt;/C&gt;&lt;D xsi:type="xsd:double"&gt;0.629&lt;/D&gt;&lt;/FQL&gt;&lt;FQL&gt;&lt;Q&gt;LUV-US^FF_DEBT_ST(ANN_R,12/2013,,,,,B,"FILING_DATE=1")&lt;/Q&gt;&lt;R&gt;1&lt;/R&gt;&lt;C&gt;1&lt;/C&gt;&lt;D xsi:type="xsd:double"&gt;0.271&lt;/D&gt;&lt;/FQL&gt;&lt;FQL&gt;&lt;Q&gt;LUV-US^FF_DEBT_ST(ANN_R,12/2012,,,,,B,"FILING_DATE=1")&lt;/Q&gt;&lt;R&gt;1&lt;/R&gt;&lt;C&gt;1&lt;/C&gt;&lt;D xsi:type="xsd:double"&gt;0.644&lt;/D&gt;&lt;/FQL&gt;&lt;FQL&gt;&lt;Q&gt;LUV-US^FF_DEBT_ST(ANN_R,12/2011,,,,,B,"FILING_DATE=1")&lt;/Q&gt;&lt;R&gt;1&lt;/R&gt;&lt;C&gt;1&lt;/C&gt;&lt;D xsi:type="xsd:double"&gt;0.505&lt;/D&gt;&lt;/FQL&gt;&lt;FQL&gt;&lt;Q&gt;LUV-US^FF_PAY_ACCT(ANN_R,12/2020,,,,,B,"FILING_DATE=1")&lt;/Q&gt;&lt;R&gt;1&lt;/R&gt;&lt;C&gt;1&lt;/C&gt;&lt;D xsi:type="xsd:double"&gt;0.595&lt;/D&gt;&lt;/FQL&gt;&lt;FQL&gt;&lt;Q&gt;LUV-US^FF_PAY_ACCT(ANN_R,12/2019,,,,,B,"FILING_DATE=1")&lt;/Q&gt;&lt;R&gt;1&lt;/R&gt;&lt;C&gt;1&lt;/C&gt;&lt;D xsi:type="xsd:double"&gt;0.454&lt;/D&gt;&lt;/FQL&gt;&lt;FQL&gt;&lt;Q&gt;LUV-US^FF_PAY_ACCT(ANN_R,12/2018,,,,,B,"FILING_DATE=1")&lt;/Q&gt;&lt;R&gt;1&lt;/R&gt;&lt;C&gt;1&lt;/C&gt;&lt;D xsi:type="xsd:double"&gt;0.347&lt;/D&gt;&lt;/FQL&gt;&lt;FQL&gt;&lt;Q&gt;LUV-US^FF_PAY_ACCT(ANN_R,12/2017,,,,,B,"FILING_DATE=1")&lt;/Q&gt;&lt;R&gt;1&lt;/R&gt;&lt;C&gt;1&lt;/C&gt;&lt;D xsi:type="xsd:double"&gt;0.259&lt;/D&gt;&lt;/FQL&gt;&lt;FQL&gt;&lt;Q&gt;LUV-US^FF_PAY_ACCT(ANN_R,12/2016,,,,,B,"FILING_DATE=1")&lt;/Q&gt;&lt;R&gt;1&lt;/R&gt;&lt;C&gt;1&lt;/C&gt;&lt;D xsi:type="xsd:double"&gt;0.394&lt;/D&gt;&lt;/FQL&gt;&lt;FQL&gt;&lt;Q&gt;LUV-US^FF_PAY_ACCT(ANN_R,12/2015,,,,,B,"FILING_DATE=1")&lt;/Q&gt;&lt;R&gt;1&lt;/R&gt;&lt;C&gt;1&lt;/C&gt;&lt;D xsi:type="xsd:double"&gt;0.522&lt;/D&gt;&lt;/FQL&gt;&lt;FQL&gt;&lt;Q&gt;LUV-US^FF_PAY_ACCT(ANN_R,12/2014,,,,,B,"FILING_DATE=1")&lt;/Q&gt;&lt;R&gt;1&lt;/R&gt;&lt;C&gt;1&lt;/C&gt;&lt;D xsi:type="xsd:double"&gt;0.622&lt;/D&gt;&lt;/FQL&gt;&lt;FQL&gt;&lt;Q&gt;LUV-US^FF_PAY_ACCT(ANN_R,12/2013,,,,,B,"FILING_DATE=1")&lt;/Q&gt;&lt;R&gt;1&lt;/R&gt;&lt;C&gt;1&lt;/C&gt;&lt;D xsi:type="xsd:double"&gt;1.107&lt;/D&gt;&lt;/FQL&gt;&lt;FQL&gt;&lt;Q&gt;LUV-US^FF_PAY_ACCT(ANN_R,12/2012,,,,,B,"FILING_DATE=1")&lt;/Q&gt;&lt;R&gt;1&lt;/R&gt;&lt;C&gt;1&lt;/C&gt;&lt;D xsi:type="xsd:double"&gt;1.057&lt;/D&gt;&lt;/FQL&gt;&lt;FQL&gt;&lt;Q&gt;LUV-US^FF_PAY_ACCT(ANN_R,12/2011,,,,,B,"FILING_DATE=1")&lt;/Q&gt;&lt;R&gt;1&lt;/R&gt;&lt;C&gt;1&lt;/C&gt;&lt;D xsi:type="xsd:double"&gt;0.739&lt;/D&gt;&lt;/FQL&gt;&lt;FQL&gt;&lt;Q&gt;LUV-US^FF_INC_PAY_TAX(ANN_R,12/2020,,,,,B,"FILING_DATE=1")&lt;/Q&gt;&lt;R&gt;1&lt;/R&gt;&lt;C&gt;1&lt;/C&gt;&lt;D xsi:type="xsd:string"&gt;#NUM&lt;/D&gt;&lt;/FQL&gt;&lt;FQL&gt;&lt;Q&gt;LUV-US^FF_INC_PAY_TAX(ANN_R,12/2019,,,,,B,"FILING_DATE=1")&lt;/Q&gt;&lt;R&gt;1&lt;/R&gt;&lt;C&gt;1&lt;/C&gt;&lt;D xsi:type="xsd:string"&gt;#NUM&lt;/D&gt;&lt;/FQL&gt;&lt;FQL&gt;&lt;Q&gt;LUV-US^FF_INC_PAY_TAX(ANN_R,12/2018,,,,,B,"FILING_DATE=1")&lt;/Q&gt;&lt;R&gt;1&lt;/R&gt;&lt;C&gt;1&lt;/C&gt;&lt;D xsi:type="xsd:string"&gt;#NUM&lt;/D&gt;&lt;/FQL&gt;&lt;FQL&gt;&lt;Q&gt;LUV-US^FF_INC_PAY_TAX(ANN_R,12/2017,,,,,B,"FILING_DATE=1")&lt;/Q&gt;&lt;R&gt;1&lt;/R&gt;&lt;C&gt;1&lt;/C&gt;&lt;D xsi:type="xsd:string"&gt;#NUM&lt;/D&gt;&lt;/FQL&gt;&lt;FQL&gt;&lt;Q&gt;LUV-US^FF_INC_PAY_TAX(ANN_R,12/2016,,,,,B,"FILING_DATE=1")&lt;/Q&gt;&lt;R&gt;1&lt;/R&gt;&lt;C&gt;1&lt;/C&gt;&lt;D xsi:type="xsd:string"&gt;#NUM&lt;/D&gt;&lt;/FQL&gt;&lt;FQL&gt;&lt;Q&gt;LUV-US^FF_INC_PAY_TAX(ANN_R,12/2015,,,,,B,"FILING_DATE=1")&lt;/Q&gt;&lt;R&gt;1&lt;/R&gt;&lt;C&gt;1&lt;/C&gt;&lt;D xsi:type="xsd:string"&gt;#NUM&lt;/D&gt;&lt;/FQL&gt;&lt;FQL&gt;&lt;Q&gt;LUV-US^FF_INC_PAY_TAX(ANN_R,12/2014,,,,,B,"FILING_DATE=1")&lt;/Q&gt;&lt;R&gt;1&lt;/R&gt;&lt;C&gt;1&lt;/C&gt;&lt;D xsi:type="xsd:string"&gt;#NUM&lt;/D&gt;&lt;/FQL&gt;&lt;FQL&gt;&lt;Q&gt;LUV-US^FF_INC_PAY_TAX(ANN_R,12/2013,,,,,B,"FILING_DATE=1")&lt;/Q&gt;&lt;R&gt;1&lt;/R&gt;&lt;C&gt;1&lt;/C&gt;&lt;D xsi:type="xsd:string"&gt;#NUM&lt;/D&gt;&lt;/FQL&gt;&lt;FQL&gt;&lt;Q&gt;LUV-US^FF_INC_PAY_TAX(ANN_R,12/2012,,,,,B,"FILING_DATE=1")&lt;/Q&gt;&lt;R&gt;1&lt;/R&gt;&lt;C&gt;1&lt;/C&gt;&lt;D xsi:type="xsd:string"&gt;#NUM&lt;/D&gt;&lt;/FQL&gt;&lt;FQL&gt;&lt;Q&gt;LUV-US^FF_INC_PAY_TAX(ANN_R,12/2011,,,,,B,"FILING_DATE=1")&lt;/Q&gt;&lt;R&gt;1&lt;/R&gt;&lt;C&gt;1&lt;/C&gt;&lt;D xsi:type="xsd:string"&gt;#NUM&lt;/D&gt;&lt;/FQL&gt;&lt;FQL&gt;&lt;Q&gt;LUV-US^FF_LIABS_CURR_OTH(ANN_R,12/2020,,,,,B,"FILING_DATE=1")&lt;/Q&gt;&lt;R&gt;1&lt;/R&gt;&lt;C&gt;1&lt;/C&gt;&lt;D xsi:type="xsd:double"&gt;7.106&lt;/D&gt;&lt;/FQL&gt;&lt;FQL&gt;&lt;Q&gt;LUV-US^FF_LIABS_CURR_OTH(ANN_R,12/2019,,,,,B,"FILING_DATE=1")&lt;/Q&gt;&lt;R&gt;1&lt;/R&gt;&lt;C&gt;1&lt;/C&gt;&lt;D xsi:type="xsd:double"&gt;6.625&lt;/D&gt;&lt;/FQL&gt;&lt;FQL&gt;&lt;Q&gt;LUV-US^FF_LIABS_CURR_OTH(ANN_R,12/2018,,,,,B,"FILING_DATE=1")&lt;/Q&gt;&lt;R&gt;1&lt;/R&gt;&lt;C&gt;1&lt;/C&gt;&lt;D xsi:type="xsd:double"&gt;5.965&lt;/D&gt;&lt;/FQL&gt;&lt;FQL&gt;&lt;Q&gt;LUV-US^FF_LIABS_CURR_OTH(ANN_R,12/2017,,,,,B,"FILING_DATE=1")&lt;/Q&gt;&lt;R&gt;1&lt;/R&gt;&lt;C&gt;1&lt;/C&gt;&lt;D xsi:type="xsd:double"&gt;5.835&lt;/D&gt;&lt;/FQL&gt;&lt;FQL&gt;&lt;Q&gt;LUV-US^FF_LIABS_CURR_OTH(ANN_R,12/2016,,,,,B,"FILING_DATE=1")&lt;/Q&gt;&lt;R&gt;1&lt;/R&gt;&lt;C&gt;1&lt;/C&gt;&lt;D xsi:type="xsd:double"&gt;6.196&lt;/D&gt;&lt;/FQL&gt;&lt;FQL&gt;&lt;Q&gt;LUV-US^FF_LIABS_CURR_OTH(ANN_R,12/2015,,,,,B,"FILING_DATE=1")&lt;/Q&gt;&lt;R&gt;1&lt;/R&gt;&lt;C&gt;1&lt;/C&gt;&lt;D xsi:type="xsd:double"&gt;4.98&lt;/D&gt;&lt;/FQL&gt;&lt;FQL&gt;&lt;Q&gt;LUV-US^FF_LIABS_CURR_OTH(ANN_R,12/2014,,,,,B,"FILING_DATE=1")&lt;/Q&gt;&lt;R&gt;1&lt;/R&gt;&lt;C&gt;1&lt;/C&gt;&lt;D xsi:type="xsd:double"&gt;4.279&lt;/D&gt;&lt;/FQL&gt;&lt;FQL&gt;&lt;Q&gt;LUV-US^FF_LIABS_CURR_OTH(ANN_R,12/2013,,,,,B,"FILING_DATE=1")&lt;/Q&gt;&lt;R&gt;1&lt;/R&gt;&lt;C&gt;1&lt;/C&gt;&lt;D xsi:type="xsd:double"&gt;3.272&lt;/D&gt;&lt;/FQL&gt;&lt;FQL&gt;&lt;Q&gt;LUV-US^FF_LIABS_CURR_OTH(ANN_R,12/2012,,,,,B,"FILING_DATE=1")&lt;/Q&gt;&lt;R&gt;1&lt;/R&gt;&lt;C&gt;1&lt;/C&gt;&lt;D xsi:type="xsd:double"&gt;2.832&lt;/D&gt;&lt;/FQL&gt;&lt;FQL&gt;&lt;Q&gt;LUV-US^FF_LIABS_CURR_OTH(ANN_R,12/2011,,,,,B,"FILING_DATE=1")&lt;/Q&gt;&lt;R&gt;1&lt;/R&gt;&lt;C&gt;1&lt;/C&gt;&lt;D xsi:type="xsd:double"&gt;2.061&lt;/D&gt;&lt;/FQL&gt;&lt;FQL&gt;&lt;Q&gt;LUV-US^FF_LIABS_CURR(ANN_R,12/2020,,,,,B,"FILING_DATE=1")&lt;/Q&gt;&lt;R&gt;1&lt;/R&gt;&lt;C&gt;1&lt;/C&gt;&lt;D xsi:type="xsd:double"&gt;8.952&lt;/D&gt;&lt;/FQL&gt;&lt;FQL&gt;&lt;Q&gt;LUV-US^FF_LIABS_CURR(ANN_R,12/2019,,,,,B,"FILING_DATE=1")&lt;/Q&gt;&lt;R&gt;1&lt;/R&gt;&lt;C&gt;1&lt;/C&gt;&lt;D xsi:type="xsd:double"&gt;7.905&lt;/D&gt;&lt;/FQL&gt;&lt;FQL&gt;&lt;Q&gt;LUV-US^FF_LIABS_CURR(ANN_R,12/2018,,,,,B,"FILING_DATE=1")&lt;/Q&gt;&lt;R&gt;1&lt;/R&gt;&lt;C&gt;1&lt;/C&gt;&lt;D xsi:type="xsd:double"&gt;6.863&lt;/D&gt;&lt;/FQL&gt;&lt;FQL&gt;&lt;Q&gt;LUV-US^FF_LIABS_CURR(ANN_R,12/2017,,,,,B,"FILING_DATE=1")&lt;/Q&gt;&lt;R&gt;1&lt;/R&gt;&lt;C&gt;1&lt;/C&gt;&lt;D xsi:type="xsd:double"&gt;6.844&lt;/D&gt;&lt;/FQL&gt;&lt;FQL&gt;&lt;Q&gt;LUV-US^FF_LIABS_CURR(ANN_R,12/2016,,,,,B,"FILING_DATE=1")&lt;/Q&gt;&lt;R&gt;1&lt;/R&gt;&lt;C&gt;1&lt;/C&gt;&lt;D xsi:type="xsd:double"&gt;7.406&lt;/D&gt;&lt;/FQL&gt;&lt;FQL&gt;&lt;Q&gt;LUV-US^FF_LIABS_CURR(ANN_R,12/2015,,,,,B,"FILING_DATE=1")&lt;/Q&gt;&lt;R&gt;1&lt;/R&gt;&lt;C&gt;1&lt;/C&gt;&lt;D xsi:type="xsd:double"&gt;5.923&lt;/D&gt;&lt;/FQL&gt;&lt;FQL&gt;&lt;Q&gt;LUV-US^FF_LIABS_CURR(ANN_R,12/2014,,,,,B,"FILING_DATE=1")&lt;/Q&gt;&lt;R&gt;1&lt;/R&gt;&lt;C&gt;1&lt;/C&gt;&lt;D xsi:type="xsd:double"&gt;5.676&lt;/D&gt;&lt;/FQL&gt;&lt;FQL&gt;&lt;Q&gt;LUV-US^FF_LIABS_CURR(ANN_R,12/2013,,,,,B,"FILING_DATE=1")&lt;/Q&gt;&lt;R&gt;1&lt;/R&gt;&lt;C&gt;1&lt;/C&gt;&lt;D xsi:type="xsd:double"&gt;4.65&lt;/D&gt;&lt;/FQL&gt;&lt;FQL&gt;&lt;Q&gt;LUV-US^FF_LIABS_CURR(ANN_R,12/2012,,,,,B,"FILING_DATE=1")&lt;/Q&gt;&lt;R&gt;1&lt;/R&gt;&lt;C&gt;1&lt;/C&gt;&lt;D xsi:type="xsd:double"&gt;4.533&lt;/D&gt;&lt;/FQL&gt;&lt;FQL&gt;&lt;Q&gt;LUV-US^FF_LIABS_CURR(ANN_R,12/2011,,,,,B,"FILING_DATE=1")&lt;/Q&gt;&lt;R&gt;1&lt;/R&gt;&lt;C&gt;1&lt;/C&gt;&lt;D xsi:type="xsd:double"&gt;3.305&lt;/D&gt;&lt;/FQL&gt;&lt;FQL&gt;&lt;Q&gt;LUV-US^FF_DEBT_LT(ANN_R,12/2020,,,,,B,"FILING_DATE=1")&lt;/Q&gt;&lt;R&gt;1&lt;/R&gt;&lt;C&gt;1&lt;/C&gt;&lt;D xsi:type="xsd:double"&gt;2.824&lt;/D&gt;&lt;/FQL&gt;&lt;FQL&gt;&lt;Q&gt;LUV-US^FF_DEBT_LT(ANN_R,12/2019,,,,,B,"FILING_DATE=1")&lt;/Q&gt;&lt;R&gt;1&lt;/R&gt;&lt;C&gt;1&lt;/C&gt;&lt;D xsi:type="xsd:double"&gt;2.819&lt;/D&gt;&lt;/FQL&gt;&lt;FQL&gt;&lt;Q&gt;LUV-US^FF_DEBT_LT(ANN_R,12/2018,,,,,B,"FILING_DATE=1")&lt;/Q&gt;&lt;R&gt;1&lt;/R&gt;&lt;C&gt;1&lt;/C&gt;&lt;D xsi:type="xsd:double"&gt;3.405&lt;/D&gt;&lt;/FQL&gt;&lt;FQL&gt;&lt;Q&gt;LUV-US^FF_DEBT_LT(ANN_R,12/2017,,,,,B,"FILING_DATE=1")&lt;/Q&gt;&lt;R&gt;1&lt;/R&gt;&lt;C&gt;1&lt;/C&gt;&lt;D xsi:type="xsd:double"&gt;2.946&lt;/D&gt;&lt;/FQL&gt;&lt;FQL&gt;&lt;Q&gt;LUV-US^FF_DEBT_LT(ANN_R,12/2016,,,,,B,"FILING_DATE=1")&lt;/Q&gt;&lt;R&gt;1&lt;/R&gt;&lt;C&gt;1&lt;/C&gt;&lt;D xsi:type="xsd:double"&gt;2.706&lt;/D&gt;&lt;/FQL&gt;&lt;FQL&gt;&lt;Q&gt;LUV-US^FF_DEBT_LT(ANN_R,12/2015,,,,,B,"FILING_DATE=1")&lt;/Q&gt;&lt;R&gt;1&lt;/R&gt;&lt;C&gt;1&lt;/C&gt;&lt;D xsi:type="xsd:double"&gt;2.627&lt;/D&gt;&lt;/FQL&gt;&lt;FQL&gt;&lt;Q&gt;LUV-US^FF_DEBT_LT(ANN_R,12/2014,,,,,B,"FILING_DATE=1")&lt;/Q&gt;&lt;R&gt;1&lt;/R&gt;&lt;C&gt;1&lt;/C&gt;&lt;D xsi:type="xsd:double"&gt;2.481&lt;/D&gt;&lt;/FQL&gt;&lt;FQL&gt;&lt;Q&gt;LUV-US^FF_DEBT_LT(ANN_R,12/2013,,,,,B,"FILING_DATE=1")&lt;/Q&gt;&lt;R&gt;1&lt;/R&gt;&lt;C&gt;1&lt;/C&gt;&lt;D xsi:type="xsd:double"&gt;3.259&lt;/D&gt;&lt;/FQL&gt;&lt;FQL&gt;&lt;Q&gt;LUV-US^FF_DEBT_LT(ANN_R,12/2012,,,,,B,"FILING_DATE=1")&lt;/Q&gt;&lt;R&gt;1&lt;/R&gt;&lt;C&gt;1&lt;/C&gt;&lt;D xsi:type="xsd:double"&gt;3.418&lt;/D&gt;&lt;/FQL&gt;&lt;FQL&gt;&lt;Q&gt;LUV-US^FF_DEBT_LT(ANN_R,12/2011,,,,,B,"FILING_DATE=1")&lt;/Q&gt;&lt;R&gt;1&lt;/R&gt;&lt;C&gt;1&lt;/C&gt;&lt;D xsi:type="xsd:double"&gt;2.875&lt;/D&gt;&lt;/FQL&gt;&lt;FQL&gt;&lt;Q&gt;LUV-US^FF_PROV_RISK(ANN_R,12/2020,,,,,B)&lt;/Q&gt;&lt;R&gt;1&lt;/R&gt;&lt;C&gt;1&lt;/C&gt;&lt;D xsi:type="xsd:double"&gt;0.428&lt;/D&gt;&lt;/FQL&gt;&lt;FQL&gt;&lt;Q&gt;LUV-US^FF_PROV_RISK(ANN_R,12/2019,,,,,B)&lt;/Q&gt;&lt;R&gt;1&lt;/R&gt;&lt;C&gt;1&lt;/C&gt;&lt;D xsi:type="xsd:double"&gt;0.288&lt;/D&gt;&lt;/FQL&gt;&lt;FQL&gt;&lt;Q&gt;LUV-US^FF_PROV_RISK(ANN_R,12/2018,,,,,B)&lt;/Q&gt;&lt;R&gt;1&lt;/R&gt;&lt;C&gt;1&lt;/C&gt;&lt;D xsi:type="xsd:double"&gt;0.232&lt;/D&gt;&lt;/FQL&gt;&lt;FQL&gt;&lt;Q&gt;LUV-US^FF_PROV_RISK(ANN_R,12/2017,,,,,B)&lt;/Q&gt;&lt;R&gt;1&lt;/R&gt;&lt;C&gt;1&lt;/C&gt;&lt;D xsi:type="xsd:double"&gt;0.275&lt;/D&gt;&lt;/FQL&gt;&lt;FQL&gt;&lt;Q&gt;LUV-US^FF_PROV_RISK(ANN_R,12/2016,,,,,B)&lt;/Q&gt;&lt;R&gt;1&lt;/R&gt;&lt;C&gt;1&lt;/C&gt;&lt;D xsi:type="xsd:double"&gt;0.256&lt;/D&gt;&lt;/FQL&gt;&lt;FQL&gt;&lt;Q&gt;LUV-US^FF_PROV_RISK(ANN_R,12/2015,,,,,B)&lt;/Q&gt;&lt;R&gt;1&lt;/R&gt;&lt;C&gt;1&lt;/C&gt;&lt;D xsi:type="xsd:double"&gt;0.201&lt;/D&gt;&lt;/FQL&gt;&lt;FQL&gt;&lt;Q&gt;LUV-US^FF_PROV_RISK(ANN_R,12/2014,,,,,B)&lt;/Q&gt;&lt;R&gt;1&lt;/R&gt;&lt;C&gt;1&lt;/C&gt;&lt;D xsi:type="xsd:double"&gt;0.169&lt;/D&gt;&lt;/FQL&gt;&lt;FQL&gt;&lt;Q&gt;LUV-US^FF_PROV_RISK(ANN_R,12/2013,,,,,B)&lt;/Q&gt;&lt;R&gt;1&lt;/R&gt;&lt;C&gt;1&lt;/C&gt;&lt;D xsi:type="xsd:double"&gt;0.138&lt;/D&gt;&lt;/FQL&gt;&lt;FQL&gt;&lt;Q&gt;LUV-US^FF_PROV_RISK(ANN_R,12/2012,,,,,B)&lt;/Q&gt;&lt;R&gt;1&lt;/R&gt;&lt;C&gt;1&lt;/C&gt;&lt;D xsi:type="xsd:double"&gt;0.148&lt;/D&gt;&lt;/FQL&gt;&lt;FQL&gt;&lt;Q&gt;LUV-US^FF_PROV_RISK(ANN_R,12/2011,,,,,B)&lt;/Q&gt;&lt;R&gt;1&lt;/R&gt;&lt;C&gt;1&lt;/C&gt;&lt;D xsi:type="xsd:double"&gt;0.107&lt;/D&gt;&lt;/FQL&gt;&lt;FQL&gt;&lt;Q&gt;LUV-US^FF_DFD_TAX_CR(ANN_R,12/2020,,,,,B,"FILING_DATE=1")&lt;/Q&gt;&lt;R&gt;1&lt;/R&gt;&lt;C&gt;1&lt;/C&gt;&lt;D xsi:type="xsd:double"&gt;3.482&lt;/D&gt;&lt;/FQL&gt;&lt;FQL&gt;&lt;Q&gt;LUV-US^FF_DFD_TAX_CR(ANN_R,12/2019,,,,,B,"FILING_DATE=1")&lt;/Q&gt;&lt;R&gt;1&lt;/R&gt;&lt;C&gt;1&lt;/C&gt;&lt;D xsi:type="xsd:double"&gt;3.487&lt;/D&gt;&lt;/FQL&gt;&lt;FQL&gt;&lt;Q&gt;LUV-US^FF_DFD_TAX_CR(ANN_R,12/2018,,,,,B,"FILING_DATE=1")&lt;/Q&gt;&lt;R&gt;1&lt;/R&gt;&lt;C&gt;1&lt;/C&gt;&lt;D xsi:type="xsd:double"&gt;3.206&lt;/D&gt;&lt;/FQL&gt;&lt;FQL&gt;&lt;Q&gt;LUV-US^FF_DFD_TAX_CR(ANN_R,12/2017,,,,,B,"FILING_DATE=1")&lt;/Q&gt;&lt;R&gt;1&lt;/R&gt;&lt;C&gt;1&lt;/C&gt;&lt;D xsi:type="xsd:double"&gt;4.86&lt;/D&gt;&lt;/FQL&gt;&lt;FQL&gt;&lt;Q&gt;LUV-US^FF_DFD_TAX_CR(ANN_R,12/2016,,,,,B,"FILING_DATE=1")&lt;/Q&gt;&lt;R&gt;1&lt;/R&gt;&lt;C&gt;1&lt;/C&gt;&lt;D xsi:type="xsd:double"&gt;4.491&lt;/D&gt;&lt;/FQL&gt;&lt;FQL&gt;&lt;Q&gt;LUV-US^FF_DFD_TAX_CR(ANN_R,12/2015,,,,,B,"FILING_DATE=1")&lt;/Q&gt;&lt;R&gt;1&lt;/R&gt;&lt;C&gt;1&lt;/C&gt;&lt;D xsi:type="xsd:double"&gt;3.259&lt;/D&gt;&lt;/FQL&gt;&lt;FQL&gt;&lt;Q&gt;LUV-US^FF_DFD_TAX_CR(ANN_R,12/2014,,,,,B,"FILING_DATE=1")&lt;/Q&gt;&lt;R&gt;1&lt;/R&gt;&lt;C&gt;1&lt;/C&gt;&lt;D xsi:type="xsd:double"&gt;2.934&lt;/D&gt;&lt;/FQL&gt;&lt;FQL&gt;&lt;Q&gt;LUV-US^FF_DFD_TAX_CR(ANN_R,12/2013,,,,,B,"FILING_DATE=1")&lt;/Q&gt;&lt;R&gt;1&lt;/R&gt;&lt;C&gt;1&lt;/C&gt;&lt;D xsi:type="xsd:double"&gt;2.884&lt;/D&gt;&lt;/FQL&gt;&lt;FQL&gt;&lt;Q&gt;LUV-US^FF_DFD_TAX_CR(ANN_R,12/2012,,,,,B,"FILING_DATE=1")&lt;/Q&gt;&lt;R&gt;1&lt;/R&gt;&lt;C&gt;1&lt;/C&gt;&lt;D xsi:type="xsd:double"&gt;2.566&lt;/D&gt;&lt;/FQL&gt;&lt;FQL&gt;&lt;Q&gt;LUV-US^FF_DFD_TAX_CR(ANN_R,12/2011,,,,,B,"FILING_DATE=1")&lt;/Q&gt;&lt;R&gt;1&lt;/R&gt;&lt;C&gt;1&lt;/C&gt;&lt;D xsi:type="xsd:double"&gt;2.493&lt;/D&gt;&lt;/FQL&gt;&lt;FQL&gt;&lt;Q&gt;LUV-US^FF_LIABS_OTH(ANN_R,12/2020,,,,,B,"FILING_DATE=1")&lt;/Q&gt;&lt;R&gt;1&lt;/R&gt;&lt;C&gt;1&lt;/C&gt;&lt;D xsi:type="xsd:double"&gt;1.635&lt;/D&gt;&lt;/FQL&gt;&lt;FQL&gt;&lt;Q&gt;LUV-US^FF_LIABS_OTH(ANN_R,12/2019,,,,,B,"FILING_DATE=1")&lt;/Q&gt;&lt;R&gt;1&lt;/R&gt;&lt;C&gt;1&lt;/C&gt;&lt;D xsi:type="xsd:double"&gt;3.007&lt;/D&gt;&lt;/FQL&gt;&lt;FQL&gt;&lt;Q&gt;LUV-US^FF_LIABS_OTH(ANN_R,12/2018,,,,,B,"FILING_DATE=1")&lt;/Q&gt;&lt;R&gt;1&lt;/R&gt;&lt;C&gt;1&lt;/C&gt;&lt;D xsi:type="xsd:double"&gt;2.807&lt;/D&gt;&lt;/FQL&gt;&lt;FQL&gt;&lt;Q&gt;LUV-US^FF_LIABS_OTH(ANN_R,12/2017,,,,,B,"FILING_DATE=1")&lt;/Q&gt;&lt;R&gt;1&lt;/R&gt;&lt;C&gt;1&lt;/C&gt;&lt;D xsi:type="xsd:double"&gt;1.425&lt;/D&gt;&lt;/FQL&gt;&lt;FQL&gt;&lt;Q&gt;LUV-US^FF_LIABS_OTH(ANN_R,12/2016,,,,,B,"FILING_DATE=1")&lt;/Q&gt;&lt;R&gt;1&lt;/R&gt;&lt;C&gt;1&lt;/C&gt;&lt;D xsi:type="xsd:double"&gt;1.151&lt;/D&gt;&lt;/FQL&gt;&lt;FQL&gt;&lt;Q&gt;LUV-US^FF_LIABS_OTH(ANN_R,12/2015,,,,,B,"FILING_DATE=1")&lt;/Q&gt;&lt;R&gt;1&lt;/R&gt;&lt;C&gt;1&lt;/C&gt;&lt;D xsi:type="xsd:double"&gt;1.447&lt;/D&gt;&lt;/FQL&gt;&lt;FQL&gt;&lt;Q&gt;LUV-US^FF_LIABS_OTH(ANN_R,12/2014,,,,,B,"FILING_DATE=1")&lt;/Q&gt;&lt;R&gt;1&lt;/R&gt;&lt;C&gt;1&lt;/C&gt;&lt;D xsi:type="xsd:double"&gt;0.78&lt;/D&gt;&lt;/FQL&gt;&lt;FQL&gt;&lt;Q&gt;LUV-US^FF_LIABS_OTH(ANN_R,12/2013,,,,,B,"FILING_DATE=1")&lt;/Q&gt;&lt;R&gt;1&lt;/R&gt;&lt;C&gt;1&lt;/C&gt;&lt;D xsi:type="xsd:double"&gt;0.663&lt;/D&gt;&lt;/FQL&gt;&lt;FQL&gt;&lt;Q&gt;LUV-US^FF_LIABS_OTH(ANN_R,12/2012,,,,,B,"FILING_DATE=1")&lt;/Q&gt;&lt;R&gt;1&lt;/R&gt;&lt;C&gt;1&lt;/C&gt;&lt;D xsi:type="xsd:double"&gt;0.567&lt;/D&gt;&lt;/FQL&gt;&lt;FQL&gt;&lt;Q&gt;LUV-US^FF_LIABS_OTH(ANN_R,12/2011,,,,,B,"FILING_DATE=1")&lt;/Q&gt;&lt;R&gt;1&lt;/R&gt;&lt;C&gt;1&lt;/C&gt;&lt;D xsi:type="xsd:double"&gt;0.462&lt;/D&gt;&lt;/FQL&gt;&lt;FQL&gt;&lt;Q&gt;LUV-US^FF_LIABS(ANN_R,12/2020,,,,,B)&lt;/Q&gt;&lt;R&gt;1&lt;/R&gt;&lt;C&gt;1&lt;/C&gt;&lt;D xsi:type="xsd:double"&gt;27.697&lt;/D&gt;&lt;/FQL&gt;&lt;FQL&gt;&lt;Q&gt;LUV-US^FF_LIABS(ANN_R,12/2019,,,,,B)&lt;/Q&gt;&lt;R&gt;1&lt;/R&gt;&lt;C&gt;1&lt;/C&gt;&lt;D xsi:type="xsd:double"&gt;17.181&lt;/D&gt;&lt;/FQL&gt;&lt;FQL&gt;&lt;Q&gt;LUV-US^FF_LIABS(ANN_R,12/2018,,,,,B)&lt;/Q&gt;&lt;R&gt;1&lt;/R&gt;&lt;C&gt;1&lt;/C&gt;&lt;D xsi:type="xsd:double"&gt;17.45&lt;/D&gt;&lt;/FQL&gt;&lt;FQL&gt;&lt;Q&gt;LUV-US^FF_LIABS(ANN_R,12/2017,,,,,B)&lt;/Q&gt;&lt;R&gt;1&lt;/R&gt;&lt;C&gt;1&lt;/C&gt;&lt;D xsi:type="xsd:double"&gt;16.556&lt;/D&gt;&lt;/FQL&gt;&lt;FQL&gt;&lt;Q&gt;LUV-US^FF_LIABS(ANN_R,12/2016,,,,,B)&lt;/Q&gt;&lt;R&gt;1&lt;/R&gt;&lt;C&gt;1&lt;/C&gt;&lt;D xsi:type="xsd:double"&gt;16.331&lt;/D&gt;&lt;/FQL&gt;&lt;FQL&gt;&lt;Q&gt;LUV-US^FF_LIABS(ANN_R,12/2015,,,,,B)&lt;/Q&gt;&lt;R&gt;1&lt;/R&gt;&lt;C&gt;1&lt;/C&gt;&lt;D xsi:type="xsd:double"&gt;15.955&lt;/D&gt;&lt;/FQL&gt;&lt;FQL&gt;&lt;Q&gt;LUV-US^FF_LIABS(ANN_R,12/2014,,,,,B)&lt;/Q&gt;&lt;R&gt;1&lt;/R&gt;&lt;C&gt;1&lt;/C&gt;&lt;D xsi:type="xsd:double"&gt;13.425&lt;/D&gt;&lt;/FQL&gt;&lt;FQL&gt;&lt;Q&gt;LUV-US^FF_LIABS(ANN_R,12/2013,,,,,B)&lt;/Q&gt;&lt;R&gt;1&lt;/R&gt;&lt;C&gt;1&lt;/C&gt;&lt;D xsi:type="xsd:double"&gt;12.009&lt;/D&gt;&lt;/FQL&gt;&lt;FQL&gt;&lt;Q&gt;LUV-US^FF_LIABS(ANN_R,12/2012,,,,,B)&lt;/Q&gt;&lt;R&gt;1&lt;/R&gt;&lt;C&gt;1&lt;/C&gt;&lt;D xsi:type="xsd:double"&gt;11.604&lt;/D&gt;&lt;/FQL&gt;&lt;FQL&gt;&lt;Q&gt;LUV-US^FF_LIABS(ANN_R,12/2011,,,,,B)&lt;/Q&gt;&lt;R&gt;1&lt;/R&gt;&lt;C&gt;1&lt;/C&gt;&lt;D xsi:type="xsd:double"&gt;11.191&lt;/D&gt;&lt;/FQL&gt;&lt;FQL&gt;&lt;Q&gt;AC-CA^FF_LEASES(ANN_R,SEP '20,,,,,,"D=1")&lt;/Q&gt;&lt;R&gt;1&lt;/R&gt;&lt;C&gt;1&lt;/C&gt;&lt;D xsi:type="xsd:string"&gt;#NUM&lt;/D&gt;&lt;/FQL&gt;&lt;FQL&gt;&lt;Q&gt;AC-CA^FF_LEASES(ANN_R,0,,,,,,"D=1")&lt;/Q&gt;&lt;R&gt;0&lt;/R&gt;&lt;C&gt;0&lt;/C&gt;&lt;/FQL&gt;&lt;FQL&gt;&lt;Q&gt;AC-CA^FB_LOAN_PLEDGE(ANN,0,,,RF)&lt;/Q&gt;&lt;R&gt;0&lt;/R&gt;&lt;C&gt;0&lt;/C&gt;&lt;/FQL&gt;&lt;FQL&gt;&lt;Q&gt;AC-CA^FB_INT_INC_LEASE(ANN,0,,,RF)&lt;/Q&gt;&lt;R&gt;0&lt;/R&gt;&lt;C&gt;0&lt;/C&gt;&lt;/FQL&gt;&lt;FQL&gt;&lt;Q&gt;SKYW-US^FF_OPER_LEASE_COMMIT_YR1(ANN_R,-3)&lt;/Q&gt;&lt;R&gt;0&lt;/R&gt;&lt;C&gt;0&lt;/C&gt;&lt;/FQL&gt;&lt;FQL&gt;&lt;Q&gt;DAL-US^FF_EBIT_OPER(ANN_R,SEP '20)&lt;/Q&gt;&lt;R&gt;1&lt;/R&gt;&lt;C&gt;1&lt;/C&gt;&lt;D xsi:type="xsd:string"&gt;#NUM&lt;/D&gt;&lt;/FQL&gt;&lt;FQL&gt;&lt;Q&gt;AC-CA^FF_SHLDRS_EQ(ANN_R,12/2017,,,,,B)&lt;/Q&gt;&lt;R&gt;1&lt;/R&gt;&lt;C&gt;1&lt;/C&gt;&lt;D xsi:type="xsd:double"&gt;3.422&lt;/D&gt;&lt;/FQL&gt;&lt;FQL&gt;&lt;Q&gt;AC-CA^FF_SHLDRS_EQ(ANN_R,12/2020,,,,,B)&lt;/Q&gt;&lt;R&gt;1&lt;/R&gt;&lt;C&gt;1&lt;/C&gt;&lt;D xsi:type="xsd:double"&gt;1.715&lt;/D&gt;&lt;/FQL&gt;&lt;FQL&gt;&lt;Q&gt;AAL-US^FF_SHLDRS_EQ(ANN_R,12/2020,,,,,B)&lt;/Q&gt;&lt;R&gt;1&lt;/R&gt;&lt;C&gt;1&lt;/C&gt;&lt;D xsi:type="xsd:double"&gt;-6.867&lt;/D&gt;&lt;/FQL&gt;&lt;FQL&gt;&lt;Q&gt;ALK-US^FF_EBIT_OPER(ANN_R,12/2020)&lt;/Q&gt;&lt;R&gt;1&lt;/R&gt;&lt;C&gt;1&lt;/C&gt;&lt;D xsi:type="xsd:double"&gt;-1691&lt;/D&gt;&lt;/FQL&gt;&lt;FQL&gt;&lt;Q&gt;DAL-US^FF_OPER_MGN(ANN_R,12/2020)&lt;/Q&gt;&lt;R&gt;1&lt;/R&gt;&lt;C&gt;1&lt;/C&gt;&lt;D xsi:type="xsd:double"&gt;-48.4410646387833&lt;/D&gt;&lt;/FQL&gt;&lt;FQL&gt;&lt;Q&gt;AAL-US^FREF_MARKET_VALUE_COMPANY(12/2012,,,,,0,,"LEGACY")&lt;/Q&gt;&lt;R&gt;0&lt;/R&gt;&lt;C&gt;0&lt;/C&gt;&lt;/FQL&gt;&lt;FQL&gt;&lt;Q&gt;DAL-US^FF_FISCAL_DATE(ANN_R,C5,,,,"DATEM")&lt;/Q&gt;&lt;R&gt;0&lt;/R&gt;&lt;C&gt;0&lt;/C&gt;&lt;/FQL&gt;&lt;FQL&gt;&lt;Q&gt;AAL-US^FF_SHLDRS_EQ(ANN_R,12/2017,,,,,B)&lt;/Q&gt;&lt;R&gt;1&lt;/R&gt;&lt;C&gt;1&lt;/C&gt;&lt;D xsi:type="xsd:double"&gt;-0.78&lt;/D&gt;&lt;/FQL&gt;&lt;FQL&gt;&lt;Q&gt;AC-CA^FF_SHLDRS_EQ(ANN_R,12/2014,,,,,B)&lt;/Q&gt;&lt;R&gt;1&lt;/R&gt;&lt;C&gt;1&lt;/C&gt;&lt;D xsi:type="xsd:double"&gt;-1.201&lt;/D&gt;&lt;/FQL&gt;&lt;FQL&gt;&lt;Q&gt;AAL-US^FF_SHLDRS_EQ(ANN_R,12/2014,,,,,B)&lt;/Q&gt;&lt;R&gt;1&lt;/R&gt;&lt;C&gt;1&lt;/C&gt;&lt;D xsi:type="xsd:double"&gt;2.021&lt;/D&gt;&lt;/FQL&gt;&lt;FQL&gt;&lt;Q&gt;AAL-US^FF_SHLDRS_EQ(ANN_R,12/2020)&lt;/Q&gt;&lt;R&gt;1&lt;/R&gt;&lt;C&gt;1&lt;/C&gt;&lt;D xsi:type="xsd:double"&gt;-6867&lt;/D&gt;&lt;/FQL&gt;&lt;FQL&gt;&lt;Q&gt;AAL-US^FF_EBIT_OPER(ANN_R,12/2019)&lt;/Q&gt;&lt;R&gt;1&lt;/R&gt;&lt;C&gt;1&lt;/C&gt;&lt;D xsi:type="xsd:double"&gt;3706&lt;/D&gt;&lt;/FQL&gt;&lt;FQL&gt;&lt;Q&gt;DAL-US^FF_SHLDRS_EQ(ANN_R,12/2014,,,,,B)&lt;/Q&gt;&lt;R&gt;1&lt;/R&gt;&lt;C&gt;1&lt;/C&gt;&lt;D xsi:type="xsd:double"&gt;8.813&lt;/D&gt;&lt;/FQL&gt;&lt;FQL&gt;&lt;Q&gt;DAL-US^FF_SHLDRS_EQ(ANN_R,12/2017,,,,,B)&lt;/Q&gt;&lt;R&gt;1&lt;/R&gt;&lt;C&gt;1&lt;/C&gt;&lt;D xsi:type="xsd:double"&gt;12.53&lt;/D&gt;&lt;/FQL&gt;&lt;FQL&gt;&lt;Q&gt;AC-CA^FF_EBIT_OPER(ANN_R,12/2020)&lt;/Q&gt;&lt;R&gt;1&lt;/R&gt;&lt;C&gt;1&lt;/C&gt;&lt;D xsi:type="xsd:double"&gt;-3892&lt;/D&gt;&lt;/FQL&gt;&lt;FQL&gt;&lt;Q&gt;AAL-US^FF_EBIT_OPER(ANN_R,12/2020)&lt;/Q&gt;&lt;R&gt;1&lt;/R&gt;&lt;C&gt;1&lt;/C&gt;&lt;D xsi:type="xsd:double"&gt;-11387&lt;/D&gt;&lt;/FQL&gt;&lt;FQL&gt;&lt;Q&gt;SKYW-US^FF_SHLDRS_EQ(ANN_R,12/2019,,,,,B)&lt;/Q&gt;&lt;R&gt;1&lt;/R&gt;&lt;C&gt;1&lt;/C&gt;&lt;D xsi:type="xsd:double"&gt;2.175014&lt;/D&gt;&lt;/FQL&gt;&lt;FQL&gt;&lt;Q&gt;AC-CA^FREF_MARKET_VALUE_COMPANY(12/2012,,,,,0,,"LEGACY")&lt;/Q&gt;&lt;R&gt;1&lt;/R&gt;&lt;C&gt;1&lt;/C&gt;&lt;D xsi:type="xsd:double"&gt;484.303253927173&lt;/D&gt;&lt;/FQL&gt;&lt;FQL&gt;&lt;Q&gt;SKYW-US^FF_SHLDRS_EQ(ANN_R,12/2013,,,,,B)&lt;/Q&gt;&lt;R&gt;1&lt;/R&gt;&lt;C&gt;1&lt;/C&gt;&lt;D xsi:type="xsd:double"&gt;1.434939&lt;/D&gt;&lt;/FQL&gt;&lt;FQL&gt;&lt;Q&gt;SKYW-US^FF_SHLDRS_EQ(ANN_R,12/2016,,,,,B)&lt;/Q&gt;&lt;R&gt;1&lt;/R&gt;&lt;C&gt;1&lt;/C&gt;&lt;D xsi:type="xsd:double"&gt;1.350943&lt;/D&gt;&lt;/FQL&gt;&lt;FQL&gt;&lt;Q&gt;DAL-US^FF_SHLDRS_EQ(ANN_R,12/2012)&lt;/Q&gt;&lt;R&gt;1&lt;/R&gt;&lt;C&gt;1&lt;/C&gt;&lt;D xsi:type="xsd:double"&gt;-2131&lt;/D&gt;&lt;/FQL&gt;&lt;FQL&gt;&lt;Q&gt;AC-CA^FF_SHLDRS_EQ(ANN_R,12/2012)&lt;/Q&gt;&lt;R&gt;1&lt;/R&gt;&lt;C&gt;1&lt;/C&gt;&lt;D xsi:type="xsd:double"&gt;-3406&lt;/D&gt;&lt;/FQL&gt;&lt;FQL&gt;&lt;Q&gt;AC-CA^FF_SHLDRS_EQ(ANN_R,12/2020)&lt;/Q&gt;&lt;R&gt;1&lt;/R&gt;&lt;C&gt;1&lt;/C&gt;&lt;D xsi:type="xsd:double"&gt;1715&lt;/D&gt;&lt;/FQL&gt;&lt;FQL&gt;&lt;Q&gt;AC-CA^FF_EBIT_OPER(ANN_R,12/2019)&lt;/Q&gt;&lt;R&gt;1&lt;/R&gt;&lt;C&gt;1&lt;/C&gt;&lt;D xsi:type="xsd:double"&gt;2351&lt;/D&gt;&lt;/FQL&gt;&lt;FQL&gt;&lt;Q&gt;DAL-US^FREF_MARKET_VALUE_COMPANY(12/2012,,,,,0,,"LEGACY")&lt;/Q&gt;&lt;R&gt;1&lt;/R&gt;&lt;C&gt;1&lt;/C&gt;&lt;D xsi:type="xsd:double"&gt;10094.8415475712&lt;/D&gt;&lt;/FQL&gt;&lt;FQL&gt;&lt;Q&gt;DAL-US^FF_EBIT_OPER(ANN_R,12/2019)&lt;/Q&gt;&lt;R&gt;1&lt;/R&gt;&lt;C&gt;1&lt;/C&gt;&lt;D xsi:type="xsd:double"&gt;6658&lt;/D&gt;&lt;/FQL&gt;&lt;FQL&gt;&lt;Q&gt;ALK-US^FF_SHLDRS_EQ(ANN_R,12/2020,,,,,B)&lt;/Q&gt;&lt;R&gt;1&lt;/R&gt;&lt;C&gt;1&lt;/C&gt;&lt;D xsi:type="xsd:double"&gt;2.988&lt;/D&gt;&lt;/FQL&gt;&lt;FQL&gt;&lt;Q&gt;LUV-US^FF_SHLDRS_EQ(ANN_R,12/2020,,,,,B)&lt;/Q&gt;&lt;R&gt;1&lt;/R&gt;&lt;C&gt;1&lt;/C&gt;&lt;D xsi:type="xsd:double"&gt;8.876&lt;/D&gt;&lt;/FQL&gt;&lt;FQL&gt;&lt;Q&gt;ALK-US^FF_SHLDRS_EQ(ANN_R,12/2017,,,,,B)&lt;/Q&gt;&lt;R&gt;1&lt;/R&gt;&lt;C&gt;1&lt;/C&gt;&lt;D xsi:type="xsd:double"&gt;3.46&lt;/D&gt;&lt;/FQL&gt;&lt;FQL&gt;&lt;Q&gt;LUV-US^FF_SHLDRS_EQ(ANN_R,12/2017,,,,,B)&lt;/Q&gt;&lt;R&gt;1&lt;/R&gt;&lt;C&gt;1&lt;/C&gt;&lt;D xsi:type="xsd:double"&gt;9.641&lt;/D&gt;&lt;/FQL&gt;&lt;FQL&gt;&lt;Q&gt;ALK-US^FF_SHLDRS_EQ(ANN_R,12/2014,,,,,B)&lt;/Q&gt;&lt;R&gt;1&lt;/R&gt;&lt;C&gt;1&lt;/C&gt;&lt;D xsi:type="xsd:double"&gt;2.127&lt;/D&gt;&lt;/FQL&gt;&lt;FQL&gt;&lt;Q&gt;LUV-US^FF_SHLDRS_EQ(ANN_R,12/2014,,,,,B)&lt;/Q&gt;&lt;R&gt;1&lt;/R&gt;&lt;C&gt;1&lt;/C&gt;&lt;D xsi:type="xsd:double"&gt;6.775&lt;/D&gt;&lt;/FQL&gt;&lt;FQL&gt;&lt;Q&gt;AAL-US^FF_SHLDRS_EQ(ANN_R,12/2019)&lt;/Q&gt;&lt;R&gt;1&lt;/R&gt;&lt;C&gt;1&lt;/C&gt;&lt;D xsi:type="xsd:double"&gt;-118&lt;/D&gt;&lt;/FQL&gt;&lt;FQL&gt;&lt;Q&gt;AAL-US^FF_EBIT_OPER(ANN_R,12/2018)&lt;/Q&gt;&lt;R&gt;1&lt;/R&gt;&lt;C&gt;1&lt;/C&gt;&lt;D xsi:type="xsd:double"&gt;3449&lt;/D&gt;&lt;/FQL&gt;&lt;FQL&gt;&lt;Q&gt;AC-CA^FF_SHLDRS_EQ(ANN_R,12/2019)&lt;/Q&gt;&lt;R&gt;1&lt;/R&gt;&lt;C&gt;1&lt;/C&gt;&lt;D xsi:type="xsd:double"&gt;4400&lt;/D&gt;&lt;/FQL&gt;&lt;FQL&gt;&lt;Q&gt;AC-CA^FF_EBIT_OPER(ANN_R,12/2018)&lt;/Q&gt;&lt;R&gt;1&lt;/R&gt;&lt;C&gt;1&lt;/C&gt;&lt;D xsi:type="xsd:double"&gt;2072&lt;/D&gt;&lt;/FQL&gt;&lt;FQL&gt;&lt;Q&gt;DAL-US^FF_SHLDRS_EQ(ANN_R,12/2019)&lt;/Q&gt;&lt;R&gt;1&lt;/R&gt;&lt;C&gt;1&lt;/C&gt;&lt;D xsi:type="xsd:double"&gt;15358&lt;/D&gt;&lt;/FQL&gt;&lt;FQL&gt;&lt;Q&gt;DAL-US^FF_EBIT_OPER(ANN_R,12/2018)&lt;/Q&gt;&lt;R&gt;1&lt;/R&gt;&lt;C&gt;1&lt;/C&gt;&lt;D xsi:type="xsd:double"&gt;5267&lt;/D&gt;&lt;/FQL&gt;&lt;FQL&gt;&lt;Q&gt;SKYW-US^FF_SHLDRS_EQ(ANN_R,12/2020,,,,,B)&lt;/Q&gt;&lt;R&gt;1&lt;/R&gt;&lt;C&gt;1&lt;/C&gt;&lt;D xsi:type="xsd:double"&gt;2.139545&lt;/D&gt;&lt;/FQL&gt;&lt;FQL&gt;&lt;Q&gt;AAL-US^FF_EBIT_OPER(ANN_R,12/2017)&lt;/Q&gt;&lt;R&gt;1&lt;/R&gt;&lt;C&gt;1&lt;/C&gt;&lt;D xsi:type="xsd:double"&gt;4965&lt;/D&gt;&lt;/FQL&gt;&lt;FQL&gt;&lt;Q&gt;SKYW-US^FF_SHLDRS_EQ(ANN_R,12/2017,,,,,B)&lt;/Q&gt;&lt;R&gt;1&lt;/R&gt;&lt;C&gt;1&lt;/C&gt;&lt;D xsi:type="xsd:double"&gt;1.754322&lt;/D&gt;&lt;/FQL&gt;&lt;FQL&gt;&lt;Q&gt;DAL-US^FF_SHLDRS_EQ(ANN_R,12/2018,,,,,B)&lt;/Q&gt;&lt;R&gt;1&lt;/R&gt;&lt;C&gt;1&lt;/C&gt;&lt;D xsi:type="xsd:double"&gt;13.687&lt;/D&gt;&lt;/FQL&gt;&lt;FQL&gt;&lt;Q&gt;SKYW-US^FF_SHLDRS_EQ(ANN_R,12/2014,,,,,B)&lt;/Q&gt;&lt;R&gt;1&lt;/R&gt;&lt;C&gt;1&lt;/C&gt;&lt;D xsi:type="xsd:double"&gt;1.400346&lt;/D&gt;&lt;/FQL&gt;&lt;FQL&gt;&lt;Q&gt;DAL-US^FF_SHLDRS_EQ(ANN_R,12/2015,,,,,B)&lt;/Q&gt;&lt;R&gt;1&lt;/R&gt;&lt;C&gt;1&lt;/C&gt;&lt;D xsi:type="xsd:double"&gt;10.85&lt;/D&gt;&lt;/FQL&gt;&lt;FQL&gt;&lt;Q&gt;AAL-US^FF_SHLDRS_EQ(ANN_R,12/2018)&lt;/Q&gt;&lt;R&gt;1&lt;/R&gt;&lt;C&gt;1&lt;/C&gt;&lt;D xsi:type="xsd:double"&gt;-169&lt;/D&gt;&lt;/FQL&gt;&lt;FQL&gt;&lt;Q&gt;DAL-US^FF_SHLDRS_EQ(ANN_R,12/2012,,,,,B)&lt;/Q&gt;&lt;R&gt;1&lt;/R&gt;&lt;C&gt;1&lt;/C&gt;&lt;D xsi:type="xsd:double"&gt;-2.131&lt;/D&gt;&lt;/FQL&gt;&lt;FQL&gt;&lt;Q&gt;AC-CA^FF_SHLDRS_EQ(ANN_R,12/2018)&lt;/Q&gt;&lt;R&gt;1&lt;/R&gt;&lt;C&gt;1&lt;/C&gt;&lt;D xsi:type="xsd:double"&gt;3277&lt;/D&gt;&lt;/FQL&gt;&lt;FQL&gt;&lt;Q&gt;AC-CA^FF_EBIT_OPER(ANN_R,12/2017)&lt;/Q&gt;&lt;R&gt;1&lt;/R&gt;&lt;C&gt;1&lt;/C&gt;&lt;D xsi:type="xsd:double"&gt;1968&lt;/D&gt;&lt;/FQL&gt;&lt;FQL&gt;&lt;Q&gt;DAL-US^FF_SHLDRS_EQ(ANN_R,12/2018)&lt;/Q&gt;&lt;R&gt;1&lt;/R&gt;&lt;C&gt;1&lt;/C&gt;&lt;D xsi:type="xsd:double"&gt;13687&lt;/D&gt;&lt;/FQL&gt;&lt;FQL&gt;&lt;Q&gt;DAL-US^FF_EBIT_OPER(ANN_R,12/2017)&lt;/Q&gt;&lt;R&gt;1&lt;/R&gt;&lt;C&gt;1&lt;/C&gt;&lt;D xsi:type="xsd:double"&gt;6037&lt;/D&gt;&lt;/FQL&gt;&lt;FQL&gt;&lt;Q&gt;AAL-US^FF_SHLDRS_EQ(ANN_R,12/2017)&lt;/Q&gt;&lt;R&gt;1&lt;/R&gt;&lt;C&gt;1&lt;/C&gt;&lt;D xsi:type="xsd:double"&gt;-780&lt;/D&gt;&lt;/FQL&gt;&lt;FQL&gt;&lt;Q&gt;AAL-US^FF_EBIT_OPER(ANN_R,12/2016)&lt;/Q&gt;&lt;R&gt;1&lt;/R&gt;&lt;C&gt;1&lt;/C&gt;&lt;D xsi:type="xsd:double"&gt;6007&lt;/D&gt;&lt;/FQL&gt;&lt;FQL&gt;&lt;Q&gt;AC-CA^FF_SHLDRS_EQ(ANN_R,12/2018,,,,,B)&lt;/Q&gt;&lt;R&gt;1&lt;/R&gt;&lt;C&gt;1&lt;/C&gt;&lt;D xsi:type="xsd:double"&gt;3.277&lt;/D&gt;&lt;/FQL&gt;&lt;FQL&gt;&lt;Q&gt;AAL-US^FF_SHLDRS_EQ(ANN_R,12/2018,,,,,B)&lt;/Q&gt;&lt;R&gt;1&lt;/R&gt;&lt;C&gt;1&lt;/C&gt;&lt;D xsi:type="xsd:double"&gt;-0.169&lt;/D&gt;&lt;/FQL&gt;&lt;FQL&gt;&lt;Q&gt;AC-CA^FF_SHLDRS_EQ(ANN_R,12/2015,,,,,B)&lt;/Q&gt;&lt;R&gt;1&lt;/R&gt;&lt;C&gt;1&lt;/C&gt;&lt;D xsi:type="xsd:double"&gt;0.013&lt;/D&gt;&lt;/FQL&gt;&lt;FQL&gt;&lt;Q&gt;AAL-US^FF_SHLDRS_EQ(ANN_R,12/2015,,,,,B)&lt;/Q&gt;&lt;R&gt;1&lt;/R&gt;&lt;C&gt;1&lt;/C&gt;&lt;D xsi:type="xsd:double"&gt;5.635&lt;/D&gt;&lt;/FQL&gt;&lt;FQL&gt;&lt;Q&gt;AC-CA^FF_SHLDRS_EQ(ANN_R,12/2012,,,,,B)&lt;/Q&gt;&lt;R&gt;1&lt;/R&gt;&lt;C&gt;1&lt;/C&gt;&lt;D xsi:type="xsd:double"&gt;-3.406&lt;/D&gt;&lt;/FQL&gt;&lt;FQL&gt;&lt;Q&gt;AAL-US^FF_SHLDRS_EQ(ANN_R,12/2012,,,,,B)&lt;/Q&gt;&lt;R&gt;1&lt;/R&gt;&lt;C&gt;1&lt;/C&gt;&lt;D xsi:type="xsd:double"&gt;-7.987&lt;/D&gt;&lt;/FQL&gt;&lt;FQL&gt;&lt;Q&gt;AC-CA^FF_SHLDRS_EQ(ANN_R,12/2017)&lt;/Q&gt;&lt;R&gt;1&lt;/R&gt;&lt;C&gt;1&lt;/C&gt;&lt;D xsi:type="xsd:double"&gt;3422&lt;/D&gt;&lt;/FQL&gt;&lt;FQL&gt;&lt;Q&gt;AC-CA^FF_EBIT_OPER(ANN_R,12/2016)&lt;/Q&gt;&lt;R&gt;1&lt;/R&gt;&lt;C&gt;1&lt;/C&gt;&lt;D xsi:type="xsd:double"&gt;1994&lt;/D&gt;&lt;/FQL&gt;&lt;FQL&gt;&lt;Q&gt;DAL-US^FF_SHLDRS_EQ(ANN_R,12/2017)&lt;/Q&gt;&lt;R&gt;1&lt;/R&gt;&lt;C&gt;1&lt;/C&gt;&lt;D xsi:type="xsd:double"&gt;12530&lt;/D&gt;&lt;/FQL&gt;&lt;FQL&gt;&lt;Q&gt;DAL-US^FF_EBIT_OPER(ANN_R,12/2016)&lt;/Q&gt;&lt;R&gt;1&lt;/R&gt;&lt;C&gt;1&lt;/C&gt;&lt;D xsi:type="xsd:double"&gt;7281&lt;/D&gt;&lt;/FQL&gt;&lt;FQL&gt;&lt;Q&gt;AAL-US^FF_SHLDRS_EQ(ANN_R,12/2016)&lt;/Q&gt;&lt;R&gt;1&lt;/R&gt;&lt;C&gt;1&lt;/C&gt;&lt;D xsi:type="xsd:double"&gt;3785&lt;/D&gt;&lt;/FQL&gt;&lt;FQL&gt;&lt;Q&gt;AAL-US^FF_EBIT_OPER(ANN_R,12/2015)&lt;/Q&gt;&lt;R&gt;1&lt;/R&gt;&lt;C&gt;1&lt;/C&gt;&lt;D xsi:type="xsd:double"&gt;7293&lt;/D&gt;&lt;/FQL&gt;&lt;FQL&gt;&lt;Q&gt;ALK-US^FF_SHLDRS_EQ(ANN_R,12/2018,,,,,B)&lt;/Q&gt;&lt;R&gt;1&lt;/R&gt;&lt;C&gt;1&lt;/C&gt;&lt;D xsi:type="xsd:double"&gt;3.751&lt;/D&gt;&lt;/FQL&gt;&lt;FQL&gt;&lt;Q&gt;LUV-US^FF_SHLDRS_EQ(ANN_R,12/2018,,,,,B)&lt;/Q&gt;&lt;R&gt;1&lt;/R&gt;&lt;C&gt;1&lt;/C&gt;&lt;D xsi:type="xsd:double"&gt;9.853&lt;/D&gt;&lt;/FQL&gt;&lt;FQL&gt;&lt;Q&gt;ALK-US^FF_SHLDRS_EQ(ANN_R,12/2015,,,,,B)&lt;/Q&gt;&lt;R&gt;1&lt;/R&gt;&lt;C&gt;1&lt;/C&gt;&lt;D xsi:type="xsd:double"&gt;2.411&lt;/D&gt;&lt;/FQL&gt;&lt;FQL&gt;&lt;Q&gt;LUV-US^FF_SHLDRS_EQ(ANN_R,12/2015,,,,,B)&lt;/Q&gt;&lt;R&gt;1&lt;/R&gt;&lt;C&gt;1&lt;/C&gt;&lt;D xsi:type="xsd:double"&gt;7.358&lt;/D&gt;&lt;/FQL&gt;&lt;FQL&gt;&lt;Q&gt;ALK-US^FF_SHLDRS_EQ(ANN_R,12/2012,,,,,B)&lt;/Q&gt;&lt;R&gt;1&lt;/R&gt;&lt;C&gt;1&lt;/C&gt;&lt;D xsi:type="xsd:double"&gt;1.421&lt;/D&gt;&lt;/FQL&gt;&lt;FQL&gt;&lt;Q&gt;LUV-US^FF_SHLDRS_EQ(ANN_R,12/2012,,,,,B)&lt;/Q&gt;&lt;R&gt;1&lt;/R&gt;&lt;C&gt;1&lt;/C&gt;&lt;D xsi:type="xsd:double"&gt;6.992&lt;/D&gt;&lt;/FQL&gt;&lt;FQL&gt;&lt;Q&gt;AC-CA^FF_SHLDRS_EQ(ANN_R,12/2016)&lt;/Q&gt;&lt;R&gt;1&lt;/R&gt;&lt;C&gt;1&lt;/C&gt;&lt;D xsi:type="xsd:double"&gt;1219&lt;/D&gt;&lt;/FQL&gt;&lt;FQL&gt;&lt;Q&gt;AC-CA^FF_EBIT_OPER(ANN_R,12/2015)&lt;/Q&gt;&lt;R&gt;1&lt;/R&gt;&lt;C&gt;1&lt;/C&gt;&lt;D xsi:type="xsd:double"&gt;1531&lt;/D&gt;&lt;/FQL&gt;&lt;FQL&gt;&lt;Q&gt;DAL-US^FF_SHLDRS_EQ(ANN_R,12/2016)&lt;/Q&gt;&lt;R&gt;1&lt;/R&gt;&lt;C&gt;1&lt;/C&gt;&lt;D xsi:type="xsd:double"&gt;12287&lt;/D&gt;&lt;/FQL&gt;&lt;FQL&gt;&lt;Q&gt;DAL-US^FF_EBIT_OPER(ANN_R,12/2015)&lt;/Q&gt;&lt;R&gt;1&lt;/R&gt;&lt;C&gt;1&lt;/C&gt;&lt;D xsi:type="xsd:double"&gt;8380&lt;/D&gt;&lt;/FQL&gt;&lt;FQL&gt;&lt;Q&gt;AAL-US^FF_SHLDRS_EQ(ANN_R,12/2015)&lt;/Q&gt;&lt;R&gt;1&lt;/R&gt;&lt;C&gt;1&lt;/C&gt;&lt;D xsi:type="xsd:double"&gt;5635&lt;/D&gt;&lt;/FQL&gt;&lt;FQL&gt;&lt;Q&gt;AAL-US^FF_EBIT_OPER(ANN_R,12/2014)&lt;/Q&gt;&lt;R&gt;1&lt;/R&gt;&lt;C&gt;1&lt;/C&gt;&lt;D xsi:type="xsd:double"&gt;5077&lt;/D&gt;&lt;/FQL&gt;&lt;FQL&gt;&lt;Q&gt;SKYW-US^FF_SHLDRS_EQ(ANN_R,12/2018,,,,,B)&lt;/Q&gt;&lt;R&gt;1&lt;/R&gt;&lt;C&gt;1&lt;/C&gt;&lt;D xsi:type="xsd:double"&gt;1.964281&lt;/D&gt;&lt;/FQL&gt;&lt;FQL&gt;&lt;Q&gt;DAL-US^FF_SHLDRS_EQ(ANN_R,12/2019,,,,,B)&lt;/Q&gt;&lt;R&gt;1&lt;/R&gt;&lt;C&gt;1&lt;/C&gt;&lt;D xsi:type="xsd:double"&gt;15.358&lt;/D&gt;&lt;/FQL&gt;&lt;FQL&gt;&lt;Q&gt;SKYW-US^FF_SHLDRS_EQ(ANN_R,12/2015,,,,,B)&lt;/Q&gt;&lt;R&gt;1&lt;/R&gt;&lt;C&gt;1&lt;/C&gt;&lt;D xsi:type="xsd:double"&gt;1.506435&lt;/D&gt;&lt;/FQL&gt;&lt;FQL&gt;&lt;Q&gt;DAL-US^FF_SHLDRS_EQ(ANN_R,12/2016,,,,,B)&lt;/Q&gt;&lt;R&gt;1&lt;/R&gt;&lt;C&gt;1&lt;/C&gt;&lt;D xsi:type="xsd:double"&gt;12.287&lt;/D&gt;&lt;/FQL&gt;&lt;FQL&gt;&lt;Q&gt;SKYW-US^FF_SHLDRS_EQ(ANN_R,12/2012,,,,,B)&lt;/Q&gt;&lt;R&gt;1&lt;/R&gt;&lt;C&gt;1&lt;/C&gt;&lt;D xsi:type="xsd:double"&gt;1.387175&lt;/D&gt;&lt;/FQL&gt;&lt;FQL&gt;&lt;Q&gt;DAL-US^FF_SHLDRS_EQ(ANN_R,12/2013,,,,,B)&lt;/Q&gt;&lt;R&gt;1&lt;/R&gt;&lt;C&gt;1&lt;/C&gt;&lt;D xsi:type="xsd:double"&gt;11.643&lt;/D&gt;&lt;/FQL&gt;&lt;FQL&gt;&lt;Q&gt;AC-CA^FF_SHLDRS_EQ(ANN_R,12/2015)&lt;/Q&gt;&lt;R&gt;1&lt;/R&gt;&lt;C&gt;1&lt;/C&gt;&lt;D xsi:type="xsd:double"&gt;13&lt;/D&gt;&lt;/FQL&gt;&lt;FQL&gt;&lt;Q&gt;AC-CA^FF_EBIT_OPER(ANN_R,12/2014)&lt;/Q&gt;&lt;R&gt;1&lt;/R&gt;&lt;C&gt;1&lt;/C&gt;&lt;D xsi:type="xsd:double"&gt;851&lt;/D&gt;&lt;/FQL&gt;&lt;FQL&gt;&lt;Q&gt;DAL-US^FF_SHLDRS_EQ(ANN_R,12/2015)&lt;/Q&gt;&lt;R&gt;1&lt;/R&gt;&lt;C&gt;1&lt;/C&gt;&lt;D xsi:type="xsd:double"&gt;10850&lt;/D&gt;&lt;/FQL&gt;&lt;FQL&gt;&lt;Q&gt;DAL-US^FF_EBIT_OPER(ANN_R,12/2014)&lt;/Q&gt;&lt;R&gt;1&lt;/R&gt;&lt;C&gt;1&lt;/C&gt;&lt;D xsi:type="xsd:double"&gt;4764&lt;/D&gt;&lt;/FQL&gt;&lt;FQL&gt;&lt;Q&gt;AAL-US^FF_SHLDRS_EQ(ANN_R,12/2014)&lt;/Q&gt;&lt;R&gt;1&lt;/R&gt;&lt;C&gt;1&lt;/C&gt;&lt;D xsi:type="xsd:double"&gt;2021&lt;/D&gt;&lt;/FQL&gt;&lt;FQL&gt;&lt;Q&gt;AAL-US^FF_EBIT_OPER(ANN_R,12/2013)&lt;/Q&gt;&lt;R&gt;1&lt;/R&gt;&lt;C&gt;1&lt;/C&gt;&lt;D xsi:type="xsd:double"&gt;1932&lt;/D&gt;&lt;/FQL&gt;&lt;FQL&gt;&lt;Q&gt;AC-CA^FF_SHLDRS_EQ(ANN_R,12/2019,,,,,B)&lt;/Q&gt;&lt;R&gt;1&lt;/R&gt;&lt;C&gt;1&lt;/C&gt;&lt;D xsi:type="xsd:double"&gt;4.4&lt;/D&gt;&lt;/FQL&gt;&lt;FQL&gt;&lt;Q&gt;AAL-US^FF_SHLDRS_EQ(ANN_R,12/2019,,,,,B)&lt;/Q&gt;&lt;R&gt;1&lt;/R&gt;&lt;C&gt;1&lt;/C&gt;&lt;D xsi:type="xsd:double"&gt;-0.118&lt;/D&gt;&lt;/FQL&gt;&lt;FQL&gt;&lt;Q&gt;AC-CA^FF_SHLDRS_EQ(ANN_R,12/2016,,,,,B)&lt;/Q&gt;&lt;R&gt;1&lt;/R&gt;&lt;C&gt;1&lt;/C&gt;&lt;D xsi:type="xsd:double"&gt;1.219&lt;/D&gt;&lt;/FQL&gt;&lt;FQL&gt;&lt;Q&gt;AAL-US^FF_SHLDRS_EQ(ANN_R,12/2016,,,,,B)&lt;/Q&gt;&lt;R&gt;1&lt;/R&gt;&lt;C&gt;1&lt;/C&gt;&lt;D xsi:type="xsd:double"&gt;3.785&lt;/D&gt;&lt;/FQL&gt;&lt;FQL&gt;&lt;Q&gt;AC-CA^FF_SHLDRS_EQ(ANN_R,12/2013,,,,,B)&lt;/Q&gt;&lt;R&gt;1&lt;/R&gt;&lt;C&gt;1&lt;/C&gt;&lt;D xsi:type="xsd:double"&gt;-1.46&lt;/D&gt;&lt;/FQL&gt;&lt;FQL&gt;&lt;Q&gt;AAL-US^FF_SHLDRS_EQ(ANN_R,12/2013,,,,,B)&lt;/Q&gt;&lt;R&gt;1&lt;/R&gt;&lt;C&gt;1&lt;/C&gt;&lt;D xsi:type="xsd:double"&gt;-2.731&lt;/D&gt;&lt;/FQL&gt;&lt;FQL&gt;&lt;Q&gt;AC-CA^FF_SHLDRS_EQ(ANN_R,12/2014)&lt;/Q&gt;&lt;R&gt;1&lt;/R&gt;&lt;C&gt;1&lt;/C&gt;&lt;D xsi:type="xsd:double"&gt;-1201&lt;/D&gt;&lt;/FQL&gt;&lt;FQL&gt;&lt;Q&gt;AC-CA^FF_EBIT_OPER(ANN_R,12/2013)&lt;/Q&gt;&lt;R&gt;1&lt;/R&gt;&lt;C&gt;1&lt;/C&gt;&lt;D xsi:type="xsd:double"&gt;543.00003&lt;/D&gt;&lt;/FQL&gt;&lt;FQL&gt;&lt;Q&gt;DAL-US^FF_SHLDRS_EQ(ANN_R,12/2014)&lt;/Q&gt;&lt;R&gt;1&lt;/R&gt;&lt;C&gt;1&lt;/C&gt;&lt;D xsi:type="xsd:double"&gt;8813&lt;/D&gt;&lt;/FQL&gt;&lt;FQL&gt;&lt;Q&gt;DAL-US^FF_EBIT_OPER(ANN_R,12/2013)&lt;/Q&gt;&lt;R&gt;1&lt;/R&gt;&lt;C&gt;1&lt;/C&gt;&lt;D xsi:type="xsd:double"&gt;3174&lt;/D&gt;&lt;/FQL&gt;&lt;FQL&gt;&lt;Q&gt;AAL-US^FF_SHLDRS_EQ(ANN_R,12/2013)&lt;/Q&gt;&lt;R&gt;1&lt;/R&gt;&lt;C&gt;1&lt;/C&gt;&lt;D xsi:type="xsd:double"&gt;-2731&lt;/D&gt;&lt;/FQL&gt;&lt;FQL&gt;&lt;Q&gt;AAL-US^FF_EBIT_OPER(ANN_R,12/2012)&lt;/Q&gt;&lt;R&gt;1&lt;/R&gt;&lt;C&gt;1&lt;/C&gt;&lt;D xsi:type="xsd:double"&gt;498&lt;/D&gt;&lt;/FQL&gt;&lt;FQL&gt;&lt;Q&gt;ALK-US^FF_SHLDRS_EQ(ANN_R,12/2019,,,,,B)&lt;/Q&gt;&lt;R&gt;1&lt;/R&gt;&lt;C&gt;1&lt;/C&gt;&lt;D xsi:type="xsd:double"&gt;4.331&lt;/D&gt;&lt;/FQL&gt;&lt;FQL&gt;&lt;Q&gt;LUV-US^FF_SHLDRS_EQ(ANN_R,12/2019,,,,,B)&lt;/Q&gt;&lt;R&gt;1&lt;/R&gt;&lt;C&gt;1&lt;/C&gt;&lt;D xsi:type="xsd:double"&gt;9.832&lt;/D&gt;&lt;/FQL&gt;&lt;FQL&gt;&lt;Q&gt;ALK-US^FF_SHLDRS_EQ(ANN_R,12/2016,,,,,B)&lt;/Q&gt;&lt;R&gt;1&lt;/R&gt;&lt;C&gt;1&lt;/C&gt;&lt;D xsi:type="xsd:double"&gt;2.931&lt;/D&gt;&lt;/FQL&gt;&lt;FQL&gt;&lt;Q&gt;LUV-US^FF_SHLDRS_EQ(ANN_R,12/2016,,,,,B)&lt;/Q&gt;&lt;R&gt;1&lt;/R&gt;&lt;C&gt;1&lt;/C&gt;&lt;D xsi:type="xsd:double"&gt;8.441&lt;/D&gt;&lt;/FQL&gt;&lt;FQL&gt;&lt;Q&gt;ALK-US^FF_SHLDRS_EQ(ANN_R,12/2013,,,,,B)&lt;/Q&gt;&lt;R&gt;1&lt;/R&gt;&lt;C&gt;1&lt;/C&gt;&lt;D xsi:type="xsd:double"&gt;2.029&lt;/D&gt;&lt;/FQL&gt;&lt;FQL&gt;&lt;Q&gt;LUV-US^FF_SHLDRS_EQ(ANN_R,12/2013,,,,,B)&lt;/Q&gt;&lt;R&gt;1&lt;/R&gt;&lt;C&gt;1&lt;/C&gt;&lt;D xsi:type="xsd:double"&gt;7.336&lt;/D&gt;&lt;/FQL&gt;&lt;FQL&gt;&lt;Q&gt;AC-CA^FF_SHLDRS_EQ(ANN_R,12/2013)&lt;/Q&gt;&lt;R&gt;1&lt;/R&gt;&lt;C&gt;1&lt;/C&gt;&lt;D xsi:type="xsd:double"&gt;-1460&lt;/D&gt;&lt;/FQL&gt;&lt;FQL&gt;&lt;Q&gt;AC-CA^FF_EBIT_OPER(ANN_R,12/2012)&lt;/Q&gt;&lt;R&gt;1&lt;/R&gt;&lt;C&gt;1&lt;/C&gt;&lt;D xsi:type="xsd:double"&gt;358&lt;/D&gt;&lt;/FQL&gt;&lt;FQL&gt;&lt;Q&gt;DAL-US^FF_SHLDRS_EQ(ANN_R,12/2013)&lt;/Q&gt;&lt;R&gt;1&lt;/R&gt;&lt;C&gt;1&lt;/C&gt;&lt;D xsi:type="xsd:double"&gt;11643&lt;/D&gt;&lt;/FQL&gt;&lt;FQL&gt;&lt;Q&gt;DAL-US^FF_EBIT_OPER(ANN_R,12/2012)&lt;/Q&gt;&lt;R&gt;1&lt;/R&gt;&lt;C&gt;1&lt;/C&gt;&lt;D xsi:type="xsd:double"&gt;2718&lt;/D&gt;&lt;/FQL&gt;&lt;FQL&gt;&lt;Q&gt;SKYW-US^FREF_MARKET_VALUE_COMPANY(12/2013,,,,,0,,"LEGACY")&lt;/Q&gt;&lt;R&gt;1&lt;/R&gt;&lt;C&gt;1&lt;/C&gt;&lt;D xsi:type="xsd:double"&gt;759.696423742142&lt;/D&gt;&lt;/FQL&gt;&lt;FQL&gt;&lt;Q&gt;LUV-US^FREF_MARKET_VALUE_COMPANY(12/2013,,,,,0,,"LEGACY")&lt;/Q&gt;&lt;R&gt;1&lt;/R&gt;&lt;C&gt;1&lt;/C&gt;&lt;D xsi:type="xsd:double"&gt;13126.2239026979&lt;/D&gt;&lt;/FQL&gt;&lt;FQL&gt;&lt;Q&gt;ALK-US^FREF_MARKET_VALUE_COMPANY(12/2013,,,,,0,,"LEGACY")&lt;/Q&gt;&lt;R&gt;1&lt;/R&gt;&lt;C&gt;1&lt;/C&gt;&lt;D xsi:type="xsd:double"&gt;5095.03315894684&lt;/D&gt;&lt;/FQL&gt;&lt;FQL&gt;&lt;Q&gt;AAL-US^FREF_MARKET_VALUE_COMPANY(12/2013,,,,,0,,"LEGACY")&lt;/Q&gt;&lt;R&gt;1&lt;/R&gt;&lt;C&gt;1&lt;/C&gt;&lt;D xsi:type="xsd:double"&gt;8473.84929656982&lt;/D&gt;&lt;/FQL&gt;&lt;FQL&gt;&lt;Q&gt;AC-CA^FREF_MARKET_VALUE_COMPANY(12/2013,,,,,0,,"LEGACY")&lt;/Q&gt;&lt;R&gt;1&lt;/R&gt;&lt;C&gt;1&lt;/C&gt;&lt;D xsi:type="xsd:double"&gt;2138.09993411369&lt;/D&gt;&lt;/FQL&gt;&lt;FQL&gt;&lt;Q&gt;DAL-US^FREF_MARKET_VALUE_COMPANY(12/2013,,,,,0,,"LEGACY")&lt;/Q&gt;&lt;R&gt;1&lt;/R&gt;&lt;C&gt;1&lt;/C&gt;&lt;D xsi:type="xsd:double"&gt;23501.8485958928&lt;/D&gt;&lt;/FQL&gt;&lt;FQL&gt;&lt;Q&gt;SKYW-US^FREF_MARKET_VALUE_COMPANY(12/2012,,,,,0,,"LEGACY")&lt;/Q&gt;&lt;R&gt;1&lt;/R&gt;&lt;C&gt;1&lt;/C&gt;&lt;D xsi:type="xsd:double"&gt;638.649768419495&lt;/D&gt;&lt;/FQL&gt;&lt;FQL&gt;&lt;Q&gt;LUV-US^FREF_MARKET_VALUE_COMPANY(12/2012,,,,,0,,"LEGACY")&lt;/Q&gt;&lt;R&gt;1&lt;/R&gt;&lt;C&gt;1&lt;/C&gt;&lt;D xsi:type="xsd:double"&gt;7556.90483109001&lt;/D&gt;&lt;/FQL&gt;&lt;FQL&gt;&lt;Q&gt;DAL-US^FF_OPER_MGN(ANN_R,0)&lt;/Q&gt;&lt;R&gt;1&lt;/R&gt;&lt;C&gt;1&lt;/C&gt;&lt;D xsi:type="xsd:double"&gt;-48.4410646387833&lt;/D&gt;&lt;/FQL&gt;&lt;FQL&gt;&lt;Q&gt;AC-CA^FF_OPER_MGN(ANN_R,0)&lt;/Q&gt;&lt;R&gt;1&lt;/R&gt;&lt;C&gt;1&lt;/C&gt;&lt;D xsi:type="xsd:double"&gt;-66.7238127893022&lt;/D&gt;&lt;/FQL&gt;&lt;FQL&gt;&lt;Q&gt;ALK-US^FREF_MARKET_VALUE_COMPANY(12/2012,,,,,0,,"LEGACY")&lt;/Q&gt;&lt;R&gt;1&lt;/R&gt;&lt;C&gt;1&lt;/C&gt;&lt;D xsi:type="xsd:double"&gt;3029.8303995993&lt;/D&gt;&lt;/FQL&gt;&lt;FQL&gt;&lt;Q&gt;DAL-US^FF_OPER_MGN(ANN_R,12/2019)&lt;/Q&gt;&lt;R&gt;1&lt;/R&gt;&lt;C&gt;1&lt;/C&gt;&lt;D xsi:type="xsd:double"&gt;14.1641492575416&lt;/D&gt;&lt;/FQL&gt;&lt;FQL&gt;&lt;Q&gt;DAL-US^FF_OPER_MGN(ANN_R,12/2018)&lt;/Q&gt;&lt;R&gt;1&lt;/R&gt;&lt;C&gt;1&lt;/C&gt;&lt;D xsi:type="xsd:double"&gt;11.8516685043091&lt;/D&gt;&lt;/FQL&gt;&lt;FQL&gt;&lt;Q&gt;DAL-US^FF_OPER_MGN(ANN_R,12/2017)&lt;/Q&gt;&lt;R&gt;1&lt;/R&gt;&lt;C&gt;1&lt;/C&gt;&lt;D xsi:type="xsd:double"&gt;14.6785644816184&lt;/D&gt;&lt;/FQL&gt;&lt;FQL&gt;&lt;Q&gt;DAL-US^FF_OPER_MGN(ANN_R,12/2016)&lt;/Q&gt;&lt;R&gt;1&lt;/R&gt;&lt;C&gt;1&lt;/C&gt;&lt;D xsi:type="xsd:double"&gt;18.3854350790364&lt;/D&gt;&lt;/FQL&gt;&lt;FQL&gt;&lt;Q&gt;DAL-US^FF_OPER_MGN(ANN_R,12/2015)&lt;/Q&gt;&lt;R&gt;1&lt;/R&gt;&lt;C&gt;1&lt;/C&gt;&lt;D xsi:type="xsd:double"&gt;20.6882930923814&lt;/D&gt;&lt;/FQL&gt;&lt;FQL&gt;&lt;Q&gt;DAL-US^FF_OPER_MGN(ANN_R,12/2014)&lt;/Q&gt;&lt;R&gt;1&lt;/R&gt;&lt;C&gt;1&lt;/C&gt;&lt;D xsi:type="xsd:double"&gt;11.8495672072431&lt;/D&gt;&lt;/FQL&gt;&lt;FQL&gt;&lt;Q&gt;DAL-US^FF_OPER_MGN(ANN_R,12/2013)&lt;/Q&gt;&lt;R&gt;1&lt;/R&gt;&lt;C&gt;1&lt;/C&gt;&lt;D xsi:type="xsd:double"&gt;8.432966682608&lt;/D&gt;&lt;/FQL&gt;&lt;FQL&gt;&lt;Q&gt;DAL-US^FF_OPER_MGN(ANN_R,12/2012)&lt;/Q&gt;&lt;R&gt;1&lt;/R&gt;&lt;C&gt;1&lt;/C&gt;&lt;D xsi:type="xsd:double"&gt;7.40700367897534&lt;/D&gt;&lt;/FQL&gt;&lt;FQL&gt;&lt;Q&gt;AC-CA^FF_OPER_MGN(ANN_R,12/2020)&lt;/Q&gt;&lt;R&gt;1&lt;/R&gt;&lt;C&gt;1&lt;/C&gt;&lt;D xsi:type="xsd:double"&gt;-66.7238127893022&lt;/D&gt;&lt;/FQL&gt;&lt;FQL&gt;&lt;Q&gt;AC-CA^FF_OPER_MGN(ANN_R,12/2019)&lt;/Q&gt;&lt;R&gt;1&lt;/R&gt;&lt;C&gt;1&lt;/C&gt;&lt;D xsi:type="xsd:double"&gt;12.2889550990539&lt;/D&gt;&lt;/FQL&gt;&lt;FQL&gt;&lt;Q&gt;AC-CA^FF_OPER_MGN(ANN_R,12/2018)&lt;/Q&gt;&lt;R&gt;1&lt;/R&gt;&lt;C&gt;1&lt;/C&gt;&lt;D xsi:type="xsd:double"&gt;11.5091929122924&lt;/D&gt;&lt;/FQL&gt;&lt;FQL&gt;&lt;Q&gt;AC-CA^FF_OPER_MGN(ANN_R,12/2017)&lt;/Q&gt;&lt;R&gt;1&lt;/R&gt;&lt;C&gt;1&lt;/C&gt;&lt;D xsi:type="xsd:double"&gt;12.1092788579867&lt;/D&gt;&lt;/FQL&gt;&lt;FQL&gt;&lt;Q&gt;AC-CA^FF_OPER_MGN(ANN_R,12/2016)&lt;/Q&gt;&lt;R&gt;1&lt;/R&gt;&lt;C&gt;1&lt;/C&gt;&lt;D xsi:type="xsd:double"&gt;13.5858826735709&lt;/D&gt;&lt;/FQL&gt;&lt;FQL&gt;&lt;Q&gt;AC-CA^FF_OPER_MGN(ANN_R,12/2015)&lt;/Q&gt;&lt;R&gt;1&lt;/R&gt;&lt;C&gt;1&lt;/C&gt;&lt;D xsi:type="xsd:double"&gt;11.039803865013&lt;/D&gt;&lt;/FQL&gt;&lt;FQL&gt;&lt;Q&gt;AC-CA^FF_OPER_MGN(ANN_R,12/2014)&lt;/Q&gt;&lt;R&gt;1&lt;/R&gt;&lt;C&gt;1&lt;/C&gt;&lt;D xsi:type="xsd:double"&gt;6.41199517781796&lt;/D&gt;&lt;/FQL&gt;&lt;FQL&gt;&lt;Q&gt;AC-CA^FF_OPER_MGN(ANN_R,12/2013)&lt;/Q&gt;&lt;R&gt;1&lt;/R&gt;&lt;C&gt;1&lt;/C&gt;&lt;D xsi:type="xsd:double"&gt;4.38539840090454&lt;/D&gt;&lt;/FQL&gt;&lt;FQL&gt;&lt;Q&gt;AC-CA^FF_OPER_MGN(ANN_R,12/2012)&lt;/Q&gt;&lt;R&gt;1&lt;/R&gt;&lt;C&gt;1&lt;/C&gt;&lt;D xsi:type="xsd:double"&gt;2.95525837873535&lt;/D&gt;&lt;/FQL&gt;&lt;FQL&gt;&lt;Q&gt;AAL-US^FF_OPER_MGN(ANN_R,12/2020)&lt;/Q&gt;&lt;R&gt;1&lt;/R&gt;&lt;C&gt;1&lt;/C&gt;&lt;D xsi:type="xsd:double"&gt;-65.6803368518198&lt;/D&gt;&lt;/FQL&gt;&lt;FQL&gt;&lt;Q&gt;AAL-US^FF_OPER_MGN(ANN_R,12/2019)&lt;/Q&gt;&lt;R&gt;1&lt;/R&gt;&lt;C&gt;1&lt;/C&gt;&lt;D xsi:type="xsd:double"&gt;8.09736060129348&lt;/D&gt;&lt;/FQL&gt;&lt;FQL&gt;&lt;Q&gt;AAL-US^FF_OPER_MGN(ANN_R,12/2018)&lt;/Q&gt;&lt;R&gt;1&lt;/R&gt;&lt;C&gt;1&lt;/C&gt;&lt;D xsi:type="xsd:double"&gt;7.74342740396489&lt;/D&gt;&lt;/FQL&gt;&lt;FQL&gt;&lt;Q&gt;AAL-US^FF_OPER_MGN(ANN_R,12/2017)&lt;/Q&gt;&lt;R&gt;1&lt;/R&gt;&lt;C&gt;1&lt;/C&gt;&lt;D xsi:type="xsd:double"&gt;11.6489137065365&lt;/D&gt;&lt;/FQL&gt;&lt;FQL&gt;&lt;Q&gt;AAL-US^FF_OPER_MGN(ANN_R,12/2016)&lt;/Q&gt;&lt;R&gt;1&lt;/R&gt;&lt;C&gt;1&lt;/C&gt;&lt;D xsi:type="xsd:double"&gt;14.9502239920358&lt;/D&gt;&lt;/FQL&gt;&lt;FQL&gt;&lt;Q&gt;AAL-US^FF_OPER_MGN(ANN_R,12/2015)&lt;/Q&gt;&lt;R&gt;1&lt;/R&gt;&lt;C&gt;1&lt;/C&gt;&lt;D xsi:type="xsd:double"&gt;17.7921444254696&lt;/D&gt;&lt;/FQL&gt;&lt;FQL&gt;&lt;Q&gt;AAL-US^FF_OPER_MGN(ANN_R,12/2014)&lt;/Q&gt;&lt;R&gt;1&lt;/R&gt;&lt;C&gt;1&lt;/C&gt;&lt;D xsi:type="xsd:double"&gt;11.9038686987104&lt;/D&gt;&lt;/FQL&gt;&lt;FQL&gt;&lt;Q&gt;AAL-US^FF_OPER_MGN(ANN_R,12/2013)&lt;/Q&gt;&lt;R&gt;1&lt;/R&gt;&lt;C&gt;1&lt;/C&gt;&lt;D xsi:type="xsd:double"&gt;7.22432038290394&lt;/D&gt;&lt;/FQL&gt;&lt;FQL&gt;&lt;Q&gt;AAL-US^FF_OPER_MGN(ANN_R,12/2012)&lt;/Q&gt;&lt;R&gt;1&lt;/R&gt;&lt;C&gt;1&lt;/C&gt;&lt;D xsi:type="xsd:double"&gt;2.0036210018105&lt;/D&gt;&lt;/FQL&gt;&lt;FQL&gt;&lt;Q&gt;ALK-US^FF_OPER_MGN(ANN_R,12/2020)&lt;/Q&gt;&lt;R&gt;1&lt;/R&gt;&lt;C&gt;1&lt;/C&gt;&lt;D xsi:type="xsd:double"&gt;-47.4200785193494&lt;/D&gt;&lt;/FQL&gt;&lt;FQL&gt;&lt;Q&gt;ALK-US^FF_OPER_MGN(ANN_R,12/2019)&lt;/Q&gt;&lt;R&gt;1&lt;/R&gt;&lt;C&gt;1&lt;/C&gt;&lt;D xsi:type="xsd:double"&gt;12.7548115248833&lt;/D&gt;&lt;/FQL&gt;&lt;FQL&gt;&lt;Q&gt;ALK-US^FF_OPER_MGN(ANN_R,12/2018)&lt;/Q&gt;&lt;R&gt;1&lt;/R&gt;&lt;C&gt;1&lt;/C&gt;&lt;D xsi:type="xsd:double"&gt;8.85769603097773&lt;/D&gt;&lt;/FQL&gt;&lt;FQL&gt;&lt;Q&gt;ALK-US^FF_OPER_MGN(ANN_R,12/2017)&lt;/Q&gt;&lt;R&gt;1&lt;/R&gt;&lt;C&gt;1&lt;/C&gt;&lt;D xsi:type="xsd:double"&gt;16.9622498099823&lt;/D&gt;&lt;/FQL&gt;&lt;FQL&gt;&lt;Q&gt;ALK-US^FF_OPER_MGN(ANN_R,12/2016)&lt;/Q&gt;&lt;R&gt;1&lt;/R&gt;&lt;C&gt;1&lt;/C&gt;&lt;D xsi:type="xsd:double"&gt;24.8693306356432&lt;/D&gt;&lt;/FQL&gt;&lt;FQL&gt;&lt;Q&gt;ALK-US^FF_OPER_MGN(ANN_R,12/2015)&lt;/Q&gt;&lt;R&gt;1&lt;/R&gt;&lt;C&gt;1&lt;/C&gt;&lt;D xsi:type="xsd:double"&gt;24.205073240443&lt;/D&gt;&lt;/FQL&gt;&lt;FQL&gt;&lt;Q&gt;ALK-US^FF_OPER_MGN(ANN_R,12/2014)&lt;/Q&gt;&lt;R&gt;1&lt;/R&gt;&lt;C&gt;1&lt;/C&gt;&lt;D xsi:type="xsd:double"&gt;17.8092399403875&lt;/D&gt;&lt;/FQL&gt;&lt;FQL&gt;&lt;Q&gt;ALK-US^FF_OPER_MGN(ANN_R,12/2013)&lt;/Q&gt;&lt;R&gt;1&lt;/R&gt;&lt;C&gt;1&lt;/C&gt;&lt;D xsi:type="xsd:double"&gt;14.0209508460919&lt;/D&gt;&lt;/FQL&gt;&lt;FQL&gt;&lt;Q&gt;ALK-US^FF_OPER_MGN(ANN_R,12/2012)&lt;/Q&gt;&lt;R&gt;1&lt;/R&gt;&lt;C&gt;1&lt;/C&gt;&lt;D xsi:type="xsd:double"&gt;12.8838307923556&lt;/D&gt;&lt;/FQL&gt;&lt;FQL&gt;&lt;Q&gt;LUV-US^FF_OPER_MGN(ANN_R,12/2020)&lt;/Q&gt;&lt;R&gt;1&lt;/R&gt;&lt;C&gt;1&lt;/C&gt;&lt;D xsi:type="xsd:double"&gt;-52.0888594164456&lt;/D&gt;&lt;/FQL&gt;&lt;FQL&gt;&lt;Q&gt;LUV-US^FF_OPER_MGN(ANN_R,12/2019)&lt;/Q&gt;&lt;R&gt;1&lt;/R&gt;&lt;C&gt;1&lt;/C&gt;&lt;D xsi:type="xsd:double"&gt;13.398430533262&lt;/D&gt;&lt;/FQL&gt;&lt;FQL&gt;&lt;Q&gt;LUV-US^FF_OPER_MGN(ANN_R,12/2018)&lt;/Q&gt;&lt;R&gt;1&lt;/R&gt;&lt;C&gt;1&lt;/C&gt;&lt;D xsi:type="xsd:double"&gt;14.4457090826315&lt;/D&gt;&lt;/FQL&gt;&lt;FQL&gt;&lt;Q&gt;LUV-US^FF_OPER_MGN(ANN_R,12/2017)&lt;/Q&gt;&lt;R&gt;1&lt;/R&gt;&lt;C&gt;1&lt;/C&gt;&lt;D xsi:type="xsd:double"&gt;18.722216967748&lt;/D&gt;&lt;/FQL&gt;&lt;FQL&gt;&lt;Q&gt;LUV-US^FF_OPER_MGN(ANN_R,12/2016)&lt;/Q&gt;&lt;R&gt;1&lt;/R&gt;&lt;C&gt;1&lt;/C&gt;&lt;D xsi:type="xsd:double"&gt;17.3591601360343&lt;/D&gt;&lt;/FQL&gt;&lt;FQL&gt;&lt;Q&gt;LUV-US^FF_OPER_MGN(ANN_R,12/2015)&lt;/Q&gt;&lt;R&gt;1&lt;/R&gt;&lt;C&gt;1&lt;/C&gt;&lt;D xsi:type="xsd:double"&gt;23.0575176589304&lt;/D&gt;&lt;/FQL&gt;&lt;FQL&gt;&lt;Q&gt;LUV-US^FF_OPER_MGN(ANN_R,12/2014)&lt;/Q&gt;&lt;R&gt;1&lt;/R&gt;&lt;C&gt;1&lt;/C&gt;&lt;D xsi:type="xsd:double"&gt;12.453641494222&lt;/D&gt;&lt;/FQL&gt;&lt;FQL&gt;&lt;Q&gt;LUV-US^FF_OPER_MGN(ANN_R,12/2013)&lt;/Q&gt;&lt;R&gt;1&lt;/R&gt;&lt;C&gt;1&lt;/C&gt;&lt;D xsi:type="xsd:double"&gt;6.77439403356122&lt;/D&gt;&lt;/FQL&gt;&lt;FQL&gt;&lt;Q&gt;LUV-US^FF_OPER_MGN(ANN_R,12/2012)&lt;/Q&gt;&lt;R&gt;1&lt;/R&gt;&lt;C&gt;1&lt;/C&gt;&lt;D xsi:type="xsd:double"&gt;5.30781835205993&lt;/D&gt;&lt;/FQL&gt;&lt;FQL&gt;&lt;Q&gt;SKYW-US^FF_OPER_MGN(ANN_R,12/2020)&lt;/Q&gt;&lt;R&gt;1&lt;/R&gt;&lt;C&gt;1&lt;/C&gt;&lt;D xsi:type="xsd:double"&gt;-11.1272780952148&lt;/D&gt;&lt;/FQL&gt;&lt;FQL&gt;&lt;Q&gt;SKYW-US^FF_OPER_MGN(ANN_R,12/2019)&lt;/Q&gt;&lt;R&gt;1&lt;/R&gt;&lt;C&gt;1&lt;/C&gt;&lt;D xsi:type="xsd:double"&gt;17.9721954815723&lt;/D&gt;&lt;/FQL&gt;&lt;FQL&gt;&lt;Q&gt;SKYW-US^FF_OPER_MGN(ANN_R,12/2018)&lt;/Q&gt;&lt;R&gt;1&lt;/R&gt;&lt;C&gt;1&lt;/C&gt;&lt;D xsi:type="xsd:double"&gt;14.721516327356&lt;/D&gt;&lt;/FQL&gt;&lt;FQL&gt;&lt;Q&gt;SKYW-US^FF_OPER_MGN(ANN_R,12/2017)&lt;/Q&gt;&lt;R&gt;1&lt;/R&gt;&lt;C&gt;1&lt;/C&gt;&lt;D xsi:type="xsd:double"&gt;12.431947561513&lt;/D&gt;&lt;/FQL&gt;&lt;FQL&gt;&lt;Q&gt;SKYW-US^FF_OPER_MGN(ANN_R,12/2016)&lt;/Q&gt;&lt;R&gt;1&lt;/R&gt;&lt;C&gt;1&lt;/C&gt;&lt;D xsi:type="xsd:double"&gt;9.38627568958922&lt;/D&gt;&lt;/FQL&gt;&lt;FQL&gt;&lt;Q&gt;SKYW-US^FF_OPER_MGN(ANN_R,12/2015)&lt;/Q&gt;&lt;R&gt;1&lt;/R&gt;&lt;C&gt;1&lt;/C&gt;&lt;D xsi:type="xsd:double"&gt;7.57584323110206&lt;/D&gt;&lt;/FQL&gt;&lt;FQL&gt;&lt;Q&gt;SKYW-US^FF_OPER_MGN(ANN_R,12/2014)&lt;/Q&gt;&lt;R&gt;1&lt;/R&gt;&lt;C&gt;1&lt;/C&gt;&lt;D xsi:type="xsd:double"&gt;3.07727045415724&lt;/D&gt;&lt;/FQL&gt;&lt;FQL&gt;&lt;Q&gt;SKYW-US^FF_OPER_MGN(ANN_R,12/2013)&lt;/Q&gt;&lt;R&gt;1&lt;/R&gt;&lt;C&gt;1&lt;/C&gt;&lt;D xsi:type="xsd:double"&gt;4.64292807920612&lt;/D&gt;&lt;/FQL&gt;&lt;FQL&gt;&lt;Q&gt;SKYW-US^FF_OPER_MGN(ANN_R,12/2012)&lt;/Q&gt;&lt;R&gt;1&lt;/R&gt;&lt;C&gt;1&lt;/C&gt;&lt;D xsi:type="xsd:double"&gt;4.69636472900985&lt;/D&gt;&lt;/FQL&gt;&lt;FQL&gt;&lt;Q&gt;0.0469335071707953^FF_SHLDRS_EQ(ANN_R,12/2019)&lt;/Q&gt;&lt;R&gt;0&lt;/R&gt;&lt;C&gt;0&lt;/C&gt;&lt;/FQL&gt;&lt;FQL&gt;&lt;Q&gt;0.0168588921282799^FF_SHLDRS_EQ(ANN_R,12/2019)&lt;/Q&gt;&lt;R&gt;0&lt;/R&gt;&lt;C&gt;0&lt;/C&gt;&lt;/FQL&gt;&lt;FQL&gt;&lt;Q&gt;-0.00902985291976118^FF_SHLDRS_EQ(ANN_R,12/2019)&lt;/Q&gt;&lt;R&gt;0&lt;/R&gt;&lt;C&gt;0&lt;/C&gt;&lt;/FQL&gt;&lt;FQL&gt;&lt;Q&gt;0.00509638554216867^FF_SHLDRS_EQ(ANN_R,12/2019)&lt;/Q&gt;&lt;R&gt;0&lt;/R&gt;&lt;C&gt;0&lt;/C&gt;&lt;/FQL&gt;&lt;FQL&gt;&lt;Q&gt;0.00412043713384407^FF_SHLDRS_EQ(ANN_R,12/2019)&lt;/Q&gt;&lt;R&gt;0&lt;/R&gt;&lt;C&gt;0&lt;/C&gt;&lt;/FQL&gt;&lt;FQL&gt;&lt;Q&gt;0.00337069891028233^FF_SHLDRS_EQ(ANN_R,12/2019)&lt;/Q&gt;&lt;R&gt;0&lt;/R&gt;&lt;C&gt;0&lt;/C&gt;&lt;/FQL&gt;&lt;FQL&gt;&lt;Q&gt;DAL-US^FREF_MARKET_VALUE_COMPANY(12/2014,,,,,0,,"LEGACY")&lt;/Q&gt;&lt;R&gt;1&lt;/R&gt;&lt;C&gt;1&lt;/C&gt;&lt;D xsi:type="xsd:double"&gt;41169.1256078386&lt;/D&gt;&lt;/FQL&gt;&lt;FQL&gt;&lt;Q&gt;AC-CA^FREF_MARKET_VALU</t>
        </r>
      </text>
    </comment>
    <comment ref="A31" authorId="0" shapeId="0" xr:uid="{9D2259D7-08E0-4D72-84EA-1ACD2BFD3720}">
      <text>
        <r>
          <rPr>
            <b/>
            <sz val="9"/>
            <color indexed="81"/>
            <rFont val="Tahoma"/>
            <charset val="1"/>
          </rPr>
          <t>E_COMPANY(12/2014,,,,,0,,"LEGACY")&lt;/Q&gt;&lt;R&gt;1&lt;/R&gt;&lt;C&gt;1&lt;/C&gt;&lt;D xsi:type="xsd:double"&gt;3397.11079610523&lt;/D&gt;&lt;/FQL&gt;&lt;FQL&gt;&lt;Q&gt;AAL-US^FREF_MARKET_VALUE_COMPANY(12/2014,,,,,0,,"LEGACY")&lt;/Q&gt;&lt;R&gt;1&lt;/R&gt;&lt;C&gt;1&lt;/C&gt;&lt;D xsi:type="xsd:double"&gt;38466.867855354&lt;/D&gt;&lt;/FQL&gt;&lt;FQL&gt;&lt;Q&gt;ALK-US^FREF_MARKET_VALUE_COMPANY(12/2014,,,,,0,,"LEGACY")&lt;/Q&gt;&lt;R&gt;1&lt;/R&gt;&lt;C&gt;1&lt;/C&gt;&lt;D xsi:type="xsd:double"&gt;7926.08832352416&lt;/D&gt;&lt;/FQL&gt;&lt;FQL&gt;&lt;Q&gt;LUV-US^FREF_MARKET_VALUE_COMPANY(12/2014,,,,,0,,"LEGACY")&lt;/Q&gt;&lt;R&gt;1&lt;/R&gt;&lt;C&gt;1&lt;/C&gt;&lt;D xsi:type="xsd:double"&gt;28724.4466580981&lt;/D&gt;&lt;/FQL&gt;&lt;FQL&gt;&lt;Q&gt;SKYW-US^FREF_MARKET_VALUE_COMPANY(12/2014,,,,,0,,"LEGACY")&lt;/Q&gt;&lt;R&gt;1&lt;/R&gt;&lt;C&gt;1&lt;/C&gt;&lt;D xsi:type="xsd:double"&gt;679.657117681389&lt;/D&gt;&lt;/FQL&gt;&lt;FQL&gt;&lt;Q&gt;DAL-US^FREF_MARKET_VALUE_COMPANY(12/2015,,,,,0,,"LEGACY")&lt;/Q&gt;&lt;R&gt;1&lt;/R&gt;&lt;C&gt;1&lt;/C&gt;&lt;D xsi:type="xsd:double"&gt;39866.3659304404&lt;/D&gt;&lt;/FQL&gt;&lt;FQL&gt;&lt;Q&gt;AC-CA^FREF_MARKET_VALUE_COMPANY(12/2015,,,,,0,,"LEGACY")&lt;/Q&gt;&lt;R&gt;1&lt;/R&gt;&lt;C&gt;1&lt;/C&gt;&lt;D xsi:type="xsd:double"&gt;919.169056626371&lt;/D&gt;&lt;/FQL&gt;&lt;FQL&gt;&lt;Q&gt;AAL-US^FREF_MARKET_VALUE_COMPANY(12/2015,,,,,0,,"LEGACY")&lt;/Q&gt;&lt;R&gt;1&lt;/R&gt;&lt;C&gt;1&lt;/C&gt;&lt;D xsi:type="xsd:double"&gt;26694.3046625885&lt;/D&gt;&lt;/FQL&gt;&lt;FQL&gt;&lt;Q&gt;ALK-US^FREF_MARKET_VALUE_COMPANY(12/2015,,,,,0,,"LEGACY")&lt;/Q&gt;&lt;R&gt;1&lt;/R&gt;&lt;C&gt;1&lt;/C&gt;&lt;D xsi:type="xsd:double"&gt;10117.8527525952&lt;/D&gt;&lt;/FQL&gt;&lt;FQL&gt;&lt;Q&gt;LUV-US^FREF_MARKET_VALUE_COMPANY(12/2015,,,,,0,,"LEGACY")&lt;/Q&gt;&lt;R&gt;1&lt;/R&gt;&lt;C&gt;1&lt;/C&gt;&lt;D xsi:type="xsd:double"&gt;28004.286352111&lt;/D&gt;&lt;/FQL&gt;&lt;FQL&gt;&lt;Q&gt;SKYW-US^FREF_MARKET_VALUE_COMPANY(12/2015,,,,,0,,"LEGACY")&lt;/Q&gt;&lt;R&gt;1&lt;/R&gt;&lt;C&gt;1&lt;/C&gt;&lt;D xsi:type="xsd:double"&gt;965.303042336425&lt;/D&gt;&lt;/FQL&gt;&lt;FQL&gt;&lt;Q&gt;DAL-US^FREF_MARKET_VALUE_COMPANY(12/2016,,,,,0,,"LEGACY")&lt;/Q&gt;&lt;R&gt;1&lt;/R&gt;&lt;C&gt;1&lt;/C&gt;&lt;D xsi:type="xsd:double"&gt;36838.7844762921&lt;/D&gt;&lt;/FQL&gt;&lt;FQL&gt;&lt;Q&gt;AC-CA^FREF_MARKET_VALUE_COMPANY(12/2016,,,,,0,,"LEGACY")&lt;/Q&gt;&lt;R&gt;1&lt;/R&gt;&lt;C&gt;1&lt;/C&gt;&lt;D xsi:type="xsd:double"&gt;1383.46237054476&lt;/D&gt;&lt;/FQL&gt;&lt;FQL&gt;&lt;Q&gt;AAL-US^FREF_MARKET_VALUE_COMPANY(12/2016,,,,,0,,"LEGACY")&lt;/Q&gt;&lt;R&gt;1&lt;/R&gt;&lt;C&gt;1&lt;/C&gt;&lt;D xsi:type="xsd:double"&gt;24191.2555384636&lt;/D&gt;&lt;/FQL&gt;&lt;FQL&gt;&lt;Q&gt;ALK-US^FREF_MARKET_VALUE_COMPANY(12/2016,,,,,0,,"LEGACY")&lt;/Q&gt;&lt;R&gt;1&lt;/R&gt;&lt;C&gt;1&lt;/C&gt;&lt;D xsi:type="xsd:double"&gt;10937.8365741672&lt;/D&gt;&lt;/FQL&gt;&lt;FQL&gt;&lt;Q&gt;LUV-US^FREF_MARKET_VALUE_COMPANY(12/2016,,,,,0,,"LEGACY")&lt;/Q&gt;&lt;R&gt;1&lt;/R&gt;&lt;C&gt;1&lt;/C&gt;&lt;D xsi:type="xsd:double"&gt;30681.4055333859&lt;/D&gt;&lt;/FQL&gt;&lt;FQL&gt;&lt;Q&gt;SKYW-US^FREF_MARKET_VALUE_COMPANY(12/2016,,,,,0,,"LEGACY")&lt;/Q&gt;&lt;R&gt;1&lt;/R&gt;&lt;C&gt;1&lt;/C&gt;&lt;D xsi:type="xsd:double"&gt;1885.99596061096&lt;/D&gt;&lt;/FQL&gt;&lt;FQL&gt;&lt;Q&gt;DAL-US^FREF_MARKET_VALUE_COMPANY(12/2017,,,,,0,,"LEGACY")&lt;/Q&gt;&lt;R&gt;1&lt;/R&gt;&lt;C&gt;1&lt;/C&gt;&lt;D xsi:type="xsd:double"&gt;39926.49609375&lt;/D&gt;&lt;/FQL&gt;&lt;FQL&gt;&lt;Q&gt;AC-CA^FREF_MARKET_VALUE_COMPANY(12/2017,,,,,0,,"LEGACY")&lt;/Q&gt;&lt;R&gt;1&lt;/R&gt;&lt;C&gt;1&lt;/C&gt;&lt;D xsi:type="xsd:double"&gt;2636.65029444288&lt;/D&gt;&lt;/FQL&gt;&lt;FQL&gt;&lt;Q&gt;AAL-US^FREF_MARKET_VALUE_COMPANY(12/2017,,,,,0,,"LEGACY")&lt;/Q&gt;&lt;R&gt;1&lt;/R&gt;&lt;C&gt;1&lt;/C&gt;&lt;D xsi:type="xsd:double"&gt;24896.3020175183&lt;/D&gt;&lt;/FQL&gt;&lt;FQL&gt;&lt;Q&gt;ALK-US^FREF_MARKET_VALUE_COMPANY(12/2017,,,,,0,,"LEGACY")&lt;/Q&gt;&lt;R&gt;1&lt;/R&gt;&lt;C&gt;1&lt;/C&gt;&lt;D xsi:type="xsd:double"&gt;9045.47945681977&lt;/D&gt;&lt;/FQL&gt;&lt;FQL&gt;&lt;Q&gt;LUV-US^FREF_MARKET_VALUE_COMPANY(12/2017,,,,,0,,"LEGACY")&lt;/Q&gt;&lt;R&gt;1&lt;/R&gt;&lt;C&gt;1&lt;/C&gt;&lt;D xsi:type="xsd:double"&gt;38837.2428210815&lt;/D&gt;&lt;/FQL&gt;&lt;FQL&gt;&lt;Q&gt;SKYW-US^FREF_MARKET_VALUE_COMPANY(12/2017,,,,,0,,"LEGACY")&lt;/Q&gt;&lt;R&gt;1&lt;/R&gt;&lt;C&gt;1&lt;/C&gt;&lt;D xsi:type="xsd:double"&gt;2752.86314149018&lt;/D&gt;&lt;/FQL&gt;&lt;FQL&gt;&lt;Q&gt;DAL-US^FREF_MARKET_VALUE_COMPANY(12/2018,,,,,0,,"LEGACY")&lt;/Q&gt;&lt;R&gt;1&lt;/R&gt;&lt;C&gt;1&lt;/C&gt;&lt;D xsi:type="xsd:double"&gt;34212.3748437786&lt;/D&gt;&lt;/FQL&gt;&lt;FQL&gt;&lt;Q&gt;AC-CA^FREF_MARKET_VALUE_COMPANY(12/2018,,,,,0,,"LEGACY")&lt;/Q&gt;&lt;R&gt;1&lt;/R&gt;&lt;C&gt;1&lt;/C&gt;&lt;D xsi:type="xsd:double"&gt;3970.55365635781&lt;/D&gt;&lt;/FQL&gt;&lt;FQL&gt;&lt;Q&gt;AAL-US^FREF_MARKET_VALUE_COMPANY(12/2018,,,,,0,,"LEGACY")&lt;/Q&gt;&lt;R&gt;1&lt;/R&gt;&lt;C&gt;1&lt;/C&gt;&lt;D xsi:type="xsd:double"&gt;14789.2716660043&lt;/D&gt;&lt;/FQL&gt;&lt;FQL&gt;&lt;Q&gt;ALK-US^FREF_MARKET_VALUE_COMPANY(12/2018,,,,,0,,"LEGACY")&lt;/Q&gt;&lt;R&gt;1&lt;/R&gt;&lt;C&gt;1&lt;/C&gt;&lt;D xsi:type="xsd:double"&gt;7500.31012533722&lt;/D&gt;&lt;/FQL&gt;&lt;FQL&gt;&lt;Q&gt;LUV-US^FREF_MARKET_VALUE_COMPANY(12/2018,,,,,0,,"LEGACY")&lt;/Q&gt;&lt;R&gt;1&lt;/R&gt;&lt;C&gt;1&lt;/C&gt;&lt;D xsi:type="xsd:double"&gt;26136.0294203307&lt;/D&gt;&lt;/FQL&gt;&lt;FQL&gt;&lt;Q&gt;SKYW-US^FREF_MARKET_VALUE_COMPANY(12/2018,,,,,0,,"LEGACY")&lt;/Q&gt;&lt;R&gt;1&lt;/R&gt;&lt;C&gt;1&lt;/C&gt;&lt;D xsi:type="xsd:double"&gt;2307.77073370514&lt;/D&gt;&lt;/FQL&gt;&lt;FQL&gt;&lt;Q&gt;DAL-US^FREF_MARKET_VALUE_COMPANY(12/2019,,,,,0,,"LEGACY")&lt;/Q&gt;&lt;R&gt;1&lt;/R&gt;&lt;C&gt;1&lt;/C&gt;&lt;D xsi:type="xsd:double"&gt;37821.5220916399&lt;/D&gt;&lt;/FQL&gt;&lt;FQL&gt;&lt;Q&gt;AC-CA^FREF_MARKET_VALUE_COMPANY(12/2019,,,,,0,,"LEGACY")&lt;/Q&gt;&lt;R&gt;1&lt;/R&gt;&lt;C&gt;1&lt;/C&gt;&lt;D xsi:type="xsd:double"&gt;6006.11863015263&lt;/D&gt;&lt;/FQL&gt;&lt;FQL&gt;&lt;Q&gt;AAL-US^FREF_MARKET_VALUE_COMPANY(12/2019,,,,,0,,"LEGACY")&lt;/Q&gt;&lt;R&gt;1&lt;/R&gt;&lt;C&gt;1&lt;/C&gt;&lt;D xsi:type="xsd:double"&gt;12280.7764807739&lt;/D&gt;&lt;/FQL&gt;&lt;FQL&gt;&lt;Q&gt;ALK-US^FREF_MARKET_VALUE_COMPANY(12/2019,,,,,0,,"LEGACY")&lt;/Q&gt;&lt;R&gt;1&lt;/R&gt;&lt;C&gt;1&lt;/C&gt;&lt;D xsi:type="xsd:double"&gt;8338.46698570251&lt;/D&gt;&lt;/FQL&gt;&lt;FQL&gt;&lt;Q&gt;LUV-US^FREF_MARKET_VALUE_COMPANY(12/2019,,,,,0,,"LEGACY")&lt;/Q&gt;&lt;R&gt;1&lt;/R&gt;&lt;C&gt;1&lt;/C&gt;&lt;D xsi:type="xsd:double"&gt;28408.3848811602&lt;/D&gt;&lt;/FQL&gt;&lt;FQL&gt;&lt;Q&gt;SKYW-US^FREF_MARKET_VALUE_COMPANY(12/2019,,,,,0,,"LEGACY")&lt;/Q&gt;&lt;R&gt;1&lt;/R&gt;&lt;C&gt;1&lt;/C&gt;&lt;D xsi:type="xsd:double"&gt;3258.70918421508&lt;/D&gt;&lt;/FQL&gt;&lt;FQL&gt;&lt;Q&gt;DAL-US^FF_SHLDRS_EQ(ANN_R,12/2020,,,,,B)&lt;/Q&gt;&lt;R&gt;1&lt;/R&gt;&lt;C&gt;1&lt;/C&gt;&lt;D xsi:type="xsd:double"&gt;1.534&lt;/D&gt;&lt;/FQL&gt;&lt;FQL&gt;&lt;Q&gt;DAL-US^FREF_MARKET_VALUE_COMPANY(12/2020,,,,,0,,"LEGACY")&lt;/Q&gt;&lt;R&gt;1&lt;/R&gt;&lt;C&gt;1&lt;/C&gt;&lt;D xsi:type="xsd:double"&gt;25643.2961806632&lt;/D&gt;&lt;/FQL&gt;&lt;FQL&gt;&lt;Q&gt;AC-CA^FREF_MARKET_VALUE_COMPANY(12/2020,,,,,0,,"LEGACY")&lt;/Q&gt;&lt;R&gt;1&lt;/R&gt;&lt;C&gt;1&lt;/C&gt;&lt;D xsi:type="xsd:double"&gt;3178.08800014044&lt;/D&gt;&lt;/FQL&gt;&lt;FQL&gt;&lt;Q&gt;AAL-US^FREF_MARKET_VALUE_COMPANY(12/2020,,,,,0,,"LEGACY")&lt;/Q&gt;&lt;R&gt;1&lt;/R&gt;&lt;C&gt;1&lt;/C&gt;&lt;D xsi:type="xsd:double"&gt;9800.73187628761&lt;/D&gt;&lt;/FQL&gt;&lt;FQL&gt;&lt;Q&gt;ALK-US^FREF_MARKET_VALUE_COMPANY(12/2020,,,,,0,,"LEGACY")&lt;/Q&gt;&lt;R&gt;1&lt;/R&gt;&lt;C&gt;1&lt;/C&gt;&lt;D xsi:type="xsd:double"&gt;6430.51657104492&lt;/D&gt;&lt;/FQL&gt;&lt;FQL&gt;&lt;Q&gt;LUV-US^FREF_MARKET_VALUE_COMPANY(12/2020,,,,,0,,"LEGACY")&lt;/Q&gt;&lt;R&gt;1&lt;/R&gt;&lt;C&gt;1&lt;/C&gt;&lt;D xsi:type="xsd:double"&gt;27512.6282130573&lt;/D&gt;&lt;/FQL&gt;&lt;FQL&gt;&lt;Q&gt;SKYW-US^FREF_MARKET_VALUE_COMPANY(12/2020,,,,,0,,"LEGACY")&lt;/Q&gt;&lt;R&gt;1&lt;/R&gt;&lt;C&gt;1&lt;/C&gt;&lt;D xsi:type="xsd:double"&gt;2021.15036392388&lt;/D&gt;&lt;/FQL&gt;&lt;FQL&gt;&lt;Q&gt;DAL-US^FF_SHLDRS_EQ(ANN_R,12/2020)&lt;/Q&gt;&lt;R&gt;1&lt;/R&gt;&lt;C&gt;1&lt;/C&gt;&lt;D xsi:type="xsd:double"&gt;1534&lt;/D&gt;&lt;/FQL&gt;&lt;FQL&gt;&lt;Q&gt;DAL-US^FF_EBIT_OPER(ANN_R,12/2020)&lt;/Q&gt;&lt;R&gt;1&lt;/R&gt;&lt;C&gt;1&lt;/C&gt;&lt;D xsi:type="xsd:double"&gt;-8281&lt;/D&gt;&lt;/FQL&gt;&lt;FQL&gt;&lt;Q&gt;DAL-US^FF_FISCAL_DATE(ANN_R,-8,,,,"DATEM")&lt;/Q&gt;&lt;R&gt;1&lt;/R&gt;&lt;C&gt;1&lt;/C&gt;&lt;D xsi:type="xsd:string"&gt;12/2012&lt;/D&gt;&lt;/FQL&gt;&lt;FQL&gt;&lt;Q&gt;DAL-US^FF_FISCAL_DATE(ANN_R,-7,,,,"DATEM")&lt;/Q&gt;&lt;R&gt;1&lt;/R&gt;&lt;C&gt;1&lt;/C&gt;&lt;D xsi:type="xsd:string"&gt;12/2013&lt;/D&gt;&lt;/FQL&gt;&lt;FQL&gt;&lt;Q&gt;DAL-US^FF_FISCAL_DATE(ANN_R,-6,,,,"DATEM")&lt;/Q&gt;&lt;R&gt;1&lt;/R&gt;&lt;C&gt;1&lt;/C&gt;&lt;D xsi:type="xsd:string"&gt;12/2014&lt;/D&gt;&lt;/FQL&gt;&lt;FQL&gt;&lt;Q&gt;DAL-US^FF_FISCAL_DATE(ANN_R,-5,,,,"DATEM")&lt;/Q&gt;&lt;R&gt;1&lt;/R&gt;&lt;C&gt;1&lt;/C&gt;&lt;D xsi:type="xsd:string"&gt;12/2015&lt;/D&gt;&lt;/FQL&gt;&lt;FQL&gt;&lt;Q&gt;DAL-US^FF_FISCAL_DATE(ANN_R,-4,,,,"DATEM")&lt;/Q&gt;&lt;R&gt;1&lt;/R&gt;&lt;C&gt;1&lt;/C&gt;&lt;D xsi:type="xsd:string"&gt;12/2016&lt;/D&gt;&lt;/FQL&gt;&lt;FQL&gt;&lt;Q&gt;DAL-US^FF_FISCAL_DATE(ANN_R,-3,,,,"DATEM")&lt;/Q&gt;&lt;R&gt;1&lt;/R&gt;&lt;C&gt;1&lt;/C&gt;&lt;D xsi:type="xsd:string"&gt;12/2017&lt;/D&gt;&lt;/FQL&gt;&lt;FQL&gt;&lt;Q&gt;DAL-US^FF_FISCAL_DATE(ANN_R,-2,,,,"DATEM")&lt;/Q&gt;&lt;R&gt;1&lt;/R&gt;&lt;C&gt;1&lt;/C&gt;&lt;D xsi:type="xsd:string"&gt;12/2018&lt;/D&gt;&lt;/FQL&gt;&lt;FQL&gt;&lt;Q&gt;DAL-US^FF_FISCAL_DATE(ANN_R,-1,,,,"DATEM")&lt;/Q&gt;&lt;R&gt;1&lt;/R&gt;&lt;C&gt;1&lt;/C&gt;&lt;D xsi:type="xsd:string"&gt;12/2019&lt;/D&gt;&lt;/FQL&gt;&lt;FQL&gt;&lt;Q&gt;DAL-US^FF_FISCAL_DATE(ANN_R,0,,,,"DATEM")&lt;/Q&gt;&lt;R&gt;1&lt;/R&gt;&lt;C&gt;1&lt;/C&gt;&lt;D xsi:type="xsd:string"&gt;12/2020&lt;/D&gt;&lt;/FQL&gt;&lt;FQL&gt;&lt;Q&gt;AAL-US^FF_SHLDRS_EQ(ANN_R,12/2012)&lt;/Q&gt;&lt;R&gt;1&lt;/R&gt;&lt;C&gt;1&lt;/C&gt;&lt;D xsi:type="xsd:double"&gt;-7987&lt;/D&gt;&lt;/FQL&gt;&lt;FQL&gt;&lt;Q&gt;DAL-US^FREF_MARKET_VALUE_COMPANY(12/2020,,,,,1,,"LEGACY")&lt;/Q&gt;&lt;R&gt;1&lt;/R&gt;&lt;C&gt;1&lt;/C&gt;&lt;D xsi:type="xsd:double"&gt;25643.2961806632&lt;/D&gt;&lt;/FQL&gt;&lt;FQL&gt;&lt;Q&gt;ALK-US^FF_SHLDRS_EQ(ANN_R,12/2020)&lt;/Q&gt;&lt;R&gt;1&lt;/R&gt;&lt;C&gt;1&lt;/C&gt;&lt;D xsi:type="xsd:double"&gt;2988&lt;/D&gt;&lt;/FQL&gt;&lt;FQL&gt;&lt;Q&gt;ALK-US^FF_EBIT_OPER(ANN_R,12/2019)&lt;/Q&gt;&lt;R&gt;1&lt;/R&gt;&lt;C&gt;1&lt;/C&gt;&lt;D xsi:type="xsd:double"&gt;1120&lt;/D&gt;&lt;/FQL&gt;&lt;FQL&gt;&lt;Q&gt;ALK-US^FF_SHLDRS_EQ(ANN_R,12/2019)&lt;/Q&gt;&lt;R&gt;1&lt;/R&gt;&lt;C&gt;1&lt;/C&gt;&lt;D xsi:type="xsd:double"&gt;4331&lt;/D&gt;&lt;/FQL&gt;&lt;FQL&gt;&lt;Q&gt;ALK-US^FF_EBIT_OPER(ANN_R,12/2018)&lt;/Q&gt;&lt;R&gt;1&lt;/R&gt;&lt;C&gt;1&lt;/C&gt;&lt;D xsi:type="xsd:double"&gt;732&lt;/D&gt;&lt;/FQL&gt;&lt;FQL&gt;&lt;Q&gt;ALK-US^FF_SHLDRS_EQ(ANN_R,12/2018)&lt;/Q&gt;&lt;R&gt;1&lt;/R&gt;&lt;C&gt;1&lt;/C&gt;&lt;D xsi:type="xsd:double"&gt;3751&lt;/D&gt;&lt;/FQL&gt;&lt;FQL&gt;&lt;Q&gt;ALK-US^FF_EBIT_OPER(ANN_R,12/2017)&lt;/Q&gt;&lt;R&gt;1&lt;/R&gt;&lt;C&gt;1&lt;/C&gt;&lt;D xsi:type="xsd:double"&gt;1339&lt;/D&gt;&lt;/FQL&gt;&lt;FQL&gt;&lt;Q&gt;ALK-US^FF_SHLDRS_EQ(ANN_R,12/2017)&lt;/Q&gt;&lt;R&gt;1&lt;/R&gt;&lt;C&gt;1&lt;/C&gt;&lt;D xsi:type="xsd:double"&gt;3460&lt;/D&gt;&lt;/FQL&gt;&lt;FQL&gt;&lt;Q&gt;ALK-US^FF_EBIT_OPER(ANN_R,12/2016)&lt;/Q&gt;&lt;R&gt;1&lt;/R&gt;&lt;C&gt;1&lt;/C&gt;&lt;D xsi:type="xsd:double"&gt;1475&lt;/D&gt;&lt;/FQL&gt;&lt;FQL&gt;&lt;Q&gt;ALK-US^FF_SHLDRS_EQ(ANN_R,12/2016)&lt;/Q&gt;&lt;R&gt;1&lt;/R&gt;&lt;C&gt;1&lt;/C&gt;&lt;D xsi:type="xsd:double"&gt;2931&lt;/D&gt;&lt;/FQL&gt;&lt;FQL&gt;&lt;Q&gt;ALK-US^FF_EBIT_OPER(ANN_R,12/2015)&lt;/Q&gt;&lt;R&gt;1&lt;/R&gt;&lt;C&gt;1&lt;/C&gt;&lt;D xsi:type="xsd:double"&gt;1355&lt;/D&gt;&lt;/FQL&gt;&lt;FQL&gt;&lt;Q&gt;ALK-US^FF_SHLDRS_EQ(ANN_R,12/2015)&lt;/Q&gt;&lt;R&gt;1&lt;/R&gt;&lt;C&gt;1&lt;/C&gt;&lt;D xsi:type="xsd:double"&gt;2411&lt;/D&gt;&lt;/FQL&gt;&lt;FQL&gt;&lt;Q&gt;ALK-US^FF_EBIT_OPER(ANN_R,12/2014)&lt;/Q&gt;&lt;R&gt;1&lt;/R&gt;&lt;C&gt;1&lt;/C&gt;&lt;D xsi:type="xsd:double"&gt;956&lt;/D&gt;&lt;/FQL&gt;&lt;FQL&gt;&lt;Q&gt;ALK-US^FF_SHLDRS_EQ(ANN_R,12/2014)&lt;/Q&gt;&lt;R&gt;1&lt;/R&gt;&lt;C&gt;1&lt;/C&gt;&lt;D xsi:type="xsd:double"&gt;2127&lt;/D&gt;&lt;/FQL&gt;&lt;FQL&gt;&lt;Q&gt;ALK-US^FF_EBIT_OPER(ANN_R,12/2013)&lt;/Q&gt;&lt;R&gt;1&lt;/R&gt;&lt;C&gt;1&lt;/C&gt;&lt;D xsi:type="xsd:double"&gt;696&lt;/D&gt;&lt;/FQL&gt;&lt;FQL&gt;&lt;Q&gt;ALK-US^FF_SHLDRS_EQ(ANN_R,12/2013)&lt;/Q&gt;&lt;R&gt;1&lt;/R&gt;&lt;C&gt;1&lt;/C&gt;&lt;D xsi:type="xsd:double"&gt;2029&lt;/D&gt;&lt;/FQL&gt;&lt;FQL&gt;&lt;Q&gt;ALK-US^FF_EBIT_OPER(ANN_R,12/2012)&lt;/Q&gt;&lt;R&gt;1&lt;/R&gt;&lt;C&gt;1&lt;/C&gt;&lt;D xsi:type="xsd:double"&gt;600&lt;/D&gt;&lt;/FQL&gt;&lt;FQL&gt;&lt;Q&gt;ALK-US^FF_SHLDRS_EQ(ANN_R,12/2012)&lt;/Q&gt;&lt;R&gt;1&lt;/R&gt;&lt;C&gt;1&lt;/C&gt;&lt;D xsi:type="xsd:double"&gt;1421&lt;/D&gt;&lt;/FQL&gt;&lt;FQL&gt;&lt;Q&gt;LUV-US^FF_EBIT_OPER(ANN_R,12/2020)&lt;/Q&gt;&lt;R&gt;1&lt;/R&gt;&lt;C&gt;1&lt;/C&gt;&lt;D xsi:type="xsd:double"&gt;-4713&lt;/D&gt;&lt;/FQL&gt;&lt;FQL&gt;&lt;Q&gt;LUV-US^FF_SHLDRS_EQ(ANN_R,12/2020)&lt;/Q&gt;&lt;R&gt;1&lt;/R&gt;&lt;C&gt;1&lt;/C&gt;&lt;D xsi:type="xsd:double"&gt;8876&lt;/D&gt;&lt;/FQL&gt;&lt;FQL&gt;&lt;Q&gt;LUV-US^FF_EBIT_OPER(ANN_R,12/2019)&lt;/Q&gt;&lt;R&gt;1&lt;/R&gt;&lt;C&gt;1&lt;/C&gt;&lt;D xsi:type="xsd:double"&gt;3005&lt;/D&gt;&lt;/FQL&gt;&lt;FQL&gt;&lt;Q&gt;LUV-US^FF_SHLDRS_EQ(ANN_R,12/2019)&lt;/Q&gt;&lt;R&gt;1&lt;/R&gt;&lt;C&gt;1&lt;/C&gt;&lt;D xsi:type="xsd:double"&gt;9832&lt;/D&gt;&lt;/FQL&gt;&lt;FQL&gt;&lt;Q&gt;LUV-US^FF_EBIT_OPER(ANN_R,12/2018)&lt;/Q&gt;&lt;R&gt;1&lt;/R&gt;&lt;C&gt;1&lt;/C&gt;&lt;D xsi:type="xsd:double"&gt;3173&lt;/D&gt;&lt;/FQL&gt;&lt;FQL&gt;&lt;Q&gt;LUV-US^FF_SHLDRS_EQ(ANN_R,12/2018)&lt;/Q&gt;&lt;R&gt;1&lt;/R&gt;&lt;C&gt;1&lt;/C&gt;&lt;D xsi:type="xsd:double"&gt;9853&lt;/D&gt;&lt;/FQL&gt;&lt;FQL&gt;&lt;Q&gt;LUV-US^FF_EBIT_OPER(ANN_R,12/2017)&lt;/Q&gt;&lt;R&gt;1&lt;/R&gt;&lt;C&gt;1&lt;/C&gt;&lt;D xsi:type="xsd:double"&gt;3959&lt;/D&gt;&lt;/FQL&gt;&lt;FQL&gt;&lt;Q&gt;LUV-US^FF_SHLDRS_EQ(ANN_R,12/2017)&lt;/Q&gt;&lt;R&gt;1&lt;/R&gt;&lt;C&gt;1&lt;/C&gt;&lt;D xsi:type="xsd:double"&gt;9641&lt;/D&gt;&lt;/FQL&gt;&lt;FQL&gt;&lt;Q&gt;LUV-US^FF_EBIT_OPER(ANN_R,12/2016)&lt;/Q&gt;&lt;R&gt;1&lt;/R&gt;&lt;C&gt;1&lt;/C&gt;&lt;D xsi:type="xsd:double"&gt;3522&lt;/D&gt;&lt;/FQL&gt;&lt;FQL&gt;&lt;Q&gt;LUV-US^FF_SHLDRS_EQ(ANN_R,12/2016)&lt;/Q&gt;&lt;R&gt;1&lt;/R&gt;&lt;C&gt;1&lt;/C&gt;&lt;D xsi:type="xsd:double"&gt;8441&lt;/D&gt;&lt;/FQL&gt;&lt;FQL&gt;&lt;Q&gt;LUV-US^FF_EBIT_OPER(ANN_R,12/2015)&lt;/Q&gt;&lt;R&gt;1&lt;/R&gt;&lt;C&gt;1&lt;/C&gt;&lt;D xsi:type="xsd:double"&gt;4570&lt;/D&gt;&lt;/FQL&gt;&lt;FQL&gt;&lt;Q&gt;LUV-US^FF_SHLDRS_EQ(ANN_R,12/2015)&lt;/Q&gt;&lt;R&gt;1&lt;/R&gt;&lt;C&gt;1&lt;/C&gt;&lt;D xsi:type="xsd:double"&gt;7358&lt;/D&gt;&lt;/FQL&gt;&lt;FQL&gt;&lt;Q&gt;LUV-US^FF_EBIT_OPER(ANN_R,12/2014)&lt;/Q&gt;&lt;R&gt;1&lt;/R&gt;&lt;C&gt;1&lt;/C&gt;&lt;D xsi:type="xsd:double"&gt;2317&lt;/D&gt;&lt;/FQL&gt;&lt;FQL&gt;&lt;Q&gt;LUV-US^FF_SHLDRS_EQ(ANN_R,12/2014)&lt;/Q&gt;&lt;R&gt;1&lt;/R&gt;&lt;C&gt;1&lt;/C&gt;&lt;D xsi:type="xsd:double"&gt;6775&lt;/D&gt;&lt;/FQL&gt;&lt;FQL&gt;&lt;Q&gt;LUV-US^FF_EBIT_OPER(ANN_R,12/2013)&lt;/Q&gt;&lt;R&gt;1&lt;/R&gt;&lt;C&gt;1&lt;/C&gt;&lt;D xsi:type="xsd:double"&gt;1199&lt;/D&gt;&lt;/FQL&gt;&lt;FQL&gt;&lt;Q&gt;LUV-US^FF_SHLDRS_EQ(ANN_R,12/2013)&lt;/Q&gt;&lt;R&gt;1&lt;/R&gt;&lt;C&gt;1&lt;/C&gt;&lt;D xsi:type="xsd:double"&gt;7336&lt;/D&gt;&lt;/FQL&gt;&lt;FQL&gt;&lt;Q&gt;LUV-US^FF_EBIT_OPER(ANN_R,12/2012)&lt;/Q&gt;&lt;R&gt;1&lt;/R&gt;&lt;C&gt;1&lt;/C&gt;&lt;D xsi:type="xsd:double"&gt;907&lt;/D&gt;&lt;/FQL&gt;&lt;FQL&gt;&lt;Q&gt;LUV-US^FF_SHLDRS_EQ(ANN_R,12/2012)&lt;/Q&gt;&lt;R&gt;1&lt;/R&gt;&lt;C&gt;1&lt;/C&gt;&lt;D xsi:type="xsd:double"&gt;6992&lt;/D&gt;&lt;/FQL&gt;&lt;FQL&gt;&lt;Q&gt;SKYW-US^FF_EBIT_OPER(ANN_R,12/2020)&lt;/Q&gt;&lt;R&gt;1&lt;/R&gt;&lt;C&gt;1&lt;/C&gt;&lt;D xsi:type="xsd:double"&gt;-236.689&lt;/D&gt;&lt;/FQL&gt;&lt;FQL&gt;&lt;Q&gt;SKYW-US^FF_SHLDRS_EQ(ANN_R,12/2020)&lt;/Q&gt;&lt;R&gt;1&lt;/R&gt;&lt;C&gt;1&lt;/C&gt;&lt;D xsi:type="xsd:double"&gt;2139.545&lt;/D&gt;&lt;/FQL&gt;&lt;FQL&gt;&lt;Q&gt;SKYW-US^FF_EBIT_OPER(ANN_R,12/2019)&lt;/Q&gt;&lt;R&gt;1&lt;/R&gt;&lt;C&gt;1&lt;/C&gt;&lt;D xsi:type="xsd:double"&gt;534.127&lt;/D&gt;&lt;/FQL&gt;&lt;FQL&gt;&lt;Q&gt;SKYW-US^FF_SHLDRS_EQ(ANN_R,12/2019)&lt;/Q&gt;&lt;R&gt;1&lt;/R&gt;&lt;C&gt;1&lt;/C&gt;&lt;D xsi:type="xsd:double"&gt;2175.014&lt;/D&gt;&lt;/FQL&gt;&lt;FQL&gt;&lt;Q&gt;SKYW-US^FF_EBIT_OPER(ANN_R,12/2018)&lt;/Q&gt;&lt;R&gt;1&lt;/R&gt;&lt;C&gt;1&lt;/C&gt;&lt;D xsi:type="xsd:double"&gt;474.28&lt;/D&gt;&lt;/FQL&gt;&lt;FQL&gt;&lt;Q&gt;SKYW-US^FF_SHLDRS_EQ(ANN_R,12/2018)&lt;/Q&gt;&lt;R&gt;1&lt;/R&gt;&lt;C&gt;1&lt;/C&gt;&lt;D xsi:type="xsd:double"&gt;1964.281&lt;/D&gt;&lt;/FQL&gt;&lt;FQL&gt;&lt;Q&gt;SKYW-US^FF_EBIT_OPER(ANN_R,12/2017)&lt;/Q&gt;&lt;R&gt;1&lt;/R&gt;&lt;C&gt;1&lt;/C&gt;&lt;D xsi:type="xsd:double"&gt;388.199&lt;/D&gt;&lt;/FQL&gt;&lt;FQL&gt;&lt;Q&gt;SKYW-US^FF_SHLDRS_EQ(ANN_R,12/2017)&lt;/Q&gt;&lt;R&gt;1&lt;/R&gt;&lt;C&gt;1&lt;/C&gt;&lt;D xsi:type="xsd:double"&gt;1754.322&lt;/D&gt;&lt;/FQL&gt;&lt;FQL&gt;&lt;Q&gt;SKYW-US^FF_EBIT_OPER(ANN_R,12/2016)&lt;/Q&gt;&lt;R&gt;1&lt;/R&gt;&lt;C&gt;1&lt;/C&gt;&lt;D xsi:type="xsd:double"&gt;292.965&lt;/D&gt;&lt;/FQL&gt;&lt;FQL&gt;&lt;Q&gt;SKYW-US^FF_SHLDRS_EQ(ANN_R,12/2016)&lt;/Q&gt;&lt;R&gt;1&lt;/R&gt;&lt;C&gt;1&lt;/C&gt;&lt;D xsi:type="xsd:double"&gt;1350.943&lt;/D&gt;&lt;/FQL&gt;&lt;FQL&gt;&lt;Q&gt;SKYW-US^FF_EBIT_OPER(ANN_R,12/2015)&lt;/Q&gt;&lt;R&gt;1&lt;/R&gt;&lt;C&gt;1&lt;/C&gt;&lt;D xsi:type="xsd:double"&gt;234.515&lt;/D&gt;&lt;/FQL&gt;&lt;FQL&gt;&lt;Q&gt;SKYW-US^FF_SHLDRS_EQ(ANN_R,12/2015)&lt;/Q&gt;&lt;R&gt;1&lt;/R&gt;&lt;C&gt;1&lt;/C&gt;&lt;D xsi:type="xsd:double"&gt;1506.435&lt;/D&gt;&lt;/FQL&gt;&lt;FQL&gt;&lt;Q&gt;SKYW-US^FF_EBIT_OPER(ANN_R,12/2014)&lt;/Q&gt;&lt;R&gt;1&lt;/R&gt;&lt;C&gt;1&lt;/C&gt;&lt;D xsi:type="xsd:double"&gt;99.625&lt;/D&gt;&lt;/FQL&gt;&lt;FQL&gt;&lt;Q&gt;SKYW-US^FF_SHLDRS_EQ(ANN_R,12/2014)&lt;/Q&gt;&lt;R&gt;1&lt;/R&gt;&lt;C&gt;1&lt;/C&gt;&lt;D xsi:type="xsd:double"&gt;1400.346&lt;/D&gt;&lt;/FQL&gt;&lt;FQL&gt;&lt;Q&gt;SKYW-US^FF_EBIT_OPER(ANN_R,12/2013)&lt;/Q&gt;&lt;R&gt;1&lt;/R&gt;&lt;C&gt;1&lt;/C&gt;&lt;D xsi:type="xsd:double"&gt;153.111&lt;/D&gt;&lt;/FQL&gt;&lt;FQL&gt;&lt;Q&gt;SKYW-US^FF_SHLDRS_EQ(ANN_R,12/2013)&lt;/Q&gt;&lt;R&gt;1&lt;/R&gt;&lt;C&gt;1&lt;/C&gt;&lt;D xsi:type="xsd:double"&gt;1434.939&lt;/D&gt;&lt;/FQL&gt;&lt;FQL&gt;&lt;Q&gt;SKYW-US^FF_EBIT_OPER(ANN_R,12/2012)&lt;/Q&gt;&lt;R&gt;1&lt;/R&gt;&lt;C&gt;1&lt;/C&gt;&lt;D xsi:type="xsd:double"&gt;165.987&lt;/D&gt;&lt;/FQL&gt;&lt;FQL&gt;&lt;Q&gt;SKYW-US^FF_SHLDRS_EQ(ANN_R,12/2012)&lt;/Q&gt;&lt;R&gt;1&lt;/R&gt;&lt;C&gt;1&lt;/C&gt;&lt;D xsi:type="xsd:double"&gt;1387.175&lt;/D&gt;&lt;/FQL&gt;&lt;FQL&gt;&lt;Q&gt;AAPL-US^FF_COMP_STK_CF(ANN_R,12/2020,,,,,B,"D=1")&lt;/Q&gt;&lt;R&gt;0&lt;/R&gt;&lt;C&gt;0&lt;/C&gt;&lt;/FQL&gt;&lt;FQL&gt;&lt;Q&gt;AAPL-US^FF_COMP_STK_CF(ANN_R,0,,,,,B,"D=1")&lt;/Q&gt;&lt;R&gt;0&lt;/R&gt;&lt;C&gt;0&lt;/C&gt;&lt;/FQL&gt;&lt;FQL&gt;&lt;Q&gt;AAPL-US^FB_NON_INT_EXP_ESOP(ANN,0,,,RF,,B)&lt;/Q&gt;&lt;R&gt;0&lt;/R&gt;&lt;C&gt;0&lt;/C&gt;&lt;/FQL&gt;&lt;FQL&gt;&lt;Q&gt;DAL-US^FB_NON_INT_EXP_ESOP(ANN,0,,,RF,,B)&lt;/Q&gt;&lt;R&gt;0&lt;/R&gt;&lt;C&gt;0&lt;/C&gt;&lt;/FQL&gt;&lt;FQL&gt;&lt;Q&gt;AAPL-US^FF_STK_COMPENS_PTX(ANN_R,0,,,,,B,"D=1")&lt;/Q&gt;&lt;R&gt;0&lt;/R&gt;&lt;C&gt;0&lt;/C&gt;&lt;/FQL&gt;&lt;FQL&gt;&lt;Q&gt;DAL-US^FF_STK_COMPENS_PTX(ANN_R,0,,,,,B,"D=1")&lt;/Q&gt;&lt;R&gt;0&lt;/R&gt;&lt;C&gt;0&lt;/C&gt;&lt;/FQL&gt;&lt;FQL&gt;&lt;Q&gt;AAPL-US^FF_STK_OPT_EXP_COGS(ANN_R,0,,,,,B)&lt;/Q&gt;&lt;R&gt;0&lt;/R&gt;&lt;C&gt;0&lt;/C&gt;&lt;/FQL&gt;&lt;FQL&gt;&lt;Q&gt;DAL-US^FF_STK_OPT_EXP_COGS(ANN_R,0,,,,,B)&lt;/Q&gt;&lt;R&gt;0&lt;/R&gt;&lt;C&gt;0&lt;/C&gt;&lt;/FQL&gt;&lt;FQL&gt;&lt;Q&gt;AAPL-US^FF_STK_OPT_CF(ANN_R,0,,,,,B)&lt;/Q&gt;&lt;R&gt;1&lt;/R&gt;&lt;C&gt;1&lt;/C&gt;&lt;D xsi:type="xsd:double"&gt;7.906&lt;/D&gt;&lt;/FQL&gt;&lt;FQL&gt;&lt;Q&gt;DAL-US^FF_STK_OPT_CF(ANN_R,0,,,,,B)&lt;/Q&gt;&lt;R&gt;0&lt;/R&gt;&lt;C&gt;0&lt;/C&gt;&lt;/FQL&gt;&lt;FQL&gt;&lt;Q&gt;AAPL-US^FF_STK_OPT_EXP_OTH(ANN_R,0,,,,,B)&lt;/Q&gt;&lt;R&gt;0&lt;/R&gt;&lt;C&gt;0&lt;/C&gt;&lt;/FQL&gt;&lt;FQL&gt;&lt;Q&gt;DAL-US^FF_STK_OPT_EXP_OTH(ANN_R,0,,,,,B)&lt;/Q&gt;&lt;R&gt;0&lt;/R&gt;&lt;C&gt;0&lt;/C&gt;&lt;/FQL&gt;&lt;FQL&gt;&lt;Q&gt;AAPL-US^FF_STK_OPT_EXP_GA(ANN_R,0,,,,,B)&lt;/Q&gt;&lt;R&gt;0&lt;/R&gt;&lt;C&gt;0&lt;/C&gt;&lt;/FQL&gt;&lt;FQL&gt;&lt;Q&gt;DAL-US^FF_STK_OPT_EXP_GA(ANN_R,0,,,,,B)&lt;/Q&gt;&lt;R&gt;0&lt;/R&gt;&lt;C&gt;0&lt;/C&gt;&lt;/FQL&gt;&lt;FQL&gt;&lt;Q&gt;AAPL-US^FF_COMP_STK_TAX(ANN_R,0,,,,,B,"D=1")&lt;/Q&gt;&lt;R&gt;0&lt;/R&gt;&lt;C&gt;0&lt;/C&gt;&lt;/FQL&gt;&lt;FQL&gt;&lt;Q&gt;DAL-US^FF_COMP_STK_TAX(ANN_R,0,,,,,B,"D=1")&lt;/Q&gt;&lt;R&gt;0&lt;/R&gt;&lt;C&gt;0&lt;/C&gt;&lt;/FQL&gt;&lt;FQL&gt;&lt;Q&gt;DAL-US^FF_COMP_STK_CF(ANN_R,0,,,,,B,"D=1")&lt;/Q&gt;&lt;R&gt;0&lt;/R&gt;&lt;C&gt;0&lt;/C&gt;&lt;/FQL&gt;&lt;FQL&gt;&lt;Q&gt;DAL-US^FE_RATING(MEAN,NOTE,0,NOW,,,'')&lt;/Q&gt;&lt;R&gt;1&lt;/R&gt;&lt;C&gt;1&lt;/C&gt;&lt;D xsi:type="xsd:double"&gt;1.4347826&lt;/D&gt;&lt;/FQL&gt;&lt;FQL&gt;&lt;Q&gt;DAL-US^FF_SHLDRS_EQ(ANN_R,0,,,,,B)&lt;/Q&gt;&lt;R&gt;1&lt;/R&gt;&lt;C&gt;1&lt;/C&gt;&lt;D xsi:type="xsd:double"&gt;1.534&lt;/D&gt;&lt;/FQL&gt;&lt;/Schema&gt;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ctownsend</author>
    <author>FDS User</author>
  </authors>
  <commentList>
    <comment ref="J21" authorId="0" shapeId="0" xr:uid="{00000000-0006-0000-0100-000001000000}">
      <text>
        <r>
          <rPr>
            <sz val="8"/>
            <color indexed="81"/>
            <rFont val="Tahoma"/>
            <family val="2"/>
          </rPr>
          <t>Note that FactSet's BETA function can be fully customized. See Online Assistant Page #1587.</t>
        </r>
      </text>
    </comment>
    <comment ref="J33" authorId="1" shapeId="0" xr:uid="{00000000-0006-0000-0100-000002000000}">
      <text>
        <r>
          <rPr>
            <sz val="9"/>
            <color indexed="81"/>
            <rFont val="Tahoma"/>
            <family val="2"/>
          </rPr>
          <t xml:space="preserve">Last Twelve Months
</t>
        </r>
      </text>
    </comment>
    <comment ref="C100" authorId="0" shapeId="0" xr:uid="{00000000-0006-0000-0100-000003000000}">
      <text>
        <r>
          <rPr>
            <sz val="8"/>
            <color indexed="81"/>
            <rFont val="Tahoma"/>
            <family val="2"/>
          </rPr>
          <t>Value driven by Growth toggle.</t>
        </r>
      </text>
    </comment>
    <comment ref="C111" authorId="0" shapeId="0" xr:uid="{00000000-0006-0000-0100-000004000000}">
      <text>
        <r>
          <rPr>
            <sz val="8"/>
            <color indexed="81"/>
            <rFont val="Tahoma"/>
            <family val="2"/>
          </rPr>
          <t>Value driven by Size toggle.</t>
        </r>
      </text>
    </comment>
    <comment ref="C112" authorId="0" shapeId="0" xr:uid="{00000000-0006-0000-0100-000005000000}">
      <text>
        <r>
          <rPr>
            <sz val="8"/>
            <color indexed="81"/>
            <rFont val="Tahoma"/>
            <family val="2"/>
          </rPr>
          <t>Value driven by Size toggle.</t>
        </r>
      </text>
    </comment>
    <comment ref="C144" authorId="0" shapeId="0" xr:uid="{00000000-0006-0000-0100-000006000000}">
      <text>
        <r>
          <rPr>
            <sz val="8"/>
            <color indexed="81"/>
            <rFont val="Tahoma"/>
            <family val="2"/>
          </rPr>
          <t>Value driven by Profitability toggle.</t>
        </r>
      </text>
    </comment>
    <comment ref="C145" authorId="0" shapeId="0" xr:uid="{00000000-0006-0000-0100-000007000000}">
      <text>
        <r>
          <rPr>
            <sz val="8"/>
            <color indexed="81"/>
            <rFont val="Tahoma"/>
            <family val="2"/>
          </rPr>
          <t>Value driven by Profitability toggle.</t>
        </r>
      </text>
    </comment>
    <comment ref="C159" authorId="0" shapeId="0" xr:uid="{00000000-0006-0000-0100-000008000000}">
      <text>
        <r>
          <rPr>
            <sz val="8"/>
            <color indexed="81"/>
            <rFont val="Tahoma"/>
            <family val="2"/>
          </rPr>
          <t>Value driven by Coverage toggle.</t>
        </r>
      </text>
    </comment>
    <comment ref="C181" authorId="0" shapeId="0" xr:uid="{00000000-0006-0000-0100-000009000000}">
      <text>
        <r>
          <rPr>
            <sz val="8"/>
            <color indexed="81"/>
            <rFont val="Tahoma"/>
            <family val="2"/>
          </rPr>
          <t>Value driven by PEG toggle.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mberry</author>
  </authors>
  <commentList>
    <comment ref="G5" authorId="0" shapeId="0" xr:uid="{00000000-0006-0000-0300-000001000000}">
      <text>
        <r>
          <rPr>
            <b/>
            <sz val="8"/>
            <color indexed="81"/>
            <rFont val="Tahoma"/>
            <family val="2"/>
          </rPr>
          <t>mberry:</t>
        </r>
        <r>
          <rPr>
            <sz val="8"/>
            <color indexed="81"/>
            <rFont val="Tahoma"/>
            <family val="2"/>
          </rPr>
          <t xml:space="preserve">
Note: This is a broker ACTUAL figure, not the as-reported figure. It is adjusted according to brokers' methodology so may differ to those figures in the financial reports.</t>
        </r>
      </text>
    </comment>
    <comment ref="H5" authorId="0" shapeId="0" xr:uid="{00000000-0006-0000-0300-000002000000}">
      <text>
        <r>
          <rPr>
            <b/>
            <sz val="8"/>
            <color indexed="81"/>
            <rFont val="Tahoma"/>
            <family val="2"/>
          </rPr>
          <t>mberry:</t>
        </r>
        <r>
          <rPr>
            <sz val="8"/>
            <color indexed="81"/>
            <rFont val="Tahoma"/>
            <family val="2"/>
          </rPr>
          <t xml:space="preserve">
Note: This is a broker ACTUAL figure, not the as-reported figure. It is adjusted according to brokers' methodology so may differ to those figures in the financial reports.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tc={D817D853-5C15-44FE-B34F-F7B695BC158B}</author>
  </authors>
  <commentList>
    <comment ref="O69" authorId="0" shapeId="0" xr:uid="{D817D853-5C15-44FE-B34F-F7B695BC158B}">
      <text>
        <t>[Threaded comment]
Your version of Excel allows you to read this threaded comment; however, any edits to it will get removed if the file is opened in a newer version of Excel. Learn more: https://go.microsoft.com/fwlink/?linkid=870924
Comment:
    No Lease adj has they have been capitalized since 2011</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tc={21EEB850-CA15-473D-82FA-82364F04E8FA}</author>
  </authors>
  <commentList>
    <comment ref="C16"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Included since 2020 in PP&amp;E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tc={02D07C7A-3423-4FE0-AF30-40FEA75C83CA}</author>
  </authors>
  <commentList>
    <comment ref="C16" authorId="0" shapeId="0" xr:uid="{02D07C7A-3423-4FE0-AF30-40FEA75C83CA}">
      <text>
        <t>[Threaded comment]
Your version of Excel allows you to read this threaded comment; however, any edits to it will get removed if the file is opened in a newer version of Excel. Learn more: https://go.microsoft.com/fwlink/?linkid=870924
Comment:
    Included since 2020 in PP&amp;E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tc={1A66EC94-7593-4359-8B09-57E1696C1B3F}</author>
  </authors>
  <commentList>
    <comment ref="C16" authorId="0" shapeId="0" xr:uid="{1A66EC94-7593-4359-8B09-57E1696C1B3F}">
      <text>
        <t>[Threaded comment]
Your version of Excel allows you to read this threaded comment; however, any edits to it will get removed if the file is opened in a newer version of Excel. Learn more: https://go.microsoft.com/fwlink/?linkid=870924
Comment:
    Included since 2020 in PP&amp;E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tc={9C6877F3-1A7B-458F-AE9A-CD57C130840D}</author>
  </authors>
  <commentList>
    <comment ref="C16" authorId="0" shapeId="0" xr:uid="{9C6877F3-1A7B-458F-AE9A-CD57C130840D}">
      <text>
        <t>[Threaded comment]
Your version of Excel allows you to read this threaded comment; however, any edits to it will get removed if the file is opened in a newer version of Excel. Learn more: https://go.microsoft.com/fwlink/?linkid=870924
Comment:
    Included since 2020 in PP&amp;E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tc={4AFBB35E-0565-4807-82F1-CAFAD316709B}</author>
  </authors>
  <commentList>
    <comment ref="C16" authorId="0" shapeId="0" xr:uid="{4AFBB35E-0565-4807-82F1-CAFAD316709B}">
      <text>
        <t>[Threaded comment]
Your version of Excel allows you to read this threaded comment; however, any edits to it will get removed if the file is opened in a newer version of Excel. Learn more: https://go.microsoft.com/fwlink/?linkid=870924
Comment:
    Included since 2020 in PP&amp;E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tc={E81FC0F4-1B0D-42F6-81FC-4AEAA27CB5EB}</author>
  </authors>
  <commentList>
    <comment ref="C16" authorId="0" shapeId="0" xr:uid="{E81FC0F4-1B0D-42F6-81FC-4AEAA27CB5EB}">
      <text>
        <t>[Threaded comment]
Your version of Excel allows you to read this threaded comment; however, any edits to it will get removed if the file is opened in a newer version of Excel. Learn more: https://go.microsoft.com/fwlink/?linkid=870924
Comment:
    Included since 2020 in PP&amp;E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Paul-Ary Sigwald</author>
  </authors>
  <commentList>
    <comment ref="F11" authorId="0" shapeId="0" xr:uid="{6CD737CD-BA36-4352-AFC6-6ADCC15148D7}">
      <text>
        <r>
          <rPr>
            <b/>
            <sz val="9"/>
            <color indexed="81"/>
            <rFont val="Tahoma"/>
            <family val="2"/>
          </rPr>
          <t>Paul-Ary Sigwald:</t>
        </r>
        <r>
          <rPr>
            <sz val="9"/>
            <color indexed="81"/>
            <rFont val="Tahoma"/>
            <family val="2"/>
          </rPr>
          <t xml:space="preserve">
No values for leases commiments 2015-217 so Mrs.Proelss aked to set all values to 0 and make a note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Juliane Proelss</author>
  </authors>
  <commentList>
    <comment ref="B84" authorId="0" shapeId="0" xr:uid="{00000000-0006-0000-0B00-000001000000}">
      <text>
        <r>
          <rPr>
            <b/>
            <sz val="9"/>
            <color indexed="81"/>
            <rFont val="Tahoma"/>
            <family val="2"/>
          </rPr>
          <t>Since 2020 absorbed in Total Debt</t>
        </r>
      </text>
    </comment>
    <comment ref="A182" authorId="0" shapeId="0" xr:uid="{00000000-0006-0000-0B00-000002000000}">
      <text>
        <r>
          <rPr>
            <b/>
            <sz val="9"/>
            <color indexed="81"/>
            <rFont val="Segoe UI"/>
            <family val="2"/>
          </rPr>
          <t>Juliane Proelss:</t>
        </r>
        <r>
          <rPr>
            <sz val="9"/>
            <color indexed="81"/>
            <rFont val="Segoe UI"/>
            <family val="2"/>
          </rPr>
          <t xml:space="preserve">
Adjusted for nonoperating income and unusual expenses
</t>
        </r>
      </text>
    </comment>
    <comment ref="A183" authorId="0" shapeId="0" xr:uid="{00000000-0006-0000-0B00-000003000000}">
      <text>
        <r>
          <rPr>
            <b/>
            <sz val="9"/>
            <color indexed="81"/>
            <rFont val="Segoe UI"/>
            <family val="2"/>
          </rPr>
          <t>Juliane Proelss:</t>
        </r>
        <r>
          <rPr>
            <sz val="9"/>
            <color indexed="81"/>
            <rFont val="Segoe UI"/>
            <family val="2"/>
          </rPr>
          <t xml:space="preserve">
Adjusted for nonoperating income and unusual expenses
</t>
        </r>
      </text>
    </comment>
    <comment ref="A193" authorId="0" shapeId="0" xr:uid="{00000000-0006-0000-0B00-000004000000}">
      <text>
        <r>
          <rPr>
            <b/>
            <sz val="9"/>
            <color indexed="81"/>
            <rFont val="Segoe UI"/>
            <family val="2"/>
          </rPr>
          <t>Juliane Proelss:</t>
        </r>
        <r>
          <rPr>
            <sz val="9"/>
            <color indexed="81"/>
            <rFont val="Segoe UI"/>
            <family val="2"/>
          </rPr>
          <t xml:space="preserve">
Adjusted for nonoperating income and unusual expenses
</t>
        </r>
      </text>
    </comment>
    <comment ref="A194" authorId="0" shapeId="0" xr:uid="{00000000-0006-0000-0B00-000005000000}">
      <text>
        <r>
          <rPr>
            <b/>
            <sz val="9"/>
            <color indexed="81"/>
            <rFont val="Segoe UI"/>
            <family val="2"/>
          </rPr>
          <t>Juliane Proelss:</t>
        </r>
        <r>
          <rPr>
            <sz val="9"/>
            <color indexed="81"/>
            <rFont val="Segoe UI"/>
            <family val="2"/>
          </rPr>
          <t xml:space="preserve">
Adjusted for nonoperating income and unusual expenses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tc={EC6420A8-C57B-48B2-AC71-A66277721415}</author>
    <author>Juliane Proelss</author>
    <author>tc={B684B863-44DC-4177-970B-EA4759483CD3}</author>
    <author>tc={FC96DE14-066D-4DD3-9FF4-A1070DE34404}</author>
  </authors>
  <commentList>
    <comment ref="M29" authorId="0" shapeId="0" xr:uid="{EC6420A8-C57B-48B2-AC71-A66277721415}">
      <text>
        <t>[Threaded comment]
Your version of Excel allows you to read this threaded comment; however, any edits to it will get removed if the file is opened in a newer version of Excel. Learn more: https://go.microsoft.com/fwlink/?linkid=870924
Comment:
    See also comment L57
In 2021 Q3 earnings call is is stated that the company as repurchased stocks over the past tears but that it will not porceed this way in the future. It is said to cut stock repurchasments for at least 2-3years.
There is no information regarding the issuance of new stocks.
Hence we conclude that there is no change in shares.</t>
      </text>
    </comment>
    <comment ref="L35" authorId="1" shapeId="0" xr:uid="{00000000-0006-0000-1900-000002000000}">
      <text>
        <r>
          <rPr>
            <b/>
            <sz val="9"/>
            <color indexed="81"/>
            <rFont val="Segoe UI"/>
            <family val="2"/>
          </rPr>
          <t>Juliane Proelss:</t>
        </r>
        <r>
          <rPr>
            <sz val="9"/>
            <color indexed="81"/>
            <rFont val="Segoe UI"/>
            <family val="2"/>
          </rPr>
          <t xml:space="preserve">
Apple 10k-filing comment:
- For buildings is the lesser of 30 years or the remaining life of the underlying building;
- between 1 and 5  years for machinery and equipment, including product tooling and manufacturing process equipment; 
- the shorter of lease term or useful life for leasehold improvements</t>
        </r>
      </text>
    </comment>
    <comment ref="L36" authorId="1" shapeId="0" xr:uid="{00000000-0006-0000-1900-000003000000}">
      <text>
        <r>
          <rPr>
            <b/>
            <sz val="9"/>
            <color indexed="81"/>
            <rFont val="Segoe UI"/>
            <family val="2"/>
          </rPr>
          <t>Juliane Proelss:</t>
        </r>
        <r>
          <rPr>
            <sz val="9"/>
            <color indexed="81"/>
            <rFont val="Segoe UI"/>
            <family val="2"/>
          </rPr>
          <t xml:space="preserve">
Apple 10k-filing comment:
- For buildings is the lesser of 30 years or the remaining life of the underlying building;
- between 1 and 5  years for machinery and equipment, including product tooling and manufacturing process equipment; 
- the shorter of lease term or useful life for leasehold improvements</t>
        </r>
      </text>
    </comment>
    <comment ref="A41" authorId="1" shapeId="0" xr:uid="{00000000-0006-0000-1900-000004000000}">
      <text>
        <r>
          <rPr>
            <b/>
            <sz val="9"/>
            <color indexed="81"/>
            <rFont val="Segoe UI"/>
            <family val="2"/>
          </rPr>
          <t>Juliane Proelss:</t>
        </r>
        <r>
          <rPr>
            <sz val="9"/>
            <color indexed="81"/>
            <rFont val="Segoe UI"/>
            <family val="2"/>
          </rPr>
          <t xml:space="preserve">
The Company generally measures share-based compensation based on the closing price of the Company’s common stock on the date of grant
https://my.apps.factset.com/viewer/?_expand=iV1Rn4&amp;float_window=true</t>
        </r>
      </text>
    </comment>
    <comment ref="L56" authorId="1" shapeId="0" xr:uid="{00000000-0006-0000-1900-000005000000}">
      <text>
        <r>
          <rPr>
            <b/>
            <sz val="9"/>
            <color indexed="81"/>
            <rFont val="Segoe UI"/>
            <family val="2"/>
          </rPr>
          <t>Juliane Proelss:</t>
        </r>
        <r>
          <rPr>
            <sz val="9"/>
            <color indexed="81"/>
            <rFont val="Segoe UI"/>
            <family val="2"/>
          </rPr>
          <t xml:space="preserve">
- As of June 27, 2020, the Company was authorized to purchase up to $225 billion of the Company’s common stock under a share repurchase program, of which 
- $150.6 billion had been utilized. During the nine months ended June 27, 2020, 
-the Company repurchased 186.4 million shares of its common stock for $54.5 billion
==&gt; Estimate for Change in Capital Stock: 54.4*12/9=72.67
- The stock split on a 4-for-1 basis on August 28, 2020
</t>
        </r>
      </text>
    </comment>
    <comment ref="M56" authorId="2" shapeId="0" xr:uid="{B684B863-44DC-4177-970B-EA4759483CD3}">
      <text>
        <t>[Threaded comment]
Your version of Excel allows you to read this threaded comment; however, any edits to it will get removed if the file is opened in a newer version of Excel. Learn more: https://go.microsoft.com/fwlink/?linkid=870924
Comment:
    Had to be changed because of #DIV/0 error caused by the nul change in shares.
Recap (also see M29):
Has been set to 0 as their wont be any change in the number of shares.</t>
      </text>
    </comment>
    <comment ref="M57" authorId="3" shapeId="0" xr:uid="{FC96DE14-066D-4DD3-9FF4-A1070DE34404}">
      <text>
        <t>[Threaded comment]
Your version of Excel allows you to read this threaded comment; however, any edits to it will get removed if the file is opened in a newer version of Excel. Learn more: https://go.microsoft.com/fwlink/?linkid=870924
Comment:
    Dividend payouts have been retrived from FactSet estimates</t>
      </text>
    </comment>
    <comment ref="A61" authorId="1" shapeId="0" xr:uid="{00000000-0006-0000-1900-000006000000}">
      <text>
        <r>
          <rPr>
            <b/>
            <sz val="9"/>
            <color indexed="81"/>
            <rFont val="Segoe UI"/>
            <family val="2"/>
          </rPr>
          <t>Juliane Proelss:</t>
        </r>
        <r>
          <rPr>
            <sz val="9"/>
            <color indexed="81"/>
            <rFont val="Segoe UI"/>
            <family val="2"/>
          </rPr>
          <t xml:space="preserve">
The Company generally measures share-based compensation based on the closing price of the Company’s common stock on the date of grant
https://my.apps.factset.com/viewer/?_expand=iV1Rn4&amp;float_window=true</t>
        </r>
      </text>
    </comment>
    <comment ref="L89" authorId="1" shapeId="0" xr:uid="{00000000-0006-0000-1900-000007000000}">
      <text>
        <r>
          <rPr>
            <b/>
            <sz val="9"/>
            <color indexed="81"/>
            <rFont val="Segoe UI"/>
            <family val="2"/>
          </rPr>
          <t>Juliane Proelss:</t>
        </r>
        <r>
          <rPr>
            <sz val="9"/>
            <color indexed="81"/>
            <rFont val="Segoe UI"/>
            <family val="2"/>
          </rPr>
          <t xml:space="preserve">
As of June 27, 2020, the Company was authorized to purchase up to $225 billion of the Company’s common stock under a share repurchase program, of which $150.6 billion had been utilized. During the nine months ended June 27, 2020, the Company repurchased 186.4 million shares of its common stock for $54.5 billion,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Juliane Proelss</author>
  </authors>
  <commentList>
    <comment ref="B7" authorId="0" shapeId="0" xr:uid="{00000000-0006-0000-1C00-000001000000}">
      <text>
        <r>
          <rPr>
            <b/>
            <sz val="9"/>
            <color indexed="81"/>
            <rFont val="Segoe UI"/>
            <family val="2"/>
          </rPr>
          <t>Should usually below Current Beta</t>
        </r>
      </text>
    </comment>
    <comment ref="F8" authorId="0" shapeId="0" xr:uid="{82AF1CE5-37ED-4E35-BAF9-D9CCBB832D4D}">
      <text>
        <r>
          <rPr>
            <b/>
            <sz val="9"/>
            <color indexed="81"/>
            <rFont val="Segoe UI"/>
            <family val="2"/>
          </rPr>
          <t>Calculated as risk free + spread</t>
        </r>
      </text>
    </comment>
    <comment ref="B9" authorId="0" shapeId="0" xr:uid="{00000000-0006-0000-1C00-000003000000}">
      <text>
        <r>
          <rPr>
            <b/>
            <sz val="9"/>
            <color indexed="81"/>
            <rFont val="Segoe UI"/>
            <family val="2"/>
          </rPr>
          <t>Should be set to reflect a stable reasonable rate reflecting industry standard</t>
        </r>
      </text>
    </comment>
    <comment ref="F9" authorId="0" shapeId="0" xr:uid="{00000000-0006-0000-1C00-000004000000}">
      <text>
        <r>
          <rPr>
            <b/>
            <sz val="9"/>
            <color indexed="81"/>
            <rFont val="Segoe UI"/>
            <family val="2"/>
          </rPr>
          <t>Taken from average yield of liquid bonds outstanding</t>
        </r>
      </text>
    </comment>
    <comment ref="B10" authorId="0" shapeId="0" xr:uid="{00000000-0006-0000-1C00-000005000000}">
      <text>
        <r>
          <rPr>
            <sz val="9"/>
            <color indexed="81"/>
            <rFont val="Segoe UI"/>
            <family val="2"/>
          </rPr>
          <t>Adjust to Project</t>
        </r>
      </text>
    </comment>
    <comment ref="G38" authorId="0" shapeId="0" xr:uid="{76FEFD4C-4761-4288-8908-8029222F2D04}">
      <text>
        <r>
          <rPr>
            <b/>
            <sz val="9"/>
            <color indexed="81"/>
            <rFont val="Segoe UI"/>
            <family val="2"/>
          </rPr>
          <t>Calculate FCFF in Year 6 based on your t=5 forecast and y reasonable groth rate reflecting reinvestmenmt need</t>
        </r>
      </text>
    </comment>
    <comment ref="O38" authorId="0" shapeId="0" xr:uid="{561669C2-379D-40A9-A850-6A2710205556}">
      <text>
        <r>
          <rPr>
            <b/>
            <sz val="9"/>
            <color indexed="81"/>
            <rFont val="Segoe UI"/>
            <family val="2"/>
          </rPr>
          <t>Calculate FCFF in Year 6 based on your t=5 forecast and y reasonable groth rate reflecting reinvestmenmt need</t>
        </r>
      </text>
    </comment>
    <comment ref="F40" authorId="0" shapeId="0" xr:uid="{542208C4-473F-4C6A-9184-6CAD8F391240}">
      <text>
        <r>
          <rPr>
            <b/>
            <sz val="9"/>
            <color indexed="81"/>
            <rFont val="Segoe UI"/>
            <family val="2"/>
          </rPr>
          <t>Calculate PV of terminal Value based on yout t=6 FCFF forecast</t>
        </r>
      </text>
    </comment>
    <comment ref="N40" authorId="0" shapeId="0" xr:uid="{602000EF-5B35-49C1-AEBB-CD8FF8E249CE}">
      <text>
        <r>
          <rPr>
            <b/>
            <sz val="9"/>
            <color indexed="81"/>
            <rFont val="Segoe UI"/>
            <family val="2"/>
          </rPr>
          <t>Calculate PV of terminal Value based on yout t=6 FCFF forecast</t>
        </r>
      </text>
    </comment>
    <comment ref="B41" authorId="0" shapeId="0" xr:uid="{00000000-0006-0000-1C00-000007000000}">
      <text>
        <r>
          <rPr>
            <sz val="9"/>
            <color indexed="81"/>
            <rFont val="Segoe UI"/>
            <family val="2"/>
          </rPr>
          <t>Enterprise Value =  
     Equity value (Market Value) 
  +Short-term debts
  +Long-term debts
  +Current portion of long-term debts
  +Capital lease obligations
  +Preferred securities
  +Non-controlling interests
  +Other non-operating liabilities (e.g. unallocated pension funds)
  − Minority Holdings
  −Cash and cash equivalents</t>
        </r>
      </text>
    </comment>
    <comment ref="J41" authorId="0" shapeId="0" xr:uid="{00000000-0006-0000-1C00-000008000000}">
      <text>
        <r>
          <rPr>
            <sz val="9"/>
            <color indexed="81"/>
            <rFont val="Segoe UI"/>
            <family val="2"/>
          </rPr>
          <t>Enterprise Value =  Equity value (Market Value) 
  +Short-term debts
  +Long-term debts
  +Current portion of long-term debts
  +Capital lease obligations
  +Preferred securities
  +Non-controlling interests
  +Other non-operating liabilities (e.g. unallocated pension funds)
  −Cash and cash equivalents
Enterprise Value = Market Capitalization + Net Debt</t>
        </r>
      </text>
    </comment>
    <comment ref="A47" authorId="0" shapeId="0" xr:uid="{00000000-0006-0000-1C00-000009000000}">
      <text>
        <r>
          <rPr>
            <b/>
            <sz val="9"/>
            <color indexed="81"/>
            <rFont val="Segoe UI"/>
            <family val="2"/>
          </rPr>
          <t>Juliane Proelss:</t>
        </r>
        <r>
          <rPr>
            <sz val="9"/>
            <color indexed="81"/>
            <rFont val="Segoe UI"/>
            <family val="2"/>
          </rPr>
          <t xml:space="preserve">
Should be Valued at Approximately Market Value</t>
        </r>
      </text>
    </comment>
    <comment ref="I47" authorId="0" shapeId="0" xr:uid="{517160E0-74A9-4F22-95FC-975DA6D4DA14}">
      <text>
        <r>
          <rPr>
            <b/>
            <sz val="9"/>
            <color indexed="81"/>
            <rFont val="Segoe UI"/>
            <family val="2"/>
          </rPr>
          <t>Juliane Proelss:</t>
        </r>
        <r>
          <rPr>
            <sz val="9"/>
            <color indexed="81"/>
            <rFont val="Segoe UI"/>
            <family val="2"/>
          </rPr>
          <t xml:space="preserve">
Should be Valued at Approximately Market Value</t>
        </r>
      </text>
    </comment>
    <comment ref="A48" authorId="0" shapeId="0" xr:uid="{DE8E6680-4EEF-4C5F-9457-BCEF66DC583C}">
      <text>
        <r>
          <rPr>
            <b/>
            <sz val="9"/>
            <color indexed="81"/>
            <rFont val="Segoe UI"/>
            <family val="2"/>
          </rPr>
          <t xml:space="preserve">If applicable
</t>
        </r>
        <r>
          <rPr>
            <sz val="9"/>
            <color indexed="81"/>
            <rFont val="Segoe UI"/>
            <family val="2"/>
          </rPr>
          <t xml:space="preserve">
</t>
        </r>
      </text>
    </comment>
    <comment ref="I48" authorId="0" shapeId="0" xr:uid="{5F37068D-C185-4ED5-A366-ECC7B1F6CDDB}">
      <text>
        <r>
          <rPr>
            <b/>
            <sz val="9"/>
            <color indexed="81"/>
            <rFont val="Segoe UI"/>
            <family val="2"/>
          </rPr>
          <t xml:space="preserve">If applicable
</t>
        </r>
        <r>
          <rPr>
            <sz val="9"/>
            <color indexed="81"/>
            <rFont val="Segoe UI"/>
            <family val="2"/>
          </rPr>
          <t xml:space="preserve">
</t>
        </r>
      </text>
    </comment>
    <comment ref="G54" authorId="0" shapeId="0" xr:uid="{FD49B3C7-C7EA-42E6-B3AF-EE690C881CD5}">
      <text>
        <r>
          <rPr>
            <b/>
            <sz val="9"/>
            <color indexed="81"/>
            <rFont val="Segoe UI"/>
            <family val="2"/>
          </rPr>
          <t xml:space="preserve">Calculate FCFE in Year 6 based on your t=5 forecast and a reasonable groth rate reflecting equity reinvestmenmt </t>
        </r>
      </text>
    </comment>
    <comment ref="F56" authorId="0" shapeId="0" xr:uid="{8FAE6DD3-A93B-460D-8135-12C72A884937}">
      <text>
        <r>
          <rPr>
            <b/>
            <sz val="9"/>
            <color indexed="81"/>
            <rFont val="Segoe UI"/>
            <family val="2"/>
          </rPr>
          <t>Calculate PV of terminal Value based on yout t=6 FCFE forecast</t>
        </r>
      </text>
    </comment>
    <comment ref="A83" authorId="0" shapeId="0" xr:uid="{00000000-0006-0000-1C00-00000C000000}">
      <text>
        <r>
          <rPr>
            <b/>
            <sz val="9"/>
            <color indexed="81"/>
            <rFont val="Segoe UI"/>
            <family val="2"/>
          </rPr>
          <t>Juliane Proelss:</t>
        </r>
        <r>
          <rPr>
            <sz val="9"/>
            <color indexed="81"/>
            <rFont val="Segoe UI"/>
            <family val="2"/>
          </rPr>
          <t xml:space="preserve">
Should be Valued at Approximately Market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<sst xmlns="http://schemas.openxmlformats.org/spreadsheetml/2006/main" count="3647" uniqueCount="1555">
  <si>
    <t>This sheet contains FactSet XML data for use with this workbook's =FDS codes.  Modifying the worksheet's contents may damage the workbook's =FDS functionality.</t>
  </si>
  <si>
    <t>Identifier :</t>
  </si>
  <si>
    <t>DAL-US</t>
  </si>
  <si>
    <t>Relative :</t>
  </si>
  <si>
    <t>=FDS(Identifier,"P_LOCAL_INDEX")</t>
  </si>
  <si>
    <t>Last update :</t>
  </si>
  <si>
    <t>Company Description</t>
  </si>
  <si>
    <t>Price</t>
  </si>
  <si>
    <t>LTM EPS</t>
  </si>
  <si>
    <t>LTM PE</t>
  </si>
  <si>
    <t>Price / Book</t>
  </si>
  <si>
    <t>MCAP / EV</t>
  </si>
  <si>
    <t>52 Wk H/L</t>
  </si>
  <si>
    <t>FY1 EPS</t>
  </si>
  <si>
    <t>FY1 PE</t>
  </si>
  <si>
    <t>Book Value per Share</t>
  </si>
  <si>
    <t>Shares Outstanding</t>
  </si>
  <si>
    <t>YTD Chg.</t>
  </si>
  <si>
    <t>FY2 EPS</t>
  </si>
  <si>
    <t>FY2 PE</t>
  </si>
  <si>
    <t>Annual Dividend</t>
  </si>
  <si>
    <t>1 Yr. Chg.</t>
  </si>
  <si>
    <t>NTM EPS</t>
  </si>
  <si>
    <t>NTM PE</t>
  </si>
  <si>
    <t>EV / EBITDA</t>
  </si>
  <si>
    <t>Dividend Yield</t>
  </si>
  <si>
    <t xml:space="preserve"> </t>
  </si>
  <si>
    <t>Beta</t>
  </si>
  <si>
    <t>L.T. Growth</t>
  </si>
  <si>
    <t>EV / EBIT</t>
  </si>
  <si>
    <t>Dividend Payout</t>
  </si>
  <si>
    <t>Address</t>
  </si>
  <si>
    <t>Website</t>
  </si>
  <si>
    <t>FactSet Sector</t>
  </si>
  <si>
    <t>FactSet Industry</t>
  </si>
  <si>
    <t>Income Statement</t>
  </si>
  <si>
    <t>All figures in local millions.</t>
  </si>
  <si>
    <t>`</t>
  </si>
  <si>
    <t>Revenue</t>
  </si>
  <si>
    <t>Y/Y Growth</t>
  </si>
  <si>
    <t>Cost of Goods Sold</t>
  </si>
  <si>
    <t>Gross Profit</t>
  </si>
  <si>
    <t>SG&amp;A</t>
  </si>
  <si>
    <t>EBITDA</t>
  </si>
  <si>
    <t>EBIT</t>
  </si>
  <si>
    <t>Interest Expense</t>
  </si>
  <si>
    <t>Pretax Income</t>
  </si>
  <si>
    <t>Tax Rate</t>
  </si>
  <si>
    <t>Net Income (before XOI)</t>
  </si>
  <si>
    <t>Earnings per Share</t>
  </si>
  <si>
    <t>Capital Expenditures</t>
  </si>
  <si>
    <t>Balance Sheet</t>
  </si>
  <si>
    <t>Cash &amp; Equivalents</t>
  </si>
  <si>
    <t>Accounts Receivable</t>
  </si>
  <si>
    <t>Receivable Turnover Days</t>
  </si>
  <si>
    <t>Inventories</t>
  </si>
  <si>
    <t>Inventory Turnover Days</t>
  </si>
  <si>
    <t>Current Assets</t>
  </si>
  <si>
    <t>Net PP&amp;E</t>
  </si>
  <si>
    <t>Total Assets</t>
  </si>
  <si>
    <t>Short Term Debt</t>
  </si>
  <si>
    <t>Accounts Payable</t>
  </si>
  <si>
    <t>Payable Turnover Days</t>
  </si>
  <si>
    <t>Current Liabilities</t>
  </si>
  <si>
    <t>Long Term Debt</t>
  </si>
  <si>
    <t>Total Liabilities</t>
  </si>
  <si>
    <t>Preferred Stock</t>
  </si>
  <si>
    <t>Stockholder's Equity</t>
  </si>
  <si>
    <t>Total Liabs. &amp; Stk. Equity</t>
  </si>
  <si>
    <t>Chart Data</t>
  </si>
  <si>
    <t>Growth</t>
  </si>
  <si>
    <t>Size</t>
  </si>
  <si>
    <t>Enterprise Value</t>
  </si>
  <si>
    <t>Market Value</t>
  </si>
  <si>
    <t>Profitability</t>
  </si>
  <si>
    <t>Gross Margin</t>
  </si>
  <si>
    <t>SG&amp;A % of Sales</t>
  </si>
  <si>
    <t>EBITDA Margin</t>
  </si>
  <si>
    <t>EBIT Margin</t>
  </si>
  <si>
    <t>Pretax Margin</t>
  </si>
  <si>
    <t>Net Margin</t>
  </si>
  <si>
    <t>ROA</t>
  </si>
  <si>
    <t>ROE</t>
  </si>
  <si>
    <t>Leverage &amp; Coverage</t>
  </si>
  <si>
    <t>LTD/ TD + Stkhldr's Equity</t>
  </si>
  <si>
    <t>STD/ TD + Stkhldr's Equity</t>
  </si>
  <si>
    <t>TD/ TD + Stkhldr's Equity</t>
  </si>
  <si>
    <t>TD/ EBITDA</t>
  </si>
  <si>
    <t>EBITDA/ Int. Exp.</t>
  </si>
  <si>
    <t>Current Ratio</t>
  </si>
  <si>
    <t>Quick Ratio</t>
  </si>
  <si>
    <t>Efficiency</t>
  </si>
  <si>
    <t>Receivables</t>
  </si>
  <si>
    <t>Inventory</t>
  </si>
  <si>
    <t>Payables</t>
  </si>
  <si>
    <t>Asset Turnover</t>
  </si>
  <si>
    <t>PEG Toggle</t>
  </si>
  <si>
    <t>Price Chart Data</t>
  </si>
  <si>
    <t>MaxPrice</t>
  </si>
  <si>
    <t>Max2</t>
  </si>
  <si>
    <t>MinPrice</t>
  </si>
  <si>
    <t>Min2</t>
  </si>
  <si>
    <t>Date</t>
  </si>
  <si>
    <t>Relative</t>
  </si>
  <si>
    <t>Volume</t>
  </si>
  <si>
    <t>(INDEX) Price</t>
  </si>
  <si>
    <t>All sources</t>
  </si>
  <si>
    <t>Competitors defined by Hoovers</t>
  </si>
  <si>
    <t>HC_COMP_FDS_IDS("ALL",1,-1)</t>
  </si>
  <si>
    <t>Competitors named by Company</t>
  </si>
  <si>
    <t>Competitors named by Competitors</t>
  </si>
  <si>
    <t>Security Identifier</t>
  </si>
  <si>
    <t>Company Name</t>
  </si>
  <si>
    <t>Sales - Net - Latest Available</t>
  </si>
  <si>
    <t>Number of Employees</t>
  </si>
  <si>
    <t>Ownership</t>
  </si>
  <si>
    <t>Business Description</t>
  </si>
  <si>
    <t>Corporate Web Site</t>
  </si>
  <si>
    <t>Exchange</t>
  </si>
  <si>
    <t>"Company at a Glance" Report</t>
  </si>
  <si>
    <t>P/B Ratio</t>
  </si>
  <si>
    <t>P/E</t>
  </si>
  <si>
    <t>For more Information go to FactSet &gt; Company &gt; Estimates</t>
  </si>
  <si>
    <t>MEAN</t>
  </si>
  <si>
    <t>MEDIAN</t>
  </si>
  <si>
    <t>LTM</t>
  </si>
  <si>
    <t>NTM</t>
  </si>
  <si>
    <t>Key Items</t>
  </si>
  <si>
    <t>-1</t>
  </si>
  <si>
    <t>+0</t>
  </si>
  <si>
    <t>+1</t>
  </si>
  <si>
    <t>+2</t>
  </si>
  <si>
    <t>+3</t>
  </si>
  <si>
    <t>+4</t>
  </si>
  <si>
    <t>+5</t>
  </si>
  <si>
    <t>Sales</t>
  </si>
  <si>
    <t>Pretax Income - After Goodwill</t>
  </si>
  <si>
    <t>-</t>
  </si>
  <si>
    <t xml:space="preserve">Net Income </t>
  </si>
  <si>
    <t>Net Income - Before Goodwill</t>
  </si>
  <si>
    <t>Total Goodwill</t>
  </si>
  <si>
    <t>Net Debt</t>
  </si>
  <si>
    <t>Shareholder Equity</t>
  </si>
  <si>
    <t>Free Cash Flow</t>
  </si>
  <si>
    <t>Cash Flow From Investing</t>
  </si>
  <si>
    <t>Cash Flow From Financing</t>
  </si>
  <si>
    <t>Cash Flow From Operations</t>
  </si>
  <si>
    <t>SGA</t>
  </si>
  <si>
    <t>Gross Income</t>
  </si>
  <si>
    <t>Total Revenues</t>
  </si>
  <si>
    <t>Per Share</t>
  </si>
  <si>
    <t>EPS</t>
  </si>
  <si>
    <t>EPS - Excluding Exceptionals</t>
  </si>
  <si>
    <t>EPS - Reported</t>
  </si>
  <si>
    <t>Free Cash Flow Per Share</t>
  </si>
  <si>
    <t>Cash Flow Per Share</t>
  </si>
  <si>
    <t>Dividends Per Share</t>
  </si>
  <si>
    <t>Book Value Per Share</t>
  </si>
  <si>
    <t>Payout Rate</t>
  </si>
  <si>
    <t>Retention Rate</t>
  </si>
  <si>
    <t>PreTax Margin</t>
  </si>
  <si>
    <t>Price-Earnings*</t>
  </si>
  <si>
    <t>Price/Cash Flow</t>
  </si>
  <si>
    <t>Price/Book Value</t>
  </si>
  <si>
    <t>EV/Sales</t>
  </si>
  <si>
    <t>EV/EBITDA</t>
  </si>
  <si>
    <t>EV/EBIT</t>
  </si>
  <si>
    <t>Mkt Value /Sales</t>
  </si>
  <si>
    <t>Implied Share Price</t>
  </si>
  <si>
    <t>Delta Air Lines, Inc.</t>
  </si>
  <si>
    <t>Currency Issue</t>
  </si>
  <si>
    <t>Country default spread</t>
  </si>
  <si>
    <t xml:space="preserve">DAL   247361702   B1W9D46   NYSE    Common stock    </t>
  </si>
  <si>
    <t>USD</t>
  </si>
  <si>
    <t>0 to 6.61% Assumption average lower than GB</t>
  </si>
  <si>
    <t>Instrument ID</t>
  </si>
  <si>
    <t>Description</t>
  </si>
  <si>
    <t>Balance Sheet Amt Out (USD)</t>
  </si>
  <si>
    <t>Current Amt Out (USD)</t>
  </si>
  <si>
    <t>Coupon Rate</t>
  </si>
  <si>
    <t>Coupon Type</t>
  </si>
  <si>
    <t>Issue Date</t>
  </si>
  <si>
    <t>Maturity Date</t>
  </si>
  <si>
    <t>Issue Curr</t>
  </si>
  <si>
    <t>Seniority</t>
  </si>
  <si>
    <t>YTW</t>
  </si>
  <si>
    <t>OAS (LIBOR)</t>
  </si>
  <si>
    <t>Market Value of Debt</t>
  </si>
  <si>
    <t>ST Debt</t>
  </si>
  <si>
    <t>Current Portion Of LTD</t>
  </si>
  <si>
    <t>Other</t>
  </si>
  <si>
    <t>Revolving Credit</t>
  </si>
  <si>
    <t>FDS18PA42</t>
  </si>
  <si>
    <t>Senior Sec. Revolving Credit Facility</t>
  </si>
  <si>
    <t>Variable</t>
  </si>
  <si>
    <t>06/2020</t>
  </si>
  <si>
    <t>04/2022</t>
  </si>
  <si>
    <t>SNR Sec</t>
  </si>
  <si>
    <t>_</t>
  </si>
  <si>
    <t>Time to Maturity</t>
  </si>
  <si>
    <t>YTW + CRP</t>
  </si>
  <si>
    <t>FDS18X4K6</t>
  </si>
  <si>
    <t>04/2023</t>
  </si>
  <si>
    <t>Term Loans</t>
  </si>
  <si>
    <t>FDS1ADI22</t>
  </si>
  <si>
    <t>Senior Sec. Term Loan</t>
  </si>
  <si>
    <t>09/2020</t>
  </si>
  <si>
    <t>10/2027</t>
  </si>
  <si>
    <t>Secured Loans</t>
  </si>
  <si>
    <t>Range</t>
  </si>
  <si>
    <t>Secured Loans - Aircraft Financing</t>
  </si>
  <si>
    <t>Notes/Bonds</t>
  </si>
  <si>
    <t>650116CA2</t>
  </si>
  <si>
    <t>Special Facility Revenue Bond - Series 2018</t>
  </si>
  <si>
    <t>Fixed</t>
  </si>
  <si>
    <t>05/2018</t>
  </si>
  <si>
    <t>01/2022</t>
  </si>
  <si>
    <t>650116CB0</t>
  </si>
  <si>
    <t>01/2023</t>
  </si>
  <si>
    <t>650116CC8</t>
  </si>
  <si>
    <t>01/2024</t>
  </si>
  <si>
    <t>650116CD6</t>
  </si>
  <si>
    <t>01/2025</t>
  </si>
  <si>
    <t>650116CE4</t>
  </si>
  <si>
    <t>01/2026</t>
  </si>
  <si>
    <t>650116CF1</t>
  </si>
  <si>
    <t>01/2027</t>
  </si>
  <si>
    <t>Gov. Yield Curve</t>
  </si>
  <si>
    <t>Maturity</t>
  </si>
  <si>
    <t>Mid Yld</t>
  </si>
  <si>
    <t>Apple Yield (Spread)</t>
  </si>
  <si>
    <t>Spread (bps)</t>
  </si>
  <si>
    <t>Average YTW traded Notes/Bonds USD</t>
  </si>
  <si>
    <t>650116CG9</t>
  </si>
  <si>
    <t>01/2028</t>
  </si>
  <si>
    <t>1M</t>
  </si>
  <si>
    <t>650116CH7</t>
  </si>
  <si>
    <t>01/2029</t>
  </si>
  <si>
    <t>2M</t>
  </si>
  <si>
    <t>650116CJ3</t>
  </si>
  <si>
    <t>01/2030</t>
  </si>
  <si>
    <t>3M</t>
  </si>
  <si>
    <t>650116CX2</t>
  </si>
  <si>
    <t>Special Facility Revenue Bond - Series 2020</t>
  </si>
  <si>
    <t>10/2030</t>
  </si>
  <si>
    <t>6M</t>
  </si>
  <si>
    <t>650116CK0</t>
  </si>
  <si>
    <t>01/2031</t>
  </si>
  <si>
    <t>1Y</t>
  </si>
  <si>
    <t>650116CL8</t>
  </si>
  <si>
    <t>01/2032</t>
  </si>
  <si>
    <t>2Y</t>
  </si>
  <si>
    <t>650116CM6</t>
  </si>
  <si>
    <t>01/2033</t>
  </si>
  <si>
    <t>3Y</t>
  </si>
  <si>
    <t>650116CN4</t>
  </si>
  <si>
    <t>01/2034</t>
  </si>
  <si>
    <t>5Y</t>
  </si>
  <si>
    <t>650116CY0</t>
  </si>
  <si>
    <t>10/2035</t>
  </si>
  <si>
    <t>7Y</t>
  </si>
  <si>
    <t>650116CQ7</t>
  </si>
  <si>
    <t>01/2036</t>
  </si>
  <si>
    <t>10Y</t>
  </si>
  <si>
    <t>650116CP9</t>
  </si>
  <si>
    <t>20Y</t>
  </si>
  <si>
    <t>650116CZ7</t>
  </si>
  <si>
    <t>10/2040</t>
  </si>
  <si>
    <t>30Y</t>
  </si>
  <si>
    <t>650116DA1</t>
  </si>
  <si>
    <t>10/2045</t>
  </si>
  <si>
    <t>Source: IHS Markit</t>
  </si>
  <si>
    <t>830867AA5 (144A)</t>
  </si>
  <si>
    <t>Delta Airlines Inc Retirement Plan</t>
  </si>
  <si>
    <t>10/2025</t>
  </si>
  <si>
    <t>247361ZX9 (144A)</t>
  </si>
  <si>
    <t>Delta Air Lines Inc</t>
  </si>
  <si>
    <t>04/2020</t>
  </si>
  <si>
    <t>05/2025</t>
  </si>
  <si>
    <t>830867AB3 (144A)</t>
  </si>
  <si>
    <t>10/2028</t>
  </si>
  <si>
    <t>247361ZJ0</t>
  </si>
  <si>
    <t>03/2017</t>
  </si>
  <si>
    <t>03/2022</t>
  </si>
  <si>
    <t>SNR Unsec</t>
  </si>
  <si>
    <t>247361ZP6</t>
  </si>
  <si>
    <t>04/2018</t>
  </si>
  <si>
    <t>247361ZU5</t>
  </si>
  <si>
    <t>10/2019</t>
  </si>
  <si>
    <t>10/2024</t>
  </si>
  <si>
    <t>247361ZZ4</t>
  </si>
  <si>
    <t>247361ZN1</t>
  </si>
  <si>
    <t>04/2028</t>
  </si>
  <si>
    <t>247361ZT8</t>
  </si>
  <si>
    <t>10/2029</t>
  </si>
  <si>
    <t>667294BB7</t>
  </si>
  <si>
    <t>Northwest Airlines Pass Through Trusts NWA 2002-1 - Class G-2 - Subordinated</t>
  </si>
  <si>
    <t>08/2002</t>
  </si>
  <si>
    <t>05/2023</t>
  </si>
  <si>
    <t>Coll</t>
  </si>
  <si>
    <t>FDS1LIE15</t>
  </si>
  <si>
    <t>Delta Air Lines Pass Through Trust Certificates Series 2019-1 - Class B</t>
  </si>
  <si>
    <t>247367BJ3</t>
  </si>
  <si>
    <t>Delta Air Lines Pass Through 2007-1 - Class B - Subordinated</t>
  </si>
  <si>
    <t>10/2007</t>
  </si>
  <si>
    <t>02/2024</t>
  </si>
  <si>
    <t>247367AX3</t>
  </si>
  <si>
    <t>Delta Air Lines 2002-1 - Class G-1 - Subordinated</t>
  </si>
  <si>
    <t>04/2002</t>
  </si>
  <si>
    <t>07/2024</t>
  </si>
  <si>
    <t>24737RAA8</t>
  </si>
  <si>
    <t>Delta Air Lines Pass Through Trust Certificates Series 2019-1 - Class A</t>
  </si>
  <si>
    <t>03/2019</t>
  </si>
  <si>
    <t>04/2024</t>
  </si>
  <si>
    <t>247367BH7</t>
  </si>
  <si>
    <t>Delta Air Lines Pass Through 2007-1 - Class A - Subordinated</t>
  </si>
  <si>
    <t>24737BAA3</t>
  </si>
  <si>
    <t>Delta Air Lines Pass Through Trust Certificates Series 2019-1 - Class AA</t>
  </si>
  <si>
    <t>24737AAA5</t>
  </si>
  <si>
    <t>Delta Air Lines Pass Through Certificates Series 2015-1 - Class B - Subordinated</t>
  </si>
  <si>
    <t>08/2015</t>
  </si>
  <si>
    <t>FDS18XP80</t>
  </si>
  <si>
    <t>Delta Air Lines Pass Through Trust Certificates Series 2020-1 - Class B</t>
  </si>
  <si>
    <t>06/2027</t>
  </si>
  <si>
    <t>FDS16VTT6</t>
  </si>
  <si>
    <t>Delta Air Lines Pass Through Trust Certificates Series 2020-1 - Class A</t>
  </si>
  <si>
    <t>03/2020</t>
  </si>
  <si>
    <t>06/2028</t>
  </si>
  <si>
    <t>247361ZV3</t>
  </si>
  <si>
    <t>Delta Air Lines Pass Through Trust Certificates Series 2020-1 - Class AA</t>
  </si>
  <si>
    <t>24736YAA4</t>
  </si>
  <si>
    <t>Delta Air Lines Pass Through Certificates Series 2015-1 - Class A - Subordinated</t>
  </si>
  <si>
    <t>24736XAA6</t>
  </si>
  <si>
    <t>Delta Air Lines Pass Through Certificates Series 2015-1 - Class AA - Subordinated</t>
  </si>
  <si>
    <t>FDS18XQA4</t>
  </si>
  <si>
    <t>Promissory Note</t>
  </si>
  <si>
    <t>12/2030</t>
  </si>
  <si>
    <t>FDS1MJ454</t>
  </si>
  <si>
    <t>Promissory Notes</t>
  </si>
  <si>
    <t>12/2031</t>
  </si>
  <si>
    <t>FDS1JCJI9</t>
  </si>
  <si>
    <t>Repayment &amp; Adjustment - Equipment Trust Certificates</t>
  </si>
  <si>
    <t>Unamortized Discount, Premium &amp; Issue Cost</t>
  </si>
  <si>
    <t>Adjustment - Special Facilities Revenue Bonds</t>
  </si>
  <si>
    <t>Unit Amount Adjustment - Senior Secured Bond Due 2020</t>
  </si>
  <si>
    <t>LT Debt Total</t>
  </si>
  <si>
    <t>Current Portion of LTD</t>
  </si>
  <si>
    <t>Net LT Debt Total</t>
  </si>
  <si>
    <t>ST Debt Total</t>
  </si>
  <si>
    <t>Total Debt</t>
  </si>
  <si>
    <t>Data as of 26 Nov '21</t>
  </si>
  <si>
    <t xml:space="preserve"> Amount Outstanding in millions of USD</t>
  </si>
  <si>
    <t>Source: FactSet DCS and FactSet Fixed Income</t>
  </si>
  <si>
    <t>* The current total debt outstanding value is not considered a reconciled amount.  Activity is determined on a transactional basis and there can be events that may affect amounts that are not disclosed until the next filing date.</t>
  </si>
  <si>
    <t>Source: FactSet Fundamentals</t>
  </si>
  <si>
    <t>In billion USD</t>
  </si>
  <si>
    <t>Ticker</t>
  </si>
  <si>
    <t>Assets</t>
  </si>
  <si>
    <t>Cash &amp; Short-Term Investments</t>
  </si>
  <si>
    <t>Short-Term Receivables</t>
  </si>
  <si>
    <t>Other Current Assets</t>
  </si>
  <si>
    <t>Total Current Assets</t>
  </si>
  <si>
    <t>Net Property, Plant &amp; Equipment</t>
  </si>
  <si>
    <t>Total Investments and Advances</t>
  </si>
  <si>
    <t>Intangible Assets</t>
  </si>
  <si>
    <t>Deferred Tax Assets</t>
  </si>
  <si>
    <t>Other Assets</t>
  </si>
  <si>
    <t>Liabilities &amp; Shareholders' Equity</t>
  </si>
  <si>
    <t>ST Debt &amp; Curr. Portion LT Debt</t>
  </si>
  <si>
    <t>Income Tax Payable</t>
  </si>
  <si>
    <t>Other Current Liabilities</t>
  </si>
  <si>
    <t>Total Current Liabilities</t>
  </si>
  <si>
    <t>Long-Term Debt</t>
  </si>
  <si>
    <t>Provision for Risks &amp; Charges</t>
  </si>
  <si>
    <t>Deferred Tax Liabilities</t>
  </si>
  <si>
    <t>Other Liabilities</t>
  </si>
  <si>
    <t>Common Equity</t>
  </si>
  <si>
    <t>Total Shareholders' Equity</t>
  </si>
  <si>
    <t>Total Equity</t>
  </si>
  <si>
    <t>Total Liabilities &amp; Shareholders' Equity</t>
  </si>
  <si>
    <t>Tangible Book Value per Share</t>
  </si>
  <si>
    <t>Supplemental</t>
  </si>
  <si>
    <t>Working Capital</t>
  </si>
  <si>
    <t>Total Capital</t>
  </si>
  <si>
    <t>Days of Inventory on Hand</t>
  </si>
  <si>
    <t>Days of Sales Outstanding</t>
  </si>
  <si>
    <t>Days of Payables Outstanding</t>
  </si>
  <si>
    <t>Comprehensive Income - Hedging Gain/Loss</t>
  </si>
  <si>
    <t>Stock Option Comp Exp (Net of Tax)</t>
  </si>
  <si>
    <t># Non-Qualified Option/Warrant Awards Outstanding at Beginning of Period</t>
  </si>
  <si>
    <t># Non-Qualified Option/Warrant Awards Outstanding at End of Period</t>
  </si>
  <si>
    <t># Non-Qualified Option/Warrant Awards Exercisable</t>
  </si>
  <si>
    <t># Non-Qualified Option/Warrant Awards Vested</t>
  </si>
  <si>
    <t>Operating Lease Commitments</t>
  </si>
  <si>
    <t>Year 1</t>
  </si>
  <si>
    <t>Year 2</t>
  </si>
  <si>
    <t>Year 3</t>
  </si>
  <si>
    <t>Year 4</t>
  </si>
  <si>
    <t>Year 5</t>
  </si>
  <si>
    <t>Over 5 Years</t>
  </si>
  <si>
    <t>Long Term Debt Maturities</t>
  </si>
  <si>
    <t>Annual Growth - % change from previous period</t>
  </si>
  <si>
    <t>Cash Only</t>
  </si>
  <si>
    <t>Cost of Goods Sold (COGS) incl. D&amp;A</t>
  </si>
  <si>
    <t>SG&amp;A Expense</t>
  </si>
  <si>
    <t>EBIT (Operating Income)</t>
  </si>
  <si>
    <t>Nonoperating Income - Net</t>
  </si>
  <si>
    <t>Unusual Expense - Net</t>
  </si>
  <si>
    <t>Income Taxes</t>
  </si>
  <si>
    <t>Consolidated Net Income</t>
  </si>
  <si>
    <t>Net Income</t>
  </si>
  <si>
    <t>Net Income available to Common</t>
  </si>
  <si>
    <t>EPS (recurring)</t>
  </si>
  <si>
    <t>EPS (diluted)</t>
  </si>
  <si>
    <t>Earnings Persistence</t>
  </si>
  <si>
    <t>Dividends per Share</t>
  </si>
  <si>
    <t>EBITDA (own calculation)</t>
  </si>
  <si>
    <t>Rental Expense</t>
  </si>
  <si>
    <t>Shs Outstanding (M) - Basic</t>
  </si>
  <si>
    <t>Shs Outstanding (M) - Diluted</t>
  </si>
  <si>
    <t>Change in Shares Basic</t>
  </si>
  <si>
    <t>Change in Shares Diluted</t>
  </si>
  <si>
    <t>Cash Flow Statement</t>
  </si>
  <si>
    <t>Cash Flow</t>
  </si>
  <si>
    <t>Operating Activities</t>
  </si>
  <si>
    <t>Net Income / Starting Line</t>
  </si>
  <si>
    <t>Depreciation, Depletion &amp; Amortization</t>
  </si>
  <si>
    <t>Deferred Taxes &amp; Investment Tax Credit</t>
  </si>
  <si>
    <t>Other Funds</t>
  </si>
  <si>
    <t>Funds from Operations</t>
  </si>
  <si>
    <t>Changes in Working Capital</t>
  </si>
  <si>
    <t>Net Operating Cash Flow</t>
  </si>
  <si>
    <t>Investing Activities</t>
  </si>
  <si>
    <t>Net Assets from Acquisitions</t>
  </si>
  <si>
    <t>Purchase/Sale of Investments</t>
  </si>
  <si>
    <t>Net Investing Cash Flow</t>
  </si>
  <si>
    <t>Financing Activities</t>
  </si>
  <si>
    <t>Cash Dividends Paid</t>
  </si>
  <si>
    <t>Change in Capital Stock</t>
  </si>
  <si>
    <t>Issuance/Reduction of Debt, Net</t>
  </si>
  <si>
    <t>Net Financing Cash Flow</t>
  </si>
  <si>
    <t>Net Change in Cash</t>
  </si>
  <si>
    <t>Free Cash Flow per Share</t>
  </si>
  <si>
    <t>Free Cash Flow Yield (%)</t>
  </si>
  <si>
    <t>Interest Paid</t>
  </si>
  <si>
    <t>Taxation</t>
  </si>
  <si>
    <t>Other Uses</t>
  </si>
  <si>
    <t>Note, Inclusion of leases as of 2020 -- no adjustment anymore</t>
  </si>
  <si>
    <t>R&amp;D Assets</t>
  </si>
  <si>
    <t>Lease right-of-use asset</t>
  </si>
  <si>
    <t xml:space="preserve">Calculation of Noncash Working Capital </t>
  </si>
  <si>
    <t>Sum Noncash Current Assets</t>
  </si>
  <si>
    <t>Change in Noncash Current Assets</t>
  </si>
  <si>
    <t xml:space="preserve">Note: Current assets decrease (−) Cash flow increases (+)
</t>
  </si>
  <si>
    <t>Sum Noncash Current Liabilities</t>
  </si>
  <si>
    <t>Note: Current liabilities decrease (−) Cash flow decreases (−)</t>
  </si>
  <si>
    <t>Noncash Working Capital</t>
  </si>
  <si>
    <t>noncash Working Capital as %of Revenues</t>
  </si>
  <si>
    <t>Change in Noncash Working Capital</t>
  </si>
  <si>
    <t>Note: Increases (decreases) in working capital will reduce (increase) cash</t>
  </si>
  <si>
    <t>Income Statement (Adj.)</t>
  </si>
  <si>
    <t>Net Income before extraordinary items</t>
  </si>
  <si>
    <t>Income Taxes on extraordinary items</t>
  </si>
  <si>
    <t>Net income after Extraordinary items</t>
  </si>
  <si>
    <t>Effective tax rate</t>
  </si>
  <si>
    <t>Marginal tax rate</t>
  </si>
  <si>
    <t>EBITDA (corrected)</t>
  </si>
  <si>
    <t>Operating Margin</t>
  </si>
  <si>
    <t>Cash Flow Statement (Adj.)</t>
  </si>
  <si>
    <t xml:space="preserve">R&amp;D correction to D&amp;A </t>
  </si>
  <si>
    <t>Leases correction to D&amp;A</t>
  </si>
  <si>
    <t xml:space="preserve">Correction to CAPEX </t>
  </si>
  <si>
    <t>Test of Change in Cash</t>
  </si>
  <si>
    <t>Other funds</t>
  </si>
  <si>
    <t>XLCT</t>
  </si>
  <si>
    <t>IDCELL=B11</t>
  </si>
  <si>
    <t>FIN-RATIOS_R</t>
  </si>
  <si>
    <t>RATIOSY,4,1,4,2010,2017,25122,0,0,0,0|0,</t>
  </si>
  <si>
    <t>D,0</t>
  </si>
  <si>
    <t>2016.9.155.52</t>
  </si>
  <si>
    <t>Ratios</t>
  </si>
  <si>
    <t>Ratio Analysis</t>
  </si>
  <si>
    <t>364 DAYS</t>
  </si>
  <si>
    <t>371 DAYS</t>
  </si>
  <si>
    <t>CACULATION</t>
  </si>
  <si>
    <t>PROFITABILITY</t>
  </si>
  <si>
    <t>AC-CA</t>
  </si>
  <si>
    <t>AAL-US</t>
  </si>
  <si>
    <t>ALK-US</t>
  </si>
  <si>
    <t>LUV-US</t>
  </si>
  <si>
    <t>skyw-US</t>
  </si>
  <si>
    <t>NET PROFIT MARGIN</t>
  </si>
  <si>
    <t xml:space="preserve">RETURN ON REAL ASSET </t>
  </si>
  <si>
    <t>LIQUIDITY</t>
  </si>
  <si>
    <t>CURRENT RATIO</t>
  </si>
  <si>
    <t>CASH RATIO</t>
  </si>
  <si>
    <t>DUPONT MODEL</t>
  </si>
  <si>
    <t>ROE CORREL</t>
  </si>
  <si>
    <t>TAX BURDEN RATIO</t>
  </si>
  <si>
    <t>INTEREST BURDEN</t>
  </si>
  <si>
    <t>PROFIT MARGIN</t>
  </si>
  <si>
    <t>ASSET TURNOVER</t>
  </si>
  <si>
    <t>LEVERAGE</t>
  </si>
  <si>
    <t>SOLVENCY</t>
  </si>
  <si>
    <t>INTEREST COVERAGE RATIO adj for Leases</t>
  </si>
  <si>
    <t>Debt-to-Assets</t>
  </si>
  <si>
    <t>R&amp;D Converter</t>
  </si>
  <si>
    <t>Inputs</t>
  </si>
  <si>
    <t>Amortization Years</t>
  </si>
  <si>
    <t>Research Expenses</t>
  </si>
  <si>
    <t>Unamortized portion</t>
  </si>
  <si>
    <t>Value of Research Asset</t>
  </si>
  <si>
    <t>Amortization this year</t>
  </si>
  <si>
    <t>R&amp;D Value of Depreciation</t>
  </si>
  <si>
    <t>R&amp;D Adjustment to operating income</t>
  </si>
  <si>
    <t>Lease Converter</t>
  </si>
  <si>
    <t>In million USD</t>
  </si>
  <si>
    <t>Adoption year</t>
  </si>
  <si>
    <t>Pre-tax cost of Debt</t>
  </si>
  <si>
    <t>! If you do not have a cost of debt, use the synthetic rating estimator</t>
  </si>
  <si>
    <t>In Years</t>
  </si>
  <si>
    <t>Commitment</t>
  </si>
  <si>
    <t>not applicable</t>
  </si>
  <si>
    <t>6 and after</t>
  </si>
  <si>
    <t>Number of years embedded in yr 6 estimate =</t>
  </si>
  <si>
    <t>! I use the average lease expense over the first five years to estimate the number of years of expenses in yr 6</t>
  </si>
  <si>
    <t>Converting Operating Leases into debt</t>
  </si>
  <si>
    <t>PV of Commitment</t>
  </si>
  <si>
    <t>Debt value of leases</t>
  </si>
  <si>
    <t>Leases capitalization adopted in 2020</t>
  </si>
  <si>
    <r>
      <t xml:space="preserve">Restated Financials </t>
    </r>
    <r>
      <rPr>
        <b/>
        <i/>
        <sz val="11"/>
        <color rgb="FFFF0000"/>
        <rFont val="Calibri"/>
        <family val="2"/>
        <scheme val="minor"/>
      </rPr>
      <t>in Billion</t>
    </r>
    <r>
      <rPr>
        <b/>
        <sz val="11"/>
        <color rgb="FFFF0000"/>
        <rFont val="Calibri"/>
        <family val="2"/>
        <scheme val="minor"/>
      </rPr>
      <t xml:space="preserve"> - Please adjust to fit your firm for millions/billions and for the year Leases are capitalized!</t>
    </r>
  </si>
  <si>
    <t>Depreciation on Operating Lease Asset (straight line)</t>
  </si>
  <si>
    <t>Lease expenses</t>
  </si>
  <si>
    <t>Adjustment to operating earnings leases</t>
  </si>
  <si>
    <t>Lease adj. to Total Debt outstanding</t>
  </si>
  <si>
    <t>currency</t>
  </si>
  <si>
    <t>Start date</t>
  </si>
  <si>
    <t>end date</t>
  </si>
  <si>
    <t>ticker</t>
  </si>
  <si>
    <t>CALCULATION</t>
  </si>
  <si>
    <t>Liquidity</t>
  </si>
  <si>
    <t>Quick Ratio (conservative)</t>
  </si>
  <si>
    <t>Cash Ratio</t>
  </si>
  <si>
    <t xml:space="preserve">FactSet Ratios (for comparison) </t>
  </si>
  <si>
    <t>Operating Efficiency</t>
  </si>
  <si>
    <t>Average Working Capital</t>
  </si>
  <si>
    <t>Average Tot Accts Receivable</t>
  </si>
  <si>
    <t>COGS</t>
  </si>
  <si>
    <t>COGS (corrected for R&amp;D and Leases)</t>
  </si>
  <si>
    <t>Average Inventories</t>
  </si>
  <si>
    <t>Change in Inventories</t>
  </si>
  <si>
    <t>Purchases = COGS + Change in Inventories</t>
  </si>
  <si>
    <t>Purchases (Corrected for R&amp;D and leases)</t>
  </si>
  <si>
    <t>Average Tot Accts Payable</t>
  </si>
  <si>
    <t>Receivables Turnover (x)</t>
  </si>
  <si>
    <t>Inventory Turnover (x)</t>
  </si>
  <si>
    <t>Inventory Turnover (x) (corrected for R&amp;D and leases)</t>
  </si>
  <si>
    <t>Payables Turnover (x)</t>
  </si>
  <si>
    <t>Payable Turnover (x) (corrected for R&amp;D and leases)</t>
  </si>
  <si>
    <t>Working Capital Turnover</t>
  </si>
  <si>
    <t>Operating Cycle (Days)</t>
  </si>
  <si>
    <t>Days of Inventory on Hand (corrected for R&amp;D and leases)</t>
  </si>
  <si>
    <t>Operating Cycle</t>
  </si>
  <si>
    <t>Operating Cycle (corrected for R&amp;D and leases)</t>
  </si>
  <si>
    <t>Days of Payables Outstanding (corrected for R&amp;D and leases)</t>
  </si>
  <si>
    <t>Net Operating Cycle</t>
  </si>
  <si>
    <t>Net Operating Cycle (corrected for R&amp;D and leases)</t>
  </si>
  <si>
    <t>Working Capital Turnover (x)</t>
  </si>
  <si>
    <t xml:space="preserve">Asset turnover </t>
  </si>
  <si>
    <t>Avg. Total Assets</t>
  </si>
  <si>
    <t>Avg. R&amp;D Assets</t>
  </si>
  <si>
    <t>PP&amp;E</t>
  </si>
  <si>
    <t>Avg. PPE</t>
  </si>
  <si>
    <t>Total Debt (ST + LT)</t>
  </si>
  <si>
    <t>Avg. Total Debt</t>
  </si>
  <si>
    <t>Debt from Capitalized Leases</t>
  </si>
  <si>
    <t>Avg. Debt from Capitalized Leases</t>
  </si>
  <si>
    <t>Avg. Equity</t>
  </si>
  <si>
    <t>Avg. Cash</t>
  </si>
  <si>
    <t xml:space="preserve">Total Asset Turnover </t>
  </si>
  <si>
    <t>Total Asset Turnover (corrected for R&amp;D and leases)</t>
  </si>
  <si>
    <t>Fixed Asset Turnover</t>
  </si>
  <si>
    <t>Fixed Asset Turnover (corrected for R&amp;D and leases)</t>
  </si>
  <si>
    <t>Capital Turnover</t>
  </si>
  <si>
    <t>Capital Turnover (corrected for R&amp;D and leases)</t>
  </si>
  <si>
    <t>Coverage Ratios</t>
  </si>
  <si>
    <t>Net Operating Cash Flow (corrected)</t>
  </si>
  <si>
    <t>Additional CAPEX</t>
  </si>
  <si>
    <t>Interest Coverage Ratio</t>
  </si>
  <si>
    <t>Interest Coverage Ratio (corrected)</t>
  </si>
  <si>
    <t>CF to CAPEX</t>
  </si>
  <si>
    <t>CF to CAPEX (corrected)</t>
  </si>
  <si>
    <t>COGS corrected</t>
  </si>
  <si>
    <t>SG&amp;A corrected</t>
  </si>
  <si>
    <t>Interest Expenses</t>
  </si>
  <si>
    <t>Gross Profit Margin</t>
  </si>
  <si>
    <t>Gross Profit Margin (corrected)</t>
  </si>
  <si>
    <t>Berry Ratio</t>
  </si>
  <si>
    <t>Berry Ratio (corrected)</t>
  </si>
  <si>
    <t>Profit Margin</t>
  </si>
  <si>
    <t>Profit Margin (corrected)</t>
  </si>
  <si>
    <t>Profitability (based on averages)</t>
  </si>
  <si>
    <t>EBIT adjusted</t>
  </si>
  <si>
    <t>Net Income adjusted</t>
  </si>
  <si>
    <t>Pre-tax ROA</t>
  </si>
  <si>
    <t>ROC</t>
  </si>
  <si>
    <t>ROIC</t>
  </si>
  <si>
    <t>ROA (corrected)</t>
  </si>
  <si>
    <t>Pre-tax ROA (corrected)</t>
  </si>
  <si>
    <t>ROE (corrected)</t>
  </si>
  <si>
    <t>ROC (corrected)</t>
  </si>
  <si>
    <t>ROIC (corrected)</t>
  </si>
  <si>
    <t>DuPont (based on averages)</t>
  </si>
  <si>
    <t>Net income adj. For R&amp;D, leases and extraordinary items at marginal rate</t>
  </si>
  <si>
    <t>EBT</t>
  </si>
  <si>
    <t>EBT adj. for R&amp;D, leases and extraordinary items</t>
  </si>
  <si>
    <t>EBIT adj. for R&amp;D and leases</t>
  </si>
  <si>
    <t>Total Assets adj. for R&amp;D and leases</t>
  </si>
  <si>
    <t>DuPont</t>
  </si>
  <si>
    <t>Tax Burden(x)</t>
  </si>
  <si>
    <t>Interest burden(x)</t>
  </si>
  <si>
    <t>Profit margin</t>
  </si>
  <si>
    <t>Asset turnover</t>
  </si>
  <si>
    <t>Leverage ratio</t>
  </si>
  <si>
    <t>Net profit margin</t>
  </si>
  <si>
    <t>DuPont adj. For R&amp;D, leases, extraordinary items and nonoperating income</t>
  </si>
  <si>
    <t>Debt Management Ratios</t>
  </si>
  <si>
    <t>Debt to Capital Ratio (BV)</t>
  </si>
  <si>
    <t>Debt to Equity Ratio (BV)</t>
  </si>
  <si>
    <t>Debt to Capital Ratio (BV - corrected)</t>
  </si>
  <si>
    <t>Debt to Equity Ratio (BV - corrected)</t>
  </si>
  <si>
    <t>Debt to Capital Ratio (MV)</t>
  </si>
  <si>
    <t>Debt to Equity Ratio (MV)</t>
  </si>
  <si>
    <t>Debt to Capital Ratio (MV - corrected)</t>
  </si>
  <si>
    <t>Debt to Equity Ratio (MV - corrected)</t>
  </si>
  <si>
    <t>LT Debt to Capital Ratio</t>
  </si>
  <si>
    <t>LT Debt to Equity Ratio</t>
  </si>
  <si>
    <t>LT Debt to Capital Ratio (corrected)</t>
  </si>
  <si>
    <t>LT Debt to Equity Ratio (corrected)</t>
  </si>
  <si>
    <t>Sales to Capital (corrected)</t>
  </si>
  <si>
    <t>Market Price Ratio</t>
  </si>
  <si>
    <t>Shares Outstanding Basic</t>
  </si>
  <si>
    <t xml:space="preserve">Shares Outstanding Diluted </t>
  </si>
  <si>
    <t>Closing Price Fiscal Year End (adj.)</t>
  </si>
  <si>
    <t>Market-to-Book (Basic)</t>
  </si>
  <si>
    <t>Market-to-Book (Diluted)</t>
  </si>
  <si>
    <t>Market-to-Book (corrected-Basic)</t>
  </si>
  <si>
    <t>Market-to-Book (corrected-Diluted)</t>
  </si>
  <si>
    <t>P/E (Basic)</t>
  </si>
  <si>
    <t>P/E (Diluted)</t>
  </si>
  <si>
    <t>P/E (corrected-Basic)</t>
  </si>
  <si>
    <t>P/E (corrected-Diluted)</t>
  </si>
  <si>
    <t>Earning yield (Basic)</t>
  </si>
  <si>
    <t>Earning yield (Diluted)</t>
  </si>
  <si>
    <t>Earning yield (corrected-Basic)</t>
  </si>
  <si>
    <t>Earning yield (corrected-Diluted)</t>
  </si>
  <si>
    <t>Cost of Debt</t>
  </si>
  <si>
    <t>Altman z-score</t>
  </si>
  <si>
    <t>Total Assets (corrected)</t>
  </si>
  <si>
    <t>Retained Earnings</t>
  </si>
  <si>
    <t>EBIT (corrected)</t>
  </si>
  <si>
    <t>MV Equity</t>
  </si>
  <si>
    <t>Total liabilities</t>
  </si>
  <si>
    <t>Total liabilities (corrected)</t>
  </si>
  <si>
    <t>z-score</t>
  </si>
  <si>
    <t>z-score (corrected)</t>
  </si>
  <si>
    <t>PD implied</t>
  </si>
  <si>
    <t>PD implied (corrected)</t>
  </si>
  <si>
    <t>Bond Rating equivalent</t>
  </si>
  <si>
    <t>Bond Rating equivalent (corrected)</t>
  </si>
  <si>
    <t>Industry Ratios Most Recent Fiscal Year</t>
  </si>
  <si>
    <t>Mean</t>
  </si>
  <si>
    <t>Median</t>
  </si>
  <si>
    <t>Inventory Turnover (x) (corrected)</t>
  </si>
  <si>
    <t>Payables Turnover (x) (corrected)</t>
  </si>
  <si>
    <t>Days of Inventory on Hand  (corrected)</t>
  </si>
  <si>
    <t xml:space="preserve"> + Days of Sales Outstanding</t>
  </si>
  <si>
    <t xml:space="preserve"> = Operating Cycle</t>
  </si>
  <si>
    <t xml:space="preserve"> = Operating Cycle  (corrected)</t>
  </si>
  <si>
    <t>- Days of Payables Outstanding</t>
  </si>
  <si>
    <t>- Days of Payables Outstanding  (corrected)</t>
  </si>
  <si>
    <t xml:space="preserve"> = Net Operating Cycle</t>
  </si>
  <si>
    <t xml:space="preserve"> = Net Operating Cycle  (corrected)</t>
  </si>
  <si>
    <t>Total Asset Turnover</t>
  </si>
  <si>
    <t>Total Asset Turnover (corrected)</t>
  </si>
  <si>
    <t>Fixed Asset Turnover (corrected)</t>
  </si>
  <si>
    <t>Capital Turnover (corrected)</t>
  </si>
  <si>
    <t>Net Profit Margin</t>
  </si>
  <si>
    <t>Net Profit Margin (corrected)</t>
  </si>
  <si>
    <t>Marginal Tax Rate</t>
  </si>
  <si>
    <t>Operating profit margin</t>
  </si>
  <si>
    <t>Total asset turnover</t>
  </si>
  <si>
    <t>Tax Burden (corrected)</t>
  </si>
  <si>
    <t>Interest burden (corrected)</t>
  </si>
  <si>
    <t>Operating profit margin (corrected)</t>
  </si>
  <si>
    <t>Total asset turnover (corrected)</t>
  </si>
  <si>
    <t>Leverage ratio (corrected)</t>
  </si>
  <si>
    <t>Net profit margin (corrected)</t>
  </si>
  <si>
    <t>Debt to Capital Ratio BV</t>
  </si>
  <si>
    <t>Debt to Equity Ratio BV</t>
  </si>
  <si>
    <t>LT debt to Equity Ratio</t>
  </si>
  <si>
    <t>R&amp;D Converter Industry</t>
  </si>
  <si>
    <t>Inputs in million</t>
  </si>
  <si>
    <t>Amortization Years (+1)</t>
  </si>
  <si>
    <t>Manual Input of Data</t>
  </si>
  <si>
    <t>Current Fiscal Year</t>
  </si>
  <si>
    <t>Last Fiscal Year</t>
  </si>
  <si>
    <t>Current year R&amp;D</t>
  </si>
  <si>
    <t>Source: https://www.samsung.com/global/ir/financial-information/audited-financial-statements/</t>
  </si>
  <si>
    <t>Source: https://www.nokia.com/about-us/investors/</t>
  </si>
  <si>
    <t>Last year R&amp;D</t>
  </si>
  <si>
    <t>Unamortized portion this year</t>
  </si>
  <si>
    <t>Unamortized portion last year</t>
  </si>
  <si>
    <t>Value of Depreciation</t>
  </si>
  <si>
    <t>Adjustment to operating income</t>
  </si>
  <si>
    <t>Lease Converter Industry</t>
  </si>
  <si>
    <t>Current Year</t>
  </si>
  <si>
    <t>Last Year</t>
  </si>
  <si>
    <t xml:space="preserve">6 and after </t>
  </si>
  <si>
    <t>5 years and after</t>
  </si>
  <si>
    <t>Present value with interest at</t>
  </si>
  <si>
    <t>Firms average interest rate (LT)</t>
  </si>
  <si>
    <t>6 and over</t>
  </si>
  <si>
    <t>Total Present Value</t>
  </si>
  <si>
    <t>Adoption new Accounting Standards</t>
  </si>
  <si>
    <t>Additional Lease Asset/Debt (t=-1)</t>
  </si>
  <si>
    <t>Additional Lease Asset/Debt (t=0)</t>
  </si>
  <si>
    <t>Avg. Adjustments to BS due to leases</t>
  </si>
  <si>
    <t>Adj. to Operating Earnings</t>
  </si>
  <si>
    <t>Adj. To Depreciation</t>
  </si>
  <si>
    <t>Industry Help Sheet</t>
  </si>
  <si>
    <t>In million local ccurrency</t>
  </si>
  <si>
    <t>indicates adjusted for R&amp;D and Leases where applicable</t>
  </si>
  <si>
    <t>COGS (Corrected)</t>
  </si>
  <si>
    <t>SG&amp;A (corrected)</t>
  </si>
  <si>
    <t>Total Assets (t=-1) incl. R&amp;D and lease</t>
  </si>
  <si>
    <t>Total Assets (t=0)  incl. R&amp;D and lease</t>
  </si>
  <si>
    <t>Total Assets (t=-1)</t>
  </si>
  <si>
    <t>Total Assets (t=0)</t>
  </si>
  <si>
    <t>Total Current Assets (t=-1)</t>
  </si>
  <si>
    <t>Total Current Assets (t=0)</t>
  </si>
  <si>
    <t>R&amp;D Assets (t=0)</t>
  </si>
  <si>
    <t>R&amp;D Assets (t=-1)</t>
  </si>
  <si>
    <t>Avg. Total Assets incl. R&amp;D</t>
  </si>
  <si>
    <t>Avg. Fixed Assets incl. R&amp;D</t>
  </si>
  <si>
    <t>EBIT (adj.)</t>
  </si>
  <si>
    <t>Net Income (adj.)</t>
  </si>
  <si>
    <t>CAPEX</t>
  </si>
  <si>
    <t>Inventories (t=-1)</t>
  </si>
  <si>
    <t>Inventories (t=0)</t>
  </si>
  <si>
    <t>Payables (t=-1)</t>
  </si>
  <si>
    <t>Payables (t=0)</t>
  </si>
  <si>
    <t>Correction to CAPEX (at effective tax rate)</t>
  </si>
  <si>
    <t>Net operating cash flow</t>
  </si>
  <si>
    <t>Adj. To Net operating Cash Flow approx.</t>
  </si>
  <si>
    <t>Net operating cash flow (adj)</t>
  </si>
  <si>
    <t>Adj. To Net operating Cash Flow</t>
  </si>
  <si>
    <t>Net investing cash flow (adj)</t>
  </si>
  <si>
    <t xml:space="preserve">Net financing cash flow </t>
  </si>
  <si>
    <t>Adj. To Net financing Cash Flow</t>
  </si>
  <si>
    <t>Net financing cash flow (adj)</t>
  </si>
  <si>
    <t>Net change in cash</t>
  </si>
  <si>
    <t>Depreciation</t>
  </si>
  <si>
    <t>PP&amp;E (t=-1)</t>
  </si>
  <si>
    <t xml:space="preserve">PP&amp;E (t=0) </t>
  </si>
  <si>
    <t>Total Debt (t=-1)</t>
  </si>
  <si>
    <t>Total Debt (t=0)</t>
  </si>
  <si>
    <t>LT Debt (t=-1)</t>
  </si>
  <si>
    <t>LT Debt (t=0)</t>
  </si>
  <si>
    <t>Total Equity (t=-1)</t>
  </si>
  <si>
    <t>Total Equity (t=-0)</t>
  </si>
  <si>
    <t>Cash (t=-1)</t>
  </si>
  <si>
    <t>Cash (t=0)</t>
  </si>
  <si>
    <t>MV Equity (t=0)</t>
  </si>
  <si>
    <t>Fiscal Year Ending</t>
  </si>
  <si>
    <t>Closing Price (t=-1)</t>
  </si>
  <si>
    <t>Closing Price (t=0)</t>
  </si>
  <si>
    <t>Shares Diluted (t=-1)</t>
  </si>
  <si>
    <t>Shares Diluted (t=0)</t>
  </si>
  <si>
    <t>Relative Valuation / Pricing</t>
  </si>
  <si>
    <t>Item</t>
  </si>
  <si>
    <t>Median (incl. Apple)</t>
  </si>
  <si>
    <t>Net Income (corrected)</t>
  </si>
  <si>
    <t>EPS (corrected)</t>
  </si>
  <si>
    <t>P/E Ratio</t>
  </si>
  <si>
    <t>P/E Ratio (corrected)</t>
  </si>
  <si>
    <t>Dividend Payout Ratio</t>
  </si>
  <si>
    <t>Plowback Rate</t>
  </si>
  <si>
    <t>Growth (corrected)</t>
  </si>
  <si>
    <t>FactSet</t>
  </si>
  <si>
    <t>Median (excl. Apple)</t>
  </si>
  <si>
    <t>Price - Close</t>
  </si>
  <si>
    <t>Common Shares Outstanding (fully diluted)</t>
  </si>
  <si>
    <t>EBIT(1-t)</t>
  </si>
  <si>
    <t>EBIT(1-t)(corrected)</t>
  </si>
  <si>
    <t>Calculation Enterprise Value</t>
  </si>
  <si>
    <t xml:space="preserve">Market Value Common Equity </t>
  </si>
  <si>
    <t>+ Accumulated Minority Interest</t>
  </si>
  <si>
    <t>+ Preferred Stock</t>
  </si>
  <si>
    <t>+ Total Debt</t>
  </si>
  <si>
    <t>+ Off balance sheet debt (leases)</t>
  </si>
  <si>
    <t>+ Expected Value of Liabilities from lawsuits, taxes etc.</t>
  </si>
  <si>
    <t>- (proportional) Cross holdings</t>
  </si>
  <si>
    <t>- Cash &amp; Short-Term Investments</t>
  </si>
  <si>
    <t>Enterprise Value (corrected)</t>
  </si>
  <si>
    <t>Ratio Calculation</t>
  </si>
  <si>
    <t>EV/EBITDA (corrected)</t>
  </si>
  <si>
    <t>EV/EBIT (corrected)</t>
  </si>
  <si>
    <t>EV/EBIT(1-t)</t>
  </si>
  <si>
    <t>EV/EBIT(1-t) (corrected)</t>
  </si>
  <si>
    <t>Multiples to Industry Average</t>
  </si>
  <si>
    <t>Transportation</t>
  </si>
  <si>
    <t>Current PE</t>
  </si>
  <si>
    <t>EV/EBITDARD</t>
  </si>
  <si>
    <t>EV/EBIT (1-t)</t>
  </si>
  <si>
    <t>Implied Share Price Calculation</t>
  </si>
  <si>
    <t>Expected Enterprise Value based on Industry Averages</t>
  </si>
  <si>
    <t>E(EV1) = EBITDA * EV/EBITDA (Industry)</t>
  </si>
  <si>
    <t>E(EV2) = EBIT * EV/EBIT (Industry)</t>
  </si>
  <si>
    <t>E(EV3) = EBIT(1-t) * EV/EBIT(1-t) (Industry)</t>
  </si>
  <si>
    <t>E(EV4) = Sales * EV/Sales (Industry)</t>
  </si>
  <si>
    <t>Expected Enterprise Value based on Industry Averages and corrected versions</t>
  </si>
  <si>
    <t>E(EV1) = EBITDA * EV/EBITDARD (Industry)</t>
  </si>
  <si>
    <t>Market Price per fiscal year ending</t>
  </si>
  <si>
    <t>Current Market Price</t>
  </si>
  <si>
    <t>E(Price) = EPS * Current PE</t>
  </si>
  <si>
    <t>E(Price) = (E(EV1)-Debt-MI+Cash)/#Shares</t>
  </si>
  <si>
    <t>E(Price) = (E(EV2)-Debt-MI+Cash)/#Shares</t>
  </si>
  <si>
    <t>E(Price) = (E(EV3)-Debt-MI+Cash)/#Shares</t>
  </si>
  <si>
    <t>E(Price) = (E(EV4)-Debt-MI+Cash)/#Shares</t>
  </si>
  <si>
    <t>Expected Price derived from Enterprise Value corrected version</t>
  </si>
  <si>
    <t>FCFF and FCFE and Reinvestment (corrected values)</t>
  </si>
  <si>
    <t>All figures in billions of U.S. Dollar except per share items.</t>
  </si>
  <si>
    <t>FCFE "traditional"</t>
  </si>
  <si>
    <t>FCFE (alternative) starting with CF from Operations</t>
  </si>
  <si>
    <t>FCFE when DR is stable</t>
  </si>
  <si>
    <t>Operating CF to Firm</t>
  </si>
  <si>
    <t>FCFE before debt</t>
  </si>
  <si>
    <t>FCFE (Potential Dividends)</t>
  </si>
  <si>
    <t>FCFE (with DR from FCFE)</t>
  </si>
  <si>
    <t>FCFE (with DR from Balance Sheet)</t>
  </si>
  <si>
    <t>Tax rate</t>
  </si>
  <si>
    <t>Interest paid, net of tax</t>
  </si>
  <si>
    <r>
      <rPr>
        <sz val="11"/>
        <color theme="1"/>
        <rFont val="Symbol"/>
        <family val="1"/>
        <charset val="2"/>
      </rPr>
      <t>S</t>
    </r>
    <r>
      <rPr>
        <sz val="11"/>
        <color theme="1"/>
        <rFont val="Calibri"/>
        <family val="2"/>
      </rPr>
      <t xml:space="preserve"> Depr.</t>
    </r>
  </si>
  <si>
    <t>From FCFE to FCFF</t>
  </si>
  <si>
    <r>
      <rPr>
        <sz val="11"/>
        <color theme="1"/>
        <rFont val="Symbol"/>
        <family val="1"/>
        <charset val="2"/>
      </rPr>
      <t>S</t>
    </r>
    <r>
      <rPr>
        <sz val="11"/>
        <color theme="1"/>
        <rFont val="Calibri"/>
        <family val="2"/>
      </rPr>
      <t xml:space="preserve"> Net Borrowing</t>
    </r>
  </si>
  <si>
    <t>Difference FCFE "traditional" and alternative</t>
  </si>
  <si>
    <r>
      <rPr>
        <sz val="11"/>
        <color theme="1"/>
        <rFont val="Symbol"/>
        <family val="1"/>
        <charset val="2"/>
      </rPr>
      <t>S</t>
    </r>
    <r>
      <rPr>
        <sz val="11"/>
        <color theme="1"/>
        <rFont val="Calibri"/>
        <family val="2"/>
      </rPr>
      <t xml:space="preserve"> CAPEX incl Acq.</t>
    </r>
  </si>
  <si>
    <t>Difference FCFF and alternative</t>
  </si>
  <si>
    <r>
      <rPr>
        <sz val="11"/>
        <color theme="1"/>
        <rFont val="Symbol"/>
        <family val="1"/>
        <charset val="2"/>
      </rPr>
      <t>S</t>
    </r>
    <r>
      <rPr>
        <sz val="11"/>
        <color theme="1"/>
        <rFont val="Calibri"/>
        <family val="2"/>
      </rPr>
      <t xml:space="preserve"> Change Noncash WC</t>
    </r>
  </si>
  <si>
    <t>FCFF "traditional"</t>
  </si>
  <si>
    <t>DR from FCFE</t>
  </si>
  <si>
    <t>Difference due to:</t>
  </si>
  <si>
    <t xml:space="preserve">DR from Balance Sheet </t>
  </si>
  <si>
    <t>CF from Nonop. and extraordiary items</t>
  </si>
  <si>
    <t>FCFF</t>
  </si>
  <si>
    <t>From FCFF to FCFE</t>
  </si>
  <si>
    <t>Explanation of Difference</t>
  </si>
  <si>
    <t>Difference in FCFF</t>
  </si>
  <si>
    <t>Difference in FCFE</t>
  </si>
  <si>
    <t>Reinvestment and Reinvestment Rates</t>
  </si>
  <si>
    <t>Dividend Retention Ratio</t>
  </si>
  <si>
    <t>Fundamental growth</t>
  </si>
  <si>
    <t>CAPEX incl. Acq.</t>
  </si>
  <si>
    <t>Working Capital Needs (+ is a cash outflow/investment)</t>
  </si>
  <si>
    <t>Reinvestment (Firm)</t>
  </si>
  <si>
    <t>Issuance/Reduction of Debt, Net (+ is a increase in debt)</t>
  </si>
  <si>
    <t>Equity Reinvestment</t>
  </si>
  <si>
    <t>Short-term risk free rate (e.g. t-bill)</t>
  </si>
  <si>
    <t>After tax income from Cash &amp; ST Investments</t>
  </si>
  <si>
    <t>NonCash Net Income</t>
  </si>
  <si>
    <t>Equity Reinvestment Rate</t>
  </si>
  <si>
    <t>Avg. Shareholders' Equity</t>
  </si>
  <si>
    <t>Avg. Cash &amp; Short-Term Investments</t>
  </si>
  <si>
    <t>NonCash Book Equity</t>
  </si>
  <si>
    <t>Noncash ROE</t>
  </si>
  <si>
    <t>Expected growth in FCFE</t>
  </si>
  <si>
    <t>Reinvestment Rate</t>
  </si>
  <si>
    <t>Reinvestment Rate (alternative)</t>
  </si>
  <si>
    <t>ROIC (see Financial Ratio Analysis)</t>
  </si>
  <si>
    <t>Expected growth in FCFF</t>
  </si>
  <si>
    <t>FCFF and FCFE and Reinvestment</t>
  </si>
  <si>
    <t>Sum</t>
  </si>
  <si>
    <t>Adj. To Net Income - Net</t>
  </si>
  <si>
    <t>Adj. To Net Income - Net of Tax</t>
  </si>
  <si>
    <t>Delta</t>
  </si>
  <si>
    <t>CAPEX  +  CAPEX adj. for R&amp;D + CAPEX Acq.</t>
  </si>
  <si>
    <t>FCFE "Reinvestment"</t>
  </si>
  <si>
    <t>Equity Reinvestment rate</t>
  </si>
  <si>
    <t>1- Equity Reinvestment Rate</t>
  </si>
  <si>
    <t>FCFE</t>
  </si>
  <si>
    <t>FCFF "Reinvestment"</t>
  </si>
  <si>
    <t xml:space="preserve">Reinvestment </t>
  </si>
  <si>
    <t>1-Reinvestment rate</t>
  </si>
  <si>
    <t>SP50</t>
  </si>
  <si>
    <t>1 Year</t>
  </si>
  <si>
    <t>'Data'!C7:C259</t>
  </si>
  <si>
    <t>'Data'!E7:E259</t>
  </si>
  <si>
    <t>Period</t>
  </si>
  <si>
    <t>3 Years</t>
  </si>
  <si>
    <t>'Data'!C7:C761</t>
  </si>
  <si>
    <t>'Data'!E7:E761</t>
  </si>
  <si>
    <t>5 Years</t>
  </si>
  <si>
    <t>'Data'!C7:C1266</t>
  </si>
  <si>
    <t>'Data'!E7:E1266</t>
  </si>
  <si>
    <t>10 Years</t>
  </si>
  <si>
    <t>'Data'!C7:C2524</t>
  </si>
  <si>
    <t>'Data'!E7:E2524</t>
  </si>
  <si>
    <t>Risk Free Rate (p.a.)</t>
  </si>
  <si>
    <t>Beta 95% Confidence Level</t>
  </si>
  <si>
    <t>Use LINEST</t>
  </si>
  <si>
    <t>1-Year Beta</t>
  </si>
  <si>
    <t>3-Year Beta</t>
  </si>
  <si>
    <t>5-Year Beta</t>
  </si>
  <si>
    <t>10-Year Beta</t>
  </si>
  <si>
    <t>St.Err.</t>
  </si>
  <si>
    <t>Variance Market</t>
  </si>
  <si>
    <t>Covariance Market-Stock</t>
  </si>
  <si>
    <t>Datum</t>
  </si>
  <si>
    <t>S&amp;P 500</t>
  </si>
  <si>
    <t>Stock</t>
  </si>
  <si>
    <t>Adj. Price</t>
  </si>
  <si>
    <t>Return</t>
  </si>
  <si>
    <t>Country</t>
  </si>
  <si>
    <t>=FDSB(E2,"FG_COUNTRY")</t>
  </si>
  <si>
    <t>GICS Sector</t>
  </si>
  <si>
    <t>=FDSB(E2,"FG_GICS_SECTOR")</t>
  </si>
  <si>
    <t>GICS Industry</t>
  </si>
  <si>
    <t>=FDSB(E2,"FG_GICS_INDUSTRY")</t>
  </si>
  <si>
    <t>Employees</t>
  </si>
  <si>
    <t>Geographic Segments</t>
  </si>
  <si>
    <t>% of</t>
  </si>
  <si>
    <t>Op.</t>
  </si>
  <si>
    <t>Revs.</t>
  </si>
  <si>
    <t>Total</t>
  </si>
  <si>
    <t>Business Segments</t>
  </si>
  <si>
    <t>in %</t>
  </si>
  <si>
    <t>Total ERP</t>
  </si>
  <si>
    <t>CRP</t>
  </si>
  <si>
    <t>China</t>
  </si>
  <si>
    <t>Average</t>
  </si>
  <si>
    <t>Op. Revs.</t>
  </si>
  <si>
    <t>S&amp;P Rating</t>
  </si>
  <si>
    <t>Moody's Rating</t>
  </si>
  <si>
    <t>Default Spread</t>
  </si>
  <si>
    <t>Moody's rating</t>
  </si>
  <si>
    <t>Adj. Default Spread</t>
  </si>
  <si>
    <t>Country Risk Premium</t>
  </si>
  <si>
    <t>Equity Risk Premium</t>
  </si>
  <si>
    <t>Sovereign CDS</t>
  </si>
  <si>
    <t>Corporate Tax Rate</t>
  </si>
  <si>
    <t>AAA</t>
  </si>
  <si>
    <t>Aaa</t>
  </si>
  <si>
    <t>Angola</t>
  </si>
  <si>
    <t>Caa1</t>
  </si>
  <si>
    <t>Canada</t>
  </si>
  <si>
    <t>Austria</t>
  </si>
  <si>
    <t>Albania</t>
  </si>
  <si>
    <t>Bangladesh</t>
  </si>
  <si>
    <t>AA+</t>
  </si>
  <si>
    <t>Aa1</t>
  </si>
  <si>
    <t>Benin</t>
  </si>
  <si>
    <t>B2</t>
  </si>
  <si>
    <t>NA</t>
  </si>
  <si>
    <t>United States</t>
  </si>
  <si>
    <t>Belgium</t>
  </si>
  <si>
    <t>Armenia</t>
  </si>
  <si>
    <t>Cambodia</t>
  </si>
  <si>
    <t>AA</t>
  </si>
  <si>
    <t>Aa2</t>
  </si>
  <si>
    <t>Botswana</t>
  </si>
  <si>
    <t>A2</t>
  </si>
  <si>
    <t>North America</t>
  </si>
  <si>
    <t>Cyprus</t>
  </si>
  <si>
    <t>Azerbaijan</t>
  </si>
  <si>
    <t>AA-</t>
  </si>
  <si>
    <t>Aa3</t>
  </si>
  <si>
    <t>Burkina Faso</t>
  </si>
  <si>
    <t>Denmark</t>
  </si>
  <si>
    <t>Belarus</t>
  </si>
  <si>
    <t>Fiji</t>
  </si>
  <si>
    <t>A+</t>
  </si>
  <si>
    <t>A1</t>
  </si>
  <si>
    <t>Cameroon</t>
  </si>
  <si>
    <t>Argentina</t>
  </si>
  <si>
    <t>Finland</t>
  </si>
  <si>
    <t>Bosnia and Herzegovina</t>
  </si>
  <si>
    <t>Hong Kong</t>
  </si>
  <si>
    <t>A</t>
  </si>
  <si>
    <t>Cape Verde</t>
  </si>
  <si>
    <t>Belize</t>
  </si>
  <si>
    <t>France</t>
  </si>
  <si>
    <t>Bulgaria</t>
  </si>
  <si>
    <t>India</t>
  </si>
  <si>
    <t>A-</t>
  </si>
  <si>
    <t>A3</t>
  </si>
  <si>
    <t>Congo (Democratic Republic of)</t>
  </si>
  <si>
    <t>Bolivia</t>
  </si>
  <si>
    <t>Germany</t>
  </si>
  <si>
    <t>Croatia</t>
  </si>
  <si>
    <t>Indonesia</t>
  </si>
  <si>
    <t>BBB+</t>
  </si>
  <si>
    <t>Baa1</t>
  </si>
  <si>
    <t>Congo (Republic of)</t>
  </si>
  <si>
    <t>Caa2</t>
  </si>
  <si>
    <t>Brazil</t>
  </si>
  <si>
    <t>Greece</t>
  </si>
  <si>
    <t>Czech Republic</t>
  </si>
  <si>
    <t>Japan</t>
  </si>
  <si>
    <t>BBB</t>
  </si>
  <si>
    <t>Baa2</t>
  </si>
  <si>
    <t>Côte d'Ivoire</t>
  </si>
  <si>
    <t>Ba3</t>
  </si>
  <si>
    <t>Chile</t>
  </si>
  <si>
    <t>Iceland</t>
  </si>
  <si>
    <t>Estonia</t>
  </si>
  <si>
    <t>Korea</t>
  </si>
  <si>
    <t>BBB-</t>
  </si>
  <si>
    <t>Baa3</t>
  </si>
  <si>
    <t>Egypt</t>
  </si>
  <si>
    <t>Colombia</t>
  </si>
  <si>
    <t>Ireland</t>
  </si>
  <si>
    <t>Georgia</t>
  </si>
  <si>
    <t>Macao</t>
  </si>
  <si>
    <t>BB+</t>
  </si>
  <si>
    <t>Ba1</t>
  </si>
  <si>
    <t>Ethiopia</t>
  </si>
  <si>
    <t>Costa Rica</t>
  </si>
  <si>
    <t>Italy</t>
  </si>
  <si>
    <t>Hungary</t>
  </si>
  <si>
    <t>Malaysia</t>
  </si>
  <si>
    <t>BB</t>
  </si>
  <si>
    <t>Ba2</t>
  </si>
  <si>
    <t>Gabon</t>
  </si>
  <si>
    <t>Ecuador</t>
  </si>
  <si>
    <t>Malta</t>
  </si>
  <si>
    <t>Kazakhstan</t>
  </si>
  <si>
    <t>Mongolia</t>
  </si>
  <si>
    <t>Ghana</t>
  </si>
  <si>
    <t>B3</t>
  </si>
  <si>
    <t>El Salvador</t>
  </si>
  <si>
    <t>Netherlands</t>
  </si>
  <si>
    <t>Latvia</t>
  </si>
  <si>
    <t>Pakistan</t>
  </si>
  <si>
    <t>B+</t>
  </si>
  <si>
    <t>B1</t>
  </si>
  <si>
    <t>Kenya</t>
  </si>
  <si>
    <t>Guatemala</t>
  </si>
  <si>
    <t>Norway</t>
  </si>
  <si>
    <t>Lithuania</t>
  </si>
  <si>
    <t>Papua New Guinea</t>
  </si>
  <si>
    <t>B</t>
  </si>
  <si>
    <t>Mali</t>
  </si>
  <si>
    <t>Honduras</t>
  </si>
  <si>
    <t>Portugal</t>
  </si>
  <si>
    <t>Moldova</t>
  </si>
  <si>
    <t>Philippines</t>
  </si>
  <si>
    <t>B-</t>
  </si>
  <si>
    <t>Mauritius</t>
  </si>
  <si>
    <t>Mexico</t>
  </si>
  <si>
    <t>Spain</t>
  </si>
  <si>
    <t>Montenegro</t>
  </si>
  <si>
    <t>Singapore</t>
  </si>
  <si>
    <t>CCC+</t>
  </si>
  <si>
    <t>Morocco</t>
  </si>
  <si>
    <t>Nicaragua</t>
  </si>
  <si>
    <t>Sweden</t>
  </si>
  <si>
    <t>Poland</t>
  </si>
  <si>
    <t>Sri Lanka</t>
  </si>
  <si>
    <t>CCC</t>
  </si>
  <si>
    <t>Mozambique</t>
  </si>
  <si>
    <t>Panama</t>
  </si>
  <si>
    <t>Switzerland</t>
  </si>
  <si>
    <t>Romania</t>
  </si>
  <si>
    <t>Taiwan</t>
  </si>
  <si>
    <t>CCC-</t>
  </si>
  <si>
    <t>Caa3</t>
  </si>
  <si>
    <t>Namibia</t>
  </si>
  <si>
    <t>Paraguay</t>
  </si>
  <si>
    <t>United Kingdom</t>
  </si>
  <si>
    <t>Russia</t>
  </si>
  <si>
    <t>Thailand</t>
  </si>
  <si>
    <t>CC+</t>
  </si>
  <si>
    <t>Ca1</t>
  </si>
  <si>
    <t>Niger</t>
  </si>
  <si>
    <t>Peru</t>
  </si>
  <si>
    <t>W. Europe</t>
  </si>
  <si>
    <t>Slovakia</t>
  </si>
  <si>
    <t>Turkey</t>
  </si>
  <si>
    <t>CC</t>
  </si>
  <si>
    <t>Ca2</t>
  </si>
  <si>
    <t>Nigeria</t>
  </si>
  <si>
    <t>Uruguay</t>
  </si>
  <si>
    <t>Slovenia</t>
  </si>
  <si>
    <t>Vietnam</t>
  </si>
  <si>
    <t>CC-</t>
  </si>
  <si>
    <t>Ca3</t>
  </si>
  <si>
    <t>Rwanda</t>
  </si>
  <si>
    <t>Venezuela</t>
  </si>
  <si>
    <t>Ukraine</t>
  </si>
  <si>
    <t>Asia</t>
  </si>
  <si>
    <t>C+</t>
  </si>
  <si>
    <t>C1</t>
  </si>
  <si>
    <t>Senegal</t>
  </si>
  <si>
    <t>Central and South America</t>
  </si>
  <si>
    <t>E. Europe &amp; Russia</t>
  </si>
  <si>
    <t>C</t>
  </si>
  <si>
    <t>C2</t>
  </si>
  <si>
    <t>South Africa</t>
  </si>
  <si>
    <t>Australia</t>
  </si>
  <si>
    <t>C-</t>
  </si>
  <si>
    <t>C3</t>
  </si>
  <si>
    <t>Swaziland</t>
  </si>
  <si>
    <t>Bahrain</t>
  </si>
  <si>
    <t>New Zealand</t>
  </si>
  <si>
    <t>Tanzania</t>
  </si>
  <si>
    <t>Israel</t>
  </si>
  <si>
    <t>Source: http://pages.stern.nyu.edu/~adamodar/</t>
  </si>
  <si>
    <t>Togo</t>
  </si>
  <si>
    <t>Jordan</t>
  </si>
  <si>
    <t>Tunisia</t>
  </si>
  <si>
    <t>Kuwait</t>
  </si>
  <si>
    <t>Uganda</t>
  </si>
  <si>
    <t>Lebanon</t>
  </si>
  <si>
    <t>Zambia</t>
  </si>
  <si>
    <t>Ca</t>
  </si>
  <si>
    <t>Africa</t>
  </si>
  <si>
    <t>Oman</t>
  </si>
  <si>
    <t>Qatar</t>
  </si>
  <si>
    <t>Saudi Arabia</t>
  </si>
  <si>
    <t>United Arab Emirates</t>
  </si>
  <si>
    <t>Middle East</t>
  </si>
  <si>
    <t>Laos</t>
  </si>
  <si>
    <t>Maldives</t>
  </si>
  <si>
    <t>Solomon Islands</t>
  </si>
  <si>
    <t>Cook Islands</t>
  </si>
  <si>
    <t>Australia &amp; New Zealand</t>
  </si>
  <si>
    <t>Aruba</t>
  </si>
  <si>
    <t>Bahamas</t>
  </si>
  <si>
    <t>Barbados</t>
  </si>
  <si>
    <t>Bermuda</t>
  </si>
  <si>
    <t>Cayman Islands</t>
  </si>
  <si>
    <t>Cuba</t>
  </si>
  <si>
    <t>Curacao</t>
  </si>
  <si>
    <t>Dominican Republic</t>
  </si>
  <si>
    <t>Jamaica</t>
  </si>
  <si>
    <t>Montserrat</t>
  </si>
  <si>
    <t>St. Maarten</t>
  </si>
  <si>
    <t>St. Vincent &amp; the Grenadines</t>
  </si>
  <si>
    <t>Trinidad and Tobago</t>
  </si>
  <si>
    <t>Turks and Caicos Islands</t>
  </si>
  <si>
    <t>Caribbean</t>
  </si>
  <si>
    <t>Suriname</t>
  </si>
  <si>
    <t>Kyrgyzstan</t>
  </si>
  <si>
    <t>Macedonia</t>
  </si>
  <si>
    <t>Serbia</t>
  </si>
  <si>
    <t>Tajikistan</t>
  </si>
  <si>
    <t>Uzbekistan</t>
  </si>
  <si>
    <t>Abu Dhabi</t>
  </si>
  <si>
    <t>Iraq</t>
  </si>
  <si>
    <t>Ras Al Khaimah (Emirate of)</t>
  </si>
  <si>
    <t>Sharjah</t>
  </si>
  <si>
    <t>Andorra (Principality of)</t>
  </si>
  <si>
    <t>Guernsey (States of)</t>
  </si>
  <si>
    <t>Isle of Man</t>
  </si>
  <si>
    <t>Jersey (States of)</t>
  </si>
  <si>
    <t>Liechtenstein</t>
  </si>
  <si>
    <t>Luxembourg</t>
  </si>
  <si>
    <t>Source: http://people.stern.nyu.edu/adamodar/New_Home_Page/datafile/ctryprem.html</t>
  </si>
  <si>
    <t>Forecasted Statements</t>
  </si>
  <si>
    <t>Sales Growth</t>
  </si>
  <si>
    <t>Sales to Capital</t>
  </si>
  <si>
    <t>COGS incl. R&amp;D and leases</t>
  </si>
  <si>
    <t>Assumed Interest Long Term</t>
  </si>
  <si>
    <t>Assumed Interest Short Term</t>
  </si>
  <si>
    <t>Income before extraordinary items</t>
  </si>
  <si>
    <t>Dividends</t>
  </si>
  <si>
    <t>Payout Ratio</t>
  </si>
  <si>
    <t>Change in Shares - Basic</t>
  </si>
  <si>
    <t>Change in Shares - Diluted</t>
  </si>
  <si>
    <t>Assumption on average useful life of new investments</t>
  </si>
  <si>
    <t>Depr. incl. R&amp;D and Leases</t>
  </si>
  <si>
    <t>Out of which 'SHARE-BASED COMPENSATION EXPENSE'</t>
  </si>
  <si>
    <t>Increase in Share based Compensation</t>
  </si>
  <si>
    <t>Increase in CAPEX</t>
  </si>
  <si>
    <t>Average expected Share Price for Share repurchases (management usually comment on their plans on future share repurchases)</t>
  </si>
  <si>
    <t>Relative to Share Based Compensation</t>
  </si>
  <si>
    <t>Change in Cash</t>
  </si>
  <si>
    <t>Supplemental Data</t>
  </si>
  <si>
    <t>Cash flow before debt paydown</t>
  </si>
  <si>
    <t>Day Sales Outstanding</t>
  </si>
  <si>
    <t>Day Inventory to Sales</t>
  </si>
  <si>
    <t>&lt;- This is calculated realtive to sales to simplify the forecast</t>
  </si>
  <si>
    <t>Day Other Assets on Hand (assumption)</t>
  </si>
  <si>
    <t>Net Collection Period</t>
  </si>
  <si>
    <t>Non-cash Current Assets</t>
  </si>
  <si>
    <t>PP&amp;E incl R&amp;D and Leases</t>
  </si>
  <si>
    <t>Short Term to Total Debt</t>
  </si>
  <si>
    <t>Day Payable Outstanding (adj.)</t>
  </si>
  <si>
    <t>Day Other Liabilities Outstanding (assumption)</t>
  </si>
  <si>
    <t>Days Net payments outstanding</t>
  </si>
  <si>
    <t>Non-cash Current Liabilities</t>
  </si>
  <si>
    <t>Long-term debt incl. Leases</t>
  </si>
  <si>
    <t>Test for Balancing</t>
  </si>
  <si>
    <t>Supporting Schedules (do not change)</t>
  </si>
  <si>
    <t>Approximation of Non-cash Working Capital</t>
  </si>
  <si>
    <t>Change in Collection Period</t>
  </si>
  <si>
    <t>Non-cash Working Capital</t>
  </si>
  <si>
    <t>Required Financing Period</t>
  </si>
  <si>
    <t>Non-cash Working Capital to (Sales minus COGS)</t>
  </si>
  <si>
    <t>Change in Non-cash Working Capital</t>
  </si>
  <si>
    <t>Depreciation Schedule</t>
  </si>
  <si>
    <t>PPE incl. Leases and R&amp;D Opening</t>
  </si>
  <si>
    <t>CAPEX incl. R&amp;D</t>
  </si>
  <si>
    <t>CAPEX incl. R&amp;D &amp; Acq.</t>
  </si>
  <si>
    <t>%Growth</t>
  </si>
  <si>
    <t>Useful life (past)</t>
  </si>
  <si>
    <t>CAPEX Depreciation Years</t>
  </si>
  <si>
    <t>Old Investments useful life</t>
  </si>
  <si>
    <t>Book Depreciation</t>
  </si>
  <si>
    <t>New Investments useful life</t>
  </si>
  <si>
    <t>Total Depreciation</t>
  </si>
  <si>
    <t>Depreciation Growth</t>
  </si>
  <si>
    <t>Debt &amp; Interest Schedule</t>
  </si>
  <si>
    <t>Cash available to pay down debt</t>
  </si>
  <si>
    <t>Cash at beginning of year</t>
  </si>
  <si>
    <t>Minimum cash cushion</t>
  </si>
  <si>
    <t>Total cash available to pay down debt</t>
  </si>
  <si>
    <t>Short term borrowings / revolver</t>
  </si>
  <si>
    <t>Year Beginning</t>
  </si>
  <si>
    <t>Issuances / retirements</t>
  </si>
  <si>
    <t>Year Ending</t>
  </si>
  <si>
    <t>Long term debt</t>
  </si>
  <si>
    <t>Total issuances / retirements</t>
  </si>
  <si>
    <t>Total Interest Expenses</t>
  </si>
  <si>
    <t>Cash year Ending</t>
  </si>
  <si>
    <t>Interest Income</t>
  </si>
  <si>
    <t>Interest Rate</t>
  </si>
  <si>
    <t>Net interest expenses/income</t>
  </si>
  <si>
    <t>Growth Model based on Sales to Capital</t>
  </si>
  <si>
    <t>Base Year</t>
  </si>
  <si>
    <t>Calculate/Fill in the following green filled cells</t>
  </si>
  <si>
    <t>Revenue Growth (IbisWorld average)</t>
  </si>
  <si>
    <t>Operating Marging corrected</t>
  </si>
  <si>
    <t>Operating Income</t>
  </si>
  <si>
    <t xml:space="preserve">EBIT (1-t) with Tax Rate at 21% </t>
  </si>
  <si>
    <t>Change in Revenue</t>
  </si>
  <si>
    <t>Sales to Capital (corrected BV)</t>
  </si>
  <si>
    <t>Reinvestment</t>
  </si>
  <si>
    <t>Invested Capital (corrected)</t>
  </si>
  <si>
    <t> </t>
  </si>
  <si>
    <t>DEC '11</t>
  </si>
  <si>
    <t>DEC '12</t>
  </si>
  <si>
    <t>DEC '13</t>
  </si>
  <si>
    <t>DEC '14</t>
  </si>
  <si>
    <t>DEC '15</t>
  </si>
  <si>
    <t>DEC '16</t>
  </si>
  <si>
    <t>DEC '17</t>
  </si>
  <si>
    <t>DEC '18</t>
  </si>
  <si>
    <t>DEC '19</t>
  </si>
  <si>
    <t>DEC '20</t>
  </si>
  <si>
    <t>DEC '21</t>
  </si>
  <si>
    <t>DEC '22</t>
  </si>
  <si>
    <t>DEC '23</t>
  </si>
  <si>
    <t>DEC '24</t>
  </si>
  <si>
    <t>DEC '25</t>
  </si>
  <si>
    <t>DEC' 26</t>
  </si>
  <si>
    <t>365 Days</t>
  </si>
  <si>
    <t>366 Days</t>
  </si>
  <si>
    <t xml:space="preserve">365 Days </t>
  </si>
  <si>
    <t>Total Rev Growth</t>
  </si>
  <si>
    <t>Airline</t>
  </si>
  <si>
    <t>Refinery</t>
  </si>
  <si>
    <t>All figures in millions of U.S. Dollar</t>
  </si>
  <si>
    <t>Valuation</t>
  </si>
  <si>
    <t>Assumptions</t>
  </si>
  <si>
    <t>Raw</t>
  </si>
  <si>
    <t>Adjusted</t>
  </si>
  <si>
    <t>Rating</t>
  </si>
  <si>
    <t>Beta (1 Yrs)</t>
  </si>
  <si>
    <t>Beta (Terminal Value)</t>
  </si>
  <si>
    <t>CDS Spread</t>
  </si>
  <si>
    <t>Beta (2 Yrs)</t>
  </si>
  <si>
    <t>MV Equity / (MV Equity + MV Debt)</t>
  </si>
  <si>
    <t>Cost of Debt v1</t>
  </si>
  <si>
    <t>Beta (3 Yrs)</t>
  </si>
  <si>
    <t>Cost of debt v2</t>
  </si>
  <si>
    <t>Beta (5 Yrs)</t>
  </si>
  <si>
    <t>Risk free rate</t>
  </si>
  <si>
    <t xml:space="preserve">Cost of Equity </t>
  </si>
  <si>
    <t>Beta (10 Yrs)</t>
  </si>
  <si>
    <t>Equity market premium</t>
  </si>
  <si>
    <t>Cost of Equity (TV)</t>
  </si>
  <si>
    <t>WACC</t>
  </si>
  <si>
    <t>Shares Outstanding in B</t>
  </si>
  <si>
    <t>WACC (TV)</t>
  </si>
  <si>
    <t>MV Total debt in B</t>
  </si>
  <si>
    <t>NonCash ROE in t= 5</t>
  </si>
  <si>
    <t>Debt imply. in 5 years</t>
  </si>
  <si>
    <t>b(Equity) in t=5</t>
  </si>
  <si>
    <t>Debt in 5 years</t>
  </si>
  <si>
    <t>Growth equity</t>
  </si>
  <si>
    <t>Cash in B</t>
  </si>
  <si>
    <t>ROIC in t=5</t>
  </si>
  <si>
    <t>EV/EBITDARD (latest)</t>
  </si>
  <si>
    <t>b(Firm) in t=5</t>
  </si>
  <si>
    <t>Price (current)</t>
  </si>
  <si>
    <t>Growth firm</t>
  </si>
  <si>
    <t>Calculation according to "traditional" corrected Version</t>
  </si>
  <si>
    <t>Depreciation including R&amp;D and Leases</t>
  </si>
  <si>
    <t>CAPEX incl. R&amp;D, Leases and Acq.</t>
  </si>
  <si>
    <t>&lt;- Calculate/Fill in the following green filled cells</t>
  </si>
  <si>
    <t>Net Borrowing</t>
  </si>
  <si>
    <t>NonCash ROE</t>
  </si>
  <si>
    <t>FCFF Method based on distinct forecast</t>
  </si>
  <si>
    <t>FCFF Method based on Sales/Capital Forecast</t>
  </si>
  <si>
    <t>Terminal Value</t>
  </si>
  <si>
    <t>PV of FCFF</t>
  </si>
  <si>
    <t>PV of Terminal Value</t>
  </si>
  <si>
    <t>Sum PV</t>
  </si>
  <si>
    <t>Probability of Failure</t>
  </si>
  <si>
    <t>Proceeds if Firm Fails</t>
  </si>
  <si>
    <t>Value of Operating Assets</t>
  </si>
  <si>
    <t xml:space="preserve"> - Debt</t>
  </si>
  <si>
    <t xml:space="preserve"> - Minority interests</t>
  </si>
  <si>
    <t xml:space="preserve"> +  Cash</t>
  </si>
  <si>
    <t xml:space="preserve"> + Value Non-operating assets</t>
  </si>
  <si>
    <t xml:space="preserve"> + Other Minority Holdings</t>
  </si>
  <si>
    <t>Value of equity</t>
  </si>
  <si>
    <t>Estimated value per Share</t>
  </si>
  <si>
    <t>Calculate/Fill in the green filled cells</t>
  </si>
  <si>
    <t>FCFE Method based on distinct forecast</t>
  </si>
  <si>
    <t>Value of Equity</t>
  </si>
  <si>
    <t>FCFF Method with Multiple Method</t>
  </si>
  <si>
    <t>Other Expected EV/EBITDA (Specify)</t>
  </si>
  <si>
    <t>Exit EV/EBITDA</t>
  </si>
  <si>
    <t>1. Quartile Expected EV/EBITDA</t>
  </si>
  <si>
    <t>Exit EV / Terminal Value</t>
  </si>
  <si>
    <t>3. Quartile Expected EV/EBITDA</t>
  </si>
  <si>
    <t>Median Expected EV/EBITDA</t>
  </si>
  <si>
    <t>Mean Expected EV/EBITDA</t>
  </si>
  <si>
    <t>1. Quartile Current EV/EBITDA</t>
  </si>
  <si>
    <t>Max Current EV/EBITDA</t>
  </si>
  <si>
    <t>Median Current EV/EBITDA</t>
  </si>
  <si>
    <t>Mean Current EV/EBITDA</t>
  </si>
  <si>
    <t>Calculating Exit Price with Multiple Method</t>
  </si>
  <si>
    <t xml:space="preserve"> + Value of other Minority Holdings</t>
  </si>
  <si>
    <t>Exit Shares Outstanding (diluted)</t>
  </si>
  <si>
    <t>Exit Share Price</t>
  </si>
  <si>
    <t>Share price sensitivity to exit Beta and expected stable growth</t>
  </si>
  <si>
    <t>Growth Rate</t>
  </si>
  <si>
    <t>Prob. Of Default</t>
  </si>
  <si>
    <t>EV/EBITDA EXIT Multiple</t>
  </si>
  <si>
    <t>Analysis of Competitors named by Competitors</t>
  </si>
  <si>
    <t>Comparable Companies Analysis</t>
  </si>
  <si>
    <t>Current Stock Price$</t>
  </si>
  <si>
    <t>Market Capitalization (Value)$</t>
  </si>
  <si>
    <t>Enterprise</t>
  </si>
  <si>
    <t>Price / Earnings</t>
  </si>
  <si>
    <t>E.V. / Revenue</t>
  </si>
  <si>
    <t>E.V. / EBIT</t>
  </si>
  <si>
    <t>E.V. / EBITDA</t>
  </si>
  <si>
    <t>Value</t>
  </si>
  <si>
    <t>Company</t>
  </si>
  <si>
    <t>$MM</t>
  </si>
  <si>
    <t>x</t>
  </si>
  <si>
    <t>Mean (based on sums)</t>
  </si>
  <si>
    <t>3. Quartile</t>
  </si>
  <si>
    <t>1. Quartile</t>
  </si>
  <si>
    <t>Operating Statistics</t>
  </si>
  <si>
    <t>Shares</t>
  </si>
  <si>
    <t>D&amp;A</t>
  </si>
  <si>
    <t>$/share</t>
  </si>
  <si>
    <t>Price Normed</t>
  </si>
  <si>
    <t>FI1320US</t>
  </si>
  <si>
    <t>52-week</t>
  </si>
  <si>
    <t>Comparable</t>
  </si>
  <si>
    <t xml:space="preserve">Discounted </t>
  </si>
  <si>
    <t>high / low</t>
  </si>
  <si>
    <t>company analysis EV/EBITDA</t>
  </si>
  <si>
    <t>company analysis P/E</t>
  </si>
  <si>
    <t>cash flow analysis</t>
  </si>
  <si>
    <t>Low</t>
  </si>
  <si>
    <t>—</t>
  </si>
  <si>
    <t>High</t>
  </si>
  <si>
    <t>Share price</t>
  </si>
  <si>
    <t>Shares outstanding</t>
  </si>
  <si>
    <t>Category</t>
  </si>
  <si>
    <t>Equity value</t>
  </si>
  <si>
    <t>Net debt &amp; other</t>
  </si>
  <si>
    <t>Selected companies analysis</t>
  </si>
  <si>
    <t>Enterprise value</t>
  </si>
  <si>
    <t>Precedent transaction</t>
  </si>
  <si>
    <t>Current EBITDA</t>
  </si>
  <si>
    <t>Discounted cash flow analysis</t>
  </si>
  <si>
    <t>Current EPS</t>
  </si>
  <si>
    <t>Multiple</t>
  </si>
  <si>
    <t>Lower end</t>
  </si>
  <si>
    <t>variance</t>
  </si>
  <si>
    <t>Higher end</t>
  </si>
  <si>
    <t>52-Week high/low</t>
  </si>
  <si>
    <t>Comparable company analysis (EBITDA)</t>
  </si>
  <si>
    <t>Comparable company analysis (P/E)</t>
  </si>
  <si>
    <t>Discounted cash flow analysis (FCFF)</t>
  </si>
  <si>
    <t>Discounted cash flow analysis (EV/EBITDA Multiple)</t>
  </si>
  <si>
    <t>Current value</t>
  </si>
  <si>
    <t>Industry  Name</t>
  </si>
  <si>
    <t>Number of firms</t>
  </si>
  <si>
    <t>Trailing PE</t>
  </si>
  <si>
    <t>Forward PE</t>
  </si>
  <si>
    <t>Date updated:</t>
  </si>
  <si>
    <t>Coal &amp; Related Energy</t>
  </si>
  <si>
    <t>Created by:</t>
  </si>
  <si>
    <t>Aswath Damodaran, adamodar@stern.nyu.edu</t>
  </si>
  <si>
    <t>Air Transport</t>
  </si>
  <si>
    <t>What is this data?</t>
  </si>
  <si>
    <t>Price Earnings multiples</t>
  </si>
  <si>
    <t>US companies</t>
  </si>
  <si>
    <t>Bank (Money Center)</t>
  </si>
  <si>
    <t>Home Page:</t>
  </si>
  <si>
    <t>http://www.damodaran.com</t>
  </si>
  <si>
    <t>Reinsurance</t>
  </si>
  <si>
    <t>Data website:</t>
  </si>
  <si>
    <t>http://www.stern.nyu.edu/~adamodar/New_Home_Page/data.html</t>
  </si>
  <si>
    <t>Oil/Gas Distribution</t>
  </si>
  <si>
    <t>Companies in each industry:</t>
  </si>
  <si>
    <t>http://www.stern.nyu.edu/~adamodar/pc/datasets/indname.xls</t>
  </si>
  <si>
    <t>Banks (Regional)</t>
  </si>
  <si>
    <t>Variable definitions:</t>
  </si>
  <si>
    <t>http://www.stern.nyu.edu/~adamodar/New_Home_Page/datafile/variable.htm</t>
  </si>
  <si>
    <t>Chemical (Basic)</t>
  </si>
  <si>
    <t>Chemical (Diversified)</t>
  </si>
  <si>
    <t>Broadcasting</t>
  </si>
  <si>
    <t>Office Equipment &amp; Services</t>
  </si>
  <si>
    <t>Insurance (Life)</t>
  </si>
  <si>
    <t>Homebuilding</t>
  </si>
  <si>
    <t>Precious Metals</t>
  </si>
  <si>
    <t>Paper/Forest Products</t>
  </si>
  <si>
    <t>Utility (General)</t>
  </si>
  <si>
    <t>Advertising</t>
  </si>
  <si>
    <t>Brokerage &amp; Investment Banking</t>
  </si>
  <si>
    <t>Power</t>
  </si>
  <si>
    <t>Apparel</t>
  </si>
  <si>
    <t>Retail (General)</t>
  </si>
  <si>
    <t>Shipbuilding &amp; Marine</t>
  </si>
  <si>
    <t>Financial Svcs. (Non-bank &amp; Insurance)</t>
  </si>
  <si>
    <t>Oil/Gas (Production and Exploration)</t>
  </si>
  <si>
    <t>Packaging &amp; Container</t>
  </si>
  <si>
    <t>Transportation (Railroads)</t>
  </si>
  <si>
    <t>Diversified</t>
  </si>
  <si>
    <t>Farming/Agriculture</t>
  </si>
  <si>
    <t>Education</t>
  </si>
  <si>
    <t>Engineering/Construction</t>
  </si>
  <si>
    <t>Auto Parts</t>
  </si>
  <si>
    <t>Building Materials</t>
  </si>
  <si>
    <t>Tobacco</t>
  </si>
  <si>
    <t>Telecom (Wireless)</t>
  </si>
  <si>
    <t>Furn/Home Furnishings</t>
  </si>
  <si>
    <t>Metals &amp; Mining</t>
  </si>
  <si>
    <t>Retail (Automotive)</t>
  </si>
  <si>
    <t>Retail (Special Lines)</t>
  </si>
  <si>
    <t>Trucking</t>
  </si>
  <si>
    <t>Drugs (Biotechnology)</t>
  </si>
  <si>
    <t>Real Estate (Development)</t>
  </si>
  <si>
    <t>Shoe</t>
  </si>
  <si>
    <t>Oil/Gas (Integrated)</t>
  </si>
  <si>
    <t>Chemical (Specialty)</t>
  </si>
  <si>
    <t>Business &amp; Consumer Services</t>
  </si>
  <si>
    <t>Rubber&amp; Tires</t>
  </si>
  <si>
    <t>Recreation</t>
  </si>
  <si>
    <t>Real Estate (General/Diversified)</t>
  </si>
  <si>
    <t>Oilfield Svcs/Equip.</t>
  </si>
  <si>
    <t>Retail (Grocery and Food)</t>
  </si>
  <si>
    <t>Computers/Peripherals</t>
  </si>
  <si>
    <t>Retail (Distributors)</t>
  </si>
  <si>
    <t>Insurance (Prop/Cas.)</t>
  </si>
  <si>
    <t>Computer Services</t>
  </si>
  <si>
    <t>Beverage (Alcoholic)</t>
  </si>
  <si>
    <t>Publishing &amp; Newspapers</t>
  </si>
  <si>
    <t>R.E.I.T.</t>
  </si>
  <si>
    <t>Electrical Equipment</t>
  </si>
  <si>
    <t>Hotel/Gaming</t>
  </si>
  <si>
    <t>Utility (Water)</t>
  </si>
  <si>
    <t>Green &amp; Renewable Energy</t>
  </si>
  <si>
    <t>Electronics (Consumer &amp; Office)</t>
  </si>
  <si>
    <t>Machinery</t>
  </si>
  <si>
    <t>Insurance (General)</t>
  </si>
  <si>
    <t>Cable TV</t>
  </si>
  <si>
    <t>Telecom. Equipment</t>
  </si>
  <si>
    <t>Restaurant/Dining</t>
  </si>
  <si>
    <t>Hospitals/Healthcare Facilities</t>
  </si>
  <si>
    <t>Steel</t>
  </si>
  <si>
    <t>Electronics (General)</t>
  </si>
  <si>
    <t>Construction Supplies</t>
  </si>
  <si>
    <t>Software (Internet)</t>
  </si>
  <si>
    <t>Software (Entertainment)</t>
  </si>
  <si>
    <t>Healthcare Support Services</t>
  </si>
  <si>
    <t>Information Services</t>
  </si>
  <si>
    <t>Total Market (without financials)</t>
  </si>
  <si>
    <t>Semiconductor Equip</t>
  </si>
  <si>
    <t>Total Market</t>
  </si>
  <si>
    <t>Drugs (Pharmaceutical)</t>
  </si>
  <si>
    <t>Retail (Online)</t>
  </si>
  <si>
    <t>Retail (Building Supply)</t>
  </si>
  <si>
    <t>Telecom. Services</t>
  </si>
  <si>
    <t>Auto &amp; Truck</t>
  </si>
  <si>
    <t>Heathcare Information and Technology</t>
  </si>
  <si>
    <t>Software (System &amp; Application)</t>
  </si>
  <si>
    <t>Beverage (Soft)</t>
  </si>
  <si>
    <t>Food Processing</t>
  </si>
  <si>
    <t>Aerospace/Defense</t>
  </si>
  <si>
    <t>Food Wholesalers</t>
  </si>
  <si>
    <t>Healthcare Products</t>
  </si>
  <si>
    <t>Investments &amp; Asset Management</t>
  </si>
  <si>
    <t>Environmental &amp; Waste Services</t>
  </si>
  <si>
    <t>Household Products</t>
  </si>
  <si>
    <t>Entertainment</t>
  </si>
  <si>
    <t>Real Estate (Operations &amp; Services)</t>
  </si>
  <si>
    <t>Semiconductor</t>
  </si>
  <si>
    <t>EV/EBITDAR&amp;D</t>
  </si>
  <si>
    <t>Enterprise value multiples</t>
  </si>
  <si>
    <t>Industry Name</t>
  </si>
  <si>
    <t>Price/Sales</t>
  </si>
  <si>
    <t>Pre-tax Operating Margin</t>
  </si>
  <si>
    <t xml:space="preserve">Revenue multiples </t>
  </si>
  <si>
    <t xml:space="preserve">U.S. Petroleum Refinery Industry </t>
  </si>
  <si>
    <t>International US Airlines Industry</t>
  </si>
  <si>
    <t xml:space="preserve">Domestic U.S. Airlines Industry </t>
  </si>
  <si>
    <t xml:space="preserve">U.S. Airline Industry (TOTAL) </t>
  </si>
  <si>
    <t>Year</t>
  </si>
  <si>
    <t>Revenue ($ million)</t>
  </si>
  <si>
    <t>Revenue Growth (% Change)</t>
  </si>
  <si>
    <t>Total Revenue ($ million)</t>
  </si>
  <si>
    <t xml:space="preserve">Total Revenue Growth ( % Change) </t>
  </si>
  <si>
    <t>Short-Term Debt</t>
  </si>
  <si>
    <t>Equity-to-capital ratio</t>
  </si>
  <si>
    <t>PV of FCFE</t>
  </si>
  <si>
    <t>EV/EBITDA corrected</t>
  </si>
  <si>
    <t>Dividend estimates</t>
  </si>
  <si>
    <t>Relative Valuation</t>
  </si>
  <si>
    <t>PV</t>
  </si>
  <si>
    <t>gstable</t>
  </si>
  <si>
    <t>DDM</t>
  </si>
  <si>
    <t>TV</t>
  </si>
  <si>
    <t>Competitor\Variable</t>
  </si>
  <si>
    <t>Sum of PV (Price/Share)</t>
  </si>
  <si>
    <t>Median-Adjusted Expected EV/EBITDA</t>
  </si>
  <si>
    <t>M-A EV</t>
  </si>
  <si>
    <t>M-A EBITDA</t>
  </si>
  <si>
    <t>M-A EV/EBITDA</t>
  </si>
  <si>
    <t>M-A Cash</t>
  </si>
  <si>
    <t>M-A Debt</t>
  </si>
  <si>
    <t>M-A Outst. Sh.</t>
  </si>
  <si>
    <t>M-A Price per share</t>
  </si>
  <si>
    <t>Rel. 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</si>
</sst>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2">
    <numFmt numFmtId="5" formatCode="&quot;$&quot;#,##0_);\(&quot;$&quot;#,##0\)"/>
    <numFmt numFmtId="6" formatCode="&quot;$&quot;#,##0_);[Red]\(&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_-&quot;£&quot;* #,##0.00_-;\-&quot;£&quot;* #,##0.00_-;_-&quot;£&quot;* &quot;-&quot;??_-;_-@_-"/>
    <numFmt numFmtId="165" formatCode="0.0%"/>
    <numFmt numFmtId="166" formatCode="0.000"/>
    <numFmt numFmtId="167" formatCode="dd\-mmm\-yyyy"/>
    <numFmt numFmtId="168" formatCode="0.0\x"/>
    <numFmt numFmtId="169" formatCode="#,##0.0"/>
    <numFmt numFmtId="170" formatCode="0.00%_);\(0.00%\);0.00%_);@_)"/>
    <numFmt numFmtId="171" formatCode="0.0%_);\(0.0%\);0.0%_);@_)"/>
    <numFmt numFmtId="172" formatCode="_(* #,##0_);_(* \(#,##0\);_(* &quot;-&quot;?_);_(@_)"/>
    <numFmt numFmtId="173" formatCode="_(* #,##0.0_);_(* \(#,##0.0\);_(* &quot;-&quot;?_);_(@_)"/>
    <numFmt numFmtId="174" formatCode="0.00\x"/>
    <numFmt numFmtId="175" formatCode="_(* #,##0.00_);_(* \(#,##0.00\);_(* &quot;-&quot;?_);_(@_)"/>
    <numFmt numFmtId="176" formatCode="#,##0.0_);[Red]\(#,##0.0\)"/>
    <numFmt numFmtId="177" formatCode="0.0000"/>
    <numFmt numFmtId="178" formatCode="0.0"/>
    <numFmt numFmtId="179" formatCode="dd/mm/yy;@"/>
    <numFmt numFmtId="180" formatCode="0.0\x_);\(0.0\x\);0.0\x_);@_)"/>
    <numFmt numFmtId="181" formatCode="#,##0.000"/>
    <numFmt numFmtId="182" formatCode="####.0\x"/>
    <numFmt numFmtId="183" formatCode="[$-409]mmm\-yy;@"/>
    <numFmt numFmtId="184" formatCode="#,##0.000;\-#,##0.000"/>
    <numFmt numFmtId="185" formatCode="#,##0.0_);\(#,##0.0\)"/>
    <numFmt numFmtId="186" formatCode="[$$-C09]#,##0.00"/>
    <numFmt numFmtId="187" formatCode="#,##0.000_)"/>
    <numFmt numFmtId="188" formatCode="##"/>
    <numFmt numFmtId="189" formatCode="##,0##.0"/>
    <numFmt numFmtId="190" formatCode="#,000.0"/>
    <numFmt numFmtId="191" formatCode="#,0##.0"/>
    <numFmt numFmtId="192" formatCode="#.##0%"/>
    <numFmt numFmtId="193" formatCode="#00.##"/>
    <numFmt numFmtId="194" formatCode="###.#"/>
    <numFmt numFmtId="195" formatCode="#.#00%"/>
    <numFmt numFmtId="196" formatCode="#0#.##"/>
    <numFmt numFmtId="197" formatCode="#.##"/>
    <numFmt numFmtId="198" formatCode="#,#00.0"/>
    <numFmt numFmtId="199" formatCode="##.##"/>
    <numFmt numFmtId="200" formatCode="#,###.#"/>
    <numFmt numFmtId="201" formatCode="#.000%"/>
    <numFmt numFmtId="202" formatCode="##.0#"/>
    <numFmt numFmtId="203" formatCode="###.0"/>
    <numFmt numFmtId="204" formatCode="#.###%"/>
    <numFmt numFmtId="205" formatCode="###.##"/>
    <numFmt numFmtId="206" formatCode="###.#0"/>
    <numFmt numFmtId="207" formatCode="##0.##"/>
    <numFmt numFmtId="208" formatCode="#0#.#"/>
    <numFmt numFmtId="209" formatCode="#0.0#"/>
    <numFmt numFmtId="210" formatCode="###.0#"/>
    <numFmt numFmtId="211" formatCode="##.#"/>
    <numFmt numFmtId="212" formatCode="#,###.0"/>
    <numFmt numFmtId="213" formatCode="#,#0#.0"/>
    <numFmt numFmtId="214" formatCode="##,###.0"/>
    <numFmt numFmtId="215" formatCode="##,0##.#"/>
    <numFmt numFmtId="216" formatCode="#0.#"/>
    <numFmt numFmtId="217" formatCode="##.0"/>
    <numFmt numFmtId="218" formatCode="##0.#"/>
    <numFmt numFmtId="219" formatCode="#00.0"/>
    <numFmt numFmtId="220" formatCode="#,0#0.#"/>
    <numFmt numFmtId="221" formatCode="#.#"/>
    <numFmt numFmtId="222" formatCode="#0#.0"/>
    <numFmt numFmtId="223" formatCode="#.0##%"/>
    <numFmt numFmtId="224" formatCode="#.#0#%"/>
    <numFmt numFmtId="225" formatCode="0.#"/>
    <numFmt numFmtId="226" formatCode="##,#0#.0"/>
    <numFmt numFmtId="227" formatCode="##,###.#"/>
    <numFmt numFmtId="228" formatCode="_(* #,##0_);_(* \(#,##0\);_(* &quot;-&quot;??_);_(@_)"/>
  </numFmts>
  <fonts count="18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i/>
      <sz val="11"/>
      <color theme="1"/>
      <name val="Calibri"/>
      <family val="2"/>
      <scheme val="minor"/>
    </font>
    <font>
      <sz val="6"/>
      <color rgb="FF000000"/>
      <name val="Arial"/>
      <family val="2"/>
    </font>
    <font>
      <b/>
      <i/>
      <sz val="11"/>
      <color theme="1"/>
      <name val="Calibri"/>
      <family val="2"/>
      <scheme val="minor"/>
    </font>
    <font>
      <b/>
      <sz val="9"/>
      <color indexed="81"/>
      <name val="Segoe UI"/>
      <family val="2"/>
    </font>
    <font>
      <sz val="14"/>
      <color theme="1"/>
      <name val="Calibri"/>
      <family val="2"/>
      <scheme val="minor"/>
    </font>
    <font>
      <sz val="14"/>
      <color theme="1"/>
      <name val="&quot;Arial&quot;"/>
    </font>
    <font>
      <b/>
      <sz val="10"/>
      <name val="Calibri"/>
      <family val="2"/>
      <scheme val="minor"/>
    </font>
    <font>
      <sz val="10"/>
      <name val="Calibri"/>
      <family val="2"/>
      <scheme val="minor"/>
    </font>
    <font>
      <sz val="10"/>
      <name val="Times"/>
    </font>
    <font>
      <sz val="8"/>
      <color theme="1"/>
      <name val="Calibri"/>
      <family val="2"/>
      <scheme val="minor"/>
    </font>
    <font>
      <sz val="10"/>
      <name val="Times"/>
      <family val="1"/>
    </font>
    <font>
      <u/>
      <sz val="11"/>
      <color theme="10"/>
      <name val="Calibri"/>
      <family val="2"/>
      <scheme val="minor"/>
    </font>
    <font>
      <sz val="10"/>
      <name val="Verdana"/>
      <family val="2"/>
    </font>
    <font>
      <b/>
      <sz val="12"/>
      <color rgb="FF000000"/>
      <name val="Calibri"/>
      <family val="2"/>
      <scheme val="minor"/>
    </font>
    <font>
      <i/>
      <sz val="12"/>
      <color rgb="FF000000"/>
      <name val="Calibri"/>
      <family val="2"/>
      <scheme val="minor"/>
    </font>
    <font>
      <sz val="12"/>
      <name val="Calibri"/>
      <family val="2"/>
      <scheme val="minor"/>
    </font>
    <font>
      <i/>
      <sz val="10"/>
      <name val="Verdana"/>
      <family val="2"/>
    </font>
    <font>
      <u/>
      <sz val="12"/>
      <color theme="10"/>
      <name val="Calibri"/>
      <family val="2"/>
      <scheme val="minor"/>
    </font>
    <font>
      <sz val="12"/>
      <color theme="1"/>
      <name val="Calibri"/>
      <family val="2"/>
      <scheme val="minor"/>
    </font>
    <font>
      <sz val="11"/>
      <color theme="1"/>
      <name val="Arial"/>
      <family val="2"/>
    </font>
    <font>
      <sz val="9"/>
      <name val="Arial"/>
      <family val="2"/>
    </font>
    <font>
      <sz val="10"/>
      <name val="Arial"/>
      <family val="2"/>
    </font>
    <font>
      <sz val="11"/>
      <color theme="0"/>
      <name val="Arial"/>
      <family val="2"/>
    </font>
    <font>
      <sz val="11"/>
      <color rgb="FF0000FF"/>
      <name val="Arial"/>
      <family val="2"/>
    </font>
    <font>
      <sz val="11"/>
      <color rgb="FF800080"/>
      <name val="Arial"/>
      <family val="2"/>
    </font>
    <font>
      <sz val="10"/>
      <color theme="0"/>
      <name val="Arial"/>
      <family val="2"/>
    </font>
    <font>
      <sz val="10"/>
      <color theme="0" tint="-0.34998626667073579"/>
      <name val="Arial"/>
      <family val="2"/>
    </font>
    <font>
      <b/>
      <sz val="14"/>
      <color theme="1"/>
      <name val="Arial"/>
      <family val="2"/>
    </font>
    <font>
      <b/>
      <sz val="14"/>
      <color rgb="FF800080"/>
      <name val="Arial"/>
      <family val="2"/>
    </font>
    <font>
      <sz val="10"/>
      <color theme="1"/>
      <name val="Arial"/>
      <family val="2"/>
    </font>
    <font>
      <sz val="10"/>
      <color rgb="FF800080"/>
      <name val="Arial"/>
      <family val="2"/>
    </font>
    <font>
      <sz val="14"/>
      <color indexed="22"/>
      <name val="Arial"/>
      <family val="2"/>
    </font>
    <font>
      <sz val="10"/>
      <color indexed="22"/>
      <name val="Arial"/>
      <family val="2"/>
    </font>
    <font>
      <sz val="10"/>
      <color rgb="FFC0C0C0"/>
      <name val="Arial"/>
      <family val="2"/>
    </font>
    <font>
      <sz val="10"/>
      <color indexed="9"/>
      <name val="Arial"/>
      <family val="2"/>
    </font>
    <font>
      <b/>
      <sz val="12"/>
      <name val="Arial"/>
      <family val="2"/>
    </font>
    <font>
      <b/>
      <sz val="10"/>
      <name val="Arial"/>
      <family val="2"/>
    </font>
    <font>
      <i/>
      <sz val="10"/>
      <color indexed="8"/>
      <name val="Arial"/>
      <family val="2"/>
    </font>
    <font>
      <i/>
      <sz val="9"/>
      <name val="Arial"/>
      <family val="2"/>
    </font>
    <font>
      <sz val="10"/>
      <color rgb="FF0066CC"/>
      <name val="Arial"/>
      <family val="2"/>
    </font>
    <font>
      <i/>
      <sz val="8"/>
      <name val="Arial"/>
      <family val="2"/>
    </font>
    <font>
      <b/>
      <u/>
      <sz val="10"/>
      <name val="Arial"/>
      <family val="2"/>
    </font>
    <font>
      <i/>
      <sz val="10"/>
      <name val="Arial"/>
      <family val="2"/>
    </font>
    <font>
      <u/>
      <sz val="10"/>
      <color rgb="FF800080"/>
      <name val="Arial"/>
      <family val="2"/>
    </font>
    <font>
      <b/>
      <u/>
      <sz val="10"/>
      <color rgb="FF800080"/>
      <name val="Arial"/>
      <family val="2"/>
    </font>
    <font>
      <sz val="10"/>
      <name val="Tahoma"/>
      <family val="2"/>
    </font>
    <font>
      <b/>
      <sz val="9"/>
      <name val="Arial"/>
      <family val="2"/>
    </font>
    <font>
      <b/>
      <sz val="10"/>
      <color indexed="8"/>
      <name val="Arial"/>
      <family val="2"/>
    </font>
    <font>
      <b/>
      <i/>
      <sz val="10"/>
      <color indexed="8"/>
      <name val="Arial"/>
      <family val="2"/>
    </font>
    <font>
      <b/>
      <sz val="10"/>
      <color rgb="FF800080"/>
      <name val="Arial"/>
      <family val="2"/>
    </font>
    <font>
      <sz val="10"/>
      <color indexed="8"/>
      <name val="Arial"/>
      <family val="2"/>
    </font>
    <font>
      <i/>
      <sz val="10"/>
      <color rgb="FF800080"/>
      <name val="Arial"/>
      <family val="2"/>
    </font>
    <font>
      <b/>
      <sz val="11"/>
      <name val="Arial"/>
      <family val="2"/>
    </font>
    <font>
      <b/>
      <u/>
      <sz val="9"/>
      <name val="Arial"/>
      <family val="2"/>
    </font>
    <font>
      <sz val="9"/>
      <color indexed="9"/>
      <name val="Arial"/>
      <family val="2"/>
    </font>
    <font>
      <b/>
      <sz val="9"/>
      <color indexed="9"/>
      <name val="Arial"/>
      <family val="2"/>
    </font>
    <font>
      <b/>
      <sz val="10"/>
      <color indexed="9"/>
      <name val="Arial"/>
      <family val="2"/>
    </font>
    <font>
      <sz val="10"/>
      <color indexed="12"/>
      <name val="Arial"/>
      <family val="2"/>
    </font>
    <font>
      <sz val="9"/>
      <color rgb="FF0000FF"/>
      <name val="Arial"/>
      <family val="2"/>
    </font>
    <font>
      <u/>
      <sz val="10"/>
      <name val="Arial"/>
      <family val="2"/>
    </font>
    <font>
      <sz val="8"/>
      <color indexed="81"/>
      <name val="Tahoma"/>
      <family val="2"/>
    </font>
    <font>
      <sz val="9"/>
      <color indexed="81"/>
      <name val="Tahoma"/>
      <family val="2"/>
    </font>
    <font>
      <sz val="10"/>
      <color theme="1"/>
      <name val="&quot;Arial&quot;"/>
    </font>
    <font>
      <sz val="9"/>
      <name val="&quot;Arial&quot;"/>
    </font>
    <font>
      <sz val="9"/>
      <color theme="1"/>
      <name val="&quot;Arial&quot;"/>
    </font>
    <font>
      <b/>
      <sz val="10"/>
      <name val="&quot;Arial&quot;"/>
    </font>
    <font>
      <b/>
      <sz val="10"/>
      <color rgb="FF0066CC"/>
      <name val="Calibri"/>
      <family val="2"/>
    </font>
    <font>
      <b/>
      <sz val="10"/>
      <color rgb="FF0066CC"/>
      <name val="&quot;Arial&quot;"/>
    </font>
    <font>
      <sz val="10"/>
      <name val="&quot;Arial&quot;"/>
    </font>
    <font>
      <b/>
      <sz val="10"/>
      <color theme="1"/>
      <name val="&quot;Arial&quot;"/>
    </font>
    <font>
      <sz val="10"/>
      <color indexed="8"/>
      <name val="&quot;Arial&quot;"/>
    </font>
    <font>
      <b/>
      <sz val="10"/>
      <color rgb="FF000000"/>
      <name val="&quot;Arial&quot;"/>
    </font>
    <font>
      <i/>
      <sz val="10"/>
      <color theme="1"/>
      <name val="&quot;Arial&quot;"/>
    </font>
    <font>
      <b/>
      <i/>
      <sz val="10"/>
      <color theme="1"/>
      <name val="&quot;Arial&quot;"/>
    </font>
    <font>
      <i/>
      <sz val="10"/>
      <name val="&quot;Arial&quot;"/>
    </font>
    <font>
      <sz val="9"/>
      <color indexed="81"/>
      <name val="Segoe UI"/>
      <family val="2"/>
    </font>
    <font>
      <b/>
      <sz val="9"/>
      <color indexed="9"/>
      <name val="Trebuchet MS"/>
      <family val="2"/>
    </font>
    <font>
      <u/>
      <sz val="10"/>
      <color theme="9"/>
      <name val="Arial"/>
      <family val="2"/>
    </font>
    <font>
      <sz val="11"/>
      <color indexed="9"/>
      <name val="&quot;Arial&quot;"/>
    </font>
    <font>
      <u/>
      <sz val="11"/>
      <color indexed="9"/>
      <name val="&quot;Arial&quot;"/>
    </font>
    <font>
      <b/>
      <sz val="14"/>
      <color theme="1"/>
      <name val="&quot;Arial&quot;"/>
    </font>
    <font>
      <b/>
      <sz val="14"/>
      <color indexed="20"/>
      <name val="&quot;Arial&quot;"/>
    </font>
    <font>
      <sz val="9"/>
      <color indexed="20"/>
      <name val="&quot;Arial&quot;"/>
    </font>
    <font>
      <b/>
      <sz val="10"/>
      <color indexed="12"/>
      <name val="&quot;Arial&quot;"/>
    </font>
    <font>
      <i/>
      <sz val="9"/>
      <name val="&quot;Arial&quot;"/>
    </font>
    <font>
      <sz val="10"/>
      <color indexed="20"/>
      <name val="&quot;Arial&quot;"/>
    </font>
    <font>
      <b/>
      <sz val="10"/>
      <color indexed="20"/>
      <name val="&quot;Arial&quot;"/>
    </font>
    <font>
      <sz val="11"/>
      <name val="&quot;Arial&quot;"/>
    </font>
    <font>
      <sz val="11"/>
      <color theme="1"/>
      <name val="&quot;Arial&quot;"/>
    </font>
    <font>
      <i/>
      <sz val="10"/>
      <color indexed="20"/>
      <name val="&quot;Arial&quot;"/>
    </font>
    <font>
      <b/>
      <sz val="16"/>
      <color theme="1"/>
      <name val="&quot;Arial&quot;"/>
    </font>
    <font>
      <b/>
      <sz val="11"/>
      <color theme="0"/>
      <name val="Calibri"/>
      <family val="2"/>
      <scheme val="minor"/>
    </font>
    <font>
      <sz val="11"/>
      <color theme="0"/>
      <name val="Calibri"/>
      <family val="2"/>
      <scheme val="minor"/>
    </font>
    <font>
      <sz val="11"/>
      <color theme="0" tint="-0.34998626667073579"/>
      <name val="Calibri"/>
      <family val="2"/>
      <scheme val="minor"/>
    </font>
    <font>
      <b/>
      <sz val="10"/>
      <color theme="1"/>
      <name val="Arial"/>
      <family val="2"/>
    </font>
    <font>
      <sz val="10"/>
      <color rgb="FFEFF6FB"/>
      <name val="Arial"/>
      <family val="2"/>
    </font>
    <font>
      <sz val="10"/>
      <color rgb="FFFF0000"/>
      <name val="Arial"/>
      <family val="2"/>
    </font>
    <font>
      <b/>
      <sz val="14"/>
      <name val="Arial"/>
      <family val="2"/>
    </font>
    <font>
      <sz val="10"/>
      <color rgb="FF0000FF"/>
      <name val="Arial"/>
      <family val="2"/>
    </font>
    <font>
      <sz val="11"/>
      <color theme="1"/>
      <name val="Symbol"/>
      <family val="1"/>
      <charset val="2"/>
    </font>
    <font>
      <sz val="11"/>
      <color theme="1"/>
      <name val="Calibri"/>
      <family val="2"/>
    </font>
    <font>
      <sz val="11"/>
      <color theme="1"/>
      <name val="Calibri"/>
      <family val="1"/>
      <charset val="2"/>
    </font>
    <font>
      <sz val="11"/>
      <color rgb="FFFF0000"/>
      <name val="Calibri"/>
      <family val="2"/>
      <scheme val="minor"/>
    </font>
    <font>
      <sz val="10"/>
      <color theme="0"/>
      <name val="&quot;Arial&quot;"/>
    </font>
    <font>
      <b/>
      <sz val="10"/>
      <color indexed="20"/>
      <name val="Arial"/>
      <family val="2"/>
    </font>
    <font>
      <b/>
      <sz val="10"/>
      <color rgb="FF0066CC"/>
      <name val="Arial"/>
      <family val="2"/>
    </font>
    <font>
      <b/>
      <sz val="12"/>
      <color rgb="FF800080"/>
      <name val="Arial"/>
      <family val="2"/>
    </font>
    <font>
      <sz val="10"/>
      <color indexed="17"/>
      <name val="Arial"/>
      <family val="2"/>
    </font>
    <font>
      <sz val="12"/>
      <color rgb="FF000000"/>
      <name val="Times"/>
    </font>
    <font>
      <sz val="12"/>
      <color theme="4"/>
      <name val="Times"/>
    </font>
    <font>
      <sz val="11"/>
      <color theme="4"/>
      <name val="Calibri"/>
      <family val="2"/>
      <scheme val="minor"/>
    </font>
    <font>
      <b/>
      <sz val="12"/>
      <color rgb="FF000000"/>
      <name val="Times"/>
    </font>
    <font>
      <b/>
      <sz val="12"/>
      <color theme="4"/>
      <name val="Times"/>
    </font>
    <font>
      <b/>
      <u/>
      <sz val="10"/>
      <color theme="1"/>
      <name val="Arial"/>
      <family val="2"/>
    </font>
    <font>
      <i/>
      <sz val="10"/>
      <color theme="1"/>
      <name val="Arial"/>
      <family val="2"/>
    </font>
    <font>
      <i/>
      <sz val="11"/>
      <color indexed="32"/>
      <name val="Calibri"/>
      <family val="2"/>
    </font>
    <font>
      <sz val="11"/>
      <color theme="0" tint="-0.499984740745262"/>
      <name val="Calibri"/>
      <family val="2"/>
    </font>
    <font>
      <i/>
      <sz val="11"/>
      <color indexed="63"/>
      <name val="Calibri"/>
      <family val="2"/>
    </font>
    <font>
      <sz val="16"/>
      <name val="Arial"/>
      <family val="2"/>
    </font>
    <font>
      <b/>
      <sz val="22"/>
      <color indexed="9"/>
      <name val="Arial Narrow"/>
      <family val="2"/>
    </font>
    <font>
      <b/>
      <sz val="11"/>
      <name val="Calibri"/>
      <family val="2"/>
    </font>
    <font>
      <b/>
      <sz val="11"/>
      <color rgb="FF800080"/>
      <name val="Calibri"/>
      <family val="2"/>
    </font>
    <font>
      <b/>
      <sz val="8"/>
      <color indexed="81"/>
      <name val="Tahoma"/>
      <family val="2"/>
    </font>
    <font>
      <sz val="11"/>
      <color rgb="FF800080"/>
      <name val="Calibri"/>
      <family val="2"/>
    </font>
    <font>
      <sz val="11"/>
      <name val="Calibri"/>
      <family val="2"/>
    </font>
    <font>
      <i/>
      <sz val="9"/>
      <color theme="1"/>
      <name val="Calibri"/>
      <family val="2"/>
      <scheme val="minor"/>
    </font>
    <font>
      <sz val="10"/>
      <color theme="5" tint="-0.249977111117893"/>
      <name val="&quot;Arial&quot;"/>
    </font>
    <font>
      <sz val="11"/>
      <color theme="5" tint="-0.249977111117893"/>
      <name val="Calibri"/>
      <family val="2"/>
      <scheme val="minor"/>
    </font>
    <font>
      <i/>
      <sz val="9"/>
      <color theme="5" tint="-0.249977111117893"/>
      <name val="Calibri"/>
      <family val="2"/>
      <scheme val="minor"/>
    </font>
    <font>
      <sz val="8"/>
      <name val="&quot;Arial&quot;"/>
    </font>
    <font>
      <b/>
      <sz val="10"/>
      <color theme="5" tint="-0.249977111117893"/>
      <name val="&quot;Arial&quot;"/>
    </font>
    <font>
      <sz val="10"/>
      <color theme="4"/>
      <name val="&quot;Arial&quot;"/>
    </font>
    <font>
      <i/>
      <sz val="10"/>
      <color theme="4"/>
      <name val="&quot;Arial&quot;"/>
    </font>
    <font>
      <sz val="11"/>
      <color rgb="FF00B0F0"/>
      <name val="Calibri"/>
      <family val="2"/>
      <scheme val="minor"/>
    </font>
    <font>
      <sz val="11"/>
      <color theme="2" tint="-9.9978637043366805E-2"/>
      <name val="Calibri"/>
      <family val="2"/>
      <scheme val="minor"/>
    </font>
    <font>
      <sz val="11"/>
      <color indexed="9"/>
      <name val="Calibri"/>
      <family val="2"/>
      <scheme val="minor"/>
    </font>
    <font>
      <sz val="11"/>
      <name val="Calibri"/>
      <family val="2"/>
      <scheme val="minor"/>
    </font>
    <font>
      <b/>
      <sz val="11"/>
      <name val="Calibri"/>
      <family val="2"/>
      <scheme val="minor"/>
    </font>
    <font>
      <i/>
      <sz val="11"/>
      <name val="Calibri"/>
      <family val="2"/>
      <scheme val="minor"/>
    </font>
    <font>
      <b/>
      <sz val="11"/>
      <color indexed="9"/>
      <name val="Calibri"/>
      <family val="2"/>
      <scheme val="minor"/>
    </font>
    <font>
      <sz val="11"/>
      <color rgb="FF0070C0"/>
      <name val="Calibri"/>
      <family val="2"/>
      <scheme val="minor"/>
    </font>
    <font>
      <b/>
      <sz val="8"/>
      <color rgb="FF000000"/>
      <name val="Tahoma"/>
      <family val="2"/>
    </font>
    <font>
      <sz val="8"/>
      <color rgb="FF000000"/>
      <name val="Tahoma"/>
      <family val="2"/>
    </font>
    <font>
      <b/>
      <sz val="10"/>
      <name val="Times"/>
      <family val="1"/>
    </font>
    <font>
      <b/>
      <i/>
      <sz val="10"/>
      <name val="Times"/>
      <family val="1"/>
    </font>
    <font>
      <b/>
      <sz val="11"/>
      <color rgb="FFFF0000"/>
      <name val="Calibri"/>
      <family val="2"/>
      <scheme val="minor"/>
    </font>
    <font>
      <sz val="10"/>
      <color rgb="FF646464"/>
      <name val="Arial"/>
      <family val="2"/>
    </font>
    <font>
      <sz val="10"/>
      <color rgb="FFFF0000"/>
      <name val="Calibri"/>
      <family val="2"/>
      <scheme val="minor"/>
    </font>
    <font>
      <b/>
      <i/>
      <sz val="11"/>
      <color rgb="FFFF0000"/>
      <name val="Calibri"/>
      <family val="2"/>
      <scheme val="minor"/>
    </font>
    <font>
      <b/>
      <sz val="10"/>
      <color rgb="FFFF0000"/>
      <name val="Calibri"/>
      <family val="2"/>
      <scheme val="minor"/>
    </font>
    <font>
      <sz val="10"/>
      <color rgb="FFC00000"/>
      <name val="&quot;Arial&quot;"/>
    </font>
    <font>
      <b/>
      <sz val="9"/>
      <color indexed="81"/>
      <name val="Tahoma"/>
      <family val="2"/>
    </font>
    <font>
      <sz val="10"/>
      <color theme="1"/>
      <name val="Calibri"/>
      <family val="2"/>
      <scheme val="minor"/>
    </font>
    <font>
      <b/>
      <sz val="10"/>
      <color rgb="FFFF0000"/>
      <name val="&quot;Arial&quot;"/>
    </font>
    <font>
      <i/>
      <sz val="9"/>
      <color rgb="FFFF0000"/>
      <name val="&quot;Arial&quot;"/>
    </font>
    <font>
      <b/>
      <i/>
      <sz val="10"/>
      <name val="&quot;Arial&quot;"/>
    </font>
    <font>
      <sz val="10"/>
      <color rgb="FF646464"/>
      <name val="Arial"/>
    </font>
    <font>
      <sz val="10"/>
      <color rgb="FFFF0000"/>
      <name val="Arial"/>
    </font>
    <font>
      <b/>
      <sz val="10"/>
      <color rgb="FF003366"/>
      <name val="Arial"/>
    </font>
    <font>
      <b/>
      <sz val="10"/>
      <color theme="1"/>
      <name val="Arial"/>
    </font>
    <font>
      <b/>
      <sz val="14"/>
      <color rgb="FF800080"/>
      <name val="Arial"/>
    </font>
    <font>
      <sz val="10"/>
      <color theme="1"/>
      <name val="Arial"/>
    </font>
    <font>
      <sz val="10"/>
      <color rgb="FF000000"/>
      <name val="&quot;Arial&quot;"/>
    </font>
    <font>
      <sz val="12"/>
      <color rgb="FF000000"/>
      <name val="Calibri"/>
      <family val="2"/>
    </font>
    <font>
      <b/>
      <sz val="12"/>
      <color rgb="FF000000"/>
      <name val="Calibri"/>
      <family val="2"/>
    </font>
    <font>
      <b/>
      <sz val="12"/>
      <color rgb="FF2F75B5"/>
      <name val="Calibri"/>
      <family val="2"/>
    </font>
    <font>
      <sz val="12"/>
      <color rgb="FF2F75B5"/>
      <name val="Calibri"/>
      <family val="2"/>
    </font>
    <font>
      <b/>
      <sz val="10"/>
      <color rgb="FF000000"/>
      <name val="Arial"/>
      <family val="2"/>
    </font>
    <font>
      <sz val="10"/>
      <color rgb="FF000000"/>
      <name val="Arial"/>
      <family val="2"/>
    </font>
    <font>
      <sz val="11"/>
      <color rgb="FF006100"/>
      <name val="Calibri"/>
      <family val="2"/>
      <scheme val="minor"/>
    </font>
    <font>
      <u val="singleAccounting"/>
      <sz val="10"/>
      <color rgb="FF800080"/>
      <name val="Arial"/>
      <family val="2"/>
    </font>
    <font>
      <b/>
      <sz val="18"/>
      <color theme="1"/>
      <name val="&quot;Arial&quot;"/>
    </font>
    <font>
      <b/>
      <sz val="14"/>
      <color theme="1"/>
      <name val="Calibri"/>
      <family val="2"/>
      <scheme val="minor"/>
    </font>
    <font>
      <b/>
      <sz val="9"/>
      <color indexed="81"/>
      <name val="Tahoma"/>
      <charset val="1"/>
    </font>
    <font>
      <b/>
      <sz val="16"/>
      <color theme="1"/>
      <name val="Calibri"/>
      <family val="2"/>
      <scheme val="minor"/>
    </font>
    <font>
      <sz val="16"/>
      <color theme="1"/>
      <name val="Calibri"/>
      <family val="2"/>
      <scheme val="minor"/>
    </font>
  </fonts>
  <fills count="47">
    <fill>
      <patternFill patternType="none"/>
    </fill>
    <fill>
      <patternFill patternType="gray125"/>
    </fill>
    <fill>
      <gradientFill degree="90">
        <stop position="0">
          <color rgb="FFFFFFFF"/>
        </stop>
        <stop position="1">
          <color rgb="FFE1E1E1"/>
        </stop>
      </gradientFill>
    </fill>
    <fill>
      <patternFill patternType="solid">
        <fgColor theme="0"/>
        <bgColor indexed="64"/>
      </patternFill>
    </fill>
    <fill>
      <patternFill patternType="solid">
        <fgColor rgb="FFFFFF00"/>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EFF6FB"/>
        <bgColor indexed="64"/>
      </patternFill>
    </fill>
    <fill>
      <patternFill patternType="solid">
        <fgColor rgb="FF323232"/>
        <bgColor indexed="64"/>
      </patternFill>
    </fill>
    <fill>
      <gradientFill degree="90">
        <stop position="0">
          <color theme="0"/>
        </stop>
        <stop position="1">
          <color rgb="FFE1E1E1"/>
        </stop>
      </gradientFill>
    </fill>
    <fill>
      <patternFill patternType="solid">
        <fgColor rgb="FFF7F7F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55"/>
      </patternFill>
    </fill>
    <fill>
      <patternFill patternType="solid">
        <fgColor indexed="9"/>
        <bgColor indexed="64"/>
      </patternFill>
    </fill>
    <fill>
      <patternFill patternType="solid">
        <fgColor indexed="63"/>
        <bgColor indexed="64"/>
      </patternFill>
    </fill>
    <fill>
      <patternFill patternType="solid">
        <fgColor theme="9" tint="0.79998168889431442"/>
        <bgColor indexed="64"/>
      </patternFill>
    </fill>
    <fill>
      <patternFill patternType="solid">
        <fgColor theme="3"/>
        <bgColor indexed="64"/>
      </patternFill>
    </fill>
    <fill>
      <gradientFill degree="90">
        <stop position="0">
          <color theme="0" tint="-5.0965910824915313E-2"/>
        </stop>
        <stop position="1">
          <color rgb="FFC8C8C8"/>
        </stop>
      </gradientFill>
    </fill>
    <fill>
      <patternFill patternType="solid">
        <fgColor theme="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indexed="22"/>
        <bgColor indexed="64"/>
      </patternFill>
    </fill>
    <fill>
      <patternFill patternType="solid">
        <fgColor theme="0" tint="-0.24994659260841701"/>
        <bgColor indexed="64"/>
      </patternFill>
    </fill>
    <fill>
      <patternFill patternType="solid">
        <fgColor indexed="43"/>
        <bgColor indexed="64"/>
      </patternFill>
    </fill>
    <fill>
      <patternFill patternType="solid">
        <fgColor rgb="FFFFFF99"/>
        <bgColor indexed="64"/>
      </patternFill>
    </fill>
    <fill>
      <patternFill patternType="solid">
        <fgColor indexed="31"/>
        <bgColor indexed="64"/>
      </patternFill>
    </fill>
    <fill>
      <patternFill patternType="solid">
        <fgColor theme="4" tint="-0.249977111117893"/>
        <bgColor indexed="64"/>
      </patternFill>
    </fill>
    <fill>
      <patternFill patternType="solid">
        <fgColor theme="4"/>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F0F0F0"/>
        <bgColor indexed="64"/>
      </patternFill>
    </fill>
    <fill>
      <patternFill patternType="solid">
        <fgColor rgb="FFC8C8C8"/>
        <bgColor indexed="64"/>
      </patternFill>
    </fill>
    <fill>
      <patternFill patternType="solid">
        <fgColor rgb="FFD9D9D9"/>
        <bgColor indexed="64"/>
      </patternFill>
    </fill>
    <fill>
      <patternFill patternType="solid">
        <fgColor rgb="FFE2EFDA"/>
        <bgColor indexed="64"/>
      </patternFill>
    </fill>
    <fill>
      <patternFill patternType="solid">
        <fgColor rgb="FFFFFFFF"/>
        <bgColor rgb="FF000000"/>
      </patternFill>
    </fill>
    <fill>
      <patternFill patternType="solid">
        <fgColor rgb="FFD0CECE"/>
        <bgColor indexed="64"/>
      </patternFill>
    </fill>
    <fill>
      <patternFill patternType="solid">
        <fgColor rgb="FFC8C8C8"/>
        <bgColor rgb="FF000000"/>
      </patternFill>
    </fill>
    <fill>
      <patternFill patternType="solid">
        <fgColor rgb="FF8EA9DB"/>
        <bgColor rgb="FF000000"/>
      </patternFill>
    </fill>
    <fill>
      <patternFill patternType="solid">
        <fgColor rgb="FFF0F0F0"/>
        <bgColor rgb="FF000000"/>
      </patternFill>
    </fill>
    <fill>
      <patternFill patternType="solid">
        <fgColor rgb="FFD9E1F2"/>
        <bgColor rgb="FF000000"/>
      </patternFill>
    </fill>
    <fill>
      <patternFill patternType="solid">
        <fgColor rgb="FFC6EFCE"/>
      </patternFill>
    </fill>
    <fill>
      <patternFill patternType="solid">
        <fgColor theme="6" tint="0.59999389629810485"/>
        <bgColor indexed="65"/>
      </patternFill>
    </fill>
    <fill>
      <patternFill patternType="solid">
        <fgColor theme="6" tint="0.79998168889431442"/>
        <bgColor indexed="65"/>
      </patternFill>
    </fill>
    <fill>
      <patternFill patternType="solid">
        <fgColor theme="6" tint="0.39997558519241921"/>
        <bgColor indexed="65"/>
      </patternFill>
    </fill>
    <fill>
      <patternFill patternType="solid">
        <fgColor theme="4" tint="0.59999389629810485"/>
        <bgColor indexed="64"/>
      </patternFill>
    </fill>
  </fills>
  <borders count="86">
    <border>
      <left/>
      <right/>
      <top/>
      <bottom/>
      <diagonal/>
    </border>
    <border>
      <left/>
      <right/>
      <top style="thin">
        <color indexed="55"/>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rgb="FF000000"/>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rgb="FF000000"/>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style="medium">
        <color rgb="FF000000"/>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right style="medium">
        <color rgb="FF000000"/>
      </right>
      <top style="thin">
        <color indexed="64"/>
      </top>
      <bottom style="medium">
        <color indexed="64"/>
      </bottom>
      <diagonal/>
    </border>
    <border>
      <left/>
      <right/>
      <top/>
      <bottom style="thin">
        <color rgb="FFC8C8C8"/>
      </bottom>
      <diagonal/>
    </border>
    <border>
      <left/>
      <right/>
      <top style="thin">
        <color rgb="FFC8C8C8"/>
      </top>
      <bottom style="thin">
        <color rgb="FFC8C8C8"/>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indexed="9"/>
      </left>
      <right/>
      <top style="thin">
        <color indexed="9"/>
      </top>
      <bottom/>
      <diagonal/>
    </border>
    <border>
      <left/>
      <right/>
      <top style="thin">
        <color indexed="9"/>
      </top>
      <bottom/>
      <diagonal/>
    </border>
    <border>
      <left style="thin">
        <color indexed="9"/>
      </left>
      <right/>
      <top/>
      <bottom/>
      <diagonal/>
    </border>
    <border>
      <left style="thin">
        <color rgb="FFFFFFFF"/>
      </left>
      <right/>
      <top/>
      <bottom/>
      <diagonal/>
    </border>
    <border>
      <left style="thin">
        <color indexed="9"/>
      </left>
      <right/>
      <top/>
      <bottom style="thin">
        <color indexed="64"/>
      </bottom>
      <diagonal/>
    </border>
    <border>
      <left style="thin">
        <color rgb="FFFFFFFF"/>
      </left>
      <right style="thin">
        <color rgb="FFFFFFFF"/>
      </right>
      <top/>
      <bottom/>
      <diagonal/>
    </border>
    <border>
      <left/>
      <right style="thin">
        <color indexed="9"/>
      </right>
      <top/>
      <bottom style="thin">
        <color indexed="64"/>
      </bottom>
      <diagonal/>
    </border>
    <border>
      <left style="thin">
        <color indexed="9"/>
      </left>
      <right style="thin">
        <color indexed="9"/>
      </right>
      <top/>
      <bottom style="thin">
        <color indexed="64"/>
      </bottom>
      <diagonal/>
    </border>
    <border>
      <left style="thin">
        <color indexed="9"/>
      </left>
      <right/>
      <top style="thin">
        <color indexed="55"/>
      </top>
      <bottom style="thin">
        <color indexed="22"/>
      </bottom>
      <diagonal/>
    </border>
    <border>
      <left style="thin">
        <color indexed="9"/>
      </left>
      <right/>
      <top/>
      <bottom style="thin">
        <color indexed="9"/>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249977111117893"/>
      </right>
      <top/>
      <bottom style="thin">
        <color theme="0" tint="-0.249977111117893"/>
      </bottom>
      <diagonal/>
    </border>
    <border>
      <left/>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bottom/>
      <diagonal/>
    </border>
    <border>
      <left style="thin">
        <color theme="0" tint="-0.249977111117893"/>
      </left>
      <right/>
      <top/>
      <bottom/>
      <diagonal/>
    </border>
    <border>
      <left/>
      <right style="thin">
        <color theme="0" tint="-0.249977111117893"/>
      </right>
      <top style="thin">
        <color theme="0" tint="-0.249977111117893"/>
      </top>
      <bottom/>
      <diagonal/>
    </border>
    <border>
      <left/>
      <right/>
      <top style="thin">
        <color theme="0" tint="-0.249977111117893"/>
      </top>
      <bottom/>
      <diagonal/>
    </border>
    <border>
      <left style="thin">
        <color theme="0" tint="-0.249977111117893"/>
      </left>
      <right/>
      <top style="thin">
        <color theme="0" tint="-0.249977111117893"/>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auto="1"/>
      </bottom>
      <diagonal/>
    </border>
    <border>
      <left/>
      <right/>
      <top style="hair">
        <color indexed="64"/>
      </top>
      <bottom style="thin">
        <color auto="1"/>
      </bottom>
      <diagonal/>
    </border>
    <border>
      <left/>
      <right style="thin">
        <color indexed="64"/>
      </right>
      <top style="hair">
        <color indexed="64"/>
      </top>
      <bottom style="thin">
        <color auto="1"/>
      </bottom>
      <diagonal/>
    </border>
    <border>
      <left/>
      <right/>
      <top/>
      <bottom style="medium">
        <color indexed="64"/>
      </bottom>
      <diagonal/>
    </border>
    <border>
      <left style="thin">
        <color indexed="64"/>
      </left>
      <right/>
      <top style="hair">
        <color indexed="64"/>
      </top>
      <bottom/>
      <diagonal/>
    </border>
    <border>
      <left/>
      <right/>
      <top style="hair">
        <color indexed="64"/>
      </top>
      <bottom/>
      <diagonal/>
    </border>
    <border>
      <left/>
      <right style="thin">
        <color indexed="9"/>
      </right>
      <top style="thin">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thin">
        <color indexed="22"/>
      </top>
      <bottom style="medium">
        <color indexed="64"/>
      </bottom>
      <diagonal/>
    </border>
  </borders>
  <cellStyleXfs count="31">
    <xf numFmtId="0" fontId="0" fillId="0" borderId="0"/>
    <xf numFmtId="9" fontId="1" fillId="0" borderId="0" applyFont="0" applyFill="0" applyBorder="0" applyAlignment="0" applyProtection="0"/>
    <xf numFmtId="0" fontId="1" fillId="2" borderId="0" applyNumberFormat="0" applyFont="0" applyBorder="0" applyAlignment="0" applyProtection="0"/>
    <xf numFmtId="0" fontId="16" fillId="0" borderId="0" applyNumberFormat="0" applyFill="0" applyBorder="0" applyAlignment="0" applyProtection="0"/>
    <xf numFmtId="0" fontId="22" fillId="0" borderId="0" applyNumberFormat="0" applyFill="0" applyBorder="0" applyAlignment="0" applyProtection="0"/>
    <xf numFmtId="0" fontId="23" fillId="0" borderId="0"/>
    <xf numFmtId="0" fontId="24" fillId="8" borderId="0" applyNumberFormat="0" applyFont="0" applyBorder="0" applyAlignment="0" applyProtection="0"/>
    <xf numFmtId="0" fontId="26" fillId="0" borderId="0"/>
    <xf numFmtId="0" fontId="27" fillId="9" borderId="21">
      <alignment horizontal="right" vertical="center" indent="1"/>
    </xf>
    <xf numFmtId="0" fontId="44" fillId="3" borderId="0" applyNumberFormat="0" applyFill="0" applyBorder="0" applyProtection="0">
      <alignment horizontal="left"/>
    </xf>
    <xf numFmtId="44" fontId="50" fillId="0" borderId="0" applyFont="0" applyFill="0" applyBorder="0" applyAlignment="0" applyProtection="0"/>
    <xf numFmtId="4" fontId="42" fillId="3" borderId="0" applyNumberFormat="0" applyFill="0" applyBorder="0" applyProtection="0">
      <alignment horizontal="left"/>
    </xf>
    <xf numFmtId="43" fontId="50" fillId="0" borderId="0" applyFont="0" applyFill="0" applyBorder="0" applyAlignment="0" applyProtection="0"/>
    <xf numFmtId="9" fontId="50" fillId="0" borderId="0" applyFont="0" applyFill="0" applyBorder="0" applyAlignment="0" applyProtection="0"/>
    <xf numFmtId="0" fontId="71" fillId="0" borderId="0" applyNumberFormat="0" applyFill="0" applyBorder="0" applyAlignment="0" applyProtection="0"/>
    <xf numFmtId="14" fontId="81" fillId="14" borderId="0" applyNumberFormat="0" applyBorder="0" applyProtection="0">
      <alignment horizontal="left" vertical="center" wrapText="1"/>
    </xf>
    <xf numFmtId="0" fontId="82" fillId="0" borderId="0" applyNumberFormat="0" applyFill="0" applyBorder="0" applyAlignment="0" applyProtection="0">
      <alignment vertical="top"/>
      <protection locked="0"/>
    </xf>
    <xf numFmtId="0" fontId="44" fillId="3" borderId="0" applyNumberFormat="0" applyFill="0" applyBorder="0" applyAlignment="0" applyProtection="0">
      <alignment horizontal="right"/>
    </xf>
    <xf numFmtId="0" fontId="34" fillId="0" borderId="0"/>
    <xf numFmtId="0" fontId="110" fillId="3" borderId="0" applyNumberFormat="0" applyFill="0" applyBorder="0" applyAlignment="0" applyProtection="0">
      <alignment horizontal="right"/>
    </xf>
    <xf numFmtId="0" fontId="32" fillId="10" borderId="22">
      <alignment horizontal="left" vertical="center"/>
    </xf>
    <xf numFmtId="0" fontId="26" fillId="0" borderId="0"/>
    <xf numFmtId="0" fontId="123" fillId="0" borderId="0"/>
    <xf numFmtId="0" fontId="26" fillId="0" borderId="0"/>
    <xf numFmtId="0" fontId="34" fillId="0" borderId="0"/>
    <xf numFmtId="9" fontId="23" fillId="0" borderId="0" applyFont="0" applyFill="0" applyBorder="0" applyAlignment="0" applyProtection="0"/>
    <xf numFmtId="164" fontId="1" fillId="0" borderId="0" applyFont="0" applyFill="0" applyBorder="0" applyAlignment="0" applyProtection="0"/>
    <xf numFmtId="0" fontId="174"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cellStyleXfs>
  <cellXfs count="1385">
    <xf numFmtId="0" fontId="0" fillId="0" borderId="0" xfId="0"/>
    <xf numFmtId="0" fontId="0" fillId="0" borderId="0" xfId="0" applyAlignment="1">
      <alignment vertical="center"/>
    </xf>
    <xf numFmtId="2" fontId="1" fillId="3" borderId="0" xfId="0" applyNumberFormat="1" applyFont="1" applyFill="1"/>
    <xf numFmtId="0" fontId="0" fillId="3" borderId="0" xfId="0" applyFill="1"/>
    <xf numFmtId="0" fontId="11" fillId="3" borderId="0" xfId="0" applyFont="1" applyFill="1"/>
    <xf numFmtId="0" fontId="12" fillId="3" borderId="0" xfId="0" applyFont="1" applyFill="1"/>
    <xf numFmtId="0" fontId="13" fillId="3" borderId="0" xfId="0" applyFont="1" applyFill="1"/>
    <xf numFmtId="0" fontId="1" fillId="3" borderId="0" xfId="0" applyFont="1" applyFill="1"/>
    <xf numFmtId="1" fontId="1" fillId="3" borderId="0" xfId="0" applyNumberFormat="1" applyFont="1" applyFill="1"/>
    <xf numFmtId="166" fontId="1" fillId="3" borderId="0" xfId="0" applyNumberFormat="1" applyFont="1" applyFill="1"/>
    <xf numFmtId="3" fontId="12" fillId="3" borderId="0" xfId="0" applyNumberFormat="1" applyFont="1" applyFill="1"/>
    <xf numFmtId="2" fontId="14" fillId="3" borderId="0" xfId="0" applyNumberFormat="1" applyFont="1" applyFill="1"/>
    <xf numFmtId="0" fontId="0" fillId="6" borderId="0" xfId="0" applyFill="1"/>
    <xf numFmtId="0" fontId="0" fillId="4" borderId="0" xfId="0" applyFill="1"/>
    <xf numFmtId="1" fontId="1" fillId="3" borderId="0" xfId="0" applyNumberFormat="1" applyFont="1" applyFill="1" applyAlignment="1">
      <alignment horizontal="right"/>
    </xf>
    <xf numFmtId="1" fontId="0" fillId="3" borderId="0" xfId="0" applyNumberFormat="1" applyFill="1"/>
    <xf numFmtId="2" fontId="0" fillId="0" borderId="0" xfId="0" applyNumberFormat="1"/>
    <xf numFmtId="0" fontId="2" fillId="0" borderId="0" xfId="0" applyFont="1"/>
    <xf numFmtId="2" fontId="2" fillId="0" borderId="0" xfId="0" applyNumberFormat="1" applyFont="1"/>
    <xf numFmtId="0" fontId="18" fillId="7" borderId="5" xfId="0" applyFont="1" applyFill="1" applyBorder="1" applyAlignment="1">
      <alignment horizontal="left"/>
    </xf>
    <xf numFmtId="0" fontId="18" fillId="7" borderId="9" xfId="0" applyFont="1" applyFill="1" applyBorder="1" applyAlignment="1">
      <alignment horizontal="left"/>
    </xf>
    <xf numFmtId="0" fontId="18" fillId="7" borderId="14" xfId="0" applyFont="1" applyFill="1" applyBorder="1" applyAlignment="1">
      <alignment horizontal="left"/>
    </xf>
    <xf numFmtId="0" fontId="0" fillId="0" borderId="0" xfId="0" applyAlignment="1">
      <alignment horizontal="left"/>
    </xf>
    <xf numFmtId="0" fontId="21" fillId="0" borderId="2" xfId="0" applyFont="1" applyBorder="1"/>
    <xf numFmtId="0" fontId="21" fillId="0" borderId="13" xfId="0" applyFont="1" applyBorder="1" applyAlignment="1">
      <alignment horizontal="center"/>
    </xf>
    <xf numFmtId="0" fontId="18" fillId="7" borderId="5" xfId="0" applyFont="1" applyFill="1" applyBorder="1"/>
    <xf numFmtId="0" fontId="18" fillId="7" borderId="9" xfId="0" applyFont="1" applyFill="1" applyBorder="1"/>
    <xf numFmtId="0" fontId="18" fillId="7" borderId="14" xfId="0" applyFont="1" applyFill="1" applyBorder="1"/>
    <xf numFmtId="0" fontId="21" fillId="0" borderId="4" xfId="5" applyFont="1" applyBorder="1" applyAlignment="1">
      <alignment wrapText="1"/>
    </xf>
    <xf numFmtId="0" fontId="21" fillId="0" borderId="4" xfId="5" applyFont="1" applyBorder="1" applyAlignment="1">
      <alignment horizontal="center" wrapText="1"/>
    </xf>
    <xf numFmtId="0" fontId="17" fillId="0" borderId="4" xfId="5" applyFont="1" applyBorder="1" applyAlignment="1">
      <alignment wrapText="1"/>
    </xf>
    <xf numFmtId="2" fontId="0" fillId="3" borderId="0" xfId="0" applyNumberFormat="1" applyFill="1" applyAlignment="1">
      <alignment horizontal="right"/>
    </xf>
    <xf numFmtId="0" fontId="17" fillId="0" borderId="4" xfId="0" applyFont="1" applyBorder="1" applyAlignment="1">
      <alignment wrapText="1"/>
    </xf>
    <xf numFmtId="0" fontId="17" fillId="0" borderId="4" xfId="0" applyFont="1" applyBorder="1" applyAlignment="1">
      <alignment horizontal="center" wrapText="1"/>
    </xf>
    <xf numFmtId="0" fontId="25" fillId="8" borderId="0" xfId="6" applyFont="1" applyBorder="1"/>
    <xf numFmtId="0" fontId="26" fillId="8" borderId="0" xfId="6" applyFont="1"/>
    <xf numFmtId="0" fontId="24" fillId="9" borderId="0" xfId="7" applyFont="1" applyFill="1" applyAlignment="1">
      <alignment vertical="center"/>
    </xf>
    <xf numFmtId="0" fontId="27" fillId="9" borderId="21" xfId="7" applyFont="1" applyFill="1" applyBorder="1" applyAlignment="1">
      <alignment vertical="center"/>
    </xf>
    <xf numFmtId="0" fontId="27" fillId="9" borderId="21" xfId="7" applyFont="1" applyFill="1" applyBorder="1" applyAlignment="1">
      <alignment horizontal="right" vertical="center"/>
    </xf>
    <xf numFmtId="0" fontId="27" fillId="9" borderId="0" xfId="7" applyFont="1" applyFill="1" applyAlignment="1">
      <alignment horizontal="right" vertical="center"/>
    </xf>
    <xf numFmtId="0" fontId="27" fillId="9" borderId="0" xfId="7" applyFont="1" applyFill="1" applyAlignment="1">
      <alignment vertical="center"/>
    </xf>
    <xf numFmtId="167" fontId="30" fillId="9" borderId="21" xfId="8" applyNumberFormat="1" applyFont="1" applyAlignment="1">
      <alignment vertical="center"/>
    </xf>
    <xf numFmtId="0" fontId="31" fillId="9" borderId="0" xfId="7" applyFont="1" applyFill="1" applyAlignment="1">
      <alignment horizontal="right" vertical="center"/>
    </xf>
    <xf numFmtId="167" fontId="31" fillId="9" borderId="21" xfId="8" applyNumberFormat="1" applyFont="1" applyAlignment="1">
      <alignment horizontal="left" vertical="center"/>
    </xf>
    <xf numFmtId="0" fontId="31" fillId="9" borderId="21" xfId="8" applyFont="1" applyAlignment="1">
      <alignment horizontal="right" vertical="center"/>
    </xf>
    <xf numFmtId="167" fontId="31" fillId="9" borderId="21" xfId="8" applyNumberFormat="1" applyFont="1" applyAlignment="1">
      <alignment horizontal="right" vertical="center"/>
    </xf>
    <xf numFmtId="0" fontId="24" fillId="10" borderId="22" xfId="7" applyFont="1" applyFill="1" applyBorder="1"/>
    <xf numFmtId="0" fontId="32" fillId="10" borderId="22" xfId="7" applyFont="1" applyFill="1" applyBorder="1" applyAlignment="1">
      <alignment horizontal="left" vertical="center"/>
    </xf>
    <xf numFmtId="0" fontId="33" fillId="10" borderId="22" xfId="7" applyFont="1" applyFill="1" applyBorder="1" applyAlignment="1">
      <alignment horizontal="left" vertical="center"/>
    </xf>
    <xf numFmtId="0" fontId="32" fillId="10" borderId="22" xfId="7" applyFont="1" applyFill="1" applyBorder="1" applyAlignment="1">
      <alignment vertical="center"/>
    </xf>
    <xf numFmtId="0" fontId="34" fillId="10" borderId="22" xfId="7" applyFont="1" applyFill="1" applyBorder="1" applyAlignment="1">
      <alignment vertical="center"/>
    </xf>
    <xf numFmtId="0" fontId="24" fillId="10" borderId="22" xfId="7" applyFont="1" applyFill="1" applyBorder="1" applyAlignment="1">
      <alignment vertical="center"/>
    </xf>
    <xf numFmtId="0" fontId="35" fillId="10" borderId="22" xfId="7" applyFont="1" applyFill="1" applyBorder="1" applyAlignment="1">
      <alignment horizontal="right" vertical="center"/>
    </xf>
    <xf numFmtId="0" fontId="26" fillId="0" borderId="0" xfId="7"/>
    <xf numFmtId="0" fontId="36" fillId="8" borderId="0" xfId="6" applyFont="1" applyBorder="1" applyAlignment="1">
      <alignment vertical="center"/>
    </xf>
    <xf numFmtId="49" fontId="37" fillId="8" borderId="0" xfId="6" applyNumberFormat="1" applyFont="1" applyBorder="1"/>
    <xf numFmtId="0" fontId="37" fillId="8" borderId="0" xfId="6" applyFont="1" applyBorder="1"/>
    <xf numFmtId="0" fontId="37" fillId="8" borderId="0" xfId="6" applyFont="1" applyBorder="1" applyAlignment="1">
      <alignment horizontal="right"/>
    </xf>
    <xf numFmtId="0" fontId="37" fillId="8" borderId="0" xfId="6" applyNumberFormat="1" applyFont="1" applyBorder="1" applyAlignment="1">
      <alignment horizontal="right"/>
    </xf>
    <xf numFmtId="0" fontId="38" fillId="8" borderId="0" xfId="6" applyNumberFormat="1" applyFont="1" applyBorder="1" applyAlignment="1"/>
    <xf numFmtId="0" fontId="39" fillId="8" borderId="0" xfId="6" applyFont="1"/>
    <xf numFmtId="0" fontId="39" fillId="0" borderId="0" xfId="6" applyFont="1" applyFill="1"/>
    <xf numFmtId="0" fontId="26" fillId="3" borderId="23" xfId="6" applyFont="1" applyFill="1" applyBorder="1"/>
    <xf numFmtId="0" fontId="26" fillId="3" borderId="24" xfId="6" applyFont="1" applyFill="1" applyBorder="1"/>
    <xf numFmtId="0" fontId="26" fillId="5" borderId="24" xfId="6" applyNumberFormat="1" applyFont="1" applyFill="1" applyBorder="1"/>
    <xf numFmtId="0" fontId="26" fillId="3" borderId="25" xfId="6" applyFont="1" applyFill="1" applyBorder="1"/>
    <xf numFmtId="0" fontId="26" fillId="8" borderId="0" xfId="6" applyFont="1" applyBorder="1"/>
    <xf numFmtId="0" fontId="26" fillId="3" borderId="26" xfId="6" applyFont="1" applyFill="1" applyBorder="1"/>
    <xf numFmtId="0" fontId="40" fillId="3" borderId="0" xfId="6" applyFont="1" applyFill="1" applyBorder="1" applyAlignment="1">
      <alignment vertical="center"/>
    </xf>
    <xf numFmtId="0" fontId="26" fillId="3" borderId="0" xfId="6" applyFont="1" applyFill="1" applyBorder="1"/>
    <xf numFmtId="0" fontId="26" fillId="5" borderId="0" xfId="6" applyNumberFormat="1" applyFont="1" applyFill="1" applyBorder="1"/>
    <xf numFmtId="0" fontId="26" fillId="3" borderId="27" xfId="6" applyFont="1" applyFill="1" applyBorder="1"/>
    <xf numFmtId="14" fontId="26" fillId="5" borderId="0" xfId="6" applyNumberFormat="1" applyFont="1" applyFill="1" applyBorder="1"/>
    <xf numFmtId="0" fontId="25" fillId="3" borderId="26" xfId="6" applyFont="1" applyFill="1" applyBorder="1"/>
    <xf numFmtId="0" fontId="35" fillId="3" borderId="0" xfId="6" applyFont="1" applyFill="1" applyBorder="1"/>
    <xf numFmtId="0" fontId="25" fillId="3" borderId="0" xfId="6" applyFont="1" applyFill="1" applyBorder="1"/>
    <xf numFmtId="0" fontId="41" fillId="3" borderId="0" xfId="6" applyNumberFormat="1" applyFont="1" applyFill="1" applyBorder="1" applyAlignment="1">
      <alignment horizontal="left"/>
    </xf>
    <xf numFmtId="0" fontId="41" fillId="3" borderId="0" xfId="6" applyFont="1" applyFill="1" applyBorder="1" applyAlignment="1">
      <alignment horizontal="left"/>
    </xf>
    <xf numFmtId="0" fontId="41" fillId="5" borderId="0" xfId="6" applyNumberFormat="1" applyFont="1" applyFill="1" applyBorder="1" applyAlignment="1">
      <alignment horizontal="left"/>
    </xf>
    <xf numFmtId="0" fontId="41" fillId="3" borderId="27" xfId="6" applyFont="1" applyFill="1" applyBorder="1" applyAlignment="1">
      <alignment horizontal="left"/>
    </xf>
    <xf numFmtId="0" fontId="41" fillId="8" borderId="0" xfId="6" applyFont="1" applyBorder="1" applyAlignment="1">
      <alignment horizontal="left"/>
    </xf>
    <xf numFmtId="0" fontId="25" fillId="0" borderId="0" xfId="7" applyFont="1"/>
    <xf numFmtId="0" fontId="35" fillId="3" borderId="0" xfId="6" applyNumberFormat="1" applyFont="1" applyFill="1" applyBorder="1" applyAlignment="1">
      <alignment horizontal="left"/>
    </xf>
    <xf numFmtId="4" fontId="42" fillId="3" borderId="0" xfId="6" applyNumberFormat="1" applyFont="1" applyFill="1" applyBorder="1" applyAlignment="1">
      <alignment horizontal="left"/>
    </xf>
    <xf numFmtId="0" fontId="42" fillId="3" borderId="0" xfId="6" applyNumberFormat="1" applyFont="1" applyFill="1" applyBorder="1" applyAlignment="1">
      <alignment horizontal="left"/>
    </xf>
    <xf numFmtId="168" fontId="42" fillId="3" borderId="0" xfId="6" applyNumberFormat="1" applyFont="1" applyFill="1" applyBorder="1" applyAlignment="1">
      <alignment horizontal="left"/>
    </xf>
    <xf numFmtId="8" fontId="42" fillId="3" borderId="0" xfId="6" applyNumberFormat="1" applyFont="1" applyFill="1" applyBorder="1" applyAlignment="1">
      <alignment horizontal="left"/>
    </xf>
    <xf numFmtId="0" fontId="42" fillId="3" borderId="27" xfId="6" applyNumberFormat="1" applyFont="1" applyFill="1" applyBorder="1" applyAlignment="1">
      <alignment horizontal="left"/>
    </xf>
    <xf numFmtId="0" fontId="42" fillId="8" borderId="0" xfId="6" applyNumberFormat="1" applyFont="1" applyBorder="1" applyAlignment="1">
      <alignment horizontal="left"/>
    </xf>
    <xf numFmtId="0" fontId="43" fillId="3" borderId="0" xfId="6" applyFont="1" applyFill="1" applyBorder="1"/>
    <xf numFmtId="0" fontId="43" fillId="3" borderId="27" xfId="6" applyFont="1" applyFill="1" applyBorder="1"/>
    <xf numFmtId="0" fontId="43" fillId="8" borderId="0" xfId="6" applyFont="1" applyBorder="1"/>
    <xf numFmtId="0" fontId="35" fillId="3" borderId="0" xfId="6" applyFont="1" applyFill="1" applyBorder="1" applyAlignment="1">
      <alignment horizontal="left"/>
    </xf>
    <xf numFmtId="40" fontId="35" fillId="3" borderId="0" xfId="6" applyNumberFormat="1" applyFont="1" applyFill="1" applyBorder="1" applyAlignment="1">
      <alignment horizontal="left"/>
    </xf>
    <xf numFmtId="2" fontId="35" fillId="3" borderId="0" xfId="6" applyNumberFormat="1" applyFont="1" applyFill="1" applyBorder="1" applyAlignment="1">
      <alignment horizontal="left"/>
    </xf>
    <xf numFmtId="169" fontId="35" fillId="3" borderId="0" xfId="6" applyNumberFormat="1" applyFont="1" applyFill="1" applyBorder="1" applyAlignment="1">
      <alignment horizontal="left"/>
    </xf>
    <xf numFmtId="169" fontId="44" fillId="3" borderId="0" xfId="6" applyNumberFormat="1" applyFont="1" applyFill="1" applyBorder="1" applyAlignment="1">
      <alignment horizontal="left"/>
    </xf>
    <xf numFmtId="169" fontId="44" fillId="3" borderId="27" xfId="6" applyNumberFormat="1" applyFont="1" applyFill="1" applyBorder="1" applyAlignment="1">
      <alignment horizontal="left"/>
    </xf>
    <xf numFmtId="169" fontId="44" fillId="8" borderId="0" xfId="6" applyNumberFormat="1" applyFont="1" applyBorder="1" applyAlignment="1">
      <alignment horizontal="left"/>
    </xf>
    <xf numFmtId="0" fontId="43" fillId="3" borderId="0" xfId="6" applyNumberFormat="1" applyFont="1" applyFill="1" applyBorder="1"/>
    <xf numFmtId="49" fontId="41" fillId="3" borderId="0" xfId="6" applyNumberFormat="1" applyFont="1" applyFill="1" applyBorder="1" applyAlignment="1">
      <alignment horizontal="left"/>
    </xf>
    <xf numFmtId="165" fontId="35" fillId="3" borderId="0" xfId="6" applyNumberFormat="1" applyFont="1" applyFill="1" applyBorder="1" applyAlignment="1">
      <alignment horizontal="left"/>
    </xf>
    <xf numFmtId="3" fontId="35" fillId="3" borderId="0" xfId="6" applyNumberFormat="1" applyFont="1" applyFill="1" applyBorder="1" applyAlignment="1">
      <alignment horizontal="left"/>
    </xf>
    <xf numFmtId="4" fontId="44" fillId="3" borderId="0" xfId="6" applyNumberFormat="1" applyFont="1" applyFill="1" applyBorder="1" applyAlignment="1">
      <alignment horizontal="left"/>
    </xf>
    <xf numFmtId="4" fontId="44" fillId="3" borderId="27" xfId="6" applyNumberFormat="1" applyFont="1" applyFill="1" applyBorder="1" applyAlignment="1">
      <alignment horizontal="left"/>
    </xf>
    <xf numFmtId="4" fontId="44" fillId="8" borderId="0" xfId="6" applyNumberFormat="1" applyFont="1" applyBorder="1" applyAlignment="1">
      <alignment horizontal="left"/>
    </xf>
    <xf numFmtId="2" fontId="26" fillId="3" borderId="26" xfId="6" applyNumberFormat="1" applyFont="1" applyFill="1" applyBorder="1"/>
    <xf numFmtId="10" fontId="26" fillId="3" borderId="0" xfId="6" applyNumberFormat="1" applyFont="1" applyFill="1" applyBorder="1" applyAlignment="1">
      <alignment horizontal="left"/>
    </xf>
    <xf numFmtId="10" fontId="44" fillId="3" borderId="0" xfId="6" applyNumberFormat="1" applyFont="1" applyFill="1" applyBorder="1" applyAlignment="1">
      <alignment horizontal="left"/>
    </xf>
    <xf numFmtId="10" fontId="44" fillId="3" borderId="27" xfId="6" applyNumberFormat="1" applyFont="1" applyFill="1" applyBorder="1" applyAlignment="1">
      <alignment horizontal="left"/>
    </xf>
    <xf numFmtId="10" fontId="44" fillId="8" borderId="0" xfId="6" applyNumberFormat="1" applyFont="1" applyBorder="1" applyAlignment="1">
      <alignment horizontal="left"/>
    </xf>
    <xf numFmtId="0" fontId="25" fillId="3" borderId="0" xfId="6" applyNumberFormat="1" applyFont="1" applyFill="1" applyBorder="1"/>
    <xf numFmtId="170" fontId="25" fillId="3" borderId="0" xfId="6" applyNumberFormat="1" applyFont="1" applyFill="1" applyBorder="1"/>
    <xf numFmtId="0" fontId="25" fillId="3" borderId="27" xfId="6" applyFont="1" applyFill="1" applyBorder="1"/>
    <xf numFmtId="0" fontId="25" fillId="8" borderId="0" xfId="6" applyFont="1"/>
    <xf numFmtId="171" fontId="26" fillId="3" borderId="0" xfId="6" applyNumberFormat="1" applyFont="1" applyFill="1" applyBorder="1" applyAlignment="1">
      <alignment horizontal="left"/>
    </xf>
    <xf numFmtId="0" fontId="25" fillId="5" borderId="0" xfId="6" applyNumberFormat="1" applyFont="1" applyFill="1" applyBorder="1"/>
    <xf numFmtId="171" fontId="25" fillId="3" borderId="0" xfId="6" applyNumberFormat="1" applyFont="1" applyFill="1" applyBorder="1"/>
    <xf numFmtId="0" fontId="24" fillId="3" borderId="26" xfId="6" applyFont="1" applyFill="1" applyBorder="1"/>
    <xf numFmtId="0" fontId="24" fillId="3" borderId="0" xfId="6" applyFont="1" applyFill="1" applyBorder="1"/>
    <xf numFmtId="0" fontId="44" fillId="3" borderId="0" xfId="6" applyFont="1" applyFill="1" applyBorder="1" applyAlignment="1">
      <alignment horizontal="left"/>
    </xf>
    <xf numFmtId="0" fontId="43" fillId="3" borderId="26" xfId="6" applyFont="1" applyFill="1" applyBorder="1"/>
    <xf numFmtId="0" fontId="43" fillId="0" borderId="0" xfId="7" applyFont="1"/>
    <xf numFmtId="0" fontId="25" fillId="3" borderId="28" xfId="6" applyFont="1" applyFill="1" applyBorder="1"/>
    <xf numFmtId="0" fontId="25" fillId="3" borderId="29" xfId="6" applyFont="1" applyFill="1" applyBorder="1"/>
    <xf numFmtId="0" fontId="41" fillId="3" borderId="29" xfId="6" applyFont="1" applyFill="1" applyBorder="1" applyAlignment="1">
      <alignment horizontal="left"/>
    </xf>
    <xf numFmtId="0" fontId="25" fillId="3" borderId="30" xfId="6" applyFont="1" applyFill="1" applyBorder="1"/>
    <xf numFmtId="0" fontId="25" fillId="3" borderId="23" xfId="7" applyFont="1" applyFill="1" applyBorder="1"/>
    <xf numFmtId="0" fontId="25" fillId="3" borderId="24" xfId="7" applyFont="1" applyFill="1" applyBorder="1"/>
    <xf numFmtId="0" fontId="25" fillId="3" borderId="25" xfId="7" applyFont="1" applyFill="1" applyBorder="1"/>
    <xf numFmtId="0" fontId="25" fillId="3" borderId="26" xfId="7" applyFont="1" applyFill="1" applyBorder="1"/>
    <xf numFmtId="0" fontId="25" fillId="3" borderId="0" xfId="7" applyFont="1" applyFill="1"/>
    <xf numFmtId="0" fontId="45" fillId="3" borderId="0" xfId="7" applyFont="1" applyFill="1" applyAlignment="1">
      <alignment horizontal="right"/>
    </xf>
    <xf numFmtId="0" fontId="25" fillId="3" borderId="27" xfId="7" applyFont="1" applyFill="1" applyBorder="1"/>
    <xf numFmtId="0" fontId="26" fillId="3" borderId="0" xfId="7" applyFill="1"/>
    <xf numFmtId="0" fontId="43" fillId="3" borderId="26" xfId="7" applyFont="1" applyFill="1" applyBorder="1"/>
    <xf numFmtId="49" fontId="46" fillId="3" borderId="0" xfId="7" applyNumberFormat="1" applyFont="1" applyFill="1"/>
    <xf numFmtId="0" fontId="47" fillId="3" borderId="0" xfId="7" applyFont="1" applyFill="1"/>
    <xf numFmtId="2" fontId="48" fillId="3" borderId="0" xfId="9" applyNumberFormat="1" applyFont="1" applyFill="1" applyBorder="1" applyAlignment="1">
      <alignment horizontal="right" vertical="top"/>
    </xf>
    <xf numFmtId="2" fontId="49" fillId="3" borderId="0" xfId="9" applyNumberFormat="1" applyFont="1" applyFill="1" applyBorder="1" applyAlignment="1">
      <alignment horizontal="right" vertical="top"/>
    </xf>
    <xf numFmtId="49" fontId="51" fillId="3" borderId="26" xfId="10" applyNumberFormat="1" applyFont="1" applyFill="1" applyBorder="1"/>
    <xf numFmtId="49" fontId="52" fillId="11" borderId="0" xfId="11" applyNumberFormat="1" applyFont="1" applyFill="1" applyBorder="1">
      <alignment horizontal="left"/>
    </xf>
    <xf numFmtId="0" fontId="53" fillId="11" borderId="0" xfId="11" applyNumberFormat="1" applyFont="1" applyFill="1" applyBorder="1">
      <alignment horizontal="left"/>
    </xf>
    <xf numFmtId="3" fontId="54" fillId="11" borderId="0" xfId="9" applyNumberFormat="1" applyFont="1" applyFill="1" applyBorder="1" applyAlignment="1">
      <alignment horizontal="right"/>
    </xf>
    <xf numFmtId="0" fontId="42" fillId="3" borderId="0" xfId="11" applyNumberFormat="1" applyFill="1" applyBorder="1" applyAlignment="1">
      <alignment horizontal="left" indent="2"/>
    </xf>
    <xf numFmtId="0" fontId="25" fillId="0" borderId="0" xfId="7" applyFont="1" applyAlignment="1">
      <alignment horizontal="left" indent="1"/>
    </xf>
    <xf numFmtId="165" fontId="42" fillId="5" borderId="0" xfId="11" applyNumberFormat="1" applyFill="1" applyBorder="1" applyAlignment="1">
      <alignment horizontal="right"/>
    </xf>
    <xf numFmtId="165" fontId="42" fillId="3" borderId="0" xfId="11" applyNumberFormat="1" applyFill="1" applyBorder="1" applyAlignment="1">
      <alignment horizontal="right"/>
    </xf>
    <xf numFmtId="49" fontId="25" fillId="3" borderId="26" xfId="12" applyNumberFormat="1" applyFont="1" applyFill="1" applyBorder="1"/>
    <xf numFmtId="49" fontId="55" fillId="11" borderId="0" xfId="11" applyNumberFormat="1" applyFont="1" applyFill="1" applyBorder="1">
      <alignment horizontal="left"/>
    </xf>
    <xf numFmtId="0" fontId="42" fillId="11" borderId="0" xfId="11" applyNumberFormat="1" applyFill="1" applyBorder="1">
      <alignment horizontal="left"/>
    </xf>
    <xf numFmtId="41" fontId="35" fillId="11" borderId="0" xfId="9" applyNumberFormat="1" applyFont="1" applyFill="1" applyBorder="1" applyAlignment="1">
      <alignment horizontal="right"/>
    </xf>
    <xf numFmtId="172" fontId="42" fillId="11" borderId="0" xfId="11" applyNumberFormat="1" applyFill="1" applyBorder="1" applyAlignment="1">
      <alignment horizontal="right"/>
    </xf>
    <xf numFmtId="49" fontId="42" fillId="3" borderId="0" xfId="11" applyNumberFormat="1" applyFill="1" applyBorder="1" applyAlignment="1">
      <alignment horizontal="left" indent="2"/>
    </xf>
    <xf numFmtId="0" fontId="43" fillId="3" borderId="27" xfId="7" applyFont="1" applyFill="1" applyBorder="1"/>
    <xf numFmtId="172" fontId="35" fillId="11" borderId="0" xfId="9" applyNumberFormat="1" applyFont="1" applyFill="1" applyBorder="1" applyAlignment="1">
      <alignment horizontal="right"/>
    </xf>
    <xf numFmtId="49" fontId="51" fillId="3" borderId="26" xfId="12" applyNumberFormat="1" applyFont="1" applyFill="1" applyBorder="1"/>
    <xf numFmtId="172" fontId="54" fillId="11" borderId="0" xfId="9" applyNumberFormat="1" applyFont="1" applyFill="1" applyBorder="1" applyAlignment="1">
      <alignment horizontal="right"/>
    </xf>
    <xf numFmtId="168" fontId="42" fillId="3" borderId="0" xfId="11" applyNumberFormat="1" applyFill="1" applyBorder="1" applyAlignment="1">
      <alignment horizontal="right"/>
    </xf>
    <xf numFmtId="172" fontId="56" fillId="11" borderId="0" xfId="11" applyNumberFormat="1" applyFont="1" applyFill="1" applyBorder="1" applyAlignment="1">
      <alignment horizontal="right"/>
    </xf>
    <xf numFmtId="49" fontId="25" fillId="3" borderId="26" xfId="7" applyNumberFormat="1" applyFont="1" applyFill="1" applyBorder="1"/>
    <xf numFmtId="49" fontId="25" fillId="3" borderId="26" xfId="10" applyNumberFormat="1" applyFont="1" applyFill="1" applyBorder="1"/>
    <xf numFmtId="4" fontId="35" fillId="11" borderId="0" xfId="9" applyNumberFormat="1" applyFont="1" applyFill="1" applyBorder="1" applyAlignment="1">
      <alignment horizontal="right"/>
    </xf>
    <xf numFmtId="173" fontId="56" fillId="11" borderId="0" xfId="11" applyNumberFormat="1" applyFont="1" applyFill="1" applyBorder="1" applyAlignment="1">
      <alignment horizontal="right"/>
    </xf>
    <xf numFmtId="2" fontId="25" fillId="3" borderId="27" xfId="7" applyNumberFormat="1" applyFont="1" applyFill="1" applyBorder="1"/>
    <xf numFmtId="0" fontId="25" fillId="3" borderId="28" xfId="7" applyFont="1" applyFill="1" applyBorder="1"/>
    <xf numFmtId="0" fontId="25" fillId="3" borderId="29" xfId="7" applyFont="1" applyFill="1" applyBorder="1"/>
    <xf numFmtId="2" fontId="25" fillId="3" borderId="30" xfId="7" applyNumberFormat="1" applyFont="1" applyFill="1" applyBorder="1"/>
    <xf numFmtId="0" fontId="57" fillId="3" borderId="0" xfId="7" applyFont="1" applyFill="1"/>
    <xf numFmtId="0" fontId="58" fillId="3" borderId="0" xfId="7" applyFont="1" applyFill="1" applyAlignment="1">
      <alignment horizontal="center"/>
    </xf>
    <xf numFmtId="2" fontId="49" fillId="5" borderId="0" xfId="9" applyNumberFormat="1" applyFont="1" applyFill="1" applyBorder="1" applyAlignment="1">
      <alignment horizontal="right" vertical="top"/>
    </xf>
    <xf numFmtId="49" fontId="26" fillId="11" borderId="0" xfId="10" applyNumberFormat="1" applyFont="1" applyFill="1" applyBorder="1"/>
    <xf numFmtId="0" fontId="26" fillId="11" borderId="0" xfId="7" applyFill="1"/>
    <xf numFmtId="3" fontId="35" fillId="11" borderId="0" xfId="9" applyNumberFormat="1" applyFont="1" applyFill="1" applyBorder="1" applyAlignment="1">
      <alignment horizontal="right"/>
    </xf>
    <xf numFmtId="49" fontId="59" fillId="3" borderId="26" xfId="12" applyNumberFormat="1" applyFont="1" applyFill="1" applyBorder="1"/>
    <xf numFmtId="49" fontId="26" fillId="11" borderId="0" xfId="12" applyNumberFormat="1" applyFont="1" applyFill="1" applyBorder="1"/>
    <xf numFmtId="49" fontId="47" fillId="3" borderId="0" xfId="7" applyNumberFormat="1" applyFont="1" applyFill="1" applyAlignment="1">
      <alignment horizontal="left" indent="2"/>
    </xf>
    <xf numFmtId="173" fontId="42" fillId="3" borderId="0" xfId="11" applyNumberFormat="1" applyFill="1" applyBorder="1" applyAlignment="1">
      <alignment horizontal="right"/>
    </xf>
    <xf numFmtId="174" fontId="42" fillId="3" borderId="0" xfId="11" applyNumberFormat="1" applyFill="1" applyBorder="1" applyAlignment="1">
      <alignment horizontal="right"/>
    </xf>
    <xf numFmtId="49" fontId="60" fillId="3" borderId="26" xfId="12" applyNumberFormat="1" applyFont="1" applyFill="1" applyBorder="1"/>
    <xf numFmtId="49" fontId="41" fillId="11" borderId="0" xfId="12" applyNumberFormat="1" applyFont="1" applyFill="1" applyBorder="1"/>
    <xf numFmtId="0" fontId="47" fillId="3" borderId="0" xfId="7" applyFont="1" applyFill="1" applyAlignment="1">
      <alignment horizontal="left" indent="2"/>
    </xf>
    <xf numFmtId="0" fontId="26" fillId="3" borderId="27" xfId="7" applyFill="1" applyBorder="1"/>
    <xf numFmtId="0" fontId="41" fillId="11" borderId="0" xfId="7" applyFont="1" applyFill="1"/>
    <xf numFmtId="49" fontId="59" fillId="3" borderId="26" xfId="10" applyNumberFormat="1" applyFont="1" applyFill="1" applyBorder="1"/>
    <xf numFmtId="49" fontId="41" fillId="11" borderId="0" xfId="10" applyNumberFormat="1" applyFont="1" applyFill="1" applyBorder="1"/>
    <xf numFmtId="0" fontId="25" fillId="5" borderId="29" xfId="7" applyFont="1" applyFill="1" applyBorder="1"/>
    <xf numFmtId="0" fontId="25" fillId="3" borderId="30" xfId="7" applyFont="1" applyFill="1" applyBorder="1"/>
    <xf numFmtId="0" fontId="61" fillId="3" borderId="0" xfId="7" applyFont="1" applyFill="1"/>
    <xf numFmtId="49" fontId="41" fillId="3" borderId="0" xfId="7" applyNumberFormat="1" applyFont="1" applyFill="1" applyAlignment="1">
      <alignment horizontal="left" vertical="top"/>
    </xf>
    <xf numFmtId="0" fontId="26" fillId="3" borderId="0" xfId="7" applyFill="1" applyAlignment="1">
      <alignment horizontal="left" vertical="top"/>
    </xf>
    <xf numFmtId="2" fontId="26" fillId="3" borderId="0" xfId="9" applyNumberFormat="1" applyFont="1" applyFill="1" applyBorder="1">
      <alignment horizontal="left"/>
    </xf>
    <xf numFmtId="0" fontId="26" fillId="0" borderId="0" xfId="7" applyAlignment="1">
      <alignment horizontal="right"/>
    </xf>
    <xf numFmtId="165" fontId="26" fillId="0" borderId="0" xfId="13" applyNumberFormat="1" applyFont="1" applyFill="1" applyBorder="1"/>
    <xf numFmtId="0" fontId="26" fillId="12" borderId="0" xfId="7" applyFill="1" applyAlignment="1">
      <alignment horizontal="right"/>
    </xf>
    <xf numFmtId="49" fontId="26" fillId="12" borderId="0" xfId="7" applyNumberFormat="1" applyFill="1"/>
    <xf numFmtId="165" fontId="35" fillId="12" borderId="0" xfId="9" applyNumberFormat="1" applyFont="1" applyFill="1" applyBorder="1" applyAlignment="1">
      <alignment horizontal="right"/>
    </xf>
    <xf numFmtId="165" fontId="55" fillId="12" borderId="0" xfId="7" applyNumberFormat="1" applyFont="1" applyFill="1" applyAlignment="1">
      <alignment horizontal="right"/>
    </xf>
    <xf numFmtId="49" fontId="26" fillId="0" borderId="0" xfId="7" applyNumberFormat="1"/>
    <xf numFmtId="165" fontId="35" fillId="0" borderId="0" xfId="9" applyNumberFormat="1" applyFont="1" applyFill="1" applyBorder="1" applyAlignment="1">
      <alignment horizontal="right"/>
    </xf>
    <xf numFmtId="165" fontId="55" fillId="0" borderId="0" xfId="7" applyNumberFormat="1" applyFont="1" applyAlignment="1">
      <alignment horizontal="right"/>
    </xf>
    <xf numFmtId="171" fontId="35" fillId="12" borderId="0" xfId="9" applyNumberFormat="1" applyFont="1" applyFill="1" applyBorder="1" applyAlignment="1">
      <alignment horizontal="right"/>
    </xf>
    <xf numFmtId="171" fontId="35" fillId="0" borderId="0" xfId="9" applyNumberFormat="1" applyFont="1" applyFill="1" applyBorder="1" applyAlignment="1">
      <alignment horizontal="right"/>
    </xf>
    <xf numFmtId="49" fontId="41" fillId="3" borderId="0" xfId="7" applyNumberFormat="1" applyFont="1" applyFill="1"/>
    <xf numFmtId="172" fontId="26" fillId="0" borderId="0" xfId="7" applyNumberFormat="1"/>
    <xf numFmtId="0" fontId="26" fillId="12" borderId="0" xfId="7" applyFill="1"/>
    <xf numFmtId="172" fontId="26" fillId="12" borderId="0" xfId="7" applyNumberFormat="1" applyFill="1"/>
    <xf numFmtId="172" fontId="55" fillId="0" borderId="0" xfId="7" applyNumberFormat="1" applyFont="1"/>
    <xf numFmtId="43" fontId="35" fillId="12" borderId="0" xfId="9" applyNumberFormat="1" applyFont="1" applyFill="1" applyBorder="1">
      <alignment horizontal="left"/>
    </xf>
    <xf numFmtId="49" fontId="26" fillId="0" borderId="0" xfId="10" applyNumberFormat="1" applyFont="1" applyFill="1" applyBorder="1"/>
    <xf numFmtId="172" fontId="55" fillId="0" borderId="0" xfId="7" applyNumberFormat="1" applyFont="1" applyAlignment="1">
      <alignment horizontal="right"/>
    </xf>
    <xf numFmtId="49" fontId="26" fillId="12" borderId="0" xfId="12" applyNumberFormat="1" applyFont="1" applyFill="1" applyBorder="1"/>
    <xf numFmtId="172" fontId="55" fillId="12" borderId="0" xfId="7" applyNumberFormat="1" applyFont="1" applyFill="1" applyAlignment="1">
      <alignment horizontal="right"/>
    </xf>
    <xf numFmtId="49" fontId="26" fillId="0" borderId="0" xfId="12" applyNumberFormat="1" applyFont="1" applyFill="1" applyBorder="1"/>
    <xf numFmtId="49" fontId="26" fillId="12" borderId="0" xfId="10" applyNumberFormat="1" applyFont="1" applyFill="1" applyBorder="1"/>
    <xf numFmtId="175" fontId="55" fillId="12" borderId="0" xfId="7" applyNumberFormat="1" applyFont="1" applyFill="1" applyAlignment="1">
      <alignment horizontal="right"/>
    </xf>
    <xf numFmtId="165" fontId="26" fillId="0" borderId="0" xfId="7" applyNumberFormat="1"/>
    <xf numFmtId="165" fontId="26" fillId="12" borderId="0" xfId="7" applyNumberFormat="1" applyFill="1"/>
    <xf numFmtId="49" fontId="26" fillId="0" borderId="0" xfId="12" applyNumberFormat="1" applyFont="1" applyFill="1" applyBorder="1" applyAlignment="1">
      <alignment horizontal="left"/>
    </xf>
    <xf numFmtId="10" fontId="34" fillId="0" borderId="0" xfId="9" applyNumberFormat="1" applyFont="1" applyFill="1" applyBorder="1" applyAlignment="1">
      <alignment horizontal="right"/>
    </xf>
    <xf numFmtId="49" fontId="26" fillId="12" borderId="0" xfId="12" applyNumberFormat="1" applyFont="1" applyFill="1" applyBorder="1" applyAlignment="1">
      <alignment horizontal="left"/>
    </xf>
    <xf numFmtId="10" fontId="34" fillId="12" borderId="0" xfId="9" applyNumberFormat="1" applyFont="1" applyFill="1" applyBorder="1" applyAlignment="1">
      <alignment horizontal="right"/>
    </xf>
    <xf numFmtId="49" fontId="26" fillId="0" borderId="0" xfId="7" applyNumberFormat="1" applyAlignment="1">
      <alignment horizontal="right"/>
    </xf>
    <xf numFmtId="176" fontId="62" fillId="0" borderId="0" xfId="7" applyNumberFormat="1" applyFont="1" applyAlignment="1">
      <alignment horizontal="right"/>
    </xf>
    <xf numFmtId="176" fontId="26" fillId="0" borderId="0" xfId="7" applyNumberFormat="1" applyAlignment="1">
      <alignment horizontal="right"/>
    </xf>
    <xf numFmtId="168" fontId="26" fillId="12" borderId="0" xfId="7" applyNumberFormat="1" applyFill="1"/>
    <xf numFmtId="168" fontId="55" fillId="0" borderId="0" xfId="7" applyNumberFormat="1" applyFont="1" applyAlignment="1">
      <alignment horizontal="right"/>
    </xf>
    <xf numFmtId="168" fontId="55" fillId="12" borderId="0" xfId="7" applyNumberFormat="1" applyFont="1" applyFill="1" applyAlignment="1">
      <alignment horizontal="right"/>
    </xf>
    <xf numFmtId="176" fontId="35" fillId="0" borderId="0" xfId="9" applyNumberFormat="1" applyFont="1" applyFill="1" applyBorder="1" applyAlignment="1">
      <alignment horizontal="right"/>
    </xf>
    <xf numFmtId="0" fontId="26" fillId="8" borderId="0" xfId="6" applyNumberFormat="1" applyFont="1"/>
    <xf numFmtId="49" fontId="26" fillId="12" borderId="0" xfId="7" applyNumberFormat="1" applyFill="1" applyAlignment="1">
      <alignment horizontal="right"/>
    </xf>
    <xf numFmtId="176" fontId="35" fillId="12" borderId="0" xfId="9" applyNumberFormat="1" applyFont="1" applyFill="1" applyBorder="1" applyAlignment="1">
      <alignment horizontal="right"/>
    </xf>
    <xf numFmtId="176" fontId="26" fillId="12" borderId="0" xfId="7" applyNumberFormat="1" applyFill="1" applyAlignment="1">
      <alignment horizontal="right"/>
    </xf>
    <xf numFmtId="40" fontId="55" fillId="12" borderId="0" xfId="7" applyNumberFormat="1" applyFont="1" applyFill="1" applyAlignment="1">
      <alignment horizontal="right"/>
    </xf>
    <xf numFmtId="0" fontId="26" fillId="3" borderId="0" xfId="7" applyFill="1" applyAlignment="1">
      <alignment horizontal="left"/>
    </xf>
    <xf numFmtId="0" fontId="63" fillId="3" borderId="0" xfId="7" applyFont="1" applyFill="1" applyAlignment="1">
      <alignment horizontal="left"/>
    </xf>
    <xf numFmtId="0" fontId="64" fillId="3" borderId="0" xfId="7" applyFont="1" applyFill="1"/>
    <xf numFmtId="4" fontId="26" fillId="3" borderId="0" xfId="7" applyNumberFormat="1" applyFill="1"/>
    <xf numFmtId="43" fontId="26" fillId="3" borderId="0" xfId="12" applyFont="1" applyFill="1" applyBorder="1"/>
    <xf numFmtId="49" fontId="61" fillId="3" borderId="0" xfId="7" applyNumberFormat="1" applyFont="1" applyFill="1"/>
    <xf numFmtId="8" fontId="26" fillId="3" borderId="0" xfId="7" applyNumberFormat="1" applyFill="1"/>
    <xf numFmtId="14" fontId="35" fillId="3" borderId="0" xfId="9" applyNumberFormat="1" applyFont="1" applyFill="1" applyBorder="1">
      <alignment horizontal="left"/>
    </xf>
    <xf numFmtId="4" fontId="35" fillId="3" borderId="0" xfId="9" applyNumberFormat="1" applyFont="1" applyFill="1" applyBorder="1">
      <alignment horizontal="left"/>
    </xf>
    <xf numFmtId="169" fontId="35" fillId="3" borderId="0" xfId="9" applyNumberFormat="1" applyFont="1" applyFill="1" applyBorder="1">
      <alignment horizontal="left"/>
    </xf>
    <xf numFmtId="4" fontId="44" fillId="3" borderId="0" xfId="9" applyNumberFormat="1" applyFill="1" applyBorder="1">
      <alignment horizontal="left"/>
    </xf>
    <xf numFmtId="0" fontId="44" fillId="8" borderId="0" xfId="9" applyFill="1" applyBorder="1">
      <alignment horizontal="left"/>
    </xf>
    <xf numFmtId="14" fontId="44" fillId="3" borderId="0" xfId="9" applyNumberFormat="1" applyFill="1" applyBorder="1">
      <alignment horizontal="left"/>
    </xf>
    <xf numFmtId="169" fontId="44" fillId="3" borderId="0" xfId="9" applyNumberFormat="1" applyFill="1" applyBorder="1">
      <alignment horizontal="left"/>
    </xf>
    <xf numFmtId="0" fontId="44" fillId="3" borderId="29" xfId="6" applyFont="1" applyFill="1" applyBorder="1" applyAlignment="1">
      <alignment horizontal="left"/>
    </xf>
    <xf numFmtId="0" fontId="44" fillId="8" borderId="0" xfId="6" applyFont="1" applyBorder="1" applyAlignment="1">
      <alignment horizontal="left"/>
    </xf>
    <xf numFmtId="49" fontId="67" fillId="3" borderId="31" xfId="0" applyNumberFormat="1" applyFont="1" applyFill="1" applyBorder="1" applyAlignment="1">
      <alignment vertical="center"/>
    </xf>
    <xf numFmtId="49" fontId="67" fillId="3" borderId="32" xfId="0" applyNumberFormat="1" applyFont="1" applyFill="1" applyBorder="1" applyAlignment="1">
      <alignment vertical="center"/>
    </xf>
    <xf numFmtId="0" fontId="67" fillId="3" borderId="33" xfId="0" applyFont="1" applyFill="1" applyBorder="1" applyAlignment="1">
      <alignment vertical="center"/>
    </xf>
    <xf numFmtId="0" fontId="67" fillId="3" borderId="0" xfId="0" applyFont="1" applyFill="1" applyAlignment="1">
      <alignment vertical="center"/>
    </xf>
    <xf numFmtId="1" fontId="67" fillId="3" borderId="0" xfId="0" applyNumberFormat="1" applyFont="1" applyFill="1" applyAlignment="1">
      <alignment vertical="center"/>
    </xf>
    <xf numFmtId="2" fontId="70" fillId="3" borderId="33" xfId="0" applyNumberFormat="1" applyFont="1" applyFill="1" applyBorder="1" applyAlignment="1">
      <alignment vertical="center"/>
    </xf>
    <xf numFmtId="2" fontId="72" fillId="3" borderId="0" xfId="14" applyNumberFormat="1" applyFont="1" applyFill="1" applyBorder="1" applyAlignment="1" applyProtection="1">
      <alignment horizontal="right" vertical="center"/>
    </xf>
    <xf numFmtId="2" fontId="73" fillId="3" borderId="0" xfId="0" applyNumberFormat="1" applyFont="1" applyFill="1" applyAlignment="1">
      <alignment vertical="center"/>
    </xf>
    <xf numFmtId="1" fontId="72" fillId="3" borderId="0" xfId="14" applyNumberFormat="1" applyFont="1" applyFill="1" applyBorder="1" applyAlignment="1" applyProtection="1">
      <alignment horizontal="right" vertical="center"/>
    </xf>
    <xf numFmtId="2" fontId="73" fillId="3" borderId="33" xfId="0" applyNumberFormat="1" applyFont="1" applyFill="1" applyBorder="1" applyAlignment="1">
      <alignment vertical="center"/>
    </xf>
    <xf numFmtId="2" fontId="70" fillId="3" borderId="33" xfId="0" applyNumberFormat="1" applyFont="1" applyFill="1" applyBorder="1" applyAlignment="1">
      <alignment horizontal="right" vertical="center"/>
    </xf>
    <xf numFmtId="38" fontId="70" fillId="3" borderId="0" xfId="0" applyNumberFormat="1" applyFont="1" applyFill="1" applyAlignment="1">
      <alignment horizontal="right" vertical="center"/>
    </xf>
    <xf numFmtId="0" fontId="74" fillId="3" borderId="0" xfId="0" applyFont="1" applyFill="1" applyAlignment="1">
      <alignment horizontal="right" vertical="center"/>
    </xf>
    <xf numFmtId="4" fontId="75" fillId="3" borderId="0" xfId="0" applyNumberFormat="1" applyFont="1" applyFill="1" applyAlignment="1">
      <alignment horizontal="right" vertical="center"/>
    </xf>
    <xf numFmtId="4" fontId="67" fillId="3" borderId="0" xfId="0" applyNumberFormat="1" applyFont="1" applyFill="1" applyAlignment="1">
      <alignment vertical="center"/>
    </xf>
    <xf numFmtId="0" fontId="76" fillId="13" borderId="34" xfId="0" applyFont="1" applyFill="1" applyBorder="1" applyAlignment="1">
      <alignment vertical="center"/>
    </xf>
    <xf numFmtId="14" fontId="67" fillId="13" borderId="0" xfId="0" applyNumberFormat="1" applyFont="1" applyFill="1" applyAlignment="1">
      <alignment vertical="center"/>
    </xf>
    <xf numFmtId="2" fontId="67" fillId="3" borderId="33" xfId="0" applyNumberFormat="1" applyFont="1" applyFill="1" applyBorder="1" applyAlignment="1">
      <alignment vertical="center"/>
    </xf>
    <xf numFmtId="3" fontId="75" fillId="3" borderId="0" xfId="0" applyNumberFormat="1" applyFont="1" applyFill="1" applyAlignment="1">
      <alignment horizontal="right" vertical="center" wrapText="1"/>
    </xf>
    <xf numFmtId="2" fontId="67" fillId="3" borderId="35" xfId="0" applyNumberFormat="1" applyFont="1" applyFill="1" applyBorder="1" applyAlignment="1">
      <alignment vertical="center"/>
    </xf>
    <xf numFmtId="3" fontId="75" fillId="3" borderId="3" xfId="0" applyNumberFormat="1" applyFont="1" applyFill="1" applyBorder="1" applyAlignment="1">
      <alignment horizontal="right" vertical="center" wrapText="1"/>
    </xf>
    <xf numFmtId="2" fontId="77" fillId="3" borderId="33" xfId="0" applyNumberFormat="1" applyFont="1" applyFill="1" applyBorder="1" applyAlignment="1">
      <alignment vertical="center"/>
    </xf>
    <xf numFmtId="2" fontId="77" fillId="3" borderId="0" xfId="0" applyNumberFormat="1" applyFont="1" applyFill="1" applyAlignment="1">
      <alignment vertical="center"/>
    </xf>
    <xf numFmtId="0" fontId="77" fillId="3" borderId="0" xfId="0" applyFont="1" applyFill="1" applyAlignment="1">
      <alignment vertical="center"/>
    </xf>
    <xf numFmtId="2" fontId="78" fillId="3" borderId="33" xfId="0" applyNumberFormat="1" applyFont="1" applyFill="1" applyBorder="1" applyAlignment="1">
      <alignment vertical="center"/>
    </xf>
    <xf numFmtId="4" fontId="75" fillId="3" borderId="0" xfId="0" applyNumberFormat="1" applyFont="1" applyFill="1" applyAlignment="1">
      <alignment horizontal="right" vertical="center" wrapText="1"/>
    </xf>
    <xf numFmtId="0" fontId="74" fillId="13" borderId="33" xfId="0" applyFont="1" applyFill="1" applyBorder="1" applyAlignment="1">
      <alignment vertical="center"/>
    </xf>
    <xf numFmtId="38" fontId="74" fillId="13" borderId="33" xfId="0" applyNumberFormat="1" applyFont="1" applyFill="1" applyBorder="1" applyAlignment="1">
      <alignment horizontal="right" vertical="center"/>
    </xf>
    <xf numFmtId="3" fontId="67" fillId="3" borderId="33" xfId="0" applyNumberFormat="1" applyFont="1" applyFill="1" applyBorder="1" applyAlignment="1">
      <alignment horizontal="right" vertical="center"/>
    </xf>
    <xf numFmtId="0" fontId="77" fillId="3" borderId="33" xfId="0" applyFont="1" applyFill="1" applyBorder="1" applyAlignment="1">
      <alignment vertical="center"/>
    </xf>
    <xf numFmtId="3" fontId="77" fillId="3" borderId="33" xfId="0" applyNumberFormat="1" applyFont="1" applyFill="1" applyBorder="1" applyAlignment="1">
      <alignment vertical="center"/>
    </xf>
    <xf numFmtId="3" fontId="67" fillId="3" borderId="33" xfId="0" applyNumberFormat="1" applyFont="1" applyFill="1" applyBorder="1" applyAlignment="1">
      <alignment vertical="center"/>
    </xf>
    <xf numFmtId="0" fontId="67" fillId="3" borderId="35" xfId="0" applyFont="1" applyFill="1" applyBorder="1" applyAlignment="1">
      <alignment vertical="center"/>
    </xf>
    <xf numFmtId="3" fontId="67" fillId="3" borderId="35" xfId="0" applyNumberFormat="1" applyFont="1" applyFill="1" applyBorder="1" applyAlignment="1">
      <alignment vertical="center"/>
    </xf>
    <xf numFmtId="2" fontId="79" fillId="3" borderId="33" xfId="0" applyNumberFormat="1" applyFont="1" applyFill="1" applyBorder="1" applyAlignment="1">
      <alignment vertical="center"/>
    </xf>
    <xf numFmtId="0" fontId="74" fillId="3" borderId="33" xfId="0" applyFont="1" applyFill="1" applyBorder="1" applyAlignment="1">
      <alignment vertical="center"/>
    </xf>
    <xf numFmtId="2" fontId="77" fillId="3" borderId="33" xfId="0" applyNumberFormat="1" applyFont="1" applyFill="1" applyBorder="1" applyAlignment="1">
      <alignment horizontal="right" vertical="center"/>
    </xf>
    <xf numFmtId="0" fontId="76" fillId="13" borderId="36" xfId="0" applyFont="1" applyFill="1" applyBorder="1" applyAlignment="1">
      <alignment vertical="center"/>
    </xf>
    <xf numFmtId="38" fontId="74" fillId="13" borderId="0" xfId="0" applyNumberFormat="1" applyFont="1" applyFill="1" applyAlignment="1">
      <alignment horizontal="right" vertical="center"/>
    </xf>
    <xf numFmtId="2" fontId="79" fillId="3" borderId="0" xfId="0" applyNumberFormat="1" applyFont="1" applyFill="1" applyAlignment="1">
      <alignment vertical="center"/>
    </xf>
    <xf numFmtId="3" fontId="67" fillId="3" borderId="33" xfId="0" applyNumberFormat="1" applyFont="1" applyFill="1" applyBorder="1" applyAlignment="1">
      <alignment horizontal="left" vertical="center"/>
    </xf>
    <xf numFmtId="3" fontId="67" fillId="3" borderId="35" xfId="0" applyNumberFormat="1" applyFont="1" applyFill="1" applyBorder="1" applyAlignment="1">
      <alignment horizontal="left" vertical="center"/>
    </xf>
    <xf numFmtId="3" fontId="67" fillId="3" borderId="35" xfId="0" applyNumberFormat="1" applyFont="1" applyFill="1" applyBorder="1" applyAlignment="1">
      <alignment horizontal="right" vertical="center"/>
    </xf>
    <xf numFmtId="2" fontId="67" fillId="3" borderId="0" xfId="1" applyNumberFormat="1" applyFont="1" applyFill="1" applyBorder="1" applyAlignment="1">
      <alignment horizontal="right" vertical="center"/>
    </xf>
    <xf numFmtId="2" fontId="67" fillId="3" borderId="0" xfId="0" applyNumberFormat="1" applyFont="1" applyFill="1" applyAlignment="1">
      <alignment vertical="center"/>
    </xf>
    <xf numFmtId="3" fontId="77" fillId="5" borderId="0" xfId="0" applyNumberFormat="1" applyFont="1" applyFill="1" applyAlignment="1">
      <alignment vertical="center"/>
    </xf>
    <xf numFmtId="3" fontId="67" fillId="3" borderId="0" xfId="0" applyNumberFormat="1" applyFont="1" applyFill="1" applyAlignment="1">
      <alignment vertical="center"/>
    </xf>
    <xf numFmtId="3" fontId="67" fillId="3" borderId="37" xfId="0" applyNumberFormat="1" applyFont="1" applyFill="1" applyBorder="1" applyAlignment="1">
      <alignment vertical="center"/>
    </xf>
    <xf numFmtId="4" fontId="77" fillId="3" borderId="33" xfId="0" applyNumberFormat="1" applyFont="1" applyFill="1" applyBorder="1" applyAlignment="1">
      <alignment horizontal="right" vertical="center"/>
    </xf>
    <xf numFmtId="3" fontId="67" fillId="5" borderId="33" xfId="0" applyNumberFormat="1" applyFont="1" applyFill="1" applyBorder="1" applyAlignment="1">
      <alignment vertical="center"/>
    </xf>
    <xf numFmtId="3" fontId="75" fillId="5" borderId="0" xfId="0" applyNumberFormat="1" applyFont="1" applyFill="1" applyAlignment="1">
      <alignment horizontal="right" vertical="center" wrapText="1"/>
    </xf>
    <xf numFmtId="9" fontId="75" fillId="5" borderId="0" xfId="1" applyFont="1" applyFill="1" applyBorder="1" applyAlignment="1" applyProtection="1">
      <alignment horizontal="right" vertical="center" wrapText="1"/>
    </xf>
    <xf numFmtId="9" fontId="75" fillId="3" borderId="0" xfId="1" applyFont="1" applyFill="1" applyBorder="1" applyAlignment="1" applyProtection="1">
      <alignment horizontal="right" vertical="center" wrapText="1"/>
    </xf>
    <xf numFmtId="3" fontId="75" fillId="5" borderId="3" xfId="0" applyNumberFormat="1" applyFont="1" applyFill="1" applyBorder="1" applyAlignment="1">
      <alignment horizontal="right" vertical="center" wrapText="1"/>
    </xf>
    <xf numFmtId="4" fontId="67" fillId="3" borderId="33" xfId="0" applyNumberFormat="1" applyFont="1" applyFill="1" applyBorder="1" applyAlignment="1">
      <alignment vertical="center"/>
    </xf>
    <xf numFmtId="9" fontId="67" fillId="3" borderId="33" xfId="1" applyFont="1" applyFill="1" applyBorder="1" applyAlignment="1">
      <alignment vertical="center"/>
    </xf>
    <xf numFmtId="1" fontId="67" fillId="3" borderId="33" xfId="0" applyNumberFormat="1" applyFont="1" applyFill="1" applyBorder="1" applyAlignment="1">
      <alignment vertical="center"/>
    </xf>
    <xf numFmtId="3" fontId="67" fillId="3" borderId="38" xfId="0" applyNumberFormat="1" applyFont="1" applyFill="1" applyBorder="1" applyAlignment="1">
      <alignment vertical="center"/>
    </xf>
    <xf numFmtId="0" fontId="76" fillId="3" borderId="36" xfId="0" applyFont="1" applyFill="1" applyBorder="1" applyAlignment="1">
      <alignment vertical="center"/>
    </xf>
    <xf numFmtId="10" fontId="67" fillId="3" borderId="33" xfId="1" applyNumberFormat="1" applyFont="1" applyFill="1" applyBorder="1" applyAlignment="1">
      <alignment vertical="center"/>
    </xf>
    <xf numFmtId="10" fontId="75" fillId="3" borderId="0" xfId="1" applyNumberFormat="1" applyFont="1" applyFill="1" applyBorder="1" applyAlignment="1" applyProtection="1">
      <alignment horizontal="right" vertical="center" wrapText="1"/>
    </xf>
    <xf numFmtId="165" fontId="67" fillId="3" borderId="33" xfId="1" applyNumberFormat="1" applyFont="1" applyFill="1" applyBorder="1" applyAlignment="1">
      <alignment horizontal="right" vertical="center"/>
    </xf>
    <xf numFmtId="3" fontId="77" fillId="5" borderId="33" xfId="0" applyNumberFormat="1" applyFont="1" applyFill="1" applyBorder="1" applyAlignment="1">
      <alignment vertical="center"/>
    </xf>
    <xf numFmtId="3" fontId="67" fillId="3" borderId="38" xfId="0" applyNumberFormat="1" applyFont="1" applyFill="1" applyBorder="1" applyAlignment="1">
      <alignment horizontal="right" vertical="center"/>
    </xf>
    <xf numFmtId="2" fontId="67" fillId="3" borderId="33" xfId="1" applyNumberFormat="1" applyFont="1" applyFill="1" applyBorder="1" applyAlignment="1">
      <alignment vertical="center"/>
    </xf>
    <xf numFmtId="2" fontId="79" fillId="3" borderId="35" xfId="0" applyNumberFormat="1" applyFont="1" applyFill="1" applyBorder="1" applyAlignment="1">
      <alignment vertical="center"/>
    </xf>
    <xf numFmtId="2" fontId="67" fillId="3" borderId="38" xfId="1" applyNumberFormat="1" applyFont="1" applyFill="1" applyBorder="1" applyAlignment="1">
      <alignment vertical="center"/>
    </xf>
    <xf numFmtId="165" fontId="67" fillId="3" borderId="33" xfId="1" applyNumberFormat="1" applyFont="1" applyFill="1" applyBorder="1" applyAlignment="1">
      <alignment vertical="center"/>
    </xf>
    <xf numFmtId="10" fontId="67" fillId="3" borderId="0" xfId="1" applyNumberFormat="1" applyFont="1" applyFill="1" applyBorder="1" applyAlignment="1">
      <alignment horizontal="right" vertical="center"/>
    </xf>
    <xf numFmtId="10" fontId="67" fillId="3" borderId="0" xfId="1" applyNumberFormat="1" applyFont="1" applyFill="1" applyBorder="1" applyAlignment="1">
      <alignment vertical="center"/>
    </xf>
    <xf numFmtId="2" fontId="77" fillId="5" borderId="33" xfId="0" applyNumberFormat="1" applyFont="1" applyFill="1" applyBorder="1" applyAlignment="1">
      <alignment vertical="center"/>
    </xf>
    <xf numFmtId="2" fontId="67" fillId="3" borderId="0" xfId="1" applyNumberFormat="1" applyFont="1" applyFill="1" applyBorder="1" applyAlignment="1">
      <alignment vertical="center"/>
    </xf>
    <xf numFmtId="4" fontId="67" fillId="5" borderId="33" xfId="0" applyNumberFormat="1" applyFont="1" applyFill="1" applyBorder="1" applyAlignment="1">
      <alignment vertical="center"/>
    </xf>
    <xf numFmtId="3" fontId="67" fillId="5" borderId="35" xfId="0" applyNumberFormat="1" applyFont="1" applyFill="1" applyBorder="1" applyAlignment="1">
      <alignment vertical="center"/>
    </xf>
    <xf numFmtId="4" fontId="75" fillId="5" borderId="0" xfId="0" applyNumberFormat="1" applyFont="1" applyFill="1" applyAlignment="1">
      <alignment horizontal="right" vertical="center" wrapText="1"/>
    </xf>
    <xf numFmtId="165" fontId="75" fillId="5" borderId="0" xfId="1" applyNumberFormat="1" applyFont="1" applyFill="1" applyBorder="1" applyAlignment="1" applyProtection="1">
      <alignment horizontal="right" vertical="center" wrapText="1"/>
    </xf>
    <xf numFmtId="0" fontId="0" fillId="5" borderId="0" xfId="0" applyFill="1"/>
    <xf numFmtId="2" fontId="0" fillId="3" borderId="0" xfId="0" applyNumberFormat="1" applyFill="1"/>
    <xf numFmtId="2" fontId="1" fillId="3" borderId="0" xfId="0" applyNumberFormat="1" applyFont="1" applyFill="1" applyAlignment="1">
      <alignment horizontal="right"/>
    </xf>
    <xf numFmtId="0" fontId="1" fillId="5" borderId="0" xfId="0" applyFont="1" applyFill="1" applyAlignment="1">
      <alignment horizontal="right"/>
    </xf>
    <xf numFmtId="0" fontId="1" fillId="5" borderId="0" xfId="0" applyFont="1" applyFill="1"/>
    <xf numFmtId="49" fontId="67" fillId="15" borderId="31" xfId="0" applyNumberFormat="1" applyFont="1" applyFill="1" applyBorder="1" applyAlignment="1">
      <alignment vertical="center"/>
    </xf>
    <xf numFmtId="49" fontId="67" fillId="15" borderId="32" xfId="0" applyNumberFormat="1" applyFont="1" applyFill="1" applyBorder="1" applyAlignment="1">
      <alignment vertical="center"/>
    </xf>
    <xf numFmtId="0" fontId="67" fillId="15" borderId="33" xfId="0" applyFont="1" applyFill="1" applyBorder="1" applyAlignment="1">
      <alignment vertical="center"/>
    </xf>
    <xf numFmtId="0" fontId="67" fillId="15" borderId="0" xfId="0" applyFont="1" applyFill="1" applyAlignment="1">
      <alignment vertical="center"/>
    </xf>
    <xf numFmtId="0" fontId="83" fillId="16" borderId="33" xfId="0" applyFont="1" applyFill="1" applyBorder="1" applyAlignment="1">
      <alignment vertical="center"/>
    </xf>
    <xf numFmtId="0" fontId="83" fillId="16" borderId="0" xfId="0" applyFont="1" applyFill="1" applyAlignment="1">
      <alignment vertical="center"/>
    </xf>
    <xf numFmtId="0" fontId="84" fillId="16" borderId="0" xfId="3" quotePrefix="1" applyFont="1" applyFill="1" applyBorder="1" applyAlignment="1">
      <alignment horizontal="right" vertical="center"/>
    </xf>
    <xf numFmtId="0" fontId="85" fillId="2" borderId="39" xfId="2" applyFont="1" applyBorder="1" applyAlignment="1">
      <alignment horizontal="left" vertical="center"/>
    </xf>
    <xf numFmtId="2" fontId="86" fillId="2" borderId="1" xfId="2" applyNumberFormat="1" applyFont="1" applyBorder="1" applyAlignment="1">
      <alignment horizontal="left" vertical="center"/>
    </xf>
    <xf numFmtId="0" fontId="10" fillId="2" borderId="1" xfId="2" applyFont="1" applyBorder="1" applyAlignment="1">
      <alignment vertical="center"/>
    </xf>
    <xf numFmtId="2" fontId="68" fillId="15" borderId="33" xfId="0" applyNumberFormat="1" applyFont="1" applyFill="1" applyBorder="1" applyAlignment="1">
      <alignment vertical="center"/>
    </xf>
    <xf numFmtId="2" fontId="87" fillId="15" borderId="0" xfId="0" applyNumberFormat="1" applyFont="1" applyFill="1" applyAlignment="1">
      <alignment horizontal="left" vertical="center"/>
    </xf>
    <xf numFmtId="0" fontId="69" fillId="15" borderId="0" xfId="0" applyFont="1" applyFill="1" applyAlignment="1">
      <alignment vertical="center"/>
    </xf>
    <xf numFmtId="2" fontId="70" fillId="15" borderId="33" xfId="0" applyNumberFormat="1" applyFont="1" applyFill="1" applyBorder="1" applyAlignment="1">
      <alignment vertical="center"/>
    </xf>
    <xf numFmtId="2" fontId="88" fillId="15" borderId="0" xfId="0" applyNumberFormat="1" applyFont="1" applyFill="1" applyAlignment="1">
      <alignment horizontal="right" vertical="center"/>
    </xf>
    <xf numFmtId="2" fontId="73" fillId="15" borderId="0" xfId="0" applyNumberFormat="1" applyFont="1" applyFill="1" applyAlignment="1">
      <alignment vertical="center"/>
    </xf>
    <xf numFmtId="2" fontId="73" fillId="15" borderId="33" xfId="0" applyNumberFormat="1" applyFont="1" applyFill="1" applyBorder="1" applyAlignment="1">
      <alignment vertical="center"/>
    </xf>
    <xf numFmtId="1" fontId="73" fillId="15" borderId="0" xfId="0" applyNumberFormat="1" applyFont="1" applyFill="1" applyAlignment="1">
      <alignment vertical="center"/>
    </xf>
    <xf numFmtId="1" fontId="89" fillId="15" borderId="0" xfId="0" applyNumberFormat="1" applyFont="1" applyFill="1" applyAlignment="1">
      <alignment vertical="center"/>
    </xf>
    <xf numFmtId="2" fontId="73" fillId="15" borderId="33" xfId="0" applyNumberFormat="1" applyFont="1" applyFill="1" applyBorder="1" applyAlignment="1">
      <alignment horizontal="left" vertical="center"/>
    </xf>
    <xf numFmtId="2" fontId="90" fillId="15" borderId="0" xfId="0" applyNumberFormat="1" applyFont="1" applyFill="1" applyAlignment="1">
      <alignment horizontal="right" vertical="center"/>
    </xf>
    <xf numFmtId="0" fontId="67" fillId="15" borderId="0" xfId="0" applyFont="1" applyFill="1" applyAlignment="1">
      <alignment horizontal="right" vertical="center"/>
    </xf>
    <xf numFmtId="2" fontId="70" fillId="15" borderId="33" xfId="0" applyNumberFormat="1" applyFont="1" applyFill="1" applyBorder="1" applyAlignment="1">
      <alignment horizontal="left" vertical="center"/>
    </xf>
    <xf numFmtId="2" fontId="70" fillId="15" borderId="0" xfId="0" applyNumberFormat="1" applyFont="1" applyFill="1" applyAlignment="1">
      <alignment vertical="center"/>
    </xf>
    <xf numFmtId="0" fontId="74" fillId="15" borderId="0" xfId="0" applyFont="1" applyFill="1" applyAlignment="1">
      <alignment vertical="center"/>
    </xf>
    <xf numFmtId="2" fontId="91" fillId="15" borderId="0" xfId="0" applyNumberFormat="1" applyFont="1" applyFill="1" applyAlignment="1">
      <alignment horizontal="right" vertical="center"/>
    </xf>
    <xf numFmtId="0" fontId="67" fillId="15" borderId="40" xfId="0" applyFont="1" applyFill="1" applyBorder="1" applyAlignment="1">
      <alignment vertical="center"/>
    </xf>
    <xf numFmtId="2" fontId="86" fillId="2" borderId="1" xfId="2" applyNumberFormat="1" applyFont="1" applyBorder="1" applyAlignment="1" applyProtection="1">
      <alignment horizontal="left" vertical="center"/>
    </xf>
    <xf numFmtId="2" fontId="73" fillId="15" borderId="0" xfId="0" applyNumberFormat="1" applyFont="1" applyFill="1" applyAlignment="1">
      <alignment horizontal="right" vertical="center"/>
    </xf>
    <xf numFmtId="166" fontId="70" fillId="15" borderId="0" xfId="0" applyNumberFormat="1" applyFont="1" applyFill="1" applyAlignment="1">
      <alignment vertical="center"/>
    </xf>
    <xf numFmtId="166" fontId="74" fillId="15" borderId="0" xfId="0" applyNumberFormat="1" applyFont="1" applyFill="1" applyAlignment="1">
      <alignment vertical="center"/>
    </xf>
    <xf numFmtId="177" fontId="73" fillId="15" borderId="0" xfId="0" applyNumberFormat="1" applyFont="1" applyFill="1" applyAlignment="1">
      <alignment vertical="center"/>
    </xf>
    <xf numFmtId="2" fontId="92" fillId="15" borderId="0" xfId="0" applyNumberFormat="1" applyFont="1" applyFill="1" applyAlignment="1">
      <alignment vertical="center"/>
    </xf>
    <xf numFmtId="0" fontId="93" fillId="15" borderId="0" xfId="0" applyFont="1" applyFill="1" applyAlignment="1">
      <alignment vertical="center"/>
    </xf>
    <xf numFmtId="3" fontId="90" fillId="15" borderId="0" xfId="0" applyNumberFormat="1" applyFont="1" applyFill="1" applyAlignment="1">
      <alignment horizontal="right" vertical="center"/>
    </xf>
    <xf numFmtId="2" fontId="67" fillId="15" borderId="0" xfId="0" applyNumberFormat="1" applyFont="1" applyFill="1" applyAlignment="1">
      <alignment vertical="center"/>
    </xf>
    <xf numFmtId="2" fontId="79" fillId="15" borderId="33" xfId="0" applyNumberFormat="1" applyFont="1" applyFill="1" applyBorder="1" applyAlignment="1">
      <alignment vertical="center"/>
    </xf>
    <xf numFmtId="2" fontId="94" fillId="15" borderId="0" xfId="0" applyNumberFormat="1" applyFont="1" applyFill="1" applyAlignment="1">
      <alignment horizontal="right" vertical="center"/>
    </xf>
    <xf numFmtId="0" fontId="77" fillId="15" borderId="0" xfId="0" applyFont="1" applyFill="1" applyAlignment="1">
      <alignment vertical="center"/>
    </xf>
    <xf numFmtId="2" fontId="74" fillId="15" borderId="0" xfId="0" applyNumberFormat="1" applyFont="1" applyFill="1" applyAlignment="1">
      <alignment vertical="center"/>
    </xf>
    <xf numFmtId="0" fontId="95" fillId="2" borderId="1" xfId="2" applyFont="1" applyBorder="1" applyAlignment="1">
      <alignment vertical="center"/>
    </xf>
    <xf numFmtId="0" fontId="2" fillId="3" borderId="0" xfId="0" applyFont="1" applyFill="1"/>
    <xf numFmtId="2" fontId="73" fillId="6" borderId="33" xfId="0" applyNumberFormat="1" applyFont="1" applyFill="1" applyBorder="1" applyAlignment="1">
      <alignment vertical="center"/>
    </xf>
    <xf numFmtId="2" fontId="70" fillId="6" borderId="33" xfId="0" applyNumberFormat="1" applyFont="1" applyFill="1" applyBorder="1" applyAlignment="1">
      <alignment vertical="center"/>
    </xf>
    <xf numFmtId="2" fontId="73" fillId="13" borderId="33" xfId="0" applyNumberFormat="1" applyFont="1" applyFill="1" applyBorder="1" applyAlignment="1">
      <alignment vertical="center"/>
    </xf>
    <xf numFmtId="2" fontId="70" fillId="15" borderId="33" xfId="0" applyNumberFormat="1" applyFont="1" applyFill="1" applyBorder="1" applyAlignment="1">
      <alignment horizontal="right" vertical="center"/>
    </xf>
    <xf numFmtId="2" fontId="70" fillId="3" borderId="33" xfId="0" applyNumberFormat="1" applyFont="1" applyFill="1" applyBorder="1" applyAlignment="1">
      <alignment horizontal="left" vertical="center"/>
    </xf>
    <xf numFmtId="166" fontId="0" fillId="3" borderId="0" xfId="0" applyNumberFormat="1" applyFill="1"/>
    <xf numFmtId="2" fontId="0" fillId="6" borderId="0" xfId="0" applyNumberFormat="1" applyFill="1"/>
    <xf numFmtId="2" fontId="2" fillId="3" borderId="0" xfId="0" applyNumberFormat="1" applyFont="1" applyFill="1"/>
    <xf numFmtId="2" fontId="7" fillId="3" borderId="0" xfId="0" applyNumberFormat="1" applyFont="1" applyFill="1"/>
    <xf numFmtId="9" fontId="70" fillId="17" borderId="33" xfId="1" applyFont="1" applyFill="1" applyBorder="1" applyAlignment="1" applyProtection="1">
      <alignment vertical="center"/>
    </xf>
    <xf numFmtId="9" fontId="0" fillId="17" borderId="0" xfId="1" applyFont="1" applyFill="1"/>
    <xf numFmtId="165" fontId="0" fillId="17" borderId="0" xfId="1" applyNumberFormat="1" applyFont="1" applyFill="1"/>
    <xf numFmtId="2" fontId="73" fillId="3" borderId="33" xfId="0" applyNumberFormat="1" applyFont="1" applyFill="1" applyBorder="1" applyAlignment="1">
      <alignment horizontal="left" vertical="center"/>
    </xf>
    <xf numFmtId="3" fontId="0" fillId="3" borderId="0" xfId="0" applyNumberFormat="1" applyFill="1"/>
    <xf numFmtId="10" fontId="0" fillId="3" borderId="0" xfId="1" applyNumberFormat="1" applyFont="1" applyFill="1"/>
    <xf numFmtId="10" fontId="0" fillId="3" borderId="0" xfId="0" applyNumberFormat="1" applyFill="1"/>
    <xf numFmtId="0" fontId="98" fillId="5" borderId="0" xfId="0" applyFont="1" applyFill="1" applyAlignment="1">
      <alignment horizontal="center"/>
    </xf>
    <xf numFmtId="10" fontId="97" fillId="3" borderId="0" xfId="0" applyNumberFormat="1" applyFont="1" applyFill="1" applyAlignment="1">
      <alignment horizontal="center"/>
    </xf>
    <xf numFmtId="0" fontId="97" fillId="3" borderId="0" xfId="0" applyFont="1" applyFill="1"/>
    <xf numFmtId="0" fontId="96" fillId="18" borderId="10" xfId="0" applyFont="1" applyFill="1" applyBorder="1" applyProtection="1">
      <protection locked="0"/>
    </xf>
    <xf numFmtId="0" fontId="0" fillId="18" borderId="13" xfId="0" applyFill="1" applyBorder="1" applyAlignment="1">
      <alignment vertical="top"/>
    </xf>
    <xf numFmtId="10" fontId="98" fillId="3" borderId="0" xfId="0" applyNumberFormat="1" applyFont="1" applyFill="1"/>
    <xf numFmtId="10" fontId="97" fillId="3" borderId="0" xfId="0" applyNumberFormat="1" applyFont="1" applyFill="1"/>
    <xf numFmtId="0" fontId="0" fillId="6" borderId="41" xfId="0" applyFill="1" applyBorder="1" applyProtection="1">
      <protection locked="0"/>
    </xf>
    <xf numFmtId="0" fontId="0" fillId="0" borderId="18" xfId="0" applyBorder="1" applyAlignment="1">
      <alignment horizontal="right"/>
    </xf>
    <xf numFmtId="0" fontId="0" fillId="3" borderId="0" xfId="0" applyFill="1" applyProtection="1">
      <protection locked="0"/>
    </xf>
    <xf numFmtId="10" fontId="0" fillId="6" borderId="18" xfId="0" applyNumberFormat="1" applyFill="1" applyBorder="1" applyProtection="1">
      <protection locked="0"/>
    </xf>
    <xf numFmtId="10" fontId="5" fillId="6" borderId="18" xfId="0" applyNumberFormat="1" applyFont="1" applyFill="1" applyBorder="1" applyProtection="1">
      <protection locked="0"/>
    </xf>
    <xf numFmtId="10" fontId="2" fillId="6" borderId="42" xfId="0" applyNumberFormat="1" applyFont="1" applyFill="1" applyBorder="1" applyProtection="1">
      <protection locked="0"/>
    </xf>
    <xf numFmtId="2" fontId="2" fillId="6" borderId="4" xfId="0" applyNumberFormat="1" applyFont="1" applyFill="1" applyBorder="1" applyProtection="1">
      <protection locked="0"/>
    </xf>
    <xf numFmtId="14" fontId="2" fillId="3" borderId="0" xfId="0" applyNumberFormat="1" applyFont="1" applyFill="1"/>
    <xf numFmtId="177" fontId="0" fillId="3" borderId="0" xfId="1" applyNumberFormat="1" applyFont="1" applyFill="1"/>
    <xf numFmtId="14" fontId="0" fillId="3" borderId="0" xfId="0" applyNumberFormat="1" applyFill="1"/>
    <xf numFmtId="14" fontId="0" fillId="5" borderId="43" xfId="0" applyNumberFormat="1" applyFill="1" applyBorder="1"/>
    <xf numFmtId="14" fontId="0" fillId="5" borderId="45" xfId="0" applyNumberFormat="1" applyFill="1" applyBorder="1"/>
    <xf numFmtId="14" fontId="0" fillId="3" borderId="45" xfId="0" applyNumberFormat="1" applyFill="1" applyBorder="1"/>
    <xf numFmtId="0" fontId="0" fillId="5" borderId="15" xfId="0" applyFill="1" applyBorder="1"/>
    <xf numFmtId="0" fontId="0" fillId="5" borderId="41" xfId="0" applyFill="1" applyBorder="1"/>
    <xf numFmtId="0" fontId="0" fillId="3" borderId="41" xfId="0" applyFill="1" applyBorder="1"/>
    <xf numFmtId="10" fontId="0" fillId="5" borderId="44" xfId="0" applyNumberFormat="1" applyFill="1" applyBorder="1"/>
    <xf numFmtId="0" fontId="0" fillId="3" borderId="42" xfId="0" applyFill="1" applyBorder="1"/>
    <xf numFmtId="10" fontId="0" fillId="3" borderId="44" xfId="0" applyNumberFormat="1" applyFill="1" applyBorder="1"/>
    <xf numFmtId="0" fontId="0" fillId="3" borderId="16" xfId="0" applyFill="1" applyBorder="1"/>
    <xf numFmtId="0" fontId="0" fillId="3" borderId="15" xfId="0" applyFill="1" applyBorder="1"/>
    <xf numFmtId="10" fontId="0" fillId="5" borderId="18" xfId="0" applyNumberFormat="1" applyFill="1" applyBorder="1"/>
    <xf numFmtId="10" fontId="0" fillId="3" borderId="18" xfId="0" applyNumberFormat="1" applyFill="1" applyBorder="1"/>
    <xf numFmtId="10" fontId="0" fillId="3" borderId="16" xfId="0" applyNumberFormat="1" applyFill="1" applyBorder="1"/>
    <xf numFmtId="10" fontId="0" fillId="3" borderId="4" xfId="0" applyNumberFormat="1" applyFill="1" applyBorder="1"/>
    <xf numFmtId="0" fontId="26" fillId="8" borderId="0" xfId="6" applyFont="1" applyBorder="1" applyAlignment="1">
      <alignment horizontal="center"/>
    </xf>
    <xf numFmtId="0" fontId="34" fillId="9" borderId="0" xfId="7" applyFont="1" applyFill="1" applyAlignment="1">
      <alignment vertical="center"/>
    </xf>
    <xf numFmtId="0" fontId="99" fillId="10" borderId="22" xfId="7" applyFont="1" applyFill="1" applyBorder="1" applyAlignment="1">
      <alignment horizontal="left" vertical="center"/>
    </xf>
    <xf numFmtId="0" fontId="100" fillId="8" borderId="0" xfId="6" applyFont="1" applyBorder="1"/>
    <xf numFmtId="0" fontId="101" fillId="8" borderId="0" xfId="6" applyFont="1" applyBorder="1"/>
    <xf numFmtId="1" fontId="26" fillId="19" borderId="46" xfId="15" applyNumberFormat="1" applyFont="1" applyFill="1" applyBorder="1">
      <alignment horizontal="left" vertical="center" wrapText="1"/>
    </xf>
    <xf numFmtId="1" fontId="26" fillId="19" borderId="46" xfId="15" applyNumberFormat="1" applyFont="1" applyFill="1" applyBorder="1" applyAlignment="1">
      <alignment horizontal="center" vertical="center" wrapText="1"/>
    </xf>
    <xf numFmtId="1" fontId="0" fillId="19" borderId="46" xfId="15" applyNumberFormat="1" applyFont="1" applyFill="1" applyBorder="1">
      <alignment horizontal="left" vertical="center" wrapText="1"/>
    </xf>
    <xf numFmtId="0" fontId="39" fillId="3" borderId="46" xfId="6" applyFont="1" applyFill="1" applyBorder="1" applyAlignment="1">
      <alignment wrapText="1"/>
    </xf>
    <xf numFmtId="0" fontId="37" fillId="3" borderId="46" xfId="6" applyFont="1" applyFill="1" applyBorder="1" applyAlignment="1">
      <alignment horizontal="center" vertical="center"/>
    </xf>
    <xf numFmtId="49" fontId="37" fillId="3" borderId="46" xfId="6" applyNumberFormat="1" applyFont="1" applyFill="1" applyBorder="1"/>
    <xf numFmtId="0" fontId="35" fillId="3" borderId="47" xfId="7" applyFont="1" applyFill="1" applyBorder="1" applyAlignment="1">
      <alignment horizontal="left" vertical="top" wrapText="1"/>
    </xf>
    <xf numFmtId="0" fontId="54" fillId="3" borderId="48" xfId="7" applyFont="1" applyFill="1" applyBorder="1" applyAlignment="1">
      <alignment horizontal="left" vertical="top" wrapText="1"/>
    </xf>
    <xf numFmtId="0" fontId="35" fillId="5" borderId="48" xfId="7" applyFont="1" applyFill="1" applyBorder="1" applyAlignment="1">
      <alignment horizontal="left" vertical="top" wrapText="1"/>
    </xf>
    <xf numFmtId="3" fontId="35" fillId="5" borderId="48" xfId="7" applyNumberFormat="1" applyFont="1" applyFill="1" applyBorder="1" applyAlignment="1">
      <alignment horizontal="left" vertical="top" wrapText="1"/>
    </xf>
    <xf numFmtId="3" fontId="35" fillId="3" borderId="48" xfId="7" applyNumberFormat="1" applyFont="1" applyFill="1" applyBorder="1" applyAlignment="1">
      <alignment horizontal="left" vertical="top" wrapText="1"/>
    </xf>
    <xf numFmtId="0" fontId="35" fillId="3" borderId="48" xfId="7" applyFont="1" applyFill="1" applyBorder="1" applyAlignment="1">
      <alignment horizontal="left" vertical="top" wrapText="1"/>
    </xf>
    <xf numFmtId="0" fontId="48" fillId="3" borderId="48" xfId="16" applyNumberFormat="1" applyFont="1" applyFill="1" applyBorder="1" applyAlignment="1" applyProtection="1">
      <alignment horizontal="left" vertical="top" wrapText="1"/>
    </xf>
    <xf numFmtId="2" fontId="34" fillId="3" borderId="48" xfId="6" applyNumberFormat="1" applyFont="1" applyFill="1" applyBorder="1" applyAlignment="1">
      <alignment horizontal="left" vertical="top" wrapText="1"/>
    </xf>
    <xf numFmtId="0" fontId="39" fillId="3" borderId="48" xfId="6" applyFont="1" applyFill="1" applyBorder="1" applyAlignment="1">
      <alignment wrapText="1"/>
    </xf>
    <xf numFmtId="0" fontId="39" fillId="5" borderId="48" xfId="6" applyNumberFormat="1" applyFont="1" applyFill="1" applyBorder="1" applyAlignment="1">
      <alignment wrapText="1"/>
    </xf>
    <xf numFmtId="0" fontId="39" fillId="8" borderId="0" xfId="6" applyFont="1" applyBorder="1" applyAlignment="1">
      <alignment wrapText="1"/>
    </xf>
    <xf numFmtId="0" fontId="37" fillId="8" borderId="0" xfId="6" applyFont="1" applyBorder="1" applyAlignment="1">
      <alignment horizontal="center"/>
    </xf>
    <xf numFmtId="49" fontId="37" fillId="8" borderId="0" xfId="6" applyNumberFormat="1" applyFont="1" applyBorder="1" applyAlignment="1"/>
    <xf numFmtId="1" fontId="102" fillId="8" borderId="0" xfId="6" applyNumberFormat="1" applyFont="1" applyBorder="1" applyAlignment="1"/>
    <xf numFmtId="0" fontId="41" fillId="8" borderId="0" xfId="6" applyNumberFormat="1" applyFont="1" applyBorder="1" applyAlignment="1">
      <alignment horizontal="left" wrapText="1"/>
    </xf>
    <xf numFmtId="3" fontId="0" fillId="8" borderId="0" xfId="6" applyNumberFormat="1" applyFont="1" applyBorder="1" applyAlignment="1">
      <alignment horizontal="left" wrapText="1"/>
    </xf>
    <xf numFmtId="0" fontId="0" fillId="8" borderId="0" xfId="6" applyFont="1" applyBorder="1" applyAlignment="1">
      <alignment horizontal="left" wrapText="1"/>
    </xf>
    <xf numFmtId="0" fontId="0" fillId="8" borderId="0" xfId="6" applyNumberFormat="1" applyFont="1" applyBorder="1" applyAlignment="1">
      <alignment horizontal="left" wrapText="1"/>
    </xf>
    <xf numFmtId="0" fontId="82" fillId="8" borderId="0" xfId="6" applyNumberFormat="1" applyFont="1" applyBorder="1" applyAlignment="1" applyProtection="1">
      <alignment horizontal="left" wrapText="1"/>
    </xf>
    <xf numFmtId="0" fontId="37" fillId="8" borderId="0" xfId="6" applyNumberFormat="1" applyFont="1" applyBorder="1" applyAlignment="1">
      <alignment wrapText="1"/>
    </xf>
    <xf numFmtId="0" fontId="39" fillId="8" borderId="0" xfId="6" applyNumberFormat="1" applyFont="1" applyBorder="1" applyAlignment="1">
      <alignment wrapText="1"/>
    </xf>
    <xf numFmtId="0" fontId="0" fillId="8" borderId="0" xfId="6" applyFont="1" applyAlignment="1">
      <alignment horizontal="center" vertical="center"/>
    </xf>
    <xf numFmtId="0" fontId="0" fillId="8" borderId="0" xfId="6" applyFont="1" applyAlignment="1">
      <alignment horizontal="left" vertical="center"/>
    </xf>
    <xf numFmtId="14" fontId="25" fillId="8" borderId="0" xfId="6" applyNumberFormat="1" applyFont="1" applyBorder="1"/>
    <xf numFmtId="0" fontId="25" fillId="8" borderId="0" xfId="6" applyNumberFormat="1" applyFont="1" applyBorder="1"/>
    <xf numFmtId="1" fontId="103" fillId="19" borderId="46" xfId="15" applyNumberFormat="1" applyFont="1" applyFill="1" applyBorder="1" applyAlignment="1">
      <alignment horizontal="center" vertical="center" wrapText="1"/>
    </xf>
    <xf numFmtId="1" fontId="0" fillId="19" borderId="46" xfId="15" applyNumberFormat="1" applyFont="1" applyFill="1" applyBorder="1" applyAlignment="1">
      <alignment horizontal="center" vertical="center" wrapText="1"/>
    </xf>
    <xf numFmtId="0" fontId="26" fillId="3" borderId="47" xfId="7" applyFill="1" applyBorder="1" applyAlignment="1">
      <alignment horizontal="left" vertical="top" wrapText="1"/>
    </xf>
    <xf numFmtId="49" fontId="34" fillId="3" borderId="46" xfId="6" applyNumberFormat="1" applyFont="1" applyFill="1" applyBorder="1" applyAlignment="1">
      <alignment horizontal="left" vertical="top"/>
    </xf>
    <xf numFmtId="0" fontId="37" fillId="3" borderId="48" xfId="6" applyNumberFormat="1" applyFont="1" applyFill="1" applyBorder="1" applyAlignment="1">
      <alignment wrapText="1"/>
    </xf>
    <xf numFmtId="0" fontId="34" fillId="3" borderId="49" xfId="6" applyFont="1" applyFill="1" applyBorder="1" applyAlignment="1">
      <alignment horizontal="center" vertical="top"/>
    </xf>
    <xf numFmtId="0" fontId="41" fillId="3" borderId="48" xfId="7" applyFont="1" applyFill="1" applyBorder="1" applyAlignment="1">
      <alignment horizontal="left" vertical="top" wrapText="1"/>
    </xf>
    <xf numFmtId="0" fontId="26" fillId="3" borderId="48" xfId="7" applyFill="1" applyBorder="1" applyAlignment="1">
      <alignment horizontal="left" vertical="top" wrapText="1"/>
    </xf>
    <xf numFmtId="3" fontId="26" fillId="3" borderId="48" xfId="7" applyNumberFormat="1" applyFill="1" applyBorder="1" applyAlignment="1">
      <alignment horizontal="left" vertical="top" wrapText="1"/>
    </xf>
    <xf numFmtId="0" fontId="82" fillId="3" borderId="48" xfId="16" applyNumberFormat="1" applyFill="1" applyBorder="1" applyAlignment="1" applyProtection="1">
      <alignment horizontal="left" vertical="top" wrapText="1"/>
    </xf>
    <xf numFmtId="2" fontId="70" fillId="20" borderId="0" xfId="0" applyNumberFormat="1" applyFont="1" applyFill="1" applyAlignment="1">
      <alignment vertical="center"/>
    </xf>
    <xf numFmtId="2" fontId="2" fillId="5" borderId="0" xfId="0" applyNumberFormat="1" applyFont="1" applyFill="1"/>
    <xf numFmtId="2" fontId="0" fillId="5" borderId="0" xfId="0" applyNumberFormat="1" applyFill="1" applyAlignment="1">
      <alignment horizontal="right"/>
    </xf>
    <xf numFmtId="4" fontId="2" fillId="3" borderId="0" xfId="0" applyNumberFormat="1" applyFont="1" applyFill="1"/>
    <xf numFmtId="0" fontId="4" fillId="3" borderId="0" xfId="0" applyFont="1" applyFill="1"/>
    <xf numFmtId="2" fontId="0" fillId="5" borderId="3" xfId="0" applyNumberFormat="1" applyFill="1" applyBorder="1" applyAlignment="1">
      <alignment horizontal="right"/>
    </xf>
    <xf numFmtId="9" fontId="0" fillId="3" borderId="0" xfId="1" applyFont="1" applyFill="1"/>
    <xf numFmtId="4" fontId="0" fillId="3" borderId="0" xfId="0" applyNumberFormat="1" applyFill="1"/>
    <xf numFmtId="2" fontId="0" fillId="5" borderId="0" xfId="0" quotePrefix="1" applyNumberFormat="1" applyFill="1" applyAlignment="1">
      <alignment horizontal="right"/>
    </xf>
    <xf numFmtId="0" fontId="0" fillId="3" borderId="0" xfId="0" applyFill="1" applyAlignment="1">
      <alignment horizontal="right"/>
    </xf>
    <xf numFmtId="0" fontId="0" fillId="3" borderId="3" xfId="0" applyFill="1" applyBorder="1" applyAlignment="1">
      <alignment horizontal="right"/>
    </xf>
    <xf numFmtId="4" fontId="0" fillId="5" borderId="3" xfId="0" applyNumberFormat="1" applyFill="1" applyBorder="1" applyAlignment="1">
      <alignment horizontal="right"/>
    </xf>
    <xf numFmtId="0" fontId="2" fillId="20" borderId="0" xfId="0" applyFont="1" applyFill="1"/>
    <xf numFmtId="0" fontId="0" fillId="20" borderId="0" xfId="0" applyFill="1"/>
    <xf numFmtId="38" fontId="2" fillId="3" borderId="0" xfId="0" applyNumberFormat="1" applyFont="1" applyFill="1" applyAlignment="1">
      <alignment horizontal="right"/>
    </xf>
    <xf numFmtId="2" fontId="7" fillId="5" borderId="0" xfId="0" applyNumberFormat="1" applyFont="1" applyFill="1" applyAlignment="1">
      <alignment horizontal="left"/>
    </xf>
    <xf numFmtId="2" fontId="7" fillId="5" borderId="0" xfId="0" applyNumberFormat="1" applyFont="1" applyFill="1" applyAlignment="1">
      <alignment horizontal="right"/>
    </xf>
    <xf numFmtId="2" fontId="5" fillId="5" borderId="0" xfId="0" applyNumberFormat="1" applyFont="1" applyFill="1" applyAlignment="1">
      <alignment horizontal="left"/>
    </xf>
    <xf numFmtId="2" fontId="2" fillId="5" borderId="0" xfId="0" applyNumberFormat="1" applyFont="1" applyFill="1" applyAlignment="1">
      <alignment horizontal="right"/>
    </xf>
    <xf numFmtId="4" fontId="0" fillId="3" borderId="0" xfId="0" quotePrefix="1" applyNumberFormat="1" applyFill="1" applyAlignment="1">
      <alignment horizontal="right"/>
    </xf>
    <xf numFmtId="169" fontId="2" fillId="3" borderId="0" xfId="0" applyNumberFormat="1" applyFont="1" applyFill="1"/>
    <xf numFmtId="4" fontId="0" fillId="3" borderId="0" xfId="0" applyNumberFormat="1" applyFill="1" applyAlignment="1">
      <alignment horizontal="right"/>
    </xf>
    <xf numFmtId="2" fontId="5" fillId="5" borderId="0" xfId="0" applyNumberFormat="1" applyFont="1" applyFill="1"/>
    <xf numFmtId="178" fontId="5" fillId="5" borderId="0" xfId="0" applyNumberFormat="1" applyFont="1" applyFill="1"/>
    <xf numFmtId="2" fontId="0" fillId="5" borderId="0" xfId="0" applyNumberFormat="1" applyFill="1"/>
    <xf numFmtId="0" fontId="0" fillId="5" borderId="3" xfId="0" applyFill="1" applyBorder="1"/>
    <xf numFmtId="178" fontId="0" fillId="3" borderId="3" xfId="0" quotePrefix="1" applyNumberFormat="1" applyFill="1" applyBorder="1" applyAlignment="1">
      <alignment horizontal="right"/>
    </xf>
    <xf numFmtId="2" fontId="0" fillId="3" borderId="3" xfId="0" applyNumberFormat="1" applyFill="1" applyBorder="1"/>
    <xf numFmtId="178" fontId="0" fillId="3" borderId="3" xfId="1" quotePrefix="1" applyNumberFormat="1" applyFont="1" applyFill="1" applyBorder="1" applyAlignment="1">
      <alignment horizontal="right"/>
    </xf>
    <xf numFmtId="0" fontId="0" fillId="3" borderId="11" xfId="0" applyFill="1" applyBorder="1"/>
    <xf numFmtId="178" fontId="0" fillId="3" borderId="11" xfId="0" quotePrefix="1" applyNumberFormat="1" applyFill="1" applyBorder="1" applyAlignment="1">
      <alignment horizontal="right"/>
    </xf>
    <xf numFmtId="169" fontId="0" fillId="3" borderId="0" xfId="0" quotePrefix="1" applyNumberFormat="1" applyFill="1" applyAlignment="1">
      <alignment horizontal="right"/>
    </xf>
    <xf numFmtId="4" fontId="0" fillId="5" borderId="0" xfId="0" applyNumberFormat="1" applyFill="1"/>
    <xf numFmtId="9" fontId="2" fillId="3" borderId="0" xfId="1" applyFont="1" applyFill="1"/>
    <xf numFmtId="2" fontId="2" fillId="12" borderId="0" xfId="0" applyNumberFormat="1" applyFont="1" applyFill="1"/>
    <xf numFmtId="165" fontId="2" fillId="12" borderId="0" xfId="0" applyNumberFormat="1" applyFont="1" applyFill="1"/>
    <xf numFmtId="2" fontId="2" fillId="3" borderId="3" xfId="0" applyNumberFormat="1" applyFont="1" applyFill="1" applyBorder="1"/>
    <xf numFmtId="166" fontId="2" fillId="3" borderId="3" xfId="1" applyNumberFormat="1" applyFont="1" applyFill="1" applyBorder="1"/>
    <xf numFmtId="4" fontId="2" fillId="3" borderId="3" xfId="0" applyNumberFormat="1" applyFont="1" applyFill="1" applyBorder="1"/>
    <xf numFmtId="10" fontId="2" fillId="3" borderId="0" xfId="1" applyNumberFormat="1" applyFont="1" applyFill="1"/>
    <xf numFmtId="165" fontId="0" fillId="3" borderId="0" xfId="1" applyNumberFormat="1" applyFont="1" applyFill="1"/>
    <xf numFmtId="2" fontId="2" fillId="12" borderId="3" xfId="0" applyNumberFormat="1" applyFont="1" applyFill="1" applyBorder="1"/>
    <xf numFmtId="165" fontId="2" fillId="12" borderId="3" xfId="0" applyNumberFormat="1" applyFont="1" applyFill="1" applyBorder="1"/>
    <xf numFmtId="169" fontId="0" fillId="5" borderId="0" xfId="0" applyNumberFormat="1" applyFill="1"/>
    <xf numFmtId="0" fontId="4" fillId="0" borderId="0" xfId="0" applyFont="1"/>
    <xf numFmtId="165" fontId="0" fillId="3" borderId="3" xfId="1" applyNumberFormat="1" applyFont="1" applyFill="1" applyBorder="1"/>
    <xf numFmtId="165" fontId="2" fillId="12" borderId="3" xfId="1" applyNumberFormat="1" applyFont="1" applyFill="1" applyBorder="1"/>
    <xf numFmtId="2" fontId="0" fillId="3" borderId="3" xfId="1" quotePrefix="1" applyNumberFormat="1" applyFont="1" applyFill="1" applyBorder="1" applyAlignment="1">
      <alignment horizontal="right"/>
    </xf>
    <xf numFmtId="2" fontId="0" fillId="3" borderId="11" xfId="0" quotePrefix="1" applyNumberFormat="1" applyFill="1" applyBorder="1" applyAlignment="1">
      <alignment horizontal="right"/>
    </xf>
    <xf numFmtId="2" fontId="5" fillId="5" borderId="0" xfId="0" applyNumberFormat="1" applyFont="1" applyFill="1" applyAlignment="1">
      <alignment horizontal="right"/>
    </xf>
    <xf numFmtId="2" fontId="106" fillId="5" borderId="0" xfId="0" applyNumberFormat="1" applyFont="1" applyFill="1" applyAlignment="1">
      <alignment horizontal="right"/>
    </xf>
    <xf numFmtId="4" fontId="2" fillId="3" borderId="0" xfId="0" applyNumberFormat="1" applyFont="1" applyFill="1" applyAlignment="1">
      <alignment horizontal="right"/>
    </xf>
    <xf numFmtId="0" fontId="2" fillId="3" borderId="0" xfId="0" applyFont="1" applyFill="1" applyAlignment="1">
      <alignment horizontal="right"/>
    </xf>
    <xf numFmtId="38" fontId="0" fillId="3" borderId="0" xfId="0" applyNumberFormat="1" applyFill="1" applyAlignment="1">
      <alignment horizontal="right"/>
    </xf>
    <xf numFmtId="40" fontId="2" fillId="3" borderId="0" xfId="0" applyNumberFormat="1" applyFont="1" applyFill="1" applyAlignment="1">
      <alignment horizontal="right"/>
    </xf>
    <xf numFmtId="2" fontId="79" fillId="3" borderId="33" xfId="0" applyNumberFormat="1" applyFont="1" applyFill="1" applyBorder="1" applyAlignment="1">
      <alignment horizontal="left" vertical="center"/>
    </xf>
    <xf numFmtId="2" fontId="73" fillId="3" borderId="33" xfId="0" applyNumberFormat="1" applyFont="1" applyFill="1" applyBorder="1" applyAlignment="1">
      <alignment horizontal="right" vertical="center"/>
    </xf>
    <xf numFmtId="2" fontId="79" fillId="3" borderId="33" xfId="0" applyNumberFormat="1" applyFont="1" applyFill="1" applyBorder="1" applyAlignment="1">
      <alignment horizontal="right" vertical="center"/>
    </xf>
    <xf numFmtId="2" fontId="2" fillId="3" borderId="0" xfId="0" applyNumberFormat="1" applyFont="1" applyFill="1" applyAlignment="1">
      <alignment horizontal="right"/>
    </xf>
    <xf numFmtId="2" fontId="79" fillId="3" borderId="0" xfId="0" applyNumberFormat="1" applyFont="1" applyFill="1" applyAlignment="1">
      <alignment horizontal="left" vertical="center"/>
    </xf>
    <xf numFmtId="9" fontId="2" fillId="3" borderId="0" xfId="1" applyFont="1" applyFill="1" applyAlignment="1">
      <alignment horizontal="right"/>
    </xf>
    <xf numFmtId="0" fontId="107" fillId="3" borderId="0" xfId="0" applyFont="1" applyFill="1"/>
    <xf numFmtId="10" fontId="107" fillId="3" borderId="0" xfId="0" applyNumberFormat="1" applyFont="1" applyFill="1"/>
    <xf numFmtId="0" fontId="107" fillId="3" borderId="0" xfId="0" quotePrefix="1" applyFont="1" applyFill="1"/>
    <xf numFmtId="14" fontId="67" fillId="5" borderId="0" xfId="0" applyNumberFormat="1" applyFont="1" applyFill="1" applyAlignment="1">
      <alignment vertical="center"/>
    </xf>
    <xf numFmtId="0" fontId="67" fillId="5" borderId="0" xfId="0" applyFont="1" applyFill="1" applyAlignment="1">
      <alignment vertical="center"/>
    </xf>
    <xf numFmtId="14" fontId="108" fillId="5" borderId="0" xfId="0" applyNumberFormat="1" applyFont="1" applyFill="1" applyAlignment="1">
      <alignment vertical="center"/>
    </xf>
    <xf numFmtId="0" fontId="108" fillId="5" borderId="0" xfId="0" applyFont="1" applyFill="1" applyAlignment="1">
      <alignment vertical="center"/>
    </xf>
    <xf numFmtId="0" fontId="34" fillId="8" borderId="0" xfId="6" applyFont="1" applyAlignment="1">
      <alignment horizontal="left"/>
    </xf>
    <xf numFmtId="0" fontId="26" fillId="8" borderId="0" xfId="6" applyFont="1" applyAlignment="1">
      <alignment horizontal="left"/>
    </xf>
    <xf numFmtId="0" fontId="34" fillId="8" borderId="0" xfId="6" applyFont="1"/>
    <xf numFmtId="37" fontId="26" fillId="8" borderId="0" xfId="6" applyNumberFormat="1" applyFont="1" applyAlignment="1">
      <alignment horizontal="left"/>
    </xf>
    <xf numFmtId="0" fontId="34" fillId="3" borderId="50" xfId="6" applyFont="1" applyFill="1" applyBorder="1"/>
    <xf numFmtId="165" fontId="34" fillId="3" borderId="51" xfId="6" applyNumberFormat="1" applyFont="1" applyFill="1" applyBorder="1" applyAlignment="1">
      <alignment horizontal="left"/>
    </xf>
    <xf numFmtId="37" fontId="26" fillId="3" borderId="51" xfId="6" applyNumberFormat="1" applyFont="1" applyFill="1" applyBorder="1" applyAlignment="1">
      <alignment horizontal="left"/>
    </xf>
    <xf numFmtId="0" fontId="26" fillId="3" borderId="51" xfId="6" applyFont="1" applyFill="1" applyBorder="1" applyAlignment="1">
      <alignment horizontal="left"/>
    </xf>
    <xf numFmtId="0" fontId="41" fillId="3" borderId="52" xfId="6" applyFont="1" applyFill="1" applyBorder="1" applyAlignment="1">
      <alignment horizontal="left"/>
    </xf>
    <xf numFmtId="0" fontId="41" fillId="8" borderId="0" xfId="6" applyFont="1" applyAlignment="1">
      <alignment horizontal="left"/>
    </xf>
    <xf numFmtId="0" fontId="34" fillId="3" borderId="53" xfId="6" applyFont="1" applyFill="1" applyBorder="1"/>
    <xf numFmtId="165" fontId="35" fillId="3" borderId="0" xfId="17" applyNumberFormat="1" applyFont="1" applyFill="1" applyBorder="1" applyAlignment="1">
      <alignment horizontal="left"/>
    </xf>
    <xf numFmtId="37" fontId="35" fillId="3" borderId="0" xfId="17" applyNumberFormat="1" applyFont="1" applyFill="1" applyBorder="1" applyAlignment="1">
      <alignment horizontal="left"/>
    </xf>
    <xf numFmtId="0" fontId="35" fillId="3" borderId="0" xfId="17" applyFont="1" applyFill="1" applyBorder="1" applyAlignment="1">
      <alignment horizontal="left"/>
    </xf>
    <xf numFmtId="0" fontId="35" fillId="3" borderId="0" xfId="18" applyFont="1" applyFill="1" applyAlignment="1">
      <alignment horizontal="left"/>
    </xf>
    <xf numFmtId="0" fontId="34" fillId="3" borderId="54" xfId="6" applyFont="1" applyFill="1" applyBorder="1" applyAlignment="1">
      <alignment horizontal="left"/>
    </xf>
    <xf numFmtId="0" fontId="46" fillId="3" borderId="0" xfId="18" applyFont="1" applyFill="1" applyAlignment="1">
      <alignment horizontal="left"/>
    </xf>
    <xf numFmtId="0" fontId="41" fillId="3" borderId="0" xfId="18" applyFont="1" applyFill="1" applyAlignment="1">
      <alignment horizontal="left"/>
    </xf>
    <xf numFmtId="0" fontId="44" fillId="3" borderId="0" xfId="17" applyFill="1" applyBorder="1" applyAlignment="1">
      <alignment horizontal="left"/>
    </xf>
    <xf numFmtId="0" fontId="54" fillId="3" borderId="0" xfId="18" applyFont="1" applyFill="1" applyAlignment="1">
      <alignment horizontal="left"/>
    </xf>
    <xf numFmtId="0" fontId="35" fillId="3" borderId="0" xfId="6" applyFont="1" applyFill="1" applyAlignment="1">
      <alignment horizontal="left"/>
    </xf>
    <xf numFmtId="0" fontId="34" fillId="3" borderId="0" xfId="6" applyFont="1" applyFill="1" applyAlignment="1">
      <alignment horizontal="left"/>
    </xf>
    <xf numFmtId="0" fontId="41" fillId="3" borderId="54" xfId="6" applyFont="1" applyFill="1" applyBorder="1" applyAlignment="1">
      <alignment horizontal="left"/>
    </xf>
    <xf numFmtId="0" fontId="34" fillId="3" borderId="0" xfId="18" applyFill="1"/>
    <xf numFmtId="0" fontId="26" fillId="3" borderId="0" xfId="18" applyFont="1" applyFill="1" applyAlignment="1">
      <alignment horizontal="left"/>
    </xf>
    <xf numFmtId="0" fontId="34" fillId="3" borderId="0" xfId="18" applyFill="1" applyAlignment="1">
      <alignment horizontal="left"/>
    </xf>
    <xf numFmtId="0" fontId="34" fillId="3" borderId="53" xfId="6" applyFont="1" applyFill="1" applyBorder="1" applyAlignment="1">
      <alignment horizontal="left"/>
    </xf>
    <xf numFmtId="0" fontId="26" fillId="3" borderId="0" xfId="6" applyFont="1" applyFill="1" applyAlignment="1">
      <alignment horizontal="left"/>
    </xf>
    <xf numFmtId="3" fontId="35" fillId="3" borderId="0" xfId="17" applyNumberFormat="1" applyFont="1" applyFill="1" applyBorder="1" applyAlignment="1">
      <alignment horizontal="left"/>
    </xf>
    <xf numFmtId="49" fontId="35" fillId="3" borderId="0" xfId="17" applyNumberFormat="1" applyFont="1" applyFill="1" applyBorder="1" applyAlignment="1">
      <alignment horizontal="left"/>
    </xf>
    <xf numFmtId="0" fontId="35" fillId="3" borderId="0" xfId="18" applyFont="1" applyFill="1"/>
    <xf numFmtId="0" fontId="35" fillId="3" borderId="0" xfId="17" applyFont="1" applyFill="1" applyBorder="1" applyAlignment="1"/>
    <xf numFmtId="0" fontId="34" fillId="8" borderId="0" xfId="6" applyFont="1" applyBorder="1" applyAlignment="1">
      <alignment horizontal="left"/>
    </xf>
    <xf numFmtId="49" fontId="26" fillId="3" borderId="0" xfId="18" applyNumberFormat="1" applyFont="1" applyFill="1" applyAlignment="1">
      <alignment horizontal="left"/>
    </xf>
    <xf numFmtId="0" fontId="34" fillId="3" borderId="0" xfId="6" applyFont="1" applyFill="1" applyBorder="1" applyAlignment="1">
      <alignment horizontal="left"/>
    </xf>
    <xf numFmtId="0" fontId="41" fillId="0" borderId="0" xfId="18" applyFont="1" applyAlignment="1">
      <alignment horizontal="left"/>
    </xf>
    <xf numFmtId="0" fontId="26" fillId="3" borderId="0" xfId="18" quotePrefix="1" applyFont="1" applyFill="1" applyAlignment="1">
      <alignment horizontal="left"/>
    </xf>
    <xf numFmtId="49" fontId="62" fillId="3" borderId="0" xfId="18" applyNumberFormat="1" applyFont="1" applyFill="1" applyAlignment="1">
      <alignment horizontal="left"/>
    </xf>
    <xf numFmtId="0" fontId="109" fillId="3" borderId="0" xfId="18" applyFont="1" applyFill="1" applyAlignment="1">
      <alignment horizontal="left"/>
    </xf>
    <xf numFmtId="0" fontId="111" fillId="0" borderId="0" xfId="19" applyFont="1" applyFill="1" applyBorder="1" applyAlignment="1">
      <alignment horizontal="left"/>
    </xf>
    <xf numFmtId="0" fontId="34" fillId="3" borderId="55" xfId="6" applyFont="1" applyFill="1" applyBorder="1" applyAlignment="1">
      <alignment horizontal="left"/>
    </xf>
    <xf numFmtId="0" fontId="26" fillId="3" borderId="56" xfId="18" applyFont="1" applyFill="1" applyBorder="1" applyAlignment="1">
      <alignment horizontal="left"/>
    </xf>
    <xf numFmtId="0" fontId="34" fillId="3" borderId="56" xfId="18" applyFill="1" applyBorder="1" applyAlignment="1">
      <alignment horizontal="left"/>
    </xf>
    <xf numFmtId="49" fontId="112" fillId="3" borderId="56" xfId="18" applyNumberFormat="1" applyFont="1" applyFill="1" applyBorder="1" applyAlignment="1">
      <alignment horizontal="left"/>
    </xf>
    <xf numFmtId="0" fontId="34" fillId="3" borderId="56" xfId="6" applyFont="1" applyFill="1" applyBorder="1" applyAlignment="1">
      <alignment horizontal="left"/>
    </xf>
    <xf numFmtId="0" fontId="34" fillId="3" borderId="57" xfId="6" applyFont="1" applyFill="1" applyBorder="1" applyAlignment="1">
      <alignment horizontal="left"/>
    </xf>
    <xf numFmtId="49" fontId="112" fillId="8" borderId="0" xfId="6" applyNumberFormat="1" applyFont="1" applyBorder="1" applyAlignment="1">
      <alignment horizontal="left"/>
    </xf>
    <xf numFmtId="0" fontId="32" fillId="10" borderId="22" xfId="20">
      <alignment horizontal="left" vertical="center"/>
    </xf>
    <xf numFmtId="0" fontId="35" fillId="10" borderId="22" xfId="18" applyFont="1" applyFill="1" applyBorder="1" applyAlignment="1">
      <alignment horizontal="right" vertical="center"/>
    </xf>
    <xf numFmtId="0" fontId="24" fillId="10" borderId="22" xfId="18" applyFont="1" applyFill="1" applyBorder="1" applyAlignment="1">
      <alignment vertical="center"/>
    </xf>
    <xf numFmtId="0" fontId="33" fillId="10" borderId="22" xfId="20" applyFont="1">
      <alignment horizontal="left" vertical="center"/>
    </xf>
    <xf numFmtId="0" fontId="27" fillId="9" borderId="21" xfId="8">
      <alignment horizontal="right" vertical="center" indent="1"/>
    </xf>
    <xf numFmtId="179" fontId="27" fillId="9" borderId="21" xfId="8" applyNumberFormat="1">
      <alignment horizontal="right" vertical="center" indent="1"/>
    </xf>
    <xf numFmtId="179" fontId="30" fillId="9" borderId="21" xfId="8" applyNumberFormat="1" applyFont="1">
      <alignment horizontal="right" vertical="center" indent="1"/>
    </xf>
    <xf numFmtId="0" fontId="31" fillId="9" borderId="0" xfId="18" applyFont="1" applyFill="1" applyAlignment="1">
      <alignment horizontal="right" vertical="center"/>
    </xf>
    <xf numFmtId="0" fontId="34" fillId="3" borderId="0" xfId="17" applyFont="1" applyFill="1" applyBorder="1" applyAlignment="1">
      <alignment horizontal="left"/>
    </xf>
    <xf numFmtId="165" fontId="34" fillId="3" borderId="0" xfId="17" applyNumberFormat="1" applyFont="1" applyFill="1" applyBorder="1" applyAlignment="1">
      <alignment horizontal="left"/>
    </xf>
    <xf numFmtId="0" fontId="99" fillId="3" borderId="0" xfId="18" applyFont="1" applyFill="1" applyAlignment="1">
      <alignment horizontal="left"/>
    </xf>
    <xf numFmtId="0" fontId="118" fillId="3" borderId="0" xfId="18" applyFont="1" applyFill="1" applyAlignment="1">
      <alignment horizontal="center"/>
    </xf>
    <xf numFmtId="37" fontId="34" fillId="3" borderId="0" xfId="17" applyNumberFormat="1" applyFont="1" applyFill="1" applyBorder="1" applyAlignment="1">
      <alignment horizontal="center"/>
    </xf>
    <xf numFmtId="165" fontId="34" fillId="3" borderId="0" xfId="1" applyNumberFormat="1" applyFont="1" applyFill="1" applyAlignment="1">
      <alignment horizontal="center"/>
    </xf>
    <xf numFmtId="165" fontId="34" fillId="3" borderId="0" xfId="17" applyNumberFormat="1" applyFont="1" applyFill="1" applyBorder="1" applyAlignment="1">
      <alignment horizontal="center"/>
    </xf>
    <xf numFmtId="165" fontId="119" fillId="3" borderId="0" xfId="17" applyNumberFormat="1" applyFont="1" applyFill="1" applyBorder="1" applyAlignment="1">
      <alignment horizontal="center"/>
    </xf>
    <xf numFmtId="165" fontId="99" fillId="3" borderId="0" xfId="17" applyNumberFormat="1" applyFont="1" applyFill="1" applyBorder="1" applyAlignment="1">
      <alignment horizontal="center"/>
    </xf>
    <xf numFmtId="0" fontId="27" fillId="9" borderId="0" xfId="8" applyBorder="1">
      <alignment horizontal="right" vertical="center" indent="1"/>
    </xf>
    <xf numFmtId="169" fontId="122" fillId="3" borderId="0" xfId="21" applyNumberFormat="1" applyFont="1" applyFill="1" applyAlignment="1">
      <alignment horizontal="left"/>
    </xf>
    <xf numFmtId="166" fontId="124" fillId="3" borderId="0" xfId="22" applyNumberFormat="1" applyFont="1" applyFill="1"/>
    <xf numFmtId="0" fontId="32" fillId="10" borderId="22" xfId="18" applyFont="1" applyFill="1" applyBorder="1" applyAlignment="1">
      <alignment horizontal="left" vertical="center" indent="1"/>
    </xf>
    <xf numFmtId="0" fontId="33" fillId="10" borderId="22" xfId="18" applyFont="1" applyFill="1" applyBorder="1" applyAlignment="1">
      <alignment horizontal="left" vertical="center"/>
    </xf>
    <xf numFmtId="0" fontId="120" fillId="3" borderId="0" xfId="18" applyFont="1" applyFill="1"/>
    <xf numFmtId="0" fontId="121" fillId="3" borderId="0" xfId="18" applyFont="1" applyFill="1" applyAlignment="1">
      <alignment horizontal="left"/>
    </xf>
    <xf numFmtId="0" fontId="30" fillId="3" borderId="0" xfId="18" applyFont="1" applyFill="1"/>
    <xf numFmtId="0" fontId="30" fillId="5" borderId="0" xfId="18" applyFont="1" applyFill="1"/>
    <xf numFmtId="0" fontId="125" fillId="3" borderId="0" xfId="18" applyFont="1" applyFill="1" applyAlignment="1">
      <alignment horizontal="right"/>
    </xf>
    <xf numFmtId="0" fontId="126" fillId="3" borderId="0" xfId="18" applyFont="1" applyFill="1" applyAlignment="1">
      <alignment horizontal="right"/>
    </xf>
    <xf numFmtId="0" fontId="125" fillId="3" borderId="3" xfId="18" applyFont="1" applyFill="1" applyBorder="1" applyAlignment="1">
      <alignment horizontal="left"/>
    </xf>
    <xf numFmtId="0" fontId="34" fillId="3" borderId="3" xfId="18" applyFill="1" applyBorder="1" applyAlignment="1">
      <alignment horizontal="left"/>
    </xf>
    <xf numFmtId="0" fontId="125" fillId="3" borderId="0" xfId="21" applyFont="1" applyFill="1"/>
    <xf numFmtId="3" fontId="128" fillId="3" borderId="0" xfId="18" applyNumberFormat="1" applyFont="1" applyFill="1" applyAlignment="1">
      <alignment horizontal="right"/>
    </xf>
    <xf numFmtId="3" fontId="35" fillId="3" borderId="0" xfId="18" applyNumberFormat="1" applyFont="1" applyFill="1" applyAlignment="1">
      <alignment horizontal="right"/>
    </xf>
    <xf numFmtId="0" fontId="125" fillId="3" borderId="0" xfId="18" applyFont="1" applyFill="1"/>
    <xf numFmtId="2" fontId="129" fillId="3" borderId="0" xfId="18" applyNumberFormat="1" applyFont="1" applyFill="1" applyAlignment="1">
      <alignment horizontal="right"/>
    </xf>
    <xf numFmtId="0" fontId="34" fillId="3" borderId="3" xfId="18" applyFill="1" applyBorder="1" applyAlignment="1">
      <alignment horizontal="right"/>
    </xf>
    <xf numFmtId="2" fontId="128" fillId="3" borderId="0" xfId="18" applyNumberFormat="1" applyFont="1" applyFill="1" applyAlignment="1">
      <alignment horizontal="right"/>
    </xf>
    <xf numFmtId="0" fontId="35" fillId="3" borderId="0" xfId="18" applyFont="1" applyFill="1" applyAlignment="1">
      <alignment horizontal="right"/>
    </xf>
    <xf numFmtId="0" fontId="125" fillId="3" borderId="0" xfId="21" applyFont="1" applyFill="1" applyAlignment="1">
      <alignment horizontal="left"/>
    </xf>
    <xf numFmtId="0" fontId="129" fillId="3" borderId="0" xfId="18" applyFont="1" applyFill="1" applyAlignment="1">
      <alignment horizontal="right"/>
    </xf>
    <xf numFmtId="165" fontId="105" fillId="3" borderId="0" xfId="18" applyNumberFormat="1" applyFont="1" applyFill="1" applyAlignment="1">
      <alignment horizontal="right"/>
    </xf>
    <xf numFmtId="10" fontId="128" fillId="3" borderId="0" xfId="18" applyNumberFormat="1" applyFont="1" applyFill="1" applyAlignment="1">
      <alignment horizontal="right"/>
    </xf>
    <xf numFmtId="180" fontId="128" fillId="3" borderId="0" xfId="18" applyNumberFormat="1" applyFont="1" applyFill="1" applyAlignment="1">
      <alignment horizontal="right"/>
    </xf>
    <xf numFmtId="0" fontId="34" fillId="3" borderId="3" xfId="18" quotePrefix="1" applyFill="1" applyBorder="1" applyAlignment="1">
      <alignment horizontal="right"/>
    </xf>
    <xf numFmtId="165" fontId="129" fillId="3" borderId="0" xfId="1" applyNumberFormat="1" applyFont="1" applyFill="1" applyAlignment="1">
      <alignment horizontal="right"/>
    </xf>
    <xf numFmtId="10" fontId="129" fillId="3" borderId="0" xfId="1" applyNumberFormat="1" applyFont="1" applyFill="1" applyAlignment="1">
      <alignment horizontal="right"/>
    </xf>
    <xf numFmtId="165" fontId="34" fillId="3" borderId="0" xfId="18" applyNumberFormat="1" applyFill="1"/>
    <xf numFmtId="0" fontId="125" fillId="3" borderId="0" xfId="21" applyFont="1" applyFill="1" applyAlignment="1">
      <alignment horizontal="right"/>
    </xf>
    <xf numFmtId="0" fontId="34" fillId="3" borderId="0" xfId="18" applyFill="1" applyAlignment="1">
      <alignment horizontal="right"/>
    </xf>
    <xf numFmtId="178" fontId="34" fillId="3" borderId="0" xfId="18" applyNumberFormat="1" applyFill="1"/>
    <xf numFmtId="181" fontId="67" fillId="3" borderId="33" xfId="0" applyNumberFormat="1" applyFont="1" applyFill="1" applyBorder="1" applyAlignment="1">
      <alignment vertical="center"/>
    </xf>
    <xf numFmtId="9" fontId="0" fillId="5" borderId="0" xfId="1" applyFont="1" applyFill="1"/>
    <xf numFmtId="10" fontId="2" fillId="5" borderId="0" xfId="1" applyNumberFormat="1" applyFont="1" applyFill="1"/>
    <xf numFmtId="14" fontId="0" fillId="5" borderId="0" xfId="0" applyNumberFormat="1" applyFill="1"/>
    <xf numFmtId="14" fontId="0" fillId="5" borderId="0" xfId="1" applyNumberFormat="1" applyFont="1" applyFill="1"/>
    <xf numFmtId="1" fontId="2" fillId="3" borderId="0" xfId="0" applyNumberFormat="1" applyFont="1" applyFill="1"/>
    <xf numFmtId="14" fontId="2" fillId="5" borderId="0" xfId="1" applyNumberFormat="1" applyFont="1" applyFill="1"/>
    <xf numFmtId="1" fontId="2" fillId="5" borderId="0" xfId="0" applyNumberFormat="1" applyFont="1" applyFill="1"/>
    <xf numFmtId="4" fontId="2" fillId="5" borderId="0" xfId="0" applyNumberFormat="1" applyFont="1" applyFill="1"/>
    <xf numFmtId="10" fontId="0" fillId="5" borderId="0" xfId="1" applyNumberFormat="1" applyFont="1" applyFill="1"/>
    <xf numFmtId="4" fontId="0" fillId="4" borderId="0" xfId="0" applyNumberFormat="1" applyFill="1"/>
    <xf numFmtId="10" fontId="2" fillId="4" borderId="0" xfId="1" applyNumberFormat="1" applyFont="1" applyFill="1"/>
    <xf numFmtId="165" fontId="2" fillId="3" borderId="0" xfId="1" applyNumberFormat="1" applyFont="1" applyFill="1"/>
    <xf numFmtId="165" fontId="2" fillId="3" borderId="0" xfId="0" applyNumberFormat="1" applyFont="1" applyFill="1"/>
    <xf numFmtId="181" fontId="0" fillId="5" borderId="0" xfId="0" applyNumberFormat="1" applyFill="1"/>
    <xf numFmtId="181" fontId="0" fillId="4" borderId="0" xfId="0" applyNumberFormat="1" applyFill="1"/>
    <xf numFmtId="165" fontId="0" fillId="3" borderId="0" xfId="0" applyNumberFormat="1" applyFill="1"/>
    <xf numFmtId="2" fontId="126" fillId="3" borderId="0" xfId="18" applyNumberFormat="1" applyFont="1" applyFill="1" applyAlignment="1">
      <alignment horizontal="right"/>
    </xf>
    <xf numFmtId="169" fontId="128" fillId="3" borderId="0" xfId="18" applyNumberFormat="1" applyFont="1" applyFill="1" applyAlignment="1">
      <alignment horizontal="right"/>
    </xf>
    <xf numFmtId="4" fontId="128" fillId="3" borderId="0" xfId="18" applyNumberFormat="1" applyFont="1" applyFill="1" applyAlignment="1">
      <alignment horizontal="right"/>
    </xf>
    <xf numFmtId="0" fontId="113" fillId="3" borderId="58" xfId="0" applyFont="1" applyFill="1" applyBorder="1" applyAlignment="1">
      <alignment horizontal="left" wrapText="1" readingOrder="1"/>
    </xf>
    <xf numFmtId="165" fontId="113" fillId="3" borderId="58" xfId="0" applyNumberFormat="1" applyFont="1" applyFill="1" applyBorder="1" applyAlignment="1">
      <alignment horizontal="right" wrapText="1" readingOrder="1"/>
    </xf>
    <xf numFmtId="165" fontId="114" fillId="3" borderId="58" xfId="0" applyNumberFormat="1" applyFont="1" applyFill="1" applyBorder="1" applyAlignment="1">
      <alignment horizontal="right" wrapText="1" readingOrder="1"/>
    </xf>
    <xf numFmtId="0" fontId="116" fillId="3" borderId="58" xfId="0" applyFont="1" applyFill="1" applyBorder="1" applyAlignment="1">
      <alignment horizontal="left" wrapText="1" readingOrder="1"/>
    </xf>
    <xf numFmtId="165" fontId="116" fillId="3" borderId="58" xfId="0" applyNumberFormat="1" applyFont="1" applyFill="1" applyBorder="1" applyAlignment="1">
      <alignment horizontal="right" wrapText="1" readingOrder="1"/>
    </xf>
    <xf numFmtId="165" fontId="117" fillId="3" borderId="58" xfId="0" applyNumberFormat="1" applyFont="1" applyFill="1" applyBorder="1" applyAlignment="1">
      <alignment horizontal="right" wrapText="1" readingOrder="1"/>
    </xf>
    <xf numFmtId="165" fontId="115" fillId="3" borderId="0" xfId="0" applyNumberFormat="1" applyFont="1" applyFill="1"/>
    <xf numFmtId="0" fontId="115" fillId="3" borderId="0" xfId="0" applyFont="1" applyFill="1"/>
    <xf numFmtId="0" fontId="113" fillId="3" borderId="0" xfId="0" applyFont="1" applyFill="1" applyAlignment="1">
      <alignment horizontal="left" wrapText="1" readingOrder="1"/>
    </xf>
    <xf numFmtId="2" fontId="130" fillId="3" borderId="0" xfId="0" applyNumberFormat="1" applyFont="1" applyFill="1"/>
    <xf numFmtId="2" fontId="130" fillId="3" borderId="0" xfId="0" applyNumberFormat="1" applyFont="1" applyFill="1" applyAlignment="1">
      <alignment horizontal="right"/>
    </xf>
    <xf numFmtId="178" fontId="0" fillId="3" borderId="0" xfId="0" applyNumberFormat="1" applyFill="1"/>
    <xf numFmtId="9" fontId="130" fillId="3" borderId="0" xfId="1" applyFont="1" applyFill="1" applyAlignment="1">
      <alignment horizontal="right"/>
    </xf>
    <xf numFmtId="9" fontId="70" fillId="12" borderId="33" xfId="1" applyFont="1" applyFill="1" applyBorder="1" applyAlignment="1" applyProtection="1">
      <alignment vertical="center"/>
    </xf>
    <xf numFmtId="9" fontId="0" fillId="12" borderId="0" xfId="1" applyFont="1" applyFill="1"/>
    <xf numFmtId="9" fontId="130" fillId="17" borderId="0" xfId="1" applyFont="1" applyFill="1" applyAlignment="1">
      <alignment horizontal="right"/>
    </xf>
    <xf numFmtId="2" fontId="130" fillId="17" borderId="0" xfId="0" applyNumberFormat="1" applyFont="1" applyFill="1"/>
    <xf numFmtId="9" fontId="130" fillId="17" borderId="0" xfId="1" applyFont="1" applyFill="1"/>
    <xf numFmtId="2" fontId="0" fillId="21" borderId="0" xfId="0" applyNumberFormat="1" applyFill="1"/>
    <xf numFmtId="9" fontId="2" fillId="3" borderId="0" xfId="0" applyNumberFormat="1" applyFont="1" applyFill="1"/>
    <xf numFmtId="2" fontId="70" fillId="20" borderId="33" xfId="0" applyNumberFormat="1" applyFont="1" applyFill="1" applyBorder="1" applyAlignment="1">
      <alignment vertical="center"/>
    </xf>
    <xf numFmtId="3" fontId="67" fillId="15" borderId="0" xfId="0" applyNumberFormat="1" applyFont="1" applyFill="1" applyAlignment="1">
      <alignment vertical="center"/>
    </xf>
    <xf numFmtId="178" fontId="130" fillId="3" borderId="0" xfId="0" applyNumberFormat="1" applyFont="1" applyFill="1" applyAlignment="1">
      <alignment horizontal="right"/>
    </xf>
    <xf numFmtId="1" fontId="130" fillId="3" borderId="0" xfId="0" applyNumberFormat="1" applyFont="1" applyFill="1" applyAlignment="1">
      <alignment horizontal="right"/>
    </xf>
    <xf numFmtId="2" fontId="95" fillId="2" borderId="1" xfId="2" applyNumberFormat="1" applyFont="1" applyBorder="1" applyAlignment="1">
      <alignment vertical="center"/>
    </xf>
    <xf numFmtId="9" fontId="70" fillId="3" borderId="33" xfId="1" applyFont="1" applyFill="1" applyBorder="1" applyAlignment="1" applyProtection="1">
      <alignment vertical="center"/>
    </xf>
    <xf numFmtId="2" fontId="131" fillId="15" borderId="33" xfId="0" applyNumberFormat="1" applyFont="1" applyFill="1" applyBorder="1" applyAlignment="1">
      <alignment vertical="center"/>
    </xf>
    <xf numFmtId="0" fontId="132" fillId="3" borderId="0" xfId="0" applyFont="1" applyFill="1"/>
    <xf numFmtId="2" fontId="133" fillId="3" borderId="0" xfId="0" applyNumberFormat="1" applyFont="1" applyFill="1" applyAlignment="1">
      <alignment horizontal="right"/>
    </xf>
    <xf numFmtId="1" fontId="133" fillId="3" borderId="0" xfId="0" applyNumberFormat="1" applyFont="1" applyFill="1" applyAlignment="1">
      <alignment horizontal="right"/>
    </xf>
    <xf numFmtId="1" fontId="130" fillId="17" borderId="0" xfId="0" applyNumberFormat="1" applyFont="1" applyFill="1"/>
    <xf numFmtId="2" fontId="70" fillId="13" borderId="33" xfId="0" applyNumberFormat="1" applyFont="1" applyFill="1" applyBorder="1" applyAlignment="1">
      <alignment vertical="center"/>
    </xf>
    <xf numFmtId="2" fontId="0" fillId="13" borderId="0" xfId="0" applyNumberFormat="1" applyFill="1"/>
    <xf numFmtId="0" fontId="0" fillId="13" borderId="0" xfId="0" applyFill="1"/>
    <xf numFmtId="2" fontId="134" fillId="15" borderId="33" xfId="0" applyNumberFormat="1" applyFont="1" applyFill="1" applyBorder="1" applyAlignment="1">
      <alignment vertical="center"/>
    </xf>
    <xf numFmtId="9" fontId="134" fillId="15" borderId="33" xfId="1" applyFont="1" applyFill="1" applyBorder="1" applyAlignment="1" applyProtection="1">
      <alignment vertical="center"/>
    </xf>
    <xf numFmtId="0" fontId="14" fillId="3" borderId="0" xfId="0" applyFont="1" applyFill="1"/>
    <xf numFmtId="0" fontId="5" fillId="3" borderId="0" xfId="0" applyFont="1" applyFill="1"/>
    <xf numFmtId="178" fontId="2" fillId="3" borderId="0" xfId="0" applyNumberFormat="1" applyFont="1" applyFill="1"/>
    <xf numFmtId="1" fontId="70" fillId="3" borderId="33" xfId="0" applyNumberFormat="1" applyFont="1" applyFill="1" applyBorder="1" applyAlignment="1">
      <alignment horizontal="right" vertical="center"/>
    </xf>
    <xf numFmtId="2" fontId="132" fillId="3" borderId="0" xfId="0" applyNumberFormat="1" applyFont="1" applyFill="1"/>
    <xf numFmtId="2" fontId="0" fillId="17" borderId="0" xfId="0" applyNumberFormat="1" applyFill="1"/>
    <xf numFmtId="0" fontId="0" fillId="17" borderId="0" xfId="0" applyFill="1"/>
    <xf numFmtId="2" fontId="135" fillId="15" borderId="33" xfId="0" applyNumberFormat="1" applyFont="1" applyFill="1" applyBorder="1" applyAlignment="1">
      <alignment horizontal="right" vertical="center"/>
    </xf>
    <xf numFmtId="9" fontId="130" fillId="5" borderId="0" xfId="1" applyFont="1" applyFill="1" applyAlignment="1">
      <alignment horizontal="right"/>
    </xf>
    <xf numFmtId="2" fontId="5" fillId="3" borderId="0" xfId="0" applyNumberFormat="1" applyFont="1" applyFill="1"/>
    <xf numFmtId="2" fontId="115" fillId="3" borderId="0" xfId="0" applyNumberFormat="1" applyFont="1" applyFill="1"/>
    <xf numFmtId="2" fontId="73" fillId="12" borderId="33" xfId="0" applyNumberFormat="1" applyFont="1" applyFill="1" applyBorder="1" applyAlignment="1">
      <alignment vertical="center"/>
    </xf>
    <xf numFmtId="1" fontId="130" fillId="17" borderId="0" xfId="1" applyNumberFormat="1" applyFont="1" applyFill="1" applyAlignment="1">
      <alignment horizontal="right"/>
    </xf>
    <xf numFmtId="2" fontId="70" fillId="22" borderId="33" xfId="0" applyNumberFormat="1" applyFont="1" applyFill="1" applyBorder="1" applyAlignment="1">
      <alignment vertical="center"/>
    </xf>
    <xf numFmtId="0" fontId="0" fillId="22" borderId="0" xfId="0" applyFill="1"/>
    <xf numFmtId="2" fontId="0" fillId="22" borderId="0" xfId="0" applyNumberFormat="1" applyFill="1"/>
    <xf numFmtId="0" fontId="51" fillId="3" borderId="0" xfId="0" applyFont="1" applyFill="1"/>
    <xf numFmtId="9" fontId="43" fillId="3" borderId="0" xfId="0" applyNumberFormat="1" applyFont="1" applyFill="1" applyAlignment="1">
      <alignment horizontal="left"/>
    </xf>
    <xf numFmtId="9" fontId="0" fillId="3" borderId="0" xfId="0" applyNumberFormat="1" applyFill="1"/>
    <xf numFmtId="1" fontId="0" fillId="22" borderId="0" xfId="0" applyNumberFormat="1" applyFill="1"/>
    <xf numFmtId="9" fontId="70" fillId="17" borderId="0" xfId="1" applyFont="1" applyFill="1" applyBorder="1" applyAlignment="1">
      <alignment horizontal="right" vertical="center"/>
    </xf>
    <xf numFmtId="2" fontId="73" fillId="0" borderId="33" xfId="0" applyNumberFormat="1" applyFont="1" applyBorder="1" applyAlignment="1">
      <alignment vertical="center"/>
    </xf>
    <xf numFmtId="2" fontId="136" fillId="3" borderId="33" xfId="0" applyNumberFormat="1" applyFont="1" applyFill="1" applyBorder="1" applyAlignment="1">
      <alignment horizontal="left" vertical="center"/>
    </xf>
    <xf numFmtId="2" fontId="136" fillId="3" borderId="33" xfId="0" applyNumberFormat="1" applyFont="1" applyFill="1" applyBorder="1" applyAlignment="1">
      <alignment horizontal="right" vertical="center"/>
    </xf>
    <xf numFmtId="2" fontId="137" fillId="3" borderId="33" xfId="0" applyNumberFormat="1" applyFont="1" applyFill="1" applyBorder="1" applyAlignment="1">
      <alignment horizontal="left" vertical="center"/>
    </xf>
    <xf numFmtId="2" fontId="137" fillId="3" borderId="33" xfId="0" applyNumberFormat="1" applyFont="1" applyFill="1" applyBorder="1" applyAlignment="1">
      <alignment horizontal="right" vertical="center"/>
    </xf>
    <xf numFmtId="2" fontId="74" fillId="15" borderId="33" xfId="0" applyNumberFormat="1" applyFont="1" applyFill="1" applyBorder="1" applyAlignment="1">
      <alignment vertical="center"/>
    </xf>
    <xf numFmtId="2" fontId="74" fillId="15" borderId="33" xfId="0" applyNumberFormat="1" applyFont="1" applyFill="1" applyBorder="1" applyAlignment="1">
      <alignment horizontal="left" vertical="center"/>
    </xf>
    <xf numFmtId="2" fontId="77" fillId="15" borderId="33" xfId="0" applyNumberFormat="1" applyFont="1" applyFill="1" applyBorder="1" applyAlignment="1">
      <alignment vertical="center"/>
    </xf>
    <xf numFmtId="14" fontId="74" fillId="5" borderId="0" xfId="0" applyNumberFormat="1" applyFont="1" applyFill="1" applyAlignment="1">
      <alignment horizontal="left" vertical="center"/>
    </xf>
    <xf numFmtId="2" fontId="74" fillId="5" borderId="0" xfId="0" applyNumberFormat="1" applyFont="1" applyFill="1" applyAlignment="1">
      <alignment horizontal="left" vertical="center"/>
    </xf>
    <xf numFmtId="2" fontId="67" fillId="15" borderId="33" xfId="0" applyNumberFormat="1" applyFont="1" applyFill="1" applyBorder="1" applyAlignment="1">
      <alignment vertical="center"/>
    </xf>
    <xf numFmtId="4" fontId="128" fillId="17" borderId="0" xfId="18" applyNumberFormat="1" applyFont="1" applyFill="1" applyAlignment="1">
      <alignment horizontal="right"/>
    </xf>
    <xf numFmtId="2" fontId="130" fillId="3" borderId="0" xfId="1" applyNumberFormat="1" applyFont="1" applyFill="1" applyAlignment="1">
      <alignment horizontal="right"/>
    </xf>
    <xf numFmtId="2" fontId="10" fillId="2" borderId="1" xfId="2" applyNumberFormat="1" applyFont="1" applyBorder="1" applyAlignment="1">
      <alignment vertical="center"/>
    </xf>
    <xf numFmtId="165" fontId="67" fillId="15" borderId="0" xfId="0" applyNumberFormat="1" applyFont="1" applyFill="1" applyAlignment="1">
      <alignment vertical="center"/>
    </xf>
    <xf numFmtId="0" fontId="67" fillId="15" borderId="33" xfId="0" applyFont="1" applyFill="1" applyBorder="1" applyAlignment="1">
      <alignment horizontal="right" vertical="center"/>
    </xf>
    <xf numFmtId="0" fontId="0" fillId="3" borderId="0" xfId="0" applyFill="1" applyAlignment="1">
      <alignment horizontal="left"/>
    </xf>
    <xf numFmtId="2" fontId="2" fillId="20" borderId="0" xfId="0" applyNumberFormat="1" applyFont="1" applyFill="1" applyAlignment="1">
      <alignment horizontal="right"/>
    </xf>
    <xf numFmtId="2" fontId="7" fillId="5" borderId="0" xfId="0" applyNumberFormat="1" applyFont="1" applyFill="1"/>
    <xf numFmtId="2" fontId="139" fillId="3" borderId="0" xfId="0" applyNumberFormat="1" applyFont="1" applyFill="1"/>
    <xf numFmtId="0" fontId="139" fillId="3" borderId="0" xfId="0" applyFont="1" applyFill="1"/>
    <xf numFmtId="182" fontId="0" fillId="3" borderId="0" xfId="0" applyNumberFormat="1" applyFill="1"/>
    <xf numFmtId="178" fontId="139" fillId="3" borderId="0" xfId="0" applyNumberFormat="1" applyFont="1" applyFill="1"/>
    <xf numFmtId="2" fontId="0" fillId="5" borderId="3" xfId="0" applyNumberFormat="1" applyFill="1" applyBorder="1"/>
    <xf numFmtId="2" fontId="2" fillId="5" borderId="3" xfId="0" applyNumberFormat="1" applyFont="1" applyFill="1" applyBorder="1"/>
    <xf numFmtId="0" fontId="2" fillId="3" borderId="0" xfId="0" applyFont="1" applyFill="1" applyAlignment="1">
      <alignment horizontal="left"/>
    </xf>
    <xf numFmtId="2" fontId="0" fillId="20" borderId="0" xfId="0" applyNumberFormat="1" applyFill="1" applyAlignment="1">
      <alignment horizontal="right"/>
    </xf>
    <xf numFmtId="178" fontId="0" fillId="20" borderId="0" xfId="0" applyNumberFormat="1" applyFill="1"/>
    <xf numFmtId="2" fontId="0" fillId="20" borderId="0" xfId="0" applyNumberFormat="1" applyFill="1"/>
    <xf numFmtId="0" fontId="2" fillId="2" borderId="39" xfId="2" applyFont="1" applyBorder="1" applyAlignment="1">
      <alignment horizontal="left" vertical="center"/>
    </xf>
    <xf numFmtId="0" fontId="0" fillId="2" borderId="1" xfId="2" applyFont="1" applyBorder="1" applyAlignment="1">
      <alignment vertical="center"/>
    </xf>
    <xf numFmtId="0" fontId="141" fillId="15" borderId="0" xfId="23" applyFont="1" applyFill="1"/>
    <xf numFmtId="2" fontId="141" fillId="15" borderId="0" xfId="23" applyNumberFormat="1" applyFont="1" applyFill="1"/>
    <xf numFmtId="176" fontId="141" fillId="15" borderId="0" xfId="23" applyNumberFormat="1" applyFont="1" applyFill="1"/>
    <xf numFmtId="0" fontId="141" fillId="0" borderId="0" xfId="23" applyFont="1"/>
    <xf numFmtId="0" fontId="141" fillId="3" borderId="0" xfId="23" applyFont="1" applyFill="1"/>
    <xf numFmtId="0" fontId="142" fillId="23" borderId="15" xfId="23" applyFont="1" applyFill="1" applyBorder="1"/>
    <xf numFmtId="0" fontId="142" fillId="23" borderId="16" xfId="23" applyFont="1" applyFill="1" applyBorder="1"/>
    <xf numFmtId="176" fontId="142" fillId="23" borderId="16" xfId="23" applyNumberFormat="1" applyFont="1" applyFill="1" applyBorder="1"/>
    <xf numFmtId="0" fontId="142" fillId="23" borderId="44" xfId="23" applyFont="1" applyFill="1" applyBorder="1"/>
    <xf numFmtId="0" fontId="141" fillId="23" borderId="0" xfId="7" applyFont="1" applyFill="1"/>
    <xf numFmtId="0" fontId="141" fillId="23" borderId="0" xfId="23" quotePrefix="1" applyFont="1" applyFill="1"/>
    <xf numFmtId="0" fontId="141" fillId="22" borderId="3" xfId="23" applyFont="1" applyFill="1" applyBorder="1"/>
    <xf numFmtId="0" fontId="141" fillId="22" borderId="0" xfId="23" applyFont="1" applyFill="1"/>
    <xf numFmtId="0" fontId="141" fillId="22" borderId="18" xfId="23" applyFont="1" applyFill="1" applyBorder="1"/>
    <xf numFmtId="0" fontId="141" fillId="23" borderId="41" xfId="23" applyFont="1" applyFill="1" applyBorder="1"/>
    <xf numFmtId="0" fontId="142" fillId="23" borderId="45" xfId="23" applyFont="1" applyFill="1" applyBorder="1" applyAlignment="1">
      <alignment horizontal="left"/>
    </xf>
    <xf numFmtId="0" fontId="142" fillId="23" borderId="10" xfId="23" applyFont="1" applyFill="1" applyBorder="1" applyAlignment="1">
      <alignment horizontal="centerContinuous" wrapText="1"/>
    </xf>
    <xf numFmtId="0" fontId="141" fillId="23" borderId="13" xfId="23" applyFont="1" applyFill="1" applyBorder="1" applyAlignment="1">
      <alignment horizontal="centerContinuous"/>
    </xf>
    <xf numFmtId="0" fontId="142" fillId="24" borderId="15" xfId="23" applyFont="1" applyFill="1" applyBorder="1" applyAlignment="1">
      <alignment horizontal="centerContinuous" wrapText="1"/>
    </xf>
    <xf numFmtId="0" fontId="141" fillId="24" borderId="44" xfId="23" applyFont="1" applyFill="1" applyBorder="1" applyAlignment="1">
      <alignment horizontal="centerContinuous" wrapText="1"/>
    </xf>
    <xf numFmtId="0" fontId="141" fillId="24" borderId="13" xfId="23" applyFont="1" applyFill="1" applyBorder="1" applyAlignment="1">
      <alignment horizontal="centerContinuous" wrapText="1"/>
    </xf>
    <xf numFmtId="0" fontId="142" fillId="23" borderId="41" xfId="23" applyFont="1" applyFill="1" applyBorder="1"/>
    <xf numFmtId="0" fontId="142" fillId="23" borderId="0" xfId="23" applyFont="1" applyFill="1"/>
    <xf numFmtId="183" fontId="142" fillId="23" borderId="45" xfId="23" applyNumberFormat="1" applyFont="1" applyFill="1" applyBorder="1" applyAlignment="1">
      <alignment horizontal="left" wrapText="1"/>
    </xf>
    <xf numFmtId="183" fontId="142" fillId="23" borderId="41" xfId="23" applyNumberFormat="1" applyFont="1" applyFill="1" applyBorder="1" applyAlignment="1">
      <alignment horizontal="center" wrapText="1"/>
    </xf>
    <xf numFmtId="183" fontId="142" fillId="23" borderId="18" xfId="23" applyNumberFormat="1" applyFont="1" applyFill="1" applyBorder="1" applyAlignment="1">
      <alignment horizontal="center" wrapText="1"/>
    </xf>
    <xf numFmtId="0" fontId="142" fillId="23" borderId="15" xfId="23" applyFont="1" applyFill="1" applyBorder="1" applyAlignment="1">
      <alignment horizontal="center" wrapText="1"/>
    </xf>
    <xf numFmtId="183" fontId="142" fillId="23" borderId="44" xfId="23" applyNumberFormat="1" applyFont="1" applyFill="1" applyBorder="1" applyAlignment="1">
      <alignment horizontal="center" wrapText="1"/>
    </xf>
    <xf numFmtId="183" fontId="142" fillId="23" borderId="44" xfId="23" quotePrefix="1" applyNumberFormat="1" applyFont="1" applyFill="1" applyBorder="1" applyAlignment="1">
      <alignment horizontal="center" wrapText="1"/>
    </xf>
    <xf numFmtId="0" fontId="142" fillId="23" borderId="42" xfId="23" applyFont="1" applyFill="1" applyBorder="1"/>
    <xf numFmtId="0" fontId="142" fillId="23" borderId="3" xfId="23" applyFont="1" applyFill="1" applyBorder="1"/>
    <xf numFmtId="183" fontId="142" fillId="23" borderId="19" xfId="23" applyNumberFormat="1" applyFont="1" applyFill="1" applyBorder="1" applyAlignment="1">
      <alignment horizontal="left" wrapText="1"/>
    </xf>
    <xf numFmtId="183" fontId="142" fillId="23" borderId="42" xfId="23" applyNumberFormat="1" applyFont="1" applyFill="1" applyBorder="1" applyAlignment="1">
      <alignment horizontal="center" wrapText="1"/>
    </xf>
    <xf numFmtId="183" fontId="142" fillId="23" borderId="4" xfId="23" applyNumberFormat="1" applyFont="1" applyFill="1" applyBorder="1" applyAlignment="1">
      <alignment horizontal="center" wrapText="1"/>
    </xf>
    <xf numFmtId="2" fontId="141" fillId="25" borderId="10" xfId="23" applyNumberFormat="1" applyFont="1" applyFill="1" applyBorder="1"/>
    <xf numFmtId="0" fontId="141" fillId="26" borderId="11" xfId="23" applyFont="1" applyFill="1" applyBorder="1"/>
    <xf numFmtId="3" fontId="141" fillId="26" borderId="11" xfId="23" applyNumberFormat="1" applyFont="1" applyFill="1" applyBorder="1" applyAlignment="1">
      <alignment horizontal="center"/>
    </xf>
    <xf numFmtId="168" fontId="141" fillId="25" borderId="11" xfId="23" applyNumberFormat="1" applyFont="1" applyFill="1" applyBorder="1" applyAlignment="1">
      <alignment horizontal="center"/>
    </xf>
    <xf numFmtId="168" fontId="141" fillId="25" borderId="13" xfId="23" applyNumberFormat="1" applyFont="1" applyFill="1" applyBorder="1" applyAlignment="1">
      <alignment horizontal="center"/>
    </xf>
    <xf numFmtId="3" fontId="141" fillId="3" borderId="60" xfId="23" applyNumberFormat="1" applyFont="1" applyFill="1" applyBorder="1" applyAlignment="1">
      <alignment horizontal="center"/>
    </xf>
    <xf numFmtId="3" fontId="141" fillId="15" borderId="60" xfId="23" applyNumberFormat="1" applyFont="1" applyFill="1" applyBorder="1" applyAlignment="1">
      <alignment horizontal="center"/>
    </xf>
    <xf numFmtId="168" fontId="141" fillId="15" borderId="60" xfId="23" applyNumberFormat="1" applyFont="1" applyFill="1" applyBorder="1" applyAlignment="1">
      <alignment horizontal="center"/>
    </xf>
    <xf numFmtId="168" fontId="141" fillId="15" borderId="61" xfId="23" applyNumberFormat="1" applyFont="1" applyFill="1" applyBorder="1" applyAlignment="1">
      <alignment horizontal="center"/>
    </xf>
    <xf numFmtId="3" fontId="141" fillId="3" borderId="62" xfId="23" applyNumberFormat="1" applyFont="1" applyFill="1" applyBorder="1" applyAlignment="1">
      <alignment horizontal="center"/>
    </xf>
    <xf numFmtId="3" fontId="141" fillId="15" borderId="62" xfId="23" applyNumberFormat="1" applyFont="1" applyFill="1" applyBorder="1" applyAlignment="1">
      <alignment horizontal="center"/>
    </xf>
    <xf numFmtId="168" fontId="141" fillId="15" borderId="63" xfId="23" applyNumberFormat="1" applyFont="1" applyFill="1" applyBorder="1" applyAlignment="1">
      <alignment horizontal="center"/>
    </xf>
    <xf numFmtId="168" fontId="141" fillId="15" borderId="64" xfId="23" applyNumberFormat="1" applyFont="1" applyFill="1" applyBorder="1" applyAlignment="1">
      <alignment horizontal="center"/>
    </xf>
    <xf numFmtId="0" fontId="141" fillId="15" borderId="65" xfId="23" applyFont="1" applyFill="1" applyBorder="1"/>
    <xf numFmtId="0" fontId="141" fillId="15" borderId="63" xfId="23" applyFont="1" applyFill="1" applyBorder="1"/>
    <xf numFmtId="3" fontId="141" fillId="3" borderId="63" xfId="23" applyNumberFormat="1" applyFont="1" applyFill="1" applyBorder="1" applyAlignment="1">
      <alignment horizontal="center"/>
    </xf>
    <xf numFmtId="3" fontId="141" fillId="15" borderId="63" xfId="23" applyNumberFormat="1" applyFont="1" applyFill="1" applyBorder="1" applyAlignment="1">
      <alignment horizontal="center"/>
    </xf>
    <xf numFmtId="0" fontId="141" fillId="15" borderId="66" xfId="23" applyFont="1" applyFill="1" applyBorder="1"/>
    <xf numFmtId="0" fontId="141" fillId="15" borderId="67" xfId="23" applyFont="1" applyFill="1" applyBorder="1"/>
    <xf numFmtId="3" fontId="141" fillId="3" borderId="67" xfId="23" applyNumberFormat="1" applyFont="1" applyFill="1" applyBorder="1" applyAlignment="1">
      <alignment horizontal="center"/>
    </xf>
    <xf numFmtId="3" fontId="141" fillId="15" borderId="67" xfId="23" applyNumberFormat="1" applyFont="1" applyFill="1" applyBorder="1" applyAlignment="1">
      <alignment horizontal="center"/>
    </xf>
    <xf numFmtId="168" fontId="141" fillId="15" borderId="67" xfId="23" applyNumberFormat="1" applyFont="1" applyFill="1" applyBorder="1" applyAlignment="1">
      <alignment horizontal="center"/>
    </xf>
    <xf numFmtId="168" fontId="141" fillId="15" borderId="68" xfId="23" applyNumberFormat="1" applyFont="1" applyFill="1" applyBorder="1" applyAlignment="1">
      <alignment horizontal="center"/>
    </xf>
    <xf numFmtId="0" fontId="141" fillId="27" borderId="0" xfId="23" applyFont="1" applyFill="1"/>
    <xf numFmtId="0" fontId="142" fillId="27" borderId="0" xfId="23" applyFont="1" applyFill="1"/>
    <xf numFmtId="169" fontId="141" fillId="27" borderId="0" xfId="23" applyNumberFormat="1" applyFont="1" applyFill="1" applyAlignment="1">
      <alignment horizontal="center"/>
    </xf>
    <xf numFmtId="168" fontId="141" fillId="27" borderId="0" xfId="23" applyNumberFormat="1" applyFont="1" applyFill="1" applyAlignment="1">
      <alignment horizontal="center"/>
    </xf>
    <xf numFmtId="168" fontId="141" fillId="27" borderId="18" xfId="23" applyNumberFormat="1" applyFont="1" applyFill="1" applyBorder="1" applyAlignment="1">
      <alignment horizontal="center"/>
    </xf>
    <xf numFmtId="0" fontId="143" fillId="3" borderId="0" xfId="23" applyFont="1" applyFill="1"/>
    <xf numFmtId="0" fontId="141" fillId="27" borderId="3" xfId="23" applyFont="1" applyFill="1" applyBorder="1"/>
    <xf numFmtId="0" fontId="142" fillId="27" borderId="3" xfId="23" applyFont="1" applyFill="1" applyBorder="1"/>
    <xf numFmtId="169" fontId="141" fillId="27" borderId="3" xfId="23" applyNumberFormat="1" applyFont="1" applyFill="1" applyBorder="1" applyAlignment="1">
      <alignment horizontal="center"/>
    </xf>
    <xf numFmtId="168" fontId="141" fillId="27" borderId="3" xfId="23" applyNumberFormat="1" applyFont="1" applyFill="1" applyBorder="1" applyAlignment="1">
      <alignment horizontal="center"/>
    </xf>
    <xf numFmtId="168" fontId="141" fillId="27" borderId="4" xfId="23" applyNumberFormat="1" applyFont="1" applyFill="1" applyBorder="1" applyAlignment="1">
      <alignment horizontal="center"/>
    </xf>
    <xf numFmtId="0" fontId="142" fillId="3" borderId="0" xfId="23" applyFont="1" applyFill="1"/>
    <xf numFmtId="169" fontId="141" fillId="3" borderId="0" xfId="23" applyNumberFormat="1" applyFont="1" applyFill="1"/>
    <xf numFmtId="0" fontId="141" fillId="23" borderId="0" xfId="23" applyFont="1" applyFill="1"/>
    <xf numFmtId="0" fontId="141" fillId="23" borderId="0" xfId="23" applyFont="1" applyFill="1" applyAlignment="1">
      <alignment horizontal="centerContinuous"/>
    </xf>
    <xf numFmtId="0" fontId="142" fillId="23" borderId="0" xfId="23" applyFont="1" applyFill="1" applyAlignment="1">
      <alignment horizontal="centerContinuous"/>
    </xf>
    <xf numFmtId="0" fontId="141" fillId="23" borderId="18" xfId="23" applyFont="1" applyFill="1" applyBorder="1" applyAlignment="1">
      <alignment horizontal="centerContinuous"/>
    </xf>
    <xf numFmtId="0" fontId="142" fillId="23" borderId="3" xfId="23" applyFont="1" applyFill="1" applyBorder="1" applyAlignment="1">
      <alignment horizontal="centerContinuous"/>
    </xf>
    <xf numFmtId="183" fontId="142" fillId="23" borderId="0" xfId="23" applyNumberFormat="1" applyFont="1" applyFill="1" applyAlignment="1">
      <alignment horizontal="right" wrapText="1"/>
    </xf>
    <xf numFmtId="183" fontId="142" fillId="23" borderId="0" xfId="23" quotePrefix="1" applyNumberFormat="1" applyFont="1" applyFill="1" applyAlignment="1">
      <alignment horizontal="right" wrapText="1"/>
    </xf>
    <xf numFmtId="183" fontId="142" fillId="23" borderId="18" xfId="23" applyNumberFormat="1" applyFont="1" applyFill="1" applyBorder="1" applyAlignment="1">
      <alignment horizontal="right" wrapText="1"/>
    </xf>
    <xf numFmtId="183" fontId="142" fillId="23" borderId="3" xfId="23" applyNumberFormat="1" applyFont="1" applyFill="1" applyBorder="1" applyAlignment="1">
      <alignment horizontal="right" wrapText="1"/>
    </xf>
    <xf numFmtId="183" fontId="142" fillId="23" borderId="4" xfId="23" applyNumberFormat="1" applyFont="1" applyFill="1" applyBorder="1" applyAlignment="1">
      <alignment horizontal="right" wrapText="1"/>
    </xf>
    <xf numFmtId="0" fontId="141" fillId="25" borderId="10" xfId="23" applyFont="1" applyFill="1" applyBorder="1"/>
    <xf numFmtId="0" fontId="141" fillId="25" borderId="11" xfId="23" applyFont="1" applyFill="1" applyBorder="1"/>
    <xf numFmtId="37" fontId="141" fillId="25" borderId="11" xfId="23" applyNumberFormat="1" applyFont="1" applyFill="1" applyBorder="1"/>
    <xf numFmtId="184" fontId="141" fillId="25" borderId="11" xfId="23" applyNumberFormat="1" applyFont="1" applyFill="1" applyBorder="1"/>
    <xf numFmtId="0" fontId="141" fillId="3" borderId="0" xfId="7" applyFont="1" applyFill="1"/>
    <xf numFmtId="0" fontId="141" fillId="3" borderId="59" xfId="23" applyFont="1" applyFill="1" applyBorder="1"/>
    <xf numFmtId="0" fontId="141" fillId="3" borderId="60" xfId="23" applyFont="1" applyFill="1" applyBorder="1"/>
    <xf numFmtId="37" fontId="141" fillId="5" borderId="60" xfId="23" applyNumberFormat="1" applyFont="1" applyFill="1" applyBorder="1"/>
    <xf numFmtId="37" fontId="141" fillId="3" borderId="63" xfId="23" applyNumberFormat="1" applyFont="1" applyFill="1" applyBorder="1"/>
    <xf numFmtId="37" fontId="107" fillId="3" borderId="63" xfId="23" applyNumberFormat="1" applyFont="1" applyFill="1" applyBorder="1"/>
    <xf numFmtId="39" fontId="141" fillId="3" borderId="63" xfId="23" applyNumberFormat="1" applyFont="1" applyFill="1" applyBorder="1"/>
    <xf numFmtId="39" fontId="107" fillId="3" borderId="63" xfId="23" applyNumberFormat="1" applyFont="1" applyFill="1" applyBorder="1"/>
    <xf numFmtId="37" fontId="138" fillId="3" borderId="63" xfId="23" applyNumberFormat="1" applyFont="1" applyFill="1" applyBorder="1"/>
    <xf numFmtId="37" fontId="141" fillId="3" borderId="67" xfId="23" applyNumberFormat="1" applyFont="1" applyFill="1" applyBorder="1"/>
    <xf numFmtId="37" fontId="138" fillId="3" borderId="67" xfId="23" applyNumberFormat="1" applyFont="1" applyFill="1" applyBorder="1"/>
    <xf numFmtId="39" fontId="141" fillId="3" borderId="67" xfId="23" applyNumberFormat="1" applyFont="1" applyFill="1" applyBorder="1"/>
    <xf numFmtId="176" fontId="141" fillId="3" borderId="0" xfId="23" applyNumberFormat="1" applyFont="1" applyFill="1"/>
    <xf numFmtId="0" fontId="141" fillId="0" borderId="0" xfId="7" applyFont="1"/>
    <xf numFmtId="0" fontId="144" fillId="28" borderId="0" xfId="7" applyFont="1" applyFill="1" applyAlignment="1">
      <alignment horizontal="centerContinuous"/>
    </xf>
    <xf numFmtId="0" fontId="140" fillId="28" borderId="0" xfId="7" applyFont="1" applyFill="1" applyAlignment="1">
      <alignment horizontal="centerContinuous"/>
    </xf>
    <xf numFmtId="0" fontId="140" fillId="28" borderId="0" xfId="7" applyFont="1" applyFill="1"/>
    <xf numFmtId="0" fontId="144" fillId="28" borderId="0" xfId="7" applyFont="1" applyFill="1" applyAlignment="1">
      <alignment horizontal="center"/>
    </xf>
    <xf numFmtId="0" fontId="144" fillId="28" borderId="0" xfId="7" applyFont="1" applyFill="1"/>
    <xf numFmtId="0" fontId="142" fillId="0" borderId="0" xfId="7" applyFont="1"/>
    <xf numFmtId="8" fontId="145" fillId="0" borderId="0" xfId="7" applyNumberFormat="1" applyFont="1" applyAlignment="1">
      <alignment horizontal="center" vertical="center"/>
    </xf>
    <xf numFmtId="0" fontId="141" fillId="0" borderId="0" xfId="7" applyFont="1" applyAlignment="1">
      <alignment horizontal="center" vertical="center"/>
    </xf>
    <xf numFmtId="7" fontId="141" fillId="0" borderId="0" xfId="7" applyNumberFormat="1" applyFont="1" applyAlignment="1">
      <alignment horizontal="center" vertical="center"/>
    </xf>
    <xf numFmtId="8" fontId="145" fillId="0" borderId="0" xfId="7" applyNumberFormat="1" applyFont="1" applyAlignment="1">
      <alignment horizontal="center"/>
    </xf>
    <xf numFmtId="0" fontId="145" fillId="0" borderId="0" xfId="7" applyFont="1" applyAlignment="1">
      <alignment horizontal="center"/>
    </xf>
    <xf numFmtId="3" fontId="141" fillId="0" borderId="0" xfId="7" applyNumberFormat="1" applyFont="1" applyAlignment="1">
      <alignment horizontal="center" vertical="center"/>
    </xf>
    <xf numFmtId="4" fontId="141" fillId="0" borderId="0" xfId="7" applyNumberFormat="1" applyFont="1" applyAlignment="1">
      <alignment horizontal="center" vertical="center"/>
    </xf>
    <xf numFmtId="185" fontId="141" fillId="0" borderId="0" xfId="7" applyNumberFormat="1" applyFont="1" applyAlignment="1">
      <alignment horizontal="center" vertical="center"/>
    </xf>
    <xf numFmtId="0" fontId="142" fillId="0" borderId="3" xfId="7" applyFont="1" applyBorder="1"/>
    <xf numFmtId="37" fontId="141" fillId="0" borderId="0" xfId="7" applyNumberFormat="1" applyFont="1" applyAlignment="1">
      <alignment horizontal="center" vertical="center"/>
    </xf>
    <xf numFmtId="5" fontId="141" fillId="0" borderId="0" xfId="7" applyNumberFormat="1" applyFont="1" applyAlignment="1">
      <alignment horizontal="center" vertical="center"/>
    </xf>
    <xf numFmtId="6" fontId="142" fillId="0" borderId="0" xfId="7" applyNumberFormat="1" applyFont="1" applyAlignment="1">
      <alignment horizontal="center" vertical="center"/>
    </xf>
    <xf numFmtId="169" fontId="141" fillId="0" borderId="0" xfId="7" applyNumberFormat="1" applyFont="1" applyAlignment="1">
      <alignment horizontal="center" vertical="center"/>
    </xf>
    <xf numFmtId="0" fontId="142" fillId="0" borderId="0" xfId="7" applyFont="1" applyAlignment="1">
      <alignment horizontal="center" vertical="center"/>
    </xf>
    <xf numFmtId="168" fontId="141" fillId="0" borderId="0" xfId="7" applyNumberFormat="1" applyFont="1" applyAlignment="1">
      <alignment horizontal="center" vertical="center"/>
    </xf>
    <xf numFmtId="168" fontId="115" fillId="0" borderId="0" xfId="7" applyNumberFormat="1" applyFont="1" applyAlignment="1">
      <alignment horizontal="center" vertical="center"/>
    </xf>
    <xf numFmtId="0" fontId="142" fillId="0" borderId="0" xfId="7" applyFont="1" applyAlignment="1">
      <alignment horizontal="center"/>
    </xf>
    <xf numFmtId="0" fontId="141" fillId="0" borderId="3" xfId="7" applyFont="1" applyBorder="1"/>
    <xf numFmtId="8" fontId="141" fillId="0" borderId="0" xfId="7" applyNumberFormat="1" applyFont="1"/>
    <xf numFmtId="8" fontId="141" fillId="0" borderId="69" xfId="7" applyNumberFormat="1" applyFont="1" applyBorder="1"/>
    <xf numFmtId="186" fontId="141" fillId="0" borderId="69" xfId="7" applyNumberFormat="1" applyFont="1" applyBorder="1"/>
    <xf numFmtId="0" fontId="67" fillId="0" borderId="0" xfId="0" applyFont="1" applyAlignment="1">
      <alignment vertical="center"/>
    </xf>
    <xf numFmtId="0" fontId="146" fillId="0" borderId="0" xfId="0" applyFont="1"/>
    <xf numFmtId="0" fontId="146" fillId="0" borderId="0" xfId="0" applyFont="1" applyAlignment="1">
      <alignment horizontal="left"/>
    </xf>
    <xf numFmtId="10" fontId="147" fillId="0" borderId="0" xfId="1" quotePrefix="1" applyNumberFormat="1" applyFont="1" applyAlignment="1">
      <alignment horizontal="right"/>
    </xf>
    <xf numFmtId="10" fontId="147" fillId="0" borderId="0" xfId="1" applyNumberFormat="1" applyFont="1" applyAlignment="1">
      <alignment horizontal="right"/>
    </xf>
    <xf numFmtId="9" fontId="0" fillId="0" borderId="0" xfId="0" applyNumberFormat="1"/>
    <xf numFmtId="187" fontId="0" fillId="0" borderId="0" xfId="0" applyNumberFormat="1"/>
    <xf numFmtId="2" fontId="0" fillId="3" borderId="11" xfId="0" applyNumberFormat="1" applyFill="1" applyBorder="1"/>
    <xf numFmtId="3" fontId="141" fillId="3" borderId="60" xfId="23" applyNumberFormat="1" applyFont="1" applyFill="1" applyBorder="1" applyAlignment="1">
      <alignment horizontal="left"/>
    </xf>
    <xf numFmtId="3" fontId="141" fillId="3" borderId="62" xfId="23" applyNumberFormat="1" applyFont="1" applyFill="1" applyBorder="1" applyAlignment="1">
      <alignment horizontal="left"/>
    </xf>
    <xf numFmtId="3" fontId="141" fillId="3" borderId="63" xfId="23" applyNumberFormat="1" applyFont="1" applyFill="1" applyBorder="1" applyAlignment="1">
      <alignment horizontal="left"/>
    </xf>
    <xf numFmtId="3" fontId="141" fillId="3" borderId="67" xfId="23" applyNumberFormat="1" applyFont="1" applyFill="1" applyBorder="1" applyAlignment="1">
      <alignment horizontal="left"/>
    </xf>
    <xf numFmtId="0" fontId="141" fillId="15" borderId="70" xfId="23" applyFont="1" applyFill="1" applyBorder="1"/>
    <xf numFmtId="0" fontId="141" fillId="15" borderId="71" xfId="23" applyFont="1" applyFill="1" applyBorder="1"/>
    <xf numFmtId="37" fontId="141" fillId="3" borderId="71" xfId="23" applyNumberFormat="1" applyFont="1" applyFill="1" applyBorder="1"/>
    <xf numFmtId="39" fontId="141" fillId="3" borderId="71" xfId="23" applyNumberFormat="1" applyFont="1" applyFill="1" applyBorder="1"/>
    <xf numFmtId="3" fontId="141" fillId="3" borderId="60" xfId="23" applyNumberFormat="1" applyFont="1" applyFill="1" applyBorder="1"/>
    <xf numFmtId="2" fontId="142" fillId="23" borderId="0" xfId="23" applyNumberFormat="1" applyFont="1" applyFill="1" applyAlignment="1">
      <alignment horizontal="right" wrapText="1"/>
    </xf>
    <xf numFmtId="166" fontId="69" fillId="5" borderId="0" xfId="0" applyNumberFormat="1" applyFont="1" applyFill="1" applyAlignment="1">
      <alignment vertical="center"/>
    </xf>
    <xf numFmtId="10" fontId="67" fillId="17" borderId="0" xfId="0" applyNumberFormat="1" applyFont="1" applyFill="1" applyAlignment="1">
      <alignment vertical="center"/>
    </xf>
    <xf numFmtId="165" fontId="67" fillId="17" borderId="0" xfId="1" applyNumberFormat="1" applyFont="1" applyFill="1" applyAlignment="1">
      <alignment vertical="center"/>
    </xf>
    <xf numFmtId="10" fontId="67" fillId="17" borderId="0" xfId="1" applyNumberFormat="1" applyFont="1" applyFill="1" applyAlignment="1">
      <alignment vertical="center"/>
    </xf>
    <xf numFmtId="2" fontId="97" fillId="29" borderId="0" xfId="0" applyNumberFormat="1" applyFont="1" applyFill="1"/>
    <xf numFmtId="165" fontId="0" fillId="3" borderId="0" xfId="1" applyNumberFormat="1" applyFont="1" applyFill="1" applyAlignment="1">
      <alignment horizontal="right"/>
    </xf>
    <xf numFmtId="10" fontId="0" fillId="20" borderId="0" xfId="1" applyNumberFormat="1" applyFont="1" applyFill="1"/>
    <xf numFmtId="14" fontId="141" fillId="0" borderId="0" xfId="7" applyNumberFormat="1" applyFont="1"/>
    <xf numFmtId="3" fontId="142" fillId="0" borderId="0" xfId="7" applyNumberFormat="1" applyFont="1" applyAlignment="1">
      <alignment horizontal="center" vertical="center"/>
    </xf>
    <xf numFmtId="0" fontId="142" fillId="0" borderId="0" xfId="7" applyFont="1" applyAlignment="1">
      <alignment horizontal="right"/>
    </xf>
    <xf numFmtId="39" fontId="142" fillId="0" borderId="0" xfId="7" applyNumberFormat="1" applyFont="1" applyAlignment="1">
      <alignment horizontal="right"/>
    </xf>
    <xf numFmtId="165" fontId="67" fillId="0" borderId="0" xfId="0" applyNumberFormat="1" applyFont="1" applyAlignment="1">
      <alignment horizontal="left" vertical="center"/>
    </xf>
    <xf numFmtId="2" fontId="141" fillId="0" borderId="0" xfId="7" applyNumberFormat="1" applyFont="1"/>
    <xf numFmtId="2" fontId="7" fillId="3" borderId="0" xfId="0" applyNumberFormat="1" applyFont="1" applyFill="1" applyAlignment="1">
      <alignment horizontal="right" indent="1"/>
    </xf>
    <xf numFmtId="2" fontId="1" fillId="3" borderId="3" xfId="0" applyNumberFormat="1" applyFont="1" applyFill="1" applyBorder="1"/>
    <xf numFmtId="0" fontId="2" fillId="3" borderId="3" xfId="0" applyFont="1" applyFill="1" applyBorder="1"/>
    <xf numFmtId="2" fontId="2" fillId="3" borderId="3" xfId="0" applyNumberFormat="1" applyFont="1" applyFill="1" applyBorder="1" applyAlignment="1">
      <alignment horizontal="right" indent="1"/>
    </xf>
    <xf numFmtId="0" fontId="1" fillId="3" borderId="3" xfId="0" applyFont="1" applyFill="1" applyBorder="1"/>
    <xf numFmtId="0" fontId="0" fillId="3" borderId="3" xfId="0" applyFill="1" applyBorder="1"/>
    <xf numFmtId="1" fontId="1" fillId="3" borderId="3" xfId="0" applyNumberFormat="1" applyFont="1" applyFill="1" applyBorder="1"/>
    <xf numFmtId="0" fontId="2" fillId="13" borderId="0" xfId="0" applyFont="1" applyFill="1"/>
    <xf numFmtId="178" fontId="2" fillId="13" borderId="0" xfId="0" applyNumberFormat="1" applyFont="1" applyFill="1"/>
    <xf numFmtId="1" fontId="0" fillId="3" borderId="3" xfId="0" applyNumberFormat="1" applyFill="1" applyBorder="1"/>
    <xf numFmtId="0" fontId="148" fillId="0" borderId="0" xfId="0" applyFont="1" applyAlignment="1">
      <alignment horizontal="right"/>
    </xf>
    <xf numFmtId="2" fontId="2" fillId="3" borderId="3" xfId="0" applyNumberFormat="1" applyFont="1" applyFill="1" applyBorder="1" applyAlignment="1">
      <alignment horizontal="right"/>
    </xf>
    <xf numFmtId="0" fontId="2" fillId="3" borderId="3" xfId="0" applyFont="1" applyFill="1" applyBorder="1" applyAlignment="1">
      <alignment horizontal="right"/>
    </xf>
    <xf numFmtId="0" fontId="148" fillId="12" borderId="0" xfId="0" applyFont="1" applyFill="1" applyAlignment="1">
      <alignment horizontal="right"/>
    </xf>
    <xf numFmtId="0" fontId="11" fillId="12" borderId="0" xfId="0" applyFont="1" applyFill="1"/>
    <xf numFmtId="0" fontId="2" fillId="12" borderId="0" xfId="0" applyFont="1" applyFill="1"/>
    <xf numFmtId="0" fontId="149" fillId="0" borderId="3" xfId="0" applyFont="1" applyBorder="1"/>
    <xf numFmtId="1" fontId="2" fillId="12" borderId="0" xfId="0" applyNumberFormat="1" applyFont="1" applyFill="1"/>
    <xf numFmtId="0" fontId="2" fillId="12" borderId="0" xfId="0" applyFont="1" applyFill="1" applyAlignment="1">
      <alignment horizontal="right"/>
    </xf>
    <xf numFmtId="2" fontId="14" fillId="3" borderId="3" xfId="0" applyNumberFormat="1" applyFont="1" applyFill="1" applyBorder="1"/>
    <xf numFmtId="3" fontId="12" fillId="3" borderId="3" xfId="0" applyNumberFormat="1" applyFont="1" applyFill="1" applyBorder="1"/>
    <xf numFmtId="3" fontId="11" fillId="3" borderId="3" xfId="0" applyNumberFormat="1" applyFont="1" applyFill="1" applyBorder="1"/>
    <xf numFmtId="0" fontId="12" fillId="17" borderId="2" xfId="0" applyFont="1" applyFill="1" applyBorder="1" applyAlignment="1">
      <alignment horizontal="center"/>
    </xf>
    <xf numFmtId="0" fontId="1" fillId="4" borderId="0" xfId="0" applyFont="1" applyFill="1"/>
    <xf numFmtId="0" fontId="12" fillId="4" borderId="0" xfId="0" applyFont="1" applyFill="1"/>
    <xf numFmtId="0" fontId="3" fillId="3" borderId="0" xfId="0" applyFont="1" applyFill="1"/>
    <xf numFmtId="0" fontId="15" fillId="3" borderId="0" xfId="0" applyFont="1" applyFill="1" applyAlignment="1">
      <alignment horizontal="center"/>
    </xf>
    <xf numFmtId="0" fontId="15" fillId="20" borderId="0" xfId="0" applyFont="1" applyFill="1" applyAlignment="1">
      <alignment horizontal="right"/>
    </xf>
    <xf numFmtId="0" fontId="2" fillId="3" borderId="0" xfId="0" applyFont="1" applyFill="1" applyAlignment="1">
      <alignment wrapText="1"/>
    </xf>
    <xf numFmtId="0" fontId="2" fillId="3" borderId="3" xfId="0" applyFont="1" applyFill="1" applyBorder="1" applyAlignment="1">
      <alignment wrapText="1"/>
    </xf>
    <xf numFmtId="0" fontId="11" fillId="4" borderId="0" xfId="0" applyFont="1" applyFill="1"/>
    <xf numFmtId="1" fontId="2" fillId="3" borderId="0" xfId="0" applyNumberFormat="1" applyFont="1" applyFill="1" applyAlignment="1">
      <alignment horizontal="right"/>
    </xf>
    <xf numFmtId="0" fontId="11" fillId="30" borderId="0" xfId="0" applyFont="1" applyFill="1"/>
    <xf numFmtId="0" fontId="12" fillId="30" borderId="0" xfId="0" applyFont="1" applyFill="1"/>
    <xf numFmtId="0" fontId="13" fillId="30" borderId="0" xfId="0" applyFont="1" applyFill="1"/>
    <xf numFmtId="0" fontId="0" fillId="30" borderId="0" xfId="0" applyFill="1"/>
    <xf numFmtId="0" fontId="4" fillId="3" borderId="0" xfId="0" applyFont="1" applyFill="1" applyAlignment="1">
      <alignment horizontal="center" vertical="top" wrapText="1"/>
    </xf>
    <xf numFmtId="0" fontId="3" fillId="3" borderId="0" xfId="0" applyFont="1" applyFill="1" applyAlignment="1">
      <alignment wrapText="1"/>
    </xf>
    <xf numFmtId="4" fontId="0" fillId="3" borderId="0" xfId="0" applyNumberFormat="1" applyFill="1" applyAlignment="1">
      <alignment horizontal="center"/>
    </xf>
    <xf numFmtId="3" fontId="0" fillId="3" borderId="0" xfId="0" applyNumberFormat="1" applyFill="1" applyAlignment="1">
      <alignment horizontal="center"/>
    </xf>
    <xf numFmtId="2" fontId="0" fillId="3" borderId="0" xfId="1" applyNumberFormat="1" applyFont="1" applyFill="1" applyAlignment="1">
      <alignment horizontal="center"/>
    </xf>
    <xf numFmtId="2" fontId="0" fillId="3" borderId="0" xfId="0" applyNumberFormat="1" applyFill="1" applyAlignment="1">
      <alignment horizontal="center" wrapText="1"/>
    </xf>
    <xf numFmtId="0" fontId="7" fillId="3" borderId="0" xfId="0" applyFont="1" applyFill="1"/>
    <xf numFmtId="2" fontId="2" fillId="3" borderId="0" xfId="1" applyNumberFormat="1" applyFont="1" applyFill="1" applyAlignment="1">
      <alignment horizontal="center"/>
    </xf>
    <xf numFmtId="165" fontId="0" fillId="3" borderId="0" xfId="1" applyNumberFormat="1" applyFont="1" applyFill="1" applyAlignment="1">
      <alignment horizontal="center"/>
    </xf>
    <xf numFmtId="165" fontId="2" fillId="3" borderId="0" xfId="1" applyNumberFormat="1" applyFont="1" applyFill="1" applyAlignment="1">
      <alignment horizontal="center"/>
    </xf>
    <xf numFmtId="10" fontId="0" fillId="3" borderId="0" xfId="1" applyNumberFormat="1" applyFont="1" applyFill="1" applyAlignment="1">
      <alignment horizontal="center"/>
    </xf>
    <xf numFmtId="2" fontId="0" fillId="3" borderId="0" xfId="0" applyNumberFormat="1" applyFill="1" applyAlignment="1">
      <alignment horizontal="center"/>
    </xf>
    <xf numFmtId="4" fontId="0" fillId="3" borderId="0" xfId="0" applyNumberFormat="1" applyFill="1" applyAlignment="1">
      <alignment horizontal="center" vertical="center"/>
    </xf>
    <xf numFmtId="3" fontId="0" fillId="3" borderId="0" xfId="0" applyNumberFormat="1" applyFill="1" applyAlignment="1">
      <alignment horizontal="center" vertical="center"/>
    </xf>
    <xf numFmtId="10" fontId="0" fillId="3" borderId="0" xfId="1" applyNumberFormat="1" applyFont="1" applyFill="1" applyAlignment="1">
      <alignment horizontal="center" vertical="center"/>
    </xf>
    <xf numFmtId="0" fontId="5" fillId="3" borderId="3" xfId="0" applyFont="1" applyFill="1" applyBorder="1"/>
    <xf numFmtId="2" fontId="0" fillId="3" borderId="3" xfId="0" applyNumberFormat="1" applyFill="1" applyBorder="1" applyAlignment="1">
      <alignment horizontal="center"/>
    </xf>
    <xf numFmtId="3" fontId="0" fillId="3" borderId="3" xfId="0" applyNumberFormat="1" applyFill="1" applyBorder="1" applyAlignment="1">
      <alignment horizontal="center" vertical="center"/>
    </xf>
    <xf numFmtId="0" fontId="0" fillId="3" borderId="0" xfId="0" quotePrefix="1" applyFill="1"/>
    <xf numFmtId="0" fontId="0" fillId="3" borderId="3" xfId="0" quotePrefix="1" applyFill="1" applyBorder="1"/>
    <xf numFmtId="3" fontId="0" fillId="3" borderId="3" xfId="0" applyNumberFormat="1" applyFill="1" applyBorder="1" applyAlignment="1">
      <alignment horizontal="center"/>
    </xf>
    <xf numFmtId="2" fontId="0" fillId="3" borderId="0" xfId="0" applyNumberFormat="1" applyFill="1" applyAlignment="1">
      <alignment horizontal="center" vertical="center"/>
    </xf>
    <xf numFmtId="3" fontId="2" fillId="3" borderId="0" xfId="0" applyNumberFormat="1" applyFont="1" applyFill="1"/>
    <xf numFmtId="0" fontId="4" fillId="3" borderId="11" xfId="0" applyFont="1" applyFill="1" applyBorder="1" applyAlignment="1">
      <alignment wrapText="1"/>
    </xf>
    <xf numFmtId="0" fontId="4" fillId="3" borderId="11" xfId="0" applyFont="1" applyFill="1" applyBorder="1" applyAlignment="1">
      <alignment horizontal="center" wrapText="1"/>
    </xf>
    <xf numFmtId="14" fontId="4" fillId="3" borderId="11" xfId="0" applyNumberFormat="1" applyFont="1" applyFill="1" applyBorder="1" applyAlignment="1">
      <alignment horizontal="center" vertical="top" wrapText="1"/>
    </xf>
    <xf numFmtId="0" fontId="3" fillId="3" borderId="3" xfId="0" applyFont="1" applyFill="1" applyBorder="1" applyAlignment="1">
      <alignment wrapText="1"/>
    </xf>
    <xf numFmtId="2" fontId="0" fillId="3" borderId="3" xfId="1" applyNumberFormat="1" applyFont="1" applyFill="1" applyBorder="1" applyAlignment="1">
      <alignment horizontal="center"/>
    </xf>
    <xf numFmtId="2" fontId="0" fillId="3" borderId="3" xfId="0" applyNumberFormat="1" applyFill="1" applyBorder="1" applyAlignment="1">
      <alignment horizontal="center" wrapText="1"/>
    </xf>
    <xf numFmtId="0" fontId="7" fillId="3" borderId="3" xfId="0" applyFont="1" applyFill="1" applyBorder="1"/>
    <xf numFmtId="2" fontId="2" fillId="3" borderId="3" xfId="1" applyNumberFormat="1" applyFont="1" applyFill="1" applyBorder="1" applyAlignment="1">
      <alignment horizontal="center"/>
    </xf>
    <xf numFmtId="165" fontId="0" fillId="3" borderId="3" xfId="1" applyNumberFormat="1" applyFont="1" applyFill="1" applyBorder="1" applyAlignment="1">
      <alignment horizontal="center"/>
    </xf>
    <xf numFmtId="165" fontId="2" fillId="3" borderId="3" xfId="1" applyNumberFormat="1" applyFont="1" applyFill="1" applyBorder="1" applyAlignment="1">
      <alignment horizontal="center"/>
    </xf>
    <xf numFmtId="0" fontId="7" fillId="30" borderId="11" xfId="0" applyFont="1" applyFill="1" applyBorder="1"/>
    <xf numFmtId="2" fontId="0" fillId="30" borderId="11" xfId="0" applyNumberFormat="1" applyFill="1" applyBorder="1" applyAlignment="1">
      <alignment horizontal="center"/>
    </xf>
    <xf numFmtId="3" fontId="0" fillId="30" borderId="11" xfId="0" applyNumberFormat="1" applyFill="1" applyBorder="1" applyAlignment="1">
      <alignment horizontal="center" vertical="center"/>
    </xf>
    <xf numFmtId="0" fontId="2" fillId="3" borderId="11" xfId="0" applyFont="1" applyFill="1" applyBorder="1"/>
    <xf numFmtId="2" fontId="2" fillId="3" borderId="11" xfId="0" applyNumberFormat="1" applyFont="1" applyFill="1" applyBorder="1" applyAlignment="1">
      <alignment horizontal="center"/>
    </xf>
    <xf numFmtId="3" fontId="2" fillId="3" borderId="11" xfId="0" applyNumberFormat="1" applyFont="1" applyFill="1" applyBorder="1" applyAlignment="1">
      <alignment horizontal="center"/>
    </xf>
    <xf numFmtId="0" fontId="5" fillId="30" borderId="3" xfId="0" applyFont="1" applyFill="1" applyBorder="1"/>
    <xf numFmtId="0" fontId="4" fillId="30" borderId="3" xfId="0" applyFont="1" applyFill="1" applyBorder="1" applyAlignment="1">
      <alignment horizontal="center" vertical="top" wrapText="1"/>
    </xf>
    <xf numFmtId="0" fontId="4" fillId="30" borderId="3" xfId="0" applyFont="1" applyFill="1" applyBorder="1" applyAlignment="1">
      <alignment vertical="top" wrapText="1"/>
    </xf>
    <xf numFmtId="0" fontId="2" fillId="30" borderId="3" xfId="0" applyFont="1" applyFill="1" applyBorder="1" applyAlignment="1">
      <alignment vertical="top" wrapText="1"/>
    </xf>
    <xf numFmtId="0" fontId="4" fillId="30" borderId="3" xfId="0" applyFont="1" applyFill="1" applyBorder="1" applyAlignment="1">
      <alignment wrapText="1"/>
    </xf>
    <xf numFmtId="4" fontId="0" fillId="3" borderId="3" xfId="0" applyNumberFormat="1" applyFill="1" applyBorder="1" applyAlignment="1">
      <alignment horizontal="center"/>
    </xf>
    <xf numFmtId="2" fontId="4" fillId="30" borderId="3" xfId="0" applyNumberFormat="1" applyFont="1" applyFill="1" applyBorder="1" applyAlignment="1">
      <alignment wrapText="1"/>
    </xf>
    <xf numFmtId="4" fontId="2" fillId="30" borderId="3" xfId="0" applyNumberFormat="1" applyFont="1" applyFill="1" applyBorder="1" applyAlignment="1">
      <alignment horizontal="center" vertical="top" wrapText="1"/>
    </xf>
    <xf numFmtId="2" fontId="0" fillId="3" borderId="3" xfId="0" applyNumberFormat="1" applyFill="1" applyBorder="1" applyAlignment="1">
      <alignment horizontal="center" vertical="center"/>
    </xf>
    <xf numFmtId="4" fontId="0" fillId="3" borderId="3" xfId="0" applyNumberFormat="1" applyFill="1" applyBorder="1"/>
    <xf numFmtId="3" fontId="2" fillId="30" borderId="11" xfId="0" applyNumberFormat="1" applyFont="1" applyFill="1" applyBorder="1" applyAlignment="1">
      <alignment horizontal="center" vertical="top" wrapText="1"/>
    </xf>
    <xf numFmtId="0" fontId="2" fillId="30" borderId="0" xfId="0" applyFont="1" applyFill="1"/>
    <xf numFmtId="2" fontId="2" fillId="30" borderId="0" xfId="0" applyNumberFormat="1" applyFont="1" applyFill="1"/>
    <xf numFmtId="4" fontId="2" fillId="30" borderId="0" xfId="0" applyNumberFormat="1" applyFont="1" applyFill="1"/>
    <xf numFmtId="0" fontId="2" fillId="30" borderId="3" xfId="0" applyFont="1" applyFill="1" applyBorder="1"/>
    <xf numFmtId="4" fontId="2" fillId="30" borderId="3" xfId="0" applyNumberFormat="1" applyFont="1" applyFill="1" applyBorder="1"/>
    <xf numFmtId="2" fontId="70" fillId="30" borderId="0" xfId="0" applyNumberFormat="1" applyFont="1" applyFill="1" applyAlignment="1">
      <alignment vertical="center"/>
    </xf>
    <xf numFmtId="2" fontId="74" fillId="15" borderId="0" xfId="0" applyNumberFormat="1" applyFont="1" applyFill="1" applyAlignment="1">
      <alignment horizontal="right" vertical="center"/>
    </xf>
    <xf numFmtId="2" fontId="74" fillId="30" borderId="0" xfId="0" applyNumberFormat="1" applyFont="1" applyFill="1" applyAlignment="1">
      <alignment horizontal="right" vertical="center"/>
    </xf>
    <xf numFmtId="2" fontId="70" fillId="30" borderId="0" xfId="0" applyNumberFormat="1" applyFont="1" applyFill="1" applyAlignment="1">
      <alignment vertical="center" wrapText="1"/>
    </xf>
    <xf numFmtId="0" fontId="2" fillId="20" borderId="0" xfId="0" applyFont="1" applyFill="1" applyAlignment="1">
      <alignment horizontal="right"/>
    </xf>
    <xf numFmtId="9" fontId="2" fillId="3" borderId="3" xfId="1" applyFont="1" applyFill="1" applyBorder="1"/>
    <xf numFmtId="0" fontId="9" fillId="3" borderId="0" xfId="2" applyFont="1" applyFill="1" applyBorder="1" applyAlignment="1">
      <alignment vertical="center"/>
    </xf>
    <xf numFmtId="0" fontId="10" fillId="3" borderId="0" xfId="2" applyFont="1" applyFill="1" applyBorder="1" applyAlignment="1">
      <alignment vertical="center"/>
    </xf>
    <xf numFmtId="0" fontId="2" fillId="20" borderId="10" xfId="0" applyFont="1" applyFill="1" applyBorder="1" applyAlignment="1">
      <alignment horizontal="center"/>
    </xf>
    <xf numFmtId="10" fontId="2" fillId="20" borderId="13" xfId="0" applyNumberFormat="1" applyFont="1" applyFill="1" applyBorder="1" applyAlignment="1">
      <alignment horizontal="center"/>
    </xf>
    <xf numFmtId="0" fontId="32" fillId="10" borderId="22" xfId="18" applyFont="1" applyFill="1" applyBorder="1" applyAlignment="1">
      <alignment horizontal="left" vertical="center"/>
    </xf>
    <xf numFmtId="2" fontId="70" fillId="20" borderId="0" xfId="0" applyNumberFormat="1" applyFont="1" applyFill="1" applyAlignment="1">
      <alignment vertical="center" wrapText="1"/>
    </xf>
    <xf numFmtId="0" fontId="0" fillId="3" borderId="0" xfId="0" applyFill="1" applyAlignment="1">
      <alignment horizontal="center" vertical="center"/>
    </xf>
    <xf numFmtId="0" fontId="0" fillId="3" borderId="0" xfId="0" applyFill="1" applyAlignment="1">
      <alignment horizontal="center"/>
    </xf>
    <xf numFmtId="0" fontId="2" fillId="3" borderId="0" xfId="0" applyFont="1" applyFill="1" applyAlignment="1">
      <alignment horizontal="center" vertical="center" wrapText="1"/>
    </xf>
    <xf numFmtId="0" fontId="4" fillId="3" borderId="0" xfId="0" applyFont="1" applyFill="1" applyAlignment="1">
      <alignment wrapText="1"/>
    </xf>
    <xf numFmtId="0" fontId="4" fillId="3" borderId="0" xfId="0" applyFont="1" applyFill="1" applyAlignment="1">
      <alignment horizontal="center" wrapText="1"/>
    </xf>
    <xf numFmtId="2" fontId="5" fillId="3" borderId="0" xfId="0" applyNumberFormat="1" applyFont="1" applyFill="1" applyAlignment="1">
      <alignment horizontal="left"/>
    </xf>
    <xf numFmtId="0" fontId="5" fillId="3" borderId="0" xfId="0" quotePrefix="1" applyFont="1" applyFill="1"/>
    <xf numFmtId="0" fontId="2" fillId="3" borderId="0" xfId="0" applyFont="1" applyFill="1" applyAlignment="1">
      <alignment horizontal="center" wrapText="1"/>
    </xf>
    <xf numFmtId="0" fontId="2" fillId="3" borderId="0" xfId="0" applyFont="1" applyFill="1" applyAlignment="1">
      <alignment horizontal="center" vertical="top" wrapText="1"/>
    </xf>
    <xf numFmtId="0" fontId="6" fillId="3" borderId="0" xfId="0" applyFont="1" applyFill="1"/>
    <xf numFmtId="165" fontId="0" fillId="3" borderId="0" xfId="1" applyNumberFormat="1" applyFont="1" applyFill="1" applyAlignment="1">
      <alignment horizontal="center" vertical="center"/>
    </xf>
    <xf numFmtId="1" fontId="74" fillId="31" borderId="0" xfId="0" applyNumberFormat="1" applyFont="1" applyFill="1" applyAlignment="1">
      <alignment horizontal="right" vertical="center"/>
    </xf>
    <xf numFmtId="3" fontId="128" fillId="17" borderId="0" xfId="18" applyNumberFormat="1" applyFont="1" applyFill="1" applyAlignment="1">
      <alignment horizontal="right"/>
    </xf>
    <xf numFmtId="2" fontId="7" fillId="17" borderId="0" xfId="0" applyNumberFormat="1" applyFont="1" applyFill="1"/>
    <xf numFmtId="178" fontId="0" fillId="17" borderId="0" xfId="0" applyNumberFormat="1" applyFill="1"/>
    <xf numFmtId="10" fontId="67" fillId="3" borderId="0" xfId="1" applyNumberFormat="1" applyFont="1" applyFill="1" applyAlignment="1">
      <alignment vertical="center"/>
    </xf>
    <xf numFmtId="9" fontId="128" fillId="3" borderId="0" xfId="1" applyFont="1" applyFill="1" applyAlignment="1">
      <alignment horizontal="right"/>
    </xf>
    <xf numFmtId="165" fontId="128" fillId="3" borderId="0" xfId="1" applyNumberFormat="1" applyFont="1" applyFill="1" applyAlignment="1">
      <alignment horizontal="right"/>
    </xf>
    <xf numFmtId="1" fontId="0" fillId="5" borderId="0" xfId="0" applyNumberFormat="1" applyFill="1"/>
    <xf numFmtId="49" fontId="28" fillId="17" borderId="21" xfId="7" applyNumberFormat="1" applyFont="1" applyFill="1" applyBorder="1" applyAlignment="1">
      <alignment horizontal="center" vertical="center"/>
    </xf>
    <xf numFmtId="49" fontId="29" fillId="17" borderId="21" xfId="7" applyNumberFormat="1" applyFont="1" applyFill="1" applyBorder="1" applyAlignment="1">
      <alignment horizontal="center" vertical="center"/>
    </xf>
    <xf numFmtId="165" fontId="12" fillId="17" borderId="2" xfId="1" applyNumberFormat="1" applyFont="1" applyFill="1" applyBorder="1" applyAlignment="1">
      <alignment horizontal="center"/>
    </xf>
    <xf numFmtId="0" fontId="7" fillId="17" borderId="3" xfId="0" applyFont="1" applyFill="1" applyBorder="1" applyAlignment="1">
      <alignment vertical="top" wrapText="1"/>
    </xf>
    <xf numFmtId="49" fontId="28" fillId="17" borderId="21" xfId="18" applyNumberFormat="1" applyFont="1" applyFill="1" applyBorder="1" applyAlignment="1">
      <alignment horizontal="center" vertical="center"/>
    </xf>
    <xf numFmtId="0" fontId="12" fillId="3" borderId="2" xfId="0" applyFont="1" applyFill="1" applyBorder="1" applyAlignment="1">
      <alignment horizontal="center"/>
    </xf>
    <xf numFmtId="0" fontId="0" fillId="17" borderId="0" xfId="0" applyFill="1" applyAlignment="1">
      <alignment horizontal="center"/>
    </xf>
    <xf numFmtId="0" fontId="0" fillId="17" borderId="0" xfId="0" applyFill="1" applyAlignment="1">
      <alignment horizontal="center" vertical="center"/>
    </xf>
    <xf numFmtId="10" fontId="107" fillId="3" borderId="0" xfId="0" applyNumberFormat="1" applyFont="1" applyFill="1" applyAlignment="1">
      <alignment horizontal="center"/>
    </xf>
    <xf numFmtId="188" fontId="0" fillId="0" borderId="0" xfId="0" applyNumberFormat="1" applyAlignment="1">
      <alignment horizontal="right"/>
    </xf>
    <xf numFmtId="0" fontId="0" fillId="32" borderId="0" xfId="0" applyFill="1" applyAlignment="1">
      <alignment horizontal="left"/>
    </xf>
    <xf numFmtId="188" fontId="0" fillId="32" borderId="0" xfId="0" applyNumberFormat="1" applyFill="1" applyAlignment="1">
      <alignment horizontal="right"/>
    </xf>
    <xf numFmtId="196" fontId="0" fillId="32" borderId="0" xfId="0" applyNumberFormat="1" applyFill="1" applyAlignment="1">
      <alignment horizontal="right"/>
    </xf>
    <xf numFmtId="197" fontId="0" fillId="32" borderId="0" xfId="0" applyNumberFormat="1" applyFill="1" applyAlignment="1">
      <alignment horizontal="right"/>
    </xf>
    <xf numFmtId="196" fontId="0" fillId="0" borderId="0" xfId="0" applyNumberFormat="1" applyAlignment="1">
      <alignment horizontal="right"/>
    </xf>
    <xf numFmtId="197" fontId="0" fillId="0" borderId="0" xfId="0" applyNumberFormat="1" applyAlignment="1">
      <alignment horizontal="right"/>
    </xf>
    <xf numFmtId="199" fontId="0" fillId="0" borderId="0" xfId="0" applyNumberFormat="1" applyAlignment="1">
      <alignment horizontal="right"/>
    </xf>
    <xf numFmtId="199" fontId="0" fillId="32" borderId="0" xfId="0" applyNumberFormat="1" applyFill="1" applyAlignment="1">
      <alignment horizontal="right"/>
    </xf>
    <xf numFmtId="205" fontId="0" fillId="32" borderId="0" xfId="0" applyNumberFormat="1" applyFill="1" applyAlignment="1">
      <alignment horizontal="right"/>
    </xf>
    <xf numFmtId="202" fontId="0" fillId="32" borderId="0" xfId="0" applyNumberFormat="1" applyFill="1" applyAlignment="1">
      <alignment horizontal="right"/>
    </xf>
    <xf numFmtId="207" fontId="0" fillId="0" borderId="0" xfId="0" applyNumberFormat="1" applyAlignment="1">
      <alignment horizontal="right"/>
    </xf>
    <xf numFmtId="209" fontId="0" fillId="0" borderId="0" xfId="0" applyNumberFormat="1" applyAlignment="1">
      <alignment horizontal="right"/>
    </xf>
    <xf numFmtId="210" fontId="0" fillId="0" borderId="0" xfId="0" applyNumberFormat="1" applyAlignment="1">
      <alignment horizontal="right"/>
    </xf>
    <xf numFmtId="207" fontId="0" fillId="32" borderId="0" xfId="0" applyNumberFormat="1" applyFill="1" applyAlignment="1">
      <alignment horizontal="right"/>
    </xf>
    <xf numFmtId="10" fontId="147" fillId="0" borderId="0" xfId="1" applyNumberFormat="1" applyFont="1" applyAlignment="1">
      <alignment horizontal="left"/>
    </xf>
    <xf numFmtId="0" fontId="34" fillId="0" borderId="0" xfId="18"/>
    <xf numFmtId="197" fontId="34" fillId="0" borderId="0" xfId="18" applyNumberFormat="1" applyAlignment="1">
      <alignment horizontal="right"/>
    </xf>
    <xf numFmtId="199" fontId="34" fillId="32" borderId="0" xfId="18" applyNumberFormat="1" applyFill="1" applyAlignment="1">
      <alignment horizontal="right"/>
    </xf>
    <xf numFmtId="199" fontId="34" fillId="0" borderId="0" xfId="18" applyNumberFormat="1" applyAlignment="1">
      <alignment horizontal="right"/>
    </xf>
    <xf numFmtId="0" fontId="151" fillId="0" borderId="0" xfId="18" applyFont="1" applyAlignment="1">
      <alignment horizontal="left"/>
    </xf>
    <xf numFmtId="0" fontId="99" fillId="33" borderId="0" xfId="18" applyFont="1" applyFill="1" applyAlignment="1">
      <alignment horizontal="left"/>
    </xf>
    <xf numFmtId="10" fontId="0" fillId="0" borderId="0" xfId="1" applyNumberFormat="1" applyFont="1"/>
    <xf numFmtId="0" fontId="2" fillId="0" borderId="0" xfId="0" applyFont="1" applyAlignment="1">
      <alignment horizontal="left" wrapText="1"/>
    </xf>
    <xf numFmtId="0" fontId="0" fillId="0" borderId="0" xfId="0" applyAlignment="1">
      <alignment wrapText="1"/>
    </xf>
    <xf numFmtId="10" fontId="0" fillId="0" borderId="0" xfId="0" applyNumberFormat="1"/>
    <xf numFmtId="0" fontId="2" fillId="0" borderId="0" xfId="0" applyFont="1" applyAlignment="1">
      <alignment horizontal="right" wrapText="1"/>
    </xf>
    <xf numFmtId="10" fontId="107" fillId="0" borderId="0" xfId="0" applyNumberFormat="1" applyFont="1"/>
    <xf numFmtId="0" fontId="152" fillId="3" borderId="0" xfId="0" applyFont="1" applyFill="1"/>
    <xf numFmtId="2" fontId="1" fillId="5" borderId="0" xfId="0" applyNumberFormat="1" applyFont="1" applyFill="1"/>
    <xf numFmtId="0" fontId="3" fillId="5" borderId="0" xfId="0" applyFont="1" applyFill="1" applyAlignment="1">
      <alignment horizontal="right"/>
    </xf>
    <xf numFmtId="0" fontId="153" fillId="3" borderId="0" xfId="0" applyFont="1" applyFill="1"/>
    <xf numFmtId="166" fontId="107" fillId="3" borderId="0" xfId="0" applyNumberFormat="1" applyFont="1" applyFill="1" applyAlignment="1">
      <alignment horizontal="left"/>
    </xf>
    <xf numFmtId="2" fontId="107" fillId="6" borderId="0" xfId="0" applyNumberFormat="1" applyFont="1" applyFill="1"/>
    <xf numFmtId="0" fontId="150" fillId="3" borderId="0" xfId="0" applyFont="1" applyFill="1" applyAlignment="1">
      <alignment horizontal="left"/>
    </xf>
    <xf numFmtId="0" fontId="12" fillId="6" borderId="0" xfId="0" applyFont="1" applyFill="1"/>
    <xf numFmtId="3" fontId="12" fillId="6" borderId="0" xfId="0" applyNumberFormat="1" applyFont="1" applyFill="1"/>
    <xf numFmtId="0" fontId="154" fillId="3" borderId="0" xfId="0" applyFont="1" applyFill="1"/>
    <xf numFmtId="1" fontId="0" fillId="3" borderId="3" xfId="0" applyNumberFormat="1" applyFill="1" applyBorder="1" applyAlignment="1">
      <alignment horizontal="right"/>
    </xf>
    <xf numFmtId="0" fontId="107" fillId="17" borderId="0" xfId="0" applyFont="1" applyFill="1"/>
    <xf numFmtId="0" fontId="150" fillId="3" borderId="0" xfId="0" applyFont="1" applyFill="1" applyAlignment="1">
      <alignment horizontal="left" vertical="center" wrapText="1"/>
    </xf>
    <xf numFmtId="2" fontId="1" fillId="6" borderId="0" xfId="0" applyNumberFormat="1" applyFont="1" applyFill="1"/>
    <xf numFmtId="3" fontId="155" fillId="3" borderId="0" xfId="0" applyNumberFormat="1" applyFont="1" applyFill="1" applyAlignment="1">
      <alignment horizontal="right" vertical="center" wrapText="1"/>
    </xf>
    <xf numFmtId="3" fontId="155" fillId="3" borderId="33" xfId="0" applyNumberFormat="1" applyFont="1" applyFill="1" applyBorder="1" applyAlignment="1">
      <alignment horizontal="right" vertical="center"/>
    </xf>
    <xf numFmtId="3" fontId="155" fillId="5" borderId="3" xfId="0" applyNumberFormat="1" applyFont="1" applyFill="1" applyBorder="1" applyAlignment="1">
      <alignment horizontal="right" vertical="center" wrapText="1"/>
    </xf>
    <xf numFmtId="169" fontId="75" fillId="3" borderId="0" xfId="0" applyNumberFormat="1" applyFont="1" applyFill="1" applyAlignment="1">
      <alignment horizontal="right" vertical="center" wrapText="1"/>
    </xf>
    <xf numFmtId="3" fontId="155" fillId="3" borderId="33" xfId="0" applyNumberFormat="1" applyFont="1" applyFill="1" applyBorder="1" applyAlignment="1">
      <alignment vertical="center"/>
    </xf>
    <xf numFmtId="2" fontId="2" fillId="3" borderId="3" xfId="0" applyNumberFormat="1" applyFont="1" applyFill="1" applyBorder="1" applyAlignment="1">
      <alignment horizontal="right" wrapText="1"/>
    </xf>
    <xf numFmtId="3" fontId="12" fillId="13" borderId="0" xfId="0" applyNumberFormat="1" applyFont="1" applyFill="1"/>
    <xf numFmtId="165" fontId="141" fillId="3" borderId="0" xfId="1" applyNumberFormat="1" applyFont="1" applyFill="1" applyAlignment="1">
      <alignment horizontal="center" vertical="center"/>
    </xf>
    <xf numFmtId="0" fontId="143" fillId="3" borderId="0" xfId="0" applyFont="1" applyFill="1"/>
    <xf numFmtId="165" fontId="141" fillId="3" borderId="0" xfId="1" applyNumberFormat="1" applyFont="1" applyFill="1" applyAlignment="1">
      <alignment horizontal="center"/>
    </xf>
    <xf numFmtId="10" fontId="141" fillId="3" borderId="0" xfId="1" applyNumberFormat="1" applyFont="1" applyFill="1" applyAlignment="1">
      <alignment horizontal="center"/>
    </xf>
    <xf numFmtId="165" fontId="141" fillId="3" borderId="0" xfId="1" applyNumberFormat="1" applyFont="1" applyFill="1"/>
    <xf numFmtId="3" fontId="12" fillId="5" borderId="0" xfId="0" applyNumberFormat="1" applyFont="1" applyFill="1"/>
    <xf numFmtId="0" fontId="157" fillId="3" borderId="0" xfId="0" applyFont="1" applyFill="1"/>
    <xf numFmtId="14" fontId="157" fillId="5" borderId="0" xfId="0" applyNumberFormat="1" applyFont="1" applyFill="1"/>
    <xf numFmtId="3" fontId="0" fillId="3" borderId="3" xfId="0" applyNumberFormat="1" applyFill="1" applyBorder="1"/>
    <xf numFmtId="4" fontId="0" fillId="20" borderId="0" xfId="0" applyNumberFormat="1" applyFill="1"/>
    <xf numFmtId="0" fontId="23" fillId="0" borderId="44" xfId="5" applyBorder="1"/>
    <xf numFmtId="0" fontId="23" fillId="0" borderId="2" xfId="5" applyBorder="1" applyAlignment="1">
      <alignment horizontal="center"/>
    </xf>
    <xf numFmtId="2" fontId="23" fillId="0" borderId="2" xfId="5" applyNumberFormat="1" applyBorder="1" applyAlignment="1">
      <alignment horizontal="center"/>
    </xf>
    <xf numFmtId="0" fontId="23" fillId="0" borderId="13" xfId="5" applyBorder="1"/>
    <xf numFmtId="0" fontId="23" fillId="0" borderId="43" xfId="5" applyBorder="1" applyAlignment="1">
      <alignment horizontal="center"/>
    </xf>
    <xf numFmtId="2" fontId="23" fillId="0" borderId="43" xfId="5" applyNumberFormat="1" applyBorder="1" applyAlignment="1">
      <alignment horizontal="center"/>
    </xf>
    <xf numFmtId="0" fontId="23" fillId="0" borderId="2" xfId="5" applyBorder="1"/>
    <xf numFmtId="10" fontId="23" fillId="0" borderId="2" xfId="5" applyNumberFormat="1" applyBorder="1" applyAlignment="1">
      <alignment horizontal="center"/>
    </xf>
    <xf numFmtId="0" fontId="158" fillId="2" borderId="1" xfId="2" applyFont="1" applyBorder="1" applyAlignment="1">
      <alignment vertical="center"/>
    </xf>
    <xf numFmtId="1" fontId="159" fillId="15" borderId="0" xfId="0" applyNumberFormat="1" applyFont="1" applyFill="1" applyAlignment="1">
      <alignment vertical="center"/>
    </xf>
    <xf numFmtId="2" fontId="160" fillId="15" borderId="33" xfId="0" applyNumberFormat="1" applyFont="1" applyFill="1" applyBorder="1" applyAlignment="1">
      <alignment vertical="center"/>
    </xf>
    <xf numFmtId="2" fontId="73" fillId="30" borderId="33" xfId="0" applyNumberFormat="1" applyFont="1" applyFill="1" applyBorder="1" applyAlignment="1">
      <alignment vertical="center"/>
    </xf>
    <xf numFmtId="2" fontId="0" fillId="30" borderId="0" xfId="0" applyNumberFormat="1" applyFill="1"/>
    <xf numFmtId="2" fontId="34" fillId="17" borderId="0" xfId="0" applyNumberFormat="1" applyFont="1" applyFill="1" applyAlignment="1">
      <alignment vertical="center"/>
    </xf>
    <xf numFmtId="165" fontId="34" fillId="17" borderId="0" xfId="0" applyNumberFormat="1" applyFont="1" applyFill="1" applyAlignment="1">
      <alignment vertical="center"/>
    </xf>
    <xf numFmtId="10" fontId="34" fillId="17" borderId="0" xfId="0" applyNumberFormat="1" applyFont="1" applyFill="1" applyAlignment="1">
      <alignment vertical="center"/>
    </xf>
    <xf numFmtId="2" fontId="34" fillId="3" borderId="0" xfId="0" applyNumberFormat="1" applyFont="1" applyFill="1" applyAlignment="1">
      <alignment vertical="center"/>
    </xf>
    <xf numFmtId="2" fontId="34" fillId="3" borderId="0" xfId="0" applyNumberFormat="1" applyFont="1" applyFill="1"/>
    <xf numFmtId="0" fontId="158" fillId="15" borderId="0" xfId="0" applyFont="1" applyFill="1" applyAlignment="1">
      <alignment vertical="center"/>
    </xf>
    <xf numFmtId="2" fontId="34" fillId="0" borderId="0" xfId="0" applyNumberFormat="1" applyFont="1" applyAlignment="1">
      <alignment vertical="center"/>
    </xf>
    <xf numFmtId="2" fontId="2" fillId="17" borderId="0" xfId="0" applyNumberFormat="1" applyFont="1" applyFill="1"/>
    <xf numFmtId="2" fontId="2" fillId="17" borderId="3" xfId="0" applyNumberFormat="1" applyFont="1" applyFill="1" applyBorder="1"/>
    <xf numFmtId="0" fontId="0" fillId="17" borderId="0" xfId="0" applyFill="1" applyAlignment="1">
      <alignment horizontal="right"/>
    </xf>
    <xf numFmtId="10" fontId="0" fillId="17" borderId="0" xfId="1" applyNumberFormat="1" applyFont="1" applyFill="1"/>
    <xf numFmtId="10" fontId="12" fillId="17" borderId="2" xfId="1" applyNumberFormat="1" applyFont="1" applyFill="1" applyBorder="1" applyAlignment="1">
      <alignment horizontal="center"/>
    </xf>
    <xf numFmtId="0" fontId="12" fillId="5" borderId="0" xfId="0" applyFont="1" applyFill="1"/>
    <xf numFmtId="0" fontId="1" fillId="0" borderId="0" xfId="0" applyFont="1"/>
    <xf numFmtId="0" fontId="107" fillId="17" borderId="0" xfId="0" applyFont="1" applyFill="1" applyAlignment="1">
      <alignment horizontal="right"/>
    </xf>
    <xf numFmtId="1" fontId="0" fillId="3" borderId="0" xfId="26" applyNumberFormat="1" applyFont="1" applyFill="1"/>
    <xf numFmtId="1" fontId="2" fillId="3" borderId="0" xfId="26" applyNumberFormat="1" applyFont="1" applyFill="1"/>
    <xf numFmtId="1" fontId="2" fillId="3" borderId="0" xfId="26" applyNumberFormat="1" applyFont="1" applyFill="1" applyAlignment="1">
      <alignment horizontal="right"/>
    </xf>
    <xf numFmtId="1" fontId="12" fillId="3" borderId="0" xfId="1" applyNumberFormat="1" applyFont="1" applyFill="1"/>
    <xf numFmtId="2" fontId="73" fillId="5" borderId="33" xfId="0" applyNumberFormat="1" applyFont="1" applyFill="1" applyBorder="1" applyAlignment="1">
      <alignment vertical="center"/>
    </xf>
    <xf numFmtId="2" fontId="70" fillId="5" borderId="33" xfId="0" applyNumberFormat="1" applyFont="1" applyFill="1" applyBorder="1" applyAlignment="1">
      <alignment vertical="center"/>
    </xf>
    <xf numFmtId="2" fontId="70" fillId="34" borderId="33" xfId="0" applyNumberFormat="1" applyFont="1" applyFill="1" applyBorder="1" applyAlignment="1">
      <alignment vertical="center"/>
    </xf>
    <xf numFmtId="2" fontId="70" fillId="5" borderId="0" xfId="0" applyNumberFormat="1" applyFont="1" applyFill="1" applyAlignment="1">
      <alignment vertical="center"/>
    </xf>
    <xf numFmtId="9" fontId="12" fillId="5" borderId="0" xfId="1" applyFont="1" applyFill="1"/>
    <xf numFmtId="10" fontId="12" fillId="35" borderId="0" xfId="1" applyNumberFormat="1" applyFont="1" applyFill="1"/>
    <xf numFmtId="1" fontId="0" fillId="0" borderId="0" xfId="0" applyNumberFormat="1"/>
    <xf numFmtId="2" fontId="107" fillId="34" borderId="0" xfId="0" applyNumberFormat="1" applyFont="1" applyFill="1"/>
    <xf numFmtId="2" fontId="0" fillId="34" borderId="0" xfId="0" applyNumberFormat="1" applyFill="1"/>
    <xf numFmtId="165" fontId="0" fillId="35" borderId="3" xfId="1" applyNumberFormat="1" applyFont="1" applyFill="1" applyBorder="1"/>
    <xf numFmtId="0" fontId="165" fillId="10" borderId="22" xfId="18" applyFont="1" applyFill="1" applyBorder="1" applyAlignment="1">
      <alignment horizontal="left" vertical="center"/>
    </xf>
    <xf numFmtId="0" fontId="166" fillId="0" borderId="0" xfId="24" applyFont="1"/>
    <xf numFmtId="0" fontId="164" fillId="0" borderId="0" xfId="24" applyFont="1"/>
    <xf numFmtId="0" fontId="166" fillId="0" borderId="0" xfId="24" applyFont="1" applyAlignment="1">
      <alignment horizontal="left"/>
    </xf>
    <xf numFmtId="188" fontId="166" fillId="0" borderId="0" xfId="24" applyNumberFormat="1" applyFont="1" applyAlignment="1">
      <alignment horizontal="right"/>
    </xf>
    <xf numFmtId="0" fontId="163" fillId="32" borderId="0" xfId="24" applyFont="1" applyFill="1" applyAlignment="1">
      <alignment horizontal="left"/>
    </xf>
    <xf numFmtId="0" fontId="163" fillId="32" borderId="0" xfId="24" applyFont="1" applyFill="1" applyAlignment="1">
      <alignment horizontal="right"/>
    </xf>
    <xf numFmtId="191" fontId="163" fillId="32" borderId="0" xfId="24" applyNumberFormat="1" applyFont="1" applyFill="1" applyAlignment="1">
      <alignment horizontal="right"/>
    </xf>
    <xf numFmtId="0" fontId="166" fillId="0" borderId="0" xfId="24" applyFont="1" applyAlignment="1">
      <alignment horizontal="left" indent="1"/>
    </xf>
    <xf numFmtId="191" fontId="166" fillId="0" borderId="0" xfId="24" applyNumberFormat="1" applyFont="1" applyAlignment="1">
      <alignment horizontal="right"/>
    </xf>
    <xf numFmtId="178" fontId="163" fillId="32" borderId="0" xfId="24" applyNumberFormat="1" applyFont="1" applyFill="1" applyAlignment="1">
      <alignment horizontal="right"/>
    </xf>
    <xf numFmtId="178" fontId="166" fillId="0" borderId="0" xfId="24" applyNumberFormat="1" applyFont="1" applyAlignment="1">
      <alignment horizontal="right"/>
    </xf>
    <xf numFmtId="0" fontId="166" fillId="32" borderId="0" xfId="24" applyFont="1" applyFill="1" applyAlignment="1">
      <alignment horizontal="left" indent="1"/>
    </xf>
    <xf numFmtId="0" fontId="166" fillId="32" borderId="0" xfId="24" applyFont="1" applyFill="1" applyAlignment="1">
      <alignment horizontal="left"/>
    </xf>
    <xf numFmtId="178" fontId="166" fillId="32" borderId="0" xfId="24" applyNumberFormat="1" applyFont="1" applyFill="1" applyAlignment="1">
      <alignment horizontal="right"/>
    </xf>
    <xf numFmtId="0" fontId="163" fillId="0" borderId="0" xfId="24" applyFont="1" applyAlignment="1">
      <alignment horizontal="left"/>
    </xf>
    <xf numFmtId="0" fontId="163" fillId="0" borderId="0" xfId="24" applyFont="1" applyAlignment="1">
      <alignment horizontal="right"/>
    </xf>
    <xf numFmtId="212" fontId="163" fillId="0" borderId="0" xfId="24" applyNumberFormat="1" applyFont="1" applyAlignment="1">
      <alignment horizontal="right"/>
    </xf>
    <xf numFmtId="212" fontId="166" fillId="32" borderId="0" xfId="24" applyNumberFormat="1" applyFont="1" applyFill="1" applyAlignment="1">
      <alignment horizontal="right"/>
    </xf>
    <xf numFmtId="192" fontId="166" fillId="32" borderId="0" xfId="24" applyNumberFormat="1" applyFont="1" applyFill="1" applyAlignment="1">
      <alignment horizontal="right"/>
    </xf>
    <xf numFmtId="196" fontId="166" fillId="32" borderId="0" xfId="24" applyNumberFormat="1" applyFont="1" applyFill="1" applyAlignment="1">
      <alignment horizontal="right"/>
    </xf>
    <xf numFmtId="203" fontId="166" fillId="0" borderId="0" xfId="24" applyNumberFormat="1" applyFont="1" applyAlignment="1">
      <alignment horizontal="right"/>
    </xf>
    <xf numFmtId="213" fontId="166" fillId="32" borderId="0" xfId="24" applyNumberFormat="1" applyFont="1" applyFill="1" applyAlignment="1">
      <alignment horizontal="right"/>
    </xf>
    <xf numFmtId="188" fontId="166" fillId="32" borderId="0" xfId="24" applyNumberFormat="1" applyFont="1" applyFill="1" applyAlignment="1">
      <alignment horizontal="right"/>
    </xf>
    <xf numFmtId="214" fontId="163" fillId="0" borderId="0" xfId="24" applyNumberFormat="1" applyFont="1" applyAlignment="1">
      <alignment horizontal="right"/>
    </xf>
    <xf numFmtId="215" fontId="163" fillId="0" borderId="0" xfId="24" applyNumberFormat="1" applyFont="1" applyAlignment="1">
      <alignment horizontal="right"/>
    </xf>
    <xf numFmtId="211" fontId="166" fillId="32" borderId="0" xfId="24" applyNumberFormat="1" applyFont="1" applyFill="1" applyAlignment="1">
      <alignment horizontal="right"/>
    </xf>
    <xf numFmtId="201" fontId="166" fillId="32" borderId="0" xfId="24" applyNumberFormat="1" applyFont="1" applyFill="1" applyAlignment="1">
      <alignment horizontal="right"/>
    </xf>
    <xf numFmtId="216" fontId="166" fillId="0" borderId="0" xfId="24" applyNumberFormat="1" applyFont="1" applyAlignment="1">
      <alignment horizontal="right"/>
    </xf>
    <xf numFmtId="201" fontId="166" fillId="0" borderId="0" xfId="24" applyNumberFormat="1" applyFont="1" applyAlignment="1">
      <alignment horizontal="right"/>
    </xf>
    <xf numFmtId="211" fontId="166" fillId="0" borderId="0" xfId="24" applyNumberFormat="1" applyFont="1" applyAlignment="1">
      <alignment horizontal="right"/>
    </xf>
    <xf numFmtId="217" fontId="166" fillId="32" borderId="0" xfId="24" applyNumberFormat="1" applyFont="1" applyFill="1" applyAlignment="1">
      <alignment horizontal="right"/>
    </xf>
    <xf numFmtId="218" fontId="166" fillId="0" borderId="0" xfId="24" applyNumberFormat="1" applyFont="1" applyAlignment="1">
      <alignment horizontal="right"/>
    </xf>
    <xf numFmtId="208" fontId="166" fillId="32" borderId="0" xfId="24" applyNumberFormat="1" applyFont="1" applyFill="1" applyAlignment="1">
      <alignment horizontal="right"/>
    </xf>
    <xf numFmtId="208" fontId="166" fillId="0" borderId="0" xfId="24" applyNumberFormat="1" applyFont="1" applyAlignment="1">
      <alignment horizontal="right"/>
    </xf>
    <xf numFmtId="194" fontId="166" fillId="32" borderId="0" xfId="24" applyNumberFormat="1" applyFont="1" applyFill="1" applyAlignment="1">
      <alignment horizontal="right"/>
    </xf>
    <xf numFmtId="194" fontId="166" fillId="0" borderId="0" xfId="24" applyNumberFormat="1" applyFont="1" applyAlignment="1">
      <alignment horizontal="right"/>
    </xf>
    <xf numFmtId="218" fontId="166" fillId="32" borderId="0" xfId="24" applyNumberFormat="1" applyFont="1" applyFill="1" applyAlignment="1">
      <alignment horizontal="right"/>
    </xf>
    <xf numFmtId="203" fontId="166" fillId="32" borderId="0" xfId="24" applyNumberFormat="1" applyFont="1" applyFill="1" applyAlignment="1">
      <alignment horizontal="right"/>
    </xf>
    <xf numFmtId="204" fontId="166" fillId="32" borderId="0" xfId="24" applyNumberFormat="1" applyFont="1" applyFill="1" applyAlignment="1">
      <alignment horizontal="right"/>
    </xf>
    <xf numFmtId="198" fontId="166" fillId="0" borderId="0" xfId="24" applyNumberFormat="1" applyFont="1" applyAlignment="1">
      <alignment horizontal="right"/>
    </xf>
    <xf numFmtId="195" fontId="166" fillId="0" borderId="0" xfId="24" applyNumberFormat="1" applyFont="1" applyAlignment="1">
      <alignment horizontal="right"/>
    </xf>
    <xf numFmtId="196" fontId="166" fillId="0" borderId="0" xfId="24" applyNumberFormat="1" applyFont="1" applyAlignment="1">
      <alignment horizontal="right"/>
    </xf>
    <xf numFmtId="197" fontId="166" fillId="0" borderId="0" xfId="24" applyNumberFormat="1" applyFont="1" applyAlignment="1">
      <alignment horizontal="right"/>
    </xf>
    <xf numFmtId="210" fontId="166" fillId="0" borderId="0" xfId="24" applyNumberFormat="1" applyFont="1" applyAlignment="1">
      <alignment horizontal="right"/>
    </xf>
    <xf numFmtId="200" fontId="166" fillId="32" borderId="0" xfId="24" applyNumberFormat="1" applyFont="1" applyFill="1" applyAlignment="1">
      <alignment horizontal="right"/>
    </xf>
    <xf numFmtId="205" fontId="166" fillId="32" borderId="0" xfId="24" applyNumberFormat="1" applyFont="1" applyFill="1" applyAlignment="1">
      <alignment horizontal="right"/>
    </xf>
    <xf numFmtId="197" fontId="166" fillId="32" borderId="0" xfId="24" applyNumberFormat="1" applyFont="1" applyFill="1" applyAlignment="1">
      <alignment horizontal="right"/>
    </xf>
    <xf numFmtId="199" fontId="166" fillId="32" borderId="0" xfId="24" applyNumberFormat="1" applyFont="1" applyFill="1" applyAlignment="1">
      <alignment horizontal="right"/>
    </xf>
    <xf numFmtId="192" fontId="166" fillId="0" borderId="0" xfId="24" applyNumberFormat="1" applyFont="1" applyAlignment="1">
      <alignment horizontal="right"/>
    </xf>
    <xf numFmtId="205" fontId="166" fillId="0" borderId="0" xfId="24" applyNumberFormat="1" applyFont="1" applyAlignment="1">
      <alignment horizontal="right"/>
    </xf>
    <xf numFmtId="190" fontId="166" fillId="32" borderId="0" xfId="24" applyNumberFormat="1" applyFont="1" applyFill="1" applyAlignment="1">
      <alignment horizontal="right"/>
    </xf>
    <xf numFmtId="193" fontId="166" fillId="32" borderId="0" xfId="24" applyNumberFormat="1" applyFont="1" applyFill="1" applyAlignment="1">
      <alignment horizontal="right"/>
    </xf>
    <xf numFmtId="219" fontId="166" fillId="0" borderId="0" xfId="24" applyNumberFormat="1" applyFont="1" applyAlignment="1">
      <alignment horizontal="right"/>
    </xf>
    <xf numFmtId="219" fontId="166" fillId="32" borderId="0" xfId="24" applyNumberFormat="1" applyFont="1" applyFill="1" applyAlignment="1">
      <alignment horizontal="right"/>
    </xf>
    <xf numFmtId="195" fontId="166" fillId="32" borderId="0" xfId="24" applyNumberFormat="1" applyFont="1" applyFill="1" applyAlignment="1">
      <alignment horizontal="right"/>
    </xf>
    <xf numFmtId="220" fontId="166" fillId="0" borderId="0" xfId="24" applyNumberFormat="1" applyFont="1" applyAlignment="1">
      <alignment horizontal="right"/>
    </xf>
    <xf numFmtId="204" fontId="166" fillId="0" borderId="0" xfId="24" applyNumberFormat="1" applyFont="1" applyAlignment="1">
      <alignment horizontal="right"/>
    </xf>
    <xf numFmtId="206" fontId="166" fillId="0" borderId="0" xfId="24" applyNumberFormat="1" applyFont="1" applyAlignment="1">
      <alignment horizontal="right"/>
    </xf>
    <xf numFmtId="207" fontId="166" fillId="0" borderId="0" xfId="24" applyNumberFormat="1" applyFont="1" applyAlignment="1">
      <alignment horizontal="right"/>
    </xf>
    <xf numFmtId="199" fontId="166" fillId="0" borderId="0" xfId="24" applyNumberFormat="1" applyFont="1" applyAlignment="1">
      <alignment horizontal="right"/>
    </xf>
    <xf numFmtId="221" fontId="166" fillId="32" borderId="0" xfId="24" applyNumberFormat="1" applyFont="1" applyFill="1" applyAlignment="1">
      <alignment horizontal="right"/>
    </xf>
    <xf numFmtId="222" fontId="166" fillId="0" borderId="0" xfId="24" applyNumberFormat="1" applyFont="1" applyAlignment="1">
      <alignment horizontal="right"/>
    </xf>
    <xf numFmtId="223" fontId="166" fillId="32" borderId="0" xfId="24" applyNumberFormat="1" applyFont="1" applyFill="1" applyAlignment="1">
      <alignment horizontal="right"/>
    </xf>
    <xf numFmtId="224" fontId="166" fillId="32" borderId="0" xfId="24" applyNumberFormat="1" applyFont="1" applyFill="1" applyAlignment="1">
      <alignment horizontal="right"/>
    </xf>
    <xf numFmtId="212" fontId="166" fillId="0" borderId="0" xfId="24" applyNumberFormat="1" applyFont="1" applyAlignment="1">
      <alignment horizontal="right"/>
    </xf>
    <xf numFmtId="203" fontId="163" fillId="32" borderId="0" xfId="24" applyNumberFormat="1" applyFont="1" applyFill="1" applyAlignment="1">
      <alignment horizontal="right"/>
    </xf>
    <xf numFmtId="194" fontId="162" fillId="0" borderId="0" xfId="24" applyNumberFormat="1" applyFont="1" applyAlignment="1">
      <alignment horizontal="right"/>
    </xf>
    <xf numFmtId="203" fontId="162" fillId="32" borderId="0" xfId="24" applyNumberFormat="1" applyFont="1" applyFill="1" applyAlignment="1">
      <alignment horizontal="right"/>
    </xf>
    <xf numFmtId="225" fontId="162" fillId="0" borderId="0" xfId="24" applyNumberFormat="1" applyFont="1" applyAlignment="1">
      <alignment horizontal="right"/>
    </xf>
    <xf numFmtId="225" fontId="166" fillId="32" borderId="0" xfId="24" applyNumberFormat="1" applyFont="1" applyFill="1" applyAlignment="1">
      <alignment horizontal="right"/>
    </xf>
    <xf numFmtId="0" fontId="166" fillId="0" borderId="0" xfId="24" applyFont="1" applyAlignment="1">
      <alignment horizontal="right"/>
    </xf>
    <xf numFmtId="226" fontId="166" fillId="0" borderId="0" xfId="24" applyNumberFormat="1" applyFont="1" applyAlignment="1">
      <alignment horizontal="right"/>
    </xf>
    <xf numFmtId="0" fontId="166" fillId="32" borderId="0" xfId="24" applyFont="1" applyFill="1" applyAlignment="1">
      <alignment horizontal="right"/>
    </xf>
    <xf numFmtId="191" fontId="162" fillId="32" borderId="0" xfId="24" applyNumberFormat="1" applyFont="1" applyFill="1" applyAlignment="1">
      <alignment horizontal="right"/>
    </xf>
    <xf numFmtId="189" fontId="166" fillId="0" borderId="0" xfId="24" applyNumberFormat="1" applyFont="1" applyAlignment="1">
      <alignment horizontal="right"/>
    </xf>
    <xf numFmtId="191" fontId="166" fillId="32" borderId="0" xfId="24" applyNumberFormat="1" applyFont="1" applyFill="1" applyAlignment="1">
      <alignment horizontal="right"/>
    </xf>
    <xf numFmtId="227" fontId="166" fillId="0" borderId="0" xfId="24" applyNumberFormat="1" applyFont="1" applyAlignment="1">
      <alignment horizontal="right"/>
    </xf>
    <xf numFmtId="0" fontId="161" fillId="0" borderId="0" xfId="24" applyFont="1" applyAlignment="1">
      <alignment horizontal="left"/>
    </xf>
    <xf numFmtId="0" fontId="167" fillId="36" borderId="0" xfId="0" applyFont="1" applyFill="1" applyAlignment="1">
      <alignment horizontal="right" vertical="center"/>
    </xf>
    <xf numFmtId="0" fontId="76" fillId="13" borderId="0" xfId="0" applyFont="1" applyFill="1" applyAlignment="1">
      <alignment vertical="center"/>
    </xf>
    <xf numFmtId="2" fontId="67" fillId="3" borderId="3" xfId="0" applyNumberFormat="1" applyFont="1" applyFill="1" applyBorder="1" applyAlignment="1">
      <alignment vertical="center"/>
    </xf>
    <xf numFmtId="9" fontId="77" fillId="3" borderId="0" xfId="1" applyFont="1" applyFill="1" applyAlignment="1">
      <alignment vertical="center"/>
    </xf>
    <xf numFmtId="2" fontId="0" fillId="3" borderId="0" xfId="1" applyNumberFormat="1" applyFont="1" applyFill="1"/>
    <xf numFmtId="2" fontId="0" fillId="3" borderId="3" xfId="1" applyNumberFormat="1" applyFont="1" applyFill="1" applyBorder="1"/>
    <xf numFmtId="2" fontId="77" fillId="3" borderId="0" xfId="1" applyNumberFormat="1" applyFont="1" applyFill="1" applyAlignment="1">
      <alignment vertical="center"/>
    </xf>
    <xf numFmtId="2" fontId="77" fillId="3" borderId="16" xfId="1" applyNumberFormat="1" applyFont="1" applyFill="1" applyBorder="1" applyAlignment="1">
      <alignment vertical="center"/>
    </xf>
    <xf numFmtId="2" fontId="77" fillId="3" borderId="72" xfId="1" applyNumberFormat="1" applyFont="1" applyFill="1" applyBorder="1" applyAlignment="1">
      <alignment vertical="center"/>
    </xf>
    <xf numFmtId="9" fontId="77" fillId="3" borderId="16" xfId="1" applyFont="1" applyFill="1" applyBorder="1" applyAlignment="1">
      <alignment vertical="center"/>
    </xf>
    <xf numFmtId="2" fontId="0" fillId="5" borderId="0" xfId="1" applyNumberFormat="1" applyFont="1" applyFill="1"/>
    <xf numFmtId="14" fontId="67" fillId="37" borderId="0" xfId="0" applyNumberFormat="1" applyFont="1" applyFill="1" applyAlignment="1">
      <alignment vertical="center"/>
    </xf>
    <xf numFmtId="165" fontId="0" fillId="5" borderId="0" xfId="1" applyNumberFormat="1" applyFont="1" applyFill="1"/>
    <xf numFmtId="165" fontId="0" fillId="5" borderId="3" xfId="1" applyNumberFormat="1" applyFont="1" applyFill="1" applyBorder="1"/>
    <xf numFmtId="9" fontId="77" fillId="5" borderId="0" xfId="1" applyFont="1" applyFill="1" applyAlignment="1">
      <alignment vertical="center"/>
    </xf>
    <xf numFmtId="178" fontId="73" fillId="3" borderId="0" xfId="0" applyNumberFormat="1" applyFont="1" applyFill="1" applyAlignment="1">
      <alignment vertical="center"/>
    </xf>
    <xf numFmtId="2" fontId="0" fillId="5" borderId="0" xfId="1" applyNumberFormat="1" applyFont="1" applyFill="1" applyBorder="1"/>
    <xf numFmtId="2" fontId="77" fillId="3" borderId="0" xfId="1" applyNumberFormat="1" applyFont="1" applyFill="1" applyBorder="1" applyAlignment="1">
      <alignment vertical="center"/>
    </xf>
    <xf numFmtId="49" fontId="67" fillId="3" borderId="32" xfId="0" applyNumberFormat="1" applyFont="1" applyFill="1" applyBorder="1" applyAlignment="1">
      <alignment horizontal="center" vertical="center"/>
    </xf>
    <xf numFmtId="0" fontId="67" fillId="3" borderId="0" xfId="0" applyFont="1" applyFill="1" applyAlignment="1">
      <alignment horizontal="center" vertical="center"/>
    </xf>
    <xf numFmtId="1" fontId="67" fillId="3" borderId="0" xfId="0" applyNumberFormat="1" applyFont="1" applyFill="1" applyAlignment="1">
      <alignment horizontal="center" vertical="center"/>
    </xf>
    <xf numFmtId="0" fontId="10" fillId="2" borderId="1" xfId="2" applyFont="1" applyBorder="1" applyAlignment="1">
      <alignment horizontal="center" vertical="center"/>
    </xf>
    <xf numFmtId="0" fontId="0" fillId="5" borderId="0" xfId="0" applyFill="1" applyAlignment="1">
      <alignment horizontal="center"/>
    </xf>
    <xf numFmtId="0" fontId="67" fillId="5" borderId="0" xfId="0" applyFont="1" applyFill="1" applyAlignment="1">
      <alignment horizontal="center" vertical="center"/>
    </xf>
    <xf numFmtId="0" fontId="77" fillId="5" borderId="0" xfId="0" applyFont="1" applyFill="1" applyAlignment="1">
      <alignment horizontal="center" vertical="center"/>
    </xf>
    <xf numFmtId="0" fontId="77" fillId="3" borderId="0" xfId="0" applyFont="1" applyFill="1" applyAlignment="1">
      <alignment horizontal="center" vertical="center"/>
    </xf>
    <xf numFmtId="0" fontId="67" fillId="3" borderId="33" xfId="0" applyFont="1" applyFill="1" applyBorder="1" applyAlignment="1">
      <alignment horizontal="center" vertical="center"/>
    </xf>
    <xf numFmtId="2" fontId="81" fillId="14" borderId="33" xfId="15" applyNumberFormat="1" applyBorder="1" applyAlignment="1">
      <alignment horizontal="center" vertical="center" wrapText="1"/>
    </xf>
    <xf numFmtId="2" fontId="81" fillId="14" borderId="0" xfId="15" applyNumberFormat="1" applyAlignment="1">
      <alignment horizontal="center" vertical="center" wrapText="1"/>
    </xf>
    <xf numFmtId="0" fontId="77" fillId="3" borderId="33" xfId="0" applyFont="1" applyFill="1" applyBorder="1" applyAlignment="1">
      <alignment horizontal="center" vertical="center"/>
    </xf>
    <xf numFmtId="2" fontId="81" fillId="14" borderId="72" xfId="15" applyNumberFormat="1" applyBorder="1" applyAlignment="1">
      <alignment horizontal="center" vertical="center" wrapText="1"/>
    </xf>
    <xf numFmtId="2" fontId="131" fillId="0" borderId="33" xfId="0" applyNumberFormat="1" applyFont="1" applyBorder="1" applyAlignment="1">
      <alignment vertical="center"/>
    </xf>
    <xf numFmtId="2" fontId="67" fillId="0" borderId="33" xfId="0" applyNumberFormat="1" applyFont="1" applyBorder="1" applyAlignment="1">
      <alignment vertical="center"/>
    </xf>
    <xf numFmtId="0" fontId="168" fillId="0" borderId="0" xfId="0" applyFont="1"/>
    <xf numFmtId="0" fontId="169" fillId="0" borderId="0" xfId="0" applyFont="1"/>
    <xf numFmtId="0" fontId="170" fillId="0" borderId="0" xfId="0" applyFont="1"/>
    <xf numFmtId="0" fontId="171" fillId="0" borderId="0" xfId="0" applyFont="1"/>
    <xf numFmtId="10" fontId="168" fillId="0" borderId="0" xfId="0" applyNumberFormat="1" applyFont="1"/>
    <xf numFmtId="10" fontId="171" fillId="0" borderId="0" xfId="0" applyNumberFormat="1" applyFont="1"/>
    <xf numFmtId="0" fontId="172" fillId="0" borderId="0" xfId="0" applyFont="1"/>
    <xf numFmtId="0" fontId="172" fillId="38" borderId="0" xfId="0" applyFont="1" applyFill="1"/>
    <xf numFmtId="0" fontId="172" fillId="39" borderId="0" xfId="0" applyFont="1" applyFill="1"/>
    <xf numFmtId="0" fontId="168" fillId="40" borderId="0" xfId="0" applyFont="1" applyFill="1"/>
    <xf numFmtId="0" fontId="173" fillId="38" borderId="0" xfId="0" applyFont="1" applyFill="1"/>
    <xf numFmtId="0" fontId="173" fillId="39" borderId="0" xfId="0" applyFont="1" applyFill="1"/>
    <xf numFmtId="3" fontId="169" fillId="0" borderId="0" xfId="0" applyNumberFormat="1" applyFont="1"/>
    <xf numFmtId="3" fontId="169" fillId="41" borderId="0" xfId="0" applyNumberFormat="1" applyFont="1" applyFill="1"/>
    <xf numFmtId="3" fontId="168" fillId="40" borderId="0" xfId="0" applyNumberFormat="1" applyFont="1" applyFill="1"/>
    <xf numFmtId="3" fontId="168" fillId="0" borderId="0" xfId="0" applyNumberFormat="1" applyFont="1"/>
    <xf numFmtId="0" fontId="151" fillId="0" borderId="0" xfId="0" applyFont="1"/>
    <xf numFmtId="3" fontId="168" fillId="41" borderId="0" xfId="0" applyNumberFormat="1" applyFont="1" applyFill="1"/>
    <xf numFmtId="228" fontId="168" fillId="41" borderId="0" xfId="0" applyNumberFormat="1" applyFont="1" applyFill="1"/>
    <xf numFmtId="10" fontId="173" fillId="39" borderId="0" xfId="0" applyNumberFormat="1" applyFont="1" applyFill="1"/>
    <xf numFmtId="10" fontId="173" fillId="37" borderId="0" xfId="0" applyNumberFormat="1" applyFont="1" applyFill="1"/>
    <xf numFmtId="0" fontId="150" fillId="0" borderId="0" xfId="0" applyFont="1"/>
    <xf numFmtId="10" fontId="150" fillId="0" borderId="0" xfId="0" applyNumberFormat="1" applyFont="1"/>
    <xf numFmtId="165" fontId="67" fillId="17" borderId="0" xfId="0" applyNumberFormat="1" applyFont="1" applyFill="1" applyAlignment="1">
      <alignment vertical="center"/>
    </xf>
    <xf numFmtId="1" fontId="74" fillId="30" borderId="0" xfId="0" applyNumberFormat="1" applyFont="1" applyFill="1" applyAlignment="1">
      <alignment horizontal="right" vertical="center"/>
    </xf>
    <xf numFmtId="0" fontId="0" fillId="0" borderId="16" xfId="0" applyBorder="1"/>
    <xf numFmtId="2" fontId="0" fillId="0" borderId="16" xfId="0" applyNumberFormat="1" applyBorder="1"/>
    <xf numFmtId="0" fontId="1" fillId="43" borderId="22" xfId="28" applyBorder="1" applyAlignment="1">
      <alignment horizontal="right" vertical="center"/>
    </xf>
    <xf numFmtId="0" fontId="2" fillId="43" borderId="22" xfId="28" applyFont="1" applyBorder="1" applyAlignment="1">
      <alignment horizontal="left" vertical="center"/>
    </xf>
    <xf numFmtId="0" fontId="2" fillId="43" borderId="0" xfId="28" applyFont="1"/>
    <xf numFmtId="0" fontId="67" fillId="35" borderId="0" xfId="0" applyFont="1" applyFill="1" applyAlignment="1">
      <alignment horizontal="right" vertical="center"/>
    </xf>
    <xf numFmtId="165" fontId="34" fillId="35" borderId="0" xfId="0" applyNumberFormat="1" applyFont="1" applyFill="1" applyAlignment="1">
      <alignment vertical="center"/>
    </xf>
    <xf numFmtId="197" fontId="166" fillId="32" borderId="0" xfId="24" applyNumberFormat="1" applyFont="1" applyFill="1" applyAlignment="1">
      <alignment horizontal="left"/>
    </xf>
    <xf numFmtId="2" fontId="166" fillId="32" borderId="0" xfId="24" applyNumberFormat="1" applyFont="1" applyFill="1" applyAlignment="1">
      <alignment horizontal="left"/>
    </xf>
    <xf numFmtId="2" fontId="174" fillId="42" borderId="0" xfId="27" applyNumberFormat="1" applyAlignment="1">
      <alignment horizontal="left"/>
    </xf>
    <xf numFmtId="197" fontId="174" fillId="42" borderId="0" xfId="27" applyNumberFormat="1" applyAlignment="1">
      <alignment horizontal="left"/>
    </xf>
    <xf numFmtId="178" fontId="1" fillId="45" borderId="0" xfId="30" applyNumberFormat="1"/>
    <xf numFmtId="0" fontId="1" fillId="43" borderId="0" xfId="28" applyAlignment="1">
      <alignment horizontal="right"/>
    </xf>
    <xf numFmtId="2" fontId="1" fillId="43" borderId="0" xfId="28" applyNumberFormat="1"/>
    <xf numFmtId="191" fontId="1" fillId="45" borderId="0" xfId="30" applyNumberFormat="1" applyAlignment="1">
      <alignment horizontal="right"/>
    </xf>
    <xf numFmtId="0" fontId="2" fillId="45" borderId="0" xfId="30" applyFont="1"/>
    <xf numFmtId="0" fontId="1" fillId="44" borderId="0" xfId="29"/>
    <xf numFmtId="2" fontId="2" fillId="44" borderId="0" xfId="29" applyNumberFormat="1" applyFont="1" applyAlignment="1">
      <alignment horizontal="right"/>
    </xf>
    <xf numFmtId="10" fontId="1" fillId="44" borderId="0" xfId="29" applyNumberFormat="1"/>
    <xf numFmtId="0" fontId="2" fillId="44" borderId="0" xfId="29" applyFont="1"/>
    <xf numFmtId="10" fontId="1" fillId="45" borderId="0" xfId="30" applyNumberFormat="1"/>
    <xf numFmtId="0" fontId="175" fillId="3" borderId="0" xfId="17" applyFont="1" applyFill="1" applyBorder="1" applyAlignment="1">
      <alignment horizontal="left"/>
    </xf>
    <xf numFmtId="0" fontId="176" fillId="2" borderId="1" xfId="2" applyFont="1" applyBorder="1" applyAlignment="1">
      <alignment vertical="center"/>
    </xf>
    <xf numFmtId="0" fontId="1" fillId="45" borderId="0" xfId="30"/>
    <xf numFmtId="165" fontId="1" fillId="44" borderId="0" xfId="29" applyNumberFormat="1"/>
    <xf numFmtId="0" fontId="2" fillId="0" borderId="0" xfId="0" applyFont="1" applyAlignment="1">
      <alignment horizontal="center"/>
    </xf>
    <xf numFmtId="1" fontId="2" fillId="0" borderId="0" xfId="0" applyNumberFormat="1" applyFont="1"/>
    <xf numFmtId="0" fontId="179" fillId="46" borderId="76" xfId="0" applyFont="1" applyFill="1" applyBorder="1"/>
    <xf numFmtId="0" fontId="180" fillId="46" borderId="79" xfId="0" applyFont="1" applyFill="1" applyBorder="1"/>
    <xf numFmtId="0" fontId="179" fillId="46" borderId="79" xfId="0" applyFont="1" applyFill="1" applyBorder="1"/>
    <xf numFmtId="0" fontId="179" fillId="46" borderId="73" xfId="0" applyFont="1" applyFill="1" applyBorder="1"/>
    <xf numFmtId="0" fontId="177" fillId="46" borderId="76" xfId="0" applyFont="1" applyFill="1" applyBorder="1"/>
    <xf numFmtId="0" fontId="177" fillId="46" borderId="79" xfId="0" applyFont="1" applyFill="1" applyBorder="1"/>
    <xf numFmtId="3" fontId="177" fillId="46" borderId="79" xfId="0" applyNumberFormat="1" applyFont="1" applyFill="1" applyBorder="1"/>
    <xf numFmtId="4" fontId="177" fillId="46" borderId="79" xfId="0" applyNumberFormat="1" applyFont="1" applyFill="1" applyBorder="1"/>
    <xf numFmtId="2" fontId="177" fillId="46" borderId="79" xfId="0" applyNumberFormat="1" applyFont="1" applyFill="1" applyBorder="1"/>
    <xf numFmtId="2" fontId="9" fillId="46" borderId="73" xfId="0" applyNumberFormat="1" applyFont="1" applyFill="1" applyBorder="1"/>
    <xf numFmtId="0" fontId="9" fillId="46" borderId="14" xfId="0" applyFont="1" applyFill="1" applyBorder="1"/>
    <xf numFmtId="0" fontId="9" fillId="46" borderId="45" xfId="0" applyFont="1" applyFill="1" applyBorder="1"/>
    <xf numFmtId="1" fontId="9" fillId="46" borderId="45" xfId="0" applyNumberFormat="1" applyFont="1" applyFill="1" applyBorder="1"/>
    <xf numFmtId="4" fontId="9" fillId="46" borderId="45" xfId="0" applyNumberFormat="1" applyFont="1" applyFill="1" applyBorder="1"/>
    <xf numFmtId="2" fontId="9" fillId="46" borderId="45" xfId="0" applyNumberFormat="1" applyFont="1" applyFill="1" applyBorder="1"/>
    <xf numFmtId="2" fontId="9" fillId="46" borderId="74" xfId="0" applyNumberFormat="1" applyFont="1" applyFill="1" applyBorder="1"/>
    <xf numFmtId="0" fontId="9" fillId="46" borderId="77" xfId="0" applyFont="1" applyFill="1" applyBorder="1"/>
    <xf numFmtId="0" fontId="9" fillId="46" borderId="80" xfId="0" applyFont="1" applyFill="1" applyBorder="1"/>
    <xf numFmtId="1" fontId="9" fillId="46" borderId="80" xfId="0" applyNumberFormat="1" applyFont="1" applyFill="1" applyBorder="1"/>
    <xf numFmtId="4" fontId="9" fillId="46" borderId="80" xfId="0" applyNumberFormat="1" applyFont="1" applyFill="1" applyBorder="1"/>
    <xf numFmtId="2" fontId="9" fillId="46" borderId="80" xfId="0" applyNumberFormat="1" applyFont="1" applyFill="1" applyBorder="1"/>
    <xf numFmtId="2" fontId="9" fillId="46" borderId="75" xfId="0" applyNumberFormat="1" applyFont="1" applyFill="1" applyBorder="1"/>
    <xf numFmtId="0" fontId="10" fillId="46" borderId="0" xfId="2" applyFont="1" applyFill="1" applyBorder="1" applyAlignment="1">
      <alignment vertical="center"/>
    </xf>
    <xf numFmtId="0" fontId="0" fillId="46" borderId="0" xfId="0" applyFill="1"/>
    <xf numFmtId="178" fontId="177" fillId="46" borderId="79" xfId="0" applyNumberFormat="1" applyFont="1" applyFill="1" applyBorder="1"/>
    <xf numFmtId="178" fontId="9" fillId="46" borderId="45" xfId="0" applyNumberFormat="1" applyFont="1" applyFill="1" applyBorder="1"/>
    <xf numFmtId="178" fontId="9" fillId="46" borderId="80" xfId="0" applyNumberFormat="1" applyFont="1" applyFill="1" applyBorder="1"/>
    <xf numFmtId="2" fontId="177" fillId="46" borderId="81" xfId="0" applyNumberFormat="1" applyFont="1" applyFill="1" applyBorder="1"/>
    <xf numFmtId="2" fontId="9" fillId="46" borderId="41" xfId="0" applyNumberFormat="1" applyFont="1" applyFill="1" applyBorder="1"/>
    <xf numFmtId="2" fontId="9" fillId="46" borderId="82" xfId="0" applyNumberFormat="1" applyFont="1" applyFill="1" applyBorder="1"/>
    <xf numFmtId="3" fontId="177" fillId="46" borderId="83" xfId="0" applyNumberFormat="1" applyFont="1" applyFill="1" applyBorder="1"/>
    <xf numFmtId="2" fontId="9" fillId="46" borderId="18" xfId="0" applyNumberFormat="1" applyFont="1" applyFill="1" applyBorder="1"/>
    <xf numFmtId="2" fontId="9" fillId="46" borderId="84" xfId="0" applyNumberFormat="1" applyFont="1" applyFill="1" applyBorder="1"/>
    <xf numFmtId="0" fontId="179" fillId="46" borderId="81" xfId="0" applyFont="1" applyFill="1" applyBorder="1"/>
    <xf numFmtId="0" fontId="179" fillId="46" borderId="83" xfId="0" applyFont="1" applyFill="1" applyBorder="1"/>
    <xf numFmtId="1" fontId="177" fillId="46" borderId="45" xfId="0" applyNumberFormat="1" applyFont="1" applyFill="1" applyBorder="1"/>
    <xf numFmtId="1" fontId="177" fillId="46" borderId="80" xfId="0" applyNumberFormat="1" applyFont="1" applyFill="1" applyBorder="1"/>
    <xf numFmtId="0" fontId="10" fillId="46" borderId="85" xfId="2" applyFont="1" applyFill="1" applyBorder="1" applyAlignment="1">
      <alignment vertical="center"/>
    </xf>
    <xf numFmtId="0" fontId="179" fillId="46" borderId="78" xfId="0" applyFont="1" applyFill="1" applyBorder="1"/>
    <xf numFmtId="3" fontId="11" fillId="12" borderId="0" xfId="0" applyNumberFormat="1" applyFont="1" applyFill="1" applyAlignment="1">
      <alignment horizontal="center"/>
    </xf>
    <xf numFmtId="14" fontId="2" fillId="20" borderId="43" xfId="0" applyNumberFormat="1" applyFont="1" applyFill="1" applyBorder="1" applyAlignment="1">
      <alignment horizontal="center" vertical="center"/>
    </xf>
    <xf numFmtId="14" fontId="2" fillId="20" borderId="19" xfId="0" applyNumberFormat="1" applyFont="1" applyFill="1" applyBorder="1" applyAlignment="1">
      <alignment horizontal="center" vertical="center"/>
    </xf>
    <xf numFmtId="0" fontId="2" fillId="20" borderId="15" xfId="0" applyFont="1" applyFill="1" applyBorder="1" applyAlignment="1">
      <alignment horizontal="center"/>
    </xf>
    <xf numFmtId="0" fontId="2" fillId="20" borderId="16" xfId="0" applyFont="1" applyFill="1" applyBorder="1" applyAlignment="1">
      <alignment horizontal="center"/>
    </xf>
    <xf numFmtId="0" fontId="2" fillId="20" borderId="44" xfId="0" applyFont="1" applyFill="1" applyBorder="1" applyAlignment="1">
      <alignment horizontal="center"/>
    </xf>
    <xf numFmtId="0" fontId="2" fillId="20" borderId="10" xfId="0" applyFont="1" applyFill="1" applyBorder="1" applyAlignment="1">
      <alignment horizontal="center"/>
    </xf>
    <xf numFmtId="0" fontId="2" fillId="20" borderId="11" xfId="0" applyFont="1" applyFill="1" applyBorder="1" applyAlignment="1">
      <alignment horizontal="center"/>
    </xf>
    <xf numFmtId="0" fontId="2" fillId="20" borderId="13" xfId="0" applyFont="1" applyFill="1" applyBorder="1" applyAlignment="1">
      <alignment horizontal="center"/>
    </xf>
    <xf numFmtId="0" fontId="142" fillId="23" borderId="3" xfId="23" applyFont="1" applyFill="1" applyBorder="1" applyAlignment="1">
      <alignment horizontal="center"/>
    </xf>
    <xf numFmtId="0" fontId="142" fillId="23" borderId="4" xfId="23" applyFont="1" applyFill="1" applyBorder="1" applyAlignment="1">
      <alignment horizontal="center"/>
    </xf>
    <xf numFmtId="176" fontId="142" fillId="23" borderId="45" xfId="23" applyNumberFormat="1" applyFont="1" applyFill="1" applyBorder="1" applyAlignment="1">
      <alignment horizontal="left" wrapText="1"/>
    </xf>
    <xf numFmtId="0" fontId="141" fillId="0" borderId="45" xfId="23" applyFont="1" applyBorder="1" applyAlignment="1">
      <alignment horizontal="left" wrapText="1"/>
    </xf>
    <xf numFmtId="0" fontId="141" fillId="0" borderId="19" xfId="23" applyFont="1" applyBorder="1" applyAlignment="1">
      <alignment horizontal="left" wrapText="1"/>
    </xf>
    <xf numFmtId="176" fontId="142" fillId="23" borderId="45" xfId="23" applyNumberFormat="1" applyFont="1" applyFill="1" applyBorder="1" applyAlignment="1">
      <alignment horizontal="left" vertical="top" wrapText="1"/>
    </xf>
    <xf numFmtId="0" fontId="141" fillId="0" borderId="45" xfId="23" applyFont="1" applyBorder="1" applyAlignment="1">
      <alignment horizontal="left" vertical="top" wrapText="1"/>
    </xf>
    <xf numFmtId="0" fontId="141" fillId="0" borderId="19" xfId="23" applyFont="1" applyBorder="1" applyAlignment="1">
      <alignment horizontal="left" vertical="top" wrapText="1"/>
    </xf>
    <xf numFmtId="0" fontId="141" fillId="0" borderId="0" xfId="7" applyFont="1" applyAlignment="1">
      <alignment horizontal="center"/>
    </xf>
    <xf numFmtId="0" fontId="22" fillId="7" borderId="10" xfId="4" applyFill="1" applyBorder="1" applyAlignment="1">
      <alignment horizontal="left"/>
    </xf>
    <xf numFmtId="0" fontId="22" fillId="7" borderId="11" xfId="4" applyFill="1" applyBorder="1" applyAlignment="1">
      <alignment horizontal="left"/>
    </xf>
    <xf numFmtId="0" fontId="22" fillId="7" borderId="12" xfId="4" applyFill="1" applyBorder="1" applyAlignment="1">
      <alignment horizontal="left"/>
    </xf>
    <xf numFmtId="0" fontId="22" fillId="7" borderId="15" xfId="4" applyFill="1" applyBorder="1" applyAlignment="1">
      <alignment horizontal="left"/>
    </xf>
    <xf numFmtId="0" fontId="22" fillId="7" borderId="16" xfId="4" applyFill="1" applyBorder="1" applyAlignment="1">
      <alignment horizontal="left"/>
    </xf>
    <xf numFmtId="0" fontId="22" fillId="7" borderId="17" xfId="4" applyFill="1" applyBorder="1" applyAlignment="1">
      <alignment horizontal="left"/>
    </xf>
    <xf numFmtId="15" fontId="19" fillId="7" borderId="6" xfId="5" applyNumberFormat="1" applyFont="1" applyFill="1" applyBorder="1" applyAlignment="1">
      <alignment horizontal="left"/>
    </xf>
    <xf numFmtId="15" fontId="19" fillId="7" borderId="7" xfId="5" applyNumberFormat="1" applyFont="1" applyFill="1" applyBorder="1" applyAlignment="1">
      <alignment horizontal="left"/>
    </xf>
    <xf numFmtId="15" fontId="19" fillId="7" borderId="8" xfId="5" applyNumberFormat="1" applyFont="1" applyFill="1" applyBorder="1" applyAlignment="1">
      <alignment horizontal="left"/>
    </xf>
    <xf numFmtId="0" fontId="20" fillId="7" borderId="10" xfId="0" applyFont="1" applyFill="1" applyBorder="1" applyAlignment="1">
      <alignment horizontal="left"/>
    </xf>
    <xf numFmtId="0" fontId="20" fillId="7" borderId="11" xfId="0" applyFont="1" applyFill="1" applyBorder="1" applyAlignment="1">
      <alignment horizontal="left"/>
    </xf>
    <xf numFmtId="0" fontId="20" fillId="7" borderId="13" xfId="0" applyFont="1" applyFill="1" applyBorder="1" applyAlignment="1">
      <alignment horizontal="left"/>
    </xf>
    <xf numFmtId="0" fontId="20" fillId="7" borderId="12" xfId="0" applyFont="1" applyFill="1" applyBorder="1" applyAlignment="1">
      <alignment horizontal="left"/>
    </xf>
    <xf numFmtId="15" fontId="22" fillId="7" borderId="10" xfId="4" applyNumberFormat="1" applyFill="1" applyBorder="1" applyAlignment="1">
      <alignment horizontal="left"/>
    </xf>
    <xf numFmtId="15" fontId="22" fillId="7" borderId="11" xfId="4" applyNumberFormat="1" applyFill="1" applyBorder="1" applyAlignment="1">
      <alignment horizontal="left"/>
    </xf>
    <xf numFmtId="15" fontId="22" fillId="7" borderId="12" xfId="4" applyNumberFormat="1" applyFill="1" applyBorder="1" applyAlignment="1">
      <alignment horizontal="left"/>
    </xf>
    <xf numFmtId="0" fontId="22" fillId="7" borderId="10" xfId="4" applyFill="1" applyBorder="1" applyAlignment="1"/>
    <xf numFmtId="0" fontId="22" fillId="7" borderId="11" xfId="4" applyFill="1" applyBorder="1" applyAlignment="1"/>
    <xf numFmtId="0" fontId="22" fillId="7" borderId="12" xfId="4" applyFill="1" applyBorder="1" applyAlignment="1"/>
    <xf numFmtId="0" fontId="16" fillId="7" borderId="10" xfId="3" applyFill="1" applyBorder="1" applyAlignment="1">
      <alignment horizontal="left"/>
    </xf>
    <xf numFmtId="0" fontId="16" fillId="7" borderId="11" xfId="3" applyFill="1" applyBorder="1" applyAlignment="1">
      <alignment horizontal="left"/>
    </xf>
    <xf numFmtId="0" fontId="16" fillId="7" borderId="12" xfId="3" applyFill="1" applyBorder="1" applyAlignment="1">
      <alignment horizontal="left"/>
    </xf>
    <xf numFmtId="0" fontId="16" fillId="7" borderId="15" xfId="3" applyFill="1" applyBorder="1" applyAlignment="1">
      <alignment horizontal="left"/>
    </xf>
    <xf numFmtId="0" fontId="16" fillId="7" borderId="16" xfId="3" applyFill="1" applyBorder="1" applyAlignment="1">
      <alignment horizontal="left"/>
    </xf>
    <xf numFmtId="0" fontId="16" fillId="7" borderId="17" xfId="3" applyFill="1" applyBorder="1" applyAlignment="1">
      <alignment horizontal="left"/>
    </xf>
    <xf numFmtId="15" fontId="19" fillId="7" borderId="6" xfId="0" applyNumberFormat="1" applyFont="1" applyFill="1" applyBorder="1" applyAlignment="1">
      <alignment horizontal="left"/>
    </xf>
    <xf numFmtId="15" fontId="19" fillId="7" borderId="7" xfId="0" applyNumberFormat="1" applyFont="1" applyFill="1" applyBorder="1" applyAlignment="1">
      <alignment horizontal="left"/>
    </xf>
    <xf numFmtId="15" fontId="19" fillId="7" borderId="8" xfId="0" applyNumberFormat="1" applyFont="1" applyFill="1" applyBorder="1" applyAlignment="1">
      <alignment horizontal="left"/>
    </xf>
    <xf numFmtId="15" fontId="16" fillId="7" borderId="10" xfId="3" applyNumberFormat="1" applyFill="1" applyBorder="1" applyAlignment="1">
      <alignment horizontal="left"/>
    </xf>
    <xf numFmtId="15" fontId="16" fillId="7" borderId="11" xfId="3" applyNumberFormat="1" applyFill="1" applyBorder="1" applyAlignment="1">
      <alignment horizontal="left"/>
    </xf>
    <xf numFmtId="15" fontId="16" fillId="7" borderId="12" xfId="3" applyNumberFormat="1" applyFill="1" applyBorder="1" applyAlignment="1">
      <alignment horizontal="left"/>
    </xf>
    <xf numFmtId="0" fontId="16" fillId="7" borderId="10" xfId="3" applyFill="1" applyBorder="1" applyAlignment="1"/>
    <xf numFmtId="0" fontId="16" fillId="7" borderId="11" xfId="3" applyFill="1" applyBorder="1" applyAlignment="1"/>
    <xf numFmtId="0" fontId="16" fillId="7" borderId="12" xfId="3" applyFill="1" applyBorder="1" applyAlignment="1"/>
    <xf numFmtId="0" fontId="22" fillId="7" borderId="20" xfId="4" applyFill="1" applyBorder="1" applyAlignment="1">
      <alignment horizontal="left"/>
    </xf>
    <xf numFmtId="0" fontId="169" fillId="0" borderId="0" xfId="0" applyFont="1" applyAlignment="1">
      <alignment horizontal="center"/>
    </xf>
  </cellXfs>
  <cellStyles count="31">
    <cellStyle name="******************************************" xfId="21" xr:uid="{00000000-0005-0000-0000-000000000000}"/>
    <cellStyle name="20% - Accent3" xfId="29" builtinId="38"/>
    <cellStyle name="40% - Accent3" xfId="28" builtinId="39"/>
    <cellStyle name="60% - Accent3" xfId="30" builtinId="40"/>
    <cellStyle name="Background" xfId="6" xr:uid="{00000000-0005-0000-0000-000001000000}"/>
    <cellStyle name="Currency" xfId="26" builtinId="4"/>
    <cellStyle name="DataOutput" xfId="17" xr:uid="{00000000-0005-0000-0000-000002000000}"/>
    <cellStyle name="FactSet header" xfId="8" xr:uid="{00000000-0005-0000-0000-000003000000}"/>
    <cellStyle name="Good" xfId="27" builtinId="26"/>
    <cellStyle name="GRADIENTQUARTZ" xfId="2" xr:uid="{00000000-0005-0000-0000-000004000000}"/>
    <cellStyle name="Hyperlink" xfId="3" builtinId="8"/>
    <cellStyle name="KeyDataCalculated" xfId="11" xr:uid="{00000000-0005-0000-0000-000006000000}"/>
    <cellStyle name="KeyDataOutput" xfId="9" xr:uid="{00000000-0005-0000-0000-000007000000}"/>
    <cellStyle name="KeyDataOutput 2" xfId="19" xr:uid="{00000000-0005-0000-0000-000008000000}"/>
    <cellStyle name="Komma 2" xfId="12" xr:uid="{00000000-0005-0000-0000-000009000000}"/>
    <cellStyle name="Link 2" xfId="4" xr:uid="{00000000-0005-0000-0000-00000A000000}"/>
    <cellStyle name="Link 2 2" xfId="16" xr:uid="{00000000-0005-0000-0000-00000B000000}"/>
    <cellStyle name="Normal" xfId="0" builtinId="0" customBuiltin="1"/>
    <cellStyle name="Normal 2 2" xfId="23" xr:uid="{00000000-0005-0000-0000-00000D000000}"/>
    <cellStyle name="Normal 2 3" xfId="24" xr:uid="{00000000-0005-0000-0000-00000E000000}"/>
    <cellStyle name="Normal_Sheet1" xfId="22" xr:uid="{00000000-0005-0000-0000-00000F000000}"/>
    <cellStyle name="Percent" xfId="1" builtinId="5"/>
    <cellStyle name="Prozent 2" xfId="13" xr:uid="{00000000-0005-0000-0000-000011000000}"/>
    <cellStyle name="Prozent 3" xfId="25" xr:uid="{F61D44BE-D840-4051-9E9E-979C062539D0}"/>
    <cellStyle name="RGBQUARTZ" xfId="14" xr:uid="{00000000-0005-0000-0000-000012000000}"/>
    <cellStyle name="Standard 2" xfId="5" xr:uid="{00000000-0005-0000-0000-000013000000}"/>
    <cellStyle name="Standard 2 2" xfId="7" xr:uid="{00000000-0005-0000-0000-000014000000}"/>
    <cellStyle name="Standard 2 3" xfId="18" xr:uid="{00000000-0005-0000-0000-000015000000}"/>
    <cellStyle name="TitleCols_Gen_pG" xfId="15" xr:uid="{00000000-0005-0000-0000-000016000000}"/>
    <cellStyle name="Überschrift 5" xfId="20" xr:uid="{00000000-0005-0000-0000-000017000000}"/>
    <cellStyle name="Währung 2" xfId="10" xr:uid="{00000000-0005-0000-0000-000018000000}"/>
  </cellStyles>
  <dxfs count="39">
    <dxf>
      <font>
        <b val="0"/>
        <i val="0"/>
        <strike val="0"/>
        <condense val="0"/>
        <extend val="0"/>
        <outline val="0"/>
        <shadow val="0"/>
        <u val="none"/>
        <vertAlign val="baseline"/>
        <sz val="10"/>
        <color auto="1"/>
        <name val="Verdana"/>
        <scheme val="none"/>
      </font>
      <numFmt numFmtId="14" formatCode="0.00%"/>
      <alignment horizontal="center" vertical="bottom" textRotation="0" wrapText="0"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auto="1"/>
        <name val="Verdana"/>
        <scheme val="none"/>
      </font>
      <numFmt numFmtId="14" formatCode="0.00%"/>
      <alignment horizontal="center" vertical="bottom" textRotation="0" wrapText="0"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auto="1"/>
        <name val="Verdana"/>
        <scheme val="none"/>
      </font>
      <alignment horizontal="center" vertical="bottom" textRotation="0" wrapText="0" indent="0" justifyLastLine="0" shrinkToFit="0" readingOrder="0"/>
      <border diagonalUp="0" diagonalDown="0">
        <left/>
        <right style="thin">
          <color indexed="64"/>
        </right>
        <top/>
        <bottom style="thin">
          <color indexed="64"/>
        </bottom>
        <vertical/>
        <horizontal/>
      </border>
    </dxf>
    <dxf>
      <font>
        <b val="0"/>
        <i val="0"/>
        <strike val="0"/>
        <condense val="0"/>
        <extend val="0"/>
        <outline val="0"/>
        <shadow val="0"/>
        <u val="none"/>
        <vertAlign val="baseline"/>
        <sz val="10"/>
        <color auto="1"/>
        <name val="Verdana"/>
        <scheme val="none"/>
      </font>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0"/>
        <color auto="1"/>
        <name val="Verdana"/>
        <scheme val="none"/>
      </font>
      <alignment horizontal="center" vertical="bottom" textRotation="0" wrapText="0" indent="0" justifyLastLine="0" shrinkToFit="0" readingOrder="0"/>
    </dxf>
    <dxf>
      <font>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vertical/>
        <horizontal/>
      </border>
    </dxf>
    <dxf>
      <font>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vertical/>
        <horizontal/>
      </border>
    </dxf>
    <dxf>
      <font>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vertical/>
        <horizontal/>
      </border>
    </dxf>
    <dxf>
      <font>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vertical/>
        <horizontal/>
      </border>
    </dxf>
    <dxf>
      <font>
        <sz val="10"/>
        <color auto="1"/>
        <name val="Verdana"/>
        <scheme val="none"/>
      </font>
      <alignment horizontal="center" vertical="bottom" textRotation="0" wrapText="0" indent="0" justifyLastLine="0" shrinkToFit="0" readingOrder="0"/>
      <border diagonalUp="0" diagonalDown="0">
        <left/>
        <right style="thin">
          <color indexed="64"/>
        </right>
        <top/>
        <bottom style="thin">
          <color indexed="64"/>
        </bottom>
        <vertical/>
        <horizontal/>
      </border>
    </dxf>
    <dxf>
      <font>
        <sz val="10"/>
        <color auto="1"/>
        <name val="Verdana"/>
        <scheme val="none"/>
      </font>
      <alignment horizontal="left" vertical="bottom" textRotation="0" wrapText="0" indent="0" justifyLastLine="0" shrinkToFit="0" readingOrder="0"/>
      <border diagonalUp="0" diagonalDown="0">
        <left/>
        <right style="thin">
          <color indexed="64"/>
        </right>
        <top/>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z val="10"/>
        <color auto="1"/>
        <name val="Verdana"/>
        <scheme val="none"/>
      </font>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0"/>
        <color auto="1"/>
        <name val="Verdana"/>
        <scheme val="none"/>
      </font>
      <alignment horizontal="center" vertical="bottom" textRotation="0" wrapText="1" indent="0" justifyLastLine="0" shrinkToFit="0" readingOrder="0"/>
    </dxf>
    <dxf>
      <font>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style="thin">
          <color indexed="64"/>
        </bottom>
        <vertical/>
        <horizontal/>
      </border>
    </dxf>
    <dxf>
      <font>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style="thin">
          <color indexed="64"/>
        </bottom>
        <vertical/>
        <horizontal/>
      </border>
    </dxf>
    <dxf>
      <font>
        <sz val="10"/>
        <color auto="1"/>
        <name val="Verdana"/>
        <scheme val="none"/>
      </font>
      <numFmt numFmtId="2" formatCode="0.00"/>
      <alignment horizontal="center" vertical="bottom" textRotation="0" wrapText="0" indent="0" justifyLastLine="0" shrinkToFit="0" readingOrder="0"/>
      <border diagonalUp="0" diagonalDown="0">
        <left/>
        <right style="thin">
          <color indexed="64"/>
        </right>
        <top/>
        <bottom style="thin">
          <color indexed="64"/>
        </bottom>
        <vertical/>
        <horizontal/>
      </border>
    </dxf>
    <dxf>
      <font>
        <sz val="10"/>
        <color auto="1"/>
        <name val="Verdana"/>
        <scheme val="none"/>
      </font>
      <alignment horizontal="center" vertical="bottom" textRotation="0" wrapText="0" indent="0" justifyLastLine="0" shrinkToFit="0" readingOrder="0"/>
      <border diagonalUp="0" diagonalDown="0">
        <left/>
        <right style="thin">
          <color indexed="64"/>
        </right>
        <top/>
        <bottom style="thin">
          <color indexed="64"/>
        </bottom>
        <vertical/>
        <horizontal/>
      </border>
    </dxf>
    <dxf>
      <font>
        <sz val="10"/>
        <color auto="1"/>
        <name val="Verdana"/>
        <scheme val="none"/>
      </font>
      <alignment horizontal="left" vertical="bottom" textRotation="0" wrapText="0" indent="0" justifyLastLine="0" shrinkToFit="0" readingOrder="0"/>
      <border diagonalUp="0" diagonalDown="0">
        <left style="thin">
          <color indexed="64"/>
        </left>
        <right style="thin">
          <color indexed="64"/>
        </right>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color rgb="FF006100"/>
      </font>
      <fill>
        <patternFill>
          <bgColor rgb="FFC6EF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fdslive.rtdserver">
      <tp t="s">
        <v>@NA</v>
        <stp/>
        <stp>TRYUS-FDS</stp>
        <stp>RTP_PRICE_YIELD_MID</stp>
        <tr r="X36" s="43"/>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74"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77"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75"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78" Type="http://schemas.openxmlformats.org/officeDocument/2006/relationships/volatileDependencies" Target="volatileDependenci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sheetMetadata" Target="metadata.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100" b="1" i="0" u="none" strike="noStrike" baseline="0">
                <a:solidFill>
                  <a:srgbClr val="000000"/>
                </a:solidFill>
                <a:latin typeface="Arial"/>
                <a:ea typeface="Arial"/>
                <a:cs typeface="Arial"/>
              </a:defRPr>
            </a:pPr>
            <a:r>
              <a:rPr lang="en-US"/>
              <a:t>Size &amp; Growth</a:t>
            </a:r>
          </a:p>
        </c:rich>
      </c:tx>
      <c:layout>
        <c:manualLayout>
          <c:xMode val="edge"/>
          <c:yMode val="edge"/>
          <c:x val="3.0919728783902041E-2"/>
          <c:y val="5.7898439778361434E-2"/>
        </c:manualLayout>
      </c:layout>
      <c:overlay val="0"/>
      <c:spPr>
        <a:noFill/>
        <a:ln w="25400">
          <a:noFill/>
        </a:ln>
      </c:spPr>
    </c:title>
    <c:autoTitleDeleted val="0"/>
    <c:plotArea>
      <c:layout>
        <c:manualLayout>
          <c:layoutTarget val="inner"/>
          <c:xMode val="edge"/>
          <c:yMode val="edge"/>
          <c:x val="0.14875172581116194"/>
          <c:y val="0.26957859434237808"/>
          <c:w val="0.73413541077978428"/>
          <c:h val="0.54335460586885087"/>
        </c:manualLayout>
      </c:layout>
      <c:barChart>
        <c:barDir val="col"/>
        <c:grouping val="clustered"/>
        <c:varyColors val="0"/>
        <c:ser>
          <c:idx val="0"/>
          <c:order val="0"/>
          <c:tx>
            <c:strRef>
              <c:f>'At a Glance'!$D$111</c:f>
              <c:strCache>
                <c:ptCount val="1"/>
                <c:pt idx="0">
                  <c:v>Enterprise Value</c:v>
                </c:pt>
              </c:strCache>
            </c:strRef>
          </c:tx>
          <c:spPr>
            <a:solidFill>
              <a:srgbClr val="00AEEF"/>
            </a:solidFill>
            <a:ln w="12700">
              <a:solidFill>
                <a:srgbClr val="0066CC"/>
              </a:solidFill>
            </a:ln>
          </c:spPr>
          <c:invertIfNegative val="0"/>
          <c:cat>
            <c:strRef>
              <c:f>'At a Glance'!$E$33:$I$33</c:f>
              <c:strCache>
                <c:ptCount val="5"/>
                <c:pt idx="0">
                  <c:v>12/2016</c:v>
                </c:pt>
                <c:pt idx="1">
                  <c:v>12/2017</c:v>
                </c:pt>
                <c:pt idx="2">
                  <c:v>12/2018</c:v>
                </c:pt>
                <c:pt idx="3">
                  <c:v>12/2019</c:v>
                </c:pt>
                <c:pt idx="4">
                  <c:v>12/2020</c:v>
                </c:pt>
              </c:strCache>
            </c:strRef>
          </c:cat>
          <c:val>
            <c:numRef>
              <c:f>'At a Glance'!$E$111:$I$111</c:f>
              <c:numCache>
                <c:formatCode>_(* #,##0_);_(* \(#,##0\);_(* "-"?_);_(@_)</c:formatCode>
                <c:ptCount val="5"/>
                <c:pt idx="0">
                  <c:v>39634.987905709997</c:v>
                </c:pt>
                <c:pt idx="1">
                  <c:v>45798.086823999998</c:v>
                </c:pt>
                <c:pt idx="2">
                  <c:v>48641.229302499996</c:v>
                </c:pt>
                <c:pt idx="3">
                  <c:v>51750.289776239995</c:v>
                </c:pt>
                <c:pt idx="4">
                  <c:v>46921.319129199997</c:v>
                </c:pt>
              </c:numCache>
            </c:numRef>
          </c:val>
          <c:extLst>
            <c:ext xmlns:c16="http://schemas.microsoft.com/office/drawing/2014/chart" uri="{C3380CC4-5D6E-409C-BE32-E72D297353CC}">
              <c16:uniqueId val="{00000000-1C72-46FF-8D9B-0C67AA24F226}"/>
            </c:ext>
          </c:extLst>
        </c:ser>
        <c:ser>
          <c:idx val="1"/>
          <c:order val="1"/>
          <c:tx>
            <c:strRef>
              <c:f>'At a Glance'!$D$112</c:f>
              <c:strCache>
                <c:ptCount val="1"/>
                <c:pt idx="0">
                  <c:v>Revenue</c:v>
                </c:pt>
              </c:strCache>
            </c:strRef>
          </c:tx>
          <c:spPr>
            <a:solidFill>
              <a:srgbClr val="99CC33"/>
            </a:solidFill>
            <a:ln w="12700">
              <a:solidFill>
                <a:srgbClr val="339900"/>
              </a:solidFill>
            </a:ln>
          </c:spPr>
          <c:invertIfNegative val="0"/>
          <c:cat>
            <c:strRef>
              <c:f>'At a Glance'!$E$33:$I$33</c:f>
              <c:strCache>
                <c:ptCount val="5"/>
                <c:pt idx="0">
                  <c:v>12/2016</c:v>
                </c:pt>
                <c:pt idx="1">
                  <c:v>12/2017</c:v>
                </c:pt>
                <c:pt idx="2">
                  <c:v>12/2018</c:v>
                </c:pt>
                <c:pt idx="3">
                  <c:v>12/2019</c:v>
                </c:pt>
                <c:pt idx="4">
                  <c:v>12/2020</c:v>
                </c:pt>
              </c:strCache>
            </c:strRef>
          </c:cat>
          <c:val>
            <c:numRef>
              <c:f>'At a Glance'!$E$112:$I$112</c:f>
              <c:numCache>
                <c:formatCode>_(* #,##0_);_(* \(#,##0\);_(* "-"?_);_(@_)</c:formatCode>
                <c:ptCount val="5"/>
                <c:pt idx="0">
                  <c:v>39602</c:v>
                </c:pt>
                <c:pt idx="1">
                  <c:v>41234</c:v>
                </c:pt>
                <c:pt idx="2">
                  <c:v>44441</c:v>
                </c:pt>
                <c:pt idx="3">
                  <c:v>47006</c:v>
                </c:pt>
                <c:pt idx="4">
                  <c:v>17095</c:v>
                </c:pt>
              </c:numCache>
            </c:numRef>
          </c:val>
          <c:extLst>
            <c:ext xmlns:c16="http://schemas.microsoft.com/office/drawing/2014/chart" uri="{C3380CC4-5D6E-409C-BE32-E72D297353CC}">
              <c16:uniqueId val="{00000001-1C72-46FF-8D9B-0C67AA24F226}"/>
            </c:ext>
          </c:extLst>
        </c:ser>
        <c:dLbls>
          <c:showLegendKey val="0"/>
          <c:showVal val="0"/>
          <c:showCatName val="0"/>
          <c:showSerName val="0"/>
          <c:showPercent val="0"/>
          <c:showBubbleSize val="0"/>
        </c:dLbls>
        <c:gapWidth val="150"/>
        <c:axId val="146494592"/>
        <c:axId val="146500992"/>
      </c:barChart>
      <c:lineChart>
        <c:grouping val="standard"/>
        <c:varyColors val="0"/>
        <c:ser>
          <c:idx val="2"/>
          <c:order val="2"/>
          <c:tx>
            <c:strRef>
              <c:f>'At a Glance'!$D$100</c:f>
              <c:strCache>
                <c:ptCount val="1"/>
                <c:pt idx="0">
                  <c:v>Revenue Growth</c:v>
                </c:pt>
              </c:strCache>
            </c:strRef>
          </c:tx>
          <c:spPr>
            <a:ln w="25400">
              <a:solidFill>
                <a:srgbClr val="9A3366"/>
              </a:solidFill>
              <a:prstDash val="solid"/>
            </a:ln>
          </c:spPr>
          <c:marker>
            <c:symbol val="circle"/>
            <c:size val="6"/>
            <c:spPr>
              <a:solidFill>
                <a:srgbClr val="9A3366"/>
              </a:solidFill>
              <a:ln w="12700">
                <a:solidFill>
                  <a:srgbClr val="323232"/>
                </a:solidFill>
                <a:prstDash val="solid"/>
              </a:ln>
            </c:spPr>
          </c:marker>
          <c:cat>
            <c:strRef>
              <c:f>'At a Glance'!$E$33:$I$33</c:f>
              <c:strCache>
                <c:ptCount val="5"/>
                <c:pt idx="0">
                  <c:v>12/2016</c:v>
                </c:pt>
                <c:pt idx="1">
                  <c:v>12/2017</c:v>
                </c:pt>
                <c:pt idx="2">
                  <c:v>12/2018</c:v>
                </c:pt>
                <c:pt idx="3">
                  <c:v>12/2019</c:v>
                </c:pt>
                <c:pt idx="4">
                  <c:v>12/2020</c:v>
                </c:pt>
              </c:strCache>
            </c:strRef>
          </c:cat>
          <c:val>
            <c:numRef>
              <c:f>'At a Glance'!$E$100:$I$100</c:f>
              <c:numCache>
                <c:formatCode>0.0%</c:formatCode>
                <c:ptCount val="5"/>
                <c:pt idx="0">
                  <c:v>-2.2317681331160855E-2</c:v>
                </c:pt>
                <c:pt idx="1">
                  <c:v>4.1210039896974804E-2</c:v>
                </c:pt>
                <c:pt idx="2">
                  <c:v>7.7775622059465421E-2</c:v>
                </c:pt>
                <c:pt idx="3">
                  <c:v>5.7716973065412569E-2</c:v>
                </c:pt>
                <c:pt idx="4">
                  <c:v>-0.63632302259286044</c:v>
                </c:pt>
              </c:numCache>
            </c:numRef>
          </c:val>
          <c:smooth val="0"/>
          <c:extLst>
            <c:ext xmlns:c16="http://schemas.microsoft.com/office/drawing/2014/chart" uri="{C3380CC4-5D6E-409C-BE32-E72D297353CC}">
              <c16:uniqueId val="{00000002-1C72-46FF-8D9B-0C67AA24F226}"/>
            </c:ext>
          </c:extLst>
        </c:ser>
        <c:dLbls>
          <c:showLegendKey val="0"/>
          <c:showVal val="0"/>
          <c:showCatName val="0"/>
          <c:showSerName val="0"/>
          <c:showPercent val="0"/>
          <c:showBubbleSize val="0"/>
        </c:dLbls>
        <c:marker val="1"/>
        <c:smooth val="0"/>
        <c:axId val="146508800"/>
        <c:axId val="146512896"/>
      </c:lineChart>
      <c:catAx>
        <c:axId val="146494592"/>
        <c:scaling>
          <c:orientation val="minMax"/>
        </c:scaling>
        <c:delete val="0"/>
        <c:axPos val="b"/>
        <c:numFmt formatCode="General" sourceLinked="1"/>
        <c:majorTickMark val="none"/>
        <c:minorTickMark val="none"/>
        <c:tickLblPos val="low"/>
        <c:spPr>
          <a:ln w="3175">
            <a:solidFill>
              <a:srgbClr val="E1E1E1"/>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6500992"/>
        <c:crosses val="autoZero"/>
        <c:auto val="1"/>
        <c:lblAlgn val="ctr"/>
        <c:lblOffset val="100"/>
        <c:tickLblSkip val="1"/>
        <c:tickMarkSkip val="1"/>
        <c:noMultiLvlLbl val="0"/>
      </c:catAx>
      <c:valAx>
        <c:axId val="146500992"/>
        <c:scaling>
          <c:orientation val="minMax"/>
        </c:scaling>
        <c:delete val="0"/>
        <c:axPos val="l"/>
        <c:majorGridlines>
          <c:spPr>
            <a:ln w="3175">
              <a:solidFill>
                <a:srgbClr val="E1E1E1"/>
              </a:solidFill>
              <a:prstDash val="solid"/>
            </a:ln>
          </c:spPr>
        </c:majorGridlines>
        <c:numFmt formatCode="#,##0" sourceLinked="0"/>
        <c:majorTickMark val="in"/>
        <c:minorTickMark val="none"/>
        <c:tickLblPos val="nextTo"/>
        <c:spPr>
          <a:ln w="3175">
            <a:solidFill>
              <a:srgbClr val="E1E1E1"/>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6494592"/>
        <c:crosses val="autoZero"/>
        <c:crossBetween val="between"/>
      </c:valAx>
      <c:catAx>
        <c:axId val="146508800"/>
        <c:scaling>
          <c:orientation val="minMax"/>
        </c:scaling>
        <c:delete val="1"/>
        <c:axPos val="b"/>
        <c:numFmt formatCode="General" sourceLinked="1"/>
        <c:majorTickMark val="out"/>
        <c:minorTickMark val="none"/>
        <c:tickLblPos val="none"/>
        <c:crossAx val="146512896"/>
        <c:crosses val="autoZero"/>
        <c:auto val="1"/>
        <c:lblAlgn val="ctr"/>
        <c:lblOffset val="100"/>
        <c:noMultiLvlLbl val="0"/>
      </c:catAx>
      <c:valAx>
        <c:axId val="146512896"/>
        <c:scaling>
          <c:orientation val="minMax"/>
        </c:scaling>
        <c:delete val="0"/>
        <c:axPos val="r"/>
        <c:numFmt formatCode="0%" sourceLinked="0"/>
        <c:majorTickMark val="in"/>
        <c:minorTickMark val="none"/>
        <c:tickLblPos val="nextTo"/>
        <c:spPr>
          <a:ln w="3175">
            <a:solidFill>
              <a:srgbClr val="E1E1E1"/>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6508800"/>
        <c:crosses val="max"/>
        <c:crossBetween val="between"/>
      </c:valAx>
      <c:spPr>
        <a:gradFill flip="none" rotWithShape="1">
          <a:gsLst>
            <a:gs pos="0">
              <a:schemeClr val="bg1"/>
            </a:gs>
            <a:gs pos="100000">
              <a:srgbClr val="F0F0F0"/>
            </a:gs>
          </a:gsLst>
          <a:lin ang="5400000" scaled="0"/>
          <a:tileRect/>
        </a:gradFill>
        <a:ln w="12700">
          <a:solidFill>
            <a:srgbClr val="E1E1E1"/>
          </a:solidFill>
        </a:ln>
      </c:spPr>
    </c:plotArea>
    <c:legend>
      <c:legendPos val="r"/>
      <c:layout>
        <c:manualLayout>
          <c:xMode val="edge"/>
          <c:yMode val="edge"/>
          <c:x val="0.15482748250219086"/>
          <c:y val="0.14848534558180615"/>
          <c:w val="0.80681075021872262"/>
          <c:h val="0.10240963855421692"/>
        </c:manualLayout>
      </c:layout>
      <c:overlay val="0"/>
      <c:spPr>
        <a:solidFill>
          <a:srgbClr val="FFFFFF"/>
        </a:solidFill>
        <a:ln w="25400">
          <a:noFill/>
        </a:ln>
      </c:spPr>
      <c:txPr>
        <a:bodyPr/>
        <a:lstStyle/>
        <a:p>
          <a:pPr>
            <a:defRPr sz="800" b="0" i="0" u="none" strike="noStrike" baseline="0">
              <a:solidFill>
                <a:srgbClr val="000000"/>
              </a:solidFill>
              <a:latin typeface="Arial"/>
              <a:ea typeface="Arial"/>
              <a:cs typeface="Arial"/>
            </a:defRPr>
          </a:pPr>
          <a:endParaRPr lang="en-US"/>
        </a:p>
      </c:txPr>
    </c:legend>
    <c:plotVisOnly val="0"/>
    <c:dispBlanksAs val="gap"/>
    <c:showDLblsOverMax val="0"/>
  </c:chart>
  <c:spPr>
    <a:solidFill>
      <a:srgbClr val="FFFFFF"/>
    </a:solidFill>
    <a:ln w="3175">
      <a:solidFill>
        <a:sysClr val="window" lastClr="FFFFFF">
          <a:lumMod val="85000"/>
        </a:sysClr>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688" r="0.75000000000000688"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100" b="1" i="0" u="none" strike="noStrike" baseline="0">
                <a:solidFill>
                  <a:srgbClr val="000000"/>
                </a:solidFill>
                <a:latin typeface="Arial" pitchFamily="34" charset="0"/>
                <a:ea typeface="Tahoma"/>
                <a:cs typeface="Arial" pitchFamily="34" charset="0"/>
              </a:defRPr>
            </a:pPr>
            <a:r>
              <a:rPr lang="en-US"/>
              <a:t>Profitability</a:t>
            </a:r>
          </a:p>
        </c:rich>
      </c:tx>
      <c:layout>
        <c:manualLayout>
          <c:xMode val="edge"/>
          <c:yMode val="edge"/>
          <c:x val="4.2940944881889764E-2"/>
          <c:y val="5.7717785276841328E-2"/>
        </c:manualLayout>
      </c:layout>
      <c:overlay val="0"/>
      <c:spPr>
        <a:noFill/>
        <a:ln w="25400">
          <a:noFill/>
        </a:ln>
      </c:spPr>
    </c:title>
    <c:autoTitleDeleted val="0"/>
    <c:plotArea>
      <c:layout>
        <c:manualLayout>
          <c:layoutTarget val="inner"/>
          <c:xMode val="edge"/>
          <c:yMode val="edge"/>
          <c:x val="0.15103472337693424"/>
          <c:y val="0.26334535894204131"/>
          <c:w val="0.73299705984969665"/>
          <c:h val="0.55945548250061194"/>
        </c:manualLayout>
      </c:layout>
      <c:barChart>
        <c:barDir val="col"/>
        <c:grouping val="clustered"/>
        <c:varyColors val="0"/>
        <c:ser>
          <c:idx val="0"/>
          <c:order val="0"/>
          <c:tx>
            <c:strRef>
              <c:f>'At a Glance'!$D$144</c:f>
              <c:strCache>
                <c:ptCount val="1"/>
                <c:pt idx="0">
                  <c:v>Gross Margin</c:v>
                </c:pt>
              </c:strCache>
            </c:strRef>
          </c:tx>
          <c:spPr>
            <a:solidFill>
              <a:srgbClr val="00AEEF"/>
            </a:solidFill>
            <a:ln w="12700">
              <a:solidFill>
                <a:srgbClr val="0066CC"/>
              </a:solidFill>
            </a:ln>
          </c:spPr>
          <c:invertIfNegative val="0"/>
          <c:cat>
            <c:strRef>
              <c:f>'At a Glance'!$E$33:$I$33</c:f>
              <c:strCache>
                <c:ptCount val="5"/>
                <c:pt idx="0">
                  <c:v>12/2016</c:v>
                </c:pt>
                <c:pt idx="1">
                  <c:v>12/2017</c:v>
                </c:pt>
                <c:pt idx="2">
                  <c:v>12/2018</c:v>
                </c:pt>
                <c:pt idx="3">
                  <c:v>12/2019</c:v>
                </c:pt>
                <c:pt idx="4">
                  <c:v>12/2020</c:v>
                </c:pt>
              </c:strCache>
            </c:strRef>
          </c:cat>
          <c:val>
            <c:numRef>
              <c:f>'At a Glance'!$E$144:$I$144</c:f>
              <c:numCache>
                <c:formatCode>0.0%</c:formatCode>
                <c:ptCount val="5"/>
                <c:pt idx="0">
                  <c:v>0.27718297055704255</c:v>
                </c:pt>
                <c:pt idx="1">
                  <c:v>0.24787796478634136</c:v>
                </c:pt>
                <c:pt idx="2">
                  <c:v>0.20096307463828447</c:v>
                </c:pt>
                <c:pt idx="3">
                  <c:v>0.22171637663277027</c:v>
                </c:pt>
                <c:pt idx="4">
                  <c:v>-0.38233401579409182</c:v>
                </c:pt>
              </c:numCache>
            </c:numRef>
          </c:val>
          <c:extLst>
            <c:ext xmlns:c16="http://schemas.microsoft.com/office/drawing/2014/chart" uri="{C3380CC4-5D6E-409C-BE32-E72D297353CC}">
              <c16:uniqueId val="{00000000-900F-4CF9-81F2-61E03D1B55E1}"/>
            </c:ext>
          </c:extLst>
        </c:ser>
        <c:ser>
          <c:idx val="1"/>
          <c:order val="1"/>
          <c:tx>
            <c:strRef>
              <c:f>'At a Glance'!$D$145</c:f>
              <c:strCache>
                <c:ptCount val="1"/>
                <c:pt idx="0">
                  <c:v>EBIT Margin</c:v>
                </c:pt>
              </c:strCache>
            </c:strRef>
          </c:tx>
          <c:spPr>
            <a:solidFill>
              <a:srgbClr val="99CC33"/>
            </a:solidFill>
            <a:ln w="12700">
              <a:solidFill>
                <a:srgbClr val="339900"/>
              </a:solidFill>
            </a:ln>
          </c:spPr>
          <c:invertIfNegative val="0"/>
          <c:cat>
            <c:strRef>
              <c:f>'At a Glance'!$E$33:$I$33</c:f>
              <c:strCache>
                <c:ptCount val="5"/>
                <c:pt idx="0">
                  <c:v>12/2016</c:v>
                </c:pt>
                <c:pt idx="1">
                  <c:v>12/2017</c:v>
                </c:pt>
                <c:pt idx="2">
                  <c:v>12/2018</c:v>
                </c:pt>
                <c:pt idx="3">
                  <c:v>12/2019</c:v>
                </c:pt>
                <c:pt idx="4">
                  <c:v>12/2020</c:v>
                </c:pt>
              </c:strCache>
            </c:strRef>
          </c:cat>
          <c:val>
            <c:numRef>
              <c:f>'At a Glance'!$E$145:$I$145</c:f>
              <c:numCache>
                <c:formatCode>0.0%</c:formatCode>
                <c:ptCount val="5"/>
                <c:pt idx="0">
                  <c:v>0.18385435079036413</c:v>
                </c:pt>
                <c:pt idx="1">
                  <c:v>0.14999757481689868</c:v>
                </c:pt>
                <c:pt idx="2">
                  <c:v>0.11851668504309083</c:v>
                </c:pt>
                <c:pt idx="3">
                  <c:v>0.14164149257541592</c:v>
                </c:pt>
                <c:pt idx="4">
                  <c:v>-0.48441064638783271</c:v>
                </c:pt>
              </c:numCache>
            </c:numRef>
          </c:val>
          <c:extLst>
            <c:ext xmlns:c16="http://schemas.microsoft.com/office/drawing/2014/chart" uri="{C3380CC4-5D6E-409C-BE32-E72D297353CC}">
              <c16:uniqueId val="{00000001-900F-4CF9-81F2-61E03D1B55E1}"/>
            </c:ext>
          </c:extLst>
        </c:ser>
        <c:dLbls>
          <c:showLegendKey val="0"/>
          <c:showVal val="0"/>
          <c:showCatName val="0"/>
          <c:showSerName val="0"/>
          <c:showPercent val="0"/>
          <c:showBubbleSize val="0"/>
        </c:dLbls>
        <c:gapWidth val="150"/>
        <c:axId val="147428480"/>
        <c:axId val="147430016"/>
      </c:barChart>
      <c:catAx>
        <c:axId val="147428480"/>
        <c:scaling>
          <c:orientation val="minMax"/>
        </c:scaling>
        <c:delete val="0"/>
        <c:axPos val="b"/>
        <c:numFmt formatCode="General" sourceLinked="1"/>
        <c:majorTickMark val="none"/>
        <c:minorTickMark val="none"/>
        <c:tickLblPos val="low"/>
        <c:spPr>
          <a:ln w="3175">
            <a:solidFill>
              <a:srgbClr val="E1E1E1"/>
            </a:solidFill>
            <a:prstDash val="solid"/>
          </a:ln>
        </c:spPr>
        <c:txPr>
          <a:bodyPr rot="0" vert="horz"/>
          <a:lstStyle/>
          <a:p>
            <a:pPr>
              <a:defRPr sz="800" b="0" i="0" u="none" strike="noStrike" baseline="0">
                <a:solidFill>
                  <a:srgbClr val="000000"/>
                </a:solidFill>
                <a:latin typeface="Arial" pitchFamily="34" charset="0"/>
                <a:ea typeface="Tahoma"/>
                <a:cs typeface="Arial" pitchFamily="34" charset="0"/>
              </a:defRPr>
            </a:pPr>
            <a:endParaRPr lang="en-US"/>
          </a:p>
        </c:txPr>
        <c:crossAx val="147430016"/>
        <c:crosses val="autoZero"/>
        <c:auto val="1"/>
        <c:lblAlgn val="ctr"/>
        <c:lblOffset val="100"/>
        <c:tickLblSkip val="1"/>
        <c:tickMarkSkip val="1"/>
        <c:noMultiLvlLbl val="0"/>
      </c:catAx>
      <c:valAx>
        <c:axId val="147430016"/>
        <c:scaling>
          <c:orientation val="minMax"/>
        </c:scaling>
        <c:delete val="0"/>
        <c:axPos val="l"/>
        <c:majorGridlines>
          <c:spPr>
            <a:ln w="3175">
              <a:solidFill>
                <a:srgbClr val="E1E1E1"/>
              </a:solidFill>
              <a:prstDash val="solid"/>
            </a:ln>
          </c:spPr>
        </c:majorGridlines>
        <c:numFmt formatCode="0%" sourceLinked="0"/>
        <c:majorTickMark val="in"/>
        <c:minorTickMark val="none"/>
        <c:tickLblPos val="nextTo"/>
        <c:spPr>
          <a:ln w="3175">
            <a:solidFill>
              <a:srgbClr val="E1E1E1"/>
            </a:solidFill>
            <a:prstDash val="solid"/>
          </a:ln>
        </c:spPr>
        <c:txPr>
          <a:bodyPr rot="0" vert="horz"/>
          <a:lstStyle/>
          <a:p>
            <a:pPr>
              <a:defRPr sz="800" b="0" i="0" u="none" strike="noStrike" baseline="0">
                <a:solidFill>
                  <a:srgbClr val="000000"/>
                </a:solidFill>
                <a:latin typeface="Arial" pitchFamily="34" charset="0"/>
                <a:ea typeface="Tahoma"/>
                <a:cs typeface="Arial" pitchFamily="34" charset="0"/>
              </a:defRPr>
            </a:pPr>
            <a:endParaRPr lang="en-US"/>
          </a:p>
        </c:txPr>
        <c:crossAx val="147428480"/>
        <c:crosses val="autoZero"/>
        <c:crossBetween val="between"/>
      </c:valAx>
      <c:spPr>
        <a:gradFill>
          <a:gsLst>
            <a:gs pos="0">
              <a:sysClr val="window" lastClr="FFFFFF"/>
            </a:gs>
            <a:gs pos="100000">
              <a:srgbClr val="F0F0F0"/>
            </a:gs>
          </a:gsLst>
          <a:lin ang="5400000" scaled="0"/>
        </a:gradFill>
        <a:ln w="12700">
          <a:solidFill>
            <a:srgbClr val="E1E1E1"/>
          </a:solidFill>
        </a:ln>
      </c:spPr>
    </c:plotArea>
    <c:legend>
      <c:legendPos val="r"/>
      <c:layout>
        <c:manualLayout>
          <c:xMode val="edge"/>
          <c:yMode val="edge"/>
          <c:x val="0.29908828748819832"/>
          <c:y val="0.15739364961660429"/>
          <c:w val="0.42690857392826798"/>
          <c:h val="0.10179640718563049"/>
        </c:manualLayout>
      </c:layout>
      <c:overlay val="0"/>
      <c:spPr>
        <a:noFill/>
        <a:ln w="25400">
          <a:noFill/>
        </a:ln>
      </c:spPr>
      <c:txPr>
        <a:bodyPr/>
        <a:lstStyle/>
        <a:p>
          <a:pPr>
            <a:defRPr sz="800" b="0" i="0" u="none" strike="noStrike" baseline="0">
              <a:solidFill>
                <a:srgbClr val="000000"/>
              </a:solidFill>
              <a:latin typeface="Arial" pitchFamily="34" charset="0"/>
              <a:ea typeface="Tahoma"/>
              <a:cs typeface="Arial" pitchFamily="34" charset="0"/>
            </a:defRPr>
          </a:pPr>
          <a:endParaRPr lang="en-US"/>
        </a:p>
      </c:txPr>
    </c:legend>
    <c:plotVisOnly val="0"/>
    <c:dispBlanksAs val="gap"/>
    <c:showDLblsOverMax val="0"/>
  </c:chart>
  <c:spPr>
    <a:solidFill>
      <a:srgbClr val="FFFFFF"/>
    </a:solidFill>
    <a:ln w="3175">
      <a:solidFill>
        <a:sysClr val="window" lastClr="FFFFFF">
          <a:lumMod val="85000"/>
        </a:sysClr>
      </a:solidFill>
      <a:prstDash val="solid"/>
    </a:ln>
  </c:spPr>
  <c:txPr>
    <a:bodyPr/>
    <a:lstStyle/>
    <a:p>
      <a:pPr>
        <a:defRPr sz="800" b="0" i="0" u="none" strike="noStrike" baseline="0">
          <a:solidFill>
            <a:srgbClr val="000000"/>
          </a:solidFill>
          <a:latin typeface="Tahoma"/>
          <a:ea typeface="Tahoma"/>
          <a:cs typeface="Tahoma"/>
        </a:defRPr>
      </a:pPr>
      <a:endParaRPr lang="en-US"/>
    </a:p>
  </c:txPr>
  <c:printSettings>
    <c:headerFooter alignWithMargins="0"/>
    <c:pageMargins b="1" l="0.75000000000000688" r="0.75000000000000688" t="1" header="0.5" footer="0.5"/>
    <c:pageSetup orientation="landscape" horizontalDpi="300" verticalDpi="30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100" b="1" i="0" u="none" strike="noStrike" baseline="0">
                <a:solidFill>
                  <a:srgbClr val="000000"/>
                </a:solidFill>
                <a:latin typeface="Arial" pitchFamily="34" charset="0"/>
                <a:ea typeface="Tahoma"/>
                <a:cs typeface="Arial" pitchFamily="34" charset="0"/>
              </a:defRPr>
            </a:pPr>
            <a:r>
              <a:rPr lang="en-US"/>
              <a:t>Leverage &amp; Coverage</a:t>
            </a:r>
          </a:p>
        </c:rich>
      </c:tx>
      <c:layout>
        <c:manualLayout>
          <c:xMode val="edge"/>
          <c:yMode val="edge"/>
          <c:x val="4.763320209973753E-2"/>
          <c:y val="5.6592057937202934E-2"/>
        </c:manualLayout>
      </c:layout>
      <c:overlay val="0"/>
      <c:spPr>
        <a:noFill/>
        <a:ln w="25400">
          <a:noFill/>
        </a:ln>
      </c:spPr>
    </c:title>
    <c:autoTitleDeleted val="0"/>
    <c:plotArea>
      <c:layout>
        <c:manualLayout>
          <c:layoutTarget val="inner"/>
          <c:xMode val="edge"/>
          <c:yMode val="edge"/>
          <c:x val="0.14399607617551349"/>
          <c:y val="0.33588064649813532"/>
          <c:w val="0.73387569551794962"/>
          <c:h val="0.49428122920041845"/>
        </c:manualLayout>
      </c:layout>
      <c:barChart>
        <c:barDir val="col"/>
        <c:grouping val="stacked"/>
        <c:varyColors val="0"/>
        <c:ser>
          <c:idx val="0"/>
          <c:order val="0"/>
          <c:tx>
            <c:strRef>
              <c:f>'At a Glance'!$D$156</c:f>
              <c:strCache>
                <c:ptCount val="1"/>
                <c:pt idx="0">
                  <c:v>LTD/ TD + Stkhldr's Equity</c:v>
                </c:pt>
              </c:strCache>
            </c:strRef>
          </c:tx>
          <c:spPr>
            <a:solidFill>
              <a:srgbClr val="00AEEF"/>
            </a:solidFill>
            <a:ln w="12700">
              <a:solidFill>
                <a:srgbClr val="0066CC"/>
              </a:solidFill>
            </a:ln>
          </c:spPr>
          <c:invertIfNegative val="0"/>
          <c:cat>
            <c:strRef>
              <c:f>'At a Glance'!$E$33:$I$33</c:f>
              <c:strCache>
                <c:ptCount val="5"/>
                <c:pt idx="0">
                  <c:v>12/2016</c:v>
                </c:pt>
                <c:pt idx="1">
                  <c:v>12/2017</c:v>
                </c:pt>
                <c:pt idx="2">
                  <c:v>12/2018</c:v>
                </c:pt>
                <c:pt idx="3">
                  <c:v>12/2019</c:v>
                </c:pt>
                <c:pt idx="4">
                  <c:v>12/2020</c:v>
                </c:pt>
              </c:strCache>
            </c:strRef>
          </c:cat>
          <c:val>
            <c:numRef>
              <c:f>'At a Glance'!$E$156:$I$156</c:f>
              <c:numCache>
                <c:formatCode>0.0%</c:formatCode>
                <c:ptCount val="5"/>
                <c:pt idx="0">
                  <c:v>0.31607115551251336</c:v>
                </c:pt>
                <c:pt idx="1">
                  <c:v>0.28983468167428772</c:v>
                </c:pt>
                <c:pt idx="2">
                  <c:v>0.46514860660620905</c:v>
                </c:pt>
                <c:pt idx="3">
                  <c:v>0.4343973262196057</c:v>
                </c:pt>
                <c:pt idx="4">
                  <c:v>0.89364111968070759</c:v>
                </c:pt>
              </c:numCache>
            </c:numRef>
          </c:val>
          <c:extLst>
            <c:ext xmlns:c16="http://schemas.microsoft.com/office/drawing/2014/chart" uri="{C3380CC4-5D6E-409C-BE32-E72D297353CC}">
              <c16:uniqueId val="{00000000-6463-495A-BB31-BC8B4DEE645B}"/>
            </c:ext>
          </c:extLst>
        </c:ser>
        <c:ser>
          <c:idx val="1"/>
          <c:order val="1"/>
          <c:tx>
            <c:strRef>
              <c:f>'At a Glance'!$D$157</c:f>
              <c:strCache>
                <c:ptCount val="1"/>
                <c:pt idx="0">
                  <c:v>STD/ TD + Stkhldr's Equity</c:v>
                </c:pt>
              </c:strCache>
            </c:strRef>
          </c:tx>
          <c:spPr>
            <a:solidFill>
              <a:srgbClr val="99CC33"/>
            </a:solidFill>
            <a:ln w="12700">
              <a:solidFill>
                <a:srgbClr val="339900"/>
              </a:solidFill>
            </a:ln>
          </c:spPr>
          <c:invertIfNegative val="0"/>
          <c:cat>
            <c:strRef>
              <c:f>'At a Glance'!$E$33:$I$33</c:f>
              <c:strCache>
                <c:ptCount val="5"/>
                <c:pt idx="0">
                  <c:v>12/2016</c:v>
                </c:pt>
                <c:pt idx="1">
                  <c:v>12/2017</c:v>
                </c:pt>
                <c:pt idx="2">
                  <c:v>12/2018</c:v>
                </c:pt>
                <c:pt idx="3">
                  <c:v>12/2019</c:v>
                </c:pt>
                <c:pt idx="4">
                  <c:v>12/2020</c:v>
                </c:pt>
              </c:strCache>
            </c:strRef>
          </c:cat>
          <c:val>
            <c:numRef>
              <c:f>'At a Glance'!$E$157:$I$157</c:f>
              <c:numCache>
                <c:formatCode>0.0%</c:formatCode>
                <c:ptCount val="5"/>
                <c:pt idx="0">
                  <c:v>5.7648198175238308E-2</c:v>
                </c:pt>
                <c:pt idx="1">
                  <c:v>9.8575448469926163E-2</c:v>
                </c:pt>
                <c:pt idx="2">
                  <c:v>8.1849473753888957E-2</c:v>
                </c:pt>
                <c:pt idx="3">
                  <c:v>9.4686168092478429E-2</c:v>
                </c:pt>
                <c:pt idx="4">
                  <c:v>6.4991100803624469E-2</c:v>
                </c:pt>
              </c:numCache>
            </c:numRef>
          </c:val>
          <c:extLst>
            <c:ext xmlns:c16="http://schemas.microsoft.com/office/drawing/2014/chart" uri="{C3380CC4-5D6E-409C-BE32-E72D297353CC}">
              <c16:uniqueId val="{00000001-6463-495A-BB31-BC8B4DEE645B}"/>
            </c:ext>
          </c:extLst>
        </c:ser>
        <c:dLbls>
          <c:showLegendKey val="0"/>
          <c:showVal val="0"/>
          <c:showCatName val="0"/>
          <c:showSerName val="0"/>
          <c:showPercent val="0"/>
          <c:showBubbleSize val="0"/>
        </c:dLbls>
        <c:gapWidth val="150"/>
        <c:overlap val="100"/>
        <c:axId val="148850944"/>
        <c:axId val="148855040"/>
      </c:barChart>
      <c:lineChart>
        <c:grouping val="standard"/>
        <c:varyColors val="0"/>
        <c:ser>
          <c:idx val="2"/>
          <c:order val="2"/>
          <c:tx>
            <c:strRef>
              <c:f>'At a Glance'!$D$159</c:f>
              <c:strCache>
                <c:ptCount val="1"/>
                <c:pt idx="0">
                  <c:v>TD/ EBITDA</c:v>
                </c:pt>
              </c:strCache>
            </c:strRef>
          </c:tx>
          <c:spPr>
            <a:ln w="25400">
              <a:solidFill>
                <a:srgbClr val="9A3366"/>
              </a:solidFill>
              <a:prstDash val="solid"/>
            </a:ln>
          </c:spPr>
          <c:marker>
            <c:symbol val="circle"/>
            <c:size val="6"/>
            <c:spPr>
              <a:solidFill>
                <a:srgbClr val="9A3366"/>
              </a:solidFill>
              <a:ln w="12700">
                <a:solidFill>
                  <a:srgbClr val="323232"/>
                </a:solidFill>
                <a:prstDash val="solid"/>
              </a:ln>
            </c:spPr>
          </c:marker>
          <c:cat>
            <c:strRef>
              <c:f>'At a Glance'!$E$33:$I$33</c:f>
              <c:strCache>
                <c:ptCount val="5"/>
                <c:pt idx="0">
                  <c:v>12/2016</c:v>
                </c:pt>
                <c:pt idx="1">
                  <c:v>12/2017</c:v>
                </c:pt>
                <c:pt idx="2">
                  <c:v>12/2018</c:v>
                </c:pt>
                <c:pt idx="3">
                  <c:v>12/2019</c:v>
                </c:pt>
                <c:pt idx="4">
                  <c:v>12/2020</c:v>
                </c:pt>
              </c:strCache>
            </c:strRef>
          </c:cat>
          <c:val>
            <c:numRef>
              <c:f>'At a Glance'!$E$159:$I$159</c:f>
              <c:numCache>
                <c:formatCode>0.0\x</c:formatCode>
                <c:ptCount val="5"/>
                <c:pt idx="0">
                  <c:v>0.79843188500490037</c:v>
                </c:pt>
                <c:pt idx="1">
                  <c:v>1.0491686460807601</c:v>
                </c:pt>
                <c:pt idx="2">
                  <c:v>2.1757503949447079</c:v>
                </c:pt>
                <c:pt idx="3">
                  <c:v>1.8676263664898798</c:v>
                </c:pt>
                <c:pt idx="4">
                  <c:v>-5.9554364215111413</c:v>
                </c:pt>
              </c:numCache>
            </c:numRef>
          </c:val>
          <c:smooth val="0"/>
          <c:extLst>
            <c:ext xmlns:c16="http://schemas.microsoft.com/office/drawing/2014/chart" uri="{C3380CC4-5D6E-409C-BE32-E72D297353CC}">
              <c16:uniqueId val="{00000002-6463-495A-BB31-BC8B4DEE645B}"/>
            </c:ext>
          </c:extLst>
        </c:ser>
        <c:dLbls>
          <c:showLegendKey val="0"/>
          <c:showVal val="0"/>
          <c:showCatName val="0"/>
          <c:showSerName val="0"/>
          <c:showPercent val="0"/>
          <c:showBubbleSize val="0"/>
        </c:dLbls>
        <c:marker val="1"/>
        <c:smooth val="0"/>
        <c:axId val="148858368"/>
        <c:axId val="148865792"/>
      </c:lineChart>
      <c:catAx>
        <c:axId val="148850944"/>
        <c:scaling>
          <c:orientation val="minMax"/>
        </c:scaling>
        <c:delete val="0"/>
        <c:axPos val="b"/>
        <c:numFmt formatCode="General" sourceLinked="1"/>
        <c:majorTickMark val="none"/>
        <c:minorTickMark val="none"/>
        <c:tickLblPos val="low"/>
        <c:spPr>
          <a:ln w="3175">
            <a:solidFill>
              <a:srgbClr val="E1E1E1"/>
            </a:solidFill>
            <a:prstDash val="solid"/>
          </a:ln>
        </c:spPr>
        <c:txPr>
          <a:bodyPr rot="0" vert="horz"/>
          <a:lstStyle/>
          <a:p>
            <a:pPr>
              <a:defRPr sz="800" b="0" i="0" u="none" strike="noStrike" baseline="0">
                <a:solidFill>
                  <a:srgbClr val="000000"/>
                </a:solidFill>
                <a:latin typeface="Arial" pitchFamily="34" charset="0"/>
                <a:ea typeface="Tahoma"/>
                <a:cs typeface="Arial" pitchFamily="34" charset="0"/>
              </a:defRPr>
            </a:pPr>
            <a:endParaRPr lang="en-US"/>
          </a:p>
        </c:txPr>
        <c:crossAx val="148855040"/>
        <c:crosses val="autoZero"/>
        <c:auto val="1"/>
        <c:lblAlgn val="ctr"/>
        <c:lblOffset val="100"/>
        <c:tickLblSkip val="1"/>
        <c:tickMarkSkip val="1"/>
        <c:noMultiLvlLbl val="0"/>
      </c:catAx>
      <c:valAx>
        <c:axId val="148855040"/>
        <c:scaling>
          <c:orientation val="minMax"/>
        </c:scaling>
        <c:delete val="0"/>
        <c:axPos val="l"/>
        <c:majorGridlines>
          <c:spPr>
            <a:ln w="3175">
              <a:solidFill>
                <a:srgbClr val="E1E1E1"/>
              </a:solidFill>
              <a:prstDash val="solid"/>
            </a:ln>
          </c:spPr>
        </c:majorGridlines>
        <c:numFmt formatCode="0%" sourceLinked="0"/>
        <c:majorTickMark val="in"/>
        <c:minorTickMark val="none"/>
        <c:tickLblPos val="nextTo"/>
        <c:spPr>
          <a:ln w="12700">
            <a:solidFill>
              <a:srgbClr val="E1E1E1"/>
            </a:solidFill>
            <a:prstDash val="solid"/>
          </a:ln>
        </c:spPr>
        <c:txPr>
          <a:bodyPr rot="0" vert="horz"/>
          <a:lstStyle/>
          <a:p>
            <a:pPr>
              <a:defRPr sz="800" b="0" i="0" u="none" strike="noStrike" baseline="0">
                <a:solidFill>
                  <a:srgbClr val="000000"/>
                </a:solidFill>
                <a:latin typeface="Arial" pitchFamily="34" charset="0"/>
                <a:ea typeface="Tahoma"/>
                <a:cs typeface="Arial" pitchFamily="34" charset="0"/>
              </a:defRPr>
            </a:pPr>
            <a:endParaRPr lang="en-US"/>
          </a:p>
        </c:txPr>
        <c:crossAx val="148850944"/>
        <c:crosses val="autoZero"/>
        <c:crossBetween val="between"/>
      </c:valAx>
      <c:catAx>
        <c:axId val="148858368"/>
        <c:scaling>
          <c:orientation val="minMax"/>
        </c:scaling>
        <c:delete val="1"/>
        <c:axPos val="b"/>
        <c:numFmt formatCode="General" sourceLinked="1"/>
        <c:majorTickMark val="out"/>
        <c:minorTickMark val="none"/>
        <c:tickLblPos val="none"/>
        <c:crossAx val="148865792"/>
        <c:crosses val="autoZero"/>
        <c:auto val="1"/>
        <c:lblAlgn val="ctr"/>
        <c:lblOffset val="100"/>
        <c:noMultiLvlLbl val="0"/>
      </c:catAx>
      <c:valAx>
        <c:axId val="148865792"/>
        <c:scaling>
          <c:orientation val="minMax"/>
        </c:scaling>
        <c:delete val="0"/>
        <c:axPos val="r"/>
        <c:numFmt formatCode="0.00\x" sourceLinked="0"/>
        <c:majorTickMark val="in"/>
        <c:minorTickMark val="none"/>
        <c:tickLblPos val="nextTo"/>
        <c:spPr>
          <a:ln w="12700">
            <a:solidFill>
              <a:srgbClr val="E1E1E1"/>
            </a:solidFill>
            <a:prstDash val="solid"/>
          </a:ln>
        </c:spPr>
        <c:txPr>
          <a:bodyPr rot="0" vert="horz"/>
          <a:lstStyle/>
          <a:p>
            <a:pPr>
              <a:defRPr sz="800" b="0" i="0" u="none" strike="noStrike" baseline="0">
                <a:solidFill>
                  <a:srgbClr val="000000"/>
                </a:solidFill>
                <a:latin typeface="Arial" pitchFamily="34" charset="0"/>
                <a:ea typeface="Tahoma"/>
                <a:cs typeface="Arial" pitchFamily="34" charset="0"/>
              </a:defRPr>
            </a:pPr>
            <a:endParaRPr lang="en-US"/>
          </a:p>
        </c:txPr>
        <c:crossAx val="148858368"/>
        <c:crosses val="max"/>
        <c:crossBetween val="between"/>
      </c:valAx>
      <c:spPr>
        <a:gradFill>
          <a:gsLst>
            <a:gs pos="0">
              <a:schemeClr val="bg1"/>
            </a:gs>
            <a:gs pos="100000">
              <a:srgbClr val="F0F0F0"/>
            </a:gs>
          </a:gsLst>
          <a:lin ang="5400000" scaled="0"/>
        </a:gradFill>
        <a:ln w="12700">
          <a:solidFill>
            <a:srgbClr val="E1E1E1"/>
          </a:solidFill>
        </a:ln>
      </c:spPr>
    </c:plotArea>
    <c:legend>
      <c:legendPos val="b"/>
      <c:layout>
        <c:manualLayout>
          <c:xMode val="edge"/>
          <c:yMode val="edge"/>
          <c:x val="0"/>
          <c:y val="0.19109386745969378"/>
          <c:w val="1"/>
          <c:h val="0.10059171597633297"/>
        </c:manualLayout>
      </c:layout>
      <c:overlay val="0"/>
      <c:spPr>
        <a:solidFill>
          <a:srgbClr val="FFFFFF"/>
        </a:solidFill>
        <a:ln w="25400">
          <a:noFill/>
        </a:ln>
      </c:spPr>
      <c:txPr>
        <a:bodyPr/>
        <a:lstStyle/>
        <a:p>
          <a:pPr>
            <a:defRPr sz="800" b="0" i="0" u="none" strike="noStrike" baseline="0">
              <a:solidFill>
                <a:srgbClr val="000000"/>
              </a:solidFill>
              <a:latin typeface="Arial" pitchFamily="34" charset="0"/>
              <a:ea typeface="Tahoma"/>
              <a:cs typeface="Arial" pitchFamily="34" charset="0"/>
            </a:defRPr>
          </a:pPr>
          <a:endParaRPr lang="en-US"/>
        </a:p>
      </c:txPr>
    </c:legend>
    <c:plotVisOnly val="0"/>
    <c:dispBlanksAs val="gap"/>
    <c:showDLblsOverMax val="0"/>
  </c:chart>
  <c:spPr>
    <a:solidFill>
      <a:schemeClr val="bg1"/>
    </a:solidFill>
    <a:ln w="6350">
      <a:solidFill>
        <a:sysClr val="window" lastClr="FFFFFF">
          <a:lumMod val="85000"/>
        </a:sysClr>
      </a:solidFill>
      <a:prstDash val="solid"/>
    </a:ln>
  </c:spPr>
  <c:txPr>
    <a:bodyPr/>
    <a:lstStyle/>
    <a:p>
      <a:pPr>
        <a:defRPr sz="800" b="0" i="0" u="none" strike="noStrike" baseline="0">
          <a:solidFill>
            <a:srgbClr val="000000"/>
          </a:solidFill>
          <a:latin typeface="Tahoma"/>
          <a:ea typeface="Tahoma"/>
          <a:cs typeface="Tahoma"/>
        </a:defRPr>
      </a:pPr>
      <a:endParaRPr lang="en-US"/>
    </a:p>
  </c:txPr>
  <c:printSettings>
    <c:headerFooter alignWithMargins="0"/>
    <c:pageMargins b="1" l="0.75000000000000688" r="0.75000000000000688"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sz="1100" b="1"/>
            </a:pPr>
            <a:r>
              <a:rPr lang="en-US"/>
              <a:t>Efficiency</a:t>
            </a:r>
          </a:p>
        </c:rich>
      </c:tx>
      <c:layout>
        <c:manualLayout>
          <c:xMode val="edge"/>
          <c:yMode val="edge"/>
          <c:x val="3.7015881489390619E-2"/>
          <c:y val="6.007894901731449E-2"/>
        </c:manualLayout>
      </c:layout>
      <c:overlay val="0"/>
      <c:spPr>
        <a:noFill/>
        <a:ln w="25400">
          <a:noFill/>
        </a:ln>
      </c:spPr>
    </c:title>
    <c:autoTitleDeleted val="0"/>
    <c:plotArea>
      <c:layout>
        <c:manualLayout>
          <c:layoutTarget val="inner"/>
          <c:xMode val="edge"/>
          <c:yMode val="edge"/>
          <c:x val="0.12962881730570969"/>
          <c:y val="0.32707161604799556"/>
          <c:w val="0.7632561676977746"/>
          <c:h val="0.51508861392325955"/>
        </c:manualLayout>
      </c:layout>
      <c:barChart>
        <c:barDir val="col"/>
        <c:grouping val="clustered"/>
        <c:varyColors val="0"/>
        <c:ser>
          <c:idx val="0"/>
          <c:order val="0"/>
          <c:tx>
            <c:strRef>
              <c:f>'At a Glance'!$D$166</c:f>
              <c:strCache>
                <c:ptCount val="1"/>
                <c:pt idx="0">
                  <c:v>Receivables</c:v>
                </c:pt>
              </c:strCache>
            </c:strRef>
          </c:tx>
          <c:spPr>
            <a:solidFill>
              <a:srgbClr val="00AEEF"/>
            </a:solidFill>
            <a:ln w="12700">
              <a:solidFill>
                <a:srgbClr val="0066CC"/>
              </a:solidFill>
            </a:ln>
          </c:spPr>
          <c:invertIfNegative val="0"/>
          <c:cat>
            <c:strRef>
              <c:f>'At a Glance'!$E$33:$I$33</c:f>
              <c:strCache>
                <c:ptCount val="5"/>
                <c:pt idx="0">
                  <c:v>12/2016</c:v>
                </c:pt>
                <c:pt idx="1">
                  <c:v>12/2017</c:v>
                </c:pt>
                <c:pt idx="2">
                  <c:v>12/2018</c:v>
                </c:pt>
                <c:pt idx="3">
                  <c:v>12/2019</c:v>
                </c:pt>
                <c:pt idx="4">
                  <c:v>12/2020</c:v>
                </c:pt>
              </c:strCache>
            </c:strRef>
          </c:cat>
          <c:val>
            <c:numRef>
              <c:f>'At a Glance'!$E$166:$I$166</c:f>
              <c:numCache>
                <c:formatCode>#,##0.0_);[Red]\(#,##0.0\)</c:formatCode>
                <c:ptCount val="5"/>
                <c:pt idx="0">
                  <c:v>19.368908135952729</c:v>
                </c:pt>
                <c:pt idx="1">
                  <c:v>19.655684629189505</c:v>
                </c:pt>
                <c:pt idx="2">
                  <c:v>19.263911703156996</c:v>
                </c:pt>
                <c:pt idx="3">
                  <c:v>20.064672594987872</c:v>
                </c:pt>
                <c:pt idx="4">
                  <c:v>45.37145364141562</c:v>
                </c:pt>
              </c:numCache>
            </c:numRef>
          </c:val>
          <c:extLst>
            <c:ext xmlns:c16="http://schemas.microsoft.com/office/drawing/2014/chart" uri="{C3380CC4-5D6E-409C-BE32-E72D297353CC}">
              <c16:uniqueId val="{00000000-A72F-47E1-AB3C-6934380E03DB}"/>
            </c:ext>
          </c:extLst>
        </c:ser>
        <c:ser>
          <c:idx val="1"/>
          <c:order val="1"/>
          <c:tx>
            <c:strRef>
              <c:f>'At a Glance'!$D$167</c:f>
              <c:strCache>
                <c:ptCount val="1"/>
                <c:pt idx="0">
                  <c:v>Inventory</c:v>
                </c:pt>
              </c:strCache>
            </c:strRef>
          </c:tx>
          <c:spPr>
            <a:solidFill>
              <a:srgbClr val="99CC33"/>
            </a:solidFill>
            <a:ln w="12700">
              <a:solidFill>
                <a:srgbClr val="339900"/>
              </a:solidFill>
            </a:ln>
          </c:spPr>
          <c:invertIfNegative val="0"/>
          <c:cat>
            <c:strRef>
              <c:f>'At a Glance'!$E$33:$I$33</c:f>
              <c:strCache>
                <c:ptCount val="5"/>
                <c:pt idx="0">
                  <c:v>12/2016</c:v>
                </c:pt>
                <c:pt idx="1">
                  <c:v>12/2017</c:v>
                </c:pt>
                <c:pt idx="2">
                  <c:v>12/2018</c:v>
                </c:pt>
                <c:pt idx="3">
                  <c:v>12/2019</c:v>
                </c:pt>
                <c:pt idx="4">
                  <c:v>12/2020</c:v>
                </c:pt>
              </c:strCache>
            </c:strRef>
          </c:cat>
          <c:val>
            <c:numRef>
              <c:f>'At a Glance'!$E$167:$I$167</c:f>
              <c:numCache>
                <c:formatCode>#,##0.0_);[Red]\(#,##0.0\)</c:formatCode>
                <c:ptCount val="5"/>
                <c:pt idx="0">
                  <c:v>10.124366812227075</c:v>
                </c:pt>
                <c:pt idx="1">
                  <c:v>13.063876438912715</c:v>
                </c:pt>
                <c:pt idx="2">
                  <c:v>12.252323289214306</c:v>
                </c:pt>
                <c:pt idx="3">
                  <c:v>11.50352613164225</c:v>
                </c:pt>
                <c:pt idx="4">
                  <c:v>15.31452329567094</c:v>
                </c:pt>
              </c:numCache>
            </c:numRef>
          </c:val>
          <c:extLst>
            <c:ext xmlns:c16="http://schemas.microsoft.com/office/drawing/2014/chart" uri="{C3380CC4-5D6E-409C-BE32-E72D297353CC}">
              <c16:uniqueId val="{00000001-A72F-47E1-AB3C-6934380E03DB}"/>
            </c:ext>
          </c:extLst>
        </c:ser>
        <c:ser>
          <c:idx val="2"/>
          <c:order val="2"/>
          <c:tx>
            <c:strRef>
              <c:f>'At a Glance'!$D$168</c:f>
              <c:strCache>
                <c:ptCount val="1"/>
                <c:pt idx="0">
                  <c:v>Payables</c:v>
                </c:pt>
              </c:strCache>
            </c:strRef>
          </c:tx>
          <c:spPr>
            <a:solidFill>
              <a:srgbClr val="9A3366"/>
            </a:solidFill>
            <a:ln w="12700">
              <a:solidFill>
                <a:srgbClr val="600174"/>
              </a:solidFill>
            </a:ln>
          </c:spPr>
          <c:invertIfNegative val="0"/>
          <c:cat>
            <c:strRef>
              <c:f>'At a Glance'!$E$33:$I$33</c:f>
              <c:strCache>
                <c:ptCount val="5"/>
                <c:pt idx="0">
                  <c:v>12/2016</c:v>
                </c:pt>
                <c:pt idx="1">
                  <c:v>12/2017</c:v>
                </c:pt>
                <c:pt idx="2">
                  <c:v>12/2018</c:v>
                </c:pt>
                <c:pt idx="3">
                  <c:v>12/2019</c:v>
                </c:pt>
                <c:pt idx="4">
                  <c:v>12/2020</c:v>
                </c:pt>
              </c:strCache>
            </c:strRef>
          </c:cat>
          <c:val>
            <c:numRef>
              <c:f>'At a Glance'!$E$168:$I$168</c:f>
              <c:numCache>
                <c:formatCode>#,##0.0_);[Red]\(#,##0.0\)</c:formatCode>
                <c:ptCount val="5"/>
                <c:pt idx="0">
                  <c:v>32.891668690794269</c:v>
                </c:pt>
                <c:pt idx="1">
                  <c:v>36.243521668627388</c:v>
                </c:pt>
                <c:pt idx="2">
                  <c:v>34.176992396508027</c:v>
                </c:pt>
                <c:pt idx="3">
                  <c:v>31.138339164662149</c:v>
                </c:pt>
                <c:pt idx="4">
                  <c:v>47.156066184249504</c:v>
                </c:pt>
              </c:numCache>
            </c:numRef>
          </c:val>
          <c:extLst>
            <c:ext xmlns:c16="http://schemas.microsoft.com/office/drawing/2014/chart" uri="{C3380CC4-5D6E-409C-BE32-E72D297353CC}">
              <c16:uniqueId val="{00000002-A72F-47E1-AB3C-6934380E03DB}"/>
            </c:ext>
          </c:extLst>
        </c:ser>
        <c:dLbls>
          <c:showLegendKey val="0"/>
          <c:showVal val="0"/>
          <c:showCatName val="0"/>
          <c:showSerName val="0"/>
          <c:showPercent val="0"/>
          <c:showBubbleSize val="0"/>
        </c:dLbls>
        <c:gapWidth val="150"/>
        <c:axId val="148895232"/>
        <c:axId val="177742592"/>
      </c:barChart>
      <c:lineChart>
        <c:grouping val="standard"/>
        <c:varyColors val="0"/>
        <c:ser>
          <c:idx val="3"/>
          <c:order val="3"/>
          <c:tx>
            <c:strRef>
              <c:f>'At a Glance'!$D$169</c:f>
              <c:strCache>
                <c:ptCount val="1"/>
                <c:pt idx="0">
                  <c:v>Asset Turnover</c:v>
                </c:pt>
              </c:strCache>
            </c:strRef>
          </c:tx>
          <c:spPr>
            <a:ln w="25400">
              <a:solidFill>
                <a:srgbClr val="FFCC00"/>
              </a:solidFill>
              <a:prstDash val="solid"/>
            </a:ln>
          </c:spPr>
          <c:marker>
            <c:symbol val="circle"/>
            <c:size val="6"/>
            <c:spPr>
              <a:solidFill>
                <a:srgbClr val="FFCC00"/>
              </a:solidFill>
              <a:ln w="12700">
                <a:solidFill>
                  <a:srgbClr val="4B4B4B"/>
                </a:solidFill>
                <a:prstDash val="solid"/>
              </a:ln>
            </c:spPr>
          </c:marker>
          <c:cat>
            <c:strRef>
              <c:f>'At a Glance'!$E$33:$I$33</c:f>
              <c:strCache>
                <c:ptCount val="5"/>
                <c:pt idx="0">
                  <c:v>12/2016</c:v>
                </c:pt>
                <c:pt idx="1">
                  <c:v>12/2017</c:v>
                </c:pt>
                <c:pt idx="2">
                  <c:v>12/2018</c:v>
                </c:pt>
                <c:pt idx="3">
                  <c:v>12/2019</c:v>
                </c:pt>
                <c:pt idx="4">
                  <c:v>12/2020</c:v>
                </c:pt>
              </c:strCache>
            </c:strRef>
          </c:cat>
          <c:val>
            <c:numRef>
              <c:f>'At a Glance'!$E$169:$I$169</c:f>
              <c:numCache>
                <c:formatCode>#,##0.00_);[Red]\(#,##0.00\)</c:formatCode>
                <c:ptCount val="5"/>
                <c:pt idx="0">
                  <c:v>0.67237134756107908</c:v>
                </c:pt>
                <c:pt idx="1">
                  <c:v>0.70519222875906418</c:v>
                </c:pt>
                <c:pt idx="2">
                  <c:v>0.73741413068728634</c:v>
                </c:pt>
                <c:pt idx="3">
                  <c:v>0.72841381020269014</c:v>
                </c:pt>
                <c:pt idx="4">
                  <c:v>0.23744374687482639</c:v>
                </c:pt>
              </c:numCache>
            </c:numRef>
          </c:val>
          <c:smooth val="0"/>
          <c:extLst>
            <c:ext xmlns:c16="http://schemas.microsoft.com/office/drawing/2014/chart" uri="{C3380CC4-5D6E-409C-BE32-E72D297353CC}">
              <c16:uniqueId val="{00000003-A72F-47E1-AB3C-6934380E03DB}"/>
            </c:ext>
          </c:extLst>
        </c:ser>
        <c:dLbls>
          <c:showLegendKey val="0"/>
          <c:showVal val="0"/>
          <c:showCatName val="0"/>
          <c:showSerName val="0"/>
          <c:showPercent val="0"/>
          <c:showBubbleSize val="0"/>
        </c:dLbls>
        <c:marker val="1"/>
        <c:smooth val="0"/>
        <c:axId val="177744128"/>
        <c:axId val="181722496"/>
      </c:lineChart>
      <c:catAx>
        <c:axId val="148895232"/>
        <c:scaling>
          <c:orientation val="minMax"/>
        </c:scaling>
        <c:delete val="0"/>
        <c:axPos val="b"/>
        <c:numFmt formatCode="General" sourceLinked="1"/>
        <c:majorTickMark val="none"/>
        <c:minorTickMark val="none"/>
        <c:tickLblPos val="nextTo"/>
        <c:spPr>
          <a:ln w="3175">
            <a:solidFill>
              <a:srgbClr val="E1E1E1"/>
            </a:solidFill>
            <a:prstDash val="solid"/>
          </a:ln>
        </c:spPr>
        <c:txPr>
          <a:bodyPr rot="0" vert="horz"/>
          <a:lstStyle/>
          <a:p>
            <a:pPr>
              <a:defRPr/>
            </a:pPr>
            <a:endParaRPr lang="en-US"/>
          </a:p>
        </c:txPr>
        <c:crossAx val="177742592"/>
        <c:crosses val="autoZero"/>
        <c:auto val="1"/>
        <c:lblAlgn val="ctr"/>
        <c:lblOffset val="100"/>
        <c:tickLblSkip val="1"/>
        <c:tickMarkSkip val="1"/>
        <c:noMultiLvlLbl val="0"/>
      </c:catAx>
      <c:valAx>
        <c:axId val="177742592"/>
        <c:scaling>
          <c:orientation val="minMax"/>
        </c:scaling>
        <c:delete val="0"/>
        <c:axPos val="l"/>
        <c:majorGridlines>
          <c:spPr>
            <a:ln w="3175">
              <a:solidFill>
                <a:srgbClr val="E1E1E1"/>
              </a:solidFill>
              <a:prstDash val="solid"/>
            </a:ln>
          </c:spPr>
        </c:majorGridlines>
        <c:numFmt formatCode="_(* #,##0_);_(* \(#,##0\);_(* &quot;-&quot;??_);_(@_)" sourceLinked="0"/>
        <c:majorTickMark val="in"/>
        <c:minorTickMark val="none"/>
        <c:tickLblPos val="nextTo"/>
        <c:spPr>
          <a:ln w="12700">
            <a:solidFill>
              <a:srgbClr val="E1E1E1"/>
            </a:solidFill>
            <a:prstDash val="solid"/>
          </a:ln>
        </c:spPr>
        <c:txPr>
          <a:bodyPr rot="0" vert="horz"/>
          <a:lstStyle/>
          <a:p>
            <a:pPr>
              <a:defRPr/>
            </a:pPr>
            <a:endParaRPr lang="en-US"/>
          </a:p>
        </c:txPr>
        <c:crossAx val="148895232"/>
        <c:crosses val="autoZero"/>
        <c:crossBetween val="between"/>
      </c:valAx>
      <c:catAx>
        <c:axId val="177744128"/>
        <c:scaling>
          <c:orientation val="minMax"/>
        </c:scaling>
        <c:delete val="1"/>
        <c:axPos val="b"/>
        <c:numFmt formatCode="General" sourceLinked="1"/>
        <c:majorTickMark val="out"/>
        <c:minorTickMark val="none"/>
        <c:tickLblPos val="none"/>
        <c:crossAx val="181722496"/>
        <c:crosses val="autoZero"/>
        <c:auto val="1"/>
        <c:lblAlgn val="ctr"/>
        <c:lblOffset val="100"/>
        <c:noMultiLvlLbl val="0"/>
      </c:catAx>
      <c:valAx>
        <c:axId val="181722496"/>
        <c:scaling>
          <c:orientation val="minMax"/>
        </c:scaling>
        <c:delete val="0"/>
        <c:axPos val="r"/>
        <c:numFmt formatCode="#,##0.00_);[Red]\(#,##0.00\)" sourceLinked="0"/>
        <c:majorTickMark val="in"/>
        <c:minorTickMark val="none"/>
        <c:tickLblPos val="nextTo"/>
        <c:spPr>
          <a:ln w="3175">
            <a:solidFill>
              <a:srgbClr val="E1E1E1"/>
            </a:solidFill>
            <a:prstDash val="solid"/>
          </a:ln>
        </c:spPr>
        <c:txPr>
          <a:bodyPr rot="0" vert="horz"/>
          <a:lstStyle/>
          <a:p>
            <a:pPr>
              <a:defRPr/>
            </a:pPr>
            <a:endParaRPr lang="en-US"/>
          </a:p>
        </c:txPr>
        <c:crossAx val="177744128"/>
        <c:crosses val="max"/>
        <c:crossBetween val="between"/>
      </c:valAx>
      <c:spPr>
        <a:gradFill flip="none" rotWithShape="1">
          <a:gsLst>
            <a:gs pos="100000">
              <a:srgbClr val="F0F0F0"/>
            </a:gs>
            <a:gs pos="0">
              <a:schemeClr val="bg1"/>
            </a:gs>
          </a:gsLst>
          <a:lin ang="5400000" scaled="0"/>
          <a:tileRect/>
        </a:gradFill>
        <a:ln w="12700">
          <a:solidFill>
            <a:srgbClr val="E1E1E1"/>
          </a:solidFill>
        </a:ln>
      </c:spPr>
    </c:plotArea>
    <c:legend>
      <c:legendPos val="r"/>
      <c:layout>
        <c:manualLayout>
          <c:xMode val="edge"/>
          <c:yMode val="edge"/>
          <c:x val="4.481053494289651E-2"/>
          <c:y val="0.18925584301962342"/>
          <c:w val="0.95175918635170664"/>
          <c:h val="7.4825010268941894E-2"/>
        </c:manualLayout>
      </c:layout>
      <c:overlay val="0"/>
      <c:spPr>
        <a:solidFill>
          <a:srgbClr val="FFFFFF"/>
        </a:solidFill>
        <a:ln w="25400">
          <a:noFill/>
        </a:ln>
      </c:spPr>
    </c:legend>
    <c:plotVisOnly val="0"/>
    <c:dispBlanksAs val="gap"/>
    <c:showDLblsOverMax val="0"/>
  </c:chart>
  <c:spPr>
    <a:solidFill>
      <a:srgbClr val="FFFFFF"/>
    </a:solidFill>
    <a:ln w="6350">
      <a:solidFill>
        <a:sysClr val="window" lastClr="FFFFFF">
          <a:lumMod val="85000"/>
        </a:sysClr>
      </a:solidFill>
      <a:prstDash val="solid"/>
    </a:ln>
  </c:spPr>
  <c:txPr>
    <a:bodyPr/>
    <a:lstStyle/>
    <a:p>
      <a:pPr>
        <a:defRPr sz="800" b="0" i="0" u="none" strike="noStrike" baseline="0">
          <a:solidFill>
            <a:srgbClr val="000000"/>
          </a:solidFill>
          <a:latin typeface="Arial" pitchFamily="34" charset="0"/>
          <a:ea typeface="Tahoma"/>
          <a:cs typeface="Arial" pitchFamily="34" charset="0"/>
        </a:defRPr>
      </a:pPr>
      <a:endParaRPr lang="en-US"/>
    </a:p>
  </c:txPr>
  <c:printSettings>
    <c:headerFooter alignWithMargins="0"/>
    <c:pageMargins b="1" l="0.75000000000000688" r="0.75000000000000688"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100" b="1" i="0" u="none" strike="noStrike" baseline="0">
                <a:solidFill>
                  <a:srgbClr val="000000"/>
                </a:solidFill>
                <a:latin typeface="Arial"/>
                <a:ea typeface="Arial"/>
                <a:cs typeface="Arial"/>
              </a:defRPr>
            </a:pPr>
            <a:r>
              <a:rPr lang="en-US"/>
              <a:t>One Year Price Performance</a:t>
            </a:r>
          </a:p>
        </c:rich>
      </c:tx>
      <c:layout>
        <c:manualLayout>
          <c:xMode val="edge"/>
          <c:yMode val="edge"/>
          <c:x val="3.7523840769904358E-2"/>
          <c:y val="7.1565325167687377E-2"/>
        </c:manualLayout>
      </c:layout>
      <c:overlay val="0"/>
      <c:spPr>
        <a:noFill/>
        <a:ln w="25400">
          <a:noFill/>
        </a:ln>
      </c:spPr>
    </c:title>
    <c:autoTitleDeleted val="0"/>
    <c:plotArea>
      <c:layout>
        <c:manualLayout>
          <c:layoutTarget val="inner"/>
          <c:xMode val="edge"/>
          <c:yMode val="edge"/>
          <c:x val="8.941576747351021E-2"/>
          <c:y val="0.30927804186379981"/>
          <c:w val="0.77977690288713963"/>
          <c:h val="0.53677430569421181"/>
        </c:manualLayout>
      </c:layout>
      <c:barChart>
        <c:barDir val="col"/>
        <c:grouping val="clustered"/>
        <c:varyColors val="0"/>
        <c:ser>
          <c:idx val="1"/>
          <c:order val="1"/>
          <c:tx>
            <c:strRef>
              <c:f>'At a Glance'!$F$188</c:f>
              <c:strCache>
                <c:ptCount val="1"/>
                <c:pt idx="0">
                  <c:v>Volume</c:v>
                </c:pt>
              </c:strCache>
            </c:strRef>
          </c:tx>
          <c:spPr>
            <a:solidFill>
              <a:srgbClr val="99CC33"/>
            </a:solidFill>
            <a:ln w="12700" cmpd="sng">
              <a:noFill/>
              <a:prstDash val="solid"/>
            </a:ln>
          </c:spPr>
          <c:invertIfNegative val="0"/>
          <c:cat>
            <c:numRef>
              <c:f>'At a Glance'!$C$189:$C$442</c:f>
              <c:numCache>
                <c:formatCode>m/d/yyyy</c:formatCode>
                <c:ptCount val="254"/>
                <c:pt idx="0">
                  <c:v>44159</c:v>
                </c:pt>
                <c:pt idx="1">
                  <c:v>44160</c:v>
                </c:pt>
                <c:pt idx="2">
                  <c:v>44162</c:v>
                </c:pt>
                <c:pt idx="3">
                  <c:v>44165</c:v>
                </c:pt>
                <c:pt idx="4">
                  <c:v>44166</c:v>
                </c:pt>
                <c:pt idx="5">
                  <c:v>44167</c:v>
                </c:pt>
                <c:pt idx="6">
                  <c:v>44168</c:v>
                </c:pt>
                <c:pt idx="7">
                  <c:v>44169</c:v>
                </c:pt>
                <c:pt idx="8">
                  <c:v>44172</c:v>
                </c:pt>
                <c:pt idx="9">
                  <c:v>44173</c:v>
                </c:pt>
                <c:pt idx="10">
                  <c:v>44174</c:v>
                </c:pt>
                <c:pt idx="11">
                  <c:v>44175</c:v>
                </c:pt>
                <c:pt idx="12">
                  <c:v>44176</c:v>
                </c:pt>
                <c:pt idx="13">
                  <c:v>44179</c:v>
                </c:pt>
                <c:pt idx="14">
                  <c:v>44180</c:v>
                </c:pt>
                <c:pt idx="15">
                  <c:v>44181</c:v>
                </c:pt>
                <c:pt idx="16">
                  <c:v>44182</c:v>
                </c:pt>
                <c:pt idx="17">
                  <c:v>44183</c:v>
                </c:pt>
                <c:pt idx="18">
                  <c:v>44186</c:v>
                </c:pt>
                <c:pt idx="19">
                  <c:v>44187</c:v>
                </c:pt>
                <c:pt idx="20">
                  <c:v>44188</c:v>
                </c:pt>
                <c:pt idx="21">
                  <c:v>44189</c:v>
                </c:pt>
                <c:pt idx="22">
                  <c:v>44193</c:v>
                </c:pt>
                <c:pt idx="23">
                  <c:v>44194</c:v>
                </c:pt>
                <c:pt idx="24">
                  <c:v>44195</c:v>
                </c:pt>
                <c:pt idx="25">
                  <c:v>44196</c:v>
                </c:pt>
                <c:pt idx="26">
                  <c:v>44200</c:v>
                </c:pt>
                <c:pt idx="27">
                  <c:v>44201</c:v>
                </c:pt>
                <c:pt idx="28">
                  <c:v>44202</c:v>
                </c:pt>
                <c:pt idx="29">
                  <c:v>44203</c:v>
                </c:pt>
                <c:pt idx="30">
                  <c:v>44204</c:v>
                </c:pt>
                <c:pt idx="31">
                  <c:v>44207</c:v>
                </c:pt>
                <c:pt idx="32">
                  <c:v>44208</c:v>
                </c:pt>
                <c:pt idx="33">
                  <c:v>44209</c:v>
                </c:pt>
                <c:pt idx="34">
                  <c:v>44210</c:v>
                </c:pt>
                <c:pt idx="35">
                  <c:v>44211</c:v>
                </c:pt>
                <c:pt idx="36">
                  <c:v>44215</c:v>
                </c:pt>
                <c:pt idx="37">
                  <c:v>44216</c:v>
                </c:pt>
                <c:pt idx="38">
                  <c:v>44217</c:v>
                </c:pt>
                <c:pt idx="39">
                  <c:v>44218</c:v>
                </c:pt>
                <c:pt idx="40">
                  <c:v>44221</c:v>
                </c:pt>
                <c:pt idx="41">
                  <c:v>44222</c:v>
                </c:pt>
                <c:pt idx="42">
                  <c:v>44223</c:v>
                </c:pt>
                <c:pt idx="43">
                  <c:v>44224</c:v>
                </c:pt>
                <c:pt idx="44">
                  <c:v>44225</c:v>
                </c:pt>
                <c:pt idx="45">
                  <c:v>44228</c:v>
                </c:pt>
                <c:pt idx="46">
                  <c:v>44229</c:v>
                </c:pt>
                <c:pt idx="47">
                  <c:v>44230</c:v>
                </c:pt>
                <c:pt idx="48">
                  <c:v>44231</c:v>
                </c:pt>
                <c:pt idx="49">
                  <c:v>44232</c:v>
                </c:pt>
                <c:pt idx="50">
                  <c:v>44235</c:v>
                </c:pt>
                <c:pt idx="51">
                  <c:v>44236</c:v>
                </c:pt>
                <c:pt idx="52">
                  <c:v>44237</c:v>
                </c:pt>
                <c:pt idx="53">
                  <c:v>44238</c:v>
                </c:pt>
                <c:pt idx="54">
                  <c:v>44239</c:v>
                </c:pt>
                <c:pt idx="55">
                  <c:v>44243</c:v>
                </c:pt>
                <c:pt idx="56">
                  <c:v>44244</c:v>
                </c:pt>
                <c:pt idx="57">
                  <c:v>44245</c:v>
                </c:pt>
                <c:pt idx="58">
                  <c:v>44246</c:v>
                </c:pt>
                <c:pt idx="59">
                  <c:v>44249</c:v>
                </c:pt>
                <c:pt idx="60">
                  <c:v>44250</c:v>
                </c:pt>
                <c:pt idx="61">
                  <c:v>44251</c:v>
                </c:pt>
                <c:pt idx="62">
                  <c:v>44252</c:v>
                </c:pt>
                <c:pt idx="63">
                  <c:v>44253</c:v>
                </c:pt>
                <c:pt idx="64">
                  <c:v>44256</c:v>
                </c:pt>
                <c:pt idx="65">
                  <c:v>44257</c:v>
                </c:pt>
                <c:pt idx="66">
                  <c:v>44258</c:v>
                </c:pt>
                <c:pt idx="67">
                  <c:v>44259</c:v>
                </c:pt>
                <c:pt idx="68">
                  <c:v>44260</c:v>
                </c:pt>
                <c:pt idx="69">
                  <c:v>44263</c:v>
                </c:pt>
                <c:pt idx="70">
                  <c:v>44264</c:v>
                </c:pt>
                <c:pt idx="71">
                  <c:v>44265</c:v>
                </c:pt>
                <c:pt idx="72">
                  <c:v>44266</c:v>
                </c:pt>
                <c:pt idx="73">
                  <c:v>44267</c:v>
                </c:pt>
                <c:pt idx="74">
                  <c:v>44270</c:v>
                </c:pt>
                <c:pt idx="75">
                  <c:v>44271</c:v>
                </c:pt>
                <c:pt idx="76">
                  <c:v>44272</c:v>
                </c:pt>
                <c:pt idx="77">
                  <c:v>44273</c:v>
                </c:pt>
                <c:pt idx="78">
                  <c:v>44274</c:v>
                </c:pt>
                <c:pt idx="79">
                  <c:v>44277</c:v>
                </c:pt>
                <c:pt idx="80">
                  <c:v>44278</c:v>
                </c:pt>
                <c:pt idx="81">
                  <c:v>44279</c:v>
                </c:pt>
                <c:pt idx="82">
                  <c:v>44280</c:v>
                </c:pt>
                <c:pt idx="83">
                  <c:v>44281</c:v>
                </c:pt>
                <c:pt idx="84">
                  <c:v>44284</c:v>
                </c:pt>
                <c:pt idx="85">
                  <c:v>44285</c:v>
                </c:pt>
                <c:pt idx="86">
                  <c:v>44286</c:v>
                </c:pt>
                <c:pt idx="87">
                  <c:v>44287</c:v>
                </c:pt>
                <c:pt idx="88">
                  <c:v>44291</c:v>
                </c:pt>
                <c:pt idx="89">
                  <c:v>44292</c:v>
                </c:pt>
                <c:pt idx="90">
                  <c:v>44293</c:v>
                </c:pt>
                <c:pt idx="91">
                  <c:v>44294</c:v>
                </c:pt>
                <c:pt idx="92">
                  <c:v>44295</c:v>
                </c:pt>
                <c:pt idx="93">
                  <c:v>44298</c:v>
                </c:pt>
                <c:pt idx="94">
                  <c:v>44299</c:v>
                </c:pt>
                <c:pt idx="95">
                  <c:v>44300</c:v>
                </c:pt>
                <c:pt idx="96">
                  <c:v>44301</c:v>
                </c:pt>
                <c:pt idx="97">
                  <c:v>44302</c:v>
                </c:pt>
                <c:pt idx="98">
                  <c:v>44305</c:v>
                </c:pt>
                <c:pt idx="99">
                  <c:v>44306</c:v>
                </c:pt>
                <c:pt idx="100">
                  <c:v>44307</c:v>
                </c:pt>
                <c:pt idx="101">
                  <c:v>44308</c:v>
                </c:pt>
                <c:pt idx="102">
                  <c:v>44309</c:v>
                </c:pt>
                <c:pt idx="103">
                  <c:v>44312</c:v>
                </c:pt>
                <c:pt idx="104">
                  <c:v>44313</c:v>
                </c:pt>
                <c:pt idx="105">
                  <c:v>44314</c:v>
                </c:pt>
                <c:pt idx="106">
                  <c:v>44315</c:v>
                </c:pt>
                <c:pt idx="107">
                  <c:v>44316</c:v>
                </c:pt>
                <c:pt idx="108">
                  <c:v>44319</c:v>
                </c:pt>
                <c:pt idx="109">
                  <c:v>44320</c:v>
                </c:pt>
                <c:pt idx="110">
                  <c:v>44321</c:v>
                </c:pt>
                <c:pt idx="111">
                  <c:v>44322</c:v>
                </c:pt>
                <c:pt idx="112">
                  <c:v>44323</c:v>
                </c:pt>
                <c:pt idx="113">
                  <c:v>44326</c:v>
                </c:pt>
                <c:pt idx="114">
                  <c:v>44327</c:v>
                </c:pt>
                <c:pt idx="115">
                  <c:v>44328</c:v>
                </c:pt>
                <c:pt idx="116">
                  <c:v>44329</c:v>
                </c:pt>
                <c:pt idx="117">
                  <c:v>44330</c:v>
                </c:pt>
                <c:pt idx="118">
                  <c:v>44333</c:v>
                </c:pt>
                <c:pt idx="119">
                  <c:v>44334</c:v>
                </c:pt>
                <c:pt idx="120">
                  <c:v>44335</c:v>
                </c:pt>
                <c:pt idx="121">
                  <c:v>44336</c:v>
                </c:pt>
                <c:pt idx="122">
                  <c:v>44337</c:v>
                </c:pt>
                <c:pt idx="123">
                  <c:v>44340</c:v>
                </c:pt>
                <c:pt idx="124">
                  <c:v>44341</c:v>
                </c:pt>
                <c:pt idx="125">
                  <c:v>44342</c:v>
                </c:pt>
                <c:pt idx="126">
                  <c:v>44343</c:v>
                </c:pt>
                <c:pt idx="127">
                  <c:v>44344</c:v>
                </c:pt>
                <c:pt idx="128">
                  <c:v>44348</c:v>
                </c:pt>
                <c:pt idx="129">
                  <c:v>44349</c:v>
                </c:pt>
                <c:pt idx="130">
                  <c:v>44350</c:v>
                </c:pt>
                <c:pt idx="131">
                  <c:v>44351</c:v>
                </c:pt>
                <c:pt idx="132">
                  <c:v>44354</c:v>
                </c:pt>
                <c:pt idx="133">
                  <c:v>44355</c:v>
                </c:pt>
                <c:pt idx="134">
                  <c:v>44356</c:v>
                </c:pt>
                <c:pt idx="135">
                  <c:v>44357</c:v>
                </c:pt>
                <c:pt idx="136">
                  <c:v>44358</c:v>
                </c:pt>
                <c:pt idx="137">
                  <c:v>44361</c:v>
                </c:pt>
                <c:pt idx="138">
                  <c:v>44362</c:v>
                </c:pt>
                <c:pt idx="139">
                  <c:v>44363</c:v>
                </c:pt>
                <c:pt idx="140">
                  <c:v>44364</c:v>
                </c:pt>
                <c:pt idx="141">
                  <c:v>44365</c:v>
                </c:pt>
                <c:pt idx="142">
                  <c:v>44368</c:v>
                </c:pt>
                <c:pt idx="143">
                  <c:v>44369</c:v>
                </c:pt>
                <c:pt idx="144">
                  <c:v>44370</c:v>
                </c:pt>
                <c:pt idx="145">
                  <c:v>44371</c:v>
                </c:pt>
                <c:pt idx="146">
                  <c:v>44372</c:v>
                </c:pt>
                <c:pt idx="147">
                  <c:v>44375</c:v>
                </c:pt>
                <c:pt idx="148">
                  <c:v>44376</c:v>
                </c:pt>
                <c:pt idx="149">
                  <c:v>44377</c:v>
                </c:pt>
                <c:pt idx="150">
                  <c:v>44378</c:v>
                </c:pt>
                <c:pt idx="151">
                  <c:v>44379</c:v>
                </c:pt>
                <c:pt idx="152">
                  <c:v>44383</c:v>
                </c:pt>
                <c:pt idx="153">
                  <c:v>44384</c:v>
                </c:pt>
                <c:pt idx="154">
                  <c:v>44385</c:v>
                </c:pt>
                <c:pt idx="155">
                  <c:v>44386</c:v>
                </c:pt>
                <c:pt idx="156">
                  <c:v>44389</c:v>
                </c:pt>
                <c:pt idx="157">
                  <c:v>44390</c:v>
                </c:pt>
                <c:pt idx="158">
                  <c:v>44391</c:v>
                </c:pt>
                <c:pt idx="159">
                  <c:v>44392</c:v>
                </c:pt>
                <c:pt idx="160">
                  <c:v>44393</c:v>
                </c:pt>
                <c:pt idx="161">
                  <c:v>44396</c:v>
                </c:pt>
                <c:pt idx="162">
                  <c:v>44397</c:v>
                </c:pt>
                <c:pt idx="163">
                  <c:v>44398</c:v>
                </c:pt>
                <c:pt idx="164">
                  <c:v>44399</c:v>
                </c:pt>
                <c:pt idx="165">
                  <c:v>44400</c:v>
                </c:pt>
                <c:pt idx="166">
                  <c:v>44403</c:v>
                </c:pt>
                <c:pt idx="167">
                  <c:v>44404</c:v>
                </c:pt>
                <c:pt idx="168">
                  <c:v>44405</c:v>
                </c:pt>
                <c:pt idx="169">
                  <c:v>44406</c:v>
                </c:pt>
                <c:pt idx="170">
                  <c:v>44407</c:v>
                </c:pt>
                <c:pt idx="171">
                  <c:v>44410</c:v>
                </c:pt>
                <c:pt idx="172">
                  <c:v>44411</c:v>
                </c:pt>
                <c:pt idx="173">
                  <c:v>44412</c:v>
                </c:pt>
                <c:pt idx="174">
                  <c:v>44413</c:v>
                </c:pt>
                <c:pt idx="175">
                  <c:v>44414</c:v>
                </c:pt>
                <c:pt idx="176">
                  <c:v>44417</c:v>
                </c:pt>
                <c:pt idx="177">
                  <c:v>44418</c:v>
                </c:pt>
                <c:pt idx="178">
                  <c:v>44419</c:v>
                </c:pt>
                <c:pt idx="179">
                  <c:v>44420</c:v>
                </c:pt>
                <c:pt idx="180">
                  <c:v>44421</c:v>
                </c:pt>
                <c:pt idx="181">
                  <c:v>44424</c:v>
                </c:pt>
                <c:pt idx="182">
                  <c:v>44425</c:v>
                </c:pt>
                <c:pt idx="183">
                  <c:v>44426</c:v>
                </c:pt>
                <c:pt idx="184">
                  <c:v>44427</c:v>
                </c:pt>
                <c:pt idx="185">
                  <c:v>44428</c:v>
                </c:pt>
                <c:pt idx="186">
                  <c:v>44431</c:v>
                </c:pt>
                <c:pt idx="187">
                  <c:v>44432</c:v>
                </c:pt>
                <c:pt idx="188">
                  <c:v>44433</c:v>
                </c:pt>
                <c:pt idx="189">
                  <c:v>44434</c:v>
                </c:pt>
                <c:pt idx="190">
                  <c:v>44435</c:v>
                </c:pt>
                <c:pt idx="191">
                  <c:v>44438</c:v>
                </c:pt>
                <c:pt idx="192">
                  <c:v>44439</c:v>
                </c:pt>
                <c:pt idx="193">
                  <c:v>44440</c:v>
                </c:pt>
                <c:pt idx="194">
                  <c:v>44441</c:v>
                </c:pt>
                <c:pt idx="195">
                  <c:v>44442</c:v>
                </c:pt>
                <c:pt idx="196">
                  <c:v>44446</c:v>
                </c:pt>
                <c:pt idx="197">
                  <c:v>44447</c:v>
                </c:pt>
                <c:pt idx="198">
                  <c:v>44448</c:v>
                </c:pt>
                <c:pt idx="199">
                  <c:v>44449</c:v>
                </c:pt>
                <c:pt idx="200">
                  <c:v>44452</c:v>
                </c:pt>
                <c:pt idx="201">
                  <c:v>44453</c:v>
                </c:pt>
                <c:pt idx="202">
                  <c:v>44454</c:v>
                </c:pt>
                <c:pt idx="203">
                  <c:v>44455</c:v>
                </c:pt>
                <c:pt idx="204">
                  <c:v>44456</c:v>
                </c:pt>
                <c:pt idx="205">
                  <c:v>44459</c:v>
                </c:pt>
                <c:pt idx="206">
                  <c:v>44460</c:v>
                </c:pt>
                <c:pt idx="207">
                  <c:v>44461</c:v>
                </c:pt>
                <c:pt idx="208">
                  <c:v>44462</c:v>
                </c:pt>
                <c:pt idx="209">
                  <c:v>44463</c:v>
                </c:pt>
                <c:pt idx="210">
                  <c:v>44466</c:v>
                </c:pt>
                <c:pt idx="211">
                  <c:v>44467</c:v>
                </c:pt>
                <c:pt idx="212">
                  <c:v>44468</c:v>
                </c:pt>
                <c:pt idx="213">
                  <c:v>44469</c:v>
                </c:pt>
                <c:pt idx="214">
                  <c:v>44470</c:v>
                </c:pt>
                <c:pt idx="215">
                  <c:v>44473</c:v>
                </c:pt>
                <c:pt idx="216">
                  <c:v>44474</c:v>
                </c:pt>
                <c:pt idx="217">
                  <c:v>44475</c:v>
                </c:pt>
                <c:pt idx="218">
                  <c:v>44476</c:v>
                </c:pt>
                <c:pt idx="219">
                  <c:v>44477</c:v>
                </c:pt>
                <c:pt idx="220">
                  <c:v>44480</c:v>
                </c:pt>
                <c:pt idx="221">
                  <c:v>44481</c:v>
                </c:pt>
                <c:pt idx="222">
                  <c:v>44482</c:v>
                </c:pt>
                <c:pt idx="223">
                  <c:v>44483</c:v>
                </c:pt>
                <c:pt idx="224">
                  <c:v>44484</c:v>
                </c:pt>
                <c:pt idx="225">
                  <c:v>44487</c:v>
                </c:pt>
                <c:pt idx="226">
                  <c:v>44488</c:v>
                </c:pt>
                <c:pt idx="227">
                  <c:v>44489</c:v>
                </c:pt>
                <c:pt idx="228">
                  <c:v>44490</c:v>
                </c:pt>
                <c:pt idx="229">
                  <c:v>44491</c:v>
                </c:pt>
                <c:pt idx="230">
                  <c:v>44494</c:v>
                </c:pt>
                <c:pt idx="231">
                  <c:v>44495</c:v>
                </c:pt>
                <c:pt idx="232">
                  <c:v>44496</c:v>
                </c:pt>
                <c:pt idx="233">
                  <c:v>44497</c:v>
                </c:pt>
                <c:pt idx="234">
                  <c:v>44498</c:v>
                </c:pt>
                <c:pt idx="235">
                  <c:v>44501</c:v>
                </c:pt>
                <c:pt idx="236">
                  <c:v>44502</c:v>
                </c:pt>
                <c:pt idx="237">
                  <c:v>44503</c:v>
                </c:pt>
                <c:pt idx="238">
                  <c:v>44504</c:v>
                </c:pt>
                <c:pt idx="239">
                  <c:v>44505</c:v>
                </c:pt>
                <c:pt idx="240">
                  <c:v>44508</c:v>
                </c:pt>
                <c:pt idx="241">
                  <c:v>44509</c:v>
                </c:pt>
                <c:pt idx="242">
                  <c:v>44510</c:v>
                </c:pt>
                <c:pt idx="243">
                  <c:v>44511</c:v>
                </c:pt>
                <c:pt idx="244">
                  <c:v>44512</c:v>
                </c:pt>
                <c:pt idx="245">
                  <c:v>44515</c:v>
                </c:pt>
                <c:pt idx="246">
                  <c:v>44516</c:v>
                </c:pt>
                <c:pt idx="247">
                  <c:v>44517</c:v>
                </c:pt>
                <c:pt idx="248">
                  <c:v>44518</c:v>
                </c:pt>
                <c:pt idx="249">
                  <c:v>44519</c:v>
                </c:pt>
                <c:pt idx="250">
                  <c:v>44522</c:v>
                </c:pt>
                <c:pt idx="251">
                  <c:v>44523</c:v>
                </c:pt>
                <c:pt idx="252">
                  <c:v>44524</c:v>
                </c:pt>
                <c:pt idx="253">
                  <c:v>44526</c:v>
                </c:pt>
              </c:numCache>
            </c:numRef>
          </c:cat>
          <c:val>
            <c:numRef>
              <c:f>'At a Glance'!$F$189:$F$442</c:f>
              <c:numCache>
                <c:formatCode>#,##0.00</c:formatCode>
                <c:ptCount val="254"/>
                <c:pt idx="0">
                  <c:v>23.817969999999999</c:v>
                </c:pt>
                <c:pt idx="1">
                  <c:v>14.58887</c:v>
                </c:pt>
                <c:pt idx="2">
                  <c:v>10.51662</c:v>
                </c:pt>
                <c:pt idx="3">
                  <c:v>16.732620000000001</c:v>
                </c:pt>
                <c:pt idx="4">
                  <c:v>13.22363</c:v>
                </c:pt>
                <c:pt idx="5">
                  <c:v>12.93735</c:v>
                </c:pt>
                <c:pt idx="6">
                  <c:v>24.526759999999999</c:v>
                </c:pt>
                <c:pt idx="7">
                  <c:v>18.453379999999999</c:v>
                </c:pt>
                <c:pt idx="8">
                  <c:v>13.16911</c:v>
                </c:pt>
                <c:pt idx="9">
                  <c:v>11.530279999999999</c:v>
                </c:pt>
                <c:pt idx="10">
                  <c:v>16.348299999999998</c:v>
                </c:pt>
                <c:pt idx="11">
                  <c:v>10.68066</c:v>
                </c:pt>
                <c:pt idx="12">
                  <c:v>12.22311</c:v>
                </c:pt>
                <c:pt idx="13">
                  <c:v>12.44516</c:v>
                </c:pt>
                <c:pt idx="14">
                  <c:v>11.45377</c:v>
                </c:pt>
                <c:pt idx="15">
                  <c:v>11.010590000000001</c:v>
                </c:pt>
                <c:pt idx="16">
                  <c:v>9.6566770000000002</c:v>
                </c:pt>
                <c:pt idx="17">
                  <c:v>14.312419999999999</c:v>
                </c:pt>
                <c:pt idx="18">
                  <c:v>16.976839999999999</c:v>
                </c:pt>
                <c:pt idx="19">
                  <c:v>13.51998</c:v>
                </c:pt>
                <c:pt idx="20">
                  <c:v>12.65968</c:v>
                </c:pt>
                <c:pt idx="21">
                  <c:v>5.1764080000000003</c:v>
                </c:pt>
                <c:pt idx="22">
                  <c:v>10.65438</c:v>
                </c:pt>
                <c:pt idx="23">
                  <c:v>8.1428010000000004</c:v>
                </c:pt>
                <c:pt idx="24">
                  <c:v>8.5046320000000009</c:v>
                </c:pt>
                <c:pt idx="25">
                  <c:v>8.7057359999999999</c:v>
                </c:pt>
                <c:pt idx="26">
                  <c:v>15.12345</c:v>
                </c:pt>
                <c:pt idx="27">
                  <c:v>12.317220000000001</c:v>
                </c:pt>
                <c:pt idx="28">
                  <c:v>12.881080000000001</c:v>
                </c:pt>
                <c:pt idx="29">
                  <c:v>9.1362670000000001</c:v>
                </c:pt>
                <c:pt idx="30">
                  <c:v>9.4974670000000003</c:v>
                </c:pt>
                <c:pt idx="31">
                  <c:v>11.754899999999999</c:v>
                </c:pt>
                <c:pt idx="32">
                  <c:v>9.7250099999999993</c:v>
                </c:pt>
                <c:pt idx="33">
                  <c:v>10.85247</c:v>
                </c:pt>
                <c:pt idx="34">
                  <c:v>17.65831</c:v>
                </c:pt>
                <c:pt idx="35">
                  <c:v>15.465540000000001</c:v>
                </c:pt>
                <c:pt idx="36">
                  <c:v>11.53069</c:v>
                </c:pt>
                <c:pt idx="37">
                  <c:v>11.335699999999999</c:v>
                </c:pt>
                <c:pt idx="38">
                  <c:v>11.155110000000001</c:v>
                </c:pt>
                <c:pt idx="39">
                  <c:v>11.31006</c:v>
                </c:pt>
                <c:pt idx="40">
                  <c:v>15.9649</c:v>
                </c:pt>
                <c:pt idx="41">
                  <c:v>10.59937</c:v>
                </c:pt>
                <c:pt idx="42">
                  <c:v>16.953389999999999</c:v>
                </c:pt>
                <c:pt idx="43">
                  <c:v>21.65401</c:v>
                </c:pt>
                <c:pt idx="44">
                  <c:v>17.989709999999999</c:v>
                </c:pt>
                <c:pt idx="45">
                  <c:v>10.332929999999999</c:v>
                </c:pt>
                <c:pt idx="46">
                  <c:v>11.85426</c:v>
                </c:pt>
                <c:pt idx="47">
                  <c:v>12.41597</c:v>
                </c:pt>
                <c:pt idx="48">
                  <c:v>11.431800000000001</c:v>
                </c:pt>
                <c:pt idx="49">
                  <c:v>10.111940000000001</c:v>
                </c:pt>
                <c:pt idx="50">
                  <c:v>18.296299999999999</c:v>
                </c:pt>
                <c:pt idx="51">
                  <c:v>10.43207</c:v>
                </c:pt>
                <c:pt idx="52">
                  <c:v>12.011060000000001</c:v>
                </c:pt>
                <c:pt idx="53">
                  <c:v>8.5491810000000008</c:v>
                </c:pt>
                <c:pt idx="54">
                  <c:v>11.49011</c:v>
                </c:pt>
                <c:pt idx="55">
                  <c:v>13.77548</c:v>
                </c:pt>
                <c:pt idx="56">
                  <c:v>10.945650000000001</c:v>
                </c:pt>
                <c:pt idx="57">
                  <c:v>8.7562660000000001</c:v>
                </c:pt>
                <c:pt idx="58">
                  <c:v>14.587719999999999</c:v>
                </c:pt>
                <c:pt idx="59">
                  <c:v>21.573509999999999</c:v>
                </c:pt>
                <c:pt idx="60">
                  <c:v>19.19379</c:v>
                </c:pt>
                <c:pt idx="61">
                  <c:v>17.020900000000001</c:v>
                </c:pt>
                <c:pt idx="62">
                  <c:v>15.72978</c:v>
                </c:pt>
                <c:pt idx="63">
                  <c:v>14.82802</c:v>
                </c:pt>
                <c:pt idx="64">
                  <c:v>13.81292</c:v>
                </c:pt>
                <c:pt idx="65">
                  <c:v>11.566750000000001</c:v>
                </c:pt>
                <c:pt idx="66">
                  <c:v>13.64268</c:v>
                </c:pt>
                <c:pt idx="67">
                  <c:v>18.062480000000001</c:v>
                </c:pt>
                <c:pt idx="68">
                  <c:v>20.611789999999999</c:v>
                </c:pt>
                <c:pt idx="69">
                  <c:v>17.27299</c:v>
                </c:pt>
                <c:pt idx="70">
                  <c:v>11.71007</c:v>
                </c:pt>
                <c:pt idx="71">
                  <c:v>10.71932</c:v>
                </c:pt>
                <c:pt idx="72">
                  <c:v>11.318569999999999</c:v>
                </c:pt>
                <c:pt idx="73">
                  <c:v>15.89175</c:v>
                </c:pt>
                <c:pt idx="74">
                  <c:v>19.700790000000001</c:v>
                </c:pt>
                <c:pt idx="75">
                  <c:v>14.281499999999999</c:v>
                </c:pt>
                <c:pt idx="76">
                  <c:v>13.694380000000001</c:v>
                </c:pt>
                <c:pt idx="77">
                  <c:v>13.42357</c:v>
                </c:pt>
                <c:pt idx="78">
                  <c:v>12.12355</c:v>
                </c:pt>
                <c:pt idx="79">
                  <c:v>10.91109</c:v>
                </c:pt>
                <c:pt idx="80">
                  <c:v>13.616820000000001</c:v>
                </c:pt>
                <c:pt idx="81">
                  <c:v>12.120760000000001</c:v>
                </c:pt>
                <c:pt idx="82">
                  <c:v>14.46913</c:v>
                </c:pt>
                <c:pt idx="83">
                  <c:v>12.361409999999999</c:v>
                </c:pt>
                <c:pt idx="84">
                  <c:v>9.8241940000000003</c:v>
                </c:pt>
                <c:pt idx="85">
                  <c:v>10.78754</c:v>
                </c:pt>
                <c:pt idx="86">
                  <c:v>9.4692080000000001</c:v>
                </c:pt>
                <c:pt idx="87">
                  <c:v>9.5699850000000009</c:v>
                </c:pt>
                <c:pt idx="88">
                  <c:v>14.599919999999999</c:v>
                </c:pt>
                <c:pt idx="89">
                  <c:v>14.65246</c:v>
                </c:pt>
                <c:pt idx="90">
                  <c:v>12.244350000000001</c:v>
                </c:pt>
                <c:pt idx="91">
                  <c:v>13.546950000000001</c:v>
                </c:pt>
                <c:pt idx="92">
                  <c:v>9.7853929999999991</c:v>
                </c:pt>
                <c:pt idx="93">
                  <c:v>11.070270000000001</c:v>
                </c:pt>
                <c:pt idx="94">
                  <c:v>18.287600000000001</c:v>
                </c:pt>
                <c:pt idx="95">
                  <c:v>12.52042</c:v>
                </c:pt>
                <c:pt idx="96">
                  <c:v>22.267880000000002</c:v>
                </c:pt>
                <c:pt idx="97">
                  <c:v>12.23639</c:v>
                </c:pt>
                <c:pt idx="98">
                  <c:v>9.5794300000000003</c:v>
                </c:pt>
                <c:pt idx="99">
                  <c:v>15.62777</c:v>
                </c:pt>
                <c:pt idx="100">
                  <c:v>16.267119999999998</c:v>
                </c:pt>
                <c:pt idx="101">
                  <c:v>17.30322</c:v>
                </c:pt>
                <c:pt idx="102">
                  <c:v>9.1799619999999997</c:v>
                </c:pt>
                <c:pt idx="103">
                  <c:v>11.259980000000001</c:v>
                </c:pt>
                <c:pt idx="104">
                  <c:v>8.1516140000000004</c:v>
                </c:pt>
                <c:pt idx="105">
                  <c:v>7.2091789999999998</c:v>
                </c:pt>
                <c:pt idx="106">
                  <c:v>8.2222500000000007</c:v>
                </c:pt>
                <c:pt idx="107">
                  <c:v>9.1752369999999992</c:v>
                </c:pt>
                <c:pt idx="108">
                  <c:v>9.382638</c:v>
                </c:pt>
                <c:pt idx="109">
                  <c:v>14.79036</c:v>
                </c:pt>
                <c:pt idx="110">
                  <c:v>10.700063</c:v>
                </c:pt>
                <c:pt idx="111">
                  <c:v>9.6656689999999994</c:v>
                </c:pt>
                <c:pt idx="112">
                  <c:v>11.195069999999999</c:v>
                </c:pt>
                <c:pt idx="113">
                  <c:v>9.054157</c:v>
                </c:pt>
                <c:pt idx="114">
                  <c:v>14.13912</c:v>
                </c:pt>
                <c:pt idx="115">
                  <c:v>12.187250000000001</c:v>
                </c:pt>
                <c:pt idx="116">
                  <c:v>11.77805</c:v>
                </c:pt>
                <c:pt idx="117">
                  <c:v>11.537470000000001</c:v>
                </c:pt>
                <c:pt idx="118">
                  <c:v>11.05988</c:v>
                </c:pt>
                <c:pt idx="119">
                  <c:v>10.683999999999999</c:v>
                </c:pt>
                <c:pt idx="120">
                  <c:v>11.545809999999999</c:v>
                </c:pt>
                <c:pt idx="121">
                  <c:v>12.341710000000001</c:v>
                </c:pt>
                <c:pt idx="122">
                  <c:v>9.8944449999999993</c:v>
                </c:pt>
                <c:pt idx="123">
                  <c:v>8.4090889999999998</c:v>
                </c:pt>
                <c:pt idx="124">
                  <c:v>14.656980000000001</c:v>
                </c:pt>
                <c:pt idx="125">
                  <c:v>9.7462389999999992</c:v>
                </c:pt>
                <c:pt idx="126">
                  <c:v>8.6806570000000001</c:v>
                </c:pt>
                <c:pt idx="127">
                  <c:v>8.377637</c:v>
                </c:pt>
                <c:pt idx="128">
                  <c:v>11.986190000000001</c:v>
                </c:pt>
                <c:pt idx="129">
                  <c:v>9.1086229999999997</c:v>
                </c:pt>
                <c:pt idx="130">
                  <c:v>11.55561</c:v>
                </c:pt>
                <c:pt idx="131">
                  <c:v>7.6994470000000002</c:v>
                </c:pt>
                <c:pt idx="132">
                  <c:v>6.1201939999999997</c:v>
                </c:pt>
                <c:pt idx="133">
                  <c:v>10.714130000000001</c:v>
                </c:pt>
                <c:pt idx="134">
                  <c:v>6.7411649999999996</c:v>
                </c:pt>
                <c:pt idx="135">
                  <c:v>9.780818</c:v>
                </c:pt>
                <c:pt idx="136">
                  <c:v>8.2160589999999996</c:v>
                </c:pt>
                <c:pt idx="137">
                  <c:v>11.18416</c:v>
                </c:pt>
                <c:pt idx="138">
                  <c:v>7.8984500000000004</c:v>
                </c:pt>
                <c:pt idx="139">
                  <c:v>8.5655059999999992</c:v>
                </c:pt>
                <c:pt idx="140">
                  <c:v>10.14456</c:v>
                </c:pt>
                <c:pt idx="141">
                  <c:v>15.21935</c:v>
                </c:pt>
                <c:pt idx="142">
                  <c:v>9.8614270000000008</c:v>
                </c:pt>
                <c:pt idx="143">
                  <c:v>8.4998210000000007</c:v>
                </c:pt>
                <c:pt idx="144">
                  <c:v>7.406091</c:v>
                </c:pt>
                <c:pt idx="145">
                  <c:v>9.3003090000000004</c:v>
                </c:pt>
                <c:pt idx="146">
                  <c:v>23.930389999999999</c:v>
                </c:pt>
                <c:pt idx="147">
                  <c:v>17.441510000000001</c:v>
                </c:pt>
                <c:pt idx="148">
                  <c:v>9.4777629999999995</c:v>
                </c:pt>
                <c:pt idx="149">
                  <c:v>7.8455209999999997</c:v>
                </c:pt>
                <c:pt idx="150">
                  <c:v>9.8738200000000003</c:v>
                </c:pt>
                <c:pt idx="151">
                  <c:v>5.7638389999999999</c:v>
                </c:pt>
                <c:pt idx="152">
                  <c:v>7.880986</c:v>
                </c:pt>
                <c:pt idx="153">
                  <c:v>11.85833</c:v>
                </c:pt>
                <c:pt idx="154">
                  <c:v>10.363899999999999</c:v>
                </c:pt>
                <c:pt idx="155">
                  <c:v>7.7070699999999999</c:v>
                </c:pt>
                <c:pt idx="156">
                  <c:v>10.625970000000001</c:v>
                </c:pt>
                <c:pt idx="157">
                  <c:v>14.61036</c:v>
                </c:pt>
                <c:pt idx="158">
                  <c:v>31.085740000000001</c:v>
                </c:pt>
                <c:pt idx="159">
                  <c:v>20.89631</c:v>
                </c:pt>
                <c:pt idx="160">
                  <c:v>16.726649999999999</c:v>
                </c:pt>
                <c:pt idx="161">
                  <c:v>27.073810000000002</c:v>
                </c:pt>
                <c:pt idx="162">
                  <c:v>17.690650000000002</c:v>
                </c:pt>
                <c:pt idx="163">
                  <c:v>19.14526</c:v>
                </c:pt>
                <c:pt idx="164">
                  <c:v>10.850619999999999</c:v>
                </c:pt>
                <c:pt idx="165">
                  <c:v>10.10162</c:v>
                </c:pt>
                <c:pt idx="166">
                  <c:v>10.014849999999999</c:v>
                </c:pt>
                <c:pt idx="167">
                  <c:v>10.5082</c:v>
                </c:pt>
                <c:pt idx="168">
                  <c:v>7.5385650000000002</c:v>
                </c:pt>
                <c:pt idx="169">
                  <c:v>8.3574000000000002</c:v>
                </c:pt>
                <c:pt idx="170">
                  <c:v>12.20233</c:v>
                </c:pt>
                <c:pt idx="171">
                  <c:v>11.084820000000001</c:v>
                </c:pt>
                <c:pt idx="172">
                  <c:v>14.670629999999999</c:v>
                </c:pt>
                <c:pt idx="173">
                  <c:v>23.02366</c:v>
                </c:pt>
                <c:pt idx="174">
                  <c:v>15.652369999999999</c:v>
                </c:pt>
                <c:pt idx="175">
                  <c:v>11.716049999999999</c:v>
                </c:pt>
                <c:pt idx="176">
                  <c:v>10.985049999999999</c:v>
                </c:pt>
                <c:pt idx="177">
                  <c:v>13.745340000000001</c:v>
                </c:pt>
                <c:pt idx="178">
                  <c:v>12.452</c:v>
                </c:pt>
                <c:pt idx="179">
                  <c:v>9.8175070000000009</c:v>
                </c:pt>
                <c:pt idx="180">
                  <c:v>7.2118419999999999</c:v>
                </c:pt>
                <c:pt idx="181">
                  <c:v>10.930870000000001</c:v>
                </c:pt>
                <c:pt idx="182">
                  <c:v>11.442</c:v>
                </c:pt>
                <c:pt idx="183">
                  <c:v>8.6123440000000002</c:v>
                </c:pt>
                <c:pt idx="184">
                  <c:v>12.29401</c:v>
                </c:pt>
                <c:pt idx="185">
                  <c:v>8.2130799999999997</c:v>
                </c:pt>
                <c:pt idx="186">
                  <c:v>8.5846549999999997</c:v>
                </c:pt>
                <c:pt idx="187">
                  <c:v>10.80498</c:v>
                </c:pt>
                <c:pt idx="188">
                  <c:v>12.455859999999999</c:v>
                </c:pt>
                <c:pt idx="189">
                  <c:v>10.03288</c:v>
                </c:pt>
                <c:pt idx="190">
                  <c:v>7.9360949999999999</c:v>
                </c:pt>
                <c:pt idx="191">
                  <c:v>11.88214</c:v>
                </c:pt>
                <c:pt idx="192">
                  <c:v>8.627205</c:v>
                </c:pt>
                <c:pt idx="193">
                  <c:v>8.4346060000000005</c:v>
                </c:pt>
                <c:pt idx="194">
                  <c:v>9.3547440000000002</c:v>
                </c:pt>
                <c:pt idx="195">
                  <c:v>6.6523459999999996</c:v>
                </c:pt>
                <c:pt idx="196">
                  <c:v>8.2338950000000004</c:v>
                </c:pt>
                <c:pt idx="197">
                  <c:v>7.1560969999999999</c:v>
                </c:pt>
                <c:pt idx="198">
                  <c:v>15.509370000000001</c:v>
                </c:pt>
                <c:pt idx="199">
                  <c:v>12.50122</c:v>
                </c:pt>
                <c:pt idx="200">
                  <c:v>11.5563</c:v>
                </c:pt>
                <c:pt idx="201">
                  <c:v>8.8377210000000002</c:v>
                </c:pt>
                <c:pt idx="202">
                  <c:v>8.1758100000000002</c:v>
                </c:pt>
                <c:pt idx="203">
                  <c:v>9.4852270000000001</c:v>
                </c:pt>
                <c:pt idx="204">
                  <c:v>11.03191</c:v>
                </c:pt>
                <c:pt idx="205">
                  <c:v>16.633900000000001</c:v>
                </c:pt>
                <c:pt idx="206">
                  <c:v>11.837580000000001</c:v>
                </c:pt>
                <c:pt idx="207">
                  <c:v>11.599309999999999</c:v>
                </c:pt>
                <c:pt idx="208">
                  <c:v>12.651020000000001</c:v>
                </c:pt>
                <c:pt idx="209">
                  <c:v>13.47851</c:v>
                </c:pt>
                <c:pt idx="210">
                  <c:v>14.467449999999999</c:v>
                </c:pt>
                <c:pt idx="211">
                  <c:v>9.4347370000000002</c:v>
                </c:pt>
                <c:pt idx="212">
                  <c:v>9.1411280000000001</c:v>
                </c:pt>
                <c:pt idx="213">
                  <c:v>9.7985889999999998</c:v>
                </c:pt>
                <c:pt idx="214">
                  <c:v>19.205660000000002</c:v>
                </c:pt>
                <c:pt idx="215">
                  <c:v>13.342460000000001</c:v>
                </c:pt>
                <c:pt idx="216">
                  <c:v>9.5960029999999996</c:v>
                </c:pt>
                <c:pt idx="217">
                  <c:v>10.14578</c:v>
                </c:pt>
                <c:pt idx="218">
                  <c:v>8.8812189999999998</c:v>
                </c:pt>
                <c:pt idx="219">
                  <c:v>7.3405620000000003</c:v>
                </c:pt>
                <c:pt idx="220">
                  <c:v>9.0856510000000004</c:v>
                </c:pt>
                <c:pt idx="221">
                  <c:v>10.51525</c:v>
                </c:pt>
                <c:pt idx="222">
                  <c:v>28.236940000000001</c:v>
                </c:pt>
                <c:pt idx="223">
                  <c:v>16.28539</c:v>
                </c:pt>
                <c:pt idx="224">
                  <c:v>13.860290000000001</c:v>
                </c:pt>
                <c:pt idx="225">
                  <c:v>10.14021</c:v>
                </c:pt>
                <c:pt idx="226">
                  <c:v>11.314450000000001</c:v>
                </c:pt>
                <c:pt idx="227">
                  <c:v>15.162599999999999</c:v>
                </c:pt>
                <c:pt idx="228">
                  <c:v>10.694369999999999</c:v>
                </c:pt>
                <c:pt idx="229">
                  <c:v>9.4618599999999997</c:v>
                </c:pt>
                <c:pt idx="230">
                  <c:v>9.0904570000000007</c:v>
                </c:pt>
                <c:pt idx="231">
                  <c:v>8.9511529999999997</c:v>
                </c:pt>
                <c:pt idx="232">
                  <c:v>8.3417860000000008</c:v>
                </c:pt>
                <c:pt idx="233">
                  <c:v>7.4159610000000002</c:v>
                </c:pt>
                <c:pt idx="234">
                  <c:v>9.3438370000000006</c:v>
                </c:pt>
                <c:pt idx="235">
                  <c:v>11.40128</c:v>
                </c:pt>
                <c:pt idx="236">
                  <c:v>7.6112460000000004</c:v>
                </c:pt>
                <c:pt idx="237">
                  <c:v>10.010590000000001</c:v>
                </c:pt>
                <c:pt idx="238">
                  <c:v>9.9902870000000004</c:v>
                </c:pt>
                <c:pt idx="239">
                  <c:v>23.65119</c:v>
                </c:pt>
                <c:pt idx="240">
                  <c:v>15.00665</c:v>
                </c:pt>
                <c:pt idx="241">
                  <c:v>9.3590549999999997</c:v>
                </c:pt>
                <c:pt idx="242">
                  <c:v>8.6986620000000006</c:v>
                </c:pt>
                <c:pt idx="243">
                  <c:v>6.370673</c:v>
                </c:pt>
                <c:pt idx="244">
                  <c:v>10.03886</c:v>
                </c:pt>
                <c:pt idx="245">
                  <c:v>6.9384490000000003</c:v>
                </c:pt>
                <c:pt idx="246">
                  <c:v>11.055479999999999</c:v>
                </c:pt>
                <c:pt idx="247">
                  <c:v>9.0253029999999992</c:v>
                </c:pt>
                <c:pt idx="248">
                  <c:v>11.62129</c:v>
                </c:pt>
                <c:pt idx="249">
                  <c:v>15.04007</c:v>
                </c:pt>
                <c:pt idx="250">
                  <c:v>11.991400000000001</c:v>
                </c:pt>
                <c:pt idx="251">
                  <c:v>11.083930000000001</c:v>
                </c:pt>
                <c:pt idx="252">
                  <c:v>7.5804510000000001</c:v>
                </c:pt>
                <c:pt idx="253">
                  <c:v>38.022640000000003</c:v>
                </c:pt>
              </c:numCache>
            </c:numRef>
          </c:val>
          <c:extLst>
            <c:ext xmlns:c16="http://schemas.microsoft.com/office/drawing/2014/chart" uri="{C3380CC4-5D6E-409C-BE32-E72D297353CC}">
              <c16:uniqueId val="{00000000-961F-4ACE-AE3D-59135663514A}"/>
            </c:ext>
          </c:extLst>
        </c:ser>
        <c:dLbls>
          <c:showLegendKey val="0"/>
          <c:showVal val="0"/>
          <c:showCatName val="0"/>
          <c:showSerName val="0"/>
          <c:showPercent val="0"/>
          <c:showBubbleSize val="0"/>
        </c:dLbls>
        <c:gapWidth val="150"/>
        <c:axId val="255501056"/>
        <c:axId val="255497728"/>
      </c:barChart>
      <c:lineChart>
        <c:grouping val="standard"/>
        <c:varyColors val="0"/>
        <c:ser>
          <c:idx val="0"/>
          <c:order val="0"/>
          <c:tx>
            <c:strRef>
              <c:f>'At a Glance'!$G$188</c:f>
              <c:strCache>
                <c:ptCount val="1"/>
                <c:pt idx="0">
                  <c:v>(INDEX) Price</c:v>
                </c:pt>
              </c:strCache>
            </c:strRef>
          </c:tx>
          <c:spPr>
            <a:ln w="15875">
              <a:solidFill>
                <a:srgbClr val="00AEEF"/>
              </a:solidFill>
              <a:prstDash val="solid"/>
            </a:ln>
          </c:spPr>
          <c:marker>
            <c:symbol val="none"/>
          </c:marker>
          <c:trendline>
            <c:spPr>
              <a:ln w="15875">
                <a:solidFill>
                  <a:srgbClr val="99CC33"/>
                </a:solidFill>
                <a:prstDash val="solid"/>
              </a:ln>
            </c:spPr>
            <c:trendlineType val="movingAvg"/>
            <c:period val="30"/>
            <c:dispRSqr val="0"/>
            <c:dispEq val="0"/>
          </c:trendline>
          <c:cat>
            <c:numRef>
              <c:f>'At a Glance'!$C$189:$C$442</c:f>
              <c:numCache>
                <c:formatCode>m/d/yyyy</c:formatCode>
                <c:ptCount val="254"/>
                <c:pt idx="0">
                  <c:v>44159</c:v>
                </c:pt>
                <c:pt idx="1">
                  <c:v>44160</c:v>
                </c:pt>
                <c:pt idx="2">
                  <c:v>44162</c:v>
                </c:pt>
                <c:pt idx="3">
                  <c:v>44165</c:v>
                </c:pt>
                <c:pt idx="4">
                  <c:v>44166</c:v>
                </c:pt>
                <c:pt idx="5">
                  <c:v>44167</c:v>
                </c:pt>
                <c:pt idx="6">
                  <c:v>44168</c:v>
                </c:pt>
                <c:pt idx="7">
                  <c:v>44169</c:v>
                </c:pt>
                <c:pt idx="8">
                  <c:v>44172</c:v>
                </c:pt>
                <c:pt idx="9">
                  <c:v>44173</c:v>
                </c:pt>
                <c:pt idx="10">
                  <c:v>44174</c:v>
                </c:pt>
                <c:pt idx="11">
                  <c:v>44175</c:v>
                </c:pt>
                <c:pt idx="12">
                  <c:v>44176</c:v>
                </c:pt>
                <c:pt idx="13">
                  <c:v>44179</c:v>
                </c:pt>
                <c:pt idx="14">
                  <c:v>44180</c:v>
                </c:pt>
                <c:pt idx="15">
                  <c:v>44181</c:v>
                </c:pt>
                <c:pt idx="16">
                  <c:v>44182</c:v>
                </c:pt>
                <c:pt idx="17">
                  <c:v>44183</c:v>
                </c:pt>
                <c:pt idx="18">
                  <c:v>44186</c:v>
                </c:pt>
                <c:pt idx="19">
                  <c:v>44187</c:v>
                </c:pt>
                <c:pt idx="20">
                  <c:v>44188</c:v>
                </c:pt>
                <c:pt idx="21">
                  <c:v>44189</c:v>
                </c:pt>
                <c:pt idx="22">
                  <c:v>44193</c:v>
                </c:pt>
                <c:pt idx="23">
                  <c:v>44194</c:v>
                </c:pt>
                <c:pt idx="24">
                  <c:v>44195</c:v>
                </c:pt>
                <c:pt idx="25">
                  <c:v>44196</c:v>
                </c:pt>
                <c:pt idx="26">
                  <c:v>44200</c:v>
                </c:pt>
                <c:pt idx="27">
                  <c:v>44201</c:v>
                </c:pt>
                <c:pt idx="28">
                  <c:v>44202</c:v>
                </c:pt>
                <c:pt idx="29">
                  <c:v>44203</c:v>
                </c:pt>
                <c:pt idx="30">
                  <c:v>44204</c:v>
                </c:pt>
                <c:pt idx="31">
                  <c:v>44207</c:v>
                </c:pt>
                <c:pt idx="32">
                  <c:v>44208</c:v>
                </c:pt>
                <c:pt idx="33">
                  <c:v>44209</c:v>
                </c:pt>
                <c:pt idx="34">
                  <c:v>44210</c:v>
                </c:pt>
                <c:pt idx="35">
                  <c:v>44211</c:v>
                </c:pt>
                <c:pt idx="36">
                  <c:v>44215</c:v>
                </c:pt>
                <c:pt idx="37">
                  <c:v>44216</c:v>
                </c:pt>
                <c:pt idx="38">
                  <c:v>44217</c:v>
                </c:pt>
                <c:pt idx="39">
                  <c:v>44218</c:v>
                </c:pt>
                <c:pt idx="40">
                  <c:v>44221</c:v>
                </c:pt>
                <c:pt idx="41">
                  <c:v>44222</c:v>
                </c:pt>
                <c:pt idx="42">
                  <c:v>44223</c:v>
                </c:pt>
                <c:pt idx="43">
                  <c:v>44224</c:v>
                </c:pt>
                <c:pt idx="44">
                  <c:v>44225</c:v>
                </c:pt>
                <c:pt idx="45">
                  <c:v>44228</c:v>
                </c:pt>
                <c:pt idx="46">
                  <c:v>44229</c:v>
                </c:pt>
                <c:pt idx="47">
                  <c:v>44230</c:v>
                </c:pt>
                <c:pt idx="48">
                  <c:v>44231</c:v>
                </c:pt>
                <c:pt idx="49">
                  <c:v>44232</c:v>
                </c:pt>
                <c:pt idx="50">
                  <c:v>44235</c:v>
                </c:pt>
                <c:pt idx="51">
                  <c:v>44236</c:v>
                </c:pt>
                <c:pt idx="52">
                  <c:v>44237</c:v>
                </c:pt>
                <c:pt idx="53">
                  <c:v>44238</c:v>
                </c:pt>
                <c:pt idx="54">
                  <c:v>44239</c:v>
                </c:pt>
                <c:pt idx="55">
                  <c:v>44243</c:v>
                </c:pt>
                <c:pt idx="56">
                  <c:v>44244</c:v>
                </c:pt>
                <c:pt idx="57">
                  <c:v>44245</c:v>
                </c:pt>
                <c:pt idx="58">
                  <c:v>44246</c:v>
                </c:pt>
                <c:pt idx="59">
                  <c:v>44249</c:v>
                </c:pt>
                <c:pt idx="60">
                  <c:v>44250</c:v>
                </c:pt>
                <c:pt idx="61">
                  <c:v>44251</c:v>
                </c:pt>
                <c:pt idx="62">
                  <c:v>44252</c:v>
                </c:pt>
                <c:pt idx="63">
                  <c:v>44253</c:v>
                </c:pt>
                <c:pt idx="64">
                  <c:v>44256</c:v>
                </c:pt>
                <c:pt idx="65">
                  <c:v>44257</c:v>
                </c:pt>
                <c:pt idx="66">
                  <c:v>44258</c:v>
                </c:pt>
                <c:pt idx="67">
                  <c:v>44259</c:v>
                </c:pt>
                <c:pt idx="68">
                  <c:v>44260</c:v>
                </c:pt>
                <c:pt idx="69">
                  <c:v>44263</c:v>
                </c:pt>
                <c:pt idx="70">
                  <c:v>44264</c:v>
                </c:pt>
                <c:pt idx="71">
                  <c:v>44265</c:v>
                </c:pt>
                <c:pt idx="72">
                  <c:v>44266</c:v>
                </c:pt>
                <c:pt idx="73">
                  <c:v>44267</c:v>
                </c:pt>
                <c:pt idx="74">
                  <c:v>44270</c:v>
                </c:pt>
                <c:pt idx="75">
                  <c:v>44271</c:v>
                </c:pt>
                <c:pt idx="76">
                  <c:v>44272</c:v>
                </c:pt>
                <c:pt idx="77">
                  <c:v>44273</c:v>
                </c:pt>
                <c:pt idx="78">
                  <c:v>44274</c:v>
                </c:pt>
                <c:pt idx="79">
                  <c:v>44277</c:v>
                </c:pt>
                <c:pt idx="80">
                  <c:v>44278</c:v>
                </c:pt>
                <c:pt idx="81">
                  <c:v>44279</c:v>
                </c:pt>
                <c:pt idx="82">
                  <c:v>44280</c:v>
                </c:pt>
                <c:pt idx="83">
                  <c:v>44281</c:v>
                </c:pt>
                <c:pt idx="84">
                  <c:v>44284</c:v>
                </c:pt>
                <c:pt idx="85">
                  <c:v>44285</c:v>
                </c:pt>
                <c:pt idx="86">
                  <c:v>44286</c:v>
                </c:pt>
                <c:pt idx="87">
                  <c:v>44287</c:v>
                </c:pt>
                <c:pt idx="88">
                  <c:v>44291</c:v>
                </c:pt>
                <c:pt idx="89">
                  <c:v>44292</c:v>
                </c:pt>
                <c:pt idx="90">
                  <c:v>44293</c:v>
                </c:pt>
                <c:pt idx="91">
                  <c:v>44294</c:v>
                </c:pt>
                <c:pt idx="92">
                  <c:v>44295</c:v>
                </c:pt>
                <c:pt idx="93">
                  <c:v>44298</c:v>
                </c:pt>
                <c:pt idx="94">
                  <c:v>44299</c:v>
                </c:pt>
                <c:pt idx="95">
                  <c:v>44300</c:v>
                </c:pt>
                <c:pt idx="96">
                  <c:v>44301</c:v>
                </c:pt>
                <c:pt idx="97">
                  <c:v>44302</c:v>
                </c:pt>
                <c:pt idx="98">
                  <c:v>44305</c:v>
                </c:pt>
                <c:pt idx="99">
                  <c:v>44306</c:v>
                </c:pt>
                <c:pt idx="100">
                  <c:v>44307</c:v>
                </c:pt>
                <c:pt idx="101">
                  <c:v>44308</c:v>
                </c:pt>
                <c:pt idx="102">
                  <c:v>44309</c:v>
                </c:pt>
                <c:pt idx="103">
                  <c:v>44312</c:v>
                </c:pt>
                <c:pt idx="104">
                  <c:v>44313</c:v>
                </c:pt>
                <c:pt idx="105">
                  <c:v>44314</c:v>
                </c:pt>
                <c:pt idx="106">
                  <c:v>44315</c:v>
                </c:pt>
                <c:pt idx="107">
                  <c:v>44316</c:v>
                </c:pt>
                <c:pt idx="108">
                  <c:v>44319</c:v>
                </c:pt>
                <c:pt idx="109">
                  <c:v>44320</c:v>
                </c:pt>
                <c:pt idx="110">
                  <c:v>44321</c:v>
                </c:pt>
                <c:pt idx="111">
                  <c:v>44322</c:v>
                </c:pt>
                <c:pt idx="112">
                  <c:v>44323</c:v>
                </c:pt>
                <c:pt idx="113">
                  <c:v>44326</c:v>
                </c:pt>
                <c:pt idx="114">
                  <c:v>44327</c:v>
                </c:pt>
                <c:pt idx="115">
                  <c:v>44328</c:v>
                </c:pt>
                <c:pt idx="116">
                  <c:v>44329</c:v>
                </c:pt>
                <c:pt idx="117">
                  <c:v>44330</c:v>
                </c:pt>
                <c:pt idx="118">
                  <c:v>44333</c:v>
                </c:pt>
                <c:pt idx="119">
                  <c:v>44334</c:v>
                </c:pt>
                <c:pt idx="120">
                  <c:v>44335</c:v>
                </c:pt>
                <c:pt idx="121">
                  <c:v>44336</c:v>
                </c:pt>
                <c:pt idx="122">
                  <c:v>44337</c:v>
                </c:pt>
                <c:pt idx="123">
                  <c:v>44340</c:v>
                </c:pt>
                <c:pt idx="124">
                  <c:v>44341</c:v>
                </c:pt>
                <c:pt idx="125">
                  <c:v>44342</c:v>
                </c:pt>
                <c:pt idx="126">
                  <c:v>44343</c:v>
                </c:pt>
                <c:pt idx="127">
                  <c:v>44344</c:v>
                </c:pt>
                <c:pt idx="128">
                  <c:v>44348</c:v>
                </c:pt>
                <c:pt idx="129">
                  <c:v>44349</c:v>
                </c:pt>
                <c:pt idx="130">
                  <c:v>44350</c:v>
                </c:pt>
                <c:pt idx="131">
                  <c:v>44351</c:v>
                </c:pt>
                <c:pt idx="132">
                  <c:v>44354</c:v>
                </c:pt>
                <c:pt idx="133">
                  <c:v>44355</c:v>
                </c:pt>
                <c:pt idx="134">
                  <c:v>44356</c:v>
                </c:pt>
                <c:pt idx="135">
                  <c:v>44357</c:v>
                </c:pt>
                <c:pt idx="136">
                  <c:v>44358</c:v>
                </c:pt>
                <c:pt idx="137">
                  <c:v>44361</c:v>
                </c:pt>
                <c:pt idx="138">
                  <c:v>44362</c:v>
                </c:pt>
                <c:pt idx="139">
                  <c:v>44363</c:v>
                </c:pt>
                <c:pt idx="140">
                  <c:v>44364</c:v>
                </c:pt>
                <c:pt idx="141">
                  <c:v>44365</c:v>
                </c:pt>
                <c:pt idx="142">
                  <c:v>44368</c:v>
                </c:pt>
                <c:pt idx="143">
                  <c:v>44369</c:v>
                </c:pt>
                <c:pt idx="144">
                  <c:v>44370</c:v>
                </c:pt>
                <c:pt idx="145">
                  <c:v>44371</c:v>
                </c:pt>
                <c:pt idx="146">
                  <c:v>44372</c:v>
                </c:pt>
                <c:pt idx="147">
                  <c:v>44375</c:v>
                </c:pt>
                <c:pt idx="148">
                  <c:v>44376</c:v>
                </c:pt>
                <c:pt idx="149">
                  <c:v>44377</c:v>
                </c:pt>
                <c:pt idx="150">
                  <c:v>44378</c:v>
                </c:pt>
                <c:pt idx="151">
                  <c:v>44379</c:v>
                </c:pt>
                <c:pt idx="152">
                  <c:v>44383</c:v>
                </c:pt>
                <c:pt idx="153">
                  <c:v>44384</c:v>
                </c:pt>
                <c:pt idx="154">
                  <c:v>44385</c:v>
                </c:pt>
                <c:pt idx="155">
                  <c:v>44386</c:v>
                </c:pt>
                <c:pt idx="156">
                  <c:v>44389</c:v>
                </c:pt>
                <c:pt idx="157">
                  <c:v>44390</c:v>
                </c:pt>
                <c:pt idx="158">
                  <c:v>44391</c:v>
                </c:pt>
                <c:pt idx="159">
                  <c:v>44392</c:v>
                </c:pt>
                <c:pt idx="160">
                  <c:v>44393</c:v>
                </c:pt>
                <c:pt idx="161">
                  <c:v>44396</c:v>
                </c:pt>
                <c:pt idx="162">
                  <c:v>44397</c:v>
                </c:pt>
                <c:pt idx="163">
                  <c:v>44398</c:v>
                </c:pt>
                <c:pt idx="164">
                  <c:v>44399</c:v>
                </c:pt>
                <c:pt idx="165">
                  <c:v>44400</c:v>
                </c:pt>
                <c:pt idx="166">
                  <c:v>44403</c:v>
                </c:pt>
                <c:pt idx="167">
                  <c:v>44404</c:v>
                </c:pt>
                <c:pt idx="168">
                  <c:v>44405</c:v>
                </c:pt>
                <c:pt idx="169">
                  <c:v>44406</c:v>
                </c:pt>
                <c:pt idx="170">
                  <c:v>44407</c:v>
                </c:pt>
                <c:pt idx="171">
                  <c:v>44410</c:v>
                </c:pt>
                <c:pt idx="172">
                  <c:v>44411</c:v>
                </c:pt>
                <c:pt idx="173">
                  <c:v>44412</c:v>
                </c:pt>
                <c:pt idx="174">
                  <c:v>44413</c:v>
                </c:pt>
                <c:pt idx="175">
                  <c:v>44414</c:v>
                </c:pt>
                <c:pt idx="176">
                  <c:v>44417</c:v>
                </c:pt>
                <c:pt idx="177">
                  <c:v>44418</c:v>
                </c:pt>
                <c:pt idx="178">
                  <c:v>44419</c:v>
                </c:pt>
                <c:pt idx="179">
                  <c:v>44420</c:v>
                </c:pt>
                <c:pt idx="180">
                  <c:v>44421</c:v>
                </c:pt>
                <c:pt idx="181">
                  <c:v>44424</c:v>
                </c:pt>
                <c:pt idx="182">
                  <c:v>44425</c:v>
                </c:pt>
                <c:pt idx="183">
                  <c:v>44426</c:v>
                </c:pt>
                <c:pt idx="184">
                  <c:v>44427</c:v>
                </c:pt>
                <c:pt idx="185">
                  <c:v>44428</c:v>
                </c:pt>
                <c:pt idx="186">
                  <c:v>44431</c:v>
                </c:pt>
                <c:pt idx="187">
                  <c:v>44432</c:v>
                </c:pt>
                <c:pt idx="188">
                  <c:v>44433</c:v>
                </c:pt>
                <c:pt idx="189">
                  <c:v>44434</c:v>
                </c:pt>
                <c:pt idx="190">
                  <c:v>44435</c:v>
                </c:pt>
                <c:pt idx="191">
                  <c:v>44438</c:v>
                </c:pt>
                <c:pt idx="192">
                  <c:v>44439</c:v>
                </c:pt>
                <c:pt idx="193">
                  <c:v>44440</c:v>
                </c:pt>
                <c:pt idx="194">
                  <c:v>44441</c:v>
                </c:pt>
                <c:pt idx="195">
                  <c:v>44442</c:v>
                </c:pt>
                <c:pt idx="196">
                  <c:v>44446</c:v>
                </c:pt>
                <c:pt idx="197">
                  <c:v>44447</c:v>
                </c:pt>
                <c:pt idx="198">
                  <c:v>44448</c:v>
                </c:pt>
                <c:pt idx="199">
                  <c:v>44449</c:v>
                </c:pt>
                <c:pt idx="200">
                  <c:v>44452</c:v>
                </c:pt>
                <c:pt idx="201">
                  <c:v>44453</c:v>
                </c:pt>
                <c:pt idx="202">
                  <c:v>44454</c:v>
                </c:pt>
                <c:pt idx="203">
                  <c:v>44455</c:v>
                </c:pt>
                <c:pt idx="204">
                  <c:v>44456</c:v>
                </c:pt>
                <c:pt idx="205">
                  <c:v>44459</c:v>
                </c:pt>
                <c:pt idx="206">
                  <c:v>44460</c:v>
                </c:pt>
                <c:pt idx="207">
                  <c:v>44461</c:v>
                </c:pt>
                <c:pt idx="208">
                  <c:v>44462</c:v>
                </c:pt>
                <c:pt idx="209">
                  <c:v>44463</c:v>
                </c:pt>
                <c:pt idx="210">
                  <c:v>44466</c:v>
                </c:pt>
                <c:pt idx="211">
                  <c:v>44467</c:v>
                </c:pt>
                <c:pt idx="212">
                  <c:v>44468</c:v>
                </c:pt>
                <c:pt idx="213">
                  <c:v>44469</c:v>
                </c:pt>
                <c:pt idx="214">
                  <c:v>44470</c:v>
                </c:pt>
                <c:pt idx="215">
                  <c:v>44473</c:v>
                </c:pt>
                <c:pt idx="216">
                  <c:v>44474</c:v>
                </c:pt>
                <c:pt idx="217">
                  <c:v>44475</c:v>
                </c:pt>
                <c:pt idx="218">
                  <c:v>44476</c:v>
                </c:pt>
                <c:pt idx="219">
                  <c:v>44477</c:v>
                </c:pt>
                <c:pt idx="220">
                  <c:v>44480</c:v>
                </c:pt>
                <c:pt idx="221">
                  <c:v>44481</c:v>
                </c:pt>
                <c:pt idx="222">
                  <c:v>44482</c:v>
                </c:pt>
                <c:pt idx="223">
                  <c:v>44483</c:v>
                </c:pt>
                <c:pt idx="224">
                  <c:v>44484</c:v>
                </c:pt>
                <c:pt idx="225">
                  <c:v>44487</c:v>
                </c:pt>
                <c:pt idx="226">
                  <c:v>44488</c:v>
                </c:pt>
                <c:pt idx="227">
                  <c:v>44489</c:v>
                </c:pt>
                <c:pt idx="228">
                  <c:v>44490</c:v>
                </c:pt>
                <c:pt idx="229">
                  <c:v>44491</c:v>
                </c:pt>
                <c:pt idx="230">
                  <c:v>44494</c:v>
                </c:pt>
                <c:pt idx="231">
                  <c:v>44495</c:v>
                </c:pt>
                <c:pt idx="232">
                  <c:v>44496</c:v>
                </c:pt>
                <c:pt idx="233">
                  <c:v>44497</c:v>
                </c:pt>
                <c:pt idx="234">
                  <c:v>44498</c:v>
                </c:pt>
                <c:pt idx="235">
                  <c:v>44501</c:v>
                </c:pt>
                <c:pt idx="236">
                  <c:v>44502</c:v>
                </c:pt>
                <c:pt idx="237">
                  <c:v>44503</c:v>
                </c:pt>
                <c:pt idx="238">
                  <c:v>44504</c:v>
                </c:pt>
                <c:pt idx="239">
                  <c:v>44505</c:v>
                </c:pt>
                <c:pt idx="240">
                  <c:v>44508</c:v>
                </c:pt>
                <c:pt idx="241">
                  <c:v>44509</c:v>
                </c:pt>
                <c:pt idx="242">
                  <c:v>44510</c:v>
                </c:pt>
                <c:pt idx="243">
                  <c:v>44511</c:v>
                </c:pt>
                <c:pt idx="244">
                  <c:v>44512</c:v>
                </c:pt>
                <c:pt idx="245">
                  <c:v>44515</c:v>
                </c:pt>
                <c:pt idx="246">
                  <c:v>44516</c:v>
                </c:pt>
                <c:pt idx="247">
                  <c:v>44517</c:v>
                </c:pt>
                <c:pt idx="248">
                  <c:v>44518</c:v>
                </c:pt>
                <c:pt idx="249">
                  <c:v>44519</c:v>
                </c:pt>
                <c:pt idx="250">
                  <c:v>44522</c:v>
                </c:pt>
                <c:pt idx="251">
                  <c:v>44523</c:v>
                </c:pt>
                <c:pt idx="252">
                  <c:v>44524</c:v>
                </c:pt>
                <c:pt idx="253">
                  <c:v>44526</c:v>
                </c:pt>
              </c:numCache>
            </c:numRef>
          </c:cat>
          <c:val>
            <c:numRef>
              <c:f>'At a Glance'!$G$189:$G$442</c:f>
              <c:numCache>
                <c:formatCode>#,##0.00</c:formatCode>
                <c:ptCount val="254"/>
                <c:pt idx="0">
                  <c:v>41.26</c:v>
                </c:pt>
                <c:pt idx="1">
                  <c:v>41.29</c:v>
                </c:pt>
                <c:pt idx="2">
                  <c:v>41.06</c:v>
                </c:pt>
                <c:pt idx="3">
                  <c:v>40.25</c:v>
                </c:pt>
                <c:pt idx="4">
                  <c:v>39.96</c:v>
                </c:pt>
                <c:pt idx="5">
                  <c:v>41.07</c:v>
                </c:pt>
                <c:pt idx="6">
                  <c:v>42.95</c:v>
                </c:pt>
                <c:pt idx="7">
                  <c:v>42.36</c:v>
                </c:pt>
                <c:pt idx="8">
                  <c:v>42.35</c:v>
                </c:pt>
                <c:pt idx="9">
                  <c:v>42.41</c:v>
                </c:pt>
                <c:pt idx="10">
                  <c:v>42.11</c:v>
                </c:pt>
                <c:pt idx="11">
                  <c:v>42.62</c:v>
                </c:pt>
                <c:pt idx="12">
                  <c:v>41.74</c:v>
                </c:pt>
                <c:pt idx="13">
                  <c:v>40.69</c:v>
                </c:pt>
                <c:pt idx="14">
                  <c:v>41.85</c:v>
                </c:pt>
                <c:pt idx="15">
                  <c:v>41.08</c:v>
                </c:pt>
                <c:pt idx="16">
                  <c:v>41.11</c:v>
                </c:pt>
                <c:pt idx="17">
                  <c:v>40.68</c:v>
                </c:pt>
                <c:pt idx="18">
                  <c:v>40.14</c:v>
                </c:pt>
                <c:pt idx="19">
                  <c:v>38.94</c:v>
                </c:pt>
                <c:pt idx="20">
                  <c:v>40.24</c:v>
                </c:pt>
                <c:pt idx="21">
                  <c:v>39.729999999999997</c:v>
                </c:pt>
                <c:pt idx="22">
                  <c:v>40.15</c:v>
                </c:pt>
                <c:pt idx="23">
                  <c:v>40.03</c:v>
                </c:pt>
                <c:pt idx="24">
                  <c:v>40.56</c:v>
                </c:pt>
                <c:pt idx="25">
                  <c:v>40.21</c:v>
                </c:pt>
                <c:pt idx="26">
                  <c:v>38.729999999999997</c:v>
                </c:pt>
                <c:pt idx="27">
                  <c:v>39.549999999999997</c:v>
                </c:pt>
                <c:pt idx="28">
                  <c:v>40.380000000000003</c:v>
                </c:pt>
                <c:pt idx="29">
                  <c:v>40.229999999999997</c:v>
                </c:pt>
                <c:pt idx="30">
                  <c:v>40.020000000000003</c:v>
                </c:pt>
                <c:pt idx="31">
                  <c:v>39.409999999999997</c:v>
                </c:pt>
                <c:pt idx="32">
                  <c:v>40.299999999999997</c:v>
                </c:pt>
                <c:pt idx="33">
                  <c:v>40.450000000000003</c:v>
                </c:pt>
                <c:pt idx="34">
                  <c:v>41.47</c:v>
                </c:pt>
                <c:pt idx="35">
                  <c:v>39.979999999999997</c:v>
                </c:pt>
                <c:pt idx="36">
                  <c:v>40.31</c:v>
                </c:pt>
                <c:pt idx="37">
                  <c:v>41.62</c:v>
                </c:pt>
                <c:pt idx="38">
                  <c:v>40.67</c:v>
                </c:pt>
                <c:pt idx="39">
                  <c:v>40</c:v>
                </c:pt>
                <c:pt idx="40">
                  <c:v>38.9</c:v>
                </c:pt>
                <c:pt idx="41">
                  <c:v>39.32</c:v>
                </c:pt>
                <c:pt idx="42">
                  <c:v>38.520000000000003</c:v>
                </c:pt>
                <c:pt idx="43">
                  <c:v>40.08</c:v>
                </c:pt>
                <c:pt idx="44">
                  <c:v>37.96</c:v>
                </c:pt>
                <c:pt idx="45">
                  <c:v>37.82</c:v>
                </c:pt>
                <c:pt idx="46">
                  <c:v>38.799999999999997</c:v>
                </c:pt>
                <c:pt idx="47">
                  <c:v>39.78</c:v>
                </c:pt>
                <c:pt idx="48">
                  <c:v>40.93</c:v>
                </c:pt>
                <c:pt idx="49">
                  <c:v>41.15</c:v>
                </c:pt>
                <c:pt idx="50">
                  <c:v>43.24</c:v>
                </c:pt>
                <c:pt idx="51">
                  <c:v>42.51</c:v>
                </c:pt>
                <c:pt idx="52">
                  <c:v>42.9</c:v>
                </c:pt>
                <c:pt idx="53">
                  <c:v>42.72</c:v>
                </c:pt>
                <c:pt idx="54">
                  <c:v>43.29</c:v>
                </c:pt>
                <c:pt idx="55">
                  <c:v>44.65</c:v>
                </c:pt>
                <c:pt idx="56">
                  <c:v>44.39</c:v>
                </c:pt>
                <c:pt idx="57">
                  <c:v>44.38</c:v>
                </c:pt>
                <c:pt idx="58">
                  <c:v>45.67</c:v>
                </c:pt>
                <c:pt idx="59">
                  <c:v>47.74</c:v>
                </c:pt>
                <c:pt idx="60">
                  <c:v>48.34</c:v>
                </c:pt>
                <c:pt idx="61">
                  <c:v>49.6</c:v>
                </c:pt>
                <c:pt idx="62">
                  <c:v>48.25</c:v>
                </c:pt>
                <c:pt idx="63">
                  <c:v>47.94</c:v>
                </c:pt>
                <c:pt idx="64">
                  <c:v>48.06</c:v>
                </c:pt>
                <c:pt idx="65">
                  <c:v>48.23</c:v>
                </c:pt>
                <c:pt idx="66">
                  <c:v>48.35</c:v>
                </c:pt>
                <c:pt idx="67">
                  <c:v>46.96</c:v>
                </c:pt>
                <c:pt idx="68">
                  <c:v>46.21</c:v>
                </c:pt>
                <c:pt idx="69">
                  <c:v>47.88</c:v>
                </c:pt>
                <c:pt idx="70">
                  <c:v>47.62</c:v>
                </c:pt>
                <c:pt idx="71">
                  <c:v>47.8</c:v>
                </c:pt>
                <c:pt idx="72">
                  <c:v>48.32</c:v>
                </c:pt>
                <c:pt idx="73">
                  <c:v>49.83</c:v>
                </c:pt>
                <c:pt idx="74">
                  <c:v>50.99</c:v>
                </c:pt>
                <c:pt idx="75">
                  <c:v>49.39</c:v>
                </c:pt>
                <c:pt idx="76">
                  <c:v>50.44</c:v>
                </c:pt>
                <c:pt idx="77">
                  <c:v>49.18</c:v>
                </c:pt>
                <c:pt idx="78">
                  <c:v>49</c:v>
                </c:pt>
                <c:pt idx="79">
                  <c:v>47.97</c:v>
                </c:pt>
                <c:pt idx="80">
                  <c:v>45.64</c:v>
                </c:pt>
                <c:pt idx="81">
                  <c:v>45.61</c:v>
                </c:pt>
                <c:pt idx="82">
                  <c:v>47.01</c:v>
                </c:pt>
                <c:pt idx="83">
                  <c:v>47.66</c:v>
                </c:pt>
                <c:pt idx="84">
                  <c:v>47.32</c:v>
                </c:pt>
                <c:pt idx="85">
                  <c:v>48.9</c:v>
                </c:pt>
                <c:pt idx="86">
                  <c:v>48.28</c:v>
                </c:pt>
                <c:pt idx="87">
                  <c:v>48.83</c:v>
                </c:pt>
                <c:pt idx="88">
                  <c:v>50.25</c:v>
                </c:pt>
                <c:pt idx="89">
                  <c:v>51.65</c:v>
                </c:pt>
                <c:pt idx="90">
                  <c:v>50.2</c:v>
                </c:pt>
                <c:pt idx="91">
                  <c:v>49.81</c:v>
                </c:pt>
                <c:pt idx="92">
                  <c:v>49.27</c:v>
                </c:pt>
                <c:pt idx="93">
                  <c:v>48.82</c:v>
                </c:pt>
                <c:pt idx="94">
                  <c:v>48.26</c:v>
                </c:pt>
                <c:pt idx="95">
                  <c:v>48.17</c:v>
                </c:pt>
                <c:pt idx="96">
                  <c:v>46.82</c:v>
                </c:pt>
                <c:pt idx="97">
                  <c:v>46.64</c:v>
                </c:pt>
                <c:pt idx="98">
                  <c:v>46.15</c:v>
                </c:pt>
                <c:pt idx="99">
                  <c:v>44.45</c:v>
                </c:pt>
                <c:pt idx="100">
                  <c:v>45.7</c:v>
                </c:pt>
                <c:pt idx="101">
                  <c:v>44.65</c:v>
                </c:pt>
                <c:pt idx="102">
                  <c:v>45.8</c:v>
                </c:pt>
                <c:pt idx="103">
                  <c:v>46.61</c:v>
                </c:pt>
                <c:pt idx="104">
                  <c:v>46.34</c:v>
                </c:pt>
                <c:pt idx="105">
                  <c:v>46.44</c:v>
                </c:pt>
                <c:pt idx="106">
                  <c:v>46.38</c:v>
                </c:pt>
                <c:pt idx="107">
                  <c:v>46.92</c:v>
                </c:pt>
                <c:pt idx="108">
                  <c:v>46.57</c:v>
                </c:pt>
                <c:pt idx="109">
                  <c:v>44.66</c:v>
                </c:pt>
                <c:pt idx="110">
                  <c:v>45.2</c:v>
                </c:pt>
                <c:pt idx="111">
                  <c:v>44.93</c:v>
                </c:pt>
                <c:pt idx="112">
                  <c:v>46.11</c:v>
                </c:pt>
                <c:pt idx="113">
                  <c:v>45.43</c:v>
                </c:pt>
                <c:pt idx="114">
                  <c:v>44.52</c:v>
                </c:pt>
                <c:pt idx="115">
                  <c:v>43.03</c:v>
                </c:pt>
                <c:pt idx="116">
                  <c:v>43.97</c:v>
                </c:pt>
                <c:pt idx="117">
                  <c:v>46.31</c:v>
                </c:pt>
                <c:pt idx="118">
                  <c:v>46.75</c:v>
                </c:pt>
                <c:pt idx="119">
                  <c:v>46.73</c:v>
                </c:pt>
                <c:pt idx="120">
                  <c:v>46.14</c:v>
                </c:pt>
                <c:pt idx="121">
                  <c:v>45.41</c:v>
                </c:pt>
                <c:pt idx="122">
                  <c:v>45.21</c:v>
                </c:pt>
                <c:pt idx="123">
                  <c:v>46.17</c:v>
                </c:pt>
                <c:pt idx="124">
                  <c:v>46.67</c:v>
                </c:pt>
                <c:pt idx="125">
                  <c:v>47.49</c:v>
                </c:pt>
                <c:pt idx="126">
                  <c:v>48.05</c:v>
                </c:pt>
                <c:pt idx="127">
                  <c:v>47.68</c:v>
                </c:pt>
                <c:pt idx="128">
                  <c:v>47.7</c:v>
                </c:pt>
                <c:pt idx="129">
                  <c:v>47.77</c:v>
                </c:pt>
                <c:pt idx="130">
                  <c:v>46.13</c:v>
                </c:pt>
                <c:pt idx="131">
                  <c:v>45.98</c:v>
                </c:pt>
                <c:pt idx="132">
                  <c:v>46.08</c:v>
                </c:pt>
                <c:pt idx="133">
                  <c:v>47.04</c:v>
                </c:pt>
                <c:pt idx="134">
                  <c:v>46.52</c:v>
                </c:pt>
                <c:pt idx="135">
                  <c:v>46.28</c:v>
                </c:pt>
                <c:pt idx="136">
                  <c:v>46.5</c:v>
                </c:pt>
                <c:pt idx="137">
                  <c:v>45.9</c:v>
                </c:pt>
                <c:pt idx="138">
                  <c:v>45.53</c:v>
                </c:pt>
                <c:pt idx="139">
                  <c:v>45.52</c:v>
                </c:pt>
                <c:pt idx="140">
                  <c:v>44.57</c:v>
                </c:pt>
                <c:pt idx="141">
                  <c:v>44.96</c:v>
                </c:pt>
                <c:pt idx="142">
                  <c:v>45.77</c:v>
                </c:pt>
                <c:pt idx="143">
                  <c:v>45.37</c:v>
                </c:pt>
                <c:pt idx="144">
                  <c:v>45.27</c:v>
                </c:pt>
                <c:pt idx="145">
                  <c:v>44.91</c:v>
                </c:pt>
                <c:pt idx="146">
                  <c:v>44.43</c:v>
                </c:pt>
                <c:pt idx="147">
                  <c:v>43.12</c:v>
                </c:pt>
                <c:pt idx="148">
                  <c:v>42.87</c:v>
                </c:pt>
                <c:pt idx="149">
                  <c:v>43.26</c:v>
                </c:pt>
                <c:pt idx="150">
                  <c:v>44.23</c:v>
                </c:pt>
                <c:pt idx="151">
                  <c:v>44.15</c:v>
                </c:pt>
                <c:pt idx="152">
                  <c:v>43.24</c:v>
                </c:pt>
                <c:pt idx="153">
                  <c:v>42.54</c:v>
                </c:pt>
                <c:pt idx="154">
                  <c:v>42.07</c:v>
                </c:pt>
                <c:pt idx="155">
                  <c:v>42.92</c:v>
                </c:pt>
                <c:pt idx="156">
                  <c:v>42.85</c:v>
                </c:pt>
                <c:pt idx="157">
                  <c:v>41.33</c:v>
                </c:pt>
                <c:pt idx="158">
                  <c:v>40.68</c:v>
                </c:pt>
                <c:pt idx="159">
                  <c:v>41.35</c:v>
                </c:pt>
                <c:pt idx="160">
                  <c:v>40.06</c:v>
                </c:pt>
                <c:pt idx="161">
                  <c:v>38.56</c:v>
                </c:pt>
                <c:pt idx="162">
                  <c:v>40.659999999999997</c:v>
                </c:pt>
                <c:pt idx="163">
                  <c:v>41.61</c:v>
                </c:pt>
                <c:pt idx="164">
                  <c:v>41.06</c:v>
                </c:pt>
                <c:pt idx="165">
                  <c:v>40.409999999999997</c:v>
                </c:pt>
                <c:pt idx="166">
                  <c:v>41.67</c:v>
                </c:pt>
                <c:pt idx="167">
                  <c:v>40.96</c:v>
                </c:pt>
                <c:pt idx="168">
                  <c:v>41.3</c:v>
                </c:pt>
                <c:pt idx="169">
                  <c:v>41.23</c:v>
                </c:pt>
                <c:pt idx="170">
                  <c:v>39.9</c:v>
                </c:pt>
                <c:pt idx="171">
                  <c:v>39.450000000000003</c:v>
                </c:pt>
                <c:pt idx="172">
                  <c:v>39.770000000000003</c:v>
                </c:pt>
                <c:pt idx="173">
                  <c:v>38.35</c:v>
                </c:pt>
                <c:pt idx="174">
                  <c:v>39.99</c:v>
                </c:pt>
                <c:pt idx="175">
                  <c:v>40.32</c:v>
                </c:pt>
                <c:pt idx="176">
                  <c:v>39.29</c:v>
                </c:pt>
                <c:pt idx="177">
                  <c:v>40.46</c:v>
                </c:pt>
                <c:pt idx="178">
                  <c:v>41.3</c:v>
                </c:pt>
                <c:pt idx="179">
                  <c:v>40.53</c:v>
                </c:pt>
                <c:pt idx="180">
                  <c:v>39.9</c:v>
                </c:pt>
                <c:pt idx="181">
                  <c:v>39.93</c:v>
                </c:pt>
                <c:pt idx="182">
                  <c:v>38.78</c:v>
                </c:pt>
                <c:pt idx="183">
                  <c:v>38.65</c:v>
                </c:pt>
                <c:pt idx="184">
                  <c:v>37.93</c:v>
                </c:pt>
                <c:pt idx="185">
                  <c:v>38.119999999999997</c:v>
                </c:pt>
                <c:pt idx="186">
                  <c:v>39.21</c:v>
                </c:pt>
                <c:pt idx="187">
                  <c:v>40.53</c:v>
                </c:pt>
                <c:pt idx="188">
                  <c:v>41.3</c:v>
                </c:pt>
                <c:pt idx="189">
                  <c:v>40.770000000000003</c:v>
                </c:pt>
                <c:pt idx="190">
                  <c:v>41.52</c:v>
                </c:pt>
                <c:pt idx="191">
                  <c:v>39.909999999999997</c:v>
                </c:pt>
                <c:pt idx="192">
                  <c:v>40.44</c:v>
                </c:pt>
                <c:pt idx="193">
                  <c:v>40.4</c:v>
                </c:pt>
                <c:pt idx="194">
                  <c:v>40.82</c:v>
                </c:pt>
                <c:pt idx="195">
                  <c:v>40.25</c:v>
                </c:pt>
                <c:pt idx="196">
                  <c:v>40.35</c:v>
                </c:pt>
                <c:pt idx="197">
                  <c:v>39.65</c:v>
                </c:pt>
                <c:pt idx="198">
                  <c:v>41.09</c:v>
                </c:pt>
                <c:pt idx="199">
                  <c:v>39.36</c:v>
                </c:pt>
                <c:pt idx="200">
                  <c:v>40.18</c:v>
                </c:pt>
                <c:pt idx="201">
                  <c:v>39.44</c:v>
                </c:pt>
                <c:pt idx="202">
                  <c:v>39.64</c:v>
                </c:pt>
                <c:pt idx="203">
                  <c:v>40.22</c:v>
                </c:pt>
                <c:pt idx="204">
                  <c:v>40.11</c:v>
                </c:pt>
                <c:pt idx="205">
                  <c:v>40.78</c:v>
                </c:pt>
                <c:pt idx="206">
                  <c:v>40.36</c:v>
                </c:pt>
                <c:pt idx="207">
                  <c:v>41.59</c:v>
                </c:pt>
                <c:pt idx="208">
                  <c:v>42.59</c:v>
                </c:pt>
                <c:pt idx="209">
                  <c:v>43.53</c:v>
                </c:pt>
                <c:pt idx="210">
                  <c:v>43.78</c:v>
                </c:pt>
                <c:pt idx="211">
                  <c:v>43.44</c:v>
                </c:pt>
                <c:pt idx="212">
                  <c:v>43.36</c:v>
                </c:pt>
                <c:pt idx="213">
                  <c:v>42.61</c:v>
                </c:pt>
                <c:pt idx="214">
                  <c:v>45.38</c:v>
                </c:pt>
                <c:pt idx="215">
                  <c:v>44.96</c:v>
                </c:pt>
                <c:pt idx="216">
                  <c:v>44.74</c:v>
                </c:pt>
                <c:pt idx="217">
                  <c:v>44.02</c:v>
                </c:pt>
                <c:pt idx="218">
                  <c:v>43.68</c:v>
                </c:pt>
                <c:pt idx="219">
                  <c:v>43.38</c:v>
                </c:pt>
                <c:pt idx="220">
                  <c:v>43.19</c:v>
                </c:pt>
                <c:pt idx="221">
                  <c:v>43.54</c:v>
                </c:pt>
                <c:pt idx="222">
                  <c:v>41.03</c:v>
                </c:pt>
                <c:pt idx="223">
                  <c:v>41.2</c:v>
                </c:pt>
                <c:pt idx="224">
                  <c:v>40.99</c:v>
                </c:pt>
                <c:pt idx="225">
                  <c:v>41.01</c:v>
                </c:pt>
                <c:pt idx="226">
                  <c:v>40.450000000000003</c:v>
                </c:pt>
                <c:pt idx="227">
                  <c:v>40.299999999999997</c:v>
                </c:pt>
                <c:pt idx="228">
                  <c:v>40.4</c:v>
                </c:pt>
                <c:pt idx="229">
                  <c:v>39.74</c:v>
                </c:pt>
                <c:pt idx="230">
                  <c:v>39.51</c:v>
                </c:pt>
                <c:pt idx="231">
                  <c:v>39.71</c:v>
                </c:pt>
                <c:pt idx="232">
                  <c:v>39.07</c:v>
                </c:pt>
                <c:pt idx="233">
                  <c:v>39.15</c:v>
                </c:pt>
                <c:pt idx="234">
                  <c:v>39.130000000000003</c:v>
                </c:pt>
                <c:pt idx="235">
                  <c:v>40.42</c:v>
                </c:pt>
                <c:pt idx="236">
                  <c:v>40.39</c:v>
                </c:pt>
                <c:pt idx="237">
                  <c:v>41.24</c:v>
                </c:pt>
                <c:pt idx="238">
                  <c:v>40.99</c:v>
                </c:pt>
                <c:pt idx="239">
                  <c:v>44.29</c:v>
                </c:pt>
                <c:pt idx="240">
                  <c:v>44.65</c:v>
                </c:pt>
                <c:pt idx="241">
                  <c:v>44.53</c:v>
                </c:pt>
                <c:pt idx="242">
                  <c:v>43.71</c:v>
                </c:pt>
                <c:pt idx="243">
                  <c:v>43.45</c:v>
                </c:pt>
                <c:pt idx="244">
                  <c:v>42.22</c:v>
                </c:pt>
                <c:pt idx="245">
                  <c:v>42.38</c:v>
                </c:pt>
                <c:pt idx="246">
                  <c:v>41.04</c:v>
                </c:pt>
                <c:pt idx="247">
                  <c:v>40.71</c:v>
                </c:pt>
                <c:pt idx="248">
                  <c:v>40.119999999999997</c:v>
                </c:pt>
                <c:pt idx="249">
                  <c:v>39.69</c:v>
                </c:pt>
                <c:pt idx="250">
                  <c:v>39.770000000000003</c:v>
                </c:pt>
                <c:pt idx="251">
                  <c:v>39.53</c:v>
                </c:pt>
                <c:pt idx="252">
                  <c:v>39.69</c:v>
                </c:pt>
                <c:pt idx="253">
                  <c:v>36.380000000000003</c:v>
                </c:pt>
              </c:numCache>
            </c:numRef>
          </c:val>
          <c:smooth val="0"/>
          <c:extLst>
            <c:ext xmlns:c16="http://schemas.microsoft.com/office/drawing/2014/chart" uri="{C3380CC4-5D6E-409C-BE32-E72D297353CC}">
              <c16:uniqueId val="{00000002-961F-4ACE-AE3D-59135663514A}"/>
            </c:ext>
          </c:extLst>
        </c:ser>
        <c:ser>
          <c:idx val="2"/>
          <c:order val="2"/>
          <c:tx>
            <c:strRef>
              <c:f>'At a Glance'!$H$188</c:f>
              <c:strCache>
                <c:ptCount val="1"/>
                <c:pt idx="0">
                  <c:v>(INDEX) Price Relative</c:v>
                </c:pt>
              </c:strCache>
            </c:strRef>
          </c:tx>
          <c:spPr>
            <a:ln w="12700"/>
          </c:spPr>
          <c:marker>
            <c:symbol val="none"/>
          </c:marker>
          <c:val>
            <c:numRef>
              <c:f>'At a Glance'!$H$189:$H$452</c:f>
              <c:numCache>
                <c:formatCode>#,##0.00</c:formatCode>
                <c:ptCount val="264"/>
                <c:pt idx="0">
                  <c:v>#N/A</c:v>
                </c:pt>
              </c:numCache>
            </c:numRef>
          </c:val>
          <c:smooth val="0"/>
          <c:extLst>
            <c:ext xmlns:c16="http://schemas.microsoft.com/office/drawing/2014/chart" uri="{C3380CC4-5D6E-409C-BE32-E72D297353CC}">
              <c16:uniqueId val="{00000003-961F-4ACE-AE3D-59135663514A}"/>
            </c:ext>
          </c:extLst>
        </c:ser>
        <c:dLbls>
          <c:showLegendKey val="0"/>
          <c:showVal val="0"/>
          <c:showCatName val="0"/>
          <c:showSerName val="0"/>
          <c:showPercent val="0"/>
          <c:showBubbleSize val="0"/>
        </c:dLbls>
        <c:marker val="1"/>
        <c:smooth val="0"/>
        <c:axId val="255491072"/>
        <c:axId val="255494400"/>
      </c:lineChart>
      <c:dateAx>
        <c:axId val="255491072"/>
        <c:scaling>
          <c:orientation val="minMax"/>
        </c:scaling>
        <c:delete val="0"/>
        <c:axPos val="b"/>
        <c:numFmt formatCode="mmm\-yy" sourceLinked="0"/>
        <c:majorTickMark val="in"/>
        <c:minorTickMark val="none"/>
        <c:tickLblPos val="nextTo"/>
        <c:spPr>
          <a:ln w="12700">
            <a:solidFill>
              <a:srgbClr val="E1E1E1"/>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494400"/>
        <c:crosses val="autoZero"/>
        <c:auto val="1"/>
        <c:lblOffset val="100"/>
        <c:baseTimeUnit val="days"/>
      </c:dateAx>
      <c:valAx>
        <c:axId val="255494400"/>
        <c:scaling>
          <c:orientation val="minMax"/>
        </c:scaling>
        <c:delete val="0"/>
        <c:axPos val="l"/>
        <c:numFmt formatCode="#,##0" sourceLinked="0"/>
        <c:majorTickMark val="in"/>
        <c:minorTickMark val="none"/>
        <c:tickLblPos val="nextTo"/>
        <c:spPr>
          <a:ln w="12700">
            <a:solidFill>
              <a:srgbClr val="E1E1E1"/>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55491072"/>
        <c:crosses val="autoZero"/>
        <c:crossBetween val="between"/>
      </c:valAx>
      <c:valAx>
        <c:axId val="255497728"/>
        <c:scaling>
          <c:orientation val="minMax"/>
        </c:scaling>
        <c:delete val="0"/>
        <c:axPos val="r"/>
        <c:numFmt formatCode="#,##0.00" sourceLinked="1"/>
        <c:majorTickMark val="out"/>
        <c:minorTickMark val="none"/>
        <c:tickLblPos val="nextTo"/>
        <c:crossAx val="255501056"/>
        <c:crosses val="max"/>
        <c:crossBetween val="between"/>
      </c:valAx>
      <c:dateAx>
        <c:axId val="255501056"/>
        <c:scaling>
          <c:orientation val="minMax"/>
        </c:scaling>
        <c:delete val="1"/>
        <c:axPos val="b"/>
        <c:numFmt formatCode="m/d/yyyy" sourceLinked="1"/>
        <c:majorTickMark val="out"/>
        <c:minorTickMark val="none"/>
        <c:tickLblPos val="none"/>
        <c:crossAx val="255497728"/>
        <c:crosses val="autoZero"/>
        <c:auto val="1"/>
        <c:lblOffset val="100"/>
        <c:baseTimeUnit val="days"/>
        <c:majorUnit val="1"/>
        <c:minorUnit val="1"/>
      </c:dateAx>
      <c:spPr>
        <a:gradFill flip="none" rotWithShape="1">
          <a:gsLst>
            <a:gs pos="0">
              <a:schemeClr val="bg1"/>
            </a:gs>
            <a:gs pos="100000">
              <a:srgbClr val="F0F0F0"/>
            </a:gs>
          </a:gsLst>
          <a:lin ang="5400000" scaled="0"/>
          <a:tileRect/>
        </a:gradFill>
        <a:ln w="12700" cmpd="sng">
          <a:solidFill>
            <a:srgbClr val="E1E1E1"/>
          </a:solidFill>
        </a:ln>
      </c:spPr>
    </c:plotArea>
    <c:legend>
      <c:legendPos val="b"/>
      <c:layout>
        <c:manualLayout>
          <c:xMode val="edge"/>
          <c:yMode val="edge"/>
          <c:x val="0.12326990376203104"/>
          <c:y val="0.17446467629046394"/>
          <c:w val="0.87673017508985662"/>
          <c:h val="8.8575636637828775E-2"/>
        </c:manualLayout>
      </c:layout>
      <c:overlay val="0"/>
      <c:spPr>
        <a:solidFill>
          <a:srgbClr val="FFFFFF"/>
        </a:solidFill>
        <a:ln w="25400">
          <a:noFill/>
        </a:ln>
      </c:spPr>
      <c:txPr>
        <a:bodyPr/>
        <a:lstStyle/>
        <a:p>
          <a:pPr>
            <a:defRPr sz="800" b="0" i="0" u="none" strike="noStrike" baseline="0">
              <a:solidFill>
                <a:srgbClr val="000000"/>
              </a:solidFill>
              <a:latin typeface="Arial"/>
              <a:ea typeface="Arial"/>
              <a:cs typeface="Arial"/>
            </a:defRPr>
          </a:pPr>
          <a:endParaRPr lang="en-US"/>
        </a:p>
      </c:txPr>
    </c:legend>
    <c:plotVisOnly val="0"/>
    <c:dispBlanksAs val="gap"/>
    <c:showDLblsOverMax val="0"/>
  </c:chart>
  <c:spPr>
    <a:solidFill>
      <a:srgbClr val="FFFFFF"/>
    </a:solidFill>
    <a:ln w="3175">
      <a:solidFill>
        <a:sysClr val="window" lastClr="FFFFFF">
          <a:lumMod val="85000"/>
        </a:sysClr>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688" r="0.75000000000000688" t="1" header="0.5" footer="0.5"/>
    <c:pageSetup orientation="landscape" horizontalDpi="300" verticalDpi="30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Implied Share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Estimates!$B$61:$B$73</c:f>
              <c:numCache>
                <c:formatCode>0.0%</c:formatCode>
                <c:ptCount val="13"/>
                <c:pt idx="0">
                  <c:v>0</c:v>
                </c:pt>
                <c:pt idx="1">
                  <c:v>5.0000000000000001E-3</c:v>
                </c:pt>
                <c:pt idx="2">
                  <c:v>0.01</c:v>
                </c:pt>
                <c:pt idx="3">
                  <c:v>1.4999999999999999E-2</c:v>
                </c:pt>
                <c:pt idx="4">
                  <c:v>0.02</c:v>
                </c:pt>
                <c:pt idx="5">
                  <c:v>2.5000000000000001E-2</c:v>
                </c:pt>
                <c:pt idx="6">
                  <c:v>3.0000000000000002E-2</c:v>
                </c:pt>
                <c:pt idx="7">
                  <c:v>3.5000000000000003E-2</c:v>
                </c:pt>
                <c:pt idx="8">
                  <c:v>0.04</c:v>
                </c:pt>
                <c:pt idx="9">
                  <c:v>4.4999999999999998E-2</c:v>
                </c:pt>
                <c:pt idx="10">
                  <c:v>4.9999999999999996E-2</c:v>
                </c:pt>
                <c:pt idx="11">
                  <c:v>5.4999999999999993E-2</c:v>
                </c:pt>
                <c:pt idx="12">
                  <c:v>5.9999999999999991E-2</c:v>
                </c:pt>
              </c:numCache>
            </c:numRef>
          </c:xVal>
          <c:yVal>
            <c:numRef>
              <c:f>Estimates!$C$61:$C$73</c:f>
              <c:numCache>
                <c:formatCode>0.0</c:formatCode>
                <c:ptCount val="13"/>
                <c:pt idx="0">
                  <c:v>12.743628185907047</c:v>
                </c:pt>
                <c:pt idx="1">
                  <c:v>13.776337115072934</c:v>
                </c:pt>
                <c:pt idx="2">
                  <c:v>14.991181657848326</c:v>
                </c:pt>
                <c:pt idx="3">
                  <c:v>16.441005802707931</c:v>
                </c:pt>
                <c:pt idx="4">
                  <c:v>18.20128479657388</c:v>
                </c:pt>
                <c:pt idx="5">
                  <c:v>20.38369304556355</c:v>
                </c:pt>
                <c:pt idx="6">
                  <c:v>23.160762942779293</c:v>
                </c:pt>
                <c:pt idx="7">
                  <c:v>26.813880126182973</c:v>
                </c:pt>
                <c:pt idx="8">
                  <c:v>31.835205992509369</c:v>
                </c:pt>
                <c:pt idx="9">
                  <c:v>39.170506912442399</c:v>
                </c:pt>
                <c:pt idx="10">
                  <c:v>50.898203592814369</c:v>
                </c:pt>
                <c:pt idx="11">
                  <c:v>72.649572649572633</c:v>
                </c:pt>
                <c:pt idx="12">
                  <c:v>126.86567164179095</c:v>
                </c:pt>
              </c:numCache>
            </c:numRef>
          </c:yVal>
          <c:smooth val="1"/>
          <c:extLst>
            <c:ext xmlns:c16="http://schemas.microsoft.com/office/drawing/2014/chart" uri="{C3380CC4-5D6E-409C-BE32-E72D297353CC}">
              <c16:uniqueId val="{00000000-D461-47B8-A52D-6F5710203DF8}"/>
            </c:ext>
          </c:extLst>
        </c:ser>
        <c:dLbls>
          <c:showLegendKey val="0"/>
          <c:showVal val="0"/>
          <c:showCatName val="0"/>
          <c:showSerName val="0"/>
          <c:showPercent val="0"/>
          <c:showBubbleSize val="0"/>
        </c:dLbls>
        <c:axId val="1448677168"/>
        <c:axId val="1447490880"/>
      </c:scatterChart>
      <c:valAx>
        <c:axId val="1448677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Growth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90880"/>
        <c:crosses val="autoZero"/>
        <c:crossBetween val="midCat"/>
      </c:valAx>
      <c:valAx>
        <c:axId val="144749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Share</a:t>
                </a:r>
                <a:r>
                  <a:rPr lang="de-DE" baseline="0"/>
                  <a:t> Price</a:t>
                </a:r>
                <a:endParaRPr lang="de-DE"/>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77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755905511811"/>
          <c:y val="5.0925925925925923E-2"/>
          <c:w val="0.78821937882764659"/>
          <c:h val="0.6368366074717049"/>
        </c:manualLayout>
      </c:layout>
      <c:scatterChart>
        <c:scatterStyle val="lineMarker"/>
        <c:varyColors val="0"/>
        <c:ser>
          <c:idx val="0"/>
          <c:order val="0"/>
          <c:tx>
            <c:strRef>
              <c:f>'DCS Detail'!$V$21</c:f>
              <c:strCache>
                <c:ptCount val="1"/>
                <c:pt idx="0">
                  <c:v>Gov. Yield Curve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0"/>
            <c:dispEq val="0"/>
          </c:trendline>
          <c:xVal>
            <c:numRef>
              <c:f>'DCS Detail'!$W$22:$W$33</c:f>
              <c:numCache>
                <c:formatCode>0.00</c:formatCode>
                <c:ptCount val="12"/>
                <c:pt idx="0">
                  <c:v>0.04</c:v>
                </c:pt>
                <c:pt idx="1">
                  <c:v>6.8500000000000005E-2</c:v>
                </c:pt>
                <c:pt idx="2">
                  <c:v>0.05</c:v>
                </c:pt>
                <c:pt idx="3">
                  <c:v>5.7500000000000002E-2</c:v>
                </c:pt>
                <c:pt idx="4">
                  <c:v>0.10249999999999999</c:v>
                </c:pt>
                <c:pt idx="5">
                  <c:v>0.41599999999999998</c:v>
                </c:pt>
                <c:pt idx="6">
                  <c:v>0.751</c:v>
                </c:pt>
                <c:pt idx="7">
                  <c:v>5</c:v>
                </c:pt>
                <c:pt idx="8">
                  <c:v>7</c:v>
                </c:pt>
                <c:pt idx="9">
                  <c:v>10</c:v>
                </c:pt>
                <c:pt idx="10">
                  <c:v>20</c:v>
                </c:pt>
                <c:pt idx="11">
                  <c:v>30</c:v>
                </c:pt>
              </c:numCache>
            </c:numRef>
          </c:xVal>
          <c:yVal>
            <c:numRef>
              <c:f>'DCS Detail'!$X$22:$X$33</c:f>
              <c:numCache>
                <c:formatCode>0.00%</c:formatCode>
                <c:ptCount val="12"/>
                <c:pt idx="0">
                  <c:v>4.0000000000000002E-4</c:v>
                </c:pt>
                <c:pt idx="1">
                  <c:v>6.8499999999999995E-4</c:v>
                </c:pt>
                <c:pt idx="2">
                  <c:v>5.0000000000000001E-4</c:v>
                </c:pt>
                <c:pt idx="3">
                  <c:v>5.7499999999999999E-4</c:v>
                </c:pt>
                <c:pt idx="4">
                  <c:v>1.0249999999999899E-3</c:v>
                </c:pt>
                <c:pt idx="5">
                  <c:v>4.1599999999999996E-3</c:v>
                </c:pt>
                <c:pt idx="6">
                  <c:v>7.5100000000000002E-3</c:v>
                </c:pt>
                <c:pt idx="7">
                  <c:v>1.2001E-2</c:v>
                </c:pt>
                <c:pt idx="8">
                  <c:v>1.4997999999999999E-2</c:v>
                </c:pt>
                <c:pt idx="9">
                  <c:v>1.6729000000000001E-2</c:v>
                </c:pt>
                <c:pt idx="10">
                  <c:v>2.112E-2</c:v>
                </c:pt>
                <c:pt idx="11">
                  <c:v>2.1406000000000001E-2</c:v>
                </c:pt>
              </c:numCache>
            </c:numRef>
          </c:yVal>
          <c:smooth val="0"/>
          <c:extLst>
            <c:ext xmlns:c16="http://schemas.microsoft.com/office/drawing/2014/chart" uri="{C3380CC4-5D6E-409C-BE32-E72D297353CC}">
              <c16:uniqueId val="{00000001-FB35-484A-BF5F-DB51C60C56BA}"/>
            </c:ext>
          </c:extLst>
        </c:ser>
        <c:ser>
          <c:idx val="1"/>
          <c:order val="1"/>
          <c:tx>
            <c:v>Apple Yield Curve</c:v>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'DCS Detail'!$W$26:$W$31</c:f>
              <c:numCache>
                <c:formatCode>0.00</c:formatCode>
                <c:ptCount val="6"/>
                <c:pt idx="0">
                  <c:v>0.10249999999999999</c:v>
                </c:pt>
                <c:pt idx="1">
                  <c:v>0.41599999999999998</c:v>
                </c:pt>
                <c:pt idx="2">
                  <c:v>0.751</c:v>
                </c:pt>
                <c:pt idx="3">
                  <c:v>5</c:v>
                </c:pt>
                <c:pt idx="4">
                  <c:v>7</c:v>
                </c:pt>
                <c:pt idx="5">
                  <c:v>10</c:v>
                </c:pt>
              </c:numCache>
            </c:numRef>
          </c:xVal>
          <c:yVal>
            <c:numRef>
              <c:f>'DCS Detail'!$Y$26:$Y$31</c:f>
              <c:numCache>
                <c:formatCode>0.00%</c:formatCode>
                <c:ptCount val="6"/>
                <c:pt idx="0">
                  <c:v>1.9589999999999898E-3</c:v>
                </c:pt>
                <c:pt idx="1">
                  <c:v>5.3569999999999998E-3</c:v>
                </c:pt>
                <c:pt idx="2">
                  <c:v>9.0460000000000002E-3</c:v>
                </c:pt>
                <c:pt idx="3">
                  <c:v>1.4411E-2</c:v>
                </c:pt>
                <c:pt idx="4">
                  <c:v>1.7874000000000001E-2</c:v>
                </c:pt>
                <c:pt idx="5">
                  <c:v>2.0449999999999999E-2</c:v>
                </c:pt>
              </c:numCache>
            </c:numRef>
          </c:yVal>
          <c:smooth val="0"/>
          <c:extLst>
            <c:ext xmlns:c16="http://schemas.microsoft.com/office/drawing/2014/chart" uri="{C3380CC4-5D6E-409C-BE32-E72D297353CC}">
              <c16:uniqueId val="{00000002-FB35-484A-BF5F-DB51C60C56BA}"/>
            </c:ext>
          </c:extLst>
        </c:ser>
        <c:ser>
          <c:idx val="2"/>
          <c:order val="2"/>
          <c:tx>
            <c:v>Apple Notes/Bonds USD</c:v>
          </c:tx>
          <c:spPr>
            <a:ln w="25400" cap="rnd">
              <a:noFill/>
              <a:round/>
            </a:ln>
            <a:effectLst/>
          </c:spPr>
          <c:marker>
            <c:symbol val="circle"/>
            <c:size val="3"/>
            <c:spPr>
              <a:solidFill>
                <a:schemeClr val="accent3"/>
              </a:solidFill>
              <a:ln w="3175">
                <a:solidFill>
                  <a:schemeClr val="accent3"/>
                </a:solidFill>
              </a:ln>
              <a:effectLst/>
            </c:spPr>
          </c:marker>
          <c:xVal>
            <c:numRef>
              <c:f>'DCS Detail'!$Q$31:$Q$72</c:f>
              <c:numCache>
                <c:formatCode>0.00</c:formatCode>
                <c:ptCount val="42"/>
                <c:pt idx="0">
                  <c:v>13.783561643835617</c:v>
                </c:pt>
                <c:pt idx="1">
                  <c:v>13.783561643835617</c:v>
                </c:pt>
                <c:pt idx="2">
                  <c:v>18.536986301369861</c:v>
                </c:pt>
                <c:pt idx="3">
                  <c:v>23.539726027397261</c:v>
                </c:pt>
                <c:pt idx="4">
                  <c:v>3.526027397260274</c:v>
                </c:pt>
                <c:pt idx="5">
                  <c:v>3.106849315068493</c:v>
                </c:pt>
                <c:pt idx="6">
                  <c:v>6.5287671232876709</c:v>
                </c:pt>
                <c:pt idx="7">
                  <c:v>-6.3013698630136991E-2</c:v>
                </c:pt>
                <c:pt idx="8">
                  <c:v>1.021917808219178</c:v>
                </c:pt>
                <c:pt idx="9">
                  <c:v>2.526027397260274</c:v>
                </c:pt>
                <c:pt idx="10">
                  <c:v>3.7780821917808218</c:v>
                </c:pt>
                <c:pt idx="11">
                  <c:v>6.0273972602739727</c:v>
                </c:pt>
                <c:pt idx="12">
                  <c:v>7.5287671232876709</c:v>
                </c:pt>
                <c:pt idx="13">
                  <c:v>1.1041095890410959</c:v>
                </c:pt>
                <c:pt idx="14">
                  <c:v>1.021917808219178</c:v>
                </c:pt>
                <c:pt idx="15">
                  <c:v>1.8602739726027397</c:v>
                </c:pt>
                <c:pt idx="16">
                  <c:v>2.2739726027397262</c:v>
                </c:pt>
                <c:pt idx="17">
                  <c:v>2.0246575342465754</c:v>
                </c:pt>
                <c:pt idx="18">
                  <c:v>1.8602739726027397</c:v>
                </c:pt>
                <c:pt idx="19">
                  <c:v>2.0246575342465754</c:v>
                </c:pt>
                <c:pt idx="20">
                  <c:v>2.7780821917808218</c:v>
                </c:pt>
                <c:pt idx="21">
                  <c:v>5.1917808219178081</c:v>
                </c:pt>
                <c:pt idx="22">
                  <c:v>6.1945205479452055</c:v>
                </c:pt>
                <c:pt idx="23">
                  <c:v>6.1945205479452055</c:v>
                </c:pt>
                <c:pt idx="24">
                  <c:v>6.7808219178082192</c:v>
                </c:pt>
                <c:pt idx="25">
                  <c:v>6.7808219178082192</c:v>
                </c:pt>
                <c:pt idx="26">
                  <c:v>8.6958904109589046</c:v>
                </c:pt>
                <c:pt idx="27">
                  <c:v>9.6958904109589046</c:v>
                </c:pt>
                <c:pt idx="28">
                  <c:v>9.6958904109589046</c:v>
                </c:pt>
              </c:numCache>
            </c:numRef>
          </c:xVal>
          <c:yVal>
            <c:numRef>
              <c:f>'DCS Detail'!$R$31:$R$72</c:f>
              <c:numCache>
                <c:formatCode>0.00%</c:formatCode>
                <c:ptCount val="42"/>
                <c:pt idx="0">
                  <c:v>5.3278234398782348E-2</c:v>
                </c:pt>
                <c:pt idx="1">
                  <c:v>5.3278234398782348E-2</c:v>
                </c:pt>
                <c:pt idx="2">
                  <c:v>6.2785083713850831E-2</c:v>
                </c:pt>
                <c:pt idx="3">
                  <c:v>7.2790563165905639E-2</c:v>
                </c:pt>
                <c:pt idx="4">
                  <c:v>2.2099999999999998E-2</c:v>
                </c:pt>
                <c:pt idx="5">
                  <c:v>2.1499999999999998E-2</c:v>
                </c:pt>
                <c:pt idx="6">
                  <c:v>2.8500000000000001E-2</c:v>
                </c:pt>
                <c:pt idx="7">
                  <c:v>1.54E-2</c:v>
                </c:pt>
                <c:pt idx="8">
                  <c:v>1.9299999999999998E-2</c:v>
                </c:pt>
                <c:pt idx="9">
                  <c:v>2.1899999999999999E-2</c:v>
                </c:pt>
                <c:pt idx="10">
                  <c:v>3.1200000000000002E-2</c:v>
                </c:pt>
                <c:pt idx="11">
                  <c:v>3.3300000000000003E-2</c:v>
                </c:pt>
                <c:pt idx="12">
                  <c:v>3.8199999999999998E-2</c:v>
                </c:pt>
                <c:pt idx="13">
                  <c:v>2.7919330289193304E-2</c:v>
                </c:pt>
                <c:pt idx="14">
                  <c:v>2.7754946727549464E-2</c:v>
                </c:pt>
                <c:pt idx="15">
                  <c:v>2.9431659056316589E-2</c:v>
                </c:pt>
                <c:pt idx="16">
                  <c:v>3.0259056316590566E-2</c:v>
                </c:pt>
                <c:pt idx="17">
                  <c:v>2.9760426179604265E-2</c:v>
                </c:pt>
                <c:pt idx="18">
                  <c:v>2.9431659056316589E-2</c:v>
                </c:pt>
                <c:pt idx="19">
                  <c:v>2.9760426179604265E-2</c:v>
                </c:pt>
                <c:pt idx="20">
                  <c:v>3.1267275494672758E-2</c:v>
                </c:pt>
                <c:pt idx="21">
                  <c:v>3.6094672754946731E-2</c:v>
                </c:pt>
                <c:pt idx="22">
                  <c:v>3.8100152207001525E-2</c:v>
                </c:pt>
                <c:pt idx="23">
                  <c:v>3.8100152207001525E-2</c:v>
                </c:pt>
                <c:pt idx="24">
                  <c:v>3.9272754946727551E-2</c:v>
                </c:pt>
                <c:pt idx="25">
                  <c:v>3.9272754946727551E-2</c:v>
                </c:pt>
                <c:pt idx="26">
                  <c:v>4.3102891933028922E-2</c:v>
                </c:pt>
                <c:pt idx="27">
                  <c:v>4.5102891933028924E-2</c:v>
                </c:pt>
                <c:pt idx="28">
                  <c:v>4.5102891933028924E-2</c:v>
                </c:pt>
              </c:numCache>
            </c:numRef>
          </c:yVal>
          <c:smooth val="0"/>
          <c:extLst>
            <c:ext xmlns:c16="http://schemas.microsoft.com/office/drawing/2014/chart" uri="{C3380CC4-5D6E-409C-BE32-E72D297353CC}">
              <c16:uniqueId val="{00000003-FB35-484A-BF5F-DB51C60C56BA}"/>
            </c:ext>
          </c:extLst>
        </c:ser>
        <c:ser>
          <c:idx val="3"/>
          <c:order val="3"/>
          <c:tx>
            <c:v>Apple Notes/Bonds EUR</c:v>
          </c:tx>
          <c:spPr>
            <a:ln w="25400" cap="rnd">
              <a:noFill/>
              <a:round/>
            </a:ln>
            <a:effectLst/>
          </c:spPr>
          <c:marker>
            <c:symbol val="circle"/>
            <c:size val="3"/>
            <c:spPr>
              <a:solidFill>
                <a:schemeClr val="accent4"/>
              </a:solidFill>
              <a:ln w="9525">
                <a:solidFill>
                  <a:schemeClr val="accent4"/>
                </a:solidFill>
              </a:ln>
              <a:effectLst/>
            </c:spPr>
          </c:marker>
          <c:xVal>
            <c:numRef>
              <c:f>'DCS Detail'!$Q$21:$Q$28</c:f>
              <c:numCache>
                <c:formatCode>0.00</c:formatCode>
                <c:ptCount val="8"/>
                <c:pt idx="0">
                  <c:v>4.7780821917808218</c:v>
                </c:pt>
                <c:pt idx="1">
                  <c:v>5.7780821917808218</c:v>
                </c:pt>
                <c:pt idx="2">
                  <c:v>6.7808219178082192</c:v>
                </c:pt>
                <c:pt idx="3">
                  <c:v>7.7808219178082192</c:v>
                </c:pt>
                <c:pt idx="4">
                  <c:v>8.5287671232876718</c:v>
                </c:pt>
                <c:pt idx="5">
                  <c:v>8.7808219178082183</c:v>
                </c:pt>
                <c:pt idx="6">
                  <c:v>9.7808219178082183</c:v>
                </c:pt>
                <c:pt idx="7">
                  <c:v>10.783561643835617</c:v>
                </c:pt>
              </c:numCache>
            </c:numRef>
          </c:xVal>
          <c:yVal>
            <c:numRef>
              <c:f>'DCS Detail'!$R$21:$R$28</c:f>
              <c:numCache>
                <c:formatCode>0.00%</c:formatCode>
                <c:ptCount val="8"/>
                <c:pt idx="0">
                  <c:v>4.2567275494672756E-2</c:v>
                </c:pt>
                <c:pt idx="1">
                  <c:v>4.4567275494672758E-2</c:v>
                </c:pt>
                <c:pt idx="2">
                  <c:v>4.6572754946727551E-2</c:v>
                </c:pt>
                <c:pt idx="3">
                  <c:v>4.8572754946727553E-2</c:v>
                </c:pt>
                <c:pt idx="4">
                  <c:v>5.0068645357686452E-2</c:v>
                </c:pt>
                <c:pt idx="5">
                  <c:v>5.0572754946727548E-2</c:v>
                </c:pt>
                <c:pt idx="6">
                  <c:v>5.257275494672755E-2</c:v>
                </c:pt>
                <c:pt idx="7">
                  <c:v>5.4578234398782344E-2</c:v>
                </c:pt>
              </c:numCache>
            </c:numRef>
          </c:yVal>
          <c:smooth val="0"/>
          <c:extLst>
            <c:ext xmlns:c16="http://schemas.microsoft.com/office/drawing/2014/chart" uri="{C3380CC4-5D6E-409C-BE32-E72D297353CC}">
              <c16:uniqueId val="{00000001-1E72-49A4-AF03-BC7EED6C6620}"/>
            </c:ext>
          </c:extLst>
        </c:ser>
        <c:ser>
          <c:idx val="4"/>
          <c:order val="4"/>
          <c:tx>
            <c:v>Apple Notes/Bonds GBP</c:v>
          </c:tx>
          <c:spPr>
            <a:ln w="25400" cap="rnd">
              <a:noFill/>
              <a:round/>
            </a:ln>
            <a:effectLst/>
          </c:spPr>
          <c:marker>
            <c:symbol val="circle"/>
            <c:size val="3"/>
            <c:spPr>
              <a:solidFill>
                <a:schemeClr val="accent5"/>
              </a:solidFill>
              <a:ln w="9525">
                <a:solidFill>
                  <a:schemeClr val="accent5"/>
                </a:solidFill>
              </a:ln>
              <a:effectLst/>
            </c:spPr>
          </c:marker>
          <c:xVal>
            <c:numRef>
              <c:f>'DCS Detail'!$Q$29:$Q$30</c:f>
              <c:numCache>
                <c:formatCode>0.00</c:formatCode>
                <c:ptCount val="2"/>
                <c:pt idx="0">
                  <c:v>11.783561643835617</c:v>
                </c:pt>
                <c:pt idx="1">
                  <c:v>13.531506849315068</c:v>
                </c:pt>
              </c:numCache>
            </c:numRef>
          </c:xVal>
          <c:yVal>
            <c:numRef>
              <c:f>'DCS Detail'!$R$29:$R$30</c:f>
              <c:numCache>
                <c:formatCode>0.00%</c:formatCode>
                <c:ptCount val="2"/>
                <c:pt idx="0">
                  <c:v>5.4278234398782342E-2</c:v>
                </c:pt>
                <c:pt idx="1">
                  <c:v>5.7774124809741242E-2</c:v>
                </c:pt>
              </c:numCache>
            </c:numRef>
          </c:yVal>
          <c:smooth val="0"/>
          <c:extLst>
            <c:ext xmlns:c16="http://schemas.microsoft.com/office/drawing/2014/chart" uri="{C3380CC4-5D6E-409C-BE32-E72D297353CC}">
              <c16:uniqueId val="{00000002-1E72-49A4-AF03-BC7EED6C6620}"/>
            </c:ext>
          </c:extLst>
        </c:ser>
        <c:ser>
          <c:idx val="5"/>
          <c:order val="5"/>
          <c:tx>
            <c:v>Apple Notes/Bonds AUD</c:v>
          </c:tx>
          <c:spPr>
            <a:ln w="25400" cap="rnd">
              <a:noFill/>
              <a:round/>
            </a:ln>
            <a:effectLst/>
          </c:spPr>
          <c:marker>
            <c:symbol val="circle"/>
            <c:size val="5"/>
            <c:spPr>
              <a:solidFill>
                <a:schemeClr val="accent6"/>
              </a:solidFill>
              <a:ln w="9525">
                <a:solidFill>
                  <a:schemeClr val="accent6"/>
                </a:solidFill>
              </a:ln>
              <a:effectLst/>
            </c:spPr>
          </c:marker>
          <c:dPt>
            <c:idx val="2"/>
            <c:marker>
              <c:symbol val="circle"/>
              <c:size val="3"/>
              <c:spPr>
                <a:solidFill>
                  <a:schemeClr val="accent6"/>
                </a:solidFill>
                <a:ln w="9525">
                  <a:solidFill>
                    <a:schemeClr val="accent6"/>
                  </a:solidFill>
                </a:ln>
                <a:effectLst/>
              </c:spPr>
            </c:marker>
            <c:bubble3D val="0"/>
            <c:extLst>
              <c:ext xmlns:c16="http://schemas.microsoft.com/office/drawing/2014/chart" uri="{C3380CC4-5D6E-409C-BE32-E72D297353CC}">
                <c16:uniqueId val="{00000001-FC3D-4BAF-85F2-8F8A5C272465}"/>
              </c:ext>
            </c:extLst>
          </c:dPt>
          <c:xVal>
            <c:numRef>
              <c:f>'DCS Detail'!$Q$15:$Q$17</c:f>
              <c:numCache>
                <c:formatCode>0.00</c:formatCode>
                <c:ptCount val="3"/>
                <c:pt idx="1">
                  <c:v>-0.22465753424657534</c:v>
                </c:pt>
                <c:pt idx="2">
                  <c:v>0.77534246575342469</c:v>
                </c:pt>
              </c:numCache>
            </c:numRef>
          </c:xVal>
          <c:yVal>
            <c:numRef>
              <c:f>'DCS Detail'!$R$15:$R$17</c:f>
              <c:numCache>
                <c:formatCode>0.00%</c:formatCode>
                <c:ptCount val="3"/>
                <c:pt idx="1">
                  <c:v>2.5261796042617961E-2</c:v>
                </c:pt>
                <c:pt idx="2">
                  <c:v>2.7261796042617963E-2</c:v>
                </c:pt>
              </c:numCache>
            </c:numRef>
          </c:yVal>
          <c:smooth val="0"/>
          <c:extLst>
            <c:ext xmlns:c16="http://schemas.microsoft.com/office/drawing/2014/chart" uri="{C3380CC4-5D6E-409C-BE32-E72D297353CC}">
              <c16:uniqueId val="{00000003-1E72-49A4-AF03-BC7EED6C6620}"/>
            </c:ext>
          </c:extLst>
        </c:ser>
        <c:ser>
          <c:idx val="6"/>
          <c:order val="6"/>
          <c:tx>
            <c:v>Apple Notes/Bonds CHF</c:v>
          </c:tx>
          <c:spPr>
            <a:ln w="25400" cap="rnd">
              <a:noFill/>
              <a:round/>
            </a:ln>
            <a:effectLst/>
          </c:spPr>
          <c:marker>
            <c:symbol val="circle"/>
            <c:size val="3"/>
            <c:spPr>
              <a:solidFill>
                <a:schemeClr val="accent1">
                  <a:lumMod val="60000"/>
                </a:schemeClr>
              </a:solidFill>
              <a:ln w="9525">
                <a:solidFill>
                  <a:schemeClr val="accent1">
                    <a:lumMod val="60000"/>
                  </a:schemeClr>
                </a:solidFill>
              </a:ln>
              <a:effectLst/>
            </c:spPr>
          </c:marker>
          <c:xVal>
            <c:numRef>
              <c:f>'DCS Detail'!$Q$19:$Q$20</c:f>
              <c:numCache>
                <c:formatCode>0.00</c:formatCode>
                <c:ptCount val="2"/>
                <c:pt idx="0">
                  <c:v>2.7780821917808218</c:v>
                </c:pt>
                <c:pt idx="1">
                  <c:v>3.7780821917808218</c:v>
                </c:pt>
              </c:numCache>
            </c:numRef>
          </c:xVal>
          <c:yVal>
            <c:numRef>
              <c:f>'DCS Detail'!$R$19:$R$20</c:f>
              <c:numCache>
                <c:formatCode>0.00%</c:formatCode>
                <c:ptCount val="2"/>
                <c:pt idx="0">
                  <c:v>3.1267275494672758E-2</c:v>
                </c:pt>
                <c:pt idx="1">
                  <c:v>3.326727549467276E-2</c:v>
                </c:pt>
              </c:numCache>
            </c:numRef>
          </c:yVal>
          <c:smooth val="0"/>
          <c:extLst>
            <c:ext xmlns:c16="http://schemas.microsoft.com/office/drawing/2014/chart" uri="{C3380CC4-5D6E-409C-BE32-E72D297353CC}">
              <c16:uniqueId val="{00000004-1E72-49A4-AF03-BC7EED6C6620}"/>
            </c:ext>
          </c:extLst>
        </c:ser>
        <c:dLbls>
          <c:showLegendKey val="0"/>
          <c:showVal val="0"/>
          <c:showCatName val="0"/>
          <c:showSerName val="0"/>
          <c:showPercent val="0"/>
          <c:showBubbleSize val="0"/>
        </c:dLbls>
        <c:axId val="1555098832"/>
        <c:axId val="406823104"/>
      </c:scatterChart>
      <c:valAx>
        <c:axId val="1555098832"/>
        <c:scaling>
          <c:orientation val="minMax"/>
          <c:max val="3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Time to Maturity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23104"/>
        <c:crosses val="autoZero"/>
        <c:crossBetween val="midCat"/>
      </c:valAx>
      <c:valAx>
        <c:axId val="406823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Yield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098832"/>
        <c:crosses val="autoZero"/>
        <c:crossBetween val="midCat"/>
      </c:valAx>
      <c:spPr>
        <a:noFill/>
        <a:ln>
          <a:noFill/>
        </a:ln>
        <a:effectLst/>
      </c:spPr>
    </c:plotArea>
    <c:legend>
      <c:legendPos val="r"/>
      <c:layout>
        <c:manualLayout>
          <c:xMode val="edge"/>
          <c:yMode val="edge"/>
          <c:x val="4.6117650130037095E-2"/>
          <c:y val="0.78385243796413206"/>
          <c:w val="0.89361605389877441"/>
          <c:h val="0.16666811684257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Ratios'!$B$10</c:f>
              <c:strCache>
                <c:ptCount val="1"/>
                <c:pt idx="0">
                  <c:v>DAL-US</c:v>
                </c:pt>
              </c:strCache>
            </c:strRef>
          </c:tx>
          <c:spPr>
            <a:ln w="28575" cap="rnd">
              <a:solidFill>
                <a:schemeClr val="accent1"/>
              </a:solidFill>
              <a:round/>
            </a:ln>
            <a:effectLst/>
          </c:spPr>
          <c:marker>
            <c:symbol val="none"/>
          </c:marker>
          <c:val>
            <c:numRef>
              <c:f>'Historical adj Ratios'!$C$10:$K$10</c:f>
              <c:numCache>
                <c:formatCode>0.0%</c:formatCode>
                <c:ptCount val="9"/>
                <c:pt idx="0">
                  <c:v>-7.8556674589532707E-2</c:v>
                </c:pt>
                <c:pt idx="1">
                  <c:v>0.10046030878727159</c:v>
                </c:pt>
                <c:pt idx="2">
                  <c:v>8.8604952135998352E-2</c:v>
                </c:pt>
                <c:pt idx="3">
                  <c:v>9.0501035203742933E-2</c:v>
                </c:pt>
                <c:pt idx="4">
                  <c:v>0.10368223292842584</c:v>
                </c:pt>
                <c:pt idx="5">
                  <c:v>0.10823830418173311</c:v>
                </c:pt>
                <c:pt idx="6">
                  <c:v>7.4523776463297983E-2</c:v>
                </c:pt>
                <c:pt idx="7">
                  <c:v>0.32963694427022494</c:v>
                </c:pt>
                <c:pt idx="8">
                  <c:v>9.5235060633434593E-2</c:v>
                </c:pt>
              </c:numCache>
            </c:numRef>
          </c:val>
          <c:smooth val="0"/>
          <c:extLst>
            <c:ext xmlns:c16="http://schemas.microsoft.com/office/drawing/2014/chart" uri="{C3380CC4-5D6E-409C-BE32-E72D297353CC}">
              <c16:uniqueId val="{00000000-069C-442E-910B-70DFB88E2C7A}"/>
            </c:ext>
          </c:extLst>
        </c:ser>
        <c:ser>
          <c:idx val="1"/>
          <c:order val="1"/>
          <c:tx>
            <c:strRef>
              <c:f>'Historical adj Ratios'!$B$16</c:f>
              <c:strCache>
                <c:ptCount val="1"/>
                <c:pt idx="0">
                  <c:v>MEDIAN</c:v>
                </c:pt>
              </c:strCache>
            </c:strRef>
          </c:tx>
          <c:spPr>
            <a:ln w="28575" cap="rnd">
              <a:solidFill>
                <a:schemeClr val="accent2"/>
              </a:solidFill>
              <a:round/>
            </a:ln>
            <a:effectLst/>
          </c:spPr>
          <c:marker>
            <c:symbol val="none"/>
          </c:marker>
          <c:val>
            <c:numRef>
              <c:f>'Historical adj Ratios'!$C$16:$K$16</c:f>
              <c:numCache>
                <c:formatCode>0%</c:formatCode>
                <c:ptCount val="9"/>
                <c:pt idx="0">
                  <c:v>-9.3076297194466778E-2</c:v>
                </c:pt>
                <c:pt idx="1">
                  <c:v>8.6526307221083926E-2</c:v>
                </c:pt>
                <c:pt idx="2">
                  <c:v>7.1550880409969028E-2</c:v>
                </c:pt>
                <c:pt idx="3">
                  <c:v>0.24854235784039969</c:v>
                </c:pt>
                <c:pt idx="4">
                  <c:v>0.19310402333545593</c:v>
                </c:pt>
                <c:pt idx="5">
                  <c:v>0.30384490864342595</c:v>
                </c:pt>
                <c:pt idx="6">
                  <c:v>0.30397543766846563</c:v>
                </c:pt>
                <c:pt idx="7">
                  <c:v>0.12258545737500511</c:v>
                </c:pt>
                <c:pt idx="8">
                  <c:v>0.19682664318142676</c:v>
                </c:pt>
              </c:numCache>
            </c:numRef>
          </c:val>
          <c:smooth val="0"/>
          <c:extLst>
            <c:ext xmlns:c16="http://schemas.microsoft.com/office/drawing/2014/chart" uri="{C3380CC4-5D6E-409C-BE32-E72D297353CC}">
              <c16:uniqueId val="{00000001-069C-442E-910B-70DFB88E2C7A}"/>
            </c:ext>
          </c:extLst>
        </c:ser>
        <c:dLbls>
          <c:showLegendKey val="0"/>
          <c:showVal val="0"/>
          <c:showCatName val="0"/>
          <c:showSerName val="0"/>
          <c:showPercent val="0"/>
          <c:showBubbleSize val="0"/>
        </c:dLbls>
        <c:smooth val="0"/>
        <c:axId val="1730258047"/>
        <c:axId val="1730254303"/>
      </c:lineChart>
      <c:catAx>
        <c:axId val="173025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254303"/>
        <c:crosses val="autoZero"/>
        <c:auto val="1"/>
        <c:lblAlgn val="ctr"/>
        <c:lblOffset val="100"/>
        <c:noMultiLvlLbl val="0"/>
      </c:catAx>
      <c:valAx>
        <c:axId val="17302543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258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Ratios'!$B$18</c:f>
              <c:strCache>
                <c:ptCount val="1"/>
                <c:pt idx="0">
                  <c:v>DAL-US</c:v>
                </c:pt>
              </c:strCache>
            </c:strRef>
          </c:tx>
          <c:spPr>
            <a:ln w="28575" cap="rnd">
              <a:solidFill>
                <a:schemeClr val="accent1"/>
              </a:solidFill>
              <a:round/>
            </a:ln>
            <a:effectLst/>
          </c:spPr>
          <c:marker>
            <c:symbol val="none"/>
          </c:marker>
          <c:val>
            <c:numRef>
              <c:f>'Historical adj Ratios'!$C$18:$K$18</c:f>
              <c:numCache>
                <c:formatCode>0.0%</c:formatCode>
                <c:ptCount val="9"/>
                <c:pt idx="0">
                  <c:v>-0.33421292775665407</c:v>
                </c:pt>
                <c:pt idx="1">
                  <c:v>0.12276900821171761</c:v>
                </c:pt>
                <c:pt idx="2">
                  <c:v>0.10670529466033625</c:v>
                </c:pt>
                <c:pt idx="3">
                  <c:v>0.13840471455594897</c:v>
                </c:pt>
                <c:pt idx="4">
                  <c:v>0.15918615221453455</c:v>
                </c:pt>
                <c:pt idx="5">
                  <c:v>0.17347726262775887</c:v>
                </c:pt>
                <c:pt idx="6">
                  <c:v>0.10493532981792854</c:v>
                </c:pt>
                <c:pt idx="7">
                  <c:v>7.2475158084914143E-2</c:v>
                </c:pt>
                <c:pt idx="8">
                  <c:v>6.4044147704046858E-2</c:v>
                </c:pt>
              </c:numCache>
            </c:numRef>
          </c:val>
          <c:smooth val="0"/>
          <c:extLst>
            <c:ext xmlns:c16="http://schemas.microsoft.com/office/drawing/2014/chart" uri="{C3380CC4-5D6E-409C-BE32-E72D297353CC}">
              <c16:uniqueId val="{00000000-4C9A-49D9-858D-266F5A1960D9}"/>
            </c:ext>
          </c:extLst>
        </c:ser>
        <c:ser>
          <c:idx val="1"/>
          <c:order val="1"/>
          <c:tx>
            <c:strRef>
              <c:f>'Historical adj Ratios'!$B$24</c:f>
              <c:strCache>
                <c:ptCount val="1"/>
                <c:pt idx="0">
                  <c:v>MEDIAN</c:v>
                </c:pt>
              </c:strCache>
            </c:strRef>
          </c:tx>
          <c:spPr>
            <a:ln w="28575" cap="rnd">
              <a:solidFill>
                <a:schemeClr val="accent2"/>
              </a:solidFill>
              <a:round/>
            </a:ln>
            <a:effectLst/>
          </c:spPr>
          <c:marker>
            <c:symbol val="none"/>
          </c:marker>
          <c:val>
            <c:numRef>
              <c:f>'Historical adj Ratios'!$C$24:$K$24</c:f>
              <c:numCache>
                <c:formatCode>0%</c:formatCode>
                <c:ptCount val="9"/>
                <c:pt idx="0">
                  <c:v>-0.38252984945492308</c:v>
                </c:pt>
                <c:pt idx="1">
                  <c:v>9.9816707004764277E-2</c:v>
                </c:pt>
                <c:pt idx="2">
                  <c:v>0.1035260641930344</c:v>
                </c:pt>
                <c:pt idx="3">
                  <c:v>0.21310366026671718</c:v>
                </c:pt>
                <c:pt idx="4">
                  <c:v>0.21854454952712793</c:v>
                </c:pt>
                <c:pt idx="5">
                  <c:v>0.24796796165489404</c:v>
                </c:pt>
                <c:pt idx="6">
                  <c:v>0.21130198915009049</c:v>
                </c:pt>
                <c:pt idx="7">
                  <c:v>0.14903569872395409</c:v>
                </c:pt>
                <c:pt idx="8">
                  <c:v>0.15173848439821699</c:v>
                </c:pt>
              </c:numCache>
            </c:numRef>
          </c:val>
          <c:smooth val="0"/>
          <c:extLst>
            <c:ext xmlns:c16="http://schemas.microsoft.com/office/drawing/2014/chart" uri="{C3380CC4-5D6E-409C-BE32-E72D297353CC}">
              <c16:uniqueId val="{00000001-4C9A-49D9-858D-266F5A1960D9}"/>
            </c:ext>
          </c:extLst>
        </c:ser>
        <c:dLbls>
          <c:showLegendKey val="0"/>
          <c:showVal val="0"/>
          <c:showCatName val="0"/>
          <c:showSerName val="0"/>
          <c:showPercent val="0"/>
          <c:showBubbleSize val="0"/>
        </c:dLbls>
        <c:smooth val="0"/>
        <c:axId val="1730254719"/>
        <c:axId val="1730255135"/>
      </c:lineChart>
      <c:catAx>
        <c:axId val="173025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255135"/>
        <c:crosses val="autoZero"/>
        <c:auto val="1"/>
        <c:lblAlgn val="ctr"/>
        <c:lblOffset val="100"/>
        <c:noMultiLvlLbl val="0"/>
      </c:catAx>
      <c:valAx>
        <c:axId val="173025513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25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CURRENT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Ratios'!$B$35</c:f>
              <c:strCache>
                <c:ptCount val="1"/>
                <c:pt idx="0">
                  <c:v>DAL-US</c:v>
                </c:pt>
              </c:strCache>
            </c:strRef>
          </c:tx>
          <c:spPr>
            <a:ln w="28575" cap="rnd">
              <a:solidFill>
                <a:schemeClr val="accent1"/>
              </a:solidFill>
              <a:round/>
            </a:ln>
            <a:effectLst/>
          </c:spPr>
          <c:marker>
            <c:symbol val="none"/>
          </c:marker>
          <c:val>
            <c:numRef>
              <c:f>'Historical adj Ratios'!$C$35:$K$35</c:f>
              <c:numCache>
                <c:formatCode>0.00</c:formatCode>
                <c:ptCount val="9"/>
                <c:pt idx="0">
                  <c:v>1.0927356062033027</c:v>
                </c:pt>
                <c:pt idx="1">
                  <c:v>0.40828548802217385</c:v>
                </c:pt>
                <c:pt idx="2">
                  <c:v>0.34126386048013779</c:v>
                </c:pt>
                <c:pt idx="3">
                  <c:v>0.42233349485812738</c:v>
                </c:pt>
                <c:pt idx="4">
                  <c:v>0.48894284401863636</c:v>
                </c:pt>
                <c:pt idx="5">
                  <c:v>0.51671801894328417</c:v>
                </c:pt>
                <c:pt idx="6">
                  <c:v>0.7384916168019432</c:v>
                </c:pt>
                <c:pt idx="7">
                  <c:v>0.68195308083663086</c:v>
                </c:pt>
                <c:pt idx="8">
                  <c:v>0.62336096458176338</c:v>
                </c:pt>
              </c:numCache>
            </c:numRef>
          </c:val>
          <c:smooth val="0"/>
          <c:extLst>
            <c:ext xmlns:c16="http://schemas.microsoft.com/office/drawing/2014/chart" uri="{C3380CC4-5D6E-409C-BE32-E72D297353CC}">
              <c16:uniqueId val="{00000000-4C64-4017-8A0B-9730067AB6E1}"/>
            </c:ext>
          </c:extLst>
        </c:ser>
        <c:ser>
          <c:idx val="1"/>
          <c:order val="1"/>
          <c:tx>
            <c:strRef>
              <c:f>'Historical adj Ratios'!$B$41</c:f>
              <c:strCache>
                <c:ptCount val="1"/>
                <c:pt idx="0">
                  <c:v>MEDIAN</c:v>
                </c:pt>
              </c:strCache>
            </c:strRef>
          </c:tx>
          <c:spPr>
            <a:ln w="28575" cap="rnd">
              <a:solidFill>
                <a:schemeClr val="accent2"/>
              </a:solidFill>
              <a:round/>
            </a:ln>
            <a:effectLst/>
          </c:spPr>
          <c:marker>
            <c:symbol val="none"/>
          </c:marker>
          <c:val>
            <c:numRef>
              <c:f>'Historical adj Ratios'!$C$41:$K$41</c:f>
              <c:numCache>
                <c:formatCode>0.00</c:formatCode>
                <c:ptCount val="9"/>
                <c:pt idx="0">
                  <c:v>0.66733690795352996</c:v>
                </c:pt>
                <c:pt idx="1">
                  <c:v>0.63605313092979121</c:v>
                </c:pt>
                <c:pt idx="2">
                  <c:v>0.80119136262099788</c:v>
                </c:pt>
                <c:pt idx="3">
                  <c:v>0.8086785009861932</c:v>
                </c:pt>
                <c:pt idx="4">
                  <c:v>0.92132963988919669</c:v>
                </c:pt>
                <c:pt idx="5">
                  <c:v>0.9833191970596552</c:v>
                </c:pt>
                <c:pt idx="6">
                  <c:v>1.0374474866000292</c:v>
                </c:pt>
                <c:pt idx="7">
                  <c:v>0.92083461184412396</c:v>
                </c:pt>
                <c:pt idx="8">
                  <c:v>1.055185537583254</c:v>
                </c:pt>
              </c:numCache>
            </c:numRef>
          </c:val>
          <c:smooth val="0"/>
          <c:extLst>
            <c:ext xmlns:c16="http://schemas.microsoft.com/office/drawing/2014/chart" uri="{C3380CC4-5D6E-409C-BE32-E72D297353CC}">
              <c16:uniqueId val="{00000001-4C64-4017-8A0B-9730067AB6E1}"/>
            </c:ext>
          </c:extLst>
        </c:ser>
        <c:dLbls>
          <c:showLegendKey val="0"/>
          <c:showVal val="0"/>
          <c:showCatName val="0"/>
          <c:showSerName val="0"/>
          <c:showPercent val="0"/>
          <c:showBubbleSize val="0"/>
        </c:dLbls>
        <c:smooth val="0"/>
        <c:axId val="169852495"/>
        <c:axId val="169852079"/>
      </c:lineChart>
      <c:catAx>
        <c:axId val="1698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52079"/>
        <c:crosses val="autoZero"/>
        <c:auto val="1"/>
        <c:lblAlgn val="ctr"/>
        <c:lblOffset val="100"/>
        <c:noMultiLvlLbl val="0"/>
      </c:catAx>
      <c:valAx>
        <c:axId val="1698520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52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 RETURN ON REAL ASSETS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Ratios'!$B$26</c:f>
              <c:strCache>
                <c:ptCount val="1"/>
                <c:pt idx="0">
                  <c:v>DAL-US</c:v>
                </c:pt>
              </c:strCache>
            </c:strRef>
          </c:tx>
          <c:spPr>
            <a:ln w="28575" cap="rnd">
              <a:solidFill>
                <a:schemeClr val="accent1"/>
              </a:solidFill>
              <a:round/>
            </a:ln>
            <a:effectLst/>
          </c:spPr>
          <c:marker>
            <c:symbol val="none"/>
          </c:marker>
          <c:val>
            <c:numRef>
              <c:f>'Historical adj Ratios'!$C$26:$K$26</c:f>
              <c:numCache>
                <c:formatCode>0.0%</c:formatCode>
                <c:ptCount val="9"/>
                <c:pt idx="0">
                  <c:v>-0.1753073691571507</c:v>
                </c:pt>
                <c:pt idx="1">
                  <c:v>0.17551248468094893</c:v>
                </c:pt>
                <c:pt idx="2">
                  <c:v>0.15554971148090757</c:v>
                </c:pt>
                <c:pt idx="3">
                  <c:v>0.19921607237259562</c:v>
                </c:pt>
                <c:pt idx="4">
                  <c:v>0.25053455742569652</c:v>
                </c:pt>
                <c:pt idx="5">
                  <c:v>0.28486138008399692</c:v>
                </c:pt>
                <c:pt idx="6">
                  <c:v>0.18392545514935249</c:v>
                </c:pt>
                <c:pt idx="7">
                  <c:v>0.89587520215913519</c:v>
                </c:pt>
                <c:pt idx="8">
                  <c:v>0.2048337735344716</c:v>
                </c:pt>
              </c:numCache>
            </c:numRef>
          </c:val>
          <c:smooth val="0"/>
          <c:extLst>
            <c:ext xmlns:c16="http://schemas.microsoft.com/office/drawing/2014/chart" uri="{C3380CC4-5D6E-409C-BE32-E72D297353CC}">
              <c16:uniqueId val="{00000000-F987-494B-BD22-3CE679363323}"/>
            </c:ext>
          </c:extLst>
        </c:ser>
        <c:ser>
          <c:idx val="1"/>
          <c:order val="1"/>
          <c:tx>
            <c:strRef>
              <c:f>'Historical adj Ratios'!$B$32</c:f>
              <c:strCache>
                <c:ptCount val="1"/>
                <c:pt idx="0">
                  <c:v>MEDIAN</c:v>
                </c:pt>
              </c:strCache>
            </c:strRef>
          </c:tx>
          <c:spPr>
            <a:ln w="28575" cap="rnd">
              <a:solidFill>
                <a:schemeClr val="accent2"/>
              </a:solidFill>
              <a:round/>
            </a:ln>
            <a:effectLst/>
          </c:spPr>
          <c:marker>
            <c:symbol val="none"/>
          </c:marker>
          <c:val>
            <c:numRef>
              <c:f>'Historical adj Ratios'!$C$32:$K$32</c:f>
              <c:numCache>
                <c:formatCode>0%</c:formatCode>
                <c:ptCount val="9"/>
                <c:pt idx="0">
                  <c:v>-0.14163133874744366</c:v>
                </c:pt>
                <c:pt idx="1">
                  <c:v>0.16176408363998326</c:v>
                </c:pt>
                <c:pt idx="2">
                  <c:v>0.11632317527276566</c:v>
                </c:pt>
                <c:pt idx="3">
                  <c:v>0.42670370076310793</c:v>
                </c:pt>
                <c:pt idx="4">
                  <c:v>0.32604048722663281</c:v>
                </c:pt>
                <c:pt idx="5">
                  <c:v>0.4950770231224555</c:v>
                </c:pt>
                <c:pt idx="6">
                  <c:v>0.44533865896934549</c:v>
                </c:pt>
                <c:pt idx="7">
                  <c:v>0.20222246390653595</c:v>
                </c:pt>
                <c:pt idx="8">
                  <c:v>0.29497300414549504</c:v>
                </c:pt>
              </c:numCache>
            </c:numRef>
          </c:val>
          <c:smooth val="0"/>
          <c:extLst>
            <c:ext xmlns:c16="http://schemas.microsoft.com/office/drawing/2014/chart" uri="{C3380CC4-5D6E-409C-BE32-E72D297353CC}">
              <c16:uniqueId val="{00000001-F987-494B-BD22-3CE679363323}"/>
            </c:ext>
          </c:extLst>
        </c:ser>
        <c:dLbls>
          <c:showLegendKey val="0"/>
          <c:showVal val="0"/>
          <c:showCatName val="0"/>
          <c:showSerName val="0"/>
          <c:showPercent val="0"/>
          <c:showBubbleSize val="0"/>
        </c:dLbls>
        <c:smooth val="0"/>
        <c:axId val="1988346495"/>
        <c:axId val="1988346079"/>
      </c:lineChart>
      <c:catAx>
        <c:axId val="198834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346079"/>
        <c:crosses val="autoZero"/>
        <c:auto val="1"/>
        <c:lblAlgn val="ctr"/>
        <c:lblOffset val="100"/>
        <c:noMultiLvlLbl val="0"/>
      </c:catAx>
      <c:valAx>
        <c:axId val="198834607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346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CASH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Ratios'!$B$43</c:f>
              <c:strCache>
                <c:ptCount val="1"/>
                <c:pt idx="0">
                  <c:v>DAL-US</c:v>
                </c:pt>
              </c:strCache>
            </c:strRef>
          </c:tx>
          <c:spPr>
            <a:ln w="28575" cap="rnd">
              <a:solidFill>
                <a:schemeClr val="accent1"/>
              </a:solidFill>
              <a:round/>
            </a:ln>
            <a:effectLst/>
          </c:spPr>
          <c:marker>
            <c:symbol val="none"/>
          </c:marker>
          <c:val>
            <c:numRef>
              <c:f>'Historical adj Ratios'!$C$43:$K$43</c:f>
              <c:numCache>
                <c:formatCode>0.00</c:formatCode>
                <c:ptCount val="9"/>
                <c:pt idx="0">
                  <c:v>0.89709298675205629</c:v>
                </c:pt>
                <c:pt idx="1">
                  <c:v>0.15313799247673726</c:v>
                </c:pt>
                <c:pt idx="2">
                  <c:v>9.769619980622242E-2</c:v>
                </c:pt>
                <c:pt idx="3">
                  <c:v>0.14208797717116242</c:v>
                </c:pt>
                <c:pt idx="4">
                  <c:v>0.23899205984644659</c:v>
                </c:pt>
                <c:pt idx="5">
                  <c:v>0.30948305374871621</c:v>
                </c:pt>
                <c:pt idx="6">
                  <c:v>0.25967178150364356</c:v>
                </c:pt>
                <c:pt idx="7">
                  <c:v>0.27734595816845675</c:v>
                </c:pt>
                <c:pt idx="8">
                  <c:v>0.28251695553880934</c:v>
                </c:pt>
              </c:numCache>
            </c:numRef>
          </c:val>
          <c:smooth val="0"/>
          <c:extLst>
            <c:ext xmlns:c16="http://schemas.microsoft.com/office/drawing/2014/chart" uri="{C3380CC4-5D6E-409C-BE32-E72D297353CC}">
              <c16:uniqueId val="{00000000-120E-4824-B50E-E973DF22657F}"/>
            </c:ext>
          </c:extLst>
        </c:ser>
        <c:ser>
          <c:idx val="1"/>
          <c:order val="1"/>
          <c:tx>
            <c:strRef>
              <c:f>'Historical adj Ratios'!$B$49</c:f>
              <c:strCache>
                <c:ptCount val="1"/>
                <c:pt idx="0">
                  <c:v>MEDIAN</c:v>
                </c:pt>
              </c:strCache>
            </c:strRef>
          </c:tx>
          <c:spPr>
            <a:ln w="28575" cap="rnd">
              <a:solidFill>
                <a:schemeClr val="accent2"/>
              </a:solidFill>
              <a:round/>
            </a:ln>
            <a:effectLst/>
          </c:spPr>
          <c:marker>
            <c:symbol val="none"/>
          </c:marker>
          <c:val>
            <c:numRef>
              <c:f>'Historical adj Ratios'!$C$49:$K$49</c:f>
              <c:numCache>
                <c:formatCode>0.00</c:formatCode>
                <c:ptCount val="9"/>
                <c:pt idx="0">
                  <c:v>0.47516401124648544</c:v>
                </c:pt>
                <c:pt idx="1">
                  <c:v>0.46666666666666667</c:v>
                </c:pt>
                <c:pt idx="2">
                  <c:v>0.60349962769918097</c:v>
                </c:pt>
                <c:pt idx="3">
                  <c:v>0.62327416173570016</c:v>
                </c:pt>
                <c:pt idx="4">
                  <c:v>0.66564397494204752</c:v>
                </c:pt>
                <c:pt idx="5">
                  <c:v>0.66836301950805765</c:v>
                </c:pt>
                <c:pt idx="6">
                  <c:v>0.74503838910618569</c:v>
                </c:pt>
                <c:pt idx="7">
                  <c:v>0.6387096774193548</c:v>
                </c:pt>
                <c:pt idx="8">
                  <c:v>0.69358041032428852</c:v>
                </c:pt>
              </c:numCache>
            </c:numRef>
          </c:val>
          <c:smooth val="0"/>
          <c:extLst>
            <c:ext xmlns:c16="http://schemas.microsoft.com/office/drawing/2014/chart" uri="{C3380CC4-5D6E-409C-BE32-E72D297353CC}">
              <c16:uniqueId val="{00000001-120E-4824-B50E-E973DF22657F}"/>
            </c:ext>
          </c:extLst>
        </c:ser>
        <c:dLbls>
          <c:showLegendKey val="0"/>
          <c:showVal val="0"/>
          <c:showCatName val="0"/>
          <c:showSerName val="0"/>
          <c:showPercent val="0"/>
          <c:showBubbleSize val="0"/>
        </c:dLbls>
        <c:smooth val="0"/>
        <c:axId val="1972014863"/>
        <c:axId val="1972015279"/>
      </c:lineChart>
      <c:catAx>
        <c:axId val="197201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015279"/>
        <c:crosses val="autoZero"/>
        <c:auto val="1"/>
        <c:lblAlgn val="ctr"/>
        <c:lblOffset val="100"/>
        <c:noMultiLvlLbl val="0"/>
      </c:catAx>
      <c:valAx>
        <c:axId val="1972015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01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a:t>
            </a:r>
            <a:r>
              <a:rPr lang="en-US" baseline="0"/>
              <a:t> </a:t>
            </a:r>
            <a:r>
              <a:rPr lang="en-US"/>
              <a:t>ROE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Ratios'!$B$92</c:f>
              <c:strCache>
                <c:ptCount val="1"/>
                <c:pt idx="0">
                  <c:v>DAL-US</c:v>
                </c:pt>
              </c:strCache>
            </c:strRef>
          </c:tx>
          <c:spPr>
            <a:ln w="28575" cap="rnd">
              <a:solidFill>
                <a:schemeClr val="accent1"/>
              </a:solidFill>
              <a:round/>
            </a:ln>
            <a:effectLst/>
          </c:spPr>
          <c:marker>
            <c:symbol val="none"/>
          </c:marker>
          <c:val>
            <c:numRef>
              <c:f>'Historical adj Ratios'!$C$92:$K$92</c:f>
              <c:numCache>
                <c:formatCode>0%</c:formatCode>
                <c:ptCount val="9"/>
                <c:pt idx="0">
                  <c:v>-0.22280170067638472</c:v>
                </c:pt>
                <c:pt idx="1">
                  <c:v>0.15258190788877843</c:v>
                </c:pt>
                <c:pt idx="2">
                  <c:v>0.13860744896118599</c:v>
                </c:pt>
                <c:pt idx="3">
                  <c:v>0.14293716099202997</c:v>
                </c:pt>
                <c:pt idx="4">
                  <c:v>0.17112643887740228</c:v>
                </c:pt>
                <c:pt idx="5">
                  <c:v>0.17626061056732931</c:v>
                </c:pt>
                <c:pt idx="6">
                  <c:v>0.10247533649820187</c:v>
                </c:pt>
                <c:pt idx="7">
                  <c:v>0.1160683164505074</c:v>
                </c:pt>
                <c:pt idx="8">
                  <c:v>0.23280206914841853</c:v>
                </c:pt>
              </c:numCache>
            </c:numRef>
          </c:val>
          <c:smooth val="0"/>
          <c:extLst>
            <c:ext xmlns:c16="http://schemas.microsoft.com/office/drawing/2014/chart" uri="{C3380CC4-5D6E-409C-BE32-E72D297353CC}">
              <c16:uniqueId val="{00000000-1D16-4DF3-916F-01B15D50CB8E}"/>
            </c:ext>
          </c:extLst>
        </c:ser>
        <c:ser>
          <c:idx val="1"/>
          <c:order val="1"/>
          <c:tx>
            <c:strRef>
              <c:f>'Historical adj Ratios'!$B$98</c:f>
              <c:strCache>
                <c:ptCount val="1"/>
                <c:pt idx="0">
                  <c:v>MEDIAN</c:v>
                </c:pt>
              </c:strCache>
            </c:strRef>
          </c:tx>
          <c:spPr>
            <a:ln w="28575" cap="rnd">
              <a:solidFill>
                <a:schemeClr val="accent2"/>
              </a:solidFill>
              <a:round/>
            </a:ln>
            <a:effectLst/>
          </c:spPr>
          <c:marker>
            <c:symbol val="none"/>
          </c:marker>
          <c:val>
            <c:numRef>
              <c:f>'Historical adj Ratios'!$C$98:$K$98</c:f>
              <c:numCache>
                <c:formatCode>0%</c:formatCode>
                <c:ptCount val="9"/>
                <c:pt idx="0">
                  <c:v>-0.18921963744049908</c:v>
                </c:pt>
                <c:pt idx="1">
                  <c:v>0.14702817710679605</c:v>
                </c:pt>
                <c:pt idx="2">
                  <c:v>0.12920991402362847</c:v>
                </c:pt>
                <c:pt idx="3">
                  <c:v>0.33124464289209377</c:v>
                </c:pt>
                <c:pt idx="4">
                  <c:v>0.31524225028857389</c:v>
                </c:pt>
                <c:pt idx="5">
                  <c:v>0.32540270269781446</c:v>
                </c:pt>
                <c:pt idx="6">
                  <c:v>0.2651776438203331</c:v>
                </c:pt>
                <c:pt idx="7">
                  <c:v>0.37361396680737657</c:v>
                </c:pt>
                <c:pt idx="8">
                  <c:v>0.41597250282914933</c:v>
                </c:pt>
              </c:numCache>
            </c:numRef>
          </c:val>
          <c:smooth val="0"/>
          <c:extLst>
            <c:ext xmlns:c16="http://schemas.microsoft.com/office/drawing/2014/chart" uri="{C3380CC4-5D6E-409C-BE32-E72D297353CC}">
              <c16:uniqueId val="{00000001-1D16-4DF3-916F-01B15D50CB8E}"/>
            </c:ext>
          </c:extLst>
        </c:ser>
        <c:dLbls>
          <c:showLegendKey val="0"/>
          <c:showVal val="0"/>
          <c:showCatName val="0"/>
          <c:showSerName val="0"/>
          <c:showPercent val="0"/>
          <c:showBubbleSize val="0"/>
        </c:dLbls>
        <c:smooth val="0"/>
        <c:axId val="1799159327"/>
        <c:axId val="1799158079"/>
      </c:lineChart>
      <c:catAx>
        <c:axId val="179915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158079"/>
        <c:crosses val="autoZero"/>
        <c:auto val="1"/>
        <c:lblAlgn val="ctr"/>
        <c:lblOffset val="100"/>
        <c:noMultiLvlLbl val="0"/>
      </c:catAx>
      <c:valAx>
        <c:axId val="1799158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159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 Assets-to-Equity ratio</a:t>
            </a:r>
          </a:p>
        </c:rich>
      </c:tx>
      <c:layout>
        <c:manualLayout>
          <c:xMode val="edge"/>
          <c:yMode val="edge"/>
          <c:x val="0.29475678040244968"/>
          <c:y val="2.74914089347079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Ratios'!$B$84</c:f>
              <c:strCache>
                <c:ptCount val="1"/>
                <c:pt idx="0">
                  <c:v>DAL-US</c:v>
                </c:pt>
              </c:strCache>
            </c:strRef>
          </c:tx>
          <c:spPr>
            <a:ln w="28575" cap="rnd">
              <a:solidFill>
                <a:schemeClr val="accent1"/>
              </a:solidFill>
              <a:round/>
            </a:ln>
            <a:effectLst/>
          </c:spPr>
          <c:marker>
            <c:symbol val="none"/>
          </c:marker>
          <c:val>
            <c:numRef>
              <c:f>'Historical adj Ratios'!$C$84:$K$84</c:f>
              <c:numCache>
                <c:formatCode>0.00</c:formatCode>
                <c:ptCount val="9"/>
                <c:pt idx="0">
                  <c:v>2.807595384492338</c:v>
                </c:pt>
                <c:pt idx="1">
                  <c:v>1.7062242985261613</c:v>
                </c:pt>
                <c:pt idx="2">
                  <c:v>1.7615263563312431</c:v>
                </c:pt>
                <c:pt idx="3">
                  <c:v>1.4644911454965632</c:v>
                </c:pt>
                <c:pt idx="4">
                  <c:v>1.598831254541119</c:v>
                </c:pt>
                <c:pt idx="5">
                  <c:v>1.5209312056633244</c:v>
                </c:pt>
                <c:pt idx="6">
                  <c:v>1.3146016389936483</c:v>
                </c:pt>
                <c:pt idx="7">
                  <c:v>2.527205456101004</c:v>
                </c:pt>
                <c:pt idx="8">
                  <c:v>4.4131450493860038</c:v>
                </c:pt>
              </c:numCache>
            </c:numRef>
          </c:val>
          <c:smooth val="0"/>
          <c:extLst>
            <c:ext xmlns:c16="http://schemas.microsoft.com/office/drawing/2014/chart" uri="{C3380CC4-5D6E-409C-BE32-E72D297353CC}">
              <c16:uniqueId val="{00000000-E69C-4B8A-9649-AA14E764E619}"/>
            </c:ext>
          </c:extLst>
        </c:ser>
        <c:ser>
          <c:idx val="1"/>
          <c:order val="1"/>
          <c:tx>
            <c:strRef>
              <c:f>'Historical adj Ratios'!$B$90</c:f>
              <c:strCache>
                <c:ptCount val="1"/>
                <c:pt idx="0">
                  <c:v>MEDIAN</c:v>
                </c:pt>
              </c:strCache>
            </c:strRef>
          </c:tx>
          <c:spPr>
            <a:ln w="28575" cap="rnd">
              <a:solidFill>
                <a:schemeClr val="accent2"/>
              </a:solidFill>
              <a:round/>
            </a:ln>
            <a:effectLst/>
          </c:spPr>
          <c:marker>
            <c:symbol val="none"/>
          </c:marker>
          <c:val>
            <c:numRef>
              <c:f>'Historical adj Ratios'!$C$90:$K$90</c:f>
              <c:numCache>
                <c:formatCode>0.00</c:formatCode>
                <c:ptCount val="9"/>
                <c:pt idx="0">
                  <c:v>3.5681471941548275</c:v>
                </c:pt>
                <c:pt idx="1">
                  <c:v>2.0428729977644484</c:v>
                </c:pt>
                <c:pt idx="2">
                  <c:v>2.9105721886796032</c:v>
                </c:pt>
                <c:pt idx="3">
                  <c:v>1.9886204720793339</c:v>
                </c:pt>
                <c:pt idx="4">
                  <c:v>2.5686791291881583</c:v>
                </c:pt>
                <c:pt idx="5">
                  <c:v>2.2532714472390563</c:v>
                </c:pt>
                <c:pt idx="6">
                  <c:v>1.4453556056595793</c:v>
                </c:pt>
                <c:pt idx="7">
                  <c:v>5.1328591303029523</c:v>
                </c:pt>
                <c:pt idx="8">
                  <c:v>3.8362512347685622</c:v>
                </c:pt>
              </c:numCache>
            </c:numRef>
          </c:val>
          <c:smooth val="0"/>
          <c:extLst>
            <c:ext xmlns:c16="http://schemas.microsoft.com/office/drawing/2014/chart" uri="{C3380CC4-5D6E-409C-BE32-E72D297353CC}">
              <c16:uniqueId val="{00000001-E69C-4B8A-9649-AA14E764E619}"/>
            </c:ext>
          </c:extLst>
        </c:ser>
        <c:dLbls>
          <c:showLegendKey val="0"/>
          <c:showVal val="0"/>
          <c:showCatName val="0"/>
          <c:showSerName val="0"/>
          <c:showPercent val="0"/>
          <c:showBubbleSize val="0"/>
        </c:dLbls>
        <c:smooth val="0"/>
        <c:axId val="169847087"/>
        <c:axId val="169847503"/>
      </c:lineChart>
      <c:catAx>
        <c:axId val="16984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47503"/>
        <c:crosses val="autoZero"/>
        <c:auto val="1"/>
        <c:lblAlgn val="ctr"/>
        <c:lblOffset val="100"/>
        <c:noMultiLvlLbl val="0"/>
      </c:catAx>
      <c:valAx>
        <c:axId val="1698475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47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ADJ</a:t>
            </a:r>
            <a:r>
              <a:rPr lang="en-US" baseline="0"/>
              <a:t> INTEREST COVERAGE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Ratios'!$B$101</c:f>
              <c:strCache>
                <c:ptCount val="1"/>
                <c:pt idx="0">
                  <c:v>DAL-US</c:v>
                </c:pt>
              </c:strCache>
            </c:strRef>
          </c:tx>
          <c:spPr>
            <a:ln w="28575" cap="rnd">
              <a:solidFill>
                <a:schemeClr val="accent1"/>
              </a:solidFill>
              <a:round/>
            </a:ln>
            <a:effectLst/>
          </c:spPr>
          <c:marker>
            <c:symbol val="none"/>
          </c:marker>
          <c:val>
            <c:numRef>
              <c:f>'Historical adj Ratios'!$C$101:$K$101</c:f>
              <c:numCache>
                <c:formatCode>0.00</c:formatCode>
                <c:ptCount val="9"/>
                <c:pt idx="0">
                  <c:v>-7.6620021528525308</c:v>
                </c:pt>
                <c:pt idx="1">
                  <c:v>28.003322259136201</c:v>
                </c:pt>
                <c:pt idx="2">
                  <c:v>22.475884244373006</c:v>
                </c:pt>
                <c:pt idx="3">
                  <c:v>21.297979797979799</c:v>
                </c:pt>
                <c:pt idx="4">
                  <c:v>23.88402061855669</c:v>
                </c:pt>
                <c:pt idx="5">
                  <c:v>21.575883575883577</c:v>
                </c:pt>
                <c:pt idx="6">
                  <c:v>10.599353796445879</c:v>
                </c:pt>
                <c:pt idx="7">
                  <c:v>5.5093896713614994</c:v>
                </c:pt>
                <c:pt idx="8">
                  <c:v>4.3099999999999987</c:v>
                </c:pt>
              </c:numCache>
            </c:numRef>
          </c:val>
          <c:smooth val="0"/>
          <c:extLst>
            <c:ext xmlns:c16="http://schemas.microsoft.com/office/drawing/2014/chart" uri="{C3380CC4-5D6E-409C-BE32-E72D297353CC}">
              <c16:uniqueId val="{00000000-E5F5-40AF-B0DD-5514D3B6CC07}"/>
            </c:ext>
          </c:extLst>
        </c:ser>
        <c:ser>
          <c:idx val="1"/>
          <c:order val="1"/>
          <c:tx>
            <c:strRef>
              <c:f>'Historical adj Ratios'!$B$107</c:f>
              <c:strCache>
                <c:ptCount val="1"/>
                <c:pt idx="0">
                  <c:v>MEDIAN</c:v>
                </c:pt>
              </c:strCache>
            </c:strRef>
          </c:tx>
          <c:spPr>
            <a:ln w="28575" cap="rnd">
              <a:solidFill>
                <a:schemeClr val="accent2"/>
              </a:solidFill>
              <a:round/>
            </a:ln>
            <a:effectLst/>
          </c:spPr>
          <c:marker>
            <c:symbol val="none"/>
          </c:marker>
          <c:val>
            <c:numRef>
              <c:f>'Historical adj Ratios'!$C$107:$K$107</c:f>
              <c:numCache>
                <c:formatCode>0.00</c:formatCode>
                <c:ptCount val="9"/>
                <c:pt idx="0">
                  <c:v>-6.5069274653626739</c:v>
                </c:pt>
                <c:pt idx="1">
                  <c:v>4.9375000000000009</c:v>
                </c:pt>
                <c:pt idx="2">
                  <c:v>2.7616454930429519</c:v>
                </c:pt>
                <c:pt idx="3">
                  <c:v>10.338729763387297</c:v>
                </c:pt>
                <c:pt idx="4">
                  <c:v>6.2103703703703701</c:v>
                </c:pt>
                <c:pt idx="5">
                  <c:v>6.1816208393632417</c:v>
                </c:pt>
                <c:pt idx="6">
                  <c:v>6.2421875</c:v>
                </c:pt>
                <c:pt idx="7">
                  <c:v>3.1126968503937005</c:v>
                </c:pt>
                <c:pt idx="8">
                  <c:v>6.4703448704460804</c:v>
                </c:pt>
              </c:numCache>
            </c:numRef>
          </c:val>
          <c:smooth val="0"/>
          <c:extLst>
            <c:ext xmlns:c16="http://schemas.microsoft.com/office/drawing/2014/chart" uri="{C3380CC4-5D6E-409C-BE32-E72D297353CC}">
              <c16:uniqueId val="{00000001-E5F5-40AF-B0DD-5514D3B6CC07}"/>
            </c:ext>
          </c:extLst>
        </c:ser>
        <c:dLbls>
          <c:showLegendKey val="0"/>
          <c:showVal val="0"/>
          <c:showCatName val="0"/>
          <c:showSerName val="0"/>
          <c:showPercent val="0"/>
          <c:showBubbleSize val="0"/>
        </c:dLbls>
        <c:smooth val="0"/>
        <c:axId val="169847919"/>
        <c:axId val="169848335"/>
      </c:lineChart>
      <c:catAx>
        <c:axId val="16984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48335"/>
        <c:crosses val="autoZero"/>
        <c:auto val="1"/>
        <c:lblAlgn val="ctr"/>
        <c:lblOffset val="100"/>
        <c:noMultiLvlLbl val="0"/>
      </c:catAx>
      <c:valAx>
        <c:axId val="1698483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47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DEBT-TO-ASSETS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'Historical adj Ratios'!$B$109</c:f>
              <c:strCache>
                <c:ptCount val="1"/>
                <c:pt idx="0">
                  <c:v>DAL-US</c:v>
                </c:pt>
              </c:strCache>
            </c:strRef>
          </c:tx>
          <c:spPr>
            <a:ln w="28575" cap="rnd">
              <a:solidFill>
                <a:schemeClr val="accent1"/>
              </a:solidFill>
              <a:round/>
            </a:ln>
            <a:effectLst/>
          </c:spPr>
          <c:marker>
            <c:symbol val="none"/>
          </c:marker>
          <c:val>
            <c:numRef>
              <c:f>'Historical adj Ratios'!$C$109:$K$109</c:f>
              <c:numCache>
                <c:formatCode>0.00</c:formatCode>
                <c:ptCount val="9"/>
                <c:pt idx="0">
                  <c:v>0.9786932607367077</c:v>
                </c:pt>
                <c:pt idx="1">
                  <c:v>0.7620095456517697</c:v>
                </c:pt>
                <c:pt idx="2">
                  <c:v>0.77289018683834998</c:v>
                </c:pt>
                <c:pt idx="3">
                  <c:v>0.76210835955671086</c:v>
                </c:pt>
                <c:pt idx="4">
                  <c:v>0.79138864836414879</c:v>
                </c:pt>
                <c:pt idx="5">
                  <c:v>0.82105749249595938</c:v>
                </c:pt>
                <c:pt idx="6">
                  <c:v>0.83716117588366801</c:v>
                </c:pt>
                <c:pt idx="7">
                  <c:v>0.80397009798969588</c:v>
                </c:pt>
                <c:pt idx="8">
                  <c:v>1.0478338945005612</c:v>
                </c:pt>
              </c:numCache>
            </c:numRef>
          </c:val>
          <c:smooth val="0"/>
          <c:extLst>
            <c:ext xmlns:c16="http://schemas.microsoft.com/office/drawing/2014/chart" uri="{C3380CC4-5D6E-409C-BE32-E72D297353CC}">
              <c16:uniqueId val="{00000000-1D08-4CBA-8211-1AAF99C03B1D}"/>
            </c:ext>
          </c:extLst>
        </c:ser>
        <c:ser>
          <c:idx val="1"/>
          <c:order val="1"/>
          <c:tx>
            <c:strRef>
              <c:f>'Historical adj Ratios'!$B$115</c:f>
              <c:strCache>
                <c:ptCount val="1"/>
                <c:pt idx="0">
                  <c:v>MEDIAN</c:v>
                </c:pt>
              </c:strCache>
            </c:strRef>
          </c:tx>
          <c:spPr>
            <a:ln w="28575" cap="rnd">
              <a:solidFill>
                <a:schemeClr val="accent2"/>
              </a:solidFill>
              <a:round/>
            </a:ln>
            <a:effectLst/>
          </c:spPr>
          <c:marker>
            <c:symbol val="none"/>
          </c:marker>
          <c:val>
            <c:numRef>
              <c:f>'Historical adj Ratios'!$C$115:$K$115</c:f>
              <c:numCache>
                <c:formatCode>0.00</c:formatCode>
                <c:ptCount val="9"/>
                <c:pt idx="0">
                  <c:v>0.80378250591016553</c:v>
                </c:pt>
                <c:pt idx="1">
                  <c:v>0.69066495250339266</c:v>
                </c:pt>
                <c:pt idx="2">
                  <c:v>0.72447634954512519</c:v>
                </c:pt>
                <c:pt idx="3">
                  <c:v>0.74988716301541292</c:v>
                </c:pt>
                <c:pt idx="4">
                  <c:v>0.76839991965975629</c:v>
                </c:pt>
                <c:pt idx="5">
                  <c:v>0.72178747713565239</c:v>
                </c:pt>
                <c:pt idx="6">
                  <c:v>0.75350295532410883</c:v>
                </c:pt>
                <c:pt idx="7">
                  <c:v>0.75214407545461726</c:v>
                </c:pt>
                <c:pt idx="8">
                  <c:v>0.77522733648769349</c:v>
                </c:pt>
              </c:numCache>
            </c:numRef>
          </c:val>
          <c:smooth val="0"/>
          <c:extLst>
            <c:ext xmlns:c16="http://schemas.microsoft.com/office/drawing/2014/chart" uri="{C3380CC4-5D6E-409C-BE32-E72D297353CC}">
              <c16:uniqueId val="{00000001-1D08-4CBA-8211-1AAF99C03B1D}"/>
            </c:ext>
          </c:extLst>
        </c:ser>
        <c:dLbls>
          <c:showLegendKey val="0"/>
          <c:showVal val="0"/>
          <c:showCatName val="0"/>
          <c:showSerName val="0"/>
          <c:showPercent val="0"/>
          <c:showBubbleSize val="0"/>
        </c:dLbls>
        <c:smooth val="0"/>
        <c:axId val="734810719"/>
        <c:axId val="734806143"/>
      </c:lineChart>
      <c:catAx>
        <c:axId val="73481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06143"/>
        <c:crosses val="autoZero"/>
        <c:auto val="1"/>
        <c:lblAlgn val="ctr"/>
        <c:lblOffset val="100"/>
        <c:noMultiLvlLbl val="0"/>
      </c:catAx>
      <c:valAx>
        <c:axId val="7348061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10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653326972940737E-2"/>
          <c:y val="6.1909172042013648E-2"/>
          <c:w val="0.8872092419269787"/>
          <c:h val="0.8368997365139873"/>
        </c:manualLayout>
      </c:layout>
      <c:scatterChart>
        <c:scatterStyle val="lineMarker"/>
        <c:varyColors val="0"/>
        <c:ser>
          <c:idx val="0"/>
          <c:order val="0"/>
          <c:tx>
            <c:v>Tägliche Renditen</c:v>
          </c:tx>
          <c:spPr>
            <a:ln w="28575">
              <a:noFill/>
            </a:ln>
          </c:spPr>
          <c:marker>
            <c:symbol val="circle"/>
            <c:size val="2"/>
          </c:marker>
          <c:xVal>
            <c:numRef>
              <c:f>'Delta Beta'!$M$4:$M$2518</c:f>
              <c:numCache>
                <c:formatCode>0.00%</c:formatCode>
                <c:ptCount val="2515"/>
                <c:pt idx="0">
                  <c:v>-8.3496321491559514E-2</c:v>
                </c:pt>
                <c:pt idx="1">
                  <c:v>3.9475588160888695E-3</c:v>
                </c:pt>
                <c:pt idx="2">
                  <c:v>-6.1346995222529956E-3</c:v>
                </c:pt>
                <c:pt idx="3">
                  <c:v>1.9156210632402693E-3</c:v>
                </c:pt>
                <c:pt idx="4">
                  <c:v>-1.0817846460618129E-2</c:v>
                </c:pt>
                <c:pt idx="5">
                  <c:v>-1.459275362318847E-2</c:v>
                </c:pt>
                <c:pt idx="6">
                  <c:v>-8.1409356725146258E-3</c:v>
                </c:pt>
                <c:pt idx="7">
                  <c:v>-3.1718688060405911E-2</c:v>
                </c:pt>
                <c:pt idx="8">
                  <c:v>3.6896731406916741E-3</c:v>
                </c:pt>
                <c:pt idx="9">
                  <c:v>-2.8408400460299254E-2</c:v>
                </c:pt>
                <c:pt idx="10">
                  <c:v>-6.048295584534358E-3</c:v>
                </c:pt>
                <c:pt idx="11">
                  <c:v>-1.8514551987424254E-2</c:v>
                </c:pt>
                <c:pt idx="12">
                  <c:v>-2.7875699888017078E-3</c:v>
                </c:pt>
                <c:pt idx="13">
                  <c:v>8.0282456536464493E-3</c:v>
                </c:pt>
                <c:pt idx="14">
                  <c:v>8.0407440839229002E-2</c:v>
                </c:pt>
                <c:pt idx="15">
                  <c:v>-6.1620756547041801E-3</c:v>
                </c:pt>
                <c:pt idx="16">
                  <c:v>2.094481307254269E-2</c:v>
                </c:pt>
                <c:pt idx="17">
                  <c:v>-8.4220682830283829E-4</c:v>
                </c:pt>
                <c:pt idx="18">
                  <c:v>3.2867032967032847E-2</c:v>
                </c:pt>
                <c:pt idx="19">
                  <c:v>-6.1085568326936231E-4</c:v>
                </c:pt>
                <c:pt idx="20">
                  <c:v>1.9476068594830199E-3</c:v>
                </c:pt>
                <c:pt idx="21">
                  <c:v>-1.6216847141777856E-2</c:v>
                </c:pt>
                <c:pt idx="22">
                  <c:v>4.9620096178184412E-3</c:v>
                </c:pt>
                <c:pt idx="23">
                  <c:v>-5.887619526925081E-3</c:v>
                </c:pt>
                <c:pt idx="24">
                  <c:v>-1.643663366336624E-2</c:v>
                </c:pt>
                <c:pt idx="25">
                  <c:v>2.3813895781639063E-3</c:v>
                </c:pt>
                <c:pt idx="26">
                  <c:v>-3.8082818294191798E-3</c:v>
                </c:pt>
                <c:pt idx="27">
                  <c:v>-1.3755206047305412E-2</c:v>
                </c:pt>
                <c:pt idx="28">
                  <c:v>3.8792388387397524E-4</c:v>
                </c:pt>
                <c:pt idx="29">
                  <c:v>-5.1970873786407858E-3</c:v>
                </c:pt>
                <c:pt idx="30">
                  <c:v>4.0433097733365451E-3</c:v>
                </c:pt>
                <c:pt idx="31">
                  <c:v>-5.7748139641708787E-2</c:v>
                </c:pt>
                <c:pt idx="32">
                  <c:v>8.0037277147488768E-3</c:v>
                </c:pt>
                <c:pt idx="33">
                  <c:v>-4.4798985707700358E-3</c:v>
                </c:pt>
                <c:pt idx="34">
                  <c:v>-6.968131868131844E-3</c:v>
                </c:pt>
                <c:pt idx="35">
                  <c:v>-7.8237619263971207E-3</c:v>
                </c:pt>
                <c:pt idx="36">
                  <c:v>-1.6192981671882E-2</c:v>
                </c:pt>
                <c:pt idx="37">
                  <c:v>-4.9932384341636717E-3</c:v>
                </c:pt>
                <c:pt idx="38">
                  <c:v>-9.355178492728166E-3</c:v>
                </c:pt>
                <c:pt idx="39">
                  <c:v>6.4908214034264264E-2</c:v>
                </c:pt>
                <c:pt idx="40">
                  <c:v>-1.7397047970479706E-2</c:v>
                </c:pt>
                <c:pt idx="41">
                  <c:v>-1.9416206261510082E-3</c:v>
                </c:pt>
                <c:pt idx="42">
                  <c:v>-7.8661032434902516E-3</c:v>
                </c:pt>
                <c:pt idx="43">
                  <c:v>5.6431656328967848E-3</c:v>
                </c:pt>
                <c:pt idx="44">
                  <c:v>2.1970908664005629E-2</c:v>
                </c:pt>
                <c:pt idx="45">
                  <c:v>2.3944241404183709E-2</c:v>
                </c:pt>
                <c:pt idx="46">
                  <c:v>3.0375718533201191E-2</c:v>
                </c:pt>
                <c:pt idx="47">
                  <c:v>-1.0399166257969671E-2</c:v>
                </c:pt>
                <c:pt idx="48">
                  <c:v>1.6604063824482641E-2</c:v>
                </c:pt>
                <c:pt idx="49">
                  <c:v>-2.8349577324713435E-3</c:v>
                </c:pt>
                <c:pt idx="50">
                  <c:v>1.4531685166498488E-2</c:v>
                </c:pt>
                <c:pt idx="51">
                  <c:v>4.9709939148074754E-3</c:v>
                </c:pt>
                <c:pt idx="52">
                  <c:v>-1.8517122946739694E-2</c:v>
                </c:pt>
                <c:pt idx="53">
                  <c:v>2.073333333333326E-2</c:v>
                </c:pt>
                <c:pt idx="54">
                  <c:v>-4.2202701387198963E-2</c:v>
                </c:pt>
                <c:pt idx="55">
                  <c:v>3.621778058007584E-2</c:v>
                </c:pt>
                <c:pt idx="56">
                  <c:v>-1.7448203221809188E-2</c:v>
                </c:pt>
                <c:pt idx="57">
                  <c:v>2.3844720496894903E-3</c:v>
                </c:pt>
                <c:pt idx="58">
                  <c:v>-1.4063743263106342E-2</c:v>
                </c:pt>
                <c:pt idx="59">
                  <c:v>1.0296039603960406E-2</c:v>
                </c:pt>
                <c:pt idx="60">
                  <c:v>-1.0891196834816985E-3</c:v>
                </c:pt>
                <c:pt idx="61">
                  <c:v>1.3179879729391154E-2</c:v>
                </c:pt>
                <c:pt idx="62">
                  <c:v>-3.8876493256262204E-2</c:v>
                </c:pt>
                <c:pt idx="63">
                  <c:v>1.8295879323031661E-2</c:v>
                </c:pt>
                <c:pt idx="64">
                  <c:v>-1.2932929782082169E-2</c:v>
                </c:pt>
                <c:pt idx="65">
                  <c:v>1.8898272884283241E-2</c:v>
                </c:pt>
                <c:pt idx="66">
                  <c:v>3.3564881407804212E-2</c:v>
                </c:pt>
                <c:pt idx="67">
                  <c:v>2.8493913955928808E-2</c:v>
                </c:pt>
                <c:pt idx="68">
                  <c:v>4.9092275243869275E-3</c:v>
                </c:pt>
                <c:pt idx="69">
                  <c:v>-1.8728719275549765E-2</c:v>
                </c:pt>
                <c:pt idx="70">
                  <c:v>-3.4522434244456221E-3</c:v>
                </c:pt>
                <c:pt idx="71">
                  <c:v>-2.8900400701227135E-2</c:v>
                </c:pt>
                <c:pt idx="72">
                  <c:v>6.5187969924805915E-4</c:v>
                </c:pt>
                <c:pt idx="73">
                  <c:v>-1.5644041450777257E-2</c:v>
                </c:pt>
                <c:pt idx="74">
                  <c:v>-1.8744067796610097E-2</c:v>
                </c:pt>
                <c:pt idx="75">
                  <c:v>2.0661245674740359E-2</c:v>
                </c:pt>
                <c:pt idx="76">
                  <c:v>2.9678569610587891E-2</c:v>
                </c:pt>
                <c:pt idx="77">
                  <c:v>-2.5645634920634996E-2</c:v>
                </c:pt>
                <c:pt idx="78">
                  <c:v>8.152063015753875E-3</c:v>
                </c:pt>
                <c:pt idx="79">
                  <c:v>4.2664015645371686E-2</c:v>
                </c:pt>
                <c:pt idx="80">
                  <c:v>-3.5805305506663401E-2</c:v>
                </c:pt>
                <c:pt idx="81">
                  <c:v>8.0115335868187094E-3</c:v>
                </c:pt>
                <c:pt idx="82">
                  <c:v>-1.1378195488721665E-2</c:v>
                </c:pt>
                <c:pt idx="83">
                  <c:v>-3.2358064516129006E-2</c:v>
                </c:pt>
                <c:pt idx="84">
                  <c:v>-1.7949152542372615E-3</c:v>
                </c:pt>
                <c:pt idx="85">
                  <c:v>8.2007812500000006E-3</c:v>
                </c:pt>
                <c:pt idx="86">
                  <c:v>-1.7138636909047277E-2</c:v>
                </c:pt>
                <c:pt idx="87">
                  <c:v>3.108040089086871E-2</c:v>
                </c:pt>
                <c:pt idx="88">
                  <c:v>-1.5930491962981141E-2</c:v>
                </c:pt>
                <c:pt idx="89">
                  <c:v>-1.3317976447969181E-2</c:v>
                </c:pt>
                <c:pt idx="90">
                  <c:v>2.326448598130847E-2</c:v>
                </c:pt>
                <c:pt idx="91">
                  <c:v>5.4360580912862874E-2</c:v>
                </c:pt>
                <c:pt idx="92">
                  <c:v>-3.7543834248627075E-2</c:v>
                </c:pt>
                <c:pt idx="93">
                  <c:v>-3.1297097944377197E-2</c:v>
                </c:pt>
                <c:pt idx="94">
                  <c:v>1.6370009832841637E-2</c:v>
                </c:pt>
                <c:pt idx="95">
                  <c:v>-1.5827074764093851E-2</c:v>
                </c:pt>
                <c:pt idx="96">
                  <c:v>-3.5572578763127263E-2</c:v>
                </c:pt>
                <c:pt idx="97">
                  <c:v>-1.7309412861137407E-3</c:v>
                </c:pt>
                <c:pt idx="98">
                  <c:v>2.0104421202757451E-2</c:v>
                </c:pt>
                <c:pt idx="99">
                  <c:v>-1.1148425011753626E-2</c:v>
                </c:pt>
                <c:pt idx="100">
                  <c:v>-1.62887141535616E-2</c:v>
                </c:pt>
                <c:pt idx="101">
                  <c:v>-2.0711551528878724E-2</c:v>
                </c:pt>
                <c:pt idx="102">
                  <c:v>-1.9087271082974921E-3</c:v>
                </c:pt>
                <c:pt idx="103">
                  <c:v>2.232256125751263E-2</c:v>
                </c:pt>
                <c:pt idx="104">
                  <c:v>8.9972708187544444E-3</c:v>
                </c:pt>
                <c:pt idx="105">
                  <c:v>-5.8977736549165162E-3</c:v>
                </c:pt>
                <c:pt idx="106">
                  <c:v>-2.9584582489309074E-2</c:v>
                </c:pt>
                <c:pt idx="107">
                  <c:v>-1.0788042752170945E-2</c:v>
                </c:pt>
                <c:pt idx="108">
                  <c:v>-8.0522862823062639E-3</c:v>
                </c:pt>
                <c:pt idx="109">
                  <c:v>-2.3040996253029908E-3</c:v>
                </c:pt>
                <c:pt idx="110">
                  <c:v>-8.8393489185056955E-3</c:v>
                </c:pt>
                <c:pt idx="111">
                  <c:v>1.7916014234875533E-2</c:v>
                </c:pt>
                <c:pt idx="112">
                  <c:v>8.6502804577070942E-3</c:v>
                </c:pt>
                <c:pt idx="113">
                  <c:v>-2.0969947275922728E-2</c:v>
                </c:pt>
                <c:pt idx="114">
                  <c:v>-3.1963540522729196E-4</c:v>
                </c:pt>
                <c:pt idx="115">
                  <c:v>-8.1610021786491342E-3</c:v>
                </c:pt>
                <c:pt idx="116">
                  <c:v>-1.3003225806451645E-2</c:v>
                </c:pt>
                <c:pt idx="117">
                  <c:v>4.6536732929991385E-3</c:v>
                </c:pt>
                <c:pt idx="118">
                  <c:v>-5.2590713671539892E-3</c:v>
                </c:pt>
                <c:pt idx="119">
                  <c:v>-1.1154421768707411E-2</c:v>
                </c:pt>
                <c:pt idx="120">
                  <c:v>2.073333333333326E-2</c:v>
                </c:pt>
                <c:pt idx="121">
                  <c:v>2.074858634188759E-3</c:v>
                </c:pt>
                <c:pt idx="122">
                  <c:v>-3.3516800346846784E-3</c:v>
                </c:pt>
                <c:pt idx="123">
                  <c:v>-3.4431170190496144E-2</c:v>
                </c:pt>
                <c:pt idx="124">
                  <c:v>1.3675052410901834E-3</c:v>
                </c:pt>
                <c:pt idx="125">
                  <c:v>3.1946308724849502E-4</c:v>
                </c:pt>
                <c:pt idx="126">
                  <c:v>-7.8003121748178141E-3</c:v>
                </c:pt>
                <c:pt idx="127">
                  <c:v>1.1691956201305354E-2</c:v>
                </c:pt>
                <c:pt idx="128">
                  <c:v>1.7470173559031455E-2</c:v>
                </c:pt>
                <c:pt idx="129">
                  <c:v>1.0729542993285646E-2</c:v>
                </c:pt>
                <c:pt idx="130">
                  <c:v>2.1134240212342437E-2</c:v>
                </c:pt>
                <c:pt idx="131">
                  <c:v>-4.5043162299052255E-3</c:v>
                </c:pt>
                <c:pt idx="132">
                  <c:v>-1.5921413090593927E-2</c:v>
                </c:pt>
                <c:pt idx="133">
                  <c:v>-1.2725722234110736E-2</c:v>
                </c:pt>
                <c:pt idx="134">
                  <c:v>-5.2780748663107109E-4</c:v>
                </c:pt>
                <c:pt idx="135">
                  <c:v>9.4011876484560893E-3</c:v>
                </c:pt>
                <c:pt idx="136">
                  <c:v>5.3118103252217427E-2</c:v>
                </c:pt>
                <c:pt idx="137">
                  <c:v>2.1745224262142749E-2</c:v>
                </c:pt>
                <c:pt idx="138">
                  <c:v>-3.3568104222821207E-2</c:v>
                </c:pt>
                <c:pt idx="139">
                  <c:v>-2.0130816640986048E-2</c:v>
                </c:pt>
                <c:pt idx="140">
                  <c:v>-1.4847343309477356E-2</c:v>
                </c:pt>
                <c:pt idx="141">
                  <c:v>2.6163075895837985E-2</c:v>
                </c:pt>
                <c:pt idx="142">
                  <c:v>-6.0734513274336545E-3</c:v>
                </c:pt>
                <c:pt idx="143">
                  <c:v>1.1991356918943364E-2</c:v>
                </c:pt>
                <c:pt idx="144">
                  <c:v>-4.1113528022332049E-2</c:v>
                </c:pt>
                <c:pt idx="145">
                  <c:v>-7.5595055413470004E-3</c:v>
                </c:pt>
                <c:pt idx="146">
                  <c:v>1.1542949547218562E-2</c:v>
                </c:pt>
                <c:pt idx="147">
                  <c:v>-1.3919896640826157E-3</c:v>
                </c:pt>
                <c:pt idx="148">
                  <c:v>2.0579628830383781E-3</c:v>
                </c:pt>
                <c:pt idx="149">
                  <c:v>-5.892748337266618E-3</c:v>
                </c:pt>
                <c:pt idx="150">
                  <c:v>1.7585589519650602E-2</c:v>
                </c:pt>
                <c:pt idx="151">
                  <c:v>2.5655879059350396E-2</c:v>
                </c:pt>
                <c:pt idx="152">
                  <c:v>-2.3075929978118258E-2</c:v>
                </c:pt>
                <c:pt idx="153">
                  <c:v>2.8021484814398246E-2</c:v>
                </c:pt>
                <c:pt idx="154">
                  <c:v>-3.6936403033586043E-2</c:v>
                </c:pt>
                <c:pt idx="155">
                  <c:v>-1.0606003430531762E-2</c:v>
                </c:pt>
                <c:pt idx="156">
                  <c:v>-3.9445108927808172E-3</c:v>
                </c:pt>
                <c:pt idx="157">
                  <c:v>-2.8125742163172106E-2</c:v>
                </c:pt>
                <c:pt idx="158">
                  <c:v>-1.9648984666389533E-3</c:v>
                </c:pt>
                <c:pt idx="159">
                  <c:v>-1.1570708725932032E-2</c:v>
                </c:pt>
                <c:pt idx="160">
                  <c:v>-9.2333468642176279E-3</c:v>
                </c:pt>
                <c:pt idx="161">
                  <c:v>-1.0941196546878095E-2</c:v>
                </c:pt>
                <c:pt idx="162">
                  <c:v>-7.8689243027888593E-3</c:v>
                </c:pt>
                <c:pt idx="163">
                  <c:v>-2.8173572120038692E-2</c:v>
                </c:pt>
                <c:pt idx="164">
                  <c:v>2.7760696517412854E-2</c:v>
                </c:pt>
                <c:pt idx="165">
                  <c:v>2.8980483309440908E-2</c:v>
                </c:pt>
                <c:pt idx="166">
                  <c:v>1.1291880695940327E-2</c:v>
                </c:pt>
                <c:pt idx="167">
                  <c:v>-1.2778936605316937E-2</c:v>
                </c:pt>
                <c:pt idx="168">
                  <c:v>3.3289687235841012E-2</c:v>
                </c:pt>
                <c:pt idx="169">
                  <c:v>-7.2338648762063753E-3</c:v>
                </c:pt>
                <c:pt idx="170">
                  <c:v>1.3726845352052697E-2</c:v>
                </c:pt>
                <c:pt idx="171">
                  <c:v>3.0595023021267254E-2</c:v>
                </c:pt>
                <c:pt idx="172">
                  <c:v>-7.5731814198077836E-4</c:v>
                </c:pt>
                <c:pt idx="173">
                  <c:v>-4.8672024181780196E-2</c:v>
                </c:pt>
                <c:pt idx="174">
                  <c:v>-2.1120408163265336E-2</c:v>
                </c:pt>
                <c:pt idx="175">
                  <c:v>-3.7600244001626646E-3</c:v>
                </c:pt>
                <c:pt idx="176">
                  <c:v>-2.5080174464710458E-2</c:v>
                </c:pt>
                <c:pt idx="177">
                  <c:v>2.1159364243773949E-2</c:v>
                </c:pt>
                <c:pt idx="178">
                  <c:v>-3.147870170621693E-2</c:v>
                </c:pt>
                <c:pt idx="179">
                  <c:v>2.3179149106963715E-2</c:v>
                </c:pt>
                <c:pt idx="180">
                  <c:v>3.1150000000000001E-2</c:v>
                </c:pt>
                <c:pt idx="181">
                  <c:v>1.0778661087866171E-2</c:v>
                </c:pt>
                <c:pt idx="182">
                  <c:v>3.6799244015119806E-3</c:v>
                </c:pt>
                <c:pt idx="183">
                  <c:v>-5.5302422723476742E-3</c:v>
                </c:pt>
                <c:pt idx="184">
                  <c:v>3.6039363774075003E-2</c:v>
                </c:pt>
                <c:pt idx="185">
                  <c:v>-1.607103918228282E-2</c:v>
                </c:pt>
                <c:pt idx="186">
                  <c:v>-2.8848707342295731E-2</c:v>
                </c:pt>
                <c:pt idx="187">
                  <c:v>2.3880779597762361E-3</c:v>
                </c:pt>
                <c:pt idx="188">
                  <c:v>3.4372451102786419E-3</c:v>
                </c:pt>
                <c:pt idx="189">
                  <c:v>2.4031289111390189E-3</c:v>
                </c:pt>
                <c:pt idx="190">
                  <c:v>-6.5248704663213421E-3</c:v>
                </c:pt>
                <c:pt idx="191">
                  <c:v>-2.7317741935483874E-2</c:v>
                </c:pt>
                <c:pt idx="192">
                  <c:v>2.5965370293752555E-2</c:v>
                </c:pt>
                <c:pt idx="193">
                  <c:v>1.2468077084206042E-2</c:v>
                </c:pt>
                <c:pt idx="194">
                  <c:v>4.5225158747536728E-2</c:v>
                </c:pt>
                <c:pt idx="195">
                  <c:v>2.8967147363677215E-2</c:v>
                </c:pt>
                <c:pt idx="196">
                  <c:v>-3.2527596305466079E-4</c:v>
                </c:pt>
                <c:pt idx="197">
                  <c:v>-5.923068309070534E-3</c:v>
                </c:pt>
                <c:pt idx="198">
                  <c:v>3.131603141603144E-2</c:v>
                </c:pt>
                <c:pt idx="199">
                  <c:v>1.3242696629213391E-2</c:v>
                </c:pt>
                <c:pt idx="200">
                  <c:v>-4.2958041958042316E-3</c:v>
                </c:pt>
                <c:pt idx="201">
                  <c:v>9.0743119266054502E-3</c:v>
                </c:pt>
                <c:pt idx="202">
                  <c:v>-1.698251618871428E-2</c:v>
                </c:pt>
                <c:pt idx="203">
                  <c:v>5.0689793438639205E-2</c:v>
                </c:pt>
                <c:pt idx="204">
                  <c:v>5.275030539946257E-3</c:v>
                </c:pt>
                <c:pt idx="205">
                  <c:v>2.8808999497234689E-2</c:v>
                </c:pt>
                <c:pt idx="206">
                  <c:v>2.515773195876302E-2</c:v>
                </c:pt>
                <c:pt idx="207">
                  <c:v>2.5812215758857605E-2</c:v>
                </c:pt>
                <c:pt idx="208">
                  <c:v>-3.7880927291886854E-3</c:v>
                </c:pt>
                <c:pt idx="209">
                  <c:v>-5.2994211576846265E-2</c:v>
                </c:pt>
                <c:pt idx="210">
                  <c:v>4.0398442367601137E-2</c:v>
                </c:pt>
                <c:pt idx="211">
                  <c:v>-2.0445879959308143E-2</c:v>
                </c:pt>
                <c:pt idx="212">
                  <c:v>1.0696915167095245E-2</c:v>
                </c:pt>
                <c:pt idx="213">
                  <c:v>-2.7600000000000079E-2</c:v>
                </c:pt>
                <c:pt idx="214">
                  <c:v>-1.6574059503319482E-2</c:v>
                </c:pt>
                <c:pt idx="215">
                  <c:v>-2.2925564632388162E-2</c:v>
                </c:pt>
                <c:pt idx="216">
                  <c:v>3.2398139419498748E-2</c:v>
                </c:pt>
                <c:pt idx="217">
                  <c:v>8.1541270635319026E-3</c:v>
                </c:pt>
                <c:pt idx="218">
                  <c:v>-3.6029587653725673E-2</c:v>
                </c:pt>
                <c:pt idx="219">
                  <c:v>2.5116316440049403E-2</c:v>
                </c:pt>
                <c:pt idx="220">
                  <c:v>3.6220843672458594E-3</c:v>
                </c:pt>
                <c:pt idx="221">
                  <c:v>2.2483100735853901E-2</c:v>
                </c:pt>
                <c:pt idx="222">
                  <c:v>-1.5342378810594869E-2</c:v>
                </c:pt>
                <c:pt idx="223">
                  <c:v>-5.3199850857567179E-3</c:v>
                </c:pt>
                <c:pt idx="224">
                  <c:v>-3.8147102526003948E-3</c:v>
                </c:pt>
                <c:pt idx="225">
                  <c:v>2.088609355246528E-2</c:v>
                </c:pt>
                <c:pt idx="226">
                  <c:v>2.1072217918925985E-2</c:v>
                </c:pt>
                <c:pt idx="227">
                  <c:v>-3.6906764486446267E-2</c:v>
                </c:pt>
                <c:pt idx="228">
                  <c:v>-8.729191321499085E-3</c:v>
                </c:pt>
                <c:pt idx="229">
                  <c:v>1.3140069947539457E-2</c:v>
                </c:pt>
                <c:pt idx="230">
                  <c:v>-3.0887920298878877E-3</c:v>
                </c:pt>
                <c:pt idx="231">
                  <c:v>1.0471356657437692E-2</c:v>
                </c:pt>
                <c:pt idx="232">
                  <c:v>-1.2773956262425622E-2</c:v>
                </c:pt>
                <c:pt idx="233">
                  <c:v>3.3284694401643597E-2</c:v>
                </c:pt>
                <c:pt idx="234">
                  <c:v>-2.9995366218236296E-2</c:v>
                </c:pt>
                <c:pt idx="235">
                  <c:v>-1.3374336283185861E-2</c:v>
                </c:pt>
                <c:pt idx="236">
                  <c:v>-1.0559742155193407E-2</c:v>
                </c:pt>
                <c:pt idx="237">
                  <c:v>6.3028237585193163E-4</c:v>
                </c:pt>
                <c:pt idx="238">
                  <c:v>-1.8499044205495873E-2</c:v>
                </c:pt>
                <c:pt idx="239">
                  <c:v>2.8408232981076632E-2</c:v>
                </c:pt>
                <c:pt idx="240">
                  <c:v>-2.5255725922376692E-2</c:v>
                </c:pt>
                <c:pt idx="241">
                  <c:v>-2.0747583294228E-2</c:v>
                </c:pt>
                <c:pt idx="242">
                  <c:v>1.2011137497031522E-2</c:v>
                </c:pt>
                <c:pt idx="243">
                  <c:v>-7.1738033482669052E-3</c:v>
                </c:pt>
                <c:pt idx="244">
                  <c:v>1.3167650531284881E-3</c:v>
                </c:pt>
                <c:pt idx="245">
                  <c:v>-3.3607176581674771E-4</c:v>
                </c:pt>
                <c:pt idx="246">
                  <c:v>-1.3836903376018738E-2</c:v>
                </c:pt>
                <c:pt idx="247">
                  <c:v>4.567550523496465E-2</c:v>
                </c:pt>
                <c:pt idx="248">
                  <c:v>2.767777777777768E-2</c:v>
                </c:pt>
                <c:pt idx="249">
                  <c:v>-7.3049689440993883E-3</c:v>
                </c:pt>
                <c:pt idx="250">
                  <c:v>-1.9827228446176359E-2</c:v>
                </c:pt>
                <c:pt idx="251">
                  <c:v>-5.6703560184062753E-3</c:v>
                </c:pt>
                <c:pt idx="252">
                  <c:v>6.2709646146384972E-4</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numCache>
            </c:numRef>
          </c:xVal>
          <c:yVal>
            <c:numRef>
              <c:f>'Delta Beta'!$L$4:$L$2518</c:f>
              <c:numCache>
                <c:formatCode>0.00%</c:formatCode>
                <c:ptCount val="2515"/>
                <c:pt idx="0">
                  <c:v>-2.2824855683128208E-2</c:v>
                </c:pt>
                <c:pt idx="1">
                  <c:v>2.1939006971240962E-3</c:v>
                </c:pt>
                <c:pt idx="2">
                  <c:v>1.5570786727996278E-3</c:v>
                </c:pt>
                <c:pt idx="3">
                  <c:v>-3.2971323723489762E-3</c:v>
                </c:pt>
                <c:pt idx="4">
                  <c:v>-1.4986489646171663E-3</c:v>
                </c:pt>
                <c:pt idx="5">
                  <c:v>3.2847551651107201E-3</c:v>
                </c:pt>
                <c:pt idx="6">
                  <c:v>-2.7016294752068124E-3</c:v>
                </c:pt>
                <c:pt idx="7">
                  <c:v>3.7652088494062211E-3</c:v>
                </c:pt>
                <c:pt idx="8">
                  <c:v>-1.106772585071191E-4</c:v>
                </c:pt>
                <c:pt idx="9">
                  <c:v>7.1226392530441161E-3</c:v>
                </c:pt>
                <c:pt idx="10">
                  <c:v>4.509274303756584E-4</c:v>
                </c:pt>
                <c:pt idx="11">
                  <c:v>-8.3258150578944361E-3</c:v>
                </c:pt>
                <c:pt idx="12">
                  <c:v>-3.5987345002870372E-3</c:v>
                </c:pt>
                <c:pt idx="13">
                  <c:v>7.8770055752696026E-4</c:v>
                </c:pt>
                <c:pt idx="14">
                  <c:v>3.6328581257503048E-3</c:v>
                </c:pt>
                <c:pt idx="15">
                  <c:v>4.0818919145084618E-3</c:v>
                </c:pt>
                <c:pt idx="16">
                  <c:v>6.3612959303769199E-3</c:v>
                </c:pt>
                <c:pt idx="17">
                  <c:v>3.5803672564356129E-3</c:v>
                </c:pt>
                <c:pt idx="18">
                  <c:v>1.7000686154020506E-3</c:v>
                </c:pt>
                <c:pt idx="19">
                  <c:v>1.8493431844783692E-3</c:v>
                </c:pt>
                <c:pt idx="20">
                  <c:v>9.729337739032607E-3</c:v>
                </c:pt>
                <c:pt idx="21">
                  <c:v>-5.1515979968478455E-3</c:v>
                </c:pt>
                <c:pt idx="22">
                  <c:v>1.7197824144636776E-3</c:v>
                </c:pt>
                <c:pt idx="23">
                  <c:v>4.6481792778718554E-3</c:v>
                </c:pt>
                <c:pt idx="24">
                  <c:v>-1.1725793335062406E-3</c:v>
                </c:pt>
                <c:pt idx="25">
                  <c:v>2.8959062561313312E-3</c:v>
                </c:pt>
                <c:pt idx="26">
                  <c:v>3.5640167447334894E-3</c:v>
                </c:pt>
                <c:pt idx="27">
                  <c:v>7.2933569005406594E-3</c:v>
                </c:pt>
                <c:pt idx="28">
                  <c:v>3.2748045900920955E-3</c:v>
                </c:pt>
                <c:pt idx="29">
                  <c:v>7.3601307719690532E-3</c:v>
                </c:pt>
                <c:pt idx="30">
                  <c:v>1.696311013337003E-2</c:v>
                </c:pt>
                <c:pt idx="31">
                  <c:v>2.922536862308023E-3</c:v>
                </c:pt>
                <c:pt idx="32">
                  <c:v>-2.5167715692277046E-3</c:v>
                </c:pt>
                <c:pt idx="33">
                  <c:v>-6.9657858421348197E-3</c:v>
                </c:pt>
                <c:pt idx="34">
                  <c:v>-2.0137407494954626E-3</c:v>
                </c:pt>
                <c:pt idx="35">
                  <c:v>8.1982892369745104E-3</c:v>
                </c:pt>
                <c:pt idx="36">
                  <c:v>4.002887438675262E-3</c:v>
                </c:pt>
                <c:pt idx="37">
                  <c:v>1.0424455523362564E-2</c:v>
                </c:pt>
                <c:pt idx="38">
                  <c:v>-1.3085880322420761E-2</c:v>
                </c:pt>
                <c:pt idx="39">
                  <c:v>1.1391477734391298E-2</c:v>
                </c:pt>
                <c:pt idx="40">
                  <c:v>-1.2009958593505076E-2</c:v>
                </c:pt>
                <c:pt idx="41">
                  <c:v>1.4693959743878771E-3</c:v>
                </c:pt>
                <c:pt idx="42">
                  <c:v>-2.0464114325326032E-2</c:v>
                </c:pt>
                <c:pt idx="43">
                  <c:v>-2.8763563072890072E-3</c:v>
                </c:pt>
                <c:pt idx="44">
                  <c:v>1.3610090402744635E-3</c:v>
                </c:pt>
                <c:pt idx="45">
                  <c:v>1.2034751708511083E-2</c:v>
                </c:pt>
                <c:pt idx="46">
                  <c:v>9.4195662109373031E-3</c:v>
                </c:pt>
                <c:pt idx="47">
                  <c:v>-9.123495489623656E-4</c:v>
                </c:pt>
                <c:pt idx="48">
                  <c:v>-1.7077254629493954E-2</c:v>
                </c:pt>
                <c:pt idx="49">
                  <c:v>-9.2109248393406166E-3</c:v>
                </c:pt>
                <c:pt idx="50">
                  <c:v>-1.6510969268194286E-3</c:v>
                </c:pt>
                <c:pt idx="51">
                  <c:v>8.3739086888510068E-3</c:v>
                </c:pt>
                <c:pt idx="52">
                  <c:v>-5.8465991456183699E-3</c:v>
                </c:pt>
                <c:pt idx="53">
                  <c:v>2.1765095613401788E-3</c:v>
                </c:pt>
                <c:pt idx="54">
                  <c:v>-7.8226435922087549E-3</c:v>
                </c:pt>
                <c:pt idx="55">
                  <c:v>-4.7055998245485566E-3</c:v>
                </c:pt>
                <c:pt idx="56">
                  <c:v>-1.4185753191903294E-3</c:v>
                </c:pt>
                <c:pt idx="57">
                  <c:v>-3.4954884101398129E-3</c:v>
                </c:pt>
                <c:pt idx="58">
                  <c:v>-4.35026835208585E-4</c:v>
                </c:pt>
                <c:pt idx="59">
                  <c:v>2.7425606033477548E-3</c:v>
                </c:pt>
                <c:pt idx="60">
                  <c:v>2.1176205258831581E-4</c:v>
                </c:pt>
                <c:pt idx="61">
                  <c:v>-1.4491462399448651E-3</c:v>
                </c:pt>
                <c:pt idx="62">
                  <c:v>4.2065882817334697E-3</c:v>
                </c:pt>
                <c:pt idx="63">
                  <c:v>8.7076062639821379E-3</c:v>
                </c:pt>
                <c:pt idx="64">
                  <c:v>-5.924931775569864E-3</c:v>
                </c:pt>
                <c:pt idx="65">
                  <c:v>2.1201269217136945E-3</c:v>
                </c:pt>
                <c:pt idx="66">
                  <c:v>1.3956926284677152E-3</c:v>
                </c:pt>
                <c:pt idx="67">
                  <c:v>8.4238209952562822E-3</c:v>
                </c:pt>
                <c:pt idx="68">
                  <c:v>8.0415406963547549E-3</c:v>
                </c:pt>
                <c:pt idx="69">
                  <c:v>1.1567410636163955E-3</c:v>
                </c:pt>
                <c:pt idx="70">
                  <c:v>-1.0848457761550977E-2</c:v>
                </c:pt>
                <c:pt idx="71">
                  <c:v>-7.1607249129965857E-3</c:v>
                </c:pt>
                <c:pt idx="72">
                  <c:v>2.5208594449417257E-3</c:v>
                </c:pt>
                <c:pt idx="73">
                  <c:v>1.5073241975147478E-3</c:v>
                </c:pt>
                <c:pt idx="74">
                  <c:v>2.852087595835984E-3</c:v>
                </c:pt>
                <c:pt idx="75">
                  <c:v>2.3680227644109378E-3</c:v>
                </c:pt>
                <c:pt idx="76">
                  <c:v>8.9270138865370501E-4</c:v>
                </c:pt>
                <c:pt idx="77">
                  <c:v>-1.039925887858073E-3</c:v>
                </c:pt>
                <c:pt idx="78">
                  <c:v>1.5752839177258671E-3</c:v>
                </c:pt>
                <c:pt idx="79">
                  <c:v>5.9054603353427713E-3</c:v>
                </c:pt>
                <c:pt idx="80">
                  <c:v>-4.7324452030791499E-3</c:v>
                </c:pt>
                <c:pt idx="81">
                  <c:v>8.1034847144849549E-3</c:v>
                </c:pt>
                <c:pt idx="82">
                  <c:v>-1.9428943907755624E-3</c:v>
                </c:pt>
                <c:pt idx="83">
                  <c:v>-5.506016994218166E-3</c:v>
                </c:pt>
                <c:pt idx="84">
                  <c:v>4.1062063699823679E-3</c:v>
                </c:pt>
                <c:pt idx="85">
                  <c:v>-2.8630181803303002E-4</c:v>
                </c:pt>
                <c:pt idx="86">
                  <c:v>-4.812479931257563E-3</c:v>
                </c:pt>
                <c:pt idx="87">
                  <c:v>2.2822530084161022E-3</c:v>
                </c:pt>
                <c:pt idx="88">
                  <c:v>1.0045438559535647E-2</c:v>
                </c:pt>
                <c:pt idx="89">
                  <c:v>1.9166609692362502E-3</c:v>
                </c:pt>
                <c:pt idx="90">
                  <c:v>8.1418472100778135E-3</c:v>
                </c:pt>
                <c:pt idx="91">
                  <c:v>1.5062651550197471E-2</c:v>
                </c:pt>
                <c:pt idx="92">
                  <c:v>-1.5969531055010654E-2</c:v>
                </c:pt>
                <c:pt idx="93">
                  <c:v>-7.6389389522548813E-3</c:v>
                </c:pt>
                <c:pt idx="94">
                  <c:v>-3.3622362435132944E-3</c:v>
                </c:pt>
                <c:pt idx="95">
                  <c:v>1.0649703264435817E-3</c:v>
                </c:pt>
                <c:pt idx="96">
                  <c:v>-3.6168303824952838E-3</c:v>
                </c:pt>
                <c:pt idx="97">
                  <c:v>3.3511562975592104E-3</c:v>
                </c:pt>
                <c:pt idx="98">
                  <c:v>1.117795187024705E-2</c:v>
                </c:pt>
                <c:pt idx="99">
                  <c:v>-8.6610112594164394E-3</c:v>
                </c:pt>
                <c:pt idx="100">
                  <c:v>3.2590113133528112E-3</c:v>
                </c:pt>
                <c:pt idx="101">
                  <c:v>-2.121900862524517E-3</c:v>
                </c:pt>
                <c:pt idx="102">
                  <c:v>7.4001041681135303E-3</c:v>
                </c:pt>
                <c:pt idx="103">
                  <c:v>5.1216404886560317E-3</c:v>
                </c:pt>
                <c:pt idx="104">
                  <c:v>1.228114078009257E-3</c:v>
                </c:pt>
                <c:pt idx="105">
                  <c:v>1.7734984069871516E-4</c:v>
                </c:pt>
                <c:pt idx="106">
                  <c:v>2.2150419323942907E-3</c:v>
                </c:pt>
                <c:pt idx="107">
                  <c:v>3.2306066579319451E-3</c:v>
                </c:pt>
                <c:pt idx="108">
                  <c:v>5.7111574222505788E-3</c:v>
                </c:pt>
                <c:pt idx="109">
                  <c:v>-1.1832603310065859E-3</c:v>
                </c:pt>
                <c:pt idx="110">
                  <c:v>5.0245150646539448E-3</c:v>
                </c:pt>
                <c:pt idx="111">
                  <c:v>1.3902328121062391E-2</c:v>
                </c:pt>
                <c:pt idx="112">
                  <c:v>-1.3224547000611053E-2</c:v>
                </c:pt>
                <c:pt idx="113">
                  <c:v>-5.3563700073401273E-4</c:v>
                </c:pt>
                <c:pt idx="114">
                  <c:v>-5.4902072015429295E-3</c:v>
                </c:pt>
                <c:pt idx="115">
                  <c:v>-2.1116799642784232E-3</c:v>
                </c:pt>
                <c:pt idx="116">
                  <c:v>1.7152110447704483E-3</c:v>
                </c:pt>
                <c:pt idx="117">
                  <c:v>1.8484900381676606E-3</c:v>
                </c:pt>
                <c:pt idx="118">
                  <c:v>4.5521548506357477E-3</c:v>
                </c:pt>
                <c:pt idx="119">
                  <c:v>-1.9238764589828538E-3</c:v>
                </c:pt>
                <c:pt idx="120">
                  <c:v>7.5084939855851824E-5</c:v>
                </c:pt>
                <c:pt idx="121">
                  <c:v>-8.9671102558220857E-4</c:v>
                </c:pt>
                <c:pt idx="122">
                  <c:v>8.7340865998068902E-3</c:v>
                </c:pt>
                <c:pt idx="123">
                  <c:v>-3.728698801364849E-3</c:v>
                </c:pt>
                <c:pt idx="124">
                  <c:v>1.3469162597214868E-3</c:v>
                </c:pt>
                <c:pt idx="125">
                  <c:v>-5.9237531843826514E-4</c:v>
                </c:pt>
                <c:pt idx="126">
                  <c:v>6.6888651901496625E-4</c:v>
                </c:pt>
                <c:pt idx="127">
                  <c:v>1.0653983922745858E-3</c:v>
                </c:pt>
                <c:pt idx="128">
                  <c:v>1.776732575158746E-3</c:v>
                </c:pt>
                <c:pt idx="129">
                  <c:v>-2.2253022956601029E-3</c:v>
                </c:pt>
                <c:pt idx="130">
                  <c:v>9.8113059631461559E-3</c:v>
                </c:pt>
                <c:pt idx="131">
                  <c:v>-8.8381965415763593E-4</c:v>
                </c:pt>
                <c:pt idx="132">
                  <c:v>1.045475644364945E-2</c:v>
                </c:pt>
                <c:pt idx="133">
                  <c:v>-3.0434351705374116E-3</c:v>
                </c:pt>
                <c:pt idx="134">
                  <c:v>-8.6173024218827547E-3</c:v>
                </c:pt>
                <c:pt idx="135">
                  <c:v>-2.6300382141189013E-3</c:v>
                </c:pt>
                <c:pt idx="136">
                  <c:v>1.4817933130699224E-2</c:v>
                </c:pt>
                <c:pt idx="137">
                  <c:v>1.2073151138064054E-2</c:v>
                </c:pt>
                <c:pt idx="138">
                  <c:v>-2.1549387057151936E-2</c:v>
                </c:pt>
                <c:pt idx="139">
                  <c:v>-8.7738945141735518E-3</c:v>
                </c:pt>
                <c:pt idx="140">
                  <c:v>-1.0535666020885525E-2</c:v>
                </c:pt>
                <c:pt idx="141">
                  <c:v>7.2733464711231986E-3</c:v>
                </c:pt>
                <c:pt idx="142">
                  <c:v>8.0653905494540885E-3</c:v>
                </c:pt>
                <c:pt idx="143">
                  <c:v>6.0353882429774468E-4</c:v>
                </c:pt>
                <c:pt idx="144">
                  <c:v>-6.7783378571121379E-3</c:v>
                </c:pt>
                <c:pt idx="145">
                  <c:v>2.6480346410215796E-3</c:v>
                </c:pt>
                <c:pt idx="146">
                  <c:v>-7.294637501869883E-3</c:v>
                </c:pt>
                <c:pt idx="147">
                  <c:v>6.6627976802335785E-3</c:v>
                </c:pt>
                <c:pt idx="148">
                  <c:v>-9.4553063018300017E-4</c:v>
                </c:pt>
                <c:pt idx="149">
                  <c:v>-3.1491921425531578E-4</c:v>
                </c:pt>
                <c:pt idx="150">
                  <c:v>1.6822241679166239E-3</c:v>
                </c:pt>
                <c:pt idx="151">
                  <c:v>1.0828710658818286E-2</c:v>
                </c:pt>
                <c:pt idx="152">
                  <c:v>-9.3106713438859783E-3</c:v>
                </c:pt>
                <c:pt idx="153">
                  <c:v>9.2060600637495667E-3</c:v>
                </c:pt>
                <c:pt idx="154">
                  <c:v>-6.9023616108532361E-3</c:v>
                </c:pt>
                <c:pt idx="155">
                  <c:v>-5.4064530387267886E-3</c:v>
                </c:pt>
                <c:pt idx="156">
                  <c:v>3.5087492386858157E-3</c:v>
                </c:pt>
                <c:pt idx="157">
                  <c:v>1.0994247768300925E-2</c:v>
                </c:pt>
                <c:pt idx="158">
                  <c:v>-4.1878020277237417E-3</c:v>
                </c:pt>
                <c:pt idx="159">
                  <c:v>3.1945816244711603E-3</c:v>
                </c:pt>
                <c:pt idx="160">
                  <c:v>-2.9618291028877798E-4</c:v>
                </c:pt>
                <c:pt idx="161">
                  <c:v>7.6199628035937715E-3</c:v>
                </c:pt>
                <c:pt idx="162">
                  <c:v>4.1206399588231577E-3</c:v>
                </c:pt>
                <c:pt idx="163">
                  <c:v>1.3752303666720756E-3</c:v>
                </c:pt>
                <c:pt idx="164">
                  <c:v>-1.0735379152555624E-3</c:v>
                </c:pt>
                <c:pt idx="165">
                  <c:v>1.4338277854756488E-2</c:v>
                </c:pt>
                <c:pt idx="166">
                  <c:v>1.1725144919693332E-2</c:v>
                </c:pt>
                <c:pt idx="167">
                  <c:v>3.5225385557842051E-3</c:v>
                </c:pt>
                <c:pt idx="168">
                  <c:v>-3.257823166939022E-3</c:v>
                </c:pt>
                <c:pt idx="169">
                  <c:v>-9.6802497899118873E-4</c:v>
                </c:pt>
                <c:pt idx="170">
                  <c:v>1.6531197691788336E-2</c:v>
                </c:pt>
                <c:pt idx="171">
                  <c:v>5.1402330592367094E-3</c:v>
                </c:pt>
                <c:pt idx="172">
                  <c:v>-5.567303581109473E-3</c:v>
                </c:pt>
                <c:pt idx="173">
                  <c:v>-7.7308370066411338E-3</c:v>
                </c:pt>
                <c:pt idx="174">
                  <c:v>6.9251207482558972E-3</c:v>
                </c:pt>
                <c:pt idx="175">
                  <c:v>-7.0273888636330768E-4</c:v>
                </c:pt>
                <c:pt idx="176">
                  <c:v>-1.4860500437832724E-2</c:v>
                </c:pt>
                <c:pt idx="177">
                  <c:v>2.7793426720601369E-3</c:v>
                </c:pt>
                <c:pt idx="178">
                  <c:v>-1.6696886322292825E-3</c:v>
                </c:pt>
                <c:pt idx="179">
                  <c:v>6.3919585934766208E-3</c:v>
                </c:pt>
                <c:pt idx="180">
                  <c:v>9.1539851853349456E-4</c:v>
                </c:pt>
                <c:pt idx="181">
                  <c:v>1.0295479646353679E-2</c:v>
                </c:pt>
                <c:pt idx="182">
                  <c:v>5.930283013025661E-3</c:v>
                </c:pt>
                <c:pt idx="183">
                  <c:v>1.4054683554241432E-2</c:v>
                </c:pt>
                <c:pt idx="184">
                  <c:v>-5.4592716179846625E-3</c:v>
                </c:pt>
                <c:pt idx="185">
                  <c:v>1.9395975820425838E-2</c:v>
                </c:pt>
                <c:pt idx="186">
                  <c:v>-1.351721382719152E-2</c:v>
                </c:pt>
                <c:pt idx="187">
                  <c:v>-1.316620434127681E-2</c:v>
                </c:pt>
                <c:pt idx="188">
                  <c:v>-8.1808443239309685E-3</c:v>
                </c:pt>
                <c:pt idx="189">
                  <c:v>2.3690719336683087E-2</c:v>
                </c:pt>
                <c:pt idx="190">
                  <c:v>-4.8501658249202719E-3</c:v>
                </c:pt>
                <c:pt idx="191">
                  <c:v>-2.4578846903396522E-2</c:v>
                </c:pt>
                <c:pt idx="192">
                  <c:v>1.125166191319037E-2</c:v>
                </c:pt>
                <c:pt idx="193">
                  <c:v>1.1562878885591377E-3</c:v>
                </c:pt>
                <c:pt idx="194">
                  <c:v>-7.8328493796570135E-3</c:v>
                </c:pt>
                <c:pt idx="195">
                  <c:v>-1.9548941356217872E-3</c:v>
                </c:pt>
                <c:pt idx="196">
                  <c:v>-4.5158083905446735E-3</c:v>
                </c:pt>
                <c:pt idx="197">
                  <c:v>-4.2039953313212076E-4</c:v>
                </c:pt>
                <c:pt idx="198">
                  <c:v>-6.6927491149549874E-4</c:v>
                </c:pt>
                <c:pt idx="199">
                  <c:v>4.6109831017417833E-3</c:v>
                </c:pt>
                <c:pt idx="200">
                  <c:v>1.5624551137118803E-3</c:v>
                </c:pt>
                <c:pt idx="201">
                  <c:v>-4.4515996246697877E-4</c:v>
                </c:pt>
                <c:pt idx="202">
                  <c:v>-1.2134975827398197E-3</c:v>
                </c:pt>
                <c:pt idx="203">
                  <c:v>7.2993459966090744E-3</c:v>
                </c:pt>
                <c:pt idx="204">
                  <c:v>3.7974724542453211E-3</c:v>
                </c:pt>
                <c:pt idx="205">
                  <c:v>1.0753304161434041E-2</c:v>
                </c:pt>
                <c:pt idx="206">
                  <c:v>9.0880482762777386E-4</c:v>
                </c:pt>
                <c:pt idx="207">
                  <c:v>1.3798236818535859E-2</c:v>
                </c:pt>
                <c:pt idx="208">
                  <c:v>1.5951736021366559E-2</c:v>
                </c:pt>
                <c:pt idx="209">
                  <c:v>-1.9411502938707092E-2</c:v>
                </c:pt>
                <c:pt idx="210">
                  <c:v>9.6606624773047829E-3</c:v>
                </c:pt>
                <c:pt idx="211">
                  <c:v>-2.5777859113367062E-2</c:v>
                </c:pt>
                <c:pt idx="212">
                  <c:v>-1.5888363213811929E-3</c:v>
                </c:pt>
                <c:pt idx="213">
                  <c:v>3.5158033252895462E-3</c:v>
                </c:pt>
                <c:pt idx="214">
                  <c:v>-3.1105863636010753E-3</c:v>
                </c:pt>
                <c:pt idx="215">
                  <c:v>2.1673092150530381E-4</c:v>
                </c:pt>
                <c:pt idx="216">
                  <c:v>1.3835576257400273E-2</c:v>
                </c:pt>
                <c:pt idx="217">
                  <c:v>8.0364028395143346E-3</c:v>
                </c:pt>
                <c:pt idx="218">
                  <c:v>-7.2900177576840199E-3</c:v>
                </c:pt>
                <c:pt idx="219">
                  <c:v>-3.8534384646075168E-3</c:v>
                </c:pt>
                <c:pt idx="220">
                  <c:v>2.1756031663768718E-3</c:v>
                </c:pt>
                <c:pt idx="221">
                  <c:v>3.1583215119445073E-4</c:v>
                </c:pt>
                <c:pt idx="222">
                  <c:v>-6.6547967411652144E-3</c:v>
                </c:pt>
                <c:pt idx="223">
                  <c:v>5.3918909824148707E-3</c:v>
                </c:pt>
                <c:pt idx="224">
                  <c:v>1.4747364292689181E-2</c:v>
                </c:pt>
                <c:pt idx="225">
                  <c:v>5.6099005597205374E-3</c:v>
                </c:pt>
                <c:pt idx="226">
                  <c:v>6.9825395538620659E-3</c:v>
                </c:pt>
                <c:pt idx="227">
                  <c:v>-1.4854783590295139E-2</c:v>
                </c:pt>
                <c:pt idx="228">
                  <c:v>6.3388377402171401E-3</c:v>
                </c:pt>
                <c:pt idx="229">
                  <c:v>1.2415471795312772E-3</c:v>
                </c:pt>
                <c:pt idx="230">
                  <c:v>-2.3273622890431886E-3</c:v>
                </c:pt>
                <c:pt idx="231">
                  <c:v>8.6225159732762242E-3</c:v>
                </c:pt>
                <c:pt idx="232">
                  <c:v>3.4365757816374634E-3</c:v>
                </c:pt>
                <c:pt idx="233">
                  <c:v>6.4581125280026579E-4</c:v>
                </c:pt>
                <c:pt idx="234">
                  <c:v>-2.1731166033364222E-3</c:v>
                </c:pt>
                <c:pt idx="235">
                  <c:v>-4.0062815919512775E-3</c:v>
                </c:pt>
                <c:pt idx="236">
                  <c:v>-3.6111001267972284E-3</c:v>
                </c:pt>
                <c:pt idx="237">
                  <c:v>5.6576388007034571E-3</c:v>
                </c:pt>
                <c:pt idx="238">
                  <c:v>1.6728480872187812E-3</c:v>
                </c:pt>
                <c:pt idx="239">
                  <c:v>1.2821214314501218E-2</c:v>
                </c:pt>
                <c:pt idx="240">
                  <c:v>-4.4592669225268613E-3</c:v>
                </c:pt>
                <c:pt idx="241">
                  <c:v>-1.364960061067022E-3</c:v>
                </c:pt>
                <c:pt idx="242">
                  <c:v>-1.3851160688518438E-3</c:v>
                </c:pt>
                <c:pt idx="243">
                  <c:v>-8.0492200688769937E-3</c:v>
                </c:pt>
                <c:pt idx="244">
                  <c:v>2.6871374554437891E-3</c:v>
                </c:pt>
                <c:pt idx="245">
                  <c:v>-2.0355954929820561E-3</c:v>
                </c:pt>
                <c:pt idx="246">
                  <c:v>8.7362351093074227E-3</c:v>
                </c:pt>
                <c:pt idx="247">
                  <c:v>-7.2414656814790974E-4</c:v>
                </c:pt>
                <c:pt idx="248">
                  <c:v>1.6911507324332998E-3</c:v>
                </c:pt>
                <c:pt idx="249">
                  <c:v>1.1171167954760575E-2</c:v>
                </c:pt>
                <c:pt idx="250">
                  <c:v>-4.6954897137437947E-3</c:v>
                </c:pt>
                <c:pt idx="251">
                  <c:v>2.2969253233782075E-3</c:v>
                </c:pt>
                <c:pt idx="252">
                  <c:v>-1.6844155129681737E-3</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numCache>
            </c:numRef>
          </c:yVal>
          <c:smooth val="0"/>
          <c:extLst>
            <c:ext xmlns:c16="http://schemas.microsoft.com/office/drawing/2014/chart" uri="{C3380CC4-5D6E-409C-BE32-E72D297353CC}">
              <c16:uniqueId val="{00000000-FE1B-48C3-8121-8C646520EEFF}"/>
            </c:ext>
          </c:extLst>
        </c:ser>
        <c:ser>
          <c:idx val="1"/>
          <c:order val="1"/>
          <c:tx>
            <c:v>Trendlinie</c:v>
          </c:tx>
          <c:spPr>
            <a:ln w="28575">
              <a:noFill/>
            </a:ln>
          </c:spPr>
          <c:dPt>
            <c:idx val="0"/>
            <c:marker>
              <c:symbol val="none"/>
            </c:marker>
            <c:bubble3D val="0"/>
            <c:extLst>
              <c:ext xmlns:c16="http://schemas.microsoft.com/office/drawing/2014/chart" uri="{C3380CC4-5D6E-409C-BE32-E72D297353CC}">
                <c16:uniqueId val="{00000001-FE1B-48C3-8121-8C646520EEFF}"/>
              </c:ext>
            </c:extLst>
          </c:dPt>
          <c:dPt>
            <c:idx val="1"/>
            <c:marker>
              <c:symbol val="none"/>
            </c:marker>
            <c:bubble3D val="0"/>
            <c:extLst>
              <c:ext xmlns:c16="http://schemas.microsoft.com/office/drawing/2014/chart" uri="{C3380CC4-5D6E-409C-BE32-E72D297353CC}">
                <c16:uniqueId val="{00000002-FE1B-48C3-8121-8C646520EEFF}"/>
              </c:ext>
            </c:extLst>
          </c:dPt>
          <c:trendline>
            <c:spPr>
              <a:ln w="6350" cap="flat" cmpd="sng" algn="ctr">
                <a:solidFill>
                  <a:schemeClr val="accent1"/>
                </a:solidFill>
                <a:prstDash val="solid"/>
                <a:miter lim="800000"/>
              </a:ln>
              <a:effectLst/>
            </c:spPr>
            <c:trendlineType val="linear"/>
            <c:dispRSqr val="0"/>
            <c:dispEq val="1"/>
            <c:trendlineLbl>
              <c:layout>
                <c:manualLayout>
                  <c:x val="-0.61760831495910373"/>
                  <c:y val="-2.0435808499605652E-2"/>
                </c:manualLayout>
              </c:layout>
              <c:numFmt formatCode="General" sourceLinked="0"/>
              <c:spPr>
                <a:solidFill>
                  <a:schemeClr val="bg1">
                    <a:lumMod val="75000"/>
                  </a:schemeClr>
                </a:solidFill>
                <a:ln w="12700">
                  <a:solidFill>
                    <a:schemeClr val="tx1"/>
                  </a:solidFill>
                </a:ln>
              </c:spPr>
              <c:txPr>
                <a:bodyPr/>
                <a:lstStyle/>
                <a:p>
                  <a:pPr>
                    <a:defRPr sz="1200" b="1"/>
                  </a:pPr>
                  <a:endParaRPr lang="en-US"/>
                </a:p>
              </c:txPr>
            </c:trendlineLbl>
          </c:trendline>
          <c:xVal>
            <c:numRef>
              <c:f>'Delta Beta'!$N$4:$N$5</c:f>
              <c:numCache>
                <c:formatCode>0.00%</c:formatCode>
                <c:ptCount val="2"/>
                <c:pt idx="0">
                  <c:v>-0.15</c:v>
                </c:pt>
                <c:pt idx="1">
                  <c:v>0.15</c:v>
                </c:pt>
              </c:numCache>
            </c:numRef>
          </c:xVal>
          <c:yVal>
            <c:numRef>
              <c:f>'Delta Beta'!$O$4:$O$5</c:f>
              <c:numCache>
                <c:formatCode>0.00%</c:formatCode>
                <c:ptCount val="2"/>
                <c:pt idx="0">
                  <c:v>-0.18276463520958247</c:v>
                </c:pt>
                <c:pt idx="1">
                  <c:v>0.18276463520958247</c:v>
                </c:pt>
              </c:numCache>
            </c:numRef>
          </c:yVal>
          <c:smooth val="0"/>
          <c:extLst>
            <c:ext xmlns:c16="http://schemas.microsoft.com/office/drawing/2014/chart" uri="{C3380CC4-5D6E-409C-BE32-E72D297353CC}">
              <c16:uniqueId val="{00000004-FE1B-48C3-8121-8C646520EEFF}"/>
            </c:ext>
          </c:extLst>
        </c:ser>
        <c:dLbls>
          <c:showLegendKey val="0"/>
          <c:showVal val="0"/>
          <c:showCatName val="0"/>
          <c:showSerName val="0"/>
          <c:showPercent val="0"/>
          <c:showBubbleSize val="0"/>
        </c:dLbls>
        <c:axId val="69408256"/>
        <c:axId val="69410176"/>
      </c:scatterChart>
      <c:valAx>
        <c:axId val="69408256"/>
        <c:scaling>
          <c:orientation val="minMax"/>
          <c:max val="0.15000000000000002"/>
          <c:min val="-0.15000000000000002"/>
        </c:scaling>
        <c:delete val="0"/>
        <c:axPos val="b"/>
        <c:title>
          <c:tx>
            <c:rich>
              <a:bodyPr/>
              <a:lstStyle/>
              <a:p>
                <a:pPr>
                  <a:defRPr sz="1400" b="0"/>
                </a:pPr>
                <a:r>
                  <a:rPr lang="de-DE" sz="1400" b="0"/>
                  <a:t>Excess Return </a:t>
                </a:r>
                <a:r>
                  <a:rPr lang="de-DE" sz="1400" b="0" baseline="0"/>
                  <a:t>Index</a:t>
                </a:r>
                <a:endParaRPr lang="de-DE" sz="1400" b="0"/>
              </a:p>
            </c:rich>
          </c:tx>
          <c:layout>
            <c:manualLayout>
              <c:xMode val="edge"/>
              <c:yMode val="edge"/>
              <c:x val="0.4249256786656978"/>
              <c:y val="0.91293562164329978"/>
            </c:manualLayout>
          </c:layout>
          <c:overlay val="0"/>
        </c:title>
        <c:numFmt formatCode="0%" sourceLinked="0"/>
        <c:majorTickMark val="out"/>
        <c:minorTickMark val="none"/>
        <c:tickLblPos val="nextTo"/>
        <c:crossAx val="69410176"/>
        <c:crosses val="autoZero"/>
        <c:crossBetween val="midCat"/>
      </c:valAx>
      <c:valAx>
        <c:axId val="69410176"/>
        <c:scaling>
          <c:orientation val="minMax"/>
          <c:max val="0.15000000000000002"/>
          <c:min val="-0.15000000000000002"/>
        </c:scaling>
        <c:delete val="0"/>
        <c:axPos val="l"/>
        <c:majorGridlines>
          <c:spPr>
            <a:ln>
              <a:solidFill>
                <a:schemeClr val="bg1">
                  <a:lumMod val="85000"/>
                </a:schemeClr>
              </a:solidFill>
            </a:ln>
          </c:spPr>
        </c:majorGridlines>
        <c:title>
          <c:tx>
            <c:rich>
              <a:bodyPr rot="-5400000" vert="horz"/>
              <a:lstStyle/>
              <a:p>
                <a:pPr>
                  <a:defRPr sz="1400" b="0"/>
                </a:pPr>
                <a:r>
                  <a:rPr lang="en-US" sz="1400" b="0"/>
                  <a:t>Excess Return  Stock</a:t>
                </a:r>
              </a:p>
            </c:rich>
          </c:tx>
          <c:layout>
            <c:manualLayout>
              <c:xMode val="edge"/>
              <c:yMode val="edge"/>
              <c:x val="5.5252086843219569E-3"/>
              <c:y val="0.20042242814675598"/>
            </c:manualLayout>
          </c:layout>
          <c:overlay val="0"/>
        </c:title>
        <c:numFmt formatCode="0%" sourceLinked="0"/>
        <c:majorTickMark val="out"/>
        <c:minorTickMark val="none"/>
        <c:tickLblPos val="nextTo"/>
        <c:crossAx val="69408256"/>
        <c:crosses val="autoZero"/>
        <c:crossBetween val="midCat"/>
      </c:valAx>
    </c:plotArea>
    <c:plotVisOnly val="1"/>
    <c:dispBlanksAs val="gap"/>
    <c:showDLblsOverMax val="0"/>
  </c:chart>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241797900262468"/>
          <c:y val="6.0601851851851851E-2"/>
          <c:w val="0.77826487314085746"/>
          <c:h val="0.64407206491681646"/>
        </c:manualLayout>
      </c:layout>
      <c:scatterChart>
        <c:scatterStyle val="lineMarker"/>
        <c:varyColors val="0"/>
        <c:ser>
          <c:idx val="0"/>
          <c:order val="0"/>
          <c:tx>
            <c:strRef>
              <c:f>'Supp. Schedule'!$A$8</c:f>
              <c:strCache>
                <c:ptCount val="1"/>
                <c:pt idx="0">
                  <c:v>Net Collection Period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'Supp. Schedule'!$D$4:$Q$4</c:f>
              <c:strCache>
                <c:ptCount val="14"/>
                <c:pt idx="0">
                  <c:v>12/2012</c:v>
                </c:pt>
                <c:pt idx="1">
                  <c:v>12/2013</c:v>
                </c:pt>
                <c:pt idx="2">
                  <c:v>12/2014</c:v>
                </c:pt>
                <c:pt idx="3">
                  <c:v>12/2015</c:v>
                </c:pt>
                <c:pt idx="4">
                  <c:v>12/2016</c:v>
                </c:pt>
                <c:pt idx="5">
                  <c:v>12/2017</c:v>
                </c:pt>
                <c:pt idx="6">
                  <c:v>12/2018</c:v>
                </c:pt>
                <c:pt idx="7">
                  <c:v>12/2019</c:v>
                </c:pt>
                <c:pt idx="8">
                  <c:v>12/2020</c:v>
                </c:pt>
                <c:pt idx="9">
                  <c:v>2021</c:v>
                </c:pt>
                <c:pt idx="10">
                  <c:v>2022</c:v>
                </c:pt>
                <c:pt idx="11">
                  <c:v>2023</c:v>
                </c:pt>
                <c:pt idx="12">
                  <c:v>2024</c:v>
                </c:pt>
                <c:pt idx="13">
                  <c:v>2025</c:v>
                </c:pt>
              </c:strCache>
            </c:strRef>
          </c:xVal>
          <c:yVal>
            <c:numRef>
              <c:f>'Supp. Schedule'!$D$8:$Q$8</c:f>
              <c:numCache>
                <c:formatCode>0.0</c:formatCode>
                <c:ptCount val="14"/>
                <c:pt idx="0">
                  <c:v>41.43861561520643</c:v>
                </c:pt>
                <c:pt idx="1">
                  <c:v>49.695586906849464</c:v>
                </c:pt>
                <c:pt idx="2">
                  <c:v>62.679335389513476</c:v>
                </c:pt>
                <c:pt idx="3">
                  <c:v>52.777489754604254</c:v>
                </c:pt>
                <c:pt idx="4">
                  <c:v>34.290755517398111</c:v>
                </c:pt>
                <c:pt idx="5">
                  <c:v>39.895595867487991</c:v>
                </c:pt>
                <c:pt idx="6">
                  <c:v>39.956909160459929</c:v>
                </c:pt>
                <c:pt idx="7">
                  <c:v>37.58243628472961</c:v>
                </c:pt>
                <c:pt idx="8">
                  <c:v>88.298186604270271</c:v>
                </c:pt>
                <c:pt idx="9">
                  <c:v>32.192869602570269</c:v>
                </c:pt>
                <c:pt idx="10">
                  <c:v>33.802513082698788</c:v>
                </c:pt>
                <c:pt idx="11">
                  <c:v>35.492638736833726</c:v>
                </c:pt>
                <c:pt idx="12">
                  <c:v>37.267270673675412</c:v>
                </c:pt>
                <c:pt idx="13">
                  <c:v>39.130634207359186</c:v>
                </c:pt>
              </c:numCache>
            </c:numRef>
          </c:yVal>
          <c:smooth val="0"/>
          <c:extLst>
            <c:ext xmlns:c16="http://schemas.microsoft.com/office/drawing/2014/chart" uri="{C3380CC4-5D6E-409C-BE32-E72D297353CC}">
              <c16:uniqueId val="{00000000-0C3E-4EC4-868D-E60D222ACA4A}"/>
            </c:ext>
          </c:extLst>
        </c:ser>
        <c:ser>
          <c:idx val="1"/>
          <c:order val="1"/>
          <c:tx>
            <c:strRef>
              <c:f>'Supp. Schedule'!$A$15</c:f>
              <c:strCache>
                <c:ptCount val="1"/>
                <c:pt idx="0">
                  <c:v>Days Net payments outstanding</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strRef>
              <c:f>'Supp. Schedule'!$D$4:$Q$4</c:f>
              <c:strCache>
                <c:ptCount val="14"/>
                <c:pt idx="0">
                  <c:v>12/2012</c:v>
                </c:pt>
                <c:pt idx="1">
                  <c:v>12/2013</c:v>
                </c:pt>
                <c:pt idx="2">
                  <c:v>12/2014</c:v>
                </c:pt>
                <c:pt idx="3">
                  <c:v>12/2015</c:v>
                </c:pt>
                <c:pt idx="4">
                  <c:v>12/2016</c:v>
                </c:pt>
                <c:pt idx="5">
                  <c:v>12/2017</c:v>
                </c:pt>
                <c:pt idx="6">
                  <c:v>12/2018</c:v>
                </c:pt>
                <c:pt idx="7">
                  <c:v>12/2019</c:v>
                </c:pt>
                <c:pt idx="8">
                  <c:v>12/2020</c:v>
                </c:pt>
                <c:pt idx="9">
                  <c:v>2021</c:v>
                </c:pt>
                <c:pt idx="10">
                  <c:v>2022</c:v>
                </c:pt>
                <c:pt idx="11">
                  <c:v>2023</c:v>
                </c:pt>
                <c:pt idx="12">
                  <c:v>2024</c:v>
                </c:pt>
                <c:pt idx="13">
                  <c:v>2025</c:v>
                </c:pt>
              </c:strCache>
            </c:strRef>
          </c:xVal>
          <c:yVal>
            <c:numRef>
              <c:f>'Supp. Schedule'!$D$15:$Q$15</c:f>
              <c:numCache>
                <c:formatCode>0.00</c:formatCode>
                <c:ptCount val="14"/>
                <c:pt idx="0">
                  <c:v>125.76173080045464</c:v>
                </c:pt>
                <c:pt idx="1">
                  <c:v>133.87176541909957</c:v>
                </c:pt>
                <c:pt idx="2">
                  <c:v>157.65856369157561</c:v>
                </c:pt>
                <c:pt idx="3">
                  <c:v>202.83051026145631</c:v>
                </c:pt>
                <c:pt idx="4">
                  <c:v>191.71903930131003</c:v>
                </c:pt>
                <c:pt idx="5">
                  <c:v>179.12222293876761</c:v>
                </c:pt>
                <c:pt idx="6">
                  <c:v>166.70149253731347</c:v>
                </c:pt>
                <c:pt idx="7">
                  <c:v>165.72360868139074</c:v>
                </c:pt>
                <c:pt idx="8">
                  <c:v>236.57579027548559</c:v>
                </c:pt>
                <c:pt idx="9">
                  <c:v>180.92317179932292</c:v>
                </c:pt>
                <c:pt idx="10">
                  <c:v>180.92317179932292</c:v>
                </c:pt>
                <c:pt idx="11">
                  <c:v>180.92317179932292</c:v>
                </c:pt>
                <c:pt idx="12">
                  <c:v>180.92317179932292</c:v>
                </c:pt>
                <c:pt idx="13">
                  <c:v>180.92317179932292</c:v>
                </c:pt>
              </c:numCache>
            </c:numRef>
          </c:yVal>
          <c:smooth val="0"/>
          <c:extLst>
            <c:ext xmlns:c16="http://schemas.microsoft.com/office/drawing/2014/chart" uri="{C3380CC4-5D6E-409C-BE32-E72D297353CC}">
              <c16:uniqueId val="{00000002-0C3E-4EC4-868D-E60D222ACA4A}"/>
            </c:ext>
          </c:extLst>
        </c:ser>
        <c:ser>
          <c:idx val="2"/>
          <c:order val="2"/>
          <c:tx>
            <c:strRef>
              <c:f>'Supp. Schedule'!$A$19</c:f>
              <c:strCache>
                <c:ptCount val="1"/>
                <c:pt idx="0">
                  <c:v>Required Financing Period</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xVal>
            <c:strRef>
              <c:f>'Supp. Schedule'!$D$4:$Q$4</c:f>
              <c:strCache>
                <c:ptCount val="14"/>
                <c:pt idx="0">
                  <c:v>12/2012</c:v>
                </c:pt>
                <c:pt idx="1">
                  <c:v>12/2013</c:v>
                </c:pt>
                <c:pt idx="2">
                  <c:v>12/2014</c:v>
                </c:pt>
                <c:pt idx="3">
                  <c:v>12/2015</c:v>
                </c:pt>
                <c:pt idx="4">
                  <c:v>12/2016</c:v>
                </c:pt>
                <c:pt idx="5">
                  <c:v>12/2017</c:v>
                </c:pt>
                <c:pt idx="6">
                  <c:v>12/2018</c:v>
                </c:pt>
                <c:pt idx="7">
                  <c:v>12/2019</c:v>
                </c:pt>
                <c:pt idx="8">
                  <c:v>12/2020</c:v>
                </c:pt>
                <c:pt idx="9">
                  <c:v>2021</c:v>
                </c:pt>
                <c:pt idx="10">
                  <c:v>2022</c:v>
                </c:pt>
                <c:pt idx="11">
                  <c:v>2023</c:v>
                </c:pt>
                <c:pt idx="12">
                  <c:v>2024</c:v>
                </c:pt>
                <c:pt idx="13">
                  <c:v>2025</c:v>
                </c:pt>
              </c:strCache>
            </c:strRef>
          </c:xVal>
          <c:yVal>
            <c:numRef>
              <c:f>'Supp. Schedule'!$D$19:$Q$19</c:f>
              <c:numCache>
                <c:formatCode>0</c:formatCode>
                <c:ptCount val="14"/>
                <c:pt idx="0">
                  <c:v>-84.323115185248213</c:v>
                </c:pt>
                <c:pt idx="1">
                  <c:v>-84.176178512250118</c:v>
                </c:pt>
                <c:pt idx="2">
                  <c:v>-94.979228302062126</c:v>
                </c:pt>
                <c:pt idx="3">
                  <c:v>-150.05302050685205</c:v>
                </c:pt>
                <c:pt idx="4">
                  <c:v>-157.42828378391192</c:v>
                </c:pt>
                <c:pt idx="5">
                  <c:v>-139.22662707127961</c:v>
                </c:pt>
                <c:pt idx="6">
                  <c:v>-126.74458337685354</c:v>
                </c:pt>
                <c:pt idx="7">
                  <c:v>-128.14117239666115</c:v>
                </c:pt>
                <c:pt idx="8">
                  <c:v>-148.27760367121533</c:v>
                </c:pt>
                <c:pt idx="9">
                  <c:v>-148.73030219675263</c:v>
                </c:pt>
                <c:pt idx="10">
                  <c:v>-147.12065871662412</c:v>
                </c:pt>
                <c:pt idx="11">
                  <c:v>-145.43053306248919</c:v>
                </c:pt>
                <c:pt idx="12">
                  <c:v>-143.65590112564752</c:v>
                </c:pt>
                <c:pt idx="13">
                  <c:v>-141.79253759196374</c:v>
                </c:pt>
              </c:numCache>
            </c:numRef>
          </c:yVal>
          <c:smooth val="0"/>
          <c:extLst>
            <c:ext xmlns:c16="http://schemas.microsoft.com/office/drawing/2014/chart" uri="{C3380CC4-5D6E-409C-BE32-E72D297353CC}">
              <c16:uniqueId val="{00000005-0C3E-4EC4-868D-E60D222ACA4A}"/>
            </c:ext>
          </c:extLst>
        </c:ser>
        <c:dLbls>
          <c:showLegendKey val="0"/>
          <c:showVal val="0"/>
          <c:showCatName val="0"/>
          <c:showSerName val="0"/>
          <c:showPercent val="0"/>
          <c:showBubbleSize val="0"/>
        </c:dLbls>
        <c:axId val="1320033520"/>
        <c:axId val="1007560544"/>
      </c:scatterChart>
      <c:scatterChart>
        <c:scatterStyle val="lineMarker"/>
        <c:varyColors val="0"/>
        <c:ser>
          <c:idx val="3"/>
          <c:order val="3"/>
          <c:tx>
            <c:strRef>
              <c:f>'Supp. Schedule'!$A$22</c:f>
              <c:strCache>
                <c:ptCount val="1"/>
                <c:pt idx="0">
                  <c:v>Change in Non-cash Working Capital</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trendline>
            <c:spPr>
              <a:ln w="19050" cap="rnd">
                <a:solidFill>
                  <a:schemeClr val="accent4"/>
                </a:solidFill>
                <a:prstDash val="sysDot"/>
              </a:ln>
              <a:effectLst/>
            </c:spPr>
            <c:trendlineType val="linear"/>
            <c:dispRSqr val="0"/>
            <c:dispEq val="0"/>
          </c:trendline>
          <c:xVal>
            <c:strRef>
              <c:f>'Supp. Schedule'!$D$4:$Q$4</c:f>
              <c:strCache>
                <c:ptCount val="14"/>
                <c:pt idx="0">
                  <c:v>12/2012</c:v>
                </c:pt>
                <c:pt idx="1">
                  <c:v>12/2013</c:v>
                </c:pt>
                <c:pt idx="2">
                  <c:v>12/2014</c:v>
                </c:pt>
                <c:pt idx="3">
                  <c:v>12/2015</c:v>
                </c:pt>
                <c:pt idx="4">
                  <c:v>12/2016</c:v>
                </c:pt>
                <c:pt idx="5">
                  <c:v>12/2017</c:v>
                </c:pt>
                <c:pt idx="6">
                  <c:v>12/2018</c:v>
                </c:pt>
                <c:pt idx="7">
                  <c:v>12/2019</c:v>
                </c:pt>
                <c:pt idx="8">
                  <c:v>12/2020</c:v>
                </c:pt>
                <c:pt idx="9">
                  <c:v>2021</c:v>
                </c:pt>
                <c:pt idx="10">
                  <c:v>2022</c:v>
                </c:pt>
                <c:pt idx="11">
                  <c:v>2023</c:v>
                </c:pt>
                <c:pt idx="12">
                  <c:v>2024</c:v>
                </c:pt>
                <c:pt idx="13">
                  <c:v>2025</c:v>
                </c:pt>
              </c:strCache>
            </c:strRef>
          </c:xVal>
          <c:yVal>
            <c:numRef>
              <c:f>'Supp. Schedule'!$C$22:$Q$22</c:f>
              <c:numCache>
                <c:formatCode>0.00</c:formatCode>
                <c:ptCount val="15"/>
                <c:pt idx="0">
                  <c:v>6.9480000000000013</c:v>
                </c:pt>
                <c:pt idx="1">
                  <c:v>0.17199999999999971</c:v>
                </c:pt>
                <c:pt idx="2">
                  <c:v>-0.24099999999999966</c:v>
                </c:pt>
                <c:pt idx="3">
                  <c:v>0.70199999999999818</c:v>
                </c:pt>
                <c:pt idx="4">
                  <c:v>4.7500000000000018</c:v>
                </c:pt>
                <c:pt idx="5">
                  <c:v>-2.0320000000000018</c:v>
                </c:pt>
                <c:pt idx="6">
                  <c:v>0.82699999999999996</c:v>
                </c:pt>
                <c:pt idx="7">
                  <c:v>0.4540000000000024</c:v>
                </c:pt>
                <c:pt idx="8">
                  <c:v>0.38099999999999667</c:v>
                </c:pt>
                <c:pt idx="9">
                  <c:v>-1.5599999999999987</c:v>
                </c:pt>
                <c:pt idx="10">
                  <c:v>-3.1585676914441017</c:v>
                </c:pt>
                <c:pt idx="11">
                  <c:v>2.0022453218383358</c:v>
                </c:pt>
                <c:pt idx="12">
                  <c:v>0.59608254578176023</c:v>
                </c:pt>
                <c:pt idx="13">
                  <c:v>6.8326496708358775E-2</c:v>
                </c:pt>
                <c:pt idx="14">
                  <c:v>2.6781940038574703E-2</c:v>
                </c:pt>
              </c:numCache>
            </c:numRef>
          </c:yVal>
          <c:smooth val="0"/>
          <c:extLst>
            <c:ext xmlns:c16="http://schemas.microsoft.com/office/drawing/2014/chart" uri="{C3380CC4-5D6E-409C-BE32-E72D297353CC}">
              <c16:uniqueId val="{00000006-0C3E-4EC4-868D-E60D222ACA4A}"/>
            </c:ext>
          </c:extLst>
        </c:ser>
        <c:dLbls>
          <c:showLegendKey val="0"/>
          <c:showVal val="0"/>
          <c:showCatName val="0"/>
          <c:showSerName val="0"/>
          <c:showPercent val="0"/>
          <c:showBubbleSize val="0"/>
        </c:dLbls>
        <c:axId val="1007558464"/>
        <c:axId val="1007560960"/>
      </c:scatterChart>
      <c:valAx>
        <c:axId val="1320033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560544"/>
        <c:crosses val="autoZero"/>
        <c:crossBetween val="midCat"/>
      </c:valAx>
      <c:valAx>
        <c:axId val="1007560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033520"/>
        <c:crosses val="autoZero"/>
        <c:crossBetween val="midCat"/>
      </c:valAx>
      <c:valAx>
        <c:axId val="1007560960"/>
        <c:scaling>
          <c:orientation val="minMax"/>
        </c:scaling>
        <c:delete val="0"/>
        <c:axPos val="r"/>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558464"/>
        <c:crosses val="max"/>
        <c:crossBetween val="midCat"/>
      </c:valAx>
      <c:valAx>
        <c:axId val="1007558464"/>
        <c:scaling>
          <c:orientation val="minMax"/>
        </c:scaling>
        <c:delete val="1"/>
        <c:axPos val="b"/>
        <c:numFmt formatCode="0.00" sourceLinked="1"/>
        <c:majorTickMark val="out"/>
        <c:minorTickMark val="none"/>
        <c:tickLblPos val="nextTo"/>
        <c:crossAx val="1007560960"/>
        <c:crosses val="autoZero"/>
        <c:crossBetween val="midCat"/>
      </c:valAx>
      <c:spPr>
        <a:noFill/>
        <a:ln>
          <a:noFill/>
        </a:ln>
        <a:effectLst/>
      </c:spPr>
    </c:plotArea>
    <c:legend>
      <c:legendPos val="r"/>
      <c:layout>
        <c:manualLayout>
          <c:xMode val="edge"/>
          <c:yMode val="edge"/>
          <c:x val="0"/>
          <c:y val="0.80208223972003501"/>
          <c:w val="0.92694575678040247"/>
          <c:h val="0.196761446485855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936106749117892E-2"/>
          <c:y val="0"/>
          <c:w val="0.96612778650176534"/>
          <c:h val="0.93406764249718865"/>
        </c:manualLayout>
      </c:layout>
      <c:barChart>
        <c:barDir val="col"/>
        <c:grouping val="stacked"/>
        <c:varyColors val="0"/>
        <c:ser>
          <c:idx val="0"/>
          <c:order val="0"/>
          <c:tx>
            <c:strRef>
              <c:f>'Football field'!$X$22</c:f>
              <c:strCache>
                <c:ptCount val="1"/>
                <c:pt idx="0">
                  <c:v>Lower end</c:v>
                </c:pt>
              </c:strCache>
            </c:strRef>
          </c:tx>
          <c:spPr>
            <a:noFill/>
            <a:ln>
              <a:noFill/>
            </a:ln>
          </c:spPr>
          <c:invertIfNegative val="0"/>
          <c:dLbls>
            <c:dLbl>
              <c:idx val="0"/>
              <c:tx>
                <c:strRef>
                  <c:f>'Football field'!$X$10</c:f>
                  <c:strCache>
                    <c:ptCount val="1"/>
                    <c:pt idx="0">
                      <c:v>$23,153 / $36.38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{CFF3FC97-D9FF-44FD-AEC4-FC239BBC159D}</c15:txfldGUID>
                      <c15:f>'Football field'!$X$10</c15:f>
                      <c15:dlblFieldTableCache>
                        <c:ptCount val="1"/>
                        <c:pt idx="0">
                          <c:v>$23,153 / $36.38</c:v>
                        </c:pt>
                      </c15:dlblFieldTableCache>
                    </c15:dlblFTEntry>
                  </c15:dlblFieldTable>
                  <c15:showDataLabelsRange val="0"/>
                </c:ext>
                <c:ext xmlns:c16="http://schemas.microsoft.com/office/drawing/2014/chart" uri="{C3380CC4-5D6E-409C-BE32-E72D297353CC}">
                  <c16:uniqueId val="{00000000-5AB0-40BF-A34E-627B559AA099}"/>
                </c:ext>
              </c:extLst>
            </c:dLbl>
            <c:dLbl>
              <c:idx val="1"/>
              <c:layout>
                <c:manualLayout>
                  <c:x val="0"/>
                  <c:y val="-2.219662984996713E-2"/>
                </c:manualLayout>
              </c:layout>
              <c:tx>
                <c:strRef>
                  <c:f>'Football field'!$X$11</c:f>
                  <c:strCache>
                    <c:ptCount val="1"/>
                    <c:pt idx="0">
                      <c:v>$68,896 / $108.30</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{A0BDE77C-1C5A-4352-93E7-F533BD4C6F62}</c15:txfldGUID>
                      <c15:f>'Football field'!$X$11</c15:f>
                      <c15:dlblFieldTableCache>
                        <c:ptCount val="1"/>
                        <c:pt idx="0">
                          <c:v>$68,896 / $108.30</c:v>
                        </c:pt>
                      </c15:dlblFieldTableCache>
                    </c15:dlblFTEntry>
                  </c15:dlblFieldTable>
                  <c15:showDataLabelsRange val="0"/>
                </c:ext>
                <c:ext xmlns:c16="http://schemas.microsoft.com/office/drawing/2014/chart" uri="{C3380CC4-5D6E-409C-BE32-E72D297353CC}">
                  <c16:uniqueId val="{00000001-5AB0-40BF-A34E-627B559AA099}"/>
                </c:ext>
              </c:extLst>
            </c:dLbl>
            <c:dLbl>
              <c:idx val="2"/>
              <c:layout>
                <c:manualLayout>
                  <c:x val="-1.2746973873420944E-3"/>
                  <c:y val="-2.340927828953239E-2"/>
                </c:manualLayout>
              </c:layout>
              <c:tx>
                <c:strRef>
                  <c:f>'Football field'!$X$12</c:f>
                  <c:strCache>
                    <c:ptCount val="1"/>
                    <c:pt idx="0">
                      <c:v>$30,976 / $48.68</c:v>
                    </c:pt>
                  </c:strCache>
                </c:strRef>
              </c:tx>
              <c:dLblPos val="ctr"/>
              <c:showLegendKey val="0"/>
              <c:showVal val="1"/>
              <c:showCatName val="0"/>
              <c:showSerName val="0"/>
              <c:showPercent val="0"/>
              <c:showBubbleSize val="0"/>
              <c:extLst>
                <c:ext xmlns:c15="http://schemas.microsoft.com/office/drawing/2012/chart" uri="{CE6537A1-D6FC-4f65-9D91-7224C49458BB}">
                  <c15:dlblFieldTable>
                    <c15:dlblFTEntry>
                      <c15:txfldGUID>{C121BC9A-E539-4BFC-9426-3E3EE2165538}</c15:txfldGUID>
                      <c15:f>'Football field'!$X$12</c15:f>
                      <c15:dlblFieldTableCache>
                        <c:ptCount val="1"/>
                        <c:pt idx="0">
                          <c:v>$30,976 / $48.68</c:v>
                        </c:pt>
                      </c15:dlblFieldTableCache>
                    </c15:dlblFTEntry>
                  </c15:dlblFieldTable>
                  <c15:showDataLabelsRange val="0"/>
                </c:ext>
                <c:ext xmlns:c16="http://schemas.microsoft.com/office/drawing/2014/chart" uri="{C3380CC4-5D6E-409C-BE32-E72D297353CC}">
                  <c16:uniqueId val="{00000002-5AB0-40BF-A34E-627B559AA099}"/>
                </c:ext>
              </c:extLst>
            </c:dLbl>
            <c:dLbl>
              <c:idx val="3"/>
              <c:tx>
                <c:strRef>
                  <c:f>'Football field'!$X$13</c:f>
                  <c:strCache>
                    <c:ptCount val="1"/>
                    <c:pt idx="0">
                      <c:v>$587 / $0.90</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{19E03E7B-D6DF-4850-9673-03F497E6F033}</c15:txfldGUID>
                      <c15:f>'Football field'!$X$13</c15:f>
                      <c15:dlblFieldTableCache>
                        <c:ptCount val="1"/>
                        <c:pt idx="0">
                          <c:v>$587 / $0.90</c:v>
                        </c:pt>
                      </c15:dlblFieldTableCache>
                    </c15:dlblFTEntry>
                  </c15:dlblFieldTable>
                  <c15:showDataLabelsRange val="0"/>
                </c:ext>
                <c:ext xmlns:c16="http://schemas.microsoft.com/office/drawing/2014/chart" uri="{C3380CC4-5D6E-409C-BE32-E72D297353CC}">
                  <c16:uniqueId val="{00000003-5AB0-40BF-A34E-627B559AA099}"/>
                </c:ext>
              </c:extLst>
            </c:dLbl>
            <c:dLbl>
              <c:idx val="4"/>
              <c:tx>
                <c:strRef>
                  <c:f>'Football field'!$X$14</c:f>
                  <c:strCache>
                    <c:ptCount val="1"/>
                    <c:pt idx="0">
                      <c:v>$105,603 / $166.02</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{F0BD1FA0-8A77-405B-A328-1063DC262129}</c15:txfldGUID>
                      <c15:f>'Football field'!$X$14</c15:f>
                      <c15:dlblFieldTableCache>
                        <c:ptCount val="1"/>
                        <c:pt idx="0">
                          <c:v>$105,603 / $166.02</c:v>
                        </c:pt>
                      </c15:dlblFieldTableCache>
                    </c15:dlblFTEntry>
                  </c15:dlblFieldTable>
                  <c15:showDataLabelsRange val="0"/>
                </c:ext>
                <c:ext xmlns:c16="http://schemas.microsoft.com/office/drawing/2014/chart" uri="{C3380CC4-5D6E-409C-BE32-E72D297353CC}">
                  <c16:uniqueId val="{00000004-5AB0-40BF-A34E-627B559AA099}"/>
                </c:ext>
              </c:extLst>
            </c:dLbl>
            <c:spPr>
              <a:noFill/>
              <a:ln>
                <a:noFill/>
              </a:ln>
              <a:effectLst/>
            </c:spPr>
            <c:txPr>
              <a:bodyPr/>
              <a:lstStyle/>
              <a:p>
                <a:pPr>
                  <a:defRPr sz="1400" b="1"/>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'Football field'!$W$23:$W$27</c:f>
              <c:strCache>
                <c:ptCount val="5"/>
                <c:pt idx="0">
                  <c:v>52-Week high/low</c:v>
                </c:pt>
                <c:pt idx="1">
                  <c:v>Comparable company analysis (EBITDA)</c:v>
                </c:pt>
                <c:pt idx="2">
                  <c:v>Comparable company analysis (P/E)</c:v>
                </c:pt>
                <c:pt idx="3">
                  <c:v>Discounted cash flow analysis (FCFF)</c:v>
                </c:pt>
                <c:pt idx="4">
                  <c:v>Discounted cash flow analysis (EV/EBITDA Multiple)</c:v>
                </c:pt>
              </c:strCache>
            </c:strRef>
          </c:cat>
          <c:val>
            <c:numRef>
              <c:f>'Football field'!$X$23:$X$27</c:f>
              <c:numCache>
                <c:formatCode>"$"#,##0.00_);[Red]\("$"#,##0.00\)</c:formatCode>
                <c:ptCount val="5"/>
                <c:pt idx="0">
                  <c:v>36.380000000000003</c:v>
                </c:pt>
                <c:pt idx="1">
                  <c:v>108.30425208453495</c:v>
                </c:pt>
                <c:pt idx="2">
                  <c:v>48.680880057906521</c:v>
                </c:pt>
                <c:pt idx="3">
                  <c:v>0.9</c:v>
                </c:pt>
                <c:pt idx="4">
                  <c:v>166.01883853457633</c:v>
                </c:pt>
              </c:numCache>
            </c:numRef>
          </c:val>
          <c:extLst>
            <c:ext xmlns:c16="http://schemas.microsoft.com/office/drawing/2014/chart" uri="{C3380CC4-5D6E-409C-BE32-E72D297353CC}">
              <c16:uniqueId val="{00000005-5AB0-40BF-A34E-627B559AA099}"/>
            </c:ext>
          </c:extLst>
        </c:ser>
        <c:ser>
          <c:idx val="1"/>
          <c:order val="1"/>
          <c:tx>
            <c:strRef>
              <c:f>'Football field'!$Y$22</c:f>
              <c:strCache>
                <c:ptCount val="1"/>
                <c:pt idx="0">
                  <c:v>variance</c:v>
                </c:pt>
              </c:strCache>
            </c:strRef>
          </c:tx>
          <c:spPr>
            <a:solidFill>
              <a:schemeClr val="accent1">
                <a:lumMod val="75000"/>
              </a:schemeClr>
            </a:solidFill>
            <a:ln>
              <a:noFill/>
            </a:ln>
          </c:spPr>
          <c:invertIfNegative val="0"/>
          <c:cat>
            <c:strRef>
              <c:f>'Football field'!$W$23:$W$27</c:f>
              <c:strCache>
                <c:ptCount val="5"/>
                <c:pt idx="0">
                  <c:v>52-Week high/low</c:v>
                </c:pt>
                <c:pt idx="1">
                  <c:v>Comparable company analysis (EBITDA)</c:v>
                </c:pt>
                <c:pt idx="2">
                  <c:v>Comparable company analysis (P/E)</c:v>
                </c:pt>
                <c:pt idx="3">
                  <c:v>Discounted cash flow analysis (FCFF)</c:v>
                </c:pt>
                <c:pt idx="4">
                  <c:v>Discounted cash flow analysis (EV/EBITDA Multiple)</c:v>
                </c:pt>
              </c:strCache>
            </c:strRef>
          </c:cat>
          <c:val>
            <c:numRef>
              <c:f>'Football field'!$Y$23:$Y$27</c:f>
              <c:numCache>
                <c:formatCode>"$"#,##0.00_);[Red]\("$"#,##0.00\)</c:formatCode>
                <c:ptCount val="5"/>
                <c:pt idx="0">
                  <c:v>13.449999999999996</c:v>
                </c:pt>
                <c:pt idx="1">
                  <c:v>-257.05696068038515</c:v>
                </c:pt>
                <c:pt idx="2">
                  <c:v>-47.306620590773527</c:v>
                </c:pt>
                <c:pt idx="3">
                  <c:v>150.60751374395448</c:v>
                </c:pt>
                <c:pt idx="4" formatCode="[$$-C09]#,##0.00">
                  <c:v>264.44310416435337</c:v>
                </c:pt>
              </c:numCache>
            </c:numRef>
          </c:val>
          <c:extLst>
            <c:ext xmlns:c16="http://schemas.microsoft.com/office/drawing/2014/chart" uri="{C3380CC4-5D6E-409C-BE32-E72D297353CC}">
              <c16:uniqueId val="{00000006-5AB0-40BF-A34E-627B559AA099}"/>
            </c:ext>
          </c:extLst>
        </c:ser>
        <c:ser>
          <c:idx val="2"/>
          <c:order val="2"/>
          <c:tx>
            <c:strRef>
              <c:f>'Football field'!$Z$22</c:f>
              <c:strCache>
                <c:ptCount val="1"/>
                <c:pt idx="0">
                  <c:v>Higher end</c:v>
                </c:pt>
              </c:strCache>
            </c:strRef>
          </c:tx>
          <c:spPr>
            <a:noFill/>
            <a:ln>
              <a:noFill/>
            </a:ln>
          </c:spPr>
          <c:invertIfNegative val="0"/>
          <c:dLbls>
            <c:dLbl>
              <c:idx val="0"/>
              <c:tx>
                <c:strRef>
                  <c:f>'Football field'!$Z$10</c:f>
                  <c:strCache>
                    <c:ptCount val="1"/>
                    <c:pt idx="0">
                      <c:v>$31,707 / $49.83</c:v>
                    </c:pt>
                  </c:strCache>
                </c:strRef>
              </c:tx>
              <c:dLblPos val="inBase"/>
              <c:showLegendKey val="0"/>
              <c:showVal val="1"/>
              <c:showCatName val="0"/>
              <c:showSerName val="0"/>
              <c:showPercent val="0"/>
              <c:showBubbleSize val="0"/>
              <c:extLst>
                <c:ext xmlns:c15="http://schemas.microsoft.com/office/drawing/2012/chart" uri="{CE6537A1-D6FC-4f65-9D91-7224C49458BB}">
                  <c15:dlblFieldTable>
                    <c15:dlblFTEntry>
                      <c15:txfldGUID>{74D4EBDC-CFB6-4A0D-BE61-87CC1A4B6E01}</c15:txfldGUID>
                      <c15:f>'Football field'!$Z$10</c15:f>
                      <c15:dlblFieldTableCache>
                        <c:ptCount val="1"/>
                        <c:pt idx="0">
                          <c:v>$31,707 / $49.83</c:v>
                        </c:pt>
                      </c15:dlblFieldTableCache>
                    </c15:dlblFTEntry>
                  </c15:dlblFieldTable>
                  <c15:showDataLabelsRange val="0"/>
                </c:ext>
                <c:ext xmlns:c16="http://schemas.microsoft.com/office/drawing/2014/chart" uri="{C3380CC4-5D6E-409C-BE32-E72D297353CC}">
                  <c16:uniqueId val="{00000007-5AB0-40BF-A34E-627B559AA099}"/>
                </c:ext>
              </c:extLst>
            </c:dLbl>
            <c:dLbl>
              <c:idx val="1"/>
              <c:tx>
                <c:strRef>
                  <c:f>'Football field'!$Z$11</c:f>
                  <c:strCache>
                    <c:ptCount val="1"/>
                    <c:pt idx="0">
                      <c:v>-$94,592 / -$148.75</c:v>
                    </c:pt>
                  </c:strCache>
                </c:strRef>
              </c:tx>
              <c:dLblPos val="inBase"/>
              <c:showLegendKey val="0"/>
              <c:showVal val="0"/>
              <c:showCatName val="0"/>
              <c:showSerName val="0"/>
              <c:showPercent val="0"/>
              <c:showBubbleSize val="0"/>
              <c:extLst>
                <c:ext xmlns:c15="http://schemas.microsoft.com/office/drawing/2012/chart" uri="{CE6537A1-D6FC-4f65-9D91-7224C49458BB}">
                  <c15:dlblFieldTable>
                    <c15:dlblFTEntry>
                      <c15:txfldGUID>{17CB7525-BE09-4512-936C-93C5F33AD946}</c15:txfldGUID>
                      <c15:f>'Football field'!$Z$11</c15:f>
                      <c15:dlblFieldTableCache>
                        <c:ptCount val="1"/>
                        <c:pt idx="0">
                          <c:v>-$94,592 / -$148.75</c:v>
                        </c:pt>
                      </c15:dlblFieldTableCache>
                    </c15:dlblFTEntry>
                  </c15:dlblFieldTable>
                  <c15:showDataLabelsRange val="0"/>
                </c:ext>
                <c:ext xmlns:c16="http://schemas.microsoft.com/office/drawing/2014/chart" uri="{C3380CC4-5D6E-409C-BE32-E72D297353CC}">
                  <c16:uniqueId val="{00000008-5AB0-40BF-A34E-627B559AA099}"/>
                </c:ext>
              </c:extLst>
            </c:dLbl>
            <c:dLbl>
              <c:idx val="2"/>
              <c:tx>
                <c:strRef>
                  <c:f>'Football field'!$Z$12</c:f>
                  <c:strCache>
                    <c:ptCount val="1"/>
                    <c:pt idx="0">
                      <c:v>$889 / $1.37</c:v>
                    </c:pt>
                  </c:strCache>
                </c:strRef>
              </c:tx>
              <c:dLblPos val="inBase"/>
              <c:showLegendKey val="0"/>
              <c:showVal val="1"/>
              <c:showCatName val="0"/>
              <c:showSerName val="0"/>
              <c:showPercent val="0"/>
              <c:showBubbleSize val="0"/>
              <c:extLst>
                <c:ext xmlns:c15="http://schemas.microsoft.com/office/drawing/2012/chart" uri="{CE6537A1-D6FC-4f65-9D91-7224C49458BB}">
                  <c15:dlblFieldTable>
                    <c15:dlblFTEntry>
                      <c15:txfldGUID>{C300314B-D800-4CDB-9B27-F1C213584512}</c15:txfldGUID>
                      <c15:f>'Football field'!$Z$12</c15:f>
                      <c15:dlblFieldTableCache>
                        <c:ptCount val="1"/>
                        <c:pt idx="0">
                          <c:v>$889 / $1.37</c:v>
                        </c:pt>
                      </c15:dlblFieldTableCache>
                    </c15:dlblFTEntry>
                  </c15:dlblFieldTable>
                  <c15:showDataLabelsRange val="0"/>
                </c:ext>
                <c:ext xmlns:c16="http://schemas.microsoft.com/office/drawing/2014/chart" uri="{C3380CC4-5D6E-409C-BE32-E72D297353CC}">
                  <c16:uniqueId val="{00000009-5AB0-40BF-A34E-627B559AA099}"/>
                </c:ext>
              </c:extLst>
            </c:dLbl>
            <c:dLbl>
              <c:idx val="3"/>
              <c:tx>
                <c:strRef>
                  <c:f>'Football field'!$Z$13</c:f>
                  <c:strCache>
                    <c:ptCount val="1"/>
                    <c:pt idx="0">
                      <c:v>$96,374 / $151.51</c:v>
                    </c:pt>
                  </c:strCache>
                </c:strRef>
              </c:tx>
              <c:dLblPos val="inBase"/>
              <c:showLegendKey val="0"/>
              <c:showVal val="1"/>
              <c:showCatName val="0"/>
              <c:showSerName val="0"/>
              <c:showPercent val="0"/>
              <c:showBubbleSize val="0"/>
              <c:extLst>
                <c:ext xmlns:c15="http://schemas.microsoft.com/office/drawing/2012/chart" uri="{CE6537A1-D6FC-4f65-9D91-7224C49458BB}">
                  <c15:dlblFieldTable>
                    <c15:dlblFTEntry>
                      <c15:txfldGUID>{6E1D4726-CB59-47D4-BF08-5A6C4B379158}</c15:txfldGUID>
                      <c15:f>'Football field'!$Z$13</c15:f>
                      <c15:dlblFieldTableCache>
                        <c:ptCount val="1"/>
                        <c:pt idx="0">
                          <c:v>$96,374 / $151.51</c:v>
                        </c:pt>
                      </c15:dlblFieldTableCache>
                    </c15:dlblFTEntry>
                  </c15:dlblFieldTable>
                  <c15:showDataLabelsRange val="0"/>
                </c:ext>
                <c:ext xmlns:c16="http://schemas.microsoft.com/office/drawing/2014/chart" uri="{C3380CC4-5D6E-409C-BE32-E72D297353CC}">
                  <c16:uniqueId val="{0000000A-5AB0-40BF-A34E-627B559AA099}"/>
                </c:ext>
              </c:extLst>
            </c:dLbl>
            <c:dLbl>
              <c:idx val="4"/>
              <c:tx>
                <c:strRef>
                  <c:f>'Football field'!$Z$14</c:f>
                  <c:strCache>
                    <c:ptCount val="1"/>
                    <c:pt idx="0">
                      <c:v>$273,789 / $430.46</c:v>
                    </c:pt>
                  </c:strCache>
                </c:strRef>
              </c:tx>
              <c:dLblPos val="inBase"/>
              <c:showLegendKey val="0"/>
              <c:showVal val="1"/>
              <c:showCatName val="0"/>
              <c:showSerName val="0"/>
              <c:showPercent val="0"/>
              <c:showBubbleSize val="0"/>
              <c:extLst>
                <c:ext xmlns:c15="http://schemas.microsoft.com/office/drawing/2012/chart" uri="{CE6537A1-D6FC-4f65-9D91-7224C49458BB}">
                  <c15:dlblFieldTable>
                    <c15:dlblFTEntry>
                      <c15:txfldGUID>{E547D581-34D1-4DB9-B263-7A10A9E85A84}</c15:txfldGUID>
                      <c15:f>'Football field'!$Z$14</c15:f>
                      <c15:dlblFieldTableCache>
                        <c:ptCount val="1"/>
                        <c:pt idx="0">
                          <c:v>$273,789 / $430.46</c:v>
                        </c:pt>
                      </c15:dlblFieldTableCache>
                    </c15:dlblFTEntry>
                  </c15:dlblFieldTable>
                  <c15:showDataLabelsRange val="0"/>
                </c:ext>
                <c:ext xmlns:c16="http://schemas.microsoft.com/office/drawing/2014/chart" uri="{C3380CC4-5D6E-409C-BE32-E72D297353CC}">
                  <c16:uniqueId val="{0000000B-5AB0-40BF-A34E-627B559AA099}"/>
                </c:ext>
              </c:extLst>
            </c:dLbl>
            <c:spPr>
              <a:noFill/>
              <a:ln>
                <a:noFill/>
              </a:ln>
              <a:effectLst/>
            </c:spPr>
            <c:txPr>
              <a:bodyPr/>
              <a:lstStyle/>
              <a:p>
                <a:pPr>
                  <a:defRPr sz="1400" b="1"/>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'Football field'!$W$23:$W$27</c:f>
              <c:strCache>
                <c:ptCount val="5"/>
                <c:pt idx="0">
                  <c:v>52-Week high/low</c:v>
                </c:pt>
                <c:pt idx="1">
                  <c:v>Comparable company analysis (EBITDA)</c:v>
                </c:pt>
                <c:pt idx="2">
                  <c:v>Comparable company analysis (P/E)</c:v>
                </c:pt>
                <c:pt idx="3">
                  <c:v>Discounted cash flow analysis (FCFF)</c:v>
                </c:pt>
                <c:pt idx="4">
                  <c:v>Discounted cash flow analysis (EV/EBITDA Multiple)</c:v>
                </c:pt>
              </c:strCache>
            </c:strRef>
          </c:cat>
          <c:val>
            <c:numRef>
              <c:f>'Football field'!$Z$23:$Z$27</c:f>
              <c:numCache>
                <c:formatCode>"$"#,##0.00_);[Red]\("$"#,##0.00\)</c:formatCode>
                <c:ptCount val="5"/>
                <c:pt idx="0">
                  <c:v>49.83</c:v>
                </c:pt>
                <c:pt idx="1">
                  <c:v>-148.75270859585018</c:v>
                </c:pt>
                <c:pt idx="2">
                  <c:v>1.3742594671329944</c:v>
                </c:pt>
                <c:pt idx="3">
                  <c:v>151.50751374395449</c:v>
                </c:pt>
                <c:pt idx="4">
                  <c:v>430.4619426989297</c:v>
                </c:pt>
              </c:numCache>
            </c:numRef>
          </c:val>
          <c:extLst>
            <c:ext xmlns:c16="http://schemas.microsoft.com/office/drawing/2014/chart" uri="{C3380CC4-5D6E-409C-BE32-E72D297353CC}">
              <c16:uniqueId val="{0000000C-5AB0-40BF-A34E-627B559AA099}"/>
            </c:ext>
          </c:extLst>
        </c:ser>
        <c:dLbls>
          <c:showLegendKey val="0"/>
          <c:showVal val="0"/>
          <c:showCatName val="0"/>
          <c:showSerName val="0"/>
          <c:showPercent val="0"/>
          <c:showBubbleSize val="0"/>
        </c:dLbls>
        <c:gapWidth val="52"/>
        <c:overlap val="100"/>
        <c:axId val="441153296"/>
        <c:axId val="441160352"/>
      </c:barChart>
      <c:catAx>
        <c:axId val="441153296"/>
        <c:scaling>
          <c:orientation val="minMax"/>
        </c:scaling>
        <c:delete val="0"/>
        <c:axPos val="b"/>
        <c:numFmt formatCode="General" sourceLinked="0"/>
        <c:majorTickMark val="none"/>
        <c:minorTickMark val="none"/>
        <c:tickLblPos val="low"/>
        <c:spPr>
          <a:ln w="15875"/>
        </c:spPr>
        <c:txPr>
          <a:bodyPr/>
          <a:lstStyle/>
          <a:p>
            <a:pPr>
              <a:defRPr sz="1400" b="1"/>
            </a:pPr>
            <a:endParaRPr lang="en-US"/>
          </a:p>
        </c:txPr>
        <c:crossAx val="441160352"/>
        <c:crossesAt val="289"/>
        <c:auto val="1"/>
        <c:lblAlgn val="ctr"/>
        <c:lblOffset val="400"/>
        <c:noMultiLvlLbl val="0"/>
      </c:catAx>
      <c:valAx>
        <c:axId val="441160352"/>
        <c:scaling>
          <c:orientation val="minMax"/>
        </c:scaling>
        <c:delete val="0"/>
        <c:axPos val="l"/>
        <c:majorGridlines>
          <c:spPr>
            <a:ln>
              <a:noFill/>
            </a:ln>
          </c:spPr>
        </c:majorGridlines>
        <c:numFmt formatCode="&quot;$&quot;#,##0.00_);[Red]\(&quot;$&quot;#,##0.00\)" sourceLinked="1"/>
        <c:majorTickMark val="none"/>
        <c:minorTickMark val="none"/>
        <c:tickLblPos val="none"/>
        <c:spPr>
          <a:noFill/>
          <a:ln>
            <a:noFill/>
          </a:ln>
        </c:spPr>
        <c:crossAx val="441153296"/>
        <c:crosses val="autoZero"/>
        <c:crossBetween val="between"/>
      </c:valAx>
      <c:spPr>
        <a:noFill/>
        <a:ln>
          <a:noFill/>
        </a:ln>
      </c:spPr>
    </c:plotArea>
    <c:plotVisOnly val="1"/>
    <c:dispBlanksAs val="gap"/>
    <c:showDLblsOverMax val="0"/>
  </c:chart>
  <c:spPr>
    <a:noFill/>
    <a:ln>
      <a:noFill/>
    </a:ln>
  </c:spPr>
  <c:printSettings>
    <c:headerFooter/>
    <c:pageMargins b="0.75000000000001044" l="0.70000000000000062" r="0.70000000000000062" t="0.75000000000001044"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Normed Share Price past 52-Weeks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'Football field'!$AG$4</c:f>
              <c:strCache>
                <c:ptCount val="1"/>
                <c:pt idx="0">
                  <c:v>#N/A</c:v>
                </c:pt>
              </c:strCache>
            </c:strRef>
          </c:tx>
          <c:spPr>
            <a:ln w="28575" cap="rnd">
              <a:solidFill>
                <a:schemeClr val="accent1"/>
              </a:solidFill>
              <a:round/>
            </a:ln>
            <a:effectLst/>
          </c:spPr>
          <c:marker>
            <c:symbol val="none"/>
          </c:marker>
          <c:cat>
            <c:numRef>
              <c:f>'Football field'!$AC$5:$AC$57</c:f>
              <c:numCache>
                <c:formatCode>m/d/yyyy</c:formatCode>
                <c:ptCount val="53"/>
                <c:pt idx="0">
                  <c:v>44526</c:v>
                </c:pt>
                <c:pt idx="1">
                  <c:v>44519</c:v>
                </c:pt>
                <c:pt idx="2">
                  <c:v>44512</c:v>
                </c:pt>
                <c:pt idx="3">
                  <c:v>44505</c:v>
                </c:pt>
                <c:pt idx="4">
                  <c:v>44498</c:v>
                </c:pt>
                <c:pt idx="5">
                  <c:v>44491</c:v>
                </c:pt>
                <c:pt idx="6">
                  <c:v>44484</c:v>
                </c:pt>
                <c:pt idx="7">
                  <c:v>44477</c:v>
                </c:pt>
                <c:pt idx="8">
                  <c:v>44470</c:v>
                </c:pt>
                <c:pt idx="9">
                  <c:v>44463</c:v>
                </c:pt>
                <c:pt idx="10">
                  <c:v>44456</c:v>
                </c:pt>
                <c:pt idx="11">
                  <c:v>44449</c:v>
                </c:pt>
                <c:pt idx="12">
                  <c:v>44442</c:v>
                </c:pt>
                <c:pt idx="13">
                  <c:v>44435</c:v>
                </c:pt>
                <c:pt idx="14">
                  <c:v>44428</c:v>
                </c:pt>
                <c:pt idx="15">
                  <c:v>44421</c:v>
                </c:pt>
                <c:pt idx="16">
                  <c:v>44414</c:v>
                </c:pt>
                <c:pt idx="17">
                  <c:v>44407</c:v>
                </c:pt>
                <c:pt idx="18">
                  <c:v>44400</c:v>
                </c:pt>
                <c:pt idx="19">
                  <c:v>44393</c:v>
                </c:pt>
                <c:pt idx="20">
                  <c:v>44386</c:v>
                </c:pt>
                <c:pt idx="21">
                  <c:v>44379</c:v>
                </c:pt>
                <c:pt idx="22">
                  <c:v>44372</c:v>
                </c:pt>
                <c:pt idx="23">
                  <c:v>44365</c:v>
                </c:pt>
                <c:pt idx="24">
                  <c:v>44358</c:v>
                </c:pt>
                <c:pt idx="25">
                  <c:v>44351</c:v>
                </c:pt>
                <c:pt idx="26">
                  <c:v>44344</c:v>
                </c:pt>
                <c:pt idx="27">
                  <c:v>44337</c:v>
                </c:pt>
                <c:pt idx="28">
                  <c:v>44330</c:v>
                </c:pt>
                <c:pt idx="29">
                  <c:v>44323</c:v>
                </c:pt>
                <c:pt idx="30">
                  <c:v>44316</c:v>
                </c:pt>
                <c:pt idx="31">
                  <c:v>44309</c:v>
                </c:pt>
                <c:pt idx="32">
                  <c:v>44302</c:v>
                </c:pt>
                <c:pt idx="33">
                  <c:v>44295</c:v>
                </c:pt>
                <c:pt idx="34">
                  <c:v>44287</c:v>
                </c:pt>
                <c:pt idx="35">
                  <c:v>44281</c:v>
                </c:pt>
                <c:pt idx="36">
                  <c:v>44274</c:v>
                </c:pt>
                <c:pt idx="37">
                  <c:v>44267</c:v>
                </c:pt>
                <c:pt idx="38">
                  <c:v>44260</c:v>
                </c:pt>
                <c:pt idx="39">
                  <c:v>44253</c:v>
                </c:pt>
                <c:pt idx="40">
                  <c:v>44246</c:v>
                </c:pt>
                <c:pt idx="41">
                  <c:v>44239</c:v>
                </c:pt>
                <c:pt idx="42">
                  <c:v>44232</c:v>
                </c:pt>
                <c:pt idx="43">
                  <c:v>44225</c:v>
                </c:pt>
                <c:pt idx="44">
                  <c:v>44218</c:v>
                </c:pt>
                <c:pt idx="45">
                  <c:v>44211</c:v>
                </c:pt>
                <c:pt idx="46">
                  <c:v>44204</c:v>
                </c:pt>
                <c:pt idx="47">
                  <c:v>44196</c:v>
                </c:pt>
                <c:pt idx="48">
                  <c:v>44189</c:v>
                </c:pt>
                <c:pt idx="49">
                  <c:v>44183</c:v>
                </c:pt>
                <c:pt idx="50">
                  <c:v>44176</c:v>
                </c:pt>
                <c:pt idx="51">
                  <c:v>44169</c:v>
                </c:pt>
                <c:pt idx="52">
                  <c:v>44162</c:v>
                </c:pt>
              </c:numCache>
            </c:numRef>
          </c:cat>
          <c:val>
            <c:numRef>
              <c:f>'Football field'!$AG$5:$AG$57</c:f>
              <c:numCache>
                <c:formatCode>General</c:formatCode>
                <c:ptCount val="53"/>
                <c:pt idx="0">
                  <c:v>88.602045786653619</c:v>
                </c:pt>
                <c:pt idx="1">
                  <c:v>96.663419386263925</c:v>
                </c:pt>
                <c:pt idx="2">
                  <c:v>102.82513395031653</c:v>
                </c:pt>
                <c:pt idx="3">
                  <c:v>107.86653677545048</c:v>
                </c:pt>
                <c:pt idx="4">
                  <c:v>95.299561617145571</c:v>
                </c:pt>
                <c:pt idx="5">
                  <c:v>96.785192401363787</c:v>
                </c:pt>
                <c:pt idx="6">
                  <c:v>99.829517778860136</c:v>
                </c:pt>
                <c:pt idx="7">
                  <c:v>105.65026790063315</c:v>
                </c:pt>
                <c:pt idx="8">
                  <c:v>110.52118850462732</c:v>
                </c:pt>
                <c:pt idx="9">
                  <c:v>106.01558694593272</c:v>
                </c:pt>
                <c:pt idx="10">
                  <c:v>97.686312713102723</c:v>
                </c:pt>
                <c:pt idx="11">
                  <c:v>95.859717486604922</c:v>
                </c:pt>
                <c:pt idx="12">
                  <c:v>98.027277155382322</c:v>
                </c:pt>
                <c:pt idx="13">
                  <c:v>101.12031173891862</c:v>
                </c:pt>
                <c:pt idx="14">
                  <c:v>92.83974671212853</c:v>
                </c:pt>
                <c:pt idx="15">
                  <c:v>97.174866049683331</c:v>
                </c:pt>
                <c:pt idx="16">
                  <c:v>98.197759376522114</c:v>
                </c:pt>
                <c:pt idx="17">
                  <c:v>97.174866049683345</c:v>
                </c:pt>
                <c:pt idx="18">
                  <c:v>98.416950803701852</c:v>
                </c:pt>
                <c:pt idx="19">
                  <c:v>97.564539698002889</c:v>
                </c:pt>
                <c:pt idx="20">
                  <c:v>104.52995616171452</c:v>
                </c:pt>
                <c:pt idx="21">
                  <c:v>107.52557233317091</c:v>
                </c:pt>
                <c:pt idx="22">
                  <c:v>108.2075012177301</c:v>
                </c:pt>
                <c:pt idx="23">
                  <c:v>109.49829517778855</c:v>
                </c:pt>
                <c:pt idx="24">
                  <c:v>113.24890404286404</c:v>
                </c:pt>
                <c:pt idx="25">
                  <c:v>111.98246468582555</c:v>
                </c:pt>
                <c:pt idx="26">
                  <c:v>116.12274719922058</c:v>
                </c:pt>
                <c:pt idx="27">
                  <c:v>110.10716025328782</c:v>
                </c:pt>
                <c:pt idx="28">
                  <c:v>112.78616658548461</c:v>
                </c:pt>
                <c:pt idx="29">
                  <c:v>112.29907452508519</c:v>
                </c:pt>
                <c:pt idx="30">
                  <c:v>114.27179736970284</c:v>
                </c:pt>
                <c:pt idx="31">
                  <c:v>111.5440818314661</c:v>
                </c:pt>
                <c:pt idx="32">
                  <c:v>113.58986848514365</c:v>
                </c:pt>
                <c:pt idx="33">
                  <c:v>119.99512907939598</c:v>
                </c:pt>
                <c:pt idx="34">
                  <c:v>118.92352654651725</c:v>
                </c:pt>
                <c:pt idx="35">
                  <c:v>116.07403799318067</c:v>
                </c:pt>
                <c:pt idx="36">
                  <c:v>119.33755479785677</c:v>
                </c:pt>
                <c:pt idx="37">
                  <c:v>121.35898684851435</c:v>
                </c:pt>
                <c:pt idx="38">
                  <c:v>112.54262055528494</c:v>
                </c:pt>
                <c:pt idx="39">
                  <c:v>116.75596687773988</c:v>
                </c:pt>
                <c:pt idx="40">
                  <c:v>111.22747199220652</c:v>
                </c:pt>
                <c:pt idx="41">
                  <c:v>105.43107647345347</c:v>
                </c:pt>
                <c:pt idx="42">
                  <c:v>100.21919142717974</c:v>
                </c:pt>
                <c:pt idx="43">
                  <c:v>92.450073063809072</c:v>
                </c:pt>
                <c:pt idx="44">
                  <c:v>97.418412079883097</c:v>
                </c:pt>
                <c:pt idx="45">
                  <c:v>97.369702873843153</c:v>
                </c:pt>
                <c:pt idx="46">
                  <c:v>97.467121285923056</c:v>
                </c:pt>
                <c:pt idx="47">
                  <c:v>97.929858743302489</c:v>
                </c:pt>
                <c:pt idx="48">
                  <c:v>96.760837798343871</c:v>
                </c:pt>
                <c:pt idx="49">
                  <c:v>99.074525085241106</c:v>
                </c:pt>
                <c:pt idx="50">
                  <c:v>101.65611300535801</c:v>
                </c:pt>
                <c:pt idx="51">
                  <c:v>103.16609839259618</c:v>
                </c:pt>
                <c:pt idx="52">
                  <c:v>100</c:v>
                </c:pt>
              </c:numCache>
            </c:numRef>
          </c:val>
          <c:smooth val="0"/>
          <c:extLst>
            <c:ext xmlns:c16="http://schemas.microsoft.com/office/drawing/2014/chart" uri="{C3380CC4-5D6E-409C-BE32-E72D297353CC}">
              <c16:uniqueId val="{00000000-D449-41FB-B095-735AD70FFE2F}"/>
            </c:ext>
          </c:extLst>
        </c:ser>
        <c:ser>
          <c:idx val="1"/>
          <c:order val="1"/>
          <c:tx>
            <c:strRef>
              <c:f>'Football field'!$AH$4</c:f>
              <c:strCache>
                <c:ptCount val="1"/>
                <c:pt idx="0">
                  <c:v>S&amp;P 500</c:v>
                </c:pt>
              </c:strCache>
            </c:strRef>
          </c:tx>
          <c:spPr>
            <a:ln w="28575" cap="rnd">
              <a:solidFill>
                <a:schemeClr val="accent2"/>
              </a:solidFill>
              <a:round/>
            </a:ln>
            <a:effectLst/>
          </c:spPr>
          <c:marker>
            <c:symbol val="none"/>
          </c:marker>
          <c:val>
            <c:numRef>
              <c:f>'Football field'!$AH$5:$AH$57</c:f>
              <c:numCache>
                <c:formatCode>General</c:formatCode>
                <c:ptCount val="53"/>
                <c:pt idx="0">
                  <c:v>126.28306787417374</c:v>
                </c:pt>
                <c:pt idx="1">
                  <c:v>129.12336636112525</c:v>
                </c:pt>
                <c:pt idx="2">
                  <c:v>128.7080682177361</c:v>
                </c:pt>
                <c:pt idx="3">
                  <c:v>129.11154781700498</c:v>
                </c:pt>
                <c:pt idx="4">
                  <c:v>126.57880632704388</c:v>
                </c:pt>
                <c:pt idx="5">
                  <c:v>124.91651435403412</c:v>
                </c:pt>
                <c:pt idx="6">
                  <c:v>122.89554330946723</c:v>
                </c:pt>
                <c:pt idx="7">
                  <c:v>120.6959198537799</c:v>
                </c:pt>
                <c:pt idx="8">
                  <c:v>119.75318482279057</c:v>
                </c:pt>
                <c:pt idx="9">
                  <c:v>122.45880687674359</c:v>
                </c:pt>
                <c:pt idx="10">
                  <c:v>121.84066953426692</c:v>
                </c:pt>
                <c:pt idx="11">
                  <c:v>122.54401033435488</c:v>
                </c:pt>
                <c:pt idx="12">
                  <c:v>124.65623153352485</c:v>
                </c:pt>
                <c:pt idx="13">
                  <c:v>123.93997278986356</c:v>
                </c:pt>
                <c:pt idx="14">
                  <c:v>122.07923921557853</c:v>
                </c:pt>
                <c:pt idx="15">
                  <c:v>122.80291890554788</c:v>
                </c:pt>
                <c:pt idx="16">
                  <c:v>121.9376915359985</c:v>
                </c:pt>
                <c:pt idx="17">
                  <c:v>120.80366100017868</c:v>
                </c:pt>
                <c:pt idx="18">
                  <c:v>121.25798782415107</c:v>
                </c:pt>
                <c:pt idx="19">
                  <c:v>118.93193343136312</c:v>
                </c:pt>
                <c:pt idx="20">
                  <c:v>120.09702200173156</c:v>
                </c:pt>
                <c:pt idx="21">
                  <c:v>119.62400538705731</c:v>
                </c:pt>
                <c:pt idx="22">
                  <c:v>117.65498096664696</c:v>
                </c:pt>
                <c:pt idx="23">
                  <c:v>114.5148212788764</c:v>
                </c:pt>
                <c:pt idx="24">
                  <c:v>116.74083032143689</c:v>
                </c:pt>
                <c:pt idx="25">
                  <c:v>116.25846881141177</c:v>
                </c:pt>
                <c:pt idx="26">
                  <c:v>115.54990586392182</c:v>
                </c:pt>
                <c:pt idx="27">
                  <c:v>114.22375527368175</c:v>
                </c:pt>
                <c:pt idx="28">
                  <c:v>114.71821017769045</c:v>
                </c:pt>
                <c:pt idx="29">
                  <c:v>116.33295312435584</c:v>
                </c:pt>
                <c:pt idx="30">
                  <c:v>114.91940027759838</c:v>
                </c:pt>
                <c:pt idx="31">
                  <c:v>114.89191529127217</c:v>
                </c:pt>
                <c:pt idx="32">
                  <c:v>115.03758571880114</c:v>
                </c:pt>
                <c:pt idx="33">
                  <c:v>113.48001154369429</c:v>
                </c:pt>
                <c:pt idx="34">
                  <c:v>110.48607198317922</c:v>
                </c:pt>
                <c:pt idx="35">
                  <c:v>109.24017755301169</c:v>
                </c:pt>
                <c:pt idx="36">
                  <c:v>107.55149999312877</c:v>
                </c:pt>
                <c:pt idx="37">
                  <c:v>108.38264597963365</c:v>
                </c:pt>
                <c:pt idx="38">
                  <c:v>105.59566836615501</c:v>
                </c:pt>
                <c:pt idx="39">
                  <c:v>104.74940563717072</c:v>
                </c:pt>
                <c:pt idx="40">
                  <c:v>107.37587093050423</c:v>
                </c:pt>
                <c:pt idx="41">
                  <c:v>108.14874874599752</c:v>
                </c:pt>
                <c:pt idx="42">
                  <c:v>106.82946940233899</c:v>
                </c:pt>
                <c:pt idx="43">
                  <c:v>102.08583561229678</c:v>
                </c:pt>
                <c:pt idx="44">
                  <c:v>105.58275042258165</c:v>
                </c:pt>
                <c:pt idx="45">
                  <c:v>103.57029972377589</c:v>
                </c:pt>
                <c:pt idx="46">
                  <c:v>105.12127750216445</c:v>
                </c:pt>
                <c:pt idx="47">
                  <c:v>103.23553259032255</c:v>
                </c:pt>
                <c:pt idx="48">
                  <c:v>101.77855346516965</c:v>
                </c:pt>
                <c:pt idx="49">
                  <c:v>101.95308312834113</c:v>
                </c:pt>
                <c:pt idx="50">
                  <c:v>100.69014800665137</c:v>
                </c:pt>
                <c:pt idx="51">
                  <c:v>101.67026261904435</c:v>
                </c:pt>
                <c:pt idx="52">
                  <c:v>100</c:v>
                </c:pt>
              </c:numCache>
            </c:numRef>
          </c:val>
          <c:smooth val="0"/>
          <c:extLst>
            <c:ext xmlns:c16="http://schemas.microsoft.com/office/drawing/2014/chart" uri="{C3380CC4-5D6E-409C-BE32-E72D297353CC}">
              <c16:uniqueId val="{00000002-D449-41FB-B095-735AD70FFE2F}"/>
            </c:ext>
          </c:extLst>
        </c:ser>
        <c:ser>
          <c:idx val="2"/>
          <c:order val="2"/>
          <c:tx>
            <c:strRef>
              <c:f>'Football field'!$AI$4</c:f>
              <c:strCache>
                <c:ptCount val="1"/>
                <c:pt idx="0">
                  <c:v>United States / Telecommunications Equipment -IND</c:v>
                </c:pt>
              </c:strCache>
            </c:strRef>
          </c:tx>
          <c:spPr>
            <a:ln w="28575" cap="rnd">
              <a:solidFill>
                <a:schemeClr val="accent3"/>
              </a:solidFill>
              <a:round/>
            </a:ln>
            <a:effectLst/>
          </c:spPr>
          <c:marker>
            <c:symbol val="none"/>
          </c:marker>
          <c:val>
            <c:numRef>
              <c:f>'Football field'!$AI$5:$AI$57</c:f>
              <c:numCache>
                <c:formatCode>General</c:formatCode>
                <c:ptCount val="53"/>
                <c:pt idx="0">
                  <c:v>138.78580704921626</c:v>
                </c:pt>
                <c:pt idx="1">
                  <c:v>137.88860760226353</c:v>
                </c:pt>
                <c:pt idx="2">
                  <c:v>128.73951917436844</c:v>
                </c:pt>
                <c:pt idx="3">
                  <c:v>129.66683438314311</c:v>
                </c:pt>
                <c:pt idx="4">
                  <c:v>126.76670269265381</c:v>
                </c:pt>
                <c:pt idx="5">
                  <c:v>125.9799858716389</c:v>
                </c:pt>
                <c:pt idx="6">
                  <c:v>122.92020999998211</c:v>
                </c:pt>
                <c:pt idx="7">
                  <c:v>121.16634566170021</c:v>
                </c:pt>
                <c:pt idx="8">
                  <c:v>121.08258673113832</c:v>
                </c:pt>
                <c:pt idx="9">
                  <c:v>124.84213271687665</c:v>
                </c:pt>
                <c:pt idx="10">
                  <c:v>124.09587809875056</c:v>
                </c:pt>
                <c:pt idx="11">
                  <c:v>126.90049992334863</c:v>
                </c:pt>
                <c:pt idx="12">
                  <c:v>131.28253053434364</c:v>
                </c:pt>
                <c:pt idx="13">
                  <c:v>126.88057312899443</c:v>
                </c:pt>
                <c:pt idx="14">
                  <c:v>126.26416187741214</c:v>
                </c:pt>
                <c:pt idx="15">
                  <c:v>127.33855742777003</c:v>
                </c:pt>
                <c:pt idx="16">
                  <c:v>124.96288517510339</c:v>
                </c:pt>
                <c:pt idx="17">
                  <c:v>124.89185181376814</c:v>
                </c:pt>
                <c:pt idx="18">
                  <c:v>126.66475768941456</c:v>
                </c:pt>
                <c:pt idx="19">
                  <c:v>124.56560907681229</c:v>
                </c:pt>
                <c:pt idx="20">
                  <c:v>123.81171060506379</c:v>
                </c:pt>
                <c:pt idx="21">
                  <c:v>119.87116786932515</c:v>
                </c:pt>
                <c:pt idx="22">
                  <c:v>114.34507879255371</c:v>
                </c:pt>
                <c:pt idx="23">
                  <c:v>111.860605051021</c:v>
                </c:pt>
                <c:pt idx="24">
                  <c:v>109.75619596899931</c:v>
                </c:pt>
                <c:pt idx="25">
                  <c:v>108.60073981948078</c:v>
                </c:pt>
                <c:pt idx="26">
                  <c:v>107.45666858557469</c:v>
                </c:pt>
                <c:pt idx="27">
                  <c:v>107.78287301814156</c:v>
                </c:pt>
                <c:pt idx="28">
                  <c:v>108.28178342851692</c:v>
                </c:pt>
                <c:pt idx="29">
                  <c:v>110.91120949002303</c:v>
                </c:pt>
                <c:pt idx="30">
                  <c:v>111.82616089324475</c:v>
                </c:pt>
                <c:pt idx="31">
                  <c:v>113.94457661350216</c:v>
                </c:pt>
                <c:pt idx="32">
                  <c:v>113.97958682502666</c:v>
                </c:pt>
                <c:pt idx="33">
                  <c:v>113.17871866030653</c:v>
                </c:pt>
                <c:pt idx="34">
                  <c:v>105.29625848686938</c:v>
                </c:pt>
                <c:pt idx="35">
                  <c:v>103.90616241861061</c:v>
                </c:pt>
                <c:pt idx="36">
                  <c:v>102.79323265294239</c:v>
                </c:pt>
                <c:pt idx="37">
                  <c:v>103.55380460045924</c:v>
                </c:pt>
                <c:pt idx="38">
                  <c:v>103.55044232631576</c:v>
                </c:pt>
                <c:pt idx="39">
                  <c:v>103.8700626600219</c:v>
                </c:pt>
                <c:pt idx="40">
                  <c:v>111.13530718970827</c:v>
                </c:pt>
                <c:pt idx="41">
                  <c:v>115.62224501002339</c:v>
                </c:pt>
                <c:pt idx="42">
                  <c:v>116.32910994815204</c:v>
                </c:pt>
                <c:pt idx="43">
                  <c:v>112.89615569491355</c:v>
                </c:pt>
                <c:pt idx="44">
                  <c:v>118.67348325898168</c:v>
                </c:pt>
                <c:pt idx="45">
                  <c:v>109.0714922479152</c:v>
                </c:pt>
                <c:pt idx="46">
                  <c:v>112.80048409937997</c:v>
                </c:pt>
                <c:pt idx="47">
                  <c:v>113.05345905231026</c:v>
                </c:pt>
                <c:pt idx="48">
                  <c:v>112.33037007742848</c:v>
                </c:pt>
                <c:pt idx="49">
                  <c:v>108.13395402332702</c:v>
                </c:pt>
                <c:pt idx="50">
                  <c:v>104.61092487138875</c:v>
                </c:pt>
                <c:pt idx="51">
                  <c:v>105.1702200229639</c:v>
                </c:pt>
                <c:pt idx="52">
                  <c:v>100</c:v>
                </c:pt>
              </c:numCache>
            </c:numRef>
          </c:val>
          <c:smooth val="0"/>
          <c:extLst>
            <c:ext xmlns:c16="http://schemas.microsoft.com/office/drawing/2014/chart" uri="{C3380CC4-5D6E-409C-BE32-E72D297353CC}">
              <c16:uniqueId val="{00000003-D449-41FB-B095-735AD70FFE2F}"/>
            </c:ext>
          </c:extLst>
        </c:ser>
        <c:dLbls>
          <c:showLegendKey val="0"/>
          <c:showVal val="0"/>
          <c:showCatName val="0"/>
          <c:showSerName val="0"/>
          <c:showPercent val="0"/>
          <c:showBubbleSize val="0"/>
        </c:dLbls>
        <c:smooth val="0"/>
        <c:axId val="37970768"/>
        <c:axId val="327844384"/>
      </c:lineChart>
      <c:dateAx>
        <c:axId val="3797076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44384"/>
        <c:crosses val="autoZero"/>
        <c:auto val="1"/>
        <c:lblOffset val="100"/>
        <c:baseTimeUnit val="days"/>
      </c:dateAx>
      <c:valAx>
        <c:axId val="32784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7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 PE'!$D$1</c:f>
              <c:strCache>
                <c:ptCount val="1"/>
                <c:pt idx="0">
                  <c:v>Trailing PE</c:v>
                </c:pt>
              </c:strCache>
            </c:strRef>
          </c:tx>
          <c:spPr>
            <a:solidFill>
              <a:schemeClr val="accent1"/>
            </a:solidFill>
            <a:ln>
              <a:noFill/>
            </a:ln>
            <a:effectLst/>
          </c:spPr>
          <c:invertIfNegative val="0"/>
          <c:cat>
            <c:strRef>
              <c:f>'D PE'!$A$2:$A$97</c:f>
              <c:strCache>
                <c:ptCount val="96"/>
                <c:pt idx="0">
                  <c:v>Coal &amp; Related Energy</c:v>
                </c:pt>
                <c:pt idx="1">
                  <c:v>Air Transport</c:v>
                </c:pt>
                <c:pt idx="2">
                  <c:v>Bank (Money Center)</c:v>
                </c:pt>
                <c:pt idx="3">
                  <c:v>Reinsurance</c:v>
                </c:pt>
                <c:pt idx="4">
                  <c:v>Oil/Gas Distribution</c:v>
                </c:pt>
                <c:pt idx="5">
                  <c:v>Banks (Regional)</c:v>
                </c:pt>
                <c:pt idx="6">
                  <c:v>Chemical (Basic)</c:v>
                </c:pt>
                <c:pt idx="7">
                  <c:v>Chemical (Diversified)</c:v>
                </c:pt>
                <c:pt idx="8">
                  <c:v>Broadcasting</c:v>
                </c:pt>
                <c:pt idx="9">
                  <c:v>Office Equipment &amp; Services</c:v>
                </c:pt>
                <c:pt idx="10">
                  <c:v>Insurance (Life)</c:v>
                </c:pt>
                <c:pt idx="11">
                  <c:v>Homebuilding</c:v>
                </c:pt>
                <c:pt idx="12">
                  <c:v>Precious Metals</c:v>
                </c:pt>
                <c:pt idx="13">
                  <c:v>Paper/Forest Products</c:v>
                </c:pt>
                <c:pt idx="14">
                  <c:v>Utility (General)</c:v>
                </c:pt>
                <c:pt idx="15">
                  <c:v>Advertising</c:v>
                </c:pt>
                <c:pt idx="16">
                  <c:v>Brokerage &amp; Investment Banking</c:v>
                </c:pt>
                <c:pt idx="17">
                  <c:v>Power</c:v>
                </c:pt>
                <c:pt idx="18">
                  <c:v>Apparel</c:v>
                </c:pt>
                <c:pt idx="19">
                  <c:v>Retail (General)</c:v>
                </c:pt>
                <c:pt idx="20">
                  <c:v>Shipbuilding &amp; Marine</c:v>
                </c:pt>
                <c:pt idx="21">
                  <c:v>Financial Svcs. (Non-bank &amp; Insurance)</c:v>
                </c:pt>
                <c:pt idx="22">
                  <c:v>Oil/Gas (Production and Exploration)</c:v>
                </c:pt>
                <c:pt idx="23">
                  <c:v>Packaging &amp; Container</c:v>
                </c:pt>
                <c:pt idx="24">
                  <c:v>Transportation (Railroads)</c:v>
                </c:pt>
                <c:pt idx="25">
                  <c:v>Diversified</c:v>
                </c:pt>
                <c:pt idx="26">
                  <c:v>Farming/Agriculture</c:v>
                </c:pt>
                <c:pt idx="27">
                  <c:v>Education</c:v>
                </c:pt>
                <c:pt idx="28">
                  <c:v>Engineering/Construction</c:v>
                </c:pt>
                <c:pt idx="29">
                  <c:v>Auto Parts</c:v>
                </c:pt>
                <c:pt idx="30">
                  <c:v>Transportation</c:v>
                </c:pt>
                <c:pt idx="31">
                  <c:v>Building Materials</c:v>
                </c:pt>
                <c:pt idx="32">
                  <c:v>Tobacco</c:v>
                </c:pt>
                <c:pt idx="33">
                  <c:v>Telecom (Wireless)</c:v>
                </c:pt>
                <c:pt idx="34">
                  <c:v>Furn/Home Furnishings</c:v>
                </c:pt>
                <c:pt idx="35">
                  <c:v>Metals &amp; Mining</c:v>
                </c:pt>
                <c:pt idx="36">
                  <c:v>Retail (Automotive)</c:v>
                </c:pt>
                <c:pt idx="37">
                  <c:v>Retail (Special Lines)</c:v>
                </c:pt>
                <c:pt idx="38">
                  <c:v>Trucking</c:v>
                </c:pt>
                <c:pt idx="39">
                  <c:v>Drugs (Biotechnology)</c:v>
                </c:pt>
                <c:pt idx="40">
                  <c:v>Real Estate (Development)</c:v>
                </c:pt>
                <c:pt idx="41">
                  <c:v>Shoe</c:v>
                </c:pt>
                <c:pt idx="42">
                  <c:v>Oil/Gas (Integrated)</c:v>
                </c:pt>
                <c:pt idx="43">
                  <c:v>Chemical (Specialty)</c:v>
                </c:pt>
                <c:pt idx="44">
                  <c:v>Business &amp; Consumer Services</c:v>
                </c:pt>
                <c:pt idx="45">
                  <c:v>Rubber&amp; Tires</c:v>
                </c:pt>
                <c:pt idx="46">
                  <c:v>Recreation</c:v>
                </c:pt>
                <c:pt idx="47">
                  <c:v>Real Estate (General/Diversified)</c:v>
                </c:pt>
                <c:pt idx="48">
                  <c:v>Oilfield Svcs/Equip.</c:v>
                </c:pt>
                <c:pt idx="49">
                  <c:v>Retail (Grocery and Food)</c:v>
                </c:pt>
                <c:pt idx="50">
                  <c:v>Computers/Peripherals</c:v>
                </c:pt>
                <c:pt idx="51">
                  <c:v>Retail (Distributors)</c:v>
                </c:pt>
                <c:pt idx="52">
                  <c:v>Insurance (Prop/Cas.)</c:v>
                </c:pt>
                <c:pt idx="53">
                  <c:v>Computer Services</c:v>
                </c:pt>
                <c:pt idx="54">
                  <c:v>Beverage (Alcoholic)</c:v>
                </c:pt>
                <c:pt idx="55">
                  <c:v>Publishing &amp; Newspapers</c:v>
                </c:pt>
                <c:pt idx="56">
                  <c:v>R.E.I.T.</c:v>
                </c:pt>
                <c:pt idx="57">
                  <c:v>Electrical Equipment</c:v>
                </c:pt>
                <c:pt idx="58">
                  <c:v>Hotel/Gaming</c:v>
                </c:pt>
                <c:pt idx="59">
                  <c:v>Utility (Water)</c:v>
                </c:pt>
                <c:pt idx="60">
                  <c:v>Green &amp; Renewable Energy</c:v>
                </c:pt>
                <c:pt idx="61">
                  <c:v>Electronics (Consumer &amp; Office)</c:v>
                </c:pt>
                <c:pt idx="62">
                  <c:v>Machinery</c:v>
                </c:pt>
                <c:pt idx="63">
                  <c:v>Insurance (General)</c:v>
                </c:pt>
                <c:pt idx="64">
                  <c:v>Cable TV</c:v>
                </c:pt>
                <c:pt idx="65">
                  <c:v>Telecom. Equipment</c:v>
                </c:pt>
                <c:pt idx="66">
                  <c:v>Restaurant/Dining</c:v>
                </c:pt>
                <c:pt idx="67">
                  <c:v>Hospitals/Healthcare Facilities</c:v>
                </c:pt>
                <c:pt idx="68">
                  <c:v>Steel</c:v>
                </c:pt>
                <c:pt idx="69">
                  <c:v>Electronics (General)</c:v>
                </c:pt>
                <c:pt idx="70">
                  <c:v>Construction Supplies</c:v>
                </c:pt>
                <c:pt idx="71">
                  <c:v>Software (Internet)</c:v>
                </c:pt>
                <c:pt idx="72">
                  <c:v>Software (Entertainment)</c:v>
                </c:pt>
                <c:pt idx="73">
                  <c:v>Healthcare Support Services</c:v>
                </c:pt>
                <c:pt idx="74">
                  <c:v>Information Services</c:v>
                </c:pt>
                <c:pt idx="75">
                  <c:v>Total Market (without financials)</c:v>
                </c:pt>
                <c:pt idx="76">
                  <c:v>Semiconductor Equip</c:v>
                </c:pt>
                <c:pt idx="77">
                  <c:v>Total Market</c:v>
                </c:pt>
                <c:pt idx="78">
                  <c:v>Drugs (Pharmaceutical)</c:v>
                </c:pt>
                <c:pt idx="79">
                  <c:v>Retail (Online)</c:v>
                </c:pt>
                <c:pt idx="80">
                  <c:v>Retail (Building Supply)</c:v>
                </c:pt>
                <c:pt idx="81">
                  <c:v>Telecom. Services</c:v>
                </c:pt>
                <c:pt idx="82">
                  <c:v>Auto &amp; Truck</c:v>
                </c:pt>
                <c:pt idx="83">
                  <c:v>Heathcare Information and Technology</c:v>
                </c:pt>
                <c:pt idx="84">
                  <c:v>Software (System &amp; Application)</c:v>
                </c:pt>
                <c:pt idx="85">
                  <c:v>Beverage (Soft)</c:v>
                </c:pt>
                <c:pt idx="86">
                  <c:v>Food Processing</c:v>
                </c:pt>
                <c:pt idx="87">
                  <c:v>Aerospace/Defense</c:v>
                </c:pt>
                <c:pt idx="88">
                  <c:v>Food Wholesalers</c:v>
                </c:pt>
                <c:pt idx="89">
                  <c:v>Healthcare Products</c:v>
                </c:pt>
                <c:pt idx="90">
                  <c:v>Investments &amp; Asset Management</c:v>
                </c:pt>
                <c:pt idx="91">
                  <c:v>Environmental &amp; Waste Services</c:v>
                </c:pt>
                <c:pt idx="92">
                  <c:v>Household Products</c:v>
                </c:pt>
                <c:pt idx="93">
                  <c:v>Entertainment</c:v>
                </c:pt>
                <c:pt idx="94">
                  <c:v>Real Estate (Operations &amp; Services)</c:v>
                </c:pt>
                <c:pt idx="95">
                  <c:v>Semiconductor</c:v>
                </c:pt>
              </c:strCache>
            </c:strRef>
          </c:cat>
          <c:val>
            <c:numRef>
              <c:f>'D PE'!$D$2:$D$97</c:f>
              <c:numCache>
                <c:formatCode>0.00</c:formatCode>
                <c:ptCount val="96"/>
                <c:pt idx="0">
                  <c:v>37.680380236658841</c:v>
                </c:pt>
                <c:pt idx="1">
                  <c:v>13.467519539284243</c:v>
                </c:pt>
                <c:pt idx="2">
                  <c:v>14.862679952459837</c:v>
                </c:pt>
                <c:pt idx="3">
                  <c:v>15.20057915057915</c:v>
                </c:pt>
                <c:pt idx="4">
                  <c:v>37.082779959348315</c:v>
                </c:pt>
                <c:pt idx="5">
                  <c:v>15.385193908763318</c:v>
                </c:pt>
                <c:pt idx="6">
                  <c:v>45.863876676003365</c:v>
                </c:pt>
                <c:pt idx="7">
                  <c:v>17.186064480100946</c:v>
                </c:pt>
                <c:pt idx="8">
                  <c:v>12.419936016946153</c:v>
                </c:pt>
                <c:pt idx="9">
                  <c:v>33.034458299910348</c:v>
                </c:pt>
                <c:pt idx="10">
                  <c:v>28.985999646276792</c:v>
                </c:pt>
                <c:pt idx="11">
                  <c:v>17.342111719652049</c:v>
                </c:pt>
                <c:pt idx="12">
                  <c:v>86.454170201567749</c:v>
                </c:pt>
                <c:pt idx="13">
                  <c:v>20.046811587596142</c:v>
                </c:pt>
                <c:pt idx="14">
                  <c:v>18.730852059509221</c:v>
                </c:pt>
                <c:pt idx="15">
                  <c:v>45.375202628511474</c:v>
                </c:pt>
                <c:pt idx="16">
                  <c:v>82.198355424233498</c:v>
                </c:pt>
                <c:pt idx="17">
                  <c:v>21.953539691815568</c:v>
                </c:pt>
                <c:pt idx="18">
                  <c:v>22.761750232250616</c:v>
                </c:pt>
                <c:pt idx="19">
                  <c:v>22.701744745699372</c:v>
                </c:pt>
                <c:pt idx="20">
                  <c:v>49.987186364820744</c:v>
                </c:pt>
                <c:pt idx="21">
                  <c:v>21.864515213007955</c:v>
                </c:pt>
                <c:pt idx="22">
                  <c:v>26.134360751561921</c:v>
                </c:pt>
                <c:pt idx="23">
                  <c:v>24.252317258960598</c:v>
                </c:pt>
                <c:pt idx="24">
                  <c:v>28.550848056184293</c:v>
                </c:pt>
                <c:pt idx="25">
                  <c:v>27.983642584788679</c:v>
                </c:pt>
                <c:pt idx="26">
                  <c:v>23.819322781968737</c:v>
                </c:pt>
                <c:pt idx="27">
                  <c:v>26.631329737537396</c:v>
                </c:pt>
                <c:pt idx="28">
                  <c:v>34.524899609773172</c:v>
                </c:pt>
                <c:pt idx="29">
                  <c:v>55.564670951608257</c:v>
                </c:pt>
                <c:pt idx="30">
                  <c:v>48.605928871645851</c:v>
                </c:pt>
                <c:pt idx="31">
                  <c:v>25.634097120278831</c:v>
                </c:pt>
                <c:pt idx="32">
                  <c:v>54.618361961531335</c:v>
                </c:pt>
                <c:pt idx="33">
                  <c:v>24.683121593527087</c:v>
                </c:pt>
                <c:pt idx="34">
                  <c:v>125.49843153837293</c:v>
                </c:pt>
                <c:pt idx="35">
                  <c:v>44.419732750252479</c:v>
                </c:pt>
                <c:pt idx="36">
                  <c:v>17.520871329775961</c:v>
                </c:pt>
                <c:pt idx="37">
                  <c:v>55.991884110178958</c:v>
                </c:pt>
                <c:pt idx="38">
                  <c:v>46.738341622015596</c:v>
                </c:pt>
                <c:pt idx="39">
                  <c:v>480.18431697399177</c:v>
                </c:pt>
                <c:pt idx="40">
                  <c:v>15.955592105263159</c:v>
                </c:pt>
                <c:pt idx="41">
                  <c:v>46.18128726931203</c:v>
                </c:pt>
                <c:pt idx="42">
                  <c:v>52.496325301204813</c:v>
                </c:pt>
                <c:pt idx="43">
                  <c:v>58.864592105629278</c:v>
                </c:pt>
                <c:pt idx="44">
                  <c:v>44.220616607815849</c:v>
                </c:pt>
                <c:pt idx="45">
                  <c:v>24.892802164704982</c:v>
                </c:pt>
                <c:pt idx="46">
                  <c:v>155.39430580205871</c:v>
                </c:pt>
                <c:pt idx="47">
                  <c:v>52.413073487914708</c:v>
                </c:pt>
                <c:pt idx="48">
                  <c:v>31.776149931718642</c:v>
                </c:pt>
                <c:pt idx="49">
                  <c:v>14.413462025265975</c:v>
                </c:pt>
                <c:pt idx="50">
                  <c:v>27.254643581045862</c:v>
                </c:pt>
                <c:pt idx="51">
                  <c:v>138.4448999428416</c:v>
                </c:pt>
                <c:pt idx="52">
                  <c:v>22.123312520281296</c:v>
                </c:pt>
                <c:pt idx="53">
                  <c:v>27.860284729188052</c:v>
                </c:pt>
                <c:pt idx="54">
                  <c:v>32.389619105867602</c:v>
                </c:pt>
                <c:pt idx="55">
                  <c:v>48.936283563714277</c:v>
                </c:pt>
                <c:pt idx="56">
                  <c:v>62.999428661447418</c:v>
                </c:pt>
                <c:pt idx="57">
                  <c:v>106.0185982870089</c:v>
                </c:pt>
                <c:pt idx="58">
                  <c:v>64.17173094138856</c:v>
                </c:pt>
                <c:pt idx="59">
                  <c:v>62.39214919438848</c:v>
                </c:pt>
                <c:pt idx="60">
                  <c:v>40.672598073760867</c:v>
                </c:pt>
                <c:pt idx="61">
                  <c:v>14.621502322457888</c:v>
                </c:pt>
                <c:pt idx="62">
                  <c:v>46.086855188000342</c:v>
                </c:pt>
                <c:pt idx="63">
                  <c:v>50.362847538359041</c:v>
                </c:pt>
                <c:pt idx="64">
                  <c:v>63.676658140226202</c:v>
                </c:pt>
                <c:pt idx="65">
                  <c:v>50.678124744497509</c:v>
                </c:pt>
                <c:pt idx="66">
                  <c:v>58.913182776746602</c:v>
                </c:pt>
                <c:pt idx="67">
                  <c:v>44.606702222356631</c:v>
                </c:pt>
                <c:pt idx="68">
                  <c:v>35.726079443105931</c:v>
                </c:pt>
                <c:pt idx="69">
                  <c:v>69.761936850042233</c:v>
                </c:pt>
                <c:pt idx="70">
                  <c:v>108.39709320846305</c:v>
                </c:pt>
                <c:pt idx="71">
                  <c:v>67.888620201828758</c:v>
                </c:pt>
                <c:pt idx="72">
                  <c:v>157.38488806622505</c:v>
                </c:pt>
                <c:pt idx="73">
                  <c:v>104.17605537136028</c:v>
                </c:pt>
                <c:pt idx="74">
                  <c:v>71.12999032730562</c:v>
                </c:pt>
                <c:pt idx="75">
                  <c:v>87.077262365850473</c:v>
                </c:pt>
                <c:pt idx="76">
                  <c:v>55.871007175483264</c:v>
                </c:pt>
                <c:pt idx="77">
                  <c:v>103.24608265487092</c:v>
                </c:pt>
                <c:pt idx="78">
                  <c:v>34.542058049164375</c:v>
                </c:pt>
                <c:pt idx="79">
                  <c:v>131.27291479009298</c:v>
                </c:pt>
                <c:pt idx="80">
                  <c:v>140.10936326540158</c:v>
                </c:pt>
                <c:pt idx="81">
                  <c:v>22.272683229104771</c:v>
                </c:pt>
                <c:pt idx="82">
                  <c:v>261.55986156714147</c:v>
                </c:pt>
                <c:pt idx="83">
                  <c:v>162.96068906351726</c:v>
                </c:pt>
                <c:pt idx="84">
                  <c:v>148.99150403292035</c:v>
                </c:pt>
                <c:pt idx="85">
                  <c:v>116.71720199086498</c:v>
                </c:pt>
                <c:pt idx="86">
                  <c:v>375.19491831868447</c:v>
                </c:pt>
                <c:pt idx="87">
                  <c:v>107.38396177092393</c:v>
                </c:pt>
                <c:pt idx="88">
                  <c:v>8.6352957442395955</c:v>
                </c:pt>
                <c:pt idx="89">
                  <c:v>317.981478965745</c:v>
                </c:pt>
                <c:pt idx="90">
                  <c:v>625.40619966705265</c:v>
                </c:pt>
                <c:pt idx="91">
                  <c:v>549.57907903689807</c:v>
                </c:pt>
                <c:pt idx="92">
                  <c:v>36.292003801021629</c:v>
                </c:pt>
                <c:pt idx="93">
                  <c:v>1157.1319525274689</c:v>
                </c:pt>
                <c:pt idx="94">
                  <c:v>56.828067786122666</c:v>
                </c:pt>
                <c:pt idx="95">
                  <c:v>726.52219693530583</c:v>
                </c:pt>
              </c:numCache>
            </c:numRef>
          </c:val>
          <c:extLst>
            <c:ext xmlns:c16="http://schemas.microsoft.com/office/drawing/2014/chart" uri="{C3380CC4-5D6E-409C-BE32-E72D297353CC}">
              <c16:uniqueId val="{00000000-9A8B-4E33-9547-8ED8C177E46B}"/>
            </c:ext>
          </c:extLst>
        </c:ser>
        <c:dLbls>
          <c:showLegendKey val="0"/>
          <c:showVal val="0"/>
          <c:showCatName val="0"/>
          <c:showSerName val="0"/>
          <c:showPercent val="0"/>
          <c:showBubbleSize val="0"/>
        </c:dLbls>
        <c:gapWidth val="182"/>
        <c:axId val="888752656"/>
        <c:axId val="888753440"/>
      </c:barChart>
      <c:catAx>
        <c:axId val="88875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753440"/>
        <c:crosses val="autoZero"/>
        <c:auto val="1"/>
        <c:lblAlgn val="ctr"/>
        <c:lblOffset val="100"/>
        <c:noMultiLvlLbl val="0"/>
      </c:catAx>
      <c:valAx>
        <c:axId val="8887534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75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16" fmlaLink="$C$100" fmlaRange="$D$101:$D$108" sel="1" val="0"/>
</file>

<file path=xl/ctrlProps/ctrlProp2.xml><?xml version="1.0" encoding="utf-8"?>
<formControlPr xmlns="http://schemas.microsoft.com/office/spreadsheetml/2009/9/main" objectType="Drop" dropLines="29" dropStyle="combo" dx="16" fmlaLink="$C$111" fmlaRange="$D$113:$D$141" sel="1" val="0"/>
</file>

<file path=xl/ctrlProps/ctrlProp3.xml><?xml version="1.0" encoding="utf-8"?>
<formControlPr xmlns="http://schemas.microsoft.com/office/spreadsheetml/2009/9/main" objectType="Drop" dropLines="29" dropStyle="combo" dx="16" fmlaLink="$C$112" fmlaRange="$D$113:$D$141" sel="3" val="0"/>
</file>

<file path=xl/ctrlProps/ctrlProp4.xml><?xml version="1.0" encoding="utf-8"?>
<formControlPr xmlns="http://schemas.microsoft.com/office/spreadsheetml/2009/9/main" objectType="Drop" dropStyle="combo" dx="16" fmlaLink="$C$144" fmlaRange="$D$146:$D$153" sel="1" val="0"/>
</file>

<file path=xl/ctrlProps/ctrlProp5.xml><?xml version="1.0" encoding="utf-8"?>
<formControlPr xmlns="http://schemas.microsoft.com/office/spreadsheetml/2009/9/main" objectType="Drop" dropStyle="combo" dx="16" fmlaLink="$C$145" fmlaRange="$D$146:$D$153" sel="4" val="0"/>
</file>

<file path=xl/ctrlProps/ctrlProp6.xml><?xml version="1.0" encoding="utf-8"?>
<formControlPr xmlns="http://schemas.microsoft.com/office/spreadsheetml/2009/9/main" objectType="Drop" dropLines="4" dropStyle="combo" dx="16" fmlaLink="$C$159" fmlaRange="$D$160:$D$163" sel="1" val="0"/>
</file>

<file path=xl/ctrlProps/ctrlProp7.xml><?xml version="1.0" encoding="utf-8"?>
<formControlPr xmlns="http://schemas.microsoft.com/office/spreadsheetml/2009/9/main" objectType="Drop" dropLines="4" dropStyle="combo" dx="16" fmlaLink="$C$181" fmlaRange="$C$177:$C$180" sel="3" val="0"/>
</file>

<file path=xl/ctrlProps/ctrlProp8.xml><?xml version="1.0" encoding="utf-8"?>
<formControlPr xmlns="http://schemas.microsoft.com/office/spreadsheetml/2009/9/main" objectType="Drop" dropLines="5" dropStyle="combo" dx="16" fmlaLink="$A$12" fmlaRange="$A$4:$A$7" sel="4" val="0"/>
</file>

<file path=xl/ctrlProps/ctrlProp9.xml><?xml version="1.0" encoding="utf-8"?>
<formControlPr xmlns="http://schemas.microsoft.com/office/spreadsheetml/2009/9/main" objectType="Drop" dropStyle="combo" dx="16" fmlaLink="$B$5" fmlaRange="$C$4:$C$5" noThreeD="1" sel="2" val="0"/>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ec://EC?ACTION=SET_APIBOX&amp;DYN_ARGS=TRUE&amp;MODEL=QRFDSONLINE&amp;KEYWORD=FINANCIALSREPORT_R&amp;ISMINI=1&amp;ID=AAPL-US" TargetMode="External"/><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ec://EC?ACTION=SET_APIBOX&amp;DYN_ARGS=TRUE&amp;MODEL=QRFDSONLINE&amp;KEYWORD=FINANCIALSREPORT_R&amp;ISMINI=1&amp;ID=AAPL-US" TargetMode="External"/><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ec://EC?ACTION=SET_APIBOX&amp;DYN_ARGS=TRUE&amp;MODEL=QRFDSONLINE&amp;KEYWORD=FINANCIALSREPORT_R&amp;ISMINI=1&amp;ID=AAPL-US" TargetMode="External"/><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absoluteAnchor>
    <xdr:pos x="7851685" y="9677400"/>
    <xdr:ext cx="6537739" cy="2021284"/>
    <xdr:graphicFrame macro="">
      <xdr:nvGraphicFramePr>
        <xdr:cNvPr id="2" name="Chart 142">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7848508" y="7618810"/>
    <xdr:ext cx="6534841" cy="1931987"/>
    <xdr:graphicFrame macro="">
      <xdr:nvGraphicFramePr>
        <xdr:cNvPr id="3" name="Chart 179">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absoluteAnchor>
    <xdr:pos x="7849792" y="11821319"/>
    <xdr:ext cx="6521302" cy="2113757"/>
    <xdr:graphicFrame macro="">
      <xdr:nvGraphicFramePr>
        <xdr:cNvPr id="4" name="Chart 227">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absoluteAnchor>
    <xdr:pos x="7933137" y="14135100"/>
    <xdr:ext cx="6423816" cy="2124075"/>
    <xdr:graphicFrame macro="">
      <xdr:nvGraphicFramePr>
        <xdr:cNvPr id="5" name="Chart 232">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absoluteAnchor>
  <xdr:absoluteAnchor>
    <xdr:pos x="7850891" y="5326335"/>
    <xdr:ext cx="6541384" cy="2122215"/>
    <xdr:graphicFrame macro="">
      <xdr:nvGraphicFramePr>
        <xdr:cNvPr id="10" name="Chart 275">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absoluteAnchor>
  <xdr:oneCellAnchor>
    <xdr:from>
      <xdr:col>1</xdr:col>
      <xdr:colOff>171450</xdr:colOff>
      <xdr:row>1</xdr:row>
      <xdr:rowOff>38100</xdr:rowOff>
    </xdr:from>
    <xdr:ext cx="1006475" cy="212211"/>
    <xdr:pic>
      <xdr:nvPicPr>
        <xdr:cNvPr id="7" name="EC_banner" descr="logo.pn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cstate="print"/>
        <a:stretch>
          <a:fillRect/>
        </a:stretch>
      </xdr:blipFill>
      <xdr:spPr>
        <a:xfrm>
          <a:off x="361950" y="38100"/>
          <a:ext cx="1006475" cy="212211"/>
        </a:xfrm>
        <a:prstGeom prst="rect">
          <a:avLst/>
        </a:prstGeom>
      </xdr:spPr>
    </xdr:pic>
    <xdr:clientData/>
  </xdr:oneCellAnchor>
  <xdr:oneCellAnchor>
    <xdr:from>
      <xdr:col>7</xdr:col>
      <xdr:colOff>5715</xdr:colOff>
      <xdr:row>1</xdr:row>
      <xdr:rowOff>28576</xdr:rowOff>
    </xdr:from>
    <xdr:ext cx="403148" cy="233149"/>
    <xdr:pic macro="_xll.FctUpdate">
      <xdr:nvPicPr>
        <xdr:cNvPr id="8" name="Picture 7" descr="update.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cstate="print"/>
        <a:stretch>
          <a:fillRect/>
        </a:stretch>
      </xdr:blipFill>
      <xdr:spPr>
        <a:xfrm>
          <a:off x="4196715" y="28576"/>
          <a:ext cx="403148" cy="233149"/>
        </a:xfrm>
        <a:prstGeom prst="rect">
          <a:avLst/>
        </a:prstGeom>
        <a:effectLst/>
      </xdr:spPr>
    </xdr:pic>
    <xdr:clientData/>
  </xdr:oneCellAnchor>
  <xdr:oneCellAnchor>
    <xdr:from>
      <xdr:col>3</xdr:col>
      <xdr:colOff>186366</xdr:colOff>
      <xdr:row>1</xdr:row>
      <xdr:rowOff>44617</xdr:rowOff>
    </xdr:from>
    <xdr:ext cx="929602" cy="225594"/>
    <xdr:pic macro="_xll.FctHome">
      <xdr:nvPicPr>
        <xdr:cNvPr id="9" name="Picture 8" descr="home.pn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cstate="print"/>
        <a:stretch>
          <a:fillRect/>
        </a:stretch>
      </xdr:blipFill>
      <xdr:spPr>
        <a:xfrm>
          <a:off x="1329366" y="44617"/>
          <a:ext cx="929602" cy="225594"/>
        </a:xfrm>
        <a:prstGeom prst="rect">
          <a:avLst/>
        </a:prstGeom>
      </xdr:spPr>
    </xdr:pic>
    <xdr:clientData/>
  </xdr:oneCellAnchor>
  <mc:AlternateContent xmlns:mc="http://schemas.openxmlformats.org/markup-compatibility/2006">
    <mc:Choice xmlns:a14="http://schemas.microsoft.com/office/drawing/2010/main" Requires="a14">
      <xdr:twoCellAnchor editAs="absolute">
        <xdr:from>
          <xdr:col>18</xdr:col>
          <xdr:colOff>257175</xdr:colOff>
          <xdr:row>54</xdr:row>
          <xdr:rowOff>142875</xdr:rowOff>
        </xdr:from>
        <xdr:to>
          <xdr:col>19</xdr:col>
          <xdr:colOff>495300</xdr:colOff>
          <xdr:row>56</xdr:row>
          <xdr:rowOff>0</xdr:rowOff>
        </xdr:to>
        <xdr:sp macro="" textlink="">
          <xdr:nvSpPr>
            <xdr:cNvPr id="4097" name="Drop Down 1" hidden="1">
              <a:extLst>
                <a:ext uri="{63B3BB69-23CF-44E3-9099-C40C66FF867C}">
                  <a14:compatExt spid="_x0000_s4097"/>
                </a:ext>
                <a:ext uri="{FF2B5EF4-FFF2-40B4-BE49-F238E27FC236}">
                  <a16:creationId xmlns:a16="http://schemas.microsoft.com/office/drawing/2014/main" id="{00000000-0008-0000-01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15</xdr:col>
          <xdr:colOff>352425</xdr:colOff>
          <xdr:row>54</xdr:row>
          <xdr:rowOff>142875</xdr:rowOff>
        </xdr:from>
        <xdr:to>
          <xdr:col>17</xdr:col>
          <xdr:colOff>47625</xdr:colOff>
          <xdr:row>56</xdr:row>
          <xdr:rowOff>0</xdr:rowOff>
        </xdr:to>
        <xdr:sp macro="" textlink="">
          <xdr:nvSpPr>
            <xdr:cNvPr id="4098" name="Drop Down 2" hidden="1">
              <a:extLst>
                <a:ext uri="{63B3BB69-23CF-44E3-9099-C40C66FF867C}">
                  <a14:compatExt spid="_x0000_s4098"/>
                </a:ext>
                <a:ext uri="{FF2B5EF4-FFF2-40B4-BE49-F238E27FC236}">
                  <a16:creationId xmlns:a16="http://schemas.microsoft.com/office/drawing/2014/main" id="{00000000-0008-0000-01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85725</xdr:colOff>
          <xdr:row>54</xdr:row>
          <xdr:rowOff>142875</xdr:rowOff>
        </xdr:from>
        <xdr:to>
          <xdr:col>18</xdr:col>
          <xdr:colOff>219075</xdr:colOff>
          <xdr:row>56</xdr:row>
          <xdr:rowOff>0</xdr:rowOff>
        </xdr:to>
        <xdr:sp macro="" textlink="">
          <xdr:nvSpPr>
            <xdr:cNvPr id="4099" name="Drop Down 3" hidden="1">
              <a:extLst>
                <a:ext uri="{63B3BB69-23CF-44E3-9099-C40C66FF867C}">
                  <a14:compatExt spid="_x0000_s4099"/>
                </a:ext>
                <a:ext uri="{FF2B5EF4-FFF2-40B4-BE49-F238E27FC236}">
                  <a16:creationId xmlns:a16="http://schemas.microsoft.com/office/drawing/2014/main" id="{00000000-0008-0000-01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85725</xdr:colOff>
          <xdr:row>42</xdr:row>
          <xdr:rowOff>104775</xdr:rowOff>
        </xdr:from>
        <xdr:to>
          <xdr:col>18</xdr:col>
          <xdr:colOff>219075</xdr:colOff>
          <xdr:row>43</xdr:row>
          <xdr:rowOff>142875</xdr:rowOff>
        </xdr:to>
        <xdr:sp macro="" textlink="">
          <xdr:nvSpPr>
            <xdr:cNvPr id="4100" name="Drop Down 4" hidden="1">
              <a:extLst>
                <a:ext uri="{63B3BB69-23CF-44E3-9099-C40C66FF867C}">
                  <a14:compatExt spid="_x0000_s4100"/>
                </a:ext>
                <a:ext uri="{FF2B5EF4-FFF2-40B4-BE49-F238E27FC236}">
                  <a16:creationId xmlns:a16="http://schemas.microsoft.com/office/drawing/2014/main" id="{00000000-0008-0000-01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18</xdr:col>
          <xdr:colOff>257175</xdr:colOff>
          <xdr:row>42</xdr:row>
          <xdr:rowOff>104775</xdr:rowOff>
        </xdr:from>
        <xdr:to>
          <xdr:col>19</xdr:col>
          <xdr:colOff>495300</xdr:colOff>
          <xdr:row>43</xdr:row>
          <xdr:rowOff>142875</xdr:rowOff>
        </xdr:to>
        <xdr:sp macro="" textlink="">
          <xdr:nvSpPr>
            <xdr:cNvPr id="4101" name="Drop Down 5" hidden="1">
              <a:extLst>
                <a:ext uri="{63B3BB69-23CF-44E3-9099-C40C66FF867C}">
                  <a14:compatExt spid="_x0000_s4101"/>
                </a:ext>
                <a:ext uri="{FF2B5EF4-FFF2-40B4-BE49-F238E27FC236}">
                  <a16:creationId xmlns:a16="http://schemas.microsoft.com/office/drawing/2014/main" id="{00000000-0008-0000-01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18</xdr:col>
          <xdr:colOff>266700</xdr:colOff>
          <xdr:row>67</xdr:row>
          <xdr:rowOff>142875</xdr:rowOff>
        </xdr:from>
        <xdr:to>
          <xdr:col>19</xdr:col>
          <xdr:colOff>561975</xdr:colOff>
          <xdr:row>68</xdr:row>
          <xdr:rowOff>104775</xdr:rowOff>
        </xdr:to>
        <xdr:sp macro="" textlink="">
          <xdr:nvSpPr>
            <xdr:cNvPr id="4102" name="Drop Down 6" hidden="1">
              <a:extLst>
                <a:ext uri="{63B3BB69-23CF-44E3-9099-C40C66FF867C}">
                  <a14:compatExt spid="_x0000_s4102"/>
                </a:ext>
                <a:ext uri="{FF2B5EF4-FFF2-40B4-BE49-F238E27FC236}">
                  <a16:creationId xmlns:a16="http://schemas.microsoft.com/office/drawing/2014/main" id="{00000000-0008-0000-01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333375</xdr:colOff>
          <xdr:row>18</xdr:row>
          <xdr:rowOff>180975</xdr:rowOff>
        </xdr:from>
        <xdr:to>
          <xdr:col>16</xdr:col>
          <xdr:colOff>266700</xdr:colOff>
          <xdr:row>20</xdr:row>
          <xdr:rowOff>28575</xdr:rowOff>
        </xdr:to>
        <xdr:sp macro="" textlink="">
          <xdr:nvSpPr>
            <xdr:cNvPr id="4103" name="Drop Down 7" hidden="1">
              <a:extLst>
                <a:ext uri="{63B3BB69-23CF-44E3-9099-C40C66FF867C}">
                  <a14:compatExt spid="_x0000_s4103"/>
                </a:ext>
                <a:ext uri="{FF2B5EF4-FFF2-40B4-BE49-F238E27FC236}">
                  <a16:creationId xmlns:a16="http://schemas.microsoft.com/office/drawing/2014/main" id="{00000000-0008-0000-01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2</xdr:col>
      <xdr:colOff>171450</xdr:colOff>
      <xdr:row>1</xdr:row>
      <xdr:rowOff>38100</xdr:rowOff>
    </xdr:from>
    <xdr:ext cx="996950" cy="212211"/>
    <xdr:pic>
      <xdr:nvPicPr>
        <xdr:cNvPr id="2" name="EC_banner" descr="logo.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2819400" y="38100"/>
          <a:ext cx="996950" cy="212211"/>
        </a:xfrm>
        <a:prstGeom prst="rect">
          <a:avLst/>
        </a:prstGeom>
      </xdr:spPr>
    </xdr:pic>
    <xdr:clientData/>
  </xdr:oneCellAnchor>
  <xdr:oneCellAnchor>
    <xdr:from>
      <xdr:col>8</xdr:col>
      <xdr:colOff>5715</xdr:colOff>
      <xdr:row>1</xdr:row>
      <xdr:rowOff>28576</xdr:rowOff>
    </xdr:from>
    <xdr:ext cx="403148" cy="233149"/>
    <xdr:pic macro="_xll.FctUpdate">
      <xdr:nvPicPr>
        <xdr:cNvPr id="3" name="Picture 7" descr="update.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8806815" y="28576"/>
          <a:ext cx="403148" cy="233149"/>
        </a:xfrm>
        <a:prstGeom prst="rect">
          <a:avLst/>
        </a:prstGeom>
        <a:effectLst/>
      </xdr:spPr>
    </xdr:pic>
    <xdr:clientData/>
  </xdr:oneCellAnchor>
  <xdr:oneCellAnchor>
    <xdr:from>
      <xdr:col>4</xdr:col>
      <xdr:colOff>186366</xdr:colOff>
      <xdr:row>1</xdr:row>
      <xdr:rowOff>35092</xdr:rowOff>
    </xdr:from>
    <xdr:ext cx="891502" cy="222419"/>
    <xdr:pic macro="_xll.FctHome">
      <xdr:nvPicPr>
        <xdr:cNvPr id="4" name="Picture 8" descr="home.png">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cstate="print"/>
        <a:stretch>
          <a:fillRect/>
        </a:stretch>
      </xdr:blipFill>
      <xdr:spPr>
        <a:xfrm>
          <a:off x="3748716" y="35092"/>
          <a:ext cx="891502" cy="222419"/>
        </a:xfrm>
        <a:prstGeom prst="rect">
          <a:avLst/>
        </a:prstGeom>
      </xdr:spPr>
    </xdr:pic>
    <xdr:clientData/>
  </xdr:oneCellAnchor>
  <mc:AlternateContent xmlns:mc="http://schemas.openxmlformats.org/markup-compatibility/2006">
    <mc:Choice xmlns:a14="http://schemas.microsoft.com/office/drawing/2010/main" Requires="a14">
      <xdr:twoCellAnchor>
        <xdr:from>
          <xdr:col>2</xdr:col>
          <xdr:colOff>104775</xdr:colOff>
          <xdr:row>9</xdr:row>
          <xdr:rowOff>152400</xdr:rowOff>
        </xdr:from>
        <xdr:to>
          <xdr:col>4</xdr:col>
          <xdr:colOff>1247775</xdr:colOff>
          <xdr:row>10</xdr:row>
          <xdr:rowOff>76200</xdr:rowOff>
        </xdr:to>
        <xdr:sp macro="" textlink="">
          <xdr:nvSpPr>
            <xdr:cNvPr id="12289" name="Drop Down 1" hidden="1">
              <a:extLst>
                <a:ext uri="{63B3BB69-23CF-44E3-9099-C40C66FF867C}">
                  <a14:compatExt spid="_x0000_s12289"/>
                </a:ext>
                <a:ext uri="{FF2B5EF4-FFF2-40B4-BE49-F238E27FC236}">
                  <a16:creationId xmlns:a16="http://schemas.microsoft.com/office/drawing/2014/main" id="{00000000-0008-0000-0200-000001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0</xdr:row>
      <xdr:rowOff>57150</xdr:rowOff>
    </xdr:from>
    <xdr:to>
      <xdr:col>1</xdr:col>
      <xdr:colOff>895350</xdr:colOff>
      <xdr:row>0</xdr:row>
      <xdr:rowOff>266700</xdr:rowOff>
    </xdr:to>
    <xdr:pic>
      <xdr:nvPicPr>
        <xdr:cNvPr id="2" name="EC_banner" descr="logo.png">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4350" y="57150"/>
          <a:ext cx="8572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1</xdr:col>
          <xdr:colOff>28575</xdr:colOff>
          <xdr:row>3</xdr:row>
          <xdr:rowOff>142875</xdr:rowOff>
        </xdr:from>
        <xdr:to>
          <xdr:col>1</xdr:col>
          <xdr:colOff>676275</xdr:colOff>
          <xdr:row>3</xdr:row>
          <xdr:rowOff>333375</xdr:rowOff>
        </xdr:to>
        <xdr:sp macro="" textlink="">
          <xdr:nvSpPr>
            <xdr:cNvPr id="67585" name="Drop Down 1" hidden="1">
              <a:extLst>
                <a:ext uri="{63B3BB69-23CF-44E3-9099-C40C66FF867C}">
                  <a14:compatExt spid="_x0000_s67585"/>
                </a:ext>
                <a:ext uri="{FF2B5EF4-FFF2-40B4-BE49-F238E27FC236}">
                  <a16:creationId xmlns:a16="http://schemas.microsoft.com/office/drawing/2014/main" id="{00000000-0008-0000-0300-0000010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304800</xdr:colOff>
      <xdr:row>59</xdr:row>
      <xdr:rowOff>9525</xdr:rowOff>
    </xdr:from>
    <xdr:to>
      <xdr:col>10</xdr:col>
      <xdr:colOff>304800</xdr:colOff>
      <xdr:row>73</xdr:row>
      <xdr:rowOff>85725</xdr:rowOff>
    </xdr:to>
    <xdr:graphicFrame macro="">
      <xdr:nvGraphicFramePr>
        <xdr:cNvPr id="3" name="Diagramm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22</xdr:col>
      <xdr:colOff>76200</xdr:colOff>
      <xdr:row>0</xdr:row>
      <xdr:rowOff>123825</xdr:rowOff>
    </xdr:from>
    <xdr:to>
      <xdr:col>28</xdr:col>
      <xdr:colOff>30480</xdr:colOff>
      <xdr:row>15</xdr:row>
      <xdr:rowOff>177165</xdr:rowOff>
    </xdr:to>
    <xdr:graphicFrame macro="">
      <xdr:nvGraphicFramePr>
        <xdr:cNvPr id="2" name="Diagramm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127000</xdr:colOff>
      <xdr:row>3</xdr:row>
      <xdr:rowOff>63500</xdr:rowOff>
    </xdr:from>
    <xdr:to>
      <xdr:col>0</xdr:col>
      <xdr:colOff>1083520</xdr:colOff>
      <xdr:row>3</xdr:row>
      <xdr:rowOff>282593</xdr:rowOff>
    </xdr:to>
    <xdr:pic>
      <xdr:nvPicPr>
        <xdr:cNvPr id="2" name="factset">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 y="63500"/>
          <a:ext cx="950805" cy="213378"/>
        </a:xfrm>
        <a:prstGeom prst="rect">
          <a:avLst/>
        </a:prstGeom>
      </xdr:spPr>
    </xdr:pic>
    <xdr:clientData/>
  </xdr:twoCellAnchor>
  <xdr:twoCellAnchor editAs="oneCell">
    <xdr:from>
      <xdr:col>0</xdr:col>
      <xdr:colOff>1270000</xdr:colOff>
      <xdr:row>3</xdr:row>
      <xdr:rowOff>88900</xdr:rowOff>
    </xdr:from>
    <xdr:to>
      <xdr:col>0</xdr:col>
      <xdr:colOff>2116350</xdr:colOff>
      <xdr:row>3</xdr:row>
      <xdr:rowOff>286996</xdr:rowOff>
    </xdr:to>
    <xdr:pic>
      <xdr:nvPicPr>
        <xdr:cNvPr id="3" name="homebitmap">
          <a:hlinkClick xmlns:r="http://schemas.openxmlformats.org/officeDocument/2006/relationships" r:id="rId2"/>
          <a:extLst>
            <a:ext uri="{FF2B5EF4-FFF2-40B4-BE49-F238E27FC236}">
              <a16:creationId xmlns:a16="http://schemas.microsoft.com/office/drawing/2014/main" id="{00000000-0008-0000-0500-000003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70000" y="88900"/>
          <a:ext cx="834920" cy="1904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127000</xdr:colOff>
      <xdr:row>3</xdr:row>
      <xdr:rowOff>63500</xdr:rowOff>
    </xdr:from>
    <xdr:to>
      <xdr:col>0</xdr:col>
      <xdr:colOff>1076535</xdr:colOff>
      <xdr:row>3</xdr:row>
      <xdr:rowOff>275608</xdr:rowOff>
    </xdr:to>
    <xdr:pic>
      <xdr:nvPicPr>
        <xdr:cNvPr id="2" name="factset">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 y="63500"/>
          <a:ext cx="947630" cy="210203"/>
        </a:xfrm>
        <a:prstGeom prst="rect">
          <a:avLst/>
        </a:prstGeom>
      </xdr:spPr>
    </xdr:pic>
    <xdr:clientData/>
  </xdr:twoCellAnchor>
  <xdr:twoCellAnchor editAs="oneCell">
    <xdr:from>
      <xdr:col>0</xdr:col>
      <xdr:colOff>1270000</xdr:colOff>
      <xdr:row>3</xdr:row>
      <xdr:rowOff>88900</xdr:rowOff>
    </xdr:from>
    <xdr:to>
      <xdr:col>0</xdr:col>
      <xdr:colOff>2111905</xdr:colOff>
      <xdr:row>3</xdr:row>
      <xdr:rowOff>278106</xdr:rowOff>
    </xdr:to>
    <xdr:pic>
      <xdr:nvPicPr>
        <xdr:cNvPr id="3" name="homebitmap">
          <a:hlinkClick xmlns:r="http://schemas.openxmlformats.org/officeDocument/2006/relationships" r:id="rId2"/>
          <a:extLst>
            <a:ext uri="{FF2B5EF4-FFF2-40B4-BE49-F238E27FC236}">
              <a16:creationId xmlns:a16="http://schemas.microsoft.com/office/drawing/2014/main" id="{00000000-0008-0000-0600-000003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70000" y="88900"/>
          <a:ext cx="838095" cy="1873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127000</xdr:colOff>
      <xdr:row>3</xdr:row>
      <xdr:rowOff>63500</xdr:rowOff>
    </xdr:from>
    <xdr:to>
      <xdr:col>0</xdr:col>
      <xdr:colOff>1076535</xdr:colOff>
      <xdr:row>3</xdr:row>
      <xdr:rowOff>275608</xdr:rowOff>
    </xdr:to>
    <xdr:pic>
      <xdr:nvPicPr>
        <xdr:cNvPr id="2" name="factset">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 y="63500"/>
          <a:ext cx="947630" cy="210203"/>
        </a:xfrm>
        <a:prstGeom prst="rect">
          <a:avLst/>
        </a:prstGeom>
      </xdr:spPr>
    </xdr:pic>
    <xdr:clientData/>
  </xdr:twoCellAnchor>
  <xdr:twoCellAnchor editAs="oneCell">
    <xdr:from>
      <xdr:col>0</xdr:col>
      <xdr:colOff>1270000</xdr:colOff>
      <xdr:row>3</xdr:row>
      <xdr:rowOff>88900</xdr:rowOff>
    </xdr:from>
    <xdr:to>
      <xdr:col>0</xdr:col>
      <xdr:colOff>2111905</xdr:colOff>
      <xdr:row>3</xdr:row>
      <xdr:rowOff>278106</xdr:rowOff>
    </xdr:to>
    <xdr:pic>
      <xdr:nvPicPr>
        <xdr:cNvPr id="3" name="homebitmap">
          <a:hlinkClick xmlns:r="http://schemas.openxmlformats.org/officeDocument/2006/relationships" r:id="rId2"/>
          <a:extLst>
            <a:ext uri="{FF2B5EF4-FFF2-40B4-BE49-F238E27FC236}">
              <a16:creationId xmlns:a16="http://schemas.microsoft.com/office/drawing/2014/main" id="{00000000-0008-0000-0700-000003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70000" y="88900"/>
          <a:ext cx="838095" cy="18730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185737</xdr:colOff>
      <xdr:row>4</xdr:row>
      <xdr:rowOff>23812</xdr:rowOff>
    </xdr:from>
    <xdr:to>
      <xdr:col>18</xdr:col>
      <xdr:colOff>466725</xdr:colOff>
      <xdr:row>17</xdr:row>
      <xdr:rowOff>9525</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185737</xdr:colOff>
      <xdr:row>17</xdr:row>
      <xdr:rowOff>100012</xdr:rowOff>
    </xdr:from>
    <xdr:to>
      <xdr:col>18</xdr:col>
      <xdr:colOff>471487</xdr:colOff>
      <xdr:row>32</xdr:row>
      <xdr:rowOff>71437</xdr:rowOff>
    </xdr:to>
    <xdr:graphicFrame macro="">
      <xdr:nvGraphicFramePr>
        <xdr:cNvPr id="3" name="Chart 2">
          <a:extLst>
            <a:ext uri="{FF2B5EF4-FFF2-40B4-BE49-F238E27FC236}">
              <a16:creationId xmlns:a16="http://schemas.microsoft.com/office/drawing/2014/main" id="{00000000-0008-0000-1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228600</xdr:colOff>
      <xdr:row>48</xdr:row>
      <xdr:rowOff>90487</xdr:rowOff>
    </xdr:from>
    <xdr:to>
      <xdr:col>18</xdr:col>
      <xdr:colOff>514350</xdr:colOff>
      <xdr:row>63</xdr:row>
      <xdr:rowOff>119062</xdr:rowOff>
    </xdr:to>
    <xdr:graphicFrame macro="">
      <xdr:nvGraphicFramePr>
        <xdr:cNvPr id="5" name="Chart 4">
          <a:extLst>
            <a:ext uri="{FF2B5EF4-FFF2-40B4-BE49-F238E27FC236}">
              <a16:creationId xmlns:a16="http://schemas.microsoft.com/office/drawing/2014/main" id="{00000000-0008-0000-1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219075</xdr:colOff>
      <xdr:row>33</xdr:row>
      <xdr:rowOff>4762</xdr:rowOff>
    </xdr:from>
    <xdr:to>
      <xdr:col>18</xdr:col>
      <xdr:colOff>504825</xdr:colOff>
      <xdr:row>47</xdr:row>
      <xdr:rowOff>166687</xdr:rowOff>
    </xdr:to>
    <xdr:graphicFrame macro="">
      <xdr:nvGraphicFramePr>
        <xdr:cNvPr id="6" name="Chart 5">
          <a:extLst>
            <a:ext uri="{FF2B5EF4-FFF2-40B4-BE49-F238E27FC236}">
              <a16:creationId xmlns:a16="http://schemas.microsoft.com/office/drawing/2014/main" id="{00000000-0008-0000-1A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257175</xdr:colOff>
      <xdr:row>64</xdr:row>
      <xdr:rowOff>52387</xdr:rowOff>
    </xdr:from>
    <xdr:to>
      <xdr:col>18</xdr:col>
      <xdr:colOff>542925</xdr:colOff>
      <xdr:row>80</xdr:row>
      <xdr:rowOff>147637</xdr:rowOff>
    </xdr:to>
    <xdr:graphicFrame macro="">
      <xdr:nvGraphicFramePr>
        <xdr:cNvPr id="7" name="Chart 6">
          <a:extLst>
            <a:ext uri="{FF2B5EF4-FFF2-40B4-BE49-F238E27FC236}">
              <a16:creationId xmlns:a16="http://schemas.microsoft.com/office/drawing/2014/main" id="{00000000-0008-0000-1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97</xdr:row>
      <xdr:rowOff>61912</xdr:rowOff>
    </xdr:from>
    <xdr:to>
      <xdr:col>18</xdr:col>
      <xdr:colOff>590550</xdr:colOff>
      <xdr:row>111</xdr:row>
      <xdr:rowOff>138112</xdr:rowOff>
    </xdr:to>
    <xdr:graphicFrame macro="">
      <xdr:nvGraphicFramePr>
        <xdr:cNvPr id="8" name="Chart 7">
          <a:extLst>
            <a:ext uri="{FF2B5EF4-FFF2-40B4-BE49-F238E27FC236}">
              <a16:creationId xmlns:a16="http://schemas.microsoft.com/office/drawing/2014/main" id="{00000000-0008-0000-1A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323850</xdr:colOff>
      <xdr:row>81</xdr:row>
      <xdr:rowOff>61912</xdr:rowOff>
    </xdr:from>
    <xdr:to>
      <xdr:col>18</xdr:col>
      <xdr:colOff>609600</xdr:colOff>
      <xdr:row>96</xdr:row>
      <xdr:rowOff>4762</xdr:rowOff>
    </xdr:to>
    <xdr:graphicFrame macro="">
      <xdr:nvGraphicFramePr>
        <xdr:cNvPr id="9" name="Chart 8">
          <a:extLst>
            <a:ext uri="{FF2B5EF4-FFF2-40B4-BE49-F238E27FC236}">
              <a16:creationId xmlns:a16="http://schemas.microsoft.com/office/drawing/2014/main" id="{00000000-0008-0000-1A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119062</xdr:colOff>
      <xdr:row>113</xdr:row>
      <xdr:rowOff>4762</xdr:rowOff>
    </xdr:from>
    <xdr:to>
      <xdr:col>18</xdr:col>
      <xdr:colOff>404812</xdr:colOff>
      <xdr:row>127</xdr:row>
      <xdr:rowOff>80962</xdr:rowOff>
    </xdr:to>
    <xdr:graphicFrame macro="">
      <xdr:nvGraphicFramePr>
        <xdr:cNvPr id="10" name="Chart 9">
          <a:extLst>
            <a:ext uri="{FF2B5EF4-FFF2-40B4-BE49-F238E27FC236}">
              <a16:creationId xmlns:a16="http://schemas.microsoft.com/office/drawing/2014/main" id="{00000000-0008-0000-1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14287</xdr:colOff>
      <xdr:row>115</xdr:row>
      <xdr:rowOff>119062</xdr:rowOff>
    </xdr:from>
    <xdr:to>
      <xdr:col>11</xdr:col>
      <xdr:colOff>490537</xdr:colOff>
      <xdr:row>130</xdr:row>
      <xdr:rowOff>4762</xdr:rowOff>
    </xdr:to>
    <xdr:graphicFrame macro="">
      <xdr:nvGraphicFramePr>
        <xdr:cNvPr id="4" name="Chart 3">
          <a:extLst>
            <a:ext uri="{FF2B5EF4-FFF2-40B4-BE49-F238E27FC236}">
              <a16:creationId xmlns:a16="http://schemas.microsoft.com/office/drawing/2014/main" id="{00000000-0008-0000-1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19050</xdr:colOff>
      <xdr:row>16</xdr:row>
      <xdr:rowOff>123825</xdr:rowOff>
    </xdr:from>
    <xdr:to>
      <xdr:col>2</xdr:col>
      <xdr:colOff>19050</xdr:colOff>
      <xdr:row>26</xdr:row>
      <xdr:rowOff>180975</xdr:rowOff>
    </xdr:to>
    <xdr:cxnSp macro="">
      <xdr:nvCxnSpPr>
        <xdr:cNvPr id="2" name="Gerade Verbindung mit Pfeil 1">
          <a:extLst>
            <a:ext uri="{FF2B5EF4-FFF2-40B4-BE49-F238E27FC236}">
              <a16:creationId xmlns:a16="http://schemas.microsoft.com/office/drawing/2014/main" id="{00000000-0008-0000-2E00-000002000000}"/>
            </a:ext>
          </a:extLst>
        </xdr:cNvPr>
        <xdr:cNvCxnSpPr/>
      </xdr:nvCxnSpPr>
      <xdr:spPr>
        <a:xfrm flipH="1">
          <a:off x="3638550" y="4943475"/>
          <a:ext cx="0" cy="19621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695325</xdr:colOff>
      <xdr:row>12</xdr:row>
      <xdr:rowOff>114300</xdr:rowOff>
    </xdr:from>
    <xdr:to>
      <xdr:col>1</xdr:col>
      <xdr:colOff>695325</xdr:colOff>
      <xdr:row>30</xdr:row>
      <xdr:rowOff>95250</xdr:rowOff>
    </xdr:to>
    <xdr:cxnSp macro="">
      <xdr:nvCxnSpPr>
        <xdr:cNvPr id="3" name="Gerade Verbindung mit Pfeil 2">
          <a:extLst>
            <a:ext uri="{FF2B5EF4-FFF2-40B4-BE49-F238E27FC236}">
              <a16:creationId xmlns:a16="http://schemas.microsoft.com/office/drawing/2014/main" id="{00000000-0008-0000-2E00-000003000000}"/>
            </a:ext>
          </a:extLst>
        </xdr:cNvPr>
        <xdr:cNvCxnSpPr/>
      </xdr:nvCxnSpPr>
      <xdr:spPr>
        <a:xfrm>
          <a:off x="3200400" y="3790950"/>
          <a:ext cx="0" cy="37909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1095375</xdr:colOff>
      <xdr:row>7</xdr:row>
      <xdr:rowOff>171450</xdr:rowOff>
    </xdr:from>
    <xdr:to>
      <xdr:col>13</xdr:col>
      <xdr:colOff>180975</xdr:colOff>
      <xdr:row>7</xdr:row>
      <xdr:rowOff>171450</xdr:rowOff>
    </xdr:to>
    <xdr:cxnSp macro="">
      <xdr:nvCxnSpPr>
        <xdr:cNvPr id="4" name="Gerade Verbindung mit Pfeil 3">
          <a:extLst>
            <a:ext uri="{FF2B5EF4-FFF2-40B4-BE49-F238E27FC236}">
              <a16:creationId xmlns:a16="http://schemas.microsoft.com/office/drawing/2014/main" id="{00000000-0008-0000-2E00-000004000000}"/>
            </a:ext>
          </a:extLst>
        </xdr:cNvPr>
        <xdr:cNvCxnSpPr/>
      </xdr:nvCxnSpPr>
      <xdr:spPr>
        <a:xfrm flipV="1">
          <a:off x="3600450" y="2895600"/>
          <a:ext cx="78581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2105025</xdr:colOff>
      <xdr:row>5</xdr:row>
      <xdr:rowOff>123825</xdr:rowOff>
    </xdr:from>
    <xdr:to>
      <xdr:col>13</xdr:col>
      <xdr:colOff>0</xdr:colOff>
      <xdr:row>7</xdr:row>
      <xdr:rowOff>171450</xdr:rowOff>
    </xdr:to>
    <xdr:cxnSp macro="">
      <xdr:nvCxnSpPr>
        <xdr:cNvPr id="5" name="Gerade Verbindung mit Pfeil 4">
          <a:extLst>
            <a:ext uri="{FF2B5EF4-FFF2-40B4-BE49-F238E27FC236}">
              <a16:creationId xmlns:a16="http://schemas.microsoft.com/office/drawing/2014/main" id="{00000000-0008-0000-2E00-000005000000}"/>
            </a:ext>
          </a:extLst>
        </xdr:cNvPr>
        <xdr:cNvCxnSpPr/>
      </xdr:nvCxnSpPr>
      <xdr:spPr>
        <a:xfrm>
          <a:off x="11268075" y="2466975"/>
          <a:ext cx="95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2105025</xdr:colOff>
      <xdr:row>5</xdr:row>
      <xdr:rowOff>123825</xdr:rowOff>
    </xdr:from>
    <xdr:to>
      <xdr:col>25</xdr:col>
      <xdr:colOff>0</xdr:colOff>
      <xdr:row>7</xdr:row>
      <xdr:rowOff>171450</xdr:rowOff>
    </xdr:to>
    <xdr:cxnSp macro="">
      <xdr:nvCxnSpPr>
        <xdr:cNvPr id="6" name="Gerade Verbindung mit Pfeil 5">
          <a:extLst>
            <a:ext uri="{FF2B5EF4-FFF2-40B4-BE49-F238E27FC236}">
              <a16:creationId xmlns:a16="http://schemas.microsoft.com/office/drawing/2014/main" id="{00000000-0008-0000-2E00-000006000000}"/>
            </a:ext>
          </a:extLst>
        </xdr:cNvPr>
        <xdr:cNvCxnSpPr/>
      </xdr:nvCxnSpPr>
      <xdr:spPr>
        <a:xfrm>
          <a:off x="19602450" y="2466975"/>
          <a:ext cx="1238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18</xdr:row>
      <xdr:rowOff>123825</xdr:rowOff>
    </xdr:from>
    <xdr:to>
      <xdr:col>2</xdr:col>
      <xdr:colOff>19050</xdr:colOff>
      <xdr:row>28</xdr:row>
      <xdr:rowOff>180975</xdr:rowOff>
    </xdr:to>
    <xdr:cxnSp macro="">
      <xdr:nvCxnSpPr>
        <xdr:cNvPr id="3" name="Gerade Verbindung mit Pfeil 2">
          <a:extLst>
            <a:ext uri="{FF2B5EF4-FFF2-40B4-BE49-F238E27FC236}">
              <a16:creationId xmlns:a16="http://schemas.microsoft.com/office/drawing/2014/main" id="{00000000-0008-0000-2F00-000003000000}"/>
            </a:ext>
          </a:extLst>
        </xdr:cNvPr>
        <xdr:cNvCxnSpPr/>
      </xdr:nvCxnSpPr>
      <xdr:spPr>
        <a:xfrm flipH="1">
          <a:off x="3638550" y="4943475"/>
          <a:ext cx="0" cy="19621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695325</xdr:colOff>
      <xdr:row>12</xdr:row>
      <xdr:rowOff>114300</xdr:rowOff>
    </xdr:from>
    <xdr:to>
      <xdr:col>1</xdr:col>
      <xdr:colOff>695325</xdr:colOff>
      <xdr:row>32</xdr:row>
      <xdr:rowOff>95250</xdr:rowOff>
    </xdr:to>
    <xdr:cxnSp macro="">
      <xdr:nvCxnSpPr>
        <xdr:cNvPr id="5" name="Gerade Verbindung mit Pfeil 4">
          <a:extLst>
            <a:ext uri="{FF2B5EF4-FFF2-40B4-BE49-F238E27FC236}">
              <a16:creationId xmlns:a16="http://schemas.microsoft.com/office/drawing/2014/main" id="{00000000-0008-0000-2F00-000005000000}"/>
            </a:ext>
          </a:extLst>
        </xdr:cNvPr>
        <xdr:cNvCxnSpPr/>
      </xdr:nvCxnSpPr>
      <xdr:spPr>
        <a:xfrm>
          <a:off x="3200400" y="3790950"/>
          <a:ext cx="0" cy="37909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1095375</xdr:colOff>
      <xdr:row>7</xdr:row>
      <xdr:rowOff>171450</xdr:rowOff>
    </xdr:from>
    <xdr:to>
      <xdr:col>13</xdr:col>
      <xdr:colOff>180975</xdr:colOff>
      <xdr:row>7</xdr:row>
      <xdr:rowOff>171450</xdr:rowOff>
    </xdr:to>
    <xdr:cxnSp macro="">
      <xdr:nvCxnSpPr>
        <xdr:cNvPr id="8" name="Gerade Verbindung mit Pfeil 7">
          <a:extLst>
            <a:ext uri="{FF2B5EF4-FFF2-40B4-BE49-F238E27FC236}">
              <a16:creationId xmlns:a16="http://schemas.microsoft.com/office/drawing/2014/main" id="{00000000-0008-0000-2F00-000008000000}"/>
            </a:ext>
          </a:extLst>
        </xdr:cNvPr>
        <xdr:cNvCxnSpPr/>
      </xdr:nvCxnSpPr>
      <xdr:spPr>
        <a:xfrm flipV="1">
          <a:off x="3600450" y="2895600"/>
          <a:ext cx="78581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2105025</xdr:colOff>
      <xdr:row>5</xdr:row>
      <xdr:rowOff>123825</xdr:rowOff>
    </xdr:from>
    <xdr:to>
      <xdr:col>13</xdr:col>
      <xdr:colOff>0</xdr:colOff>
      <xdr:row>7</xdr:row>
      <xdr:rowOff>171450</xdr:rowOff>
    </xdr:to>
    <xdr:cxnSp macro="">
      <xdr:nvCxnSpPr>
        <xdr:cNvPr id="11" name="Gerade Verbindung mit Pfeil 10">
          <a:extLst>
            <a:ext uri="{FF2B5EF4-FFF2-40B4-BE49-F238E27FC236}">
              <a16:creationId xmlns:a16="http://schemas.microsoft.com/office/drawing/2014/main" id="{00000000-0008-0000-2F00-00000B000000}"/>
            </a:ext>
          </a:extLst>
        </xdr:cNvPr>
        <xdr:cNvCxnSpPr/>
      </xdr:nvCxnSpPr>
      <xdr:spPr>
        <a:xfrm>
          <a:off x="11268075" y="2466975"/>
          <a:ext cx="95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2105025</xdr:colOff>
      <xdr:row>5</xdr:row>
      <xdr:rowOff>123825</xdr:rowOff>
    </xdr:from>
    <xdr:to>
      <xdr:col>25</xdr:col>
      <xdr:colOff>0</xdr:colOff>
      <xdr:row>7</xdr:row>
      <xdr:rowOff>171450</xdr:rowOff>
    </xdr:to>
    <xdr:cxnSp macro="">
      <xdr:nvCxnSpPr>
        <xdr:cNvPr id="13" name="Gerade Verbindung mit Pfeil 12">
          <a:extLst>
            <a:ext uri="{FF2B5EF4-FFF2-40B4-BE49-F238E27FC236}">
              <a16:creationId xmlns:a16="http://schemas.microsoft.com/office/drawing/2014/main" id="{00000000-0008-0000-2F00-00000D000000}"/>
            </a:ext>
          </a:extLst>
        </xdr:cNvPr>
        <xdr:cNvCxnSpPr/>
      </xdr:nvCxnSpPr>
      <xdr:spPr>
        <a:xfrm>
          <a:off x="11268075" y="2466975"/>
          <a:ext cx="95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704849</xdr:colOff>
      <xdr:row>4</xdr:row>
      <xdr:rowOff>42862</xdr:rowOff>
    </xdr:from>
    <xdr:to>
      <xdr:col>12</xdr:col>
      <xdr:colOff>57150</xdr:colOff>
      <xdr:row>22</xdr:row>
      <xdr:rowOff>0</xdr:rowOff>
    </xdr:to>
    <xdr:graphicFrame macro="">
      <xdr:nvGraphicFramePr>
        <xdr:cNvPr id="2" name="Diagramm 1">
          <a:extLst>
            <a:ext uri="{FF2B5EF4-FFF2-40B4-BE49-F238E27FC236}">
              <a16:creationId xmlns:a16="http://schemas.microsoft.com/office/drawing/2014/main" id="{00000000-0008-0000-3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oneCellAnchor>
    <xdr:from>
      <xdr:col>2</xdr:col>
      <xdr:colOff>38100</xdr:colOff>
      <xdr:row>1</xdr:row>
      <xdr:rowOff>38099</xdr:rowOff>
    </xdr:from>
    <xdr:ext cx="962025" cy="212211"/>
    <xdr:pic>
      <xdr:nvPicPr>
        <xdr:cNvPr id="2" name="EC_banner" descr="logo.png">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cstate="print"/>
        <a:stretch>
          <a:fillRect/>
        </a:stretch>
      </xdr:blipFill>
      <xdr:spPr>
        <a:xfrm>
          <a:off x="419100" y="38099"/>
          <a:ext cx="962025" cy="212211"/>
        </a:xfrm>
        <a:prstGeom prst="rect">
          <a:avLst/>
        </a:prstGeom>
      </xdr:spPr>
    </xdr:pic>
    <xdr:clientData/>
  </xdr:oneCellAnchor>
  <xdr:oneCellAnchor>
    <xdr:from>
      <xdr:col>5</xdr:col>
      <xdr:colOff>15240</xdr:colOff>
      <xdr:row>1</xdr:row>
      <xdr:rowOff>28575</xdr:rowOff>
    </xdr:from>
    <xdr:ext cx="409498" cy="226799"/>
    <xdr:pic macro="_xll.FctUpdate">
      <xdr:nvPicPr>
        <xdr:cNvPr id="3" name="Picture 5" descr="update.png">
          <a:extLst>
            <a:ext uri="{FF2B5EF4-FFF2-40B4-BE49-F238E27FC236}">
              <a16:creationId xmlns:a16="http://schemas.microsoft.com/office/drawing/2014/main" id="{00000000-0008-0000-3300-000003000000}"/>
            </a:ext>
          </a:extLst>
        </xdr:cNvPr>
        <xdr:cNvPicPr>
          <a:picLocks noChangeAspect="1"/>
        </xdr:cNvPicPr>
      </xdr:nvPicPr>
      <xdr:blipFill>
        <a:blip xmlns:r="http://schemas.openxmlformats.org/officeDocument/2006/relationships" r:embed="rId2" cstate="print"/>
        <a:stretch>
          <a:fillRect/>
        </a:stretch>
      </xdr:blipFill>
      <xdr:spPr>
        <a:xfrm>
          <a:off x="5196840" y="28575"/>
          <a:ext cx="409498" cy="226799"/>
        </a:xfrm>
        <a:prstGeom prst="rect">
          <a:avLst/>
        </a:prstGeom>
        <a:effectLst/>
      </xdr:spPr>
    </xdr:pic>
    <xdr:clientData/>
  </xdr:oneCellAnchor>
  <xdr:oneCellAnchor>
    <xdr:from>
      <xdr:col>2</xdr:col>
      <xdr:colOff>1034091</xdr:colOff>
      <xdr:row>1</xdr:row>
      <xdr:rowOff>35091</xdr:rowOff>
    </xdr:from>
    <xdr:ext cx="891502" cy="225594"/>
    <xdr:pic macro="_xll.FctHome">
      <xdr:nvPicPr>
        <xdr:cNvPr id="4" name="Picture 6" descr="home.png">
          <a:extLst>
            <a:ext uri="{FF2B5EF4-FFF2-40B4-BE49-F238E27FC236}">
              <a16:creationId xmlns:a16="http://schemas.microsoft.com/office/drawing/2014/main" id="{00000000-0008-0000-3300-000004000000}"/>
            </a:ext>
          </a:extLst>
        </xdr:cNvPr>
        <xdr:cNvPicPr>
          <a:picLocks noChangeAspect="1"/>
        </xdr:cNvPicPr>
      </xdr:nvPicPr>
      <xdr:blipFill>
        <a:blip xmlns:r="http://schemas.openxmlformats.org/officeDocument/2006/relationships" r:embed="rId3" cstate="print"/>
        <a:stretch>
          <a:fillRect/>
        </a:stretch>
      </xdr:blipFill>
      <xdr:spPr>
        <a:xfrm>
          <a:off x="1415091" y="35091"/>
          <a:ext cx="891502" cy="225594"/>
        </a:xfrm>
        <a:prstGeom prst="rect">
          <a:avLst/>
        </a:prstGeom>
      </xdr:spPr>
    </xdr:pic>
    <xdr:clientData/>
  </xdr:oneCellAnchor>
  <xdr:twoCellAnchor editAs="oneCell">
    <xdr:from>
      <xdr:col>2</xdr:col>
      <xdr:colOff>76201</xdr:colOff>
      <xdr:row>26</xdr:row>
      <xdr:rowOff>133350</xdr:rowOff>
    </xdr:from>
    <xdr:to>
      <xdr:col>4</xdr:col>
      <xdr:colOff>584489</xdr:colOff>
      <xdr:row>46</xdr:row>
      <xdr:rowOff>123825</xdr:rowOff>
    </xdr:to>
    <xdr:pic>
      <xdr:nvPicPr>
        <xdr:cNvPr id="5" name="Grafik 4">
          <a:extLst>
            <a:ext uri="{FF2B5EF4-FFF2-40B4-BE49-F238E27FC236}">
              <a16:creationId xmlns:a16="http://schemas.microsoft.com/office/drawing/2014/main" id="{00000000-0008-0000-3300-000005000000}"/>
            </a:ext>
          </a:extLst>
        </xdr:cNvPr>
        <xdr:cNvPicPr>
          <a:picLocks noChangeAspect="1"/>
        </xdr:cNvPicPr>
      </xdr:nvPicPr>
      <xdr:blipFill>
        <a:blip xmlns:r="http://schemas.openxmlformats.org/officeDocument/2006/relationships" r:embed="rId4"/>
        <a:stretch>
          <a:fillRect/>
        </a:stretch>
      </xdr:blipFill>
      <xdr:spPr>
        <a:xfrm>
          <a:off x="457201" y="5114925"/>
          <a:ext cx="4356388" cy="3429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161924</xdr:colOff>
      <xdr:row>22</xdr:row>
      <xdr:rowOff>71437</xdr:rowOff>
    </xdr:from>
    <xdr:to>
      <xdr:col>8</xdr:col>
      <xdr:colOff>438149</xdr:colOff>
      <xdr:row>37</xdr:row>
      <xdr:rowOff>104775</xdr:rowOff>
    </xdr:to>
    <xdr:graphicFrame macro="">
      <xdr:nvGraphicFramePr>
        <xdr:cNvPr id="3" name="Diagramm 2">
          <a:extLst>
            <a:ext uri="{FF2B5EF4-FFF2-40B4-BE49-F238E27FC236}">
              <a16:creationId xmlns:a16="http://schemas.microsoft.com/office/drawing/2014/main" id="{00000000-0008-0000-3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0.59725</cdr:x>
      <cdr:y>0.05766</cdr:y>
    </cdr:from>
    <cdr:to>
      <cdr:x>0.59725</cdr:x>
      <cdr:y>0.71664</cdr:y>
    </cdr:to>
    <cdr:cxnSp macro="">
      <cdr:nvCxnSpPr>
        <cdr:cNvPr id="3" name="Gerader Verbinder 2">
          <a:extLst xmlns:a="http://schemas.openxmlformats.org/drawingml/2006/main">
            <a:ext uri="{FF2B5EF4-FFF2-40B4-BE49-F238E27FC236}">
              <a16:creationId xmlns:a16="http://schemas.microsoft.com/office/drawing/2014/main" id="{EFDB77F2-F4AE-4115-939F-46EF97005DE6}"/>
            </a:ext>
          </a:extLst>
        </cdr:cNvPr>
        <cdr:cNvCxnSpPr/>
      </cdr:nvCxnSpPr>
      <cdr:spPr>
        <a:xfrm xmlns:a="http://schemas.openxmlformats.org/drawingml/2006/main">
          <a:off x="2895601" y="166688"/>
          <a:ext cx="0" cy="19050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5.xml><?xml version="1.0" encoding="utf-8"?>
<xdr:wsDr xmlns:xdr="http://schemas.openxmlformats.org/drawingml/2006/spreadsheetDrawing" xmlns:a="http://schemas.openxmlformats.org/drawingml/2006/main">
  <xdr:twoCellAnchor>
    <xdr:from>
      <xdr:col>2</xdr:col>
      <xdr:colOff>466727</xdr:colOff>
      <xdr:row>16</xdr:row>
      <xdr:rowOff>133349</xdr:rowOff>
    </xdr:from>
    <xdr:to>
      <xdr:col>18</xdr:col>
      <xdr:colOff>590551</xdr:colOff>
      <xdr:row>48</xdr:row>
      <xdr:rowOff>40821</xdr:rowOff>
    </xdr:to>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619124</xdr:colOff>
      <xdr:row>31</xdr:row>
      <xdr:rowOff>189142</xdr:rowOff>
    </xdr:from>
    <xdr:to>
      <xdr:col>18</xdr:col>
      <xdr:colOff>533399</xdr:colOff>
      <xdr:row>31</xdr:row>
      <xdr:rowOff>189142</xdr:rowOff>
    </xdr:to>
    <xdr:cxnSp macro="">
      <xdr:nvCxnSpPr>
        <xdr:cNvPr id="3" name="Straight Connector 6">
          <a:extLst>
            <a:ext uri="{FF2B5EF4-FFF2-40B4-BE49-F238E27FC236}">
              <a16:creationId xmlns:a16="http://schemas.microsoft.com/office/drawing/2014/main" id="{00000000-0008-0000-3B00-000003000000}"/>
            </a:ext>
          </a:extLst>
        </xdr:cNvPr>
        <xdr:cNvCxnSpPr/>
      </xdr:nvCxnSpPr>
      <xdr:spPr>
        <a:xfrm>
          <a:off x="2388053" y="6298749"/>
          <a:ext cx="9765846" cy="0"/>
        </a:xfrm>
        <a:prstGeom prst="line">
          <a:avLst/>
        </a:prstGeom>
        <a:ln w="19050">
          <a:solidFill>
            <a:srgbClr val="C0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20409</xdr:colOff>
      <xdr:row>37</xdr:row>
      <xdr:rowOff>9524</xdr:rowOff>
    </xdr:from>
    <xdr:to>
      <xdr:col>26</xdr:col>
      <xdr:colOff>571500</xdr:colOff>
      <xdr:row>56</xdr:row>
      <xdr:rowOff>81643</xdr:rowOff>
    </xdr:to>
    <xdr:graphicFrame macro="">
      <xdr:nvGraphicFramePr>
        <xdr:cNvPr id="5" name="Diagramm 4">
          <a:extLst>
            <a:ext uri="{FF2B5EF4-FFF2-40B4-BE49-F238E27FC236}">
              <a16:creationId xmlns:a16="http://schemas.microsoft.com/office/drawing/2014/main" id="{00000000-0008-0000-3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733425</xdr:colOff>
      <xdr:row>7</xdr:row>
      <xdr:rowOff>166686</xdr:rowOff>
    </xdr:from>
    <xdr:to>
      <xdr:col>13</xdr:col>
      <xdr:colOff>485775</xdr:colOff>
      <xdr:row>26</xdr:row>
      <xdr:rowOff>114299</xdr:rowOff>
    </xdr:to>
    <xdr:graphicFrame macro="">
      <xdr:nvGraphicFramePr>
        <xdr:cNvPr id="2" name="Diagramm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iveconcordia-my.sharepoint.com/Dropbox/1.%20Projekte%20JD/1.%20Orga%20Montreal%20-%20Concordia/Courses/2020%20Fall/FINA%20410/Exel%20Sheets%20Apple%20and%20Walmart/Apple%20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liveconcordia-my.sharepoint.com/Dropbox/Fina%20695%20Winter%202018%20Course%20Content/Pignataro%20book%20content/NYSF_Walmart_Template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Instructions"/>
      <sheetName val="Controls"/>
      <sheetName val="Overview"/>
      <sheetName val="Comparison"/>
      <sheetName val="Prices"/>
      <sheetName val="Financials (Industrials)"/>
      <sheetName val="Financials (Banks)"/>
      <sheetName val="Financials (Insurance)"/>
      <sheetName val="Financials (Other)"/>
      <sheetName val="Guidance"/>
      <sheetName val="Consensus Estimates"/>
      <sheetName val="Detail Estimates"/>
      <sheetName val="Targets and Ratings"/>
      <sheetName val="PE"/>
      <sheetName val="EV"/>
      <sheetName val="Ownership"/>
      <sheetName val="Deals"/>
      <sheetName val="Entity Structure"/>
      <sheetName val="Events"/>
      <sheetName val="Exchange Rates"/>
    </sheetNames>
    <sheetDataSet>
      <sheetData sheetId="0" refreshError="1"/>
      <sheetData sheetId="1" refreshError="1"/>
      <sheetData sheetId="2" refreshError="1">
        <row r="6">
          <cell r="C6" t="str">
            <v>FDS-US</v>
          </cell>
          <cell r="E6" t="str">
            <v>FactSet Research Systems Inc.</v>
          </cell>
        </row>
        <row r="7">
          <cell r="C7" t="str">
            <v>OEX</v>
          </cell>
          <cell r="E7" t="str">
            <v>S&amp;P 100</v>
          </cell>
        </row>
        <row r="9">
          <cell r="F9">
            <v>2011</v>
          </cell>
        </row>
        <row r="11">
          <cell r="C11" t="str">
            <v>0D</v>
          </cell>
          <cell r="F11"/>
        </row>
        <row r="12">
          <cell r="C12" t="str">
            <v>-1AY</v>
          </cell>
          <cell r="F12"/>
        </row>
        <row r="30">
          <cell r="B30" t="str">
            <v xml:space="preserve">B00P3M CME MSCI 067760 *TRI TRAC    </v>
          </cell>
        </row>
        <row r="43">
          <cell r="C43" t="str">
            <v>USD</v>
          </cell>
        </row>
        <row r="44">
          <cell r="C44" t="str">
            <v>0D</v>
          </cell>
        </row>
        <row r="45">
          <cell r="C45" t="str">
            <v>-1AY</v>
          </cell>
        </row>
        <row r="46">
          <cell r="C46" t="str">
            <v>EQUAL</v>
          </cell>
        </row>
        <row r="47">
          <cell r="C47" t="str">
            <v>USD</v>
          </cell>
        </row>
        <row r="48">
          <cell r="C48" t="str">
            <v>USD</v>
          </cell>
        </row>
      </sheetData>
      <sheetData sheetId="3" refreshError="1">
        <row r="24">
          <cell r="C24">
            <v>162.39000000000001</v>
          </cell>
        </row>
        <row r="33">
          <cell r="C33">
            <v>6584.4440000000004</v>
          </cell>
        </row>
        <row r="62">
          <cell r="C62">
            <v>1006.768</v>
          </cell>
        </row>
        <row r="63">
          <cell r="C63"/>
        </row>
        <row r="64">
          <cell r="C64"/>
        </row>
        <row r="65">
          <cell r="C65"/>
        </row>
        <row r="66">
          <cell r="C66"/>
        </row>
        <row r="67">
          <cell r="C67"/>
        </row>
        <row r="68">
          <cell r="C68"/>
        </row>
        <row r="69">
          <cell r="C69"/>
        </row>
        <row r="77">
          <cell r="C77">
            <v>20150831</v>
          </cell>
        </row>
        <row r="78">
          <cell r="C78">
            <v>678.774</v>
          </cell>
        </row>
        <row r="79">
          <cell r="C79">
            <v>144.76900000000001</v>
          </cell>
        </row>
        <row r="80">
          <cell r="C80">
            <v>106.753</v>
          </cell>
        </row>
        <row r="81">
          <cell r="C81">
            <v>76.471999999999994</v>
          </cell>
        </row>
      </sheetData>
      <sheetData sheetId="4" refreshError="1"/>
      <sheetData sheetId="5" refreshError="1">
        <row r="7">
          <cell r="B7">
            <v>42641</v>
          </cell>
          <cell r="C7">
            <v>1204.3</v>
          </cell>
          <cell r="G7">
            <v>162.39000000000001</v>
          </cell>
          <cell r="I7">
            <v>212.38</v>
          </cell>
          <cell r="J7">
            <v>180.5257</v>
          </cell>
          <cell r="L7">
            <v>103.84320000000001</v>
          </cell>
          <cell r="M7">
            <v>135.81</v>
          </cell>
          <cell r="N7">
            <v>115.44038</v>
          </cell>
        </row>
        <row r="8">
          <cell r="B8">
            <v>42640</v>
          </cell>
          <cell r="C8">
            <v>2073.8740000000003</v>
          </cell>
          <cell r="G8">
            <v>164.34</v>
          </cell>
          <cell r="I8">
            <v>212.05290000000002</v>
          </cell>
          <cell r="J8">
            <v>179.69640000000001</v>
          </cell>
          <cell r="L8">
            <v>105.09016000000001</v>
          </cell>
          <cell r="M8">
            <v>135.601</v>
          </cell>
          <cell r="N8">
            <v>114.91011</v>
          </cell>
        </row>
        <row r="9">
          <cell r="B9">
            <v>42639</v>
          </cell>
          <cell r="C9">
            <v>471.99700000000001</v>
          </cell>
          <cell r="G9">
            <v>176.19</v>
          </cell>
          <cell r="I9">
            <v>210.86180000000002</v>
          </cell>
          <cell r="J9">
            <v>178.40090000000001</v>
          </cell>
          <cell r="L9">
            <v>112.66786</v>
          </cell>
          <cell r="M9">
            <v>134.83940000000001</v>
          </cell>
          <cell r="N9">
            <v>114.08164000000001</v>
          </cell>
        </row>
        <row r="10">
          <cell r="B10">
            <v>42636</v>
          </cell>
          <cell r="C10">
            <v>315.78700000000003</v>
          </cell>
          <cell r="G10">
            <v>178.57</v>
          </cell>
          <cell r="I10">
            <v>213.99</v>
          </cell>
          <cell r="J10">
            <v>180.12890000000002</v>
          </cell>
          <cell r="L10">
            <v>114.18979000000002</v>
          </cell>
          <cell r="M10">
            <v>136.84</v>
          </cell>
          <cell r="N10">
            <v>115.18668000000001</v>
          </cell>
        </row>
        <row r="11">
          <cell r="B11">
            <v>42635</v>
          </cell>
          <cell r="C11">
            <v>262.91300000000001</v>
          </cell>
          <cell r="G11">
            <v>179.8</v>
          </cell>
          <cell r="I11">
            <v>216.833</v>
          </cell>
          <cell r="J11">
            <v>181.11610000000002</v>
          </cell>
          <cell r="L11">
            <v>114.97633</v>
          </cell>
          <cell r="M11">
            <v>138.65770000000001</v>
          </cell>
          <cell r="N11">
            <v>115.81796000000001</v>
          </cell>
        </row>
        <row r="12">
          <cell r="B12">
            <v>42634</v>
          </cell>
          <cell r="C12">
            <v>296.72500000000002</v>
          </cell>
          <cell r="G12">
            <v>178.23</v>
          </cell>
          <cell r="I12">
            <v>215.73490000000001</v>
          </cell>
          <cell r="J12">
            <v>179.9973</v>
          </cell>
          <cell r="L12">
            <v>113.97237000000001</v>
          </cell>
          <cell r="M12">
            <v>137.9555</v>
          </cell>
          <cell r="N12">
            <v>115.10251000000001</v>
          </cell>
        </row>
        <row r="13">
          <cell r="B13">
            <v>42633</v>
          </cell>
          <cell r="C13">
            <v>305.06700000000001</v>
          </cell>
          <cell r="G13">
            <v>175.93</v>
          </cell>
          <cell r="I13">
            <v>215.85230000000001</v>
          </cell>
          <cell r="J13">
            <v>178.40280000000001</v>
          </cell>
          <cell r="L13">
            <v>112.50159000000001</v>
          </cell>
          <cell r="M13">
            <v>138.03059999999999</v>
          </cell>
          <cell r="N13">
            <v>114.08285000000001</v>
          </cell>
        </row>
        <row r="14">
          <cell r="B14">
            <v>42632</v>
          </cell>
          <cell r="C14">
            <v>324.358</v>
          </cell>
          <cell r="G14">
            <v>176.55</v>
          </cell>
          <cell r="I14">
            <v>216.69450000000001</v>
          </cell>
          <cell r="J14">
            <v>178.13570000000001</v>
          </cell>
          <cell r="L14">
            <v>112.89806000000002</v>
          </cell>
          <cell r="M14">
            <v>138.5692</v>
          </cell>
          <cell r="N14">
            <v>113.91209000000001</v>
          </cell>
        </row>
        <row r="15">
          <cell r="B15">
            <v>42629</v>
          </cell>
          <cell r="C15">
            <v>472.83600000000001</v>
          </cell>
          <cell r="G15">
            <v>176.57</v>
          </cell>
          <cell r="I15">
            <v>216.37140000000002</v>
          </cell>
          <cell r="J15">
            <v>178.4084</v>
          </cell>
          <cell r="L15">
            <v>112.91086000000001</v>
          </cell>
          <cell r="M15">
            <v>138.36250000000001</v>
          </cell>
          <cell r="N15">
            <v>114.08645000000001</v>
          </cell>
        </row>
        <row r="16">
          <cell r="B16">
            <v>42628</v>
          </cell>
          <cell r="C16">
            <v>226.16900000000001</v>
          </cell>
          <cell r="G16">
            <v>178.04</v>
          </cell>
          <cell r="I16">
            <v>216.1876</v>
          </cell>
          <cell r="J16">
            <v>179.12290000000002</v>
          </cell>
          <cell r="L16">
            <v>113.85087000000001</v>
          </cell>
          <cell r="M16">
            <v>138.245</v>
          </cell>
          <cell r="N16">
            <v>114.54337000000001</v>
          </cell>
        </row>
        <row r="17">
          <cell r="B17">
            <v>42627</v>
          </cell>
          <cell r="C17">
            <v>421.53700000000003</v>
          </cell>
          <cell r="G17">
            <v>174.98</v>
          </cell>
          <cell r="I17">
            <v>214.46730000000002</v>
          </cell>
          <cell r="J17">
            <v>177.3723</v>
          </cell>
          <cell r="L17">
            <v>111.89410000000001</v>
          </cell>
          <cell r="M17">
            <v>137.14500000000001</v>
          </cell>
          <cell r="N17">
            <v>113.4239</v>
          </cell>
        </row>
        <row r="18">
          <cell r="B18">
            <v>42626</v>
          </cell>
          <cell r="C18">
            <v>359.20499999999998</v>
          </cell>
          <cell r="G18">
            <v>175.91</v>
          </cell>
          <cell r="I18">
            <v>214.68430000000001</v>
          </cell>
          <cell r="J18">
            <v>177.38</v>
          </cell>
          <cell r="L18">
            <v>112.48881000000002</v>
          </cell>
          <cell r="M18">
            <v>137.28370000000001</v>
          </cell>
          <cell r="N18">
            <v>113.42873000000002</v>
          </cell>
        </row>
        <row r="19">
          <cell r="B19">
            <v>42625</v>
          </cell>
          <cell r="C19">
            <v>285.62099999999998</v>
          </cell>
          <cell r="G19">
            <v>178.43</v>
          </cell>
          <cell r="I19">
            <v>216.28720000000001</v>
          </cell>
          <cell r="J19">
            <v>179.8</v>
          </cell>
          <cell r="L19">
            <v>114.10027000000001</v>
          </cell>
          <cell r="M19">
            <v>138.30870000000002</v>
          </cell>
          <cell r="N19">
            <v>114.97625000000001</v>
          </cell>
        </row>
        <row r="20">
          <cell r="B20">
            <v>42622</v>
          </cell>
          <cell r="C20">
            <v>255.249</v>
          </cell>
          <cell r="G20">
            <v>176.42000000000002</v>
          </cell>
          <cell r="I20">
            <v>214.91250000000002</v>
          </cell>
          <cell r="J20">
            <v>177.24630000000002</v>
          </cell>
          <cell r="L20">
            <v>112.81494000000001</v>
          </cell>
          <cell r="M20">
            <v>137.42959999999999</v>
          </cell>
          <cell r="N20">
            <v>113.34335000000002</v>
          </cell>
        </row>
        <row r="21">
          <cell r="B21">
            <v>42621</v>
          </cell>
          <cell r="C21">
            <v>169.15299999999999</v>
          </cell>
          <cell r="G21">
            <v>180.70000000000002</v>
          </cell>
          <cell r="I21">
            <v>218.03110000000001</v>
          </cell>
          <cell r="J21">
            <v>181.3305</v>
          </cell>
          <cell r="L21">
            <v>115.55185000000002</v>
          </cell>
          <cell r="M21">
            <v>139.4239</v>
          </cell>
          <cell r="N21">
            <v>115.95503000000001</v>
          </cell>
        </row>
        <row r="22">
          <cell r="B22">
            <v>42620</v>
          </cell>
          <cell r="C22">
            <v>232.09200000000001</v>
          </cell>
          <cell r="G22">
            <v>181.41</v>
          </cell>
          <cell r="I22">
            <v>222.89160000000001</v>
          </cell>
          <cell r="J22">
            <v>181.6652</v>
          </cell>
          <cell r="L22">
            <v>116.00588</v>
          </cell>
          <cell r="M22">
            <v>142.53200000000001</v>
          </cell>
          <cell r="N22">
            <v>116.16906000000002</v>
          </cell>
        </row>
        <row r="23">
          <cell r="B23">
            <v>42619</v>
          </cell>
          <cell r="C23">
            <v>251.21200000000002</v>
          </cell>
          <cell r="G23">
            <v>180.14000000000001</v>
          </cell>
          <cell r="I23">
            <v>223.95570000000001</v>
          </cell>
          <cell r="J23">
            <v>181.8006</v>
          </cell>
          <cell r="L23">
            <v>115.19376000000001</v>
          </cell>
          <cell r="M23">
            <v>143.21250000000001</v>
          </cell>
          <cell r="N23">
            <v>116.25564000000001</v>
          </cell>
        </row>
        <row r="24">
          <cell r="B24">
            <v>42618</v>
          </cell>
          <cell r="C24">
            <v>0</v>
          </cell>
          <cell r="G24">
            <v>181.52</v>
          </cell>
          <cell r="I24">
            <v>224.7158</v>
          </cell>
          <cell r="J24">
            <v>181.2045</v>
          </cell>
          <cell r="L24">
            <v>116.07622000000001</v>
          </cell>
          <cell r="M24">
            <v>143.6985</v>
          </cell>
          <cell r="N24">
            <v>115.87446000000001</v>
          </cell>
        </row>
        <row r="25">
          <cell r="B25">
            <v>42615</v>
          </cell>
          <cell r="C25">
            <v>286.72899999999998</v>
          </cell>
          <cell r="G25">
            <v>181.52</v>
          </cell>
          <cell r="I25">
            <v>224.63850000000002</v>
          </cell>
          <cell r="J25">
            <v>181.2045</v>
          </cell>
          <cell r="L25">
            <v>116.07622000000001</v>
          </cell>
          <cell r="M25">
            <v>143.64920000000001</v>
          </cell>
          <cell r="N25">
            <v>115.87446000000001</v>
          </cell>
        </row>
        <row r="26">
          <cell r="B26">
            <v>42614</v>
          </cell>
          <cell r="C26">
            <v>275.35399999999998</v>
          </cell>
          <cell r="G26">
            <v>180.13</v>
          </cell>
          <cell r="I26">
            <v>223.0986</v>
          </cell>
          <cell r="J26">
            <v>180.55950000000001</v>
          </cell>
          <cell r="L26">
            <v>115.18736000000001</v>
          </cell>
          <cell r="M26">
            <v>142.6644</v>
          </cell>
          <cell r="N26">
            <v>115.46203000000001</v>
          </cell>
        </row>
        <row r="27">
          <cell r="B27">
            <v>42613</v>
          </cell>
          <cell r="C27">
            <v>229.941</v>
          </cell>
          <cell r="G27">
            <v>178.03</v>
          </cell>
          <cell r="I27">
            <v>222.4888</v>
          </cell>
          <cell r="J27">
            <v>180.52940000000001</v>
          </cell>
          <cell r="L27">
            <v>113.84447000000002</v>
          </cell>
          <cell r="M27">
            <v>142.27450000000002</v>
          </cell>
          <cell r="N27">
            <v>115.44279000000002</v>
          </cell>
        </row>
        <row r="28">
          <cell r="B28">
            <v>42612</v>
          </cell>
          <cell r="C28">
            <v>234.976</v>
          </cell>
          <cell r="G28">
            <v>178.81</v>
          </cell>
          <cell r="I28">
            <v>222.35340000000002</v>
          </cell>
          <cell r="J28">
            <v>180.84910000000002</v>
          </cell>
          <cell r="L28">
            <v>114.34326000000001</v>
          </cell>
          <cell r="M28">
            <v>142.18790000000001</v>
          </cell>
          <cell r="N28">
            <v>115.64721000000002</v>
          </cell>
        </row>
        <row r="29">
          <cell r="B29">
            <v>42611</v>
          </cell>
          <cell r="C29">
            <v>161</v>
          </cell>
          <cell r="G29">
            <v>178.33</v>
          </cell>
          <cell r="I29">
            <v>221.98760000000001</v>
          </cell>
          <cell r="J29">
            <v>181.18190000000001</v>
          </cell>
          <cell r="L29">
            <v>114.03632</v>
          </cell>
          <cell r="M29">
            <v>141.95400000000001</v>
          </cell>
          <cell r="N29">
            <v>115.86003000000001</v>
          </cell>
        </row>
        <row r="30">
          <cell r="B30">
            <v>42608</v>
          </cell>
          <cell r="C30">
            <v>172.03800000000001</v>
          </cell>
          <cell r="G30">
            <v>177.66</v>
          </cell>
          <cell r="I30">
            <v>221.6909</v>
          </cell>
          <cell r="J30">
            <v>180.33760000000001</v>
          </cell>
          <cell r="L30">
            <v>113.60787000000001</v>
          </cell>
          <cell r="M30">
            <v>141.76420000000002</v>
          </cell>
          <cell r="N30">
            <v>115.32014000000001</v>
          </cell>
        </row>
        <row r="31">
          <cell r="B31">
            <v>42607</v>
          </cell>
          <cell r="C31">
            <v>137.666</v>
          </cell>
          <cell r="G31">
            <v>177.62</v>
          </cell>
          <cell r="I31">
            <v>220.97790000000001</v>
          </cell>
          <cell r="J31">
            <v>180.4787</v>
          </cell>
          <cell r="L31">
            <v>113.58229000000001</v>
          </cell>
          <cell r="M31">
            <v>141.3083</v>
          </cell>
          <cell r="N31">
            <v>115.41032000000001</v>
          </cell>
        </row>
        <row r="32">
          <cell r="B32">
            <v>42606</v>
          </cell>
          <cell r="C32">
            <v>311.41899999999998</v>
          </cell>
          <cell r="G32">
            <v>177.39000000000001</v>
          </cell>
          <cell r="I32">
            <v>220.94570000000002</v>
          </cell>
          <cell r="J32">
            <v>180.78890000000001</v>
          </cell>
          <cell r="L32">
            <v>113.43522000000002</v>
          </cell>
          <cell r="M32">
            <v>141.2877</v>
          </cell>
          <cell r="N32">
            <v>115.60873000000001</v>
          </cell>
        </row>
        <row r="33">
          <cell r="B33">
            <v>42605</v>
          </cell>
          <cell r="C33">
            <v>221.26</v>
          </cell>
          <cell r="G33">
            <v>177.72</v>
          </cell>
          <cell r="I33">
            <v>221.14190000000002</v>
          </cell>
          <cell r="J33">
            <v>181.52790000000002</v>
          </cell>
          <cell r="L33">
            <v>113.64625000000001</v>
          </cell>
          <cell r="M33">
            <v>141.41320000000002</v>
          </cell>
          <cell r="N33">
            <v>116.08128000000001</v>
          </cell>
        </row>
        <row r="34">
          <cell r="B34">
            <v>42604</v>
          </cell>
          <cell r="C34">
            <v>227.81800000000001</v>
          </cell>
          <cell r="G34">
            <v>175.8</v>
          </cell>
          <cell r="I34">
            <v>220.684</v>
          </cell>
          <cell r="J34">
            <v>181.29470000000001</v>
          </cell>
          <cell r="L34">
            <v>112.41846000000001</v>
          </cell>
          <cell r="M34">
            <v>141.12030000000001</v>
          </cell>
          <cell r="N34">
            <v>115.93217000000001</v>
          </cell>
        </row>
        <row r="35">
          <cell r="B35">
            <v>42601</v>
          </cell>
          <cell r="C35">
            <v>243.928</v>
          </cell>
          <cell r="G35">
            <v>175.22</v>
          </cell>
          <cell r="I35">
            <v>220.13830000000002</v>
          </cell>
          <cell r="J35">
            <v>181.417</v>
          </cell>
          <cell r="L35">
            <v>112.04758000000001</v>
          </cell>
          <cell r="M35">
            <v>140.7714</v>
          </cell>
          <cell r="N35">
            <v>116.01033000000001</v>
          </cell>
        </row>
        <row r="36">
          <cell r="B36">
            <v>42600</v>
          </cell>
          <cell r="C36">
            <v>148.15800000000002</v>
          </cell>
          <cell r="G36">
            <v>174.78</v>
          </cell>
          <cell r="I36">
            <v>220.75540000000001</v>
          </cell>
          <cell r="J36">
            <v>181.84570000000002</v>
          </cell>
          <cell r="L36">
            <v>111.76620000000001</v>
          </cell>
          <cell r="M36">
            <v>141.166</v>
          </cell>
          <cell r="N36">
            <v>116.28449000000001</v>
          </cell>
        </row>
        <row r="37">
          <cell r="B37">
            <v>42599</v>
          </cell>
          <cell r="C37">
            <v>178.00300000000001</v>
          </cell>
          <cell r="G37">
            <v>173.33</v>
          </cell>
          <cell r="I37">
            <v>220.6344</v>
          </cell>
          <cell r="J37">
            <v>181.73480000000001</v>
          </cell>
          <cell r="L37">
            <v>110.839</v>
          </cell>
          <cell r="M37">
            <v>141.08870000000002</v>
          </cell>
          <cell r="N37">
            <v>116.21355000000001</v>
          </cell>
        </row>
        <row r="38">
          <cell r="B38">
            <v>42598</v>
          </cell>
          <cell r="C38">
            <v>241.905</v>
          </cell>
          <cell r="G38">
            <v>173.39000000000001</v>
          </cell>
          <cell r="I38">
            <v>219.38</v>
          </cell>
          <cell r="J38">
            <v>181.37190000000001</v>
          </cell>
          <cell r="L38">
            <v>110.87735000000001</v>
          </cell>
          <cell r="M38">
            <v>140.28650000000002</v>
          </cell>
          <cell r="N38">
            <v>115.98148</v>
          </cell>
        </row>
        <row r="39">
          <cell r="B39">
            <v>42597</v>
          </cell>
          <cell r="C39">
            <v>257.09300000000002</v>
          </cell>
          <cell r="G39">
            <v>174.08</v>
          </cell>
          <cell r="I39">
            <v>221.14500000000001</v>
          </cell>
          <cell r="J39">
            <v>182.1729</v>
          </cell>
          <cell r="L39">
            <v>111.31857000000001</v>
          </cell>
          <cell r="M39">
            <v>141.4151</v>
          </cell>
          <cell r="N39">
            <v>116.49371000000001</v>
          </cell>
        </row>
        <row r="40">
          <cell r="B40">
            <v>42594</v>
          </cell>
          <cell r="C40">
            <v>324.53300000000002</v>
          </cell>
          <cell r="G40">
            <v>172.79</v>
          </cell>
          <cell r="I40">
            <v>220.18730000000002</v>
          </cell>
          <cell r="J40">
            <v>181.73850000000002</v>
          </cell>
          <cell r="L40">
            <v>110.49366000000001</v>
          </cell>
          <cell r="M40">
            <v>140.80270000000002</v>
          </cell>
          <cell r="N40">
            <v>116.21596000000001</v>
          </cell>
        </row>
        <row r="41">
          <cell r="B41">
            <v>42593</v>
          </cell>
          <cell r="C41">
            <v>218.70000000000002</v>
          </cell>
          <cell r="G41">
            <v>172.66</v>
          </cell>
          <cell r="I41">
            <v>219.83360000000002</v>
          </cell>
          <cell r="J41">
            <v>181.9547</v>
          </cell>
          <cell r="L41">
            <v>110.41054000000001</v>
          </cell>
          <cell r="M41">
            <v>140.57650000000001</v>
          </cell>
          <cell r="N41">
            <v>116.35423000000002</v>
          </cell>
        </row>
        <row r="42">
          <cell r="B42">
            <v>42592</v>
          </cell>
          <cell r="C42">
            <v>243.11</v>
          </cell>
          <cell r="G42">
            <v>173.3</v>
          </cell>
          <cell r="I42">
            <v>219.90310000000002</v>
          </cell>
          <cell r="J42">
            <v>181.2252</v>
          </cell>
          <cell r="L42">
            <v>110.81979000000001</v>
          </cell>
          <cell r="M42">
            <v>140.62100000000001</v>
          </cell>
          <cell r="N42">
            <v>115.88769000000001</v>
          </cell>
        </row>
        <row r="43">
          <cell r="B43">
            <v>42591</v>
          </cell>
          <cell r="C43">
            <v>271.20800000000003</v>
          </cell>
          <cell r="G43">
            <v>172.56</v>
          </cell>
          <cell r="I43">
            <v>219.87790000000001</v>
          </cell>
          <cell r="J43">
            <v>181.8175</v>
          </cell>
          <cell r="L43">
            <v>110.34659000000001</v>
          </cell>
          <cell r="M43">
            <v>140.60490000000001</v>
          </cell>
          <cell r="N43">
            <v>116.26646000000001</v>
          </cell>
        </row>
        <row r="44">
          <cell r="B44">
            <v>42590</v>
          </cell>
          <cell r="C44">
            <v>224.58600000000001</v>
          </cell>
          <cell r="G44">
            <v>173.72</v>
          </cell>
          <cell r="I44">
            <v>219.67330000000001</v>
          </cell>
          <cell r="J44">
            <v>181.63890000000001</v>
          </cell>
          <cell r="L44">
            <v>111.08837000000001</v>
          </cell>
          <cell r="M44">
            <v>140.47399999999999</v>
          </cell>
          <cell r="N44">
            <v>116.15223</v>
          </cell>
        </row>
        <row r="45">
          <cell r="B45">
            <v>42587</v>
          </cell>
          <cell r="C45">
            <v>290.64</v>
          </cell>
          <cell r="G45">
            <v>174.21</v>
          </cell>
          <cell r="I45">
            <v>219.75710000000001</v>
          </cell>
          <cell r="J45">
            <v>181.81560000000002</v>
          </cell>
          <cell r="L45">
            <v>111.40171000000001</v>
          </cell>
          <cell r="M45">
            <v>140.52760000000001</v>
          </cell>
          <cell r="N45">
            <v>116.26525000000001</v>
          </cell>
        </row>
        <row r="46">
          <cell r="B46">
            <v>42586</v>
          </cell>
          <cell r="C46">
            <v>179.84100000000001</v>
          </cell>
          <cell r="G46">
            <v>172.99</v>
          </cell>
          <cell r="I46">
            <v>219.43970000000002</v>
          </cell>
          <cell r="J46">
            <v>180.3151</v>
          </cell>
          <cell r="L46">
            <v>110.62156</v>
          </cell>
          <cell r="M46">
            <v>140.3246</v>
          </cell>
          <cell r="N46">
            <v>115.30571</v>
          </cell>
        </row>
        <row r="47">
          <cell r="B47">
            <v>42585</v>
          </cell>
          <cell r="C47">
            <v>300.21600000000001</v>
          </cell>
          <cell r="G47">
            <v>172.20000000000002</v>
          </cell>
          <cell r="I47">
            <v>219.34660000000002</v>
          </cell>
          <cell r="J47">
            <v>180.2944</v>
          </cell>
          <cell r="L47">
            <v>110.11637</v>
          </cell>
          <cell r="M47">
            <v>140.26510000000002</v>
          </cell>
          <cell r="N47">
            <v>115.29249000000002</v>
          </cell>
        </row>
        <row r="48">
          <cell r="B48">
            <v>42584</v>
          </cell>
          <cell r="C48">
            <v>275.94900000000001</v>
          </cell>
          <cell r="G48">
            <v>171.21</v>
          </cell>
          <cell r="I48">
            <v>219.37390000000002</v>
          </cell>
          <cell r="J48">
            <v>179.97290000000001</v>
          </cell>
          <cell r="L48">
            <v>109.48331</v>
          </cell>
          <cell r="M48">
            <v>140.2825</v>
          </cell>
          <cell r="N48">
            <v>115.08688000000001</v>
          </cell>
        </row>
        <row r="49">
          <cell r="B49">
            <v>42583</v>
          </cell>
          <cell r="C49">
            <v>249.84399999999999</v>
          </cell>
          <cell r="G49">
            <v>171.22</v>
          </cell>
          <cell r="I49">
            <v>220.00160000000002</v>
          </cell>
          <cell r="J49">
            <v>180.851</v>
          </cell>
          <cell r="L49">
            <v>109.4897</v>
          </cell>
          <cell r="M49">
            <v>140.684</v>
          </cell>
          <cell r="N49">
            <v>115.64840000000001</v>
          </cell>
        </row>
        <row r="50">
          <cell r="B50">
            <v>42580</v>
          </cell>
          <cell r="C50">
            <v>334.13499999999999</v>
          </cell>
          <cell r="G50">
            <v>171.96</v>
          </cell>
          <cell r="I50">
            <v>220.07</v>
          </cell>
          <cell r="J50">
            <v>180.84350000000001</v>
          </cell>
          <cell r="L50">
            <v>109.96291000000001</v>
          </cell>
          <cell r="M50">
            <v>140.7277</v>
          </cell>
          <cell r="N50">
            <v>115.64360000000001</v>
          </cell>
        </row>
        <row r="51">
          <cell r="B51">
            <v>42579</v>
          </cell>
          <cell r="C51">
            <v>304.34000000000003</v>
          </cell>
          <cell r="G51">
            <v>173.14000000000001</v>
          </cell>
          <cell r="I51">
            <v>222.87830000000002</v>
          </cell>
          <cell r="J51">
            <v>180.4392</v>
          </cell>
          <cell r="L51">
            <v>110.71748000000001</v>
          </cell>
          <cell r="M51">
            <v>142.52350000000001</v>
          </cell>
          <cell r="N51">
            <v>115.38507000000001</v>
          </cell>
        </row>
        <row r="52">
          <cell r="B52">
            <v>42578</v>
          </cell>
          <cell r="C52">
            <v>272.762</v>
          </cell>
          <cell r="G52">
            <v>171.88</v>
          </cell>
          <cell r="I52">
            <v>223.70680000000002</v>
          </cell>
          <cell r="J52">
            <v>180.24930000000001</v>
          </cell>
          <cell r="L52">
            <v>109.91175000000001</v>
          </cell>
          <cell r="M52">
            <v>143.05330000000001</v>
          </cell>
          <cell r="N52">
            <v>115.26363000000001</v>
          </cell>
        </row>
        <row r="53">
          <cell r="B53">
            <v>42577</v>
          </cell>
          <cell r="C53">
            <v>401.12400000000002</v>
          </cell>
          <cell r="G53">
            <v>172.01</v>
          </cell>
          <cell r="I53">
            <v>223.09399999999999</v>
          </cell>
          <cell r="J53">
            <v>179.96720000000002</v>
          </cell>
          <cell r="L53">
            <v>109.99487000000001</v>
          </cell>
          <cell r="M53">
            <v>142.66150000000002</v>
          </cell>
          <cell r="N53">
            <v>115.08327000000001</v>
          </cell>
        </row>
        <row r="54">
          <cell r="B54">
            <v>42576</v>
          </cell>
          <cell r="C54">
            <v>366.64800000000002</v>
          </cell>
          <cell r="G54">
            <v>170.51</v>
          </cell>
          <cell r="I54">
            <v>226.16590000000002</v>
          </cell>
          <cell r="J54">
            <v>180.35830000000001</v>
          </cell>
          <cell r="L54">
            <v>109.03567000000001</v>
          </cell>
          <cell r="M54">
            <v>144.6258</v>
          </cell>
          <cell r="N54">
            <v>115.33337000000002</v>
          </cell>
        </row>
        <row r="55">
          <cell r="B55">
            <v>42573</v>
          </cell>
          <cell r="C55">
            <v>210.00399999999999</v>
          </cell>
          <cell r="G55">
            <v>169.77</v>
          </cell>
          <cell r="I55">
            <v>225.79330000000002</v>
          </cell>
          <cell r="J55">
            <v>180.94499999999999</v>
          </cell>
          <cell r="L55">
            <v>108.56247</v>
          </cell>
          <cell r="M55">
            <v>144.38760000000002</v>
          </cell>
          <cell r="N55">
            <v>115.70853000000001</v>
          </cell>
        </row>
        <row r="56">
          <cell r="B56">
            <v>42572</v>
          </cell>
          <cell r="C56">
            <v>208.49100000000001</v>
          </cell>
          <cell r="G56">
            <v>168.31</v>
          </cell>
          <cell r="I56">
            <v>222.3793</v>
          </cell>
          <cell r="J56">
            <v>180.34140000000002</v>
          </cell>
          <cell r="L56">
            <v>107.62885000000001</v>
          </cell>
          <cell r="M56">
            <v>142.2045</v>
          </cell>
          <cell r="N56">
            <v>115.32256000000001</v>
          </cell>
        </row>
        <row r="57">
          <cell r="B57">
            <v>42571</v>
          </cell>
          <cell r="C57">
            <v>284.221</v>
          </cell>
          <cell r="G57">
            <v>168.79</v>
          </cell>
          <cell r="I57">
            <v>222.70420000000001</v>
          </cell>
          <cell r="J57">
            <v>180.97320000000002</v>
          </cell>
          <cell r="L57">
            <v>107.93578000000001</v>
          </cell>
          <cell r="M57">
            <v>142.41220000000001</v>
          </cell>
          <cell r="N57">
            <v>115.72656000000001</v>
          </cell>
        </row>
        <row r="58">
          <cell r="B58">
            <v>42570</v>
          </cell>
          <cell r="C58">
            <v>240.964</v>
          </cell>
          <cell r="G58">
            <v>167.09</v>
          </cell>
          <cell r="I58">
            <v>222.29390000000001</v>
          </cell>
          <cell r="J58">
            <v>180.21729999999999</v>
          </cell>
          <cell r="L58">
            <v>106.84869</v>
          </cell>
          <cell r="M58">
            <v>142.15</v>
          </cell>
          <cell r="N58">
            <v>115.24319000000001</v>
          </cell>
        </row>
        <row r="59">
          <cell r="B59">
            <v>42569</v>
          </cell>
          <cell r="C59">
            <v>258.71100000000001</v>
          </cell>
          <cell r="G59">
            <v>166.62</v>
          </cell>
          <cell r="I59">
            <v>221.45570000000001</v>
          </cell>
          <cell r="J59">
            <v>180.27190000000002</v>
          </cell>
          <cell r="L59">
            <v>106.54814</v>
          </cell>
          <cell r="M59">
            <v>141.6138</v>
          </cell>
          <cell r="N59">
            <v>115.27807000000001</v>
          </cell>
        </row>
        <row r="60">
          <cell r="B60">
            <v>42566</v>
          </cell>
          <cell r="C60">
            <v>219.667</v>
          </cell>
          <cell r="G60">
            <v>167.36</v>
          </cell>
          <cell r="I60">
            <v>221.54940000000002</v>
          </cell>
          <cell r="J60">
            <v>179.74720000000002</v>
          </cell>
          <cell r="L60">
            <v>107.02135000000001</v>
          </cell>
          <cell r="M60">
            <v>141.6737</v>
          </cell>
          <cell r="N60">
            <v>114.94257</v>
          </cell>
        </row>
        <row r="61">
          <cell r="B61">
            <v>42565</v>
          </cell>
          <cell r="C61">
            <v>320.327</v>
          </cell>
          <cell r="G61">
            <v>167.34</v>
          </cell>
          <cell r="I61">
            <v>221.512</v>
          </cell>
          <cell r="J61">
            <v>179.88070000000002</v>
          </cell>
          <cell r="L61">
            <v>107.00857000000001</v>
          </cell>
          <cell r="M61">
            <v>141.65</v>
          </cell>
          <cell r="N61">
            <v>115.02795</v>
          </cell>
        </row>
        <row r="62">
          <cell r="B62">
            <v>42564</v>
          </cell>
          <cell r="C62">
            <v>357.32100000000003</v>
          </cell>
          <cell r="G62">
            <v>166.08</v>
          </cell>
          <cell r="I62">
            <v>220.54400000000001</v>
          </cell>
          <cell r="J62">
            <v>178.82590000000002</v>
          </cell>
          <cell r="L62">
            <v>106.20284000000001</v>
          </cell>
          <cell r="M62">
            <v>141.0308</v>
          </cell>
          <cell r="N62">
            <v>114.35339</v>
          </cell>
        </row>
        <row r="63">
          <cell r="B63">
            <v>42563</v>
          </cell>
          <cell r="C63">
            <v>515.91300000000001</v>
          </cell>
          <cell r="G63">
            <v>165.12</v>
          </cell>
          <cell r="I63">
            <v>219.74530000000001</v>
          </cell>
          <cell r="J63">
            <v>178.82</v>
          </cell>
          <cell r="L63">
            <v>105.58895000000001</v>
          </cell>
          <cell r="M63">
            <v>140.52000000000001</v>
          </cell>
          <cell r="N63">
            <v>114.34978000000001</v>
          </cell>
        </row>
        <row r="64">
          <cell r="B64">
            <v>42562</v>
          </cell>
          <cell r="C64">
            <v>324.01300000000003</v>
          </cell>
          <cell r="G64">
            <v>161.9</v>
          </cell>
          <cell r="I64">
            <v>217.21860000000001</v>
          </cell>
          <cell r="J64">
            <v>177.8142</v>
          </cell>
          <cell r="L64">
            <v>103.52986000000001</v>
          </cell>
          <cell r="M64">
            <v>138.90430000000001</v>
          </cell>
          <cell r="N64">
            <v>113.70648000000001</v>
          </cell>
        </row>
        <row r="65">
          <cell r="B65">
            <v>42559</v>
          </cell>
          <cell r="C65">
            <v>599.47800000000007</v>
          </cell>
          <cell r="G65">
            <v>161.02000000000001</v>
          </cell>
          <cell r="I65">
            <v>215.17240000000001</v>
          </cell>
          <cell r="J65">
            <v>177.17680000000001</v>
          </cell>
          <cell r="L65">
            <v>102.96713000000001</v>
          </cell>
          <cell r="M65">
            <v>137.5959</v>
          </cell>
          <cell r="N65">
            <v>113.29886</v>
          </cell>
        </row>
        <row r="66">
          <cell r="B66">
            <v>42558</v>
          </cell>
          <cell r="C66">
            <v>278.94200000000001</v>
          </cell>
          <cell r="G66">
            <v>160</v>
          </cell>
          <cell r="I66">
            <v>214.21820000000002</v>
          </cell>
          <cell r="J66">
            <v>174.7492</v>
          </cell>
          <cell r="L66">
            <v>102.31487000000001</v>
          </cell>
          <cell r="M66">
            <v>136.98570000000001</v>
          </cell>
          <cell r="N66">
            <v>111.74653000000001</v>
          </cell>
        </row>
        <row r="67">
          <cell r="B67">
            <v>42557</v>
          </cell>
          <cell r="C67">
            <v>587.41700000000003</v>
          </cell>
          <cell r="G67">
            <v>159.94</v>
          </cell>
          <cell r="I67">
            <v>213.56750000000002</v>
          </cell>
          <cell r="J67">
            <v>174.8432</v>
          </cell>
          <cell r="L67">
            <v>102.2765</v>
          </cell>
          <cell r="M67">
            <v>136.56950000000001</v>
          </cell>
          <cell r="N67">
            <v>111.80666000000001</v>
          </cell>
        </row>
        <row r="68">
          <cell r="B68">
            <v>42556</v>
          </cell>
          <cell r="C68">
            <v>598.66499999999996</v>
          </cell>
          <cell r="G68">
            <v>162.12</v>
          </cell>
          <cell r="I68">
            <v>214.7713</v>
          </cell>
          <cell r="J68">
            <v>173.87860000000001</v>
          </cell>
          <cell r="L68">
            <v>103.67054</v>
          </cell>
          <cell r="M68">
            <v>137.33940000000001</v>
          </cell>
          <cell r="N68">
            <v>111.18980000000001</v>
          </cell>
        </row>
        <row r="69">
          <cell r="B69">
            <v>42555</v>
          </cell>
          <cell r="C69">
            <v>0</v>
          </cell>
          <cell r="G69">
            <v>161.18</v>
          </cell>
          <cell r="I69">
            <v>214.69760000000002</v>
          </cell>
          <cell r="J69">
            <v>174.81310000000002</v>
          </cell>
          <cell r="L69">
            <v>103.06944000000001</v>
          </cell>
          <cell r="M69">
            <v>137.29220000000001</v>
          </cell>
          <cell r="N69">
            <v>111.78740000000001</v>
          </cell>
        </row>
        <row r="70">
          <cell r="B70">
            <v>42552</v>
          </cell>
          <cell r="C70">
            <v>322.73700000000002</v>
          </cell>
          <cell r="G70">
            <v>161.18</v>
          </cell>
          <cell r="I70">
            <v>214.79</v>
          </cell>
          <cell r="J70">
            <v>174.81310000000002</v>
          </cell>
          <cell r="L70">
            <v>103.06944000000001</v>
          </cell>
          <cell r="M70">
            <v>137.35130000000001</v>
          </cell>
          <cell r="N70">
            <v>111.78740000000001</v>
          </cell>
        </row>
        <row r="71">
          <cell r="B71">
            <v>42551</v>
          </cell>
          <cell r="C71">
            <v>512.81700000000001</v>
          </cell>
          <cell r="G71">
            <v>161.42000000000002</v>
          </cell>
          <cell r="I71">
            <v>215.04500000000002</v>
          </cell>
          <cell r="J71">
            <v>174.52170000000001</v>
          </cell>
          <cell r="L71">
            <v>103.22292</v>
          </cell>
          <cell r="M71">
            <v>137.51439999999999</v>
          </cell>
          <cell r="N71">
            <v>111.60103000000001</v>
          </cell>
        </row>
        <row r="72">
          <cell r="B72">
            <v>42550</v>
          </cell>
          <cell r="C72">
            <v>504.95499999999998</v>
          </cell>
          <cell r="G72">
            <v>157.27000000000001</v>
          </cell>
          <cell r="I72">
            <v>212.88670000000002</v>
          </cell>
          <cell r="J72">
            <v>172.39500000000001</v>
          </cell>
          <cell r="L72">
            <v>100.56913</v>
          </cell>
          <cell r="M72">
            <v>136.13419999999999</v>
          </cell>
          <cell r="N72">
            <v>110.24108000000001</v>
          </cell>
        </row>
        <row r="73">
          <cell r="B73">
            <v>42549</v>
          </cell>
          <cell r="C73">
            <v>670.31200000000001</v>
          </cell>
          <cell r="G73">
            <v>153.01</v>
          </cell>
          <cell r="I73">
            <v>207.37650000000002</v>
          </cell>
          <cell r="J73">
            <v>169.67600000000002</v>
          </cell>
          <cell r="L73">
            <v>97.844999999999999</v>
          </cell>
          <cell r="M73">
            <v>132.61060000000001</v>
          </cell>
          <cell r="N73">
            <v>108.50237000000001</v>
          </cell>
        </row>
        <row r="74">
          <cell r="B74">
            <v>42548</v>
          </cell>
          <cell r="C74">
            <v>705.43000000000006</v>
          </cell>
          <cell r="G74">
            <v>151.19</v>
          </cell>
          <cell r="I74">
            <v>204.3023</v>
          </cell>
          <cell r="J74">
            <v>166.85920000000002</v>
          </cell>
          <cell r="L74">
            <v>96.681160000000006</v>
          </cell>
          <cell r="M74">
            <v>130.6448</v>
          </cell>
          <cell r="N74">
            <v>106.70113000000001</v>
          </cell>
        </row>
        <row r="75">
          <cell r="B75">
            <v>42545</v>
          </cell>
          <cell r="C75">
            <v>579.30500000000006</v>
          </cell>
          <cell r="G75">
            <v>155.29</v>
          </cell>
          <cell r="I75">
            <v>211.28120000000001</v>
          </cell>
          <cell r="J75">
            <v>169.32810000000001</v>
          </cell>
          <cell r="L75">
            <v>99.302970000000002</v>
          </cell>
          <cell r="M75">
            <v>135.10760000000002</v>
          </cell>
          <cell r="N75">
            <v>108.27992</v>
          </cell>
        </row>
        <row r="76">
          <cell r="B76">
            <v>42544</v>
          </cell>
          <cell r="C76">
            <v>328.26499999999999</v>
          </cell>
          <cell r="G76">
            <v>162.72</v>
          </cell>
          <cell r="I76">
            <v>216.60000000000002</v>
          </cell>
          <cell r="J76">
            <v>175.35850000000002</v>
          </cell>
          <cell r="L76">
            <v>104.05422000000002</v>
          </cell>
          <cell r="M76">
            <v>138.5087</v>
          </cell>
          <cell r="N76">
            <v>112.13612000000001</v>
          </cell>
        </row>
        <row r="77">
          <cell r="B77">
            <v>42543</v>
          </cell>
          <cell r="C77">
            <v>176.65200000000002</v>
          </cell>
          <cell r="G77">
            <v>158.22</v>
          </cell>
          <cell r="I77">
            <v>213.1414</v>
          </cell>
          <cell r="J77">
            <v>173.1472</v>
          </cell>
          <cell r="L77">
            <v>101.17662000000001</v>
          </cell>
          <cell r="M77">
            <v>136.2971</v>
          </cell>
          <cell r="N77">
            <v>110.72205000000001</v>
          </cell>
        </row>
        <row r="78">
          <cell r="B78">
            <v>42542</v>
          </cell>
          <cell r="C78">
            <v>178.99199999999999</v>
          </cell>
          <cell r="G78">
            <v>158.25</v>
          </cell>
          <cell r="I78">
            <v>212.28660000000002</v>
          </cell>
          <cell r="J78">
            <v>173.3784</v>
          </cell>
          <cell r="L78">
            <v>101.19580000000001</v>
          </cell>
          <cell r="M78">
            <v>135.75050000000002</v>
          </cell>
          <cell r="N78">
            <v>110.86996000000001</v>
          </cell>
        </row>
        <row r="79">
          <cell r="B79">
            <v>42541</v>
          </cell>
          <cell r="C79">
            <v>244.89000000000001</v>
          </cell>
          <cell r="G79">
            <v>157.97999999999999</v>
          </cell>
          <cell r="I79">
            <v>211.92340000000002</v>
          </cell>
          <cell r="J79">
            <v>172.85570000000001</v>
          </cell>
          <cell r="L79">
            <v>101.02314000000001</v>
          </cell>
          <cell r="M79">
            <v>135.51820000000001</v>
          </cell>
          <cell r="N79">
            <v>110.53568000000001</v>
          </cell>
        </row>
        <row r="80">
          <cell r="B80">
            <v>42538</v>
          </cell>
          <cell r="C80">
            <v>492.50400000000002</v>
          </cell>
          <cell r="G80">
            <v>155.80000000000001</v>
          </cell>
          <cell r="I80">
            <v>208.1986</v>
          </cell>
          <cell r="J80">
            <v>172.04340000000002</v>
          </cell>
          <cell r="L80">
            <v>99.629110000000011</v>
          </cell>
          <cell r="M80">
            <v>133.13630000000001</v>
          </cell>
          <cell r="N80">
            <v>110.01623000000001</v>
          </cell>
        </row>
        <row r="81">
          <cell r="B81">
            <v>42537</v>
          </cell>
          <cell r="C81">
            <v>209.149</v>
          </cell>
          <cell r="G81">
            <v>158.20000000000002</v>
          </cell>
          <cell r="I81">
            <v>207.4357</v>
          </cell>
          <cell r="J81">
            <v>172.90649999999999</v>
          </cell>
          <cell r="L81">
            <v>101.16383</v>
          </cell>
          <cell r="M81">
            <v>132.64850000000001</v>
          </cell>
          <cell r="N81">
            <v>110.56815</v>
          </cell>
        </row>
        <row r="82">
          <cell r="B82">
            <v>42536</v>
          </cell>
          <cell r="C82">
            <v>171.84100000000001</v>
          </cell>
          <cell r="G82">
            <v>158.42000000000002</v>
          </cell>
          <cell r="I82">
            <v>208.05410000000001</v>
          </cell>
          <cell r="J82">
            <v>172.19</v>
          </cell>
          <cell r="L82">
            <v>101.3045</v>
          </cell>
          <cell r="M82">
            <v>133.04390000000001</v>
          </cell>
          <cell r="N82">
            <v>110.11</v>
          </cell>
        </row>
        <row r="83">
          <cell r="B83">
            <v>42535</v>
          </cell>
          <cell r="C83">
            <v>193.06100000000001</v>
          </cell>
          <cell r="G83">
            <v>158.37</v>
          </cell>
          <cell r="I83">
            <v>207.042</v>
          </cell>
          <cell r="J83">
            <v>172.70340000000002</v>
          </cell>
          <cell r="L83">
            <v>101.27254000000001</v>
          </cell>
          <cell r="M83">
            <v>132.39670000000001</v>
          </cell>
          <cell r="N83">
            <v>110.43829000000001</v>
          </cell>
        </row>
        <row r="84">
          <cell r="B84">
            <v>42534</v>
          </cell>
          <cell r="C84">
            <v>243.45400000000001</v>
          </cell>
          <cell r="G84">
            <v>157.93</v>
          </cell>
          <cell r="I84">
            <v>209.12899999999999</v>
          </cell>
          <cell r="J84">
            <v>172.8896</v>
          </cell>
          <cell r="L84">
            <v>100.99117000000001</v>
          </cell>
          <cell r="M84">
            <v>133.7313</v>
          </cell>
          <cell r="N84">
            <v>110.55733000000001</v>
          </cell>
        </row>
        <row r="85">
          <cell r="B85">
            <v>42531</v>
          </cell>
          <cell r="C85">
            <v>184.566</v>
          </cell>
          <cell r="G85">
            <v>159.10000000000002</v>
          </cell>
          <cell r="I85">
            <v>210.0737</v>
          </cell>
          <cell r="J85">
            <v>174.26220000000001</v>
          </cell>
          <cell r="L85">
            <v>101.73936</v>
          </cell>
          <cell r="M85">
            <v>134.33539999999999</v>
          </cell>
          <cell r="N85">
            <v>111.43509</v>
          </cell>
        </row>
        <row r="86">
          <cell r="B86">
            <v>42530</v>
          </cell>
          <cell r="C86">
            <v>156.82900000000001</v>
          </cell>
          <cell r="G86">
            <v>160</v>
          </cell>
          <cell r="I86">
            <v>212.66890000000001</v>
          </cell>
          <cell r="J86">
            <v>175.54650000000001</v>
          </cell>
          <cell r="L86">
            <v>102.31487000000001</v>
          </cell>
          <cell r="M86">
            <v>135.995</v>
          </cell>
          <cell r="N86">
            <v>112.25636000000002</v>
          </cell>
        </row>
        <row r="87">
          <cell r="B87">
            <v>42529</v>
          </cell>
          <cell r="C87">
            <v>152.887</v>
          </cell>
          <cell r="G87">
            <v>159.65</v>
          </cell>
          <cell r="I87">
            <v>214.83170000000001</v>
          </cell>
          <cell r="J87">
            <v>175.86430000000001</v>
          </cell>
          <cell r="L87">
            <v>102.09105000000001</v>
          </cell>
          <cell r="M87">
            <v>137.37800000000001</v>
          </cell>
          <cell r="N87">
            <v>112.45956000000001</v>
          </cell>
        </row>
        <row r="88">
          <cell r="B88">
            <v>42528</v>
          </cell>
          <cell r="C88">
            <v>222.72900000000001</v>
          </cell>
          <cell r="G88">
            <v>159.81</v>
          </cell>
          <cell r="I88">
            <v>215.1037</v>
          </cell>
          <cell r="J88">
            <v>175.29260000000002</v>
          </cell>
          <cell r="L88">
            <v>102.19337</v>
          </cell>
          <cell r="M88">
            <v>137.55199999999999</v>
          </cell>
          <cell r="N88">
            <v>112.09400000000001</v>
          </cell>
        </row>
        <row r="89">
          <cell r="B89">
            <v>42527</v>
          </cell>
          <cell r="C89">
            <v>136.05199999999999</v>
          </cell>
          <cell r="G89">
            <v>160.10000000000002</v>
          </cell>
          <cell r="I89">
            <v>214.63640000000001</v>
          </cell>
          <cell r="J89">
            <v>175.23060000000001</v>
          </cell>
          <cell r="L89">
            <v>102.37882</v>
          </cell>
          <cell r="M89">
            <v>137.25310000000002</v>
          </cell>
          <cell r="N89">
            <v>112.05435000000001</v>
          </cell>
        </row>
        <row r="90">
          <cell r="B90">
            <v>42524</v>
          </cell>
          <cell r="C90">
            <v>173.09300000000002</v>
          </cell>
          <cell r="G90">
            <v>158.94</v>
          </cell>
          <cell r="I90">
            <v>213.80180000000001</v>
          </cell>
          <cell r="J90">
            <v>174.39570000000001</v>
          </cell>
          <cell r="L90">
            <v>101.63704000000001</v>
          </cell>
          <cell r="M90">
            <v>136.71940000000001</v>
          </cell>
          <cell r="N90">
            <v>111.52047</v>
          </cell>
        </row>
        <row r="91">
          <cell r="B91">
            <v>42523</v>
          </cell>
          <cell r="C91">
            <v>158.37299999999999</v>
          </cell>
          <cell r="G91">
            <v>160.27000000000001</v>
          </cell>
          <cell r="I91">
            <v>215.18190000000001</v>
          </cell>
          <cell r="J91">
            <v>174.86199999999999</v>
          </cell>
          <cell r="L91">
            <v>102.48753000000001</v>
          </cell>
          <cell r="M91">
            <v>137.6019</v>
          </cell>
          <cell r="N91">
            <v>111.81867000000001</v>
          </cell>
        </row>
        <row r="92">
          <cell r="B92">
            <v>42522</v>
          </cell>
          <cell r="C92">
            <v>304.13900000000001</v>
          </cell>
          <cell r="G92">
            <v>158.53</v>
          </cell>
          <cell r="I92">
            <v>215.16130000000001</v>
          </cell>
          <cell r="J92">
            <v>174.51609999999999</v>
          </cell>
          <cell r="L92">
            <v>101.37486000000001</v>
          </cell>
          <cell r="M92">
            <v>137.58870000000002</v>
          </cell>
          <cell r="N92">
            <v>111.59742000000001</v>
          </cell>
        </row>
        <row r="93">
          <cell r="B93">
            <v>42521</v>
          </cell>
          <cell r="C93">
            <v>206.10900000000001</v>
          </cell>
          <cell r="G93">
            <v>159.07</v>
          </cell>
          <cell r="I93">
            <v>215.78</v>
          </cell>
          <cell r="J93">
            <v>174.4315</v>
          </cell>
          <cell r="L93">
            <v>101.72017000000001</v>
          </cell>
          <cell r="M93">
            <v>137.98430000000002</v>
          </cell>
          <cell r="N93">
            <v>111.54332000000001</v>
          </cell>
        </row>
        <row r="94">
          <cell r="B94">
            <v>42520</v>
          </cell>
          <cell r="C94">
            <v>0</v>
          </cell>
          <cell r="G94">
            <v>159.57</v>
          </cell>
          <cell r="I94">
            <v>215.60590000000002</v>
          </cell>
          <cell r="J94">
            <v>174.7774</v>
          </cell>
          <cell r="L94">
            <v>102.03991000000001</v>
          </cell>
          <cell r="M94">
            <v>137.87309999999999</v>
          </cell>
          <cell r="N94">
            <v>111.76456</v>
          </cell>
        </row>
        <row r="95">
          <cell r="B95">
            <v>42517</v>
          </cell>
          <cell r="C95">
            <v>161.46</v>
          </cell>
          <cell r="G95">
            <v>159.57</v>
          </cell>
          <cell r="I95">
            <v>215.6875</v>
          </cell>
          <cell r="J95">
            <v>174.7774</v>
          </cell>
          <cell r="L95">
            <v>102.03991000000001</v>
          </cell>
          <cell r="M95">
            <v>137.92529999999999</v>
          </cell>
          <cell r="N95">
            <v>111.76456</v>
          </cell>
        </row>
        <row r="96">
          <cell r="B96">
            <v>42516</v>
          </cell>
          <cell r="C96">
            <v>202.81200000000001</v>
          </cell>
          <cell r="G96">
            <v>156.86000000000001</v>
          </cell>
          <cell r="I96">
            <v>214.2774</v>
          </cell>
          <cell r="J96">
            <v>174.15130000000002</v>
          </cell>
          <cell r="L96">
            <v>100.30694000000001</v>
          </cell>
          <cell r="M96">
            <v>137.02350000000001</v>
          </cell>
          <cell r="N96">
            <v>111.36415000000001</v>
          </cell>
        </row>
        <row r="97">
          <cell r="B97">
            <v>42515</v>
          </cell>
          <cell r="C97">
            <v>242.999</v>
          </cell>
          <cell r="G97">
            <v>158.06</v>
          </cell>
          <cell r="I97">
            <v>214.14870000000002</v>
          </cell>
          <cell r="J97">
            <v>174.17760000000001</v>
          </cell>
          <cell r="L97">
            <v>101.07430000000001</v>
          </cell>
          <cell r="M97">
            <v>136.94120000000001</v>
          </cell>
          <cell r="N97">
            <v>111.381</v>
          </cell>
        </row>
        <row r="98">
          <cell r="B98">
            <v>42514</v>
          </cell>
          <cell r="C98">
            <v>232.00399999999999</v>
          </cell>
          <cell r="G98">
            <v>159.75</v>
          </cell>
          <cell r="I98">
            <v>213.72400000000002</v>
          </cell>
          <cell r="J98">
            <v>172.8407</v>
          </cell>
          <cell r="L98">
            <v>102.155</v>
          </cell>
          <cell r="M98">
            <v>136.6696</v>
          </cell>
          <cell r="N98">
            <v>110.52606000000002</v>
          </cell>
        </row>
        <row r="99">
          <cell r="B99">
            <v>42513</v>
          </cell>
          <cell r="C99">
            <v>224.59</v>
          </cell>
          <cell r="G99">
            <v>156.24</v>
          </cell>
          <cell r="I99">
            <v>210.67670000000001</v>
          </cell>
          <cell r="J99">
            <v>170.54660000000001</v>
          </cell>
          <cell r="L99">
            <v>99.910480000000007</v>
          </cell>
          <cell r="M99">
            <v>134.721</v>
          </cell>
          <cell r="N99">
            <v>109.0591</v>
          </cell>
        </row>
        <row r="100">
          <cell r="B100">
            <v>42510</v>
          </cell>
          <cell r="C100">
            <v>271.41399999999999</v>
          </cell>
          <cell r="G100">
            <v>155.38</v>
          </cell>
          <cell r="I100">
            <v>210.88660000000002</v>
          </cell>
          <cell r="J100">
            <v>170.9528</v>
          </cell>
          <cell r="L100">
            <v>99.360530000000011</v>
          </cell>
          <cell r="M100">
            <v>134.8552</v>
          </cell>
          <cell r="N100">
            <v>109.31883000000001</v>
          </cell>
        </row>
        <row r="101">
          <cell r="B101">
            <v>42509</v>
          </cell>
          <cell r="C101">
            <v>235.08799999999999</v>
          </cell>
          <cell r="G101">
            <v>152.67000000000002</v>
          </cell>
          <cell r="I101">
            <v>208.7748</v>
          </cell>
          <cell r="J101">
            <v>170.02950000000001</v>
          </cell>
          <cell r="L101">
            <v>97.627570000000006</v>
          </cell>
          <cell r="M101">
            <v>133.50480000000002</v>
          </cell>
          <cell r="N101">
            <v>108.72843</v>
          </cell>
        </row>
        <row r="102">
          <cell r="B102">
            <v>42508</v>
          </cell>
          <cell r="C102">
            <v>265.84399999999999</v>
          </cell>
          <cell r="G102">
            <v>151.47</v>
          </cell>
          <cell r="I102">
            <v>210.13390000000001</v>
          </cell>
          <cell r="J102">
            <v>170.69140000000002</v>
          </cell>
          <cell r="L102">
            <v>96.860210000000009</v>
          </cell>
          <cell r="M102">
            <v>134.37390000000002</v>
          </cell>
          <cell r="N102">
            <v>109.15169</v>
          </cell>
        </row>
        <row r="103">
          <cell r="B103">
            <v>42507</v>
          </cell>
          <cell r="C103">
            <v>221.404</v>
          </cell>
          <cell r="G103">
            <v>150.49</v>
          </cell>
          <cell r="I103">
            <v>208.46510000000001</v>
          </cell>
          <cell r="J103">
            <v>170.5146</v>
          </cell>
          <cell r="L103">
            <v>96.233540000000005</v>
          </cell>
          <cell r="M103">
            <v>133.30670000000001</v>
          </cell>
          <cell r="N103">
            <v>109.03865</v>
          </cell>
        </row>
        <row r="104">
          <cell r="B104">
            <v>42506</v>
          </cell>
          <cell r="C104">
            <v>224.03300000000002</v>
          </cell>
          <cell r="G104">
            <v>152.1</v>
          </cell>
          <cell r="I104">
            <v>208.91</v>
          </cell>
          <cell r="J104">
            <v>172.2972</v>
          </cell>
          <cell r="L104">
            <v>97.263080000000002</v>
          </cell>
          <cell r="M104">
            <v>133.59120000000001</v>
          </cell>
          <cell r="N104">
            <v>110.17855000000002</v>
          </cell>
        </row>
        <row r="105">
          <cell r="B105">
            <v>42503</v>
          </cell>
          <cell r="C105">
            <v>190.554</v>
          </cell>
          <cell r="G105">
            <v>150.4</v>
          </cell>
          <cell r="I105">
            <v>208.47840000000002</v>
          </cell>
          <cell r="J105">
            <v>170.70080000000002</v>
          </cell>
          <cell r="L105">
            <v>96.175970000000007</v>
          </cell>
          <cell r="M105">
            <v>133.31530000000001</v>
          </cell>
          <cell r="N105">
            <v>109.15769</v>
          </cell>
        </row>
        <row r="106">
          <cell r="B106">
            <v>42502</v>
          </cell>
          <cell r="C106">
            <v>212.80799999999999</v>
          </cell>
          <cell r="G106">
            <v>151.66</v>
          </cell>
          <cell r="I106">
            <v>209.7576</v>
          </cell>
          <cell r="J106">
            <v>172.23330000000001</v>
          </cell>
          <cell r="L106">
            <v>96.981710000000007</v>
          </cell>
          <cell r="M106">
            <v>134.13330000000002</v>
          </cell>
          <cell r="N106">
            <v>110.13768</v>
          </cell>
        </row>
        <row r="107">
          <cell r="B107">
            <v>42501</v>
          </cell>
          <cell r="C107">
            <v>178.834</v>
          </cell>
          <cell r="G107">
            <v>151.36000000000001</v>
          </cell>
          <cell r="I107">
            <v>209.14860000000002</v>
          </cell>
          <cell r="J107">
            <v>172.1694</v>
          </cell>
          <cell r="L107">
            <v>96.789860000000004</v>
          </cell>
          <cell r="M107">
            <v>133.7439</v>
          </cell>
          <cell r="N107">
            <v>110.09679000000001</v>
          </cell>
        </row>
        <row r="108">
          <cell r="B108">
            <v>42500</v>
          </cell>
          <cell r="C108">
            <v>228.71899999999999</v>
          </cell>
          <cell r="G108">
            <v>152.6</v>
          </cell>
          <cell r="I108">
            <v>211.58880000000002</v>
          </cell>
          <cell r="J108">
            <v>173.8203</v>
          </cell>
          <cell r="L108">
            <v>97.582810000000009</v>
          </cell>
          <cell r="M108">
            <v>135.30430000000001</v>
          </cell>
          <cell r="N108">
            <v>111.15253000000001</v>
          </cell>
        </row>
        <row r="109">
          <cell r="B109">
            <v>42499</v>
          </cell>
          <cell r="C109">
            <v>344.59300000000002</v>
          </cell>
          <cell r="G109">
            <v>151.9</v>
          </cell>
          <cell r="I109">
            <v>209.88760000000002</v>
          </cell>
          <cell r="J109">
            <v>171.59</v>
          </cell>
          <cell r="L109">
            <v>97.135180000000005</v>
          </cell>
          <cell r="M109">
            <v>134.21639999999999</v>
          </cell>
          <cell r="N109">
            <v>109.72644000000001</v>
          </cell>
        </row>
        <row r="110">
          <cell r="B110">
            <v>42496</v>
          </cell>
          <cell r="C110">
            <v>164.97800000000001</v>
          </cell>
          <cell r="G110">
            <v>150.57</v>
          </cell>
          <cell r="I110">
            <v>209.29930000000002</v>
          </cell>
          <cell r="J110">
            <v>171.50750000000002</v>
          </cell>
          <cell r="L110">
            <v>96.284690000000012</v>
          </cell>
          <cell r="M110">
            <v>133.84</v>
          </cell>
          <cell r="N110">
            <v>109.67354</v>
          </cell>
        </row>
        <row r="111">
          <cell r="B111">
            <v>42495</v>
          </cell>
          <cell r="C111">
            <v>208.755</v>
          </cell>
          <cell r="G111">
            <v>148.86000000000001</v>
          </cell>
          <cell r="I111">
            <v>207.17950000000002</v>
          </cell>
          <cell r="J111">
            <v>170.887</v>
          </cell>
          <cell r="L111">
            <v>95.191200000000009</v>
          </cell>
          <cell r="M111">
            <v>132.4846</v>
          </cell>
          <cell r="N111">
            <v>109.27673000000001</v>
          </cell>
        </row>
        <row r="112">
          <cell r="B112">
            <v>42494</v>
          </cell>
          <cell r="C112">
            <v>188.90899999999999</v>
          </cell>
          <cell r="G112">
            <v>149.01</v>
          </cell>
          <cell r="I112">
            <v>205.91</v>
          </cell>
          <cell r="J112">
            <v>171.00730000000001</v>
          </cell>
          <cell r="L112">
            <v>95.287120000000002</v>
          </cell>
          <cell r="M112">
            <v>131.67270000000002</v>
          </cell>
          <cell r="N112">
            <v>109.3537</v>
          </cell>
        </row>
        <row r="113">
          <cell r="B113">
            <v>42493</v>
          </cell>
          <cell r="C113">
            <v>188.88800000000001</v>
          </cell>
          <cell r="G113">
            <v>148.78</v>
          </cell>
          <cell r="I113">
            <v>206.85230000000001</v>
          </cell>
          <cell r="J113">
            <v>172.05280000000002</v>
          </cell>
          <cell r="L113">
            <v>95.140040000000013</v>
          </cell>
          <cell r="M113">
            <v>132.27540000000002</v>
          </cell>
          <cell r="N113">
            <v>110.02225000000001</v>
          </cell>
        </row>
        <row r="114">
          <cell r="B114">
            <v>42492</v>
          </cell>
          <cell r="C114">
            <v>273.89600000000002</v>
          </cell>
          <cell r="G114">
            <v>152.15</v>
          </cell>
          <cell r="I114">
            <v>209.42340000000002</v>
          </cell>
          <cell r="J114">
            <v>173.4349</v>
          </cell>
          <cell r="L114">
            <v>97.295040000000014</v>
          </cell>
          <cell r="M114">
            <v>133.9195</v>
          </cell>
          <cell r="N114">
            <v>110.90603000000002</v>
          </cell>
        </row>
        <row r="115">
          <cell r="B115">
            <v>42489</v>
          </cell>
          <cell r="C115">
            <v>169.072</v>
          </cell>
          <cell r="G115">
            <v>150.75</v>
          </cell>
          <cell r="I115">
            <v>208.51820000000001</v>
          </cell>
          <cell r="J115">
            <v>172.0566</v>
          </cell>
          <cell r="L115">
            <v>96.39979000000001</v>
          </cell>
          <cell r="M115">
            <v>133.3407</v>
          </cell>
          <cell r="N115">
            <v>110.02466000000001</v>
          </cell>
        </row>
        <row r="116">
          <cell r="B116">
            <v>42488</v>
          </cell>
          <cell r="C116">
            <v>196.47</v>
          </cell>
          <cell r="G116">
            <v>150.99</v>
          </cell>
          <cell r="I116">
            <v>208.53300000000002</v>
          </cell>
          <cell r="J116">
            <v>172.77670000000001</v>
          </cell>
          <cell r="L116">
            <v>96.553270000000012</v>
          </cell>
          <cell r="M116">
            <v>133.35</v>
          </cell>
          <cell r="N116">
            <v>110.48517000000001</v>
          </cell>
        </row>
        <row r="117">
          <cell r="B117">
            <v>42487</v>
          </cell>
          <cell r="C117">
            <v>260.33499999999998</v>
          </cell>
          <cell r="G117">
            <v>153.1</v>
          </cell>
          <cell r="I117">
            <v>209.76850000000002</v>
          </cell>
          <cell r="J117">
            <v>174.23780000000002</v>
          </cell>
          <cell r="L117">
            <v>97.902550000000005</v>
          </cell>
          <cell r="M117">
            <v>134.14000000000001</v>
          </cell>
          <cell r="N117">
            <v>111.41946000000002</v>
          </cell>
        </row>
        <row r="118">
          <cell r="B118">
            <v>42486</v>
          </cell>
          <cell r="C118">
            <v>289.89699999999999</v>
          </cell>
          <cell r="G118">
            <v>152.63</v>
          </cell>
          <cell r="I118">
            <v>209.78820000000002</v>
          </cell>
          <cell r="J118">
            <v>174.30170000000001</v>
          </cell>
          <cell r="L118">
            <v>97.602000000000004</v>
          </cell>
          <cell r="M118">
            <v>134.15280000000001</v>
          </cell>
          <cell r="N118">
            <v>111.46035000000001</v>
          </cell>
        </row>
        <row r="119">
          <cell r="B119">
            <v>42485</v>
          </cell>
          <cell r="C119">
            <v>322.34399999999999</v>
          </cell>
          <cell r="G119">
            <v>152.20000000000002</v>
          </cell>
          <cell r="I119">
            <v>208.43780000000001</v>
          </cell>
          <cell r="J119">
            <v>174.39950000000002</v>
          </cell>
          <cell r="L119">
            <v>97.326999999999998</v>
          </cell>
          <cell r="M119">
            <v>133.2893</v>
          </cell>
          <cell r="N119">
            <v>111.52287000000001</v>
          </cell>
        </row>
        <row r="120">
          <cell r="B120">
            <v>42482</v>
          </cell>
          <cell r="C120">
            <v>197.251</v>
          </cell>
          <cell r="G120">
            <v>155.03</v>
          </cell>
          <cell r="I120">
            <v>209.38230000000001</v>
          </cell>
          <cell r="J120">
            <v>174.56310000000002</v>
          </cell>
          <cell r="L120">
            <v>99.136720000000011</v>
          </cell>
          <cell r="M120">
            <v>133.89330000000001</v>
          </cell>
          <cell r="N120">
            <v>111.62749000000001</v>
          </cell>
        </row>
        <row r="121">
          <cell r="B121">
            <v>42481</v>
          </cell>
          <cell r="C121">
            <v>322.52699999999999</v>
          </cell>
          <cell r="G121">
            <v>154.36000000000001</v>
          </cell>
          <cell r="I121">
            <v>208.72060000000002</v>
          </cell>
          <cell r="J121">
            <v>175.06890000000001</v>
          </cell>
          <cell r="L121">
            <v>98.708270000000013</v>
          </cell>
          <cell r="M121">
            <v>133.47</v>
          </cell>
          <cell r="N121">
            <v>111.95094</v>
          </cell>
        </row>
        <row r="122">
          <cell r="B122">
            <v>42480</v>
          </cell>
          <cell r="C122">
            <v>441.98700000000002</v>
          </cell>
          <cell r="G122">
            <v>157.71</v>
          </cell>
          <cell r="I122">
            <v>218.45600000000002</v>
          </cell>
          <cell r="J122">
            <v>175.72890000000001</v>
          </cell>
          <cell r="L122">
            <v>100.85050000000001</v>
          </cell>
          <cell r="M122">
            <v>139.69560000000001</v>
          </cell>
          <cell r="N122">
            <v>112.373</v>
          </cell>
        </row>
        <row r="123">
          <cell r="B123">
            <v>42479</v>
          </cell>
          <cell r="C123">
            <v>250.78300000000002</v>
          </cell>
          <cell r="G123">
            <v>154.85</v>
          </cell>
          <cell r="I123">
            <v>218.8981</v>
          </cell>
          <cell r="J123">
            <v>175.5615</v>
          </cell>
          <cell r="L123">
            <v>99.02161000000001</v>
          </cell>
          <cell r="M123">
            <v>139.97830000000002</v>
          </cell>
          <cell r="N123">
            <v>112.26597000000001</v>
          </cell>
        </row>
        <row r="124">
          <cell r="B124">
            <v>42478</v>
          </cell>
          <cell r="C124">
            <v>289.02199999999999</v>
          </cell>
          <cell r="G124">
            <v>154.47</v>
          </cell>
          <cell r="I124">
            <v>216.52270000000001</v>
          </cell>
          <cell r="J124">
            <v>174.89960000000002</v>
          </cell>
          <cell r="L124">
            <v>98.778610000000015</v>
          </cell>
          <cell r="M124">
            <v>138.45930000000001</v>
          </cell>
          <cell r="N124">
            <v>111.84271000000001</v>
          </cell>
        </row>
        <row r="125">
          <cell r="B125">
            <v>42475</v>
          </cell>
          <cell r="C125">
            <v>331.6</v>
          </cell>
          <cell r="G125">
            <v>153.9</v>
          </cell>
          <cell r="I125">
            <v>215.56300000000002</v>
          </cell>
          <cell r="J125">
            <v>173.73950000000002</v>
          </cell>
          <cell r="L125">
            <v>98.414110000000008</v>
          </cell>
          <cell r="M125">
            <v>137.84560000000002</v>
          </cell>
          <cell r="N125">
            <v>111.10081000000001</v>
          </cell>
        </row>
        <row r="126">
          <cell r="B126">
            <v>42474</v>
          </cell>
          <cell r="C126">
            <v>258.53500000000003</v>
          </cell>
          <cell r="G126">
            <v>153.16</v>
          </cell>
          <cell r="I126">
            <v>215.25030000000001</v>
          </cell>
          <cell r="J126">
            <v>174.04599999999999</v>
          </cell>
          <cell r="L126">
            <v>97.940910000000002</v>
          </cell>
          <cell r="M126">
            <v>137.6456</v>
          </cell>
          <cell r="N126">
            <v>111.29681000000001</v>
          </cell>
        </row>
        <row r="127">
          <cell r="B127">
            <v>42473</v>
          </cell>
          <cell r="C127">
            <v>297.22399999999999</v>
          </cell>
          <cell r="G127">
            <v>152.56</v>
          </cell>
          <cell r="I127">
            <v>215.36440000000002</v>
          </cell>
          <cell r="J127">
            <v>173.7996</v>
          </cell>
          <cell r="L127">
            <v>97.557230000000004</v>
          </cell>
          <cell r="M127">
            <v>137.71870000000001</v>
          </cell>
          <cell r="N127">
            <v>111.13930000000001</v>
          </cell>
        </row>
        <row r="128">
          <cell r="B128">
            <v>42472</v>
          </cell>
          <cell r="C128">
            <v>380.73500000000001</v>
          </cell>
          <cell r="G128">
            <v>149.22999999999999</v>
          </cell>
          <cell r="I128">
            <v>214.4974</v>
          </cell>
          <cell r="J128">
            <v>172.14680000000001</v>
          </cell>
          <cell r="L128">
            <v>95.427800000000005</v>
          </cell>
          <cell r="M128">
            <v>137.16419999999999</v>
          </cell>
          <cell r="N128">
            <v>110.08237000000001</v>
          </cell>
        </row>
        <row r="129">
          <cell r="B129">
            <v>42471</v>
          </cell>
          <cell r="C129">
            <v>258.02699999999999</v>
          </cell>
          <cell r="G129">
            <v>146.59</v>
          </cell>
          <cell r="I129">
            <v>213.84660000000002</v>
          </cell>
          <cell r="J129">
            <v>170.46770000000001</v>
          </cell>
          <cell r="L129">
            <v>93.739610000000013</v>
          </cell>
          <cell r="M129">
            <v>136.74799999999999</v>
          </cell>
          <cell r="N129">
            <v>109.0086</v>
          </cell>
        </row>
        <row r="130">
          <cell r="B130">
            <v>42468</v>
          </cell>
          <cell r="C130">
            <v>211.839</v>
          </cell>
          <cell r="G130">
            <v>148.46</v>
          </cell>
          <cell r="I130">
            <v>212.9444</v>
          </cell>
          <cell r="J130">
            <v>170.93</v>
          </cell>
          <cell r="L130">
            <v>94.935420000000008</v>
          </cell>
          <cell r="M130">
            <v>136.1711</v>
          </cell>
          <cell r="N130">
            <v>109.30439000000001</v>
          </cell>
        </row>
        <row r="131">
          <cell r="B131">
            <v>42467</v>
          </cell>
          <cell r="C131">
            <v>281.59399999999999</v>
          </cell>
          <cell r="G131">
            <v>148.05000000000001</v>
          </cell>
          <cell r="I131">
            <v>213.6534</v>
          </cell>
          <cell r="J131">
            <v>170.59180000000001</v>
          </cell>
          <cell r="L131">
            <v>94.673230000000004</v>
          </cell>
          <cell r="M131">
            <v>136.62450000000001</v>
          </cell>
          <cell r="N131">
            <v>109.08796000000001</v>
          </cell>
        </row>
        <row r="132">
          <cell r="B132">
            <v>42466</v>
          </cell>
          <cell r="C132">
            <v>269.06700000000001</v>
          </cell>
          <cell r="G132">
            <v>151.84</v>
          </cell>
          <cell r="I132">
            <v>217.78640000000001</v>
          </cell>
          <cell r="J132">
            <v>172.65640000000002</v>
          </cell>
          <cell r="L132">
            <v>97.096810000000005</v>
          </cell>
          <cell r="M132">
            <v>139.26740000000001</v>
          </cell>
          <cell r="N132">
            <v>110.40823</v>
          </cell>
        </row>
        <row r="133">
          <cell r="B133">
            <v>42465</v>
          </cell>
          <cell r="C133">
            <v>221.32300000000001</v>
          </cell>
          <cell r="G133">
            <v>150.49</v>
          </cell>
          <cell r="I133">
            <v>217.0882</v>
          </cell>
          <cell r="J133">
            <v>170.8475</v>
          </cell>
          <cell r="L133">
            <v>96.233540000000005</v>
          </cell>
          <cell r="M133">
            <v>138.821</v>
          </cell>
          <cell r="N133">
            <v>109.25149</v>
          </cell>
        </row>
        <row r="134">
          <cell r="B134">
            <v>42464</v>
          </cell>
          <cell r="C134">
            <v>292.24799999999999</v>
          </cell>
          <cell r="G134">
            <v>152.52000000000001</v>
          </cell>
          <cell r="I134">
            <v>219.24870000000001</v>
          </cell>
          <cell r="J134">
            <v>172.45140000000001</v>
          </cell>
          <cell r="L134">
            <v>97.531650000000013</v>
          </cell>
          <cell r="M134">
            <v>140.20250000000001</v>
          </cell>
          <cell r="N134">
            <v>110.27715000000001</v>
          </cell>
        </row>
        <row r="135">
          <cell r="B135">
            <v>42461</v>
          </cell>
          <cell r="C135">
            <v>275.49400000000003</v>
          </cell>
          <cell r="G135">
            <v>152.74</v>
          </cell>
          <cell r="I135">
            <v>218.3475</v>
          </cell>
          <cell r="J135">
            <v>172.86699999999999</v>
          </cell>
          <cell r="L135">
            <v>97.672340000000005</v>
          </cell>
          <cell r="M135">
            <v>139.62630000000001</v>
          </cell>
          <cell r="N135">
            <v>110.54289000000001</v>
          </cell>
        </row>
        <row r="136">
          <cell r="B136">
            <v>42460</v>
          </cell>
          <cell r="C136">
            <v>252.79300000000001</v>
          </cell>
          <cell r="G136">
            <v>151.53</v>
          </cell>
          <cell r="I136">
            <v>219.99630000000002</v>
          </cell>
          <cell r="J136">
            <v>171.6635</v>
          </cell>
          <cell r="L136">
            <v>96.898570000000007</v>
          </cell>
          <cell r="M136">
            <v>140.6806</v>
          </cell>
          <cell r="N136">
            <v>109.77334</v>
          </cell>
        </row>
        <row r="137">
          <cell r="B137">
            <v>42459</v>
          </cell>
          <cell r="C137">
            <v>267.74400000000003</v>
          </cell>
          <cell r="G137">
            <v>152.03</v>
          </cell>
          <cell r="I137">
            <v>220.7938</v>
          </cell>
          <cell r="J137">
            <v>172.19380000000001</v>
          </cell>
          <cell r="L137">
            <v>97.218310000000002</v>
          </cell>
          <cell r="M137">
            <v>141.19060000000002</v>
          </cell>
          <cell r="N137">
            <v>110.11243</v>
          </cell>
        </row>
        <row r="138">
          <cell r="B138">
            <v>42458</v>
          </cell>
          <cell r="C138">
            <v>303.90300000000002</v>
          </cell>
          <cell r="G138">
            <v>152</v>
          </cell>
          <cell r="I138">
            <v>218.04580000000001</v>
          </cell>
          <cell r="J138">
            <v>171.34200000000001</v>
          </cell>
          <cell r="L138">
            <v>97.199130000000011</v>
          </cell>
          <cell r="M138">
            <v>139.4333</v>
          </cell>
          <cell r="N138">
            <v>109.56773000000001</v>
          </cell>
        </row>
        <row r="139">
          <cell r="B139">
            <v>42457</v>
          </cell>
          <cell r="C139">
            <v>347.73099999999999</v>
          </cell>
          <cell r="G139">
            <v>150.80000000000001</v>
          </cell>
          <cell r="I139">
            <v>216.9879</v>
          </cell>
          <cell r="J139">
            <v>169.96</v>
          </cell>
          <cell r="L139">
            <v>96.431770000000014</v>
          </cell>
          <cell r="M139">
            <v>138.7568</v>
          </cell>
          <cell r="N139">
            <v>108.68393</v>
          </cell>
        </row>
        <row r="140">
          <cell r="B140">
            <v>42454</v>
          </cell>
          <cell r="C140">
            <v>0</v>
          </cell>
          <cell r="G140">
            <v>149.16</v>
          </cell>
          <cell r="I140">
            <v>215.65470000000002</v>
          </cell>
          <cell r="J140">
            <v>169.9957</v>
          </cell>
          <cell r="L140">
            <v>95.383040000000008</v>
          </cell>
          <cell r="M140">
            <v>137.90430000000001</v>
          </cell>
          <cell r="N140">
            <v>108.70679000000001</v>
          </cell>
        </row>
        <row r="141">
          <cell r="B141">
            <v>42453</v>
          </cell>
          <cell r="C141">
            <v>264.13400000000001</v>
          </cell>
          <cell r="G141">
            <v>149.16</v>
          </cell>
          <cell r="I141">
            <v>215.65470000000002</v>
          </cell>
          <cell r="J141">
            <v>169.9957</v>
          </cell>
          <cell r="L141">
            <v>95.383040000000008</v>
          </cell>
          <cell r="M141">
            <v>137.90430000000001</v>
          </cell>
          <cell r="N141">
            <v>108.70679000000001</v>
          </cell>
        </row>
        <row r="142">
          <cell r="B142">
            <v>42452</v>
          </cell>
          <cell r="C142">
            <v>417.964</v>
          </cell>
          <cell r="G142">
            <v>148.54</v>
          </cell>
          <cell r="I142">
            <v>217.73610000000002</v>
          </cell>
          <cell r="J142">
            <v>169.97499999999999</v>
          </cell>
          <cell r="L142">
            <v>94.986560000000011</v>
          </cell>
          <cell r="M142">
            <v>139.2353</v>
          </cell>
          <cell r="N142">
            <v>108.69357000000001</v>
          </cell>
        </row>
        <row r="143">
          <cell r="B143">
            <v>42451</v>
          </cell>
          <cell r="C143">
            <v>175.785</v>
          </cell>
          <cell r="G143">
            <v>151.46</v>
          </cell>
          <cell r="I143">
            <v>218.25800000000001</v>
          </cell>
          <cell r="J143">
            <v>170.9058</v>
          </cell>
          <cell r="L143">
            <v>96.85381000000001</v>
          </cell>
          <cell r="M143">
            <v>139.56900000000002</v>
          </cell>
          <cell r="N143">
            <v>109.28876000000001</v>
          </cell>
        </row>
        <row r="144">
          <cell r="B144">
            <v>42450</v>
          </cell>
          <cell r="C144">
            <v>234.137</v>
          </cell>
          <cell r="G144">
            <v>149.71</v>
          </cell>
          <cell r="I144">
            <v>218.48660000000001</v>
          </cell>
          <cell r="J144">
            <v>171.06</v>
          </cell>
          <cell r="L144">
            <v>95.734750000000005</v>
          </cell>
          <cell r="M144">
            <v>139.71510000000001</v>
          </cell>
          <cell r="N144">
            <v>109.38735000000001</v>
          </cell>
        </row>
        <row r="145">
          <cell r="B145">
            <v>42447</v>
          </cell>
          <cell r="C145">
            <v>553.10699999999997</v>
          </cell>
          <cell r="G145">
            <v>150.1</v>
          </cell>
          <cell r="I145">
            <v>218.0394</v>
          </cell>
          <cell r="J145">
            <v>170.714</v>
          </cell>
          <cell r="L145">
            <v>95.984150000000014</v>
          </cell>
          <cell r="M145">
            <v>139.42920000000001</v>
          </cell>
          <cell r="N145">
            <v>109.16611</v>
          </cell>
        </row>
        <row r="146">
          <cell r="B146">
            <v>42446</v>
          </cell>
          <cell r="C146">
            <v>315.98900000000003</v>
          </cell>
          <cell r="G146">
            <v>150.69</v>
          </cell>
          <cell r="I146">
            <v>218.20920000000001</v>
          </cell>
          <cell r="J146">
            <v>170.11420000000001</v>
          </cell>
          <cell r="L146">
            <v>96.361430000000013</v>
          </cell>
          <cell r="M146">
            <v>139.5378</v>
          </cell>
          <cell r="N146">
            <v>108.78254000000001</v>
          </cell>
        </row>
        <row r="147">
          <cell r="B147">
            <v>42445</v>
          </cell>
          <cell r="C147">
            <v>432.137</v>
          </cell>
          <cell r="G147">
            <v>150.01</v>
          </cell>
          <cell r="I147">
            <v>214.2843</v>
          </cell>
          <cell r="J147">
            <v>169.06110000000001</v>
          </cell>
          <cell r="L147">
            <v>95.926580000000001</v>
          </cell>
          <cell r="M147">
            <v>137.02799999999999</v>
          </cell>
          <cell r="N147">
            <v>108.10918000000001</v>
          </cell>
        </row>
        <row r="148">
          <cell r="B148">
            <v>42444</v>
          </cell>
          <cell r="C148">
            <v>664.91399999999999</v>
          </cell>
          <cell r="G148">
            <v>146.67000000000002</v>
          </cell>
          <cell r="I148">
            <v>213.88160000000002</v>
          </cell>
          <cell r="J148">
            <v>168.38420000000002</v>
          </cell>
          <cell r="L148">
            <v>93.790760000000006</v>
          </cell>
          <cell r="M148">
            <v>136.7704</v>
          </cell>
          <cell r="N148">
            <v>107.67630000000001</v>
          </cell>
        </row>
        <row r="149">
          <cell r="B149">
            <v>42443</v>
          </cell>
          <cell r="C149">
            <v>406.49099999999999</v>
          </cell>
          <cell r="G149">
            <v>154.83000000000001</v>
          </cell>
          <cell r="I149">
            <v>226.56640000000002</v>
          </cell>
          <cell r="J149">
            <v>168.36920000000001</v>
          </cell>
          <cell r="L149">
            <v>99.008820000000014</v>
          </cell>
          <cell r="M149">
            <v>144.8819</v>
          </cell>
          <cell r="N149">
            <v>107.66669</v>
          </cell>
        </row>
        <row r="150">
          <cell r="B150">
            <v>42440</v>
          </cell>
          <cell r="C150">
            <v>318.18099999999998</v>
          </cell>
          <cell r="G150">
            <v>154.55000000000001</v>
          </cell>
          <cell r="I150">
            <v>225.40940000000001</v>
          </cell>
          <cell r="J150">
            <v>168.58350000000002</v>
          </cell>
          <cell r="L150">
            <v>98.829770000000011</v>
          </cell>
          <cell r="M150">
            <v>144.1421</v>
          </cell>
          <cell r="N150">
            <v>107.80376000000001</v>
          </cell>
        </row>
        <row r="151">
          <cell r="B151">
            <v>42439</v>
          </cell>
          <cell r="C151">
            <v>642.84800000000007</v>
          </cell>
          <cell r="G151">
            <v>151.44</v>
          </cell>
          <cell r="I151">
            <v>222.1859</v>
          </cell>
          <cell r="J151">
            <v>166.124</v>
          </cell>
          <cell r="L151">
            <v>96.841030000000003</v>
          </cell>
          <cell r="M151">
            <v>142.08080000000001</v>
          </cell>
          <cell r="N151">
            <v>106.23097000000001</v>
          </cell>
        </row>
        <row r="152">
          <cell r="B152">
            <v>42438</v>
          </cell>
          <cell r="C152">
            <v>380.39400000000001</v>
          </cell>
          <cell r="G152">
            <v>158.43</v>
          </cell>
          <cell r="I152">
            <v>223.8443</v>
          </cell>
          <cell r="J152">
            <v>166.203</v>
          </cell>
          <cell r="L152">
            <v>101.3109</v>
          </cell>
          <cell r="M152">
            <v>143.1413</v>
          </cell>
          <cell r="N152">
            <v>106.28149000000001</v>
          </cell>
        </row>
        <row r="153">
          <cell r="B153">
            <v>42437</v>
          </cell>
          <cell r="C153">
            <v>294.55200000000002</v>
          </cell>
          <cell r="G153">
            <v>157.97</v>
          </cell>
          <cell r="I153">
            <v>222.60740000000001</v>
          </cell>
          <cell r="J153">
            <v>165.42449999999999</v>
          </cell>
          <cell r="L153">
            <v>101.01675</v>
          </cell>
          <cell r="M153">
            <v>142.3503</v>
          </cell>
          <cell r="N153">
            <v>105.78368</v>
          </cell>
        </row>
        <row r="154">
          <cell r="B154">
            <v>42436</v>
          </cell>
          <cell r="C154">
            <v>378.97399999999999</v>
          </cell>
          <cell r="G154">
            <v>157.49</v>
          </cell>
          <cell r="I154">
            <v>223.21350000000001</v>
          </cell>
          <cell r="J154">
            <v>166.89680000000001</v>
          </cell>
          <cell r="L154">
            <v>100.70981</v>
          </cell>
          <cell r="M154">
            <v>142.7379</v>
          </cell>
          <cell r="N154">
            <v>106.72518000000001</v>
          </cell>
        </row>
        <row r="155">
          <cell r="B155">
            <v>42433</v>
          </cell>
          <cell r="C155">
            <v>215.34300000000002</v>
          </cell>
          <cell r="G155">
            <v>155.24</v>
          </cell>
          <cell r="I155">
            <v>223.18110000000001</v>
          </cell>
          <cell r="J155">
            <v>166.9495</v>
          </cell>
          <cell r="L155">
            <v>99.271000000000001</v>
          </cell>
          <cell r="M155">
            <v>142.71710000000002</v>
          </cell>
          <cell r="N155">
            <v>106.75884000000001</v>
          </cell>
        </row>
        <row r="156">
          <cell r="B156">
            <v>42432</v>
          </cell>
          <cell r="C156">
            <v>267.39400000000001</v>
          </cell>
          <cell r="G156">
            <v>154.53</v>
          </cell>
          <cell r="I156">
            <v>222.46630000000002</v>
          </cell>
          <cell r="J156">
            <v>166.54900000000001</v>
          </cell>
          <cell r="L156">
            <v>98.817000000000007</v>
          </cell>
          <cell r="M156">
            <v>142.26</v>
          </cell>
          <cell r="N156">
            <v>106.50274</v>
          </cell>
        </row>
        <row r="157">
          <cell r="B157">
            <v>42431</v>
          </cell>
          <cell r="C157">
            <v>282.83800000000002</v>
          </cell>
          <cell r="G157">
            <v>154.28</v>
          </cell>
          <cell r="I157">
            <v>222.02620000000002</v>
          </cell>
          <cell r="J157">
            <v>166.25750000000002</v>
          </cell>
          <cell r="L157">
            <v>98.657110000000003</v>
          </cell>
          <cell r="M157">
            <v>141.9786</v>
          </cell>
          <cell r="N157">
            <v>106.31635000000001</v>
          </cell>
        </row>
        <row r="158">
          <cell r="B158">
            <v>42430</v>
          </cell>
          <cell r="C158">
            <v>356.97300000000001</v>
          </cell>
          <cell r="G158">
            <v>154.79</v>
          </cell>
          <cell r="I158">
            <v>222.7817</v>
          </cell>
          <cell r="J158">
            <v>165.66150000000002</v>
          </cell>
          <cell r="L158">
            <v>98.983240000000009</v>
          </cell>
          <cell r="M158">
            <v>142.46170000000001</v>
          </cell>
          <cell r="N158">
            <v>105.93520000000001</v>
          </cell>
        </row>
        <row r="159">
          <cell r="B159">
            <v>42429</v>
          </cell>
          <cell r="C159">
            <v>278.15800000000002</v>
          </cell>
          <cell r="G159">
            <v>150.49</v>
          </cell>
          <cell r="I159">
            <v>220.70450000000002</v>
          </cell>
          <cell r="J159">
            <v>161.60550000000001</v>
          </cell>
          <cell r="L159">
            <v>96.233540000000005</v>
          </cell>
          <cell r="M159">
            <v>141.13339999999999</v>
          </cell>
          <cell r="N159">
            <v>103.34155000000001</v>
          </cell>
        </row>
        <row r="160">
          <cell r="B160">
            <v>42426</v>
          </cell>
          <cell r="C160">
            <v>269.25900000000001</v>
          </cell>
          <cell r="G160">
            <v>150.82</v>
          </cell>
          <cell r="I160">
            <v>221.13</v>
          </cell>
          <cell r="J160">
            <v>163.01580000000001</v>
          </cell>
          <cell r="L160">
            <v>96.44456000000001</v>
          </cell>
          <cell r="M160">
            <v>141.40559999999999</v>
          </cell>
          <cell r="N160">
            <v>104.24338</v>
          </cell>
        </row>
        <row r="161">
          <cell r="B161">
            <v>42425</v>
          </cell>
          <cell r="C161">
            <v>218.52</v>
          </cell>
          <cell r="G161">
            <v>151.72999999999999</v>
          </cell>
          <cell r="I161">
            <v>204.97750000000002</v>
          </cell>
          <cell r="J161">
            <v>163.51779999999999</v>
          </cell>
          <cell r="L161">
            <v>97.026470000000003</v>
          </cell>
          <cell r="M161">
            <v>131.07650000000001</v>
          </cell>
          <cell r="N161">
            <v>104.56441000000001</v>
          </cell>
        </row>
        <row r="162">
          <cell r="B162">
            <v>42424</v>
          </cell>
          <cell r="C162">
            <v>209.41300000000001</v>
          </cell>
          <cell r="G162">
            <v>149.64000000000001</v>
          </cell>
          <cell r="I162">
            <v>212.96550000000002</v>
          </cell>
          <cell r="J162">
            <v>161.739</v>
          </cell>
          <cell r="L162">
            <v>95.69</v>
          </cell>
          <cell r="M162">
            <v>136.18460000000002</v>
          </cell>
          <cell r="N162">
            <v>103.42692000000001</v>
          </cell>
        </row>
        <row r="163">
          <cell r="B163">
            <v>42423</v>
          </cell>
          <cell r="C163">
            <v>208.07599999999999</v>
          </cell>
          <cell r="G163">
            <v>149.36000000000001</v>
          </cell>
          <cell r="I163">
            <v>203.40260000000001</v>
          </cell>
          <cell r="J163">
            <v>161.16550000000001</v>
          </cell>
          <cell r="L163">
            <v>95.510930000000002</v>
          </cell>
          <cell r="M163">
            <v>130.06950000000001</v>
          </cell>
          <cell r="N163">
            <v>103.06017000000001</v>
          </cell>
        </row>
        <row r="164">
          <cell r="B164">
            <v>42422</v>
          </cell>
          <cell r="C164">
            <v>279.43799999999999</v>
          </cell>
          <cell r="G164">
            <v>150.5</v>
          </cell>
          <cell r="I164">
            <v>214.95099999999999</v>
          </cell>
          <cell r="J164">
            <v>163.36000000000001</v>
          </cell>
          <cell r="L164">
            <v>96.239920000000012</v>
          </cell>
          <cell r="M164">
            <v>137.45430000000002</v>
          </cell>
          <cell r="N164">
            <v>104.46341000000001</v>
          </cell>
        </row>
        <row r="165">
          <cell r="B165">
            <v>42419</v>
          </cell>
          <cell r="C165">
            <v>157.12899999999999</v>
          </cell>
          <cell r="G165">
            <v>148.4</v>
          </cell>
          <cell r="I165">
            <v>212.90130000000002</v>
          </cell>
          <cell r="J165">
            <v>161.19370000000001</v>
          </cell>
          <cell r="L165">
            <v>94.897040000000004</v>
          </cell>
          <cell r="M165">
            <v>136.14360000000002</v>
          </cell>
          <cell r="N165">
            <v>103.07821000000001</v>
          </cell>
        </row>
        <row r="166">
          <cell r="B166">
            <v>42418</v>
          </cell>
          <cell r="C166">
            <v>255.166</v>
          </cell>
          <cell r="G166">
            <v>146.91</v>
          </cell>
          <cell r="I166">
            <v>198.38130000000001</v>
          </cell>
          <cell r="J166">
            <v>161.17680000000001</v>
          </cell>
          <cell r="L166">
            <v>93.944240000000008</v>
          </cell>
          <cell r="M166">
            <v>126.85847000000001</v>
          </cell>
          <cell r="N166">
            <v>103.06738000000001</v>
          </cell>
        </row>
        <row r="167">
          <cell r="B167">
            <v>42417</v>
          </cell>
          <cell r="C167">
            <v>404.82300000000004</v>
          </cell>
          <cell r="G167">
            <v>147.84</v>
          </cell>
          <cell r="I167">
            <v>209.9066</v>
          </cell>
          <cell r="J167">
            <v>162.04</v>
          </cell>
          <cell r="L167">
            <v>94.538940000000011</v>
          </cell>
          <cell r="M167">
            <v>134.2285</v>
          </cell>
          <cell r="N167">
            <v>103.61932</v>
          </cell>
        </row>
        <row r="168">
          <cell r="B168">
            <v>42416</v>
          </cell>
          <cell r="C168">
            <v>336.40699999999998</v>
          </cell>
          <cell r="G168">
            <v>144.61000000000001</v>
          </cell>
          <cell r="I168">
            <v>205.99630000000002</v>
          </cell>
          <cell r="J168">
            <v>159.52770000000001</v>
          </cell>
          <cell r="L168">
            <v>92.473460000000003</v>
          </cell>
          <cell r="M168">
            <v>131.72800000000001</v>
          </cell>
          <cell r="N168">
            <v>102.01286</v>
          </cell>
        </row>
        <row r="169">
          <cell r="B169">
            <v>42415</v>
          </cell>
          <cell r="C169">
            <v>0</v>
          </cell>
          <cell r="G169">
            <v>140.43</v>
          </cell>
          <cell r="I169">
            <v>205.49960000000002</v>
          </cell>
          <cell r="J169">
            <v>157.1773</v>
          </cell>
          <cell r="L169">
            <v>89.800480000000007</v>
          </cell>
          <cell r="M169">
            <v>131.41040000000001</v>
          </cell>
          <cell r="N169">
            <v>100.50983000000001</v>
          </cell>
        </row>
        <row r="170">
          <cell r="B170">
            <v>42412</v>
          </cell>
          <cell r="C170">
            <v>342.029</v>
          </cell>
          <cell r="G170">
            <v>140.43</v>
          </cell>
          <cell r="I170">
            <v>204.61</v>
          </cell>
          <cell r="J170">
            <v>157.1773</v>
          </cell>
          <cell r="L170">
            <v>89.800480000000007</v>
          </cell>
          <cell r="M170">
            <v>130.8416</v>
          </cell>
          <cell r="N170">
            <v>100.50983000000001</v>
          </cell>
        </row>
        <row r="171">
          <cell r="B171">
            <v>42411</v>
          </cell>
          <cell r="C171">
            <v>295.18099999999998</v>
          </cell>
          <cell r="G171">
            <v>136.4</v>
          </cell>
          <cell r="I171">
            <v>185.78360000000001</v>
          </cell>
          <cell r="J171">
            <v>154.30410000000001</v>
          </cell>
          <cell r="L171">
            <v>87.223420000000004</v>
          </cell>
          <cell r="M171">
            <v>118.80267000000001</v>
          </cell>
          <cell r="N171">
            <v>98.672520000000006</v>
          </cell>
        </row>
        <row r="172">
          <cell r="B172">
            <v>42410</v>
          </cell>
          <cell r="C172">
            <v>304.98399999999998</v>
          </cell>
          <cell r="G172">
            <v>139.03</v>
          </cell>
          <cell r="I172">
            <v>189.5213</v>
          </cell>
          <cell r="J172">
            <v>155.99639999999999</v>
          </cell>
          <cell r="L172">
            <v>88.905230000000003</v>
          </cell>
          <cell r="M172">
            <v>121.19283000000001</v>
          </cell>
          <cell r="N172">
            <v>99.7547</v>
          </cell>
        </row>
        <row r="173">
          <cell r="B173">
            <v>42409</v>
          </cell>
          <cell r="C173">
            <v>393.17900000000003</v>
          </cell>
          <cell r="G173">
            <v>137.59</v>
          </cell>
          <cell r="I173">
            <v>201.26750000000001</v>
          </cell>
          <cell r="J173">
            <v>156.25210000000001</v>
          </cell>
          <cell r="L173">
            <v>87.984390000000005</v>
          </cell>
          <cell r="M173">
            <v>128.70410000000001</v>
          </cell>
          <cell r="N173">
            <v>99.918230000000008</v>
          </cell>
        </row>
        <row r="174">
          <cell r="B174">
            <v>42408</v>
          </cell>
          <cell r="C174">
            <v>327.52600000000001</v>
          </cell>
          <cell r="G174">
            <v>139.99</v>
          </cell>
          <cell r="I174">
            <v>185.7397</v>
          </cell>
          <cell r="J174">
            <v>156.4778</v>
          </cell>
          <cell r="L174">
            <v>89.519120000000001</v>
          </cell>
          <cell r="M174">
            <v>118.77457000000001</v>
          </cell>
          <cell r="N174">
            <v>100.06252000000001</v>
          </cell>
        </row>
        <row r="175">
          <cell r="B175">
            <v>42405</v>
          </cell>
          <cell r="C175">
            <v>233.36100000000002</v>
          </cell>
          <cell r="G175">
            <v>142.49</v>
          </cell>
          <cell r="I175">
            <v>188.05590000000001</v>
          </cell>
          <cell r="J175">
            <v>157.90690000000001</v>
          </cell>
          <cell r="L175">
            <v>91.117790000000014</v>
          </cell>
          <cell r="M175">
            <v>120.25571000000001</v>
          </cell>
          <cell r="N175">
            <v>100.97637</v>
          </cell>
        </row>
        <row r="176">
          <cell r="B176">
            <v>42404</v>
          </cell>
          <cell r="C176">
            <v>235.47200000000001</v>
          </cell>
          <cell r="G176">
            <v>145.56</v>
          </cell>
          <cell r="I176">
            <v>202.93790000000001</v>
          </cell>
          <cell r="J176">
            <v>160.75370000000001</v>
          </cell>
          <cell r="L176">
            <v>93.080950000000001</v>
          </cell>
          <cell r="M176">
            <v>129.7722</v>
          </cell>
          <cell r="N176">
            <v>102.79684</v>
          </cell>
        </row>
        <row r="177">
          <cell r="B177">
            <v>42403</v>
          </cell>
          <cell r="C177">
            <v>266.44900000000001</v>
          </cell>
          <cell r="G177">
            <v>144.47999999999999</v>
          </cell>
          <cell r="I177">
            <v>211.24950000000001</v>
          </cell>
          <cell r="J177">
            <v>160.69540000000001</v>
          </cell>
          <cell r="L177">
            <v>92.390320000000003</v>
          </cell>
          <cell r="M177">
            <v>135.0873</v>
          </cell>
          <cell r="N177">
            <v>102.75957000000001</v>
          </cell>
        </row>
        <row r="178">
          <cell r="B178">
            <v>42402</v>
          </cell>
          <cell r="C178">
            <v>307.072</v>
          </cell>
          <cell r="G178">
            <v>145.22</v>
          </cell>
          <cell r="I178">
            <v>200.3896</v>
          </cell>
          <cell r="J178">
            <v>160.03540000000001</v>
          </cell>
          <cell r="L178">
            <v>92.863530000000011</v>
          </cell>
          <cell r="M178">
            <v>128.14270000000002</v>
          </cell>
          <cell r="N178">
            <v>102.33752000000001</v>
          </cell>
        </row>
        <row r="179">
          <cell r="B179">
            <v>42401</v>
          </cell>
          <cell r="C179">
            <v>256.07</v>
          </cell>
          <cell r="G179">
            <v>149.83000000000001</v>
          </cell>
          <cell r="I179">
            <v>185.65470000000002</v>
          </cell>
          <cell r="J179">
            <v>162.9556</v>
          </cell>
          <cell r="L179">
            <v>95.811480000000003</v>
          </cell>
          <cell r="M179">
            <v>118.72022000000001</v>
          </cell>
          <cell r="N179">
            <v>104.20490000000001</v>
          </cell>
        </row>
        <row r="180">
          <cell r="B180">
            <v>42398</v>
          </cell>
          <cell r="C180">
            <v>324.28000000000003</v>
          </cell>
          <cell r="G180">
            <v>150.70000000000002</v>
          </cell>
          <cell r="I180">
            <v>204.4616</v>
          </cell>
          <cell r="J180">
            <v>163.279</v>
          </cell>
          <cell r="L180">
            <v>96.367820000000009</v>
          </cell>
          <cell r="M180">
            <v>130.7466</v>
          </cell>
          <cell r="N180">
            <v>104.41171000000001</v>
          </cell>
        </row>
        <row r="181">
          <cell r="B181">
            <v>42397</v>
          </cell>
          <cell r="C181">
            <v>439.36400000000003</v>
          </cell>
          <cell r="G181">
            <v>147.87</v>
          </cell>
          <cell r="I181">
            <v>190.71560000000002</v>
          </cell>
          <cell r="J181">
            <v>159.42430000000002</v>
          </cell>
          <cell r="L181">
            <v>94.558120000000002</v>
          </cell>
          <cell r="M181">
            <v>121.95650000000001</v>
          </cell>
          <cell r="N181">
            <v>101.94673</v>
          </cell>
        </row>
        <row r="182">
          <cell r="B182">
            <v>42396</v>
          </cell>
          <cell r="C182">
            <v>458.928</v>
          </cell>
          <cell r="G182">
            <v>147.26</v>
          </cell>
          <cell r="I182">
            <v>198.71780000000001</v>
          </cell>
          <cell r="J182">
            <v>157.92000000000002</v>
          </cell>
          <cell r="L182">
            <v>94.168050000000008</v>
          </cell>
          <cell r="M182">
            <v>127.07363000000001</v>
          </cell>
          <cell r="N182">
            <v>100.98479</v>
          </cell>
        </row>
        <row r="183">
          <cell r="B183">
            <v>42395</v>
          </cell>
          <cell r="C183">
            <v>260.41000000000003</v>
          </cell>
          <cell r="G183">
            <v>146.84</v>
          </cell>
          <cell r="I183">
            <v>186.85510000000002</v>
          </cell>
          <cell r="J183">
            <v>159.83610000000002</v>
          </cell>
          <cell r="L183">
            <v>93.899470000000008</v>
          </cell>
          <cell r="M183">
            <v>119.48782000000001</v>
          </cell>
          <cell r="N183">
            <v>102.21007</v>
          </cell>
        </row>
        <row r="184">
          <cell r="B184">
            <v>42394</v>
          </cell>
          <cell r="C184">
            <v>336.68799999999999</v>
          </cell>
          <cell r="G184">
            <v>144.71</v>
          </cell>
          <cell r="I184">
            <v>184.7372</v>
          </cell>
          <cell r="J184">
            <v>157.70940000000002</v>
          </cell>
          <cell r="L184">
            <v>92.537410000000008</v>
          </cell>
          <cell r="M184">
            <v>118.13350000000001</v>
          </cell>
          <cell r="N184">
            <v>100.85011000000002</v>
          </cell>
        </row>
        <row r="185">
          <cell r="B185">
            <v>42391</v>
          </cell>
          <cell r="C185">
            <v>303.98500000000001</v>
          </cell>
          <cell r="G185">
            <v>145.87</v>
          </cell>
          <cell r="I185">
            <v>186.0394</v>
          </cell>
          <cell r="J185">
            <v>160.08240000000001</v>
          </cell>
          <cell r="L185">
            <v>93.279180000000011</v>
          </cell>
          <cell r="M185">
            <v>118.96625000000002</v>
          </cell>
          <cell r="N185">
            <v>102.36758</v>
          </cell>
        </row>
        <row r="186">
          <cell r="B186">
            <v>42390</v>
          </cell>
          <cell r="C186">
            <v>367.35200000000003</v>
          </cell>
          <cell r="G186">
            <v>142.47999999999999</v>
          </cell>
          <cell r="I186">
            <v>167.4374</v>
          </cell>
          <cell r="J186">
            <v>156.88580000000002</v>
          </cell>
          <cell r="L186">
            <v>91.111390000000014</v>
          </cell>
          <cell r="M186">
            <v>107.07085000000001</v>
          </cell>
          <cell r="N186">
            <v>100.32345000000001</v>
          </cell>
        </row>
        <row r="187">
          <cell r="B187">
            <v>42389</v>
          </cell>
          <cell r="C187">
            <v>574.09100000000001</v>
          </cell>
          <cell r="G187">
            <v>142.74</v>
          </cell>
          <cell r="I187">
            <v>172.69120000000001</v>
          </cell>
          <cell r="J187">
            <v>156.0284</v>
          </cell>
          <cell r="L187">
            <v>91.277660000000012</v>
          </cell>
          <cell r="M187">
            <v>110.43049000000001</v>
          </cell>
          <cell r="N187">
            <v>99.775150000000011</v>
          </cell>
        </row>
        <row r="188">
          <cell r="B188">
            <v>42388</v>
          </cell>
          <cell r="C188">
            <v>423.37299999999999</v>
          </cell>
          <cell r="G188">
            <v>145.70000000000002</v>
          </cell>
          <cell r="I188">
            <v>170.3236</v>
          </cell>
          <cell r="J188">
            <v>158.0479</v>
          </cell>
          <cell r="L188">
            <v>93.170480000000012</v>
          </cell>
          <cell r="M188">
            <v>108.91651</v>
          </cell>
          <cell r="N188">
            <v>101.06655000000001</v>
          </cell>
        </row>
        <row r="189">
          <cell r="B189">
            <v>42387</v>
          </cell>
          <cell r="C189">
            <v>0</v>
          </cell>
          <cell r="G189">
            <v>146.82</v>
          </cell>
          <cell r="I189">
            <v>162.82910000000001</v>
          </cell>
          <cell r="J189">
            <v>157.92940000000002</v>
          </cell>
          <cell r="L189">
            <v>93.886690000000002</v>
          </cell>
          <cell r="M189">
            <v>104.124</v>
          </cell>
          <cell r="N189">
            <v>100.99080000000001</v>
          </cell>
        </row>
        <row r="190">
          <cell r="B190">
            <v>42384</v>
          </cell>
          <cell r="C190">
            <v>406.87799999999999</v>
          </cell>
          <cell r="G190">
            <v>146.82</v>
          </cell>
          <cell r="I190">
            <v>164.227</v>
          </cell>
          <cell r="J190">
            <v>157.92940000000002</v>
          </cell>
          <cell r="L190">
            <v>93.886690000000002</v>
          </cell>
          <cell r="M190">
            <v>105.01792</v>
          </cell>
          <cell r="N190">
            <v>100.99080000000001</v>
          </cell>
        </row>
        <row r="191">
          <cell r="B191">
            <v>42383</v>
          </cell>
          <cell r="C191">
            <v>356.27199999999999</v>
          </cell>
          <cell r="G191">
            <v>148.18</v>
          </cell>
          <cell r="I191">
            <v>165.6696</v>
          </cell>
          <cell r="J191">
            <v>161.66760000000002</v>
          </cell>
          <cell r="L191">
            <v>94.756360000000001</v>
          </cell>
          <cell r="M191">
            <v>105.94042</v>
          </cell>
          <cell r="N191">
            <v>103.38123</v>
          </cell>
        </row>
        <row r="192">
          <cell r="B192">
            <v>42382</v>
          </cell>
          <cell r="C192">
            <v>480.803</v>
          </cell>
          <cell r="G192">
            <v>146.35</v>
          </cell>
          <cell r="I192">
            <v>164.15299999999999</v>
          </cell>
          <cell r="J192">
            <v>158.71729999999999</v>
          </cell>
          <cell r="L192">
            <v>93.586140000000015</v>
          </cell>
          <cell r="M192">
            <v>104.9706</v>
          </cell>
          <cell r="N192">
            <v>101.49462000000001</v>
          </cell>
        </row>
        <row r="193">
          <cell r="B193">
            <v>42381</v>
          </cell>
          <cell r="C193">
            <v>433.25799999999998</v>
          </cell>
          <cell r="G193">
            <v>150.46</v>
          </cell>
          <cell r="I193">
            <v>165.7603</v>
          </cell>
          <cell r="J193">
            <v>162.69050000000001</v>
          </cell>
          <cell r="L193">
            <v>96.21435000000001</v>
          </cell>
          <cell r="M193">
            <v>105.99837000000001</v>
          </cell>
          <cell r="N193">
            <v>104.03535000000001</v>
          </cell>
        </row>
        <row r="194">
          <cell r="B194">
            <v>42380</v>
          </cell>
          <cell r="C194">
            <v>292.32499999999999</v>
          </cell>
          <cell r="G194">
            <v>150.81</v>
          </cell>
          <cell r="I194">
            <v>164.77290000000002</v>
          </cell>
          <cell r="J194">
            <v>161.34790000000001</v>
          </cell>
          <cell r="L194">
            <v>96.438160000000011</v>
          </cell>
          <cell r="M194">
            <v>105.367</v>
          </cell>
          <cell r="N194">
            <v>103.17682000000001</v>
          </cell>
        </row>
        <row r="195">
          <cell r="B195">
            <v>42377</v>
          </cell>
          <cell r="C195">
            <v>367.78500000000003</v>
          </cell>
          <cell r="G195">
            <v>150.32</v>
          </cell>
          <cell r="I195">
            <v>165.16</v>
          </cell>
          <cell r="J195">
            <v>160.87970000000001</v>
          </cell>
          <cell r="L195">
            <v>96.124820000000014</v>
          </cell>
          <cell r="M195">
            <v>105.61443000000001</v>
          </cell>
          <cell r="N195">
            <v>102.87741000000001</v>
          </cell>
        </row>
        <row r="196">
          <cell r="B196">
            <v>42376</v>
          </cell>
          <cell r="C196">
            <v>316.41300000000001</v>
          </cell>
          <cell r="G196">
            <v>152.51</v>
          </cell>
          <cell r="I196">
            <v>166.50460000000001</v>
          </cell>
          <cell r="J196">
            <v>162.5532</v>
          </cell>
          <cell r="L196">
            <v>97.525250000000014</v>
          </cell>
          <cell r="M196">
            <v>106.47434000000001</v>
          </cell>
          <cell r="N196">
            <v>103.94757000000001</v>
          </cell>
        </row>
        <row r="197">
          <cell r="B197">
            <v>42375</v>
          </cell>
          <cell r="C197">
            <v>419.36900000000003</v>
          </cell>
          <cell r="G197">
            <v>156.63</v>
          </cell>
          <cell r="I197">
            <v>169.91</v>
          </cell>
          <cell r="J197">
            <v>166.74639999999999</v>
          </cell>
          <cell r="L197">
            <v>100.15987000000001</v>
          </cell>
          <cell r="M197">
            <v>108.65214</v>
          </cell>
          <cell r="N197">
            <v>106.629</v>
          </cell>
        </row>
        <row r="198">
          <cell r="B198">
            <v>42374</v>
          </cell>
          <cell r="C198">
            <v>288.048</v>
          </cell>
          <cell r="G198">
            <v>158.72999999999999</v>
          </cell>
          <cell r="I198">
            <v>170.99450000000002</v>
          </cell>
          <cell r="J198">
            <v>168.79220000000001</v>
          </cell>
          <cell r="L198">
            <v>101.50274</v>
          </cell>
          <cell r="M198">
            <v>109.34547000000001</v>
          </cell>
          <cell r="N198">
            <v>107.93723000000001</v>
          </cell>
        </row>
        <row r="199">
          <cell r="B199">
            <v>42373</v>
          </cell>
          <cell r="C199">
            <v>385.25200000000001</v>
          </cell>
          <cell r="G199">
            <v>156.62</v>
          </cell>
          <cell r="I199">
            <v>170.36170000000001</v>
          </cell>
          <cell r="J199">
            <v>168.58160000000001</v>
          </cell>
          <cell r="L199">
            <v>100.15347000000001</v>
          </cell>
          <cell r="M199">
            <v>108.94087</v>
          </cell>
          <cell r="N199">
            <v>107.80256000000001</v>
          </cell>
        </row>
        <row r="200">
          <cell r="B200">
            <v>42370</v>
          </cell>
          <cell r="C200">
            <v>0</v>
          </cell>
          <cell r="G200">
            <v>162.57</v>
          </cell>
          <cell r="I200">
            <v>173.2319</v>
          </cell>
          <cell r="J200">
            <v>171.38150000000002</v>
          </cell>
          <cell r="L200">
            <v>103.95831000000001</v>
          </cell>
          <cell r="M200">
            <v>110.77626000000001</v>
          </cell>
          <cell r="N200">
            <v>109.59297000000001</v>
          </cell>
        </row>
        <row r="201">
          <cell r="B201">
            <v>42369</v>
          </cell>
          <cell r="C201">
            <v>414.637</v>
          </cell>
          <cell r="G201">
            <v>162.57</v>
          </cell>
          <cell r="I201">
            <v>173.2319</v>
          </cell>
          <cell r="J201">
            <v>171.38150000000002</v>
          </cell>
          <cell r="L201">
            <v>103.95831000000001</v>
          </cell>
          <cell r="M201">
            <v>110.77626000000001</v>
          </cell>
          <cell r="N201">
            <v>109.59297000000001</v>
          </cell>
        </row>
        <row r="202">
          <cell r="B202">
            <v>42368</v>
          </cell>
          <cell r="C202">
            <v>218.37700000000001</v>
          </cell>
          <cell r="G202">
            <v>162.49</v>
          </cell>
          <cell r="I202">
            <v>174.7937</v>
          </cell>
          <cell r="J202">
            <v>173.1378</v>
          </cell>
          <cell r="L202">
            <v>103.90714000000001</v>
          </cell>
          <cell r="M202">
            <v>111.77495</v>
          </cell>
          <cell r="N202">
            <v>110.71604000000001</v>
          </cell>
        </row>
        <row r="203">
          <cell r="B203">
            <v>42367</v>
          </cell>
          <cell r="C203">
            <v>231.98600000000002</v>
          </cell>
          <cell r="G203">
            <v>163.56</v>
          </cell>
          <cell r="I203">
            <v>175.58850000000001</v>
          </cell>
          <cell r="J203">
            <v>174.3844</v>
          </cell>
          <cell r="L203">
            <v>104.59137000000001</v>
          </cell>
          <cell r="M203">
            <v>112.28320000000001</v>
          </cell>
          <cell r="N203">
            <v>111.51326</v>
          </cell>
        </row>
        <row r="204">
          <cell r="B204">
            <v>42366</v>
          </cell>
          <cell r="C204">
            <v>225.33100000000002</v>
          </cell>
          <cell r="G204">
            <v>161.35</v>
          </cell>
          <cell r="I204">
            <v>177.84970000000001</v>
          </cell>
          <cell r="J204">
            <v>172.4571</v>
          </cell>
          <cell r="L204">
            <v>103.17815</v>
          </cell>
          <cell r="M204">
            <v>113.72920000000001</v>
          </cell>
          <cell r="N204">
            <v>110.28076000000001</v>
          </cell>
        </row>
        <row r="205">
          <cell r="B205">
            <v>42363</v>
          </cell>
          <cell r="C205">
            <v>0</v>
          </cell>
          <cell r="G205">
            <v>160.21</v>
          </cell>
          <cell r="I205">
            <v>178.02520000000001</v>
          </cell>
          <cell r="J205">
            <v>172.7749</v>
          </cell>
          <cell r="L205">
            <v>102.44917000000001</v>
          </cell>
          <cell r="M205">
            <v>113.84140000000001</v>
          </cell>
          <cell r="N205">
            <v>110.48400000000001</v>
          </cell>
        </row>
        <row r="206">
          <cell r="B206">
            <v>42362</v>
          </cell>
          <cell r="C206">
            <v>116.807</v>
          </cell>
          <cell r="G206">
            <v>160.21</v>
          </cell>
          <cell r="I206">
            <v>178.02520000000001</v>
          </cell>
          <cell r="J206">
            <v>172.7749</v>
          </cell>
          <cell r="L206">
            <v>102.44917000000001</v>
          </cell>
          <cell r="M206">
            <v>113.84140000000001</v>
          </cell>
          <cell r="N206">
            <v>110.48400000000001</v>
          </cell>
        </row>
        <row r="207">
          <cell r="B207">
            <v>42361</v>
          </cell>
          <cell r="C207">
            <v>193.92699999999999</v>
          </cell>
          <cell r="G207">
            <v>159.28</v>
          </cell>
          <cell r="I207">
            <v>175.42449999999999</v>
          </cell>
          <cell r="J207">
            <v>173.13400000000001</v>
          </cell>
          <cell r="L207">
            <v>101.85445000000001</v>
          </cell>
          <cell r="M207">
            <v>112.17835000000001</v>
          </cell>
          <cell r="N207">
            <v>110.71364000000001</v>
          </cell>
        </row>
        <row r="208">
          <cell r="B208">
            <v>42360</v>
          </cell>
          <cell r="C208">
            <v>219.745</v>
          </cell>
          <cell r="G208">
            <v>158.32</v>
          </cell>
          <cell r="I208">
            <v>175.13640000000001</v>
          </cell>
          <cell r="J208">
            <v>171.1953</v>
          </cell>
          <cell r="L208">
            <v>101.24058000000001</v>
          </cell>
          <cell r="M208">
            <v>111.99413000000001</v>
          </cell>
          <cell r="N208">
            <v>109.47393000000001</v>
          </cell>
        </row>
        <row r="209">
          <cell r="B209">
            <v>42359</v>
          </cell>
          <cell r="C209">
            <v>503.51800000000003</v>
          </cell>
          <cell r="G209">
            <v>156.57</v>
          </cell>
          <cell r="I209">
            <v>174.29340000000002</v>
          </cell>
          <cell r="J209">
            <v>169.79070000000002</v>
          </cell>
          <cell r="L209">
            <v>100.12150000000001</v>
          </cell>
          <cell r="M209">
            <v>111.45503000000001</v>
          </cell>
          <cell r="N209">
            <v>108.57571000000002</v>
          </cell>
        </row>
        <row r="210">
          <cell r="B210">
            <v>42356</v>
          </cell>
          <cell r="C210">
            <v>798.18600000000004</v>
          </cell>
          <cell r="G210">
            <v>156.26</v>
          </cell>
          <cell r="I210">
            <v>174.4665</v>
          </cell>
          <cell r="J210">
            <v>168.48950000000002</v>
          </cell>
          <cell r="L210">
            <v>99.923260000000013</v>
          </cell>
          <cell r="M210">
            <v>111.56573</v>
          </cell>
          <cell r="N210">
            <v>107.74363000000001</v>
          </cell>
        </row>
        <row r="211">
          <cell r="B211">
            <v>42355</v>
          </cell>
          <cell r="C211">
            <v>403.44800000000004</v>
          </cell>
          <cell r="G211">
            <v>161.60000000000002</v>
          </cell>
          <cell r="I211">
            <v>175.3</v>
          </cell>
          <cell r="J211">
            <v>171.82150000000001</v>
          </cell>
          <cell r="L211">
            <v>103.33803</v>
          </cell>
          <cell r="M211">
            <v>112.09882</v>
          </cell>
          <cell r="N211">
            <v>109.87434</v>
          </cell>
        </row>
        <row r="212">
          <cell r="B212">
            <v>42354</v>
          </cell>
          <cell r="C212">
            <v>586.17399999999998</v>
          </cell>
          <cell r="G212">
            <v>161.80000000000001</v>
          </cell>
          <cell r="I212">
            <v>176.36850000000001</v>
          </cell>
          <cell r="J212">
            <v>174.45400000000001</v>
          </cell>
          <cell r="L212">
            <v>103.46591000000001</v>
          </cell>
          <cell r="M212">
            <v>112.78197000000002</v>
          </cell>
          <cell r="N212">
            <v>111.55775000000001</v>
          </cell>
        </row>
        <row r="213">
          <cell r="B213">
            <v>42353</v>
          </cell>
          <cell r="C213">
            <v>766.29399999999998</v>
          </cell>
          <cell r="G213">
            <v>162.59</v>
          </cell>
          <cell r="I213">
            <v>174.02520000000001</v>
          </cell>
          <cell r="J213">
            <v>171.8817</v>
          </cell>
          <cell r="L213">
            <v>103.97108000000001</v>
          </cell>
          <cell r="M213">
            <v>111.28354</v>
          </cell>
          <cell r="N213">
            <v>109.91283000000001</v>
          </cell>
        </row>
        <row r="214">
          <cell r="B214">
            <v>42352</v>
          </cell>
          <cell r="C214">
            <v>406.92099999999999</v>
          </cell>
          <cell r="G214">
            <v>169.31</v>
          </cell>
          <cell r="I214">
            <v>172.85310000000001</v>
          </cell>
          <cell r="J214">
            <v>170.0652</v>
          </cell>
          <cell r="L214">
            <v>108.26832</v>
          </cell>
          <cell r="M214">
            <v>110.53405000000001</v>
          </cell>
          <cell r="N214">
            <v>108.75127000000001</v>
          </cell>
        </row>
        <row r="215">
          <cell r="B215">
            <v>42349</v>
          </cell>
          <cell r="C215">
            <v>250.476</v>
          </cell>
          <cell r="G215">
            <v>168.14000000000001</v>
          </cell>
          <cell r="I215">
            <v>172.45000000000002</v>
          </cell>
          <cell r="J215">
            <v>168.94830000000002</v>
          </cell>
          <cell r="L215">
            <v>107.52014000000001</v>
          </cell>
          <cell r="M215">
            <v>110.27626000000001</v>
          </cell>
          <cell r="N215">
            <v>108.03703000000002</v>
          </cell>
        </row>
        <row r="216">
          <cell r="B216">
            <v>42348</v>
          </cell>
          <cell r="C216">
            <v>221.01</v>
          </cell>
          <cell r="G216">
            <v>170.48</v>
          </cell>
          <cell r="I216">
            <v>175.5067</v>
          </cell>
          <cell r="J216">
            <v>172.39879999999999</v>
          </cell>
          <cell r="L216">
            <v>109.01649</v>
          </cell>
          <cell r="M216">
            <v>112.23090000000001</v>
          </cell>
          <cell r="N216">
            <v>110.24348000000001</v>
          </cell>
        </row>
        <row r="217">
          <cell r="B217">
            <v>42347</v>
          </cell>
          <cell r="C217">
            <v>463.07499999999999</v>
          </cell>
          <cell r="G217">
            <v>168.63</v>
          </cell>
          <cell r="I217">
            <v>175.34140000000002</v>
          </cell>
          <cell r="J217">
            <v>171.93620000000001</v>
          </cell>
          <cell r="L217">
            <v>107.83348000000001</v>
          </cell>
          <cell r="M217">
            <v>112.12518000000001</v>
          </cell>
          <cell r="N217">
            <v>109.94769000000001</v>
          </cell>
        </row>
        <row r="218">
          <cell r="B218">
            <v>42346</v>
          </cell>
          <cell r="C218">
            <v>238.66800000000001</v>
          </cell>
          <cell r="G218">
            <v>172.38</v>
          </cell>
          <cell r="I218">
            <v>178.24469999999999</v>
          </cell>
          <cell r="J218">
            <v>173.2148</v>
          </cell>
          <cell r="L218">
            <v>110.23148</v>
          </cell>
          <cell r="M218">
            <v>113.98177000000001</v>
          </cell>
          <cell r="N218">
            <v>110.76534000000001</v>
          </cell>
        </row>
        <row r="219">
          <cell r="B219">
            <v>42345</v>
          </cell>
          <cell r="C219">
            <v>220.44400000000002</v>
          </cell>
          <cell r="G219">
            <v>171.75</v>
          </cell>
          <cell r="I219">
            <v>180.10070000000002</v>
          </cell>
          <cell r="J219">
            <v>174.4521</v>
          </cell>
          <cell r="L219">
            <v>109.82861000000001</v>
          </cell>
          <cell r="M219">
            <v>115.16862</v>
          </cell>
          <cell r="N219">
            <v>111.55654000000001</v>
          </cell>
        </row>
        <row r="220">
          <cell r="B220">
            <v>42342</v>
          </cell>
          <cell r="C220">
            <v>261.78300000000002</v>
          </cell>
          <cell r="G220">
            <v>173.04</v>
          </cell>
          <cell r="I220">
            <v>181.79300000000001</v>
          </cell>
          <cell r="J220">
            <v>175.5822</v>
          </cell>
          <cell r="L220">
            <v>110.65353</v>
          </cell>
          <cell r="M220">
            <v>116.25082</v>
          </cell>
          <cell r="N220">
            <v>112.2792</v>
          </cell>
        </row>
        <row r="221">
          <cell r="B221">
            <v>42341</v>
          </cell>
          <cell r="C221">
            <v>325.73099999999999</v>
          </cell>
          <cell r="G221">
            <v>169.26</v>
          </cell>
          <cell r="I221">
            <v>179.58</v>
          </cell>
          <cell r="J221">
            <v>171.87790000000001</v>
          </cell>
          <cell r="L221">
            <v>108.23634000000001</v>
          </cell>
          <cell r="M221">
            <v>114.83553000000001</v>
          </cell>
          <cell r="N221">
            <v>109.91042</v>
          </cell>
        </row>
        <row r="222">
          <cell r="B222">
            <v>42340</v>
          </cell>
          <cell r="C222">
            <v>240.798</v>
          </cell>
          <cell r="G222">
            <v>171.07</v>
          </cell>
          <cell r="I222">
            <v>202.34570000000002</v>
          </cell>
          <cell r="J222">
            <v>174.31300000000002</v>
          </cell>
          <cell r="L222">
            <v>109.39378000000001</v>
          </cell>
          <cell r="M222">
            <v>129.39359999999999</v>
          </cell>
          <cell r="N222">
            <v>111.46757000000001</v>
          </cell>
        </row>
        <row r="223">
          <cell r="B223">
            <v>42339</v>
          </cell>
          <cell r="C223">
            <v>241.08600000000001</v>
          </cell>
          <cell r="G223">
            <v>171.33</v>
          </cell>
          <cell r="I223">
            <v>190.3236</v>
          </cell>
          <cell r="J223">
            <v>176.13130000000001</v>
          </cell>
          <cell r="L223">
            <v>109.56005</v>
          </cell>
          <cell r="M223">
            <v>121.70586000000002</v>
          </cell>
          <cell r="N223">
            <v>112.63031000000001</v>
          </cell>
        </row>
        <row r="224">
          <cell r="B224">
            <v>42338</v>
          </cell>
          <cell r="C224">
            <v>276.35300000000001</v>
          </cell>
          <cell r="G224">
            <v>169.53</v>
          </cell>
          <cell r="I224">
            <v>189.69040000000001</v>
          </cell>
          <cell r="J224">
            <v>174.2039</v>
          </cell>
          <cell r="L224">
            <v>108.40900000000001</v>
          </cell>
          <cell r="M224">
            <v>121.30093000000001</v>
          </cell>
          <cell r="N224">
            <v>111.39781000000001</v>
          </cell>
        </row>
        <row r="225">
          <cell r="B225">
            <v>42335</v>
          </cell>
          <cell r="C225">
            <v>95.219000000000008</v>
          </cell>
          <cell r="G225">
            <v>170.86</v>
          </cell>
          <cell r="I225">
            <v>189.1832</v>
          </cell>
          <cell r="J225">
            <v>175.161</v>
          </cell>
          <cell r="L225">
            <v>109.2595</v>
          </cell>
          <cell r="M225">
            <v>120.97658000000001</v>
          </cell>
          <cell r="N225">
            <v>112.00986</v>
          </cell>
        </row>
        <row r="226">
          <cell r="B226">
            <v>42334</v>
          </cell>
          <cell r="C226">
            <v>0</v>
          </cell>
          <cell r="G226">
            <v>169.46</v>
          </cell>
          <cell r="I226">
            <v>172.8203</v>
          </cell>
          <cell r="J226">
            <v>175.12720000000002</v>
          </cell>
          <cell r="L226">
            <v>108.36423000000001</v>
          </cell>
          <cell r="M226">
            <v>110.51300000000001</v>
          </cell>
          <cell r="N226">
            <v>111.98821000000001</v>
          </cell>
        </row>
        <row r="227">
          <cell r="B227">
            <v>42333</v>
          </cell>
          <cell r="C227">
            <v>229.767</v>
          </cell>
          <cell r="G227">
            <v>169.46</v>
          </cell>
          <cell r="I227">
            <v>172.54080000000002</v>
          </cell>
          <cell r="J227">
            <v>175.12720000000002</v>
          </cell>
          <cell r="L227">
            <v>108.36423000000001</v>
          </cell>
          <cell r="M227">
            <v>110.33433000000001</v>
          </cell>
          <cell r="N227">
            <v>111.98821000000001</v>
          </cell>
        </row>
        <row r="228">
          <cell r="B228">
            <v>42332</v>
          </cell>
          <cell r="C228">
            <v>247.892</v>
          </cell>
          <cell r="G228">
            <v>170.62</v>
          </cell>
          <cell r="I228">
            <v>171.2921</v>
          </cell>
          <cell r="J228">
            <v>175.2362</v>
          </cell>
          <cell r="L228">
            <v>109.10600000000001</v>
          </cell>
          <cell r="M228">
            <v>109.53584000000001</v>
          </cell>
          <cell r="N228">
            <v>112.05795000000001</v>
          </cell>
        </row>
        <row r="229">
          <cell r="B229">
            <v>42331</v>
          </cell>
          <cell r="C229">
            <v>201.69300000000001</v>
          </cell>
          <cell r="G229">
            <v>170.13</v>
          </cell>
          <cell r="I229">
            <v>183.5933</v>
          </cell>
          <cell r="J229">
            <v>175.06890000000001</v>
          </cell>
          <cell r="L229">
            <v>108.79269000000001</v>
          </cell>
          <cell r="M229">
            <v>117.40203000000001</v>
          </cell>
          <cell r="N229">
            <v>111.95094</v>
          </cell>
        </row>
        <row r="230">
          <cell r="B230">
            <v>42328</v>
          </cell>
          <cell r="C230">
            <v>294.55500000000001</v>
          </cell>
          <cell r="G230">
            <v>170.15</v>
          </cell>
          <cell r="I230">
            <v>184.42960000000002</v>
          </cell>
          <cell r="J230">
            <v>175.43550000000002</v>
          </cell>
          <cell r="L230">
            <v>108.80547000000001</v>
          </cell>
          <cell r="M230">
            <v>117.93683000000001</v>
          </cell>
          <cell r="N230">
            <v>112.18541</v>
          </cell>
        </row>
        <row r="231">
          <cell r="B231">
            <v>42327</v>
          </cell>
          <cell r="C231">
            <v>594.75</v>
          </cell>
          <cell r="G231">
            <v>169.16</v>
          </cell>
          <cell r="I231">
            <v>184.1353</v>
          </cell>
          <cell r="J231">
            <v>174.86960000000002</v>
          </cell>
          <cell r="L231">
            <v>108.17240000000001</v>
          </cell>
          <cell r="M231">
            <v>117.74864000000001</v>
          </cell>
          <cell r="N231">
            <v>111.82348</v>
          </cell>
        </row>
        <row r="232">
          <cell r="B232">
            <v>42326</v>
          </cell>
          <cell r="C232">
            <v>471.80900000000003</v>
          </cell>
          <cell r="G232">
            <v>171.42000000000002</v>
          </cell>
          <cell r="I232">
            <v>183.2722</v>
          </cell>
          <cell r="J232">
            <v>175.04260000000002</v>
          </cell>
          <cell r="L232">
            <v>109.61759000000001</v>
          </cell>
          <cell r="M232">
            <v>117.19670000000001</v>
          </cell>
          <cell r="N232">
            <v>111.9341</v>
          </cell>
        </row>
        <row r="233">
          <cell r="B233">
            <v>42325</v>
          </cell>
          <cell r="C233">
            <v>201.21800000000002</v>
          </cell>
          <cell r="G233">
            <v>169.57</v>
          </cell>
          <cell r="I233">
            <v>181.4221</v>
          </cell>
          <cell r="J233">
            <v>172.13740000000001</v>
          </cell>
          <cell r="L233">
            <v>108.43459000000001</v>
          </cell>
          <cell r="M233">
            <v>116.01363000000001</v>
          </cell>
          <cell r="N233">
            <v>110.07635000000001</v>
          </cell>
        </row>
        <row r="234">
          <cell r="B234">
            <v>42324</v>
          </cell>
          <cell r="C234">
            <v>251.28700000000001</v>
          </cell>
          <cell r="G234">
            <v>169.10000000000002</v>
          </cell>
          <cell r="I234">
            <v>164.43600000000001</v>
          </cell>
          <cell r="J234">
            <v>172.3349</v>
          </cell>
          <cell r="L234">
            <v>108.13403000000001</v>
          </cell>
          <cell r="M234">
            <v>105.15152</v>
          </cell>
          <cell r="N234">
            <v>110.20261000000001</v>
          </cell>
        </row>
        <row r="235">
          <cell r="B235">
            <v>42321</v>
          </cell>
          <cell r="C235">
            <v>578.00400000000002</v>
          </cell>
          <cell r="G235">
            <v>166.95000000000002</v>
          </cell>
          <cell r="I235">
            <v>163.71120000000002</v>
          </cell>
          <cell r="J235">
            <v>169.8039</v>
          </cell>
          <cell r="L235">
            <v>106.75917000000001</v>
          </cell>
          <cell r="M235">
            <v>104.68803000000001</v>
          </cell>
          <cell r="N235">
            <v>108.58413</v>
          </cell>
        </row>
        <row r="236">
          <cell r="B236">
            <v>42320</v>
          </cell>
          <cell r="C236">
            <v>268.78199999999998</v>
          </cell>
          <cell r="G236">
            <v>173.93</v>
          </cell>
          <cell r="I236">
            <v>176.08150000000001</v>
          </cell>
          <cell r="J236">
            <v>171.9212</v>
          </cell>
          <cell r="L236">
            <v>111.22266</v>
          </cell>
          <cell r="M236">
            <v>112.59848000000001</v>
          </cell>
          <cell r="N236">
            <v>109.93807000000001</v>
          </cell>
        </row>
        <row r="237">
          <cell r="B237">
            <v>42319</v>
          </cell>
          <cell r="C237">
            <v>314.19100000000003</v>
          </cell>
          <cell r="G237">
            <v>174.84</v>
          </cell>
          <cell r="I237">
            <v>179.70760000000001</v>
          </cell>
          <cell r="J237">
            <v>174.30170000000001</v>
          </cell>
          <cell r="L237">
            <v>111.80457000000001</v>
          </cell>
          <cell r="M237">
            <v>114.91724000000001</v>
          </cell>
          <cell r="N237">
            <v>111.46035000000001</v>
          </cell>
        </row>
        <row r="238">
          <cell r="B238">
            <v>42318</v>
          </cell>
          <cell r="C238">
            <v>280.35200000000003</v>
          </cell>
          <cell r="G238">
            <v>175.19</v>
          </cell>
          <cell r="I238">
            <v>163.47999999999999</v>
          </cell>
          <cell r="J238">
            <v>174.7022</v>
          </cell>
          <cell r="L238">
            <v>112.0284</v>
          </cell>
          <cell r="M238">
            <v>104.54018000000001</v>
          </cell>
          <cell r="N238">
            <v>111.71648</v>
          </cell>
        </row>
        <row r="239">
          <cell r="B239">
            <v>42317</v>
          </cell>
          <cell r="C239">
            <v>348.74299999999999</v>
          </cell>
          <cell r="G239">
            <v>174</v>
          </cell>
          <cell r="I239">
            <v>162.86180000000002</v>
          </cell>
          <cell r="J239">
            <v>174.54430000000002</v>
          </cell>
          <cell r="L239">
            <v>111.26743</v>
          </cell>
          <cell r="M239">
            <v>104.14490000000001</v>
          </cell>
          <cell r="N239">
            <v>111.61546000000001</v>
          </cell>
        </row>
        <row r="240">
          <cell r="B240">
            <v>42314</v>
          </cell>
          <cell r="C240">
            <v>199.066</v>
          </cell>
          <cell r="G240">
            <v>173.4</v>
          </cell>
          <cell r="I240">
            <v>163.73070000000001</v>
          </cell>
          <cell r="J240">
            <v>176.29680000000002</v>
          </cell>
          <cell r="L240">
            <v>110.88374</v>
          </cell>
          <cell r="M240">
            <v>104.70053000000001</v>
          </cell>
          <cell r="N240">
            <v>112.73613</v>
          </cell>
        </row>
        <row r="241">
          <cell r="B241">
            <v>42313</v>
          </cell>
          <cell r="C241">
            <v>256.92</v>
          </cell>
          <cell r="G241">
            <v>174.49</v>
          </cell>
          <cell r="I241">
            <v>176.7062</v>
          </cell>
          <cell r="J241">
            <v>176.10310000000001</v>
          </cell>
          <cell r="L241">
            <v>111.58076000000001</v>
          </cell>
          <cell r="M241">
            <v>112.99796000000001</v>
          </cell>
          <cell r="N241">
            <v>112.61227000000001</v>
          </cell>
        </row>
        <row r="242">
          <cell r="B242">
            <v>42312</v>
          </cell>
          <cell r="C242">
            <v>325.11200000000002</v>
          </cell>
          <cell r="G242">
            <v>173.84</v>
          </cell>
          <cell r="I242">
            <v>178.31290000000001</v>
          </cell>
          <cell r="J242">
            <v>176.3776</v>
          </cell>
          <cell r="L242">
            <v>111.16511000000001</v>
          </cell>
          <cell r="M242">
            <v>114.02535</v>
          </cell>
          <cell r="N242">
            <v>112.78783000000001</v>
          </cell>
        </row>
        <row r="243">
          <cell r="B243">
            <v>42311</v>
          </cell>
          <cell r="C243">
            <v>319.55799999999999</v>
          </cell>
          <cell r="G243">
            <v>172.79</v>
          </cell>
          <cell r="I243">
            <v>163.6439</v>
          </cell>
          <cell r="J243">
            <v>176.97560000000001</v>
          </cell>
          <cell r="L243">
            <v>110.49366000000001</v>
          </cell>
          <cell r="M243">
            <v>104.64503000000001</v>
          </cell>
          <cell r="N243">
            <v>113.17020000000001</v>
          </cell>
        </row>
        <row r="244">
          <cell r="B244">
            <v>42310</v>
          </cell>
          <cell r="C244">
            <v>337.202</v>
          </cell>
          <cell r="G244">
            <v>175.20000000000002</v>
          </cell>
          <cell r="I244">
            <v>175.63730000000001</v>
          </cell>
          <cell r="J244">
            <v>176.3212</v>
          </cell>
          <cell r="L244">
            <v>112.03478000000001</v>
          </cell>
          <cell r="M244">
            <v>112.31439</v>
          </cell>
          <cell r="N244">
            <v>112.75175000000002</v>
          </cell>
        </row>
        <row r="245">
          <cell r="B245">
            <v>42307</v>
          </cell>
          <cell r="C245">
            <v>396.32600000000002</v>
          </cell>
          <cell r="G245">
            <v>175.12</v>
          </cell>
          <cell r="I245">
            <v>172.57850000000002</v>
          </cell>
          <cell r="J245">
            <v>174.2603</v>
          </cell>
          <cell r="L245">
            <v>111.98362000000002</v>
          </cell>
          <cell r="M245">
            <v>110.35841000000001</v>
          </cell>
          <cell r="N245">
            <v>111.43388</v>
          </cell>
        </row>
        <row r="246">
          <cell r="B246">
            <v>42306</v>
          </cell>
          <cell r="C246">
            <v>299.733</v>
          </cell>
          <cell r="G246">
            <v>175.28</v>
          </cell>
          <cell r="I246">
            <v>173.38320000000002</v>
          </cell>
          <cell r="J246">
            <v>175.45440000000002</v>
          </cell>
          <cell r="L246">
            <v>112.08594000000001</v>
          </cell>
          <cell r="M246">
            <v>110.87297000000001</v>
          </cell>
          <cell r="N246">
            <v>112.19743000000001</v>
          </cell>
        </row>
        <row r="247">
          <cell r="B247">
            <v>42305</v>
          </cell>
          <cell r="C247">
            <v>248.92500000000001</v>
          </cell>
          <cell r="G247">
            <v>175.54</v>
          </cell>
          <cell r="I247">
            <v>171.68190000000001</v>
          </cell>
          <cell r="J247">
            <v>175.5446</v>
          </cell>
          <cell r="L247">
            <v>112.2522</v>
          </cell>
          <cell r="M247">
            <v>109.78506000000002</v>
          </cell>
          <cell r="N247">
            <v>112.25516</v>
          </cell>
        </row>
        <row r="248">
          <cell r="B248">
            <v>42304</v>
          </cell>
          <cell r="C248">
            <v>539.31399999999996</v>
          </cell>
          <cell r="G248">
            <v>173.89000000000001</v>
          </cell>
          <cell r="I248">
            <v>168.9795</v>
          </cell>
          <cell r="J248">
            <v>173.48</v>
          </cell>
          <cell r="L248">
            <v>111.19707000000001</v>
          </cell>
          <cell r="M248">
            <v>108.057</v>
          </cell>
          <cell r="N248">
            <v>110.93489000000001</v>
          </cell>
        </row>
        <row r="249">
          <cell r="B249">
            <v>42303</v>
          </cell>
          <cell r="C249">
            <v>208.589</v>
          </cell>
          <cell r="G249">
            <v>175.97</v>
          </cell>
          <cell r="I249">
            <v>171.6173</v>
          </cell>
          <cell r="J249">
            <v>173.79</v>
          </cell>
          <cell r="L249">
            <v>112.52718000000002</v>
          </cell>
          <cell r="M249">
            <v>109.74379</v>
          </cell>
          <cell r="N249">
            <v>111.13329</v>
          </cell>
        </row>
        <row r="250">
          <cell r="B250">
            <v>42300</v>
          </cell>
          <cell r="C250">
            <v>398.84800000000001</v>
          </cell>
          <cell r="G250">
            <v>176.01</v>
          </cell>
          <cell r="I250">
            <v>156.48850000000002</v>
          </cell>
          <cell r="J250">
            <v>174.0685</v>
          </cell>
          <cell r="L250">
            <v>112.55275</v>
          </cell>
          <cell r="M250">
            <v>100.06936</v>
          </cell>
          <cell r="N250">
            <v>111.31125000000002</v>
          </cell>
        </row>
        <row r="251">
          <cell r="B251">
            <v>42299</v>
          </cell>
          <cell r="C251">
            <v>383.45100000000002</v>
          </cell>
          <cell r="G251">
            <v>173.36</v>
          </cell>
          <cell r="I251">
            <v>168.82940000000002</v>
          </cell>
          <cell r="J251">
            <v>171.42660000000001</v>
          </cell>
          <cell r="L251">
            <v>110.85817000000002</v>
          </cell>
          <cell r="M251">
            <v>107.961</v>
          </cell>
          <cell r="N251">
            <v>109.62183</v>
          </cell>
        </row>
        <row r="252">
          <cell r="B252">
            <v>42298</v>
          </cell>
          <cell r="C252">
            <v>358.34800000000001</v>
          </cell>
          <cell r="G252">
            <v>168.21</v>
          </cell>
          <cell r="I252">
            <v>169.00920000000002</v>
          </cell>
          <cell r="J252">
            <v>168.39920000000001</v>
          </cell>
          <cell r="L252">
            <v>107.56490000000001</v>
          </cell>
          <cell r="M252">
            <v>108.07597000000001</v>
          </cell>
          <cell r="N252">
            <v>107.68592000000001</v>
          </cell>
        </row>
        <row r="253">
          <cell r="B253">
            <v>42297</v>
          </cell>
          <cell r="C253">
            <v>239.768</v>
          </cell>
          <cell r="G253">
            <v>168</v>
          </cell>
          <cell r="I253">
            <v>175.77620000000002</v>
          </cell>
          <cell r="J253">
            <v>169.1627</v>
          </cell>
          <cell r="L253">
            <v>107.43061000000002</v>
          </cell>
          <cell r="M253">
            <v>112.40323000000001</v>
          </cell>
          <cell r="N253">
            <v>108.17411000000001</v>
          </cell>
        </row>
        <row r="254">
          <cell r="B254">
            <v>42296</v>
          </cell>
          <cell r="C254">
            <v>317.93400000000003</v>
          </cell>
          <cell r="G254">
            <v>167.57</v>
          </cell>
          <cell r="I254">
            <v>175.22830000000002</v>
          </cell>
          <cell r="J254">
            <v>169.5839</v>
          </cell>
          <cell r="L254">
            <v>107.15565000000001</v>
          </cell>
          <cell r="M254">
            <v>112.05286000000001</v>
          </cell>
          <cell r="N254">
            <v>108.44345000000001</v>
          </cell>
        </row>
        <row r="255">
          <cell r="B255">
            <v>42293</v>
          </cell>
          <cell r="C255">
            <v>165.67099999999999</v>
          </cell>
          <cell r="G255">
            <v>165.37</v>
          </cell>
          <cell r="I255">
            <v>159.01160000000002</v>
          </cell>
          <cell r="J255">
            <v>169.46540000000002</v>
          </cell>
          <cell r="L255">
            <v>105.74881000000001</v>
          </cell>
          <cell r="M255">
            <v>101.68281</v>
          </cell>
          <cell r="N255">
            <v>108.36769000000001</v>
          </cell>
        </row>
        <row r="256">
          <cell r="B256">
            <v>42292</v>
          </cell>
          <cell r="C256">
            <v>265.322</v>
          </cell>
          <cell r="G256">
            <v>164.59</v>
          </cell>
          <cell r="I256">
            <v>158.8526</v>
          </cell>
          <cell r="J256">
            <v>168.5779</v>
          </cell>
          <cell r="L256">
            <v>105.25</v>
          </cell>
          <cell r="M256">
            <v>101.58115000000001</v>
          </cell>
          <cell r="N256">
            <v>107.80015</v>
          </cell>
        </row>
        <row r="257">
          <cell r="B257">
            <v>42291</v>
          </cell>
          <cell r="C257">
            <v>121.401</v>
          </cell>
          <cell r="G257">
            <v>161.96</v>
          </cell>
          <cell r="I257">
            <v>157.09229999999999</v>
          </cell>
          <cell r="J257">
            <v>165.8946</v>
          </cell>
          <cell r="L257">
            <v>103.56823000000001</v>
          </cell>
          <cell r="M257">
            <v>100.45546</v>
          </cell>
          <cell r="N257">
            <v>106.08429000000001</v>
          </cell>
        </row>
        <row r="258">
          <cell r="B258">
            <v>42290</v>
          </cell>
          <cell r="C258">
            <v>249.02</v>
          </cell>
          <cell r="G258">
            <v>163.52000000000001</v>
          </cell>
          <cell r="I258">
            <v>169.28660000000002</v>
          </cell>
          <cell r="J258">
            <v>166.76520000000002</v>
          </cell>
          <cell r="L258">
            <v>104.56580000000001</v>
          </cell>
          <cell r="M258">
            <v>108.25333000000001</v>
          </cell>
          <cell r="N258">
            <v>106.64100000000001</v>
          </cell>
        </row>
        <row r="259">
          <cell r="B259">
            <v>42289</v>
          </cell>
          <cell r="C259">
            <v>141.59899999999999</v>
          </cell>
          <cell r="G259">
            <v>164.26</v>
          </cell>
          <cell r="I259">
            <v>155.5763</v>
          </cell>
          <cell r="J259">
            <v>167.71100000000001</v>
          </cell>
          <cell r="L259">
            <v>105.039</v>
          </cell>
          <cell r="M259">
            <v>99.486070000000012</v>
          </cell>
          <cell r="N259">
            <v>107.24583000000001</v>
          </cell>
        </row>
        <row r="260">
          <cell r="B260">
            <v>42286</v>
          </cell>
          <cell r="C260">
            <v>229.58199999999999</v>
          </cell>
          <cell r="G260">
            <v>163.59</v>
          </cell>
          <cell r="I260">
            <v>165.9736</v>
          </cell>
          <cell r="J260">
            <v>167.51170000000002</v>
          </cell>
          <cell r="L260">
            <v>104.61057000000001</v>
          </cell>
          <cell r="M260">
            <v>106.13482</v>
          </cell>
          <cell r="N260">
            <v>107.11837000000001</v>
          </cell>
        </row>
        <row r="261">
          <cell r="B261">
            <v>42285</v>
          </cell>
          <cell r="C261">
            <v>201.70500000000001</v>
          </cell>
          <cell r="G261">
            <v>162.64000000000001</v>
          </cell>
          <cell r="I261">
            <v>165.9659</v>
          </cell>
          <cell r="J261">
            <v>167.31050000000002</v>
          </cell>
          <cell r="L261">
            <v>104.00306</v>
          </cell>
          <cell r="M261">
            <v>106.12985</v>
          </cell>
          <cell r="N261">
            <v>106.98972000000001</v>
          </cell>
        </row>
        <row r="262">
          <cell r="B262">
            <v>42284</v>
          </cell>
          <cell r="C262">
            <v>240.261</v>
          </cell>
          <cell r="G262">
            <v>161.70000000000002</v>
          </cell>
          <cell r="I262">
            <v>165.5652</v>
          </cell>
          <cell r="J262">
            <v>166.02620000000002</v>
          </cell>
          <cell r="L262">
            <v>103.40196</v>
          </cell>
          <cell r="M262">
            <v>105.87363000000001</v>
          </cell>
          <cell r="N262">
            <v>106.16846000000001</v>
          </cell>
        </row>
        <row r="263">
          <cell r="B263">
            <v>42283</v>
          </cell>
          <cell r="C263">
            <v>303.68299999999999</v>
          </cell>
          <cell r="G263">
            <v>160.63</v>
          </cell>
          <cell r="I263">
            <v>164.44159999999999</v>
          </cell>
          <cell r="J263">
            <v>164.72499999999999</v>
          </cell>
          <cell r="L263">
            <v>102.71774000000001</v>
          </cell>
          <cell r="M263">
            <v>105.15514</v>
          </cell>
          <cell r="N263">
            <v>105.33638000000001</v>
          </cell>
        </row>
        <row r="264">
          <cell r="B264">
            <v>42282</v>
          </cell>
          <cell r="C264">
            <v>261.49299999999999</v>
          </cell>
          <cell r="G264">
            <v>161.01</v>
          </cell>
          <cell r="I264">
            <v>164.7697</v>
          </cell>
          <cell r="J264">
            <v>165.04850000000002</v>
          </cell>
          <cell r="L264">
            <v>102.96073000000001</v>
          </cell>
          <cell r="M264">
            <v>105.36494</v>
          </cell>
          <cell r="N264">
            <v>105.5432</v>
          </cell>
        </row>
        <row r="265">
          <cell r="B265">
            <v>42279</v>
          </cell>
          <cell r="C265">
            <v>220.08500000000001</v>
          </cell>
          <cell r="G265">
            <v>161.38</v>
          </cell>
          <cell r="I265">
            <v>163.399</v>
          </cell>
          <cell r="J265">
            <v>162.1377</v>
          </cell>
          <cell r="L265">
            <v>103.19733000000001</v>
          </cell>
          <cell r="M265">
            <v>104.48842</v>
          </cell>
          <cell r="N265">
            <v>103.68184000000001</v>
          </cell>
        </row>
        <row r="266">
          <cell r="B266">
            <v>42278</v>
          </cell>
          <cell r="C266">
            <v>282.767</v>
          </cell>
          <cell r="G266">
            <v>159.95000000000002</v>
          </cell>
          <cell r="I266">
            <v>163.56120000000001</v>
          </cell>
          <cell r="J266">
            <v>159.8963</v>
          </cell>
          <cell r="L266">
            <v>102.28289000000001</v>
          </cell>
          <cell r="M266">
            <v>104.59216000000001</v>
          </cell>
          <cell r="N266">
            <v>102.24854000000001</v>
          </cell>
        </row>
        <row r="267">
          <cell r="B267">
            <v>42277</v>
          </cell>
          <cell r="C267">
            <v>360.46100000000001</v>
          </cell>
          <cell r="G267">
            <v>159.81</v>
          </cell>
          <cell r="I267">
            <v>162.98430000000002</v>
          </cell>
          <cell r="J267">
            <v>159.5033</v>
          </cell>
          <cell r="L267">
            <v>102.19337</v>
          </cell>
          <cell r="M267">
            <v>104.22323000000002</v>
          </cell>
          <cell r="N267">
            <v>101.99723</v>
          </cell>
        </row>
        <row r="268">
          <cell r="B268">
            <v>42276</v>
          </cell>
          <cell r="C268">
            <v>409.63900000000001</v>
          </cell>
          <cell r="G268">
            <v>156.06</v>
          </cell>
          <cell r="I268">
            <v>146.46960000000001</v>
          </cell>
          <cell r="J268">
            <v>156.54920000000001</v>
          </cell>
          <cell r="L268">
            <v>99.795360000000002</v>
          </cell>
          <cell r="M268">
            <v>93.662610000000001</v>
          </cell>
          <cell r="N268">
            <v>100.10822</v>
          </cell>
        </row>
        <row r="269">
          <cell r="B269">
            <v>42275</v>
          </cell>
          <cell r="C269">
            <v>244.42400000000001</v>
          </cell>
          <cell r="G269">
            <v>156.38</v>
          </cell>
          <cell r="I269">
            <v>156.38</v>
          </cell>
          <cell r="J269">
            <v>156.38</v>
          </cell>
          <cell r="L269">
            <v>100</v>
          </cell>
          <cell r="M269">
            <v>100</v>
          </cell>
          <cell r="N269">
            <v>100</v>
          </cell>
        </row>
        <row r="270">
          <cell r="B270"/>
          <cell r="C270"/>
          <cell r="G270"/>
          <cell r="I270"/>
          <cell r="J270"/>
          <cell r="L270"/>
          <cell r="M270"/>
          <cell r="N270"/>
        </row>
        <row r="271">
          <cell r="B271"/>
          <cell r="C271"/>
          <cell r="G271"/>
          <cell r="I271"/>
          <cell r="J271"/>
          <cell r="L271"/>
          <cell r="M271"/>
          <cell r="N271"/>
        </row>
        <row r="272">
          <cell r="B272"/>
          <cell r="C272"/>
          <cell r="G272"/>
          <cell r="I272"/>
          <cell r="J272"/>
          <cell r="L272"/>
          <cell r="M272"/>
          <cell r="N272"/>
        </row>
        <row r="273">
          <cell r="B273"/>
          <cell r="C273"/>
          <cell r="G273"/>
          <cell r="I273"/>
          <cell r="J273"/>
          <cell r="L273"/>
          <cell r="M273"/>
          <cell r="N273"/>
        </row>
        <row r="274">
          <cell r="B274"/>
          <cell r="C274"/>
          <cell r="G274"/>
          <cell r="I274"/>
          <cell r="J274"/>
          <cell r="L274"/>
          <cell r="M274"/>
          <cell r="N274"/>
        </row>
        <row r="275">
          <cell r="B275"/>
          <cell r="C275"/>
          <cell r="G275"/>
          <cell r="I275"/>
          <cell r="J275"/>
          <cell r="L275"/>
          <cell r="M275"/>
          <cell r="N275"/>
        </row>
        <row r="276">
          <cell r="B276"/>
          <cell r="C276"/>
          <cell r="G276"/>
          <cell r="I276"/>
          <cell r="J276"/>
          <cell r="L276"/>
          <cell r="M276"/>
          <cell r="N276"/>
        </row>
        <row r="277">
          <cell r="B277"/>
          <cell r="C277"/>
          <cell r="G277"/>
          <cell r="I277"/>
          <cell r="J277"/>
          <cell r="L277"/>
          <cell r="M277"/>
          <cell r="N277"/>
        </row>
        <row r="278">
          <cell r="B278"/>
          <cell r="C278"/>
          <cell r="G278"/>
          <cell r="I278"/>
          <cell r="J278"/>
          <cell r="L278"/>
          <cell r="M278"/>
          <cell r="N278"/>
        </row>
        <row r="279">
          <cell r="B279"/>
          <cell r="C279"/>
          <cell r="G279"/>
          <cell r="I279"/>
          <cell r="J279"/>
          <cell r="L279"/>
          <cell r="M279"/>
          <cell r="N279"/>
        </row>
        <row r="280">
          <cell r="B280"/>
          <cell r="C280"/>
          <cell r="G280"/>
          <cell r="I280"/>
          <cell r="J280"/>
          <cell r="L280"/>
          <cell r="M280"/>
          <cell r="N280"/>
        </row>
        <row r="281">
          <cell r="B281"/>
          <cell r="C281"/>
          <cell r="G281"/>
          <cell r="I281"/>
          <cell r="J281"/>
          <cell r="L281"/>
          <cell r="M281"/>
          <cell r="N281"/>
        </row>
        <row r="282">
          <cell r="B282"/>
          <cell r="C282"/>
          <cell r="G282"/>
          <cell r="I282"/>
          <cell r="J282"/>
          <cell r="L282"/>
          <cell r="M282"/>
          <cell r="N282"/>
        </row>
        <row r="283">
          <cell r="B283"/>
          <cell r="C283"/>
          <cell r="G283"/>
          <cell r="I283"/>
          <cell r="J283"/>
          <cell r="L283"/>
          <cell r="M283"/>
          <cell r="N283"/>
        </row>
        <row r="284">
          <cell r="B284"/>
          <cell r="C284"/>
          <cell r="G284"/>
          <cell r="I284"/>
          <cell r="J284"/>
          <cell r="L284"/>
          <cell r="M284"/>
          <cell r="N284"/>
        </row>
        <row r="285">
          <cell r="B285"/>
          <cell r="C285"/>
          <cell r="G285"/>
          <cell r="I285"/>
          <cell r="J285"/>
          <cell r="L285"/>
          <cell r="M285"/>
          <cell r="N285"/>
        </row>
        <row r="286">
          <cell r="B286"/>
          <cell r="C286"/>
          <cell r="G286"/>
          <cell r="I286"/>
          <cell r="J286"/>
          <cell r="L286"/>
          <cell r="M286"/>
          <cell r="N286"/>
        </row>
        <row r="287">
          <cell r="B287"/>
          <cell r="C287"/>
          <cell r="G287"/>
          <cell r="I287"/>
          <cell r="J287"/>
          <cell r="L287"/>
          <cell r="M287"/>
          <cell r="N287"/>
        </row>
        <row r="288">
          <cell r="B288"/>
          <cell r="C288"/>
          <cell r="G288"/>
          <cell r="I288"/>
          <cell r="J288"/>
          <cell r="L288"/>
          <cell r="M288"/>
          <cell r="N288"/>
        </row>
        <row r="289">
          <cell r="B289"/>
          <cell r="C289"/>
          <cell r="G289"/>
          <cell r="I289"/>
          <cell r="J289"/>
          <cell r="L289"/>
          <cell r="M289"/>
          <cell r="N289"/>
        </row>
        <row r="290">
          <cell r="B290"/>
          <cell r="C290"/>
          <cell r="G290"/>
          <cell r="I290"/>
          <cell r="J290"/>
          <cell r="L290"/>
          <cell r="M290"/>
          <cell r="N290"/>
        </row>
        <row r="291">
          <cell r="B291"/>
          <cell r="C291"/>
          <cell r="G291"/>
          <cell r="I291"/>
          <cell r="J291"/>
          <cell r="L291"/>
          <cell r="M291"/>
          <cell r="N291"/>
        </row>
        <row r="292">
          <cell r="B292"/>
          <cell r="C292"/>
          <cell r="G292"/>
          <cell r="I292"/>
          <cell r="J292"/>
          <cell r="L292"/>
          <cell r="M292"/>
          <cell r="N292"/>
        </row>
        <row r="293">
          <cell r="B293"/>
          <cell r="C293"/>
          <cell r="G293"/>
          <cell r="I293"/>
          <cell r="J293"/>
          <cell r="L293"/>
          <cell r="M293"/>
          <cell r="N293"/>
        </row>
        <row r="294">
          <cell r="B294"/>
          <cell r="C294"/>
          <cell r="G294"/>
          <cell r="I294"/>
          <cell r="J294"/>
          <cell r="L294"/>
          <cell r="M294"/>
          <cell r="N294"/>
        </row>
        <row r="295">
          <cell r="B295"/>
          <cell r="C295"/>
          <cell r="G295"/>
          <cell r="I295"/>
          <cell r="J295"/>
          <cell r="L295"/>
          <cell r="M295"/>
          <cell r="N295"/>
        </row>
        <row r="296">
          <cell r="B296"/>
          <cell r="C296"/>
          <cell r="G296"/>
          <cell r="I296"/>
          <cell r="J296"/>
          <cell r="L296"/>
          <cell r="M296"/>
          <cell r="N296"/>
        </row>
        <row r="297">
          <cell r="B297"/>
          <cell r="C297"/>
          <cell r="G297"/>
          <cell r="I297"/>
          <cell r="J297"/>
          <cell r="L297"/>
          <cell r="M297"/>
          <cell r="N297"/>
        </row>
        <row r="298">
          <cell r="B298"/>
          <cell r="C298"/>
          <cell r="G298"/>
          <cell r="I298"/>
          <cell r="J298"/>
          <cell r="L298"/>
          <cell r="M298"/>
          <cell r="N298"/>
        </row>
        <row r="299">
          <cell r="B299"/>
          <cell r="C299"/>
          <cell r="G299"/>
          <cell r="I299"/>
          <cell r="J299"/>
          <cell r="L299"/>
          <cell r="M299"/>
          <cell r="N299"/>
        </row>
        <row r="300">
          <cell r="B300"/>
          <cell r="C300"/>
          <cell r="G300"/>
          <cell r="I300"/>
          <cell r="J300"/>
          <cell r="L300"/>
          <cell r="M300"/>
          <cell r="N300"/>
        </row>
        <row r="301">
          <cell r="B301"/>
          <cell r="C301"/>
          <cell r="G301"/>
          <cell r="I301"/>
          <cell r="J301"/>
          <cell r="L301"/>
          <cell r="M301"/>
          <cell r="N301"/>
        </row>
        <row r="302">
          <cell r="B302"/>
          <cell r="C302"/>
          <cell r="G302"/>
          <cell r="I302"/>
          <cell r="J302"/>
          <cell r="L302"/>
          <cell r="M302"/>
          <cell r="N302"/>
        </row>
        <row r="303">
          <cell r="B303"/>
          <cell r="C303"/>
          <cell r="G303"/>
          <cell r="I303"/>
          <cell r="J303"/>
          <cell r="L303"/>
          <cell r="M303"/>
          <cell r="N303"/>
        </row>
        <row r="304">
          <cell r="B304"/>
          <cell r="C304"/>
          <cell r="G304"/>
          <cell r="I304"/>
          <cell r="J304"/>
          <cell r="L304"/>
          <cell r="M304"/>
          <cell r="N304"/>
        </row>
        <row r="305">
          <cell r="B305"/>
          <cell r="C305"/>
          <cell r="G305"/>
          <cell r="I305"/>
          <cell r="J305"/>
          <cell r="L305"/>
          <cell r="M305"/>
          <cell r="N305"/>
        </row>
        <row r="306">
          <cell r="B306"/>
          <cell r="C306"/>
          <cell r="G306"/>
          <cell r="I306"/>
          <cell r="J306"/>
          <cell r="L306"/>
          <cell r="M306"/>
          <cell r="N306"/>
        </row>
        <row r="307">
          <cell r="B307"/>
          <cell r="C307"/>
          <cell r="G307"/>
          <cell r="I307"/>
          <cell r="J307"/>
          <cell r="L307"/>
          <cell r="M307"/>
          <cell r="N307"/>
        </row>
        <row r="308">
          <cell r="B308"/>
          <cell r="C308"/>
          <cell r="G308"/>
          <cell r="I308"/>
          <cell r="J308"/>
          <cell r="L308"/>
          <cell r="M308"/>
          <cell r="N308"/>
        </row>
        <row r="309">
          <cell r="B309"/>
          <cell r="C309"/>
          <cell r="G309"/>
          <cell r="I309"/>
          <cell r="J309"/>
          <cell r="L309"/>
          <cell r="M309"/>
          <cell r="N309"/>
        </row>
        <row r="310">
          <cell r="B310"/>
          <cell r="C310"/>
          <cell r="G310"/>
          <cell r="I310"/>
          <cell r="J310"/>
          <cell r="L310"/>
          <cell r="M310"/>
          <cell r="N310"/>
        </row>
        <row r="311">
          <cell r="B311"/>
          <cell r="C311"/>
          <cell r="G311"/>
          <cell r="I311"/>
          <cell r="J311"/>
          <cell r="L311"/>
          <cell r="M311"/>
          <cell r="N311"/>
        </row>
        <row r="312">
          <cell r="B312"/>
          <cell r="C312"/>
          <cell r="G312"/>
          <cell r="I312"/>
          <cell r="J312"/>
          <cell r="L312"/>
          <cell r="M312"/>
          <cell r="N312"/>
        </row>
        <row r="313">
          <cell r="B313"/>
          <cell r="C313"/>
          <cell r="G313"/>
          <cell r="I313"/>
          <cell r="J313"/>
          <cell r="L313"/>
          <cell r="M313"/>
          <cell r="N313"/>
        </row>
        <row r="314">
          <cell r="B314"/>
          <cell r="C314"/>
          <cell r="G314"/>
          <cell r="I314"/>
          <cell r="J314"/>
          <cell r="L314"/>
          <cell r="M314"/>
          <cell r="N314"/>
        </row>
        <row r="315">
          <cell r="B315"/>
          <cell r="C315"/>
          <cell r="G315"/>
          <cell r="I315"/>
          <cell r="J315"/>
          <cell r="L315"/>
          <cell r="M315"/>
          <cell r="N315"/>
        </row>
        <row r="316">
          <cell r="B316"/>
          <cell r="C316"/>
          <cell r="G316"/>
          <cell r="I316"/>
          <cell r="J316"/>
          <cell r="L316"/>
          <cell r="M316"/>
          <cell r="N316"/>
        </row>
        <row r="317">
          <cell r="B317"/>
          <cell r="C317"/>
          <cell r="G317"/>
          <cell r="I317"/>
          <cell r="J317"/>
          <cell r="L317"/>
          <cell r="M317"/>
          <cell r="N317"/>
        </row>
        <row r="318">
          <cell r="B318"/>
          <cell r="C318"/>
          <cell r="G318"/>
          <cell r="I318"/>
          <cell r="J318"/>
          <cell r="L318"/>
          <cell r="M318"/>
          <cell r="N318"/>
        </row>
        <row r="319">
          <cell r="B319"/>
          <cell r="C319"/>
          <cell r="G319"/>
          <cell r="I319"/>
          <cell r="J319"/>
          <cell r="L319"/>
          <cell r="M319"/>
          <cell r="N319"/>
        </row>
        <row r="320">
          <cell r="B320"/>
          <cell r="C320"/>
          <cell r="G320"/>
          <cell r="I320"/>
          <cell r="J320"/>
          <cell r="L320"/>
          <cell r="M320"/>
          <cell r="N320"/>
        </row>
        <row r="321">
          <cell r="B321"/>
          <cell r="C321"/>
          <cell r="G321"/>
          <cell r="I321"/>
          <cell r="J321"/>
          <cell r="L321"/>
          <cell r="M321"/>
          <cell r="N321"/>
        </row>
        <row r="322">
          <cell r="B322"/>
          <cell r="C322"/>
          <cell r="G322"/>
          <cell r="I322"/>
          <cell r="J322"/>
          <cell r="L322"/>
          <cell r="M322"/>
          <cell r="N322"/>
        </row>
        <row r="323">
          <cell r="B323"/>
          <cell r="C323"/>
          <cell r="G323"/>
          <cell r="I323"/>
          <cell r="J323"/>
          <cell r="L323"/>
          <cell r="M323"/>
          <cell r="N323"/>
        </row>
        <row r="324">
          <cell r="B324"/>
          <cell r="C324"/>
          <cell r="G324"/>
          <cell r="I324"/>
          <cell r="J324"/>
          <cell r="L324"/>
          <cell r="M324"/>
          <cell r="N324"/>
        </row>
        <row r="325">
          <cell r="B325"/>
          <cell r="C325"/>
          <cell r="G325"/>
          <cell r="I325"/>
          <cell r="J325"/>
          <cell r="L325"/>
          <cell r="M325"/>
          <cell r="N325"/>
        </row>
        <row r="326">
          <cell r="B326"/>
          <cell r="C326"/>
          <cell r="G326"/>
          <cell r="I326"/>
          <cell r="J326"/>
          <cell r="L326"/>
          <cell r="M326"/>
          <cell r="N326"/>
        </row>
        <row r="327">
          <cell r="B327"/>
          <cell r="C327"/>
          <cell r="G327"/>
          <cell r="I327"/>
          <cell r="J327"/>
          <cell r="L327"/>
          <cell r="M327"/>
          <cell r="N327"/>
        </row>
        <row r="328">
          <cell r="B328"/>
          <cell r="C328"/>
          <cell r="G328"/>
          <cell r="I328"/>
          <cell r="J328"/>
          <cell r="L328"/>
          <cell r="M328"/>
          <cell r="N328"/>
        </row>
        <row r="329">
          <cell r="B329"/>
          <cell r="C329"/>
          <cell r="G329"/>
          <cell r="I329"/>
          <cell r="J329"/>
          <cell r="L329"/>
          <cell r="M329"/>
          <cell r="N329"/>
        </row>
        <row r="330">
          <cell r="B330"/>
          <cell r="C330"/>
          <cell r="G330"/>
          <cell r="I330"/>
          <cell r="J330"/>
          <cell r="L330"/>
          <cell r="M330"/>
          <cell r="N330"/>
        </row>
        <row r="331">
          <cell r="B331"/>
          <cell r="C331"/>
          <cell r="G331"/>
          <cell r="I331"/>
          <cell r="J331"/>
          <cell r="L331"/>
          <cell r="M331"/>
          <cell r="N331"/>
        </row>
        <row r="332">
          <cell r="B332"/>
          <cell r="C332"/>
          <cell r="G332"/>
          <cell r="I332"/>
          <cell r="J332"/>
          <cell r="L332"/>
          <cell r="M332"/>
          <cell r="N332"/>
        </row>
        <row r="333">
          <cell r="B333"/>
          <cell r="C333"/>
          <cell r="G333"/>
          <cell r="I333"/>
          <cell r="J333"/>
          <cell r="L333"/>
          <cell r="M333"/>
          <cell r="N333"/>
        </row>
        <row r="334">
          <cell r="B334"/>
          <cell r="C334"/>
          <cell r="G334"/>
          <cell r="I334"/>
          <cell r="J334"/>
          <cell r="L334"/>
          <cell r="M334"/>
          <cell r="N334"/>
        </row>
        <row r="335">
          <cell r="B335"/>
          <cell r="C335"/>
          <cell r="G335"/>
          <cell r="I335"/>
          <cell r="J335"/>
          <cell r="L335"/>
          <cell r="M335"/>
          <cell r="N335"/>
        </row>
        <row r="336">
          <cell r="B336"/>
          <cell r="C336"/>
          <cell r="G336"/>
          <cell r="I336"/>
          <cell r="J336"/>
          <cell r="L336"/>
          <cell r="M336"/>
          <cell r="N336"/>
        </row>
        <row r="337">
          <cell r="B337"/>
          <cell r="C337"/>
          <cell r="G337"/>
          <cell r="I337"/>
          <cell r="J337"/>
          <cell r="L337"/>
          <cell r="M337"/>
          <cell r="N337"/>
        </row>
        <row r="338">
          <cell r="B338"/>
          <cell r="C338"/>
          <cell r="G338"/>
          <cell r="I338"/>
          <cell r="J338"/>
          <cell r="L338"/>
          <cell r="M338"/>
          <cell r="N338"/>
        </row>
        <row r="339">
          <cell r="B339"/>
          <cell r="C339"/>
          <cell r="G339"/>
          <cell r="I339"/>
          <cell r="J339"/>
          <cell r="L339"/>
          <cell r="M339"/>
          <cell r="N339"/>
        </row>
        <row r="340">
          <cell r="B340"/>
          <cell r="C340"/>
          <cell r="G340"/>
          <cell r="I340"/>
          <cell r="J340"/>
          <cell r="L340"/>
          <cell r="M340"/>
          <cell r="N340"/>
        </row>
        <row r="341">
          <cell r="B341"/>
          <cell r="C341"/>
          <cell r="G341"/>
          <cell r="I341"/>
          <cell r="J341"/>
          <cell r="L341"/>
          <cell r="M341"/>
          <cell r="N341"/>
        </row>
        <row r="342">
          <cell r="B342"/>
          <cell r="C342"/>
          <cell r="G342"/>
          <cell r="I342"/>
          <cell r="J342"/>
          <cell r="L342"/>
          <cell r="M342"/>
          <cell r="N342"/>
        </row>
        <row r="343">
          <cell r="B343"/>
          <cell r="C343"/>
          <cell r="G343"/>
          <cell r="I343"/>
          <cell r="J343"/>
          <cell r="L343"/>
          <cell r="M343"/>
          <cell r="N343"/>
        </row>
        <row r="344">
          <cell r="B344"/>
          <cell r="C344"/>
          <cell r="G344"/>
          <cell r="I344"/>
          <cell r="J344"/>
          <cell r="L344"/>
          <cell r="M344"/>
          <cell r="N344"/>
        </row>
        <row r="345">
          <cell r="B345"/>
          <cell r="C345"/>
          <cell r="G345"/>
          <cell r="I345"/>
          <cell r="J345"/>
          <cell r="L345"/>
          <cell r="M345"/>
          <cell r="N345"/>
        </row>
        <row r="346">
          <cell r="B346"/>
          <cell r="C346"/>
          <cell r="G346"/>
          <cell r="I346"/>
          <cell r="J346"/>
          <cell r="L346"/>
          <cell r="M346"/>
          <cell r="N346"/>
        </row>
        <row r="347">
          <cell r="B347"/>
          <cell r="C347"/>
          <cell r="G347"/>
          <cell r="I347"/>
          <cell r="J347"/>
          <cell r="L347"/>
          <cell r="M347"/>
          <cell r="N347"/>
        </row>
        <row r="348">
          <cell r="B348"/>
          <cell r="C348"/>
          <cell r="G348"/>
          <cell r="I348"/>
          <cell r="J348"/>
          <cell r="L348"/>
          <cell r="M348"/>
          <cell r="N348"/>
        </row>
        <row r="349">
          <cell r="B349"/>
          <cell r="C349"/>
          <cell r="G349"/>
          <cell r="I349"/>
          <cell r="J349"/>
          <cell r="L349"/>
          <cell r="M349"/>
          <cell r="N349"/>
        </row>
        <row r="350">
          <cell r="B350"/>
          <cell r="C350"/>
          <cell r="G350"/>
          <cell r="I350"/>
          <cell r="J350"/>
          <cell r="L350"/>
          <cell r="M350"/>
          <cell r="N350"/>
        </row>
        <row r="351">
          <cell r="B351"/>
          <cell r="C351"/>
          <cell r="G351"/>
          <cell r="I351"/>
          <cell r="J351"/>
          <cell r="L351"/>
          <cell r="M351"/>
          <cell r="N351"/>
        </row>
        <row r="352">
          <cell r="B352"/>
          <cell r="C352"/>
          <cell r="G352"/>
          <cell r="I352"/>
          <cell r="J352"/>
          <cell r="L352"/>
          <cell r="M352"/>
          <cell r="N352"/>
        </row>
        <row r="353">
          <cell r="B353"/>
          <cell r="C353"/>
          <cell r="G353"/>
          <cell r="I353"/>
          <cell r="J353"/>
          <cell r="L353"/>
          <cell r="M353"/>
          <cell r="N353"/>
        </row>
        <row r="354">
          <cell r="B354"/>
          <cell r="C354"/>
          <cell r="G354"/>
          <cell r="I354"/>
          <cell r="J354"/>
          <cell r="L354"/>
          <cell r="M354"/>
          <cell r="N354"/>
        </row>
        <row r="355">
          <cell r="B355"/>
          <cell r="C355"/>
          <cell r="G355"/>
          <cell r="I355"/>
          <cell r="J355"/>
          <cell r="L355"/>
          <cell r="M355"/>
          <cell r="N355"/>
        </row>
        <row r="356">
          <cell r="B356"/>
          <cell r="C356"/>
          <cell r="G356"/>
          <cell r="I356"/>
          <cell r="J356"/>
          <cell r="L356"/>
          <cell r="M356"/>
          <cell r="N356"/>
        </row>
        <row r="357">
          <cell r="B357"/>
          <cell r="C357"/>
          <cell r="G357"/>
          <cell r="I357"/>
          <cell r="J357"/>
          <cell r="L357"/>
          <cell r="M357"/>
          <cell r="N357"/>
        </row>
        <row r="358">
          <cell r="B358"/>
          <cell r="C358"/>
          <cell r="G358"/>
          <cell r="I358"/>
          <cell r="J358"/>
          <cell r="L358"/>
          <cell r="M358"/>
          <cell r="N358"/>
        </row>
        <row r="359">
          <cell r="B359"/>
          <cell r="C359"/>
          <cell r="G359"/>
          <cell r="I359"/>
          <cell r="J359"/>
          <cell r="L359"/>
          <cell r="M359"/>
          <cell r="N359"/>
        </row>
        <row r="360">
          <cell r="B360"/>
          <cell r="C360"/>
          <cell r="G360"/>
          <cell r="I360"/>
          <cell r="J360"/>
          <cell r="L360"/>
          <cell r="M360"/>
          <cell r="N360"/>
        </row>
        <row r="361">
          <cell r="B361"/>
          <cell r="C361"/>
          <cell r="G361"/>
          <cell r="I361"/>
          <cell r="J361"/>
          <cell r="L361"/>
          <cell r="M361"/>
          <cell r="N361"/>
        </row>
        <row r="362">
          <cell r="B362"/>
          <cell r="C362"/>
          <cell r="G362"/>
          <cell r="I362"/>
          <cell r="J362"/>
          <cell r="L362"/>
          <cell r="M362"/>
          <cell r="N362"/>
        </row>
        <row r="363">
          <cell r="B363"/>
          <cell r="C363"/>
          <cell r="G363"/>
          <cell r="I363"/>
          <cell r="J363"/>
          <cell r="L363"/>
          <cell r="M363"/>
          <cell r="N363"/>
        </row>
        <row r="364">
          <cell r="B364"/>
          <cell r="C364"/>
          <cell r="G364"/>
          <cell r="I364"/>
          <cell r="J364"/>
          <cell r="L364"/>
          <cell r="M364"/>
          <cell r="N364"/>
        </row>
        <row r="365">
          <cell r="B365"/>
          <cell r="C365"/>
          <cell r="G365"/>
          <cell r="I365"/>
          <cell r="J365"/>
          <cell r="L365"/>
          <cell r="M365"/>
          <cell r="N365"/>
        </row>
        <row r="366">
          <cell r="B366"/>
          <cell r="C366"/>
          <cell r="G366"/>
          <cell r="I366"/>
          <cell r="J366"/>
          <cell r="L366"/>
          <cell r="M366"/>
          <cell r="N366"/>
        </row>
        <row r="367">
          <cell r="B367"/>
          <cell r="C367"/>
          <cell r="G367"/>
          <cell r="I367"/>
          <cell r="J367"/>
          <cell r="L367"/>
          <cell r="M367"/>
          <cell r="N367"/>
        </row>
        <row r="368">
          <cell r="B368"/>
          <cell r="C368"/>
          <cell r="G368"/>
          <cell r="I368"/>
          <cell r="J368"/>
          <cell r="L368"/>
          <cell r="M368"/>
          <cell r="N368"/>
        </row>
        <row r="369">
          <cell r="B369"/>
          <cell r="C369"/>
          <cell r="G369"/>
          <cell r="I369"/>
          <cell r="J369"/>
          <cell r="L369"/>
          <cell r="M369"/>
          <cell r="N369"/>
        </row>
        <row r="370">
          <cell r="B370"/>
          <cell r="C370"/>
          <cell r="G370"/>
          <cell r="I370"/>
          <cell r="J370"/>
          <cell r="L370"/>
          <cell r="M370"/>
          <cell r="N370"/>
        </row>
        <row r="371">
          <cell r="B371"/>
          <cell r="C371"/>
          <cell r="G371"/>
          <cell r="I371"/>
          <cell r="J371"/>
          <cell r="L371"/>
          <cell r="M371"/>
          <cell r="N371"/>
        </row>
        <row r="372">
          <cell r="B372"/>
          <cell r="C372"/>
          <cell r="G372"/>
          <cell r="I372"/>
          <cell r="J372"/>
          <cell r="L372"/>
          <cell r="M372"/>
          <cell r="N372"/>
        </row>
        <row r="373">
          <cell r="B373"/>
          <cell r="C373"/>
          <cell r="G373"/>
          <cell r="I373"/>
          <cell r="J373"/>
          <cell r="L373"/>
          <cell r="M373"/>
          <cell r="N373"/>
        </row>
        <row r="374">
          <cell r="B374"/>
          <cell r="C374"/>
          <cell r="G374"/>
          <cell r="I374"/>
          <cell r="J374"/>
          <cell r="L374"/>
          <cell r="M374"/>
          <cell r="N374"/>
        </row>
        <row r="375">
          <cell r="B375"/>
          <cell r="C375"/>
          <cell r="G375"/>
          <cell r="I375"/>
          <cell r="J375"/>
          <cell r="L375"/>
          <cell r="M375"/>
          <cell r="N375"/>
        </row>
        <row r="376">
          <cell r="B376"/>
          <cell r="C376"/>
          <cell r="G376"/>
          <cell r="I376"/>
          <cell r="J376"/>
          <cell r="L376"/>
          <cell r="M376"/>
          <cell r="N376"/>
        </row>
        <row r="377">
          <cell r="B377"/>
          <cell r="C377"/>
          <cell r="G377"/>
          <cell r="I377"/>
          <cell r="J377"/>
          <cell r="L377"/>
          <cell r="M377"/>
          <cell r="N377"/>
        </row>
        <row r="378">
          <cell r="B378"/>
          <cell r="C378"/>
          <cell r="G378"/>
          <cell r="I378"/>
          <cell r="J378"/>
          <cell r="L378"/>
          <cell r="M378"/>
          <cell r="N378"/>
        </row>
        <row r="379">
          <cell r="B379"/>
          <cell r="C379"/>
          <cell r="G379"/>
          <cell r="I379"/>
          <cell r="J379"/>
          <cell r="L379"/>
          <cell r="M379"/>
          <cell r="N379"/>
        </row>
        <row r="380">
          <cell r="B380"/>
          <cell r="C380"/>
          <cell r="G380"/>
          <cell r="I380"/>
          <cell r="J380"/>
          <cell r="L380"/>
          <cell r="M380"/>
          <cell r="N380"/>
        </row>
        <row r="381">
          <cell r="B381"/>
          <cell r="C381"/>
          <cell r="G381"/>
          <cell r="I381"/>
          <cell r="J381"/>
          <cell r="L381"/>
          <cell r="M381"/>
          <cell r="N381"/>
        </row>
        <row r="382">
          <cell r="B382"/>
          <cell r="C382"/>
          <cell r="G382"/>
          <cell r="I382"/>
          <cell r="J382"/>
          <cell r="L382"/>
          <cell r="M382"/>
          <cell r="N382"/>
        </row>
        <row r="383">
          <cell r="B383"/>
          <cell r="C383"/>
          <cell r="G383"/>
          <cell r="I383"/>
          <cell r="J383"/>
          <cell r="L383"/>
          <cell r="M383"/>
          <cell r="N383"/>
        </row>
        <row r="384">
          <cell r="B384"/>
          <cell r="C384"/>
          <cell r="G384"/>
          <cell r="I384"/>
          <cell r="J384"/>
          <cell r="L384"/>
          <cell r="M384"/>
          <cell r="N384"/>
        </row>
        <row r="385">
          <cell r="B385"/>
          <cell r="C385"/>
          <cell r="G385"/>
          <cell r="I385"/>
          <cell r="J385"/>
          <cell r="L385"/>
          <cell r="M385"/>
          <cell r="N385"/>
        </row>
        <row r="386">
          <cell r="B386"/>
          <cell r="C386"/>
          <cell r="G386"/>
          <cell r="I386"/>
          <cell r="J386"/>
          <cell r="L386"/>
          <cell r="M386"/>
          <cell r="N386"/>
        </row>
        <row r="387">
          <cell r="B387"/>
          <cell r="C387"/>
          <cell r="G387"/>
          <cell r="I387"/>
          <cell r="J387"/>
          <cell r="L387"/>
          <cell r="M387"/>
          <cell r="N387"/>
        </row>
        <row r="388">
          <cell r="B388"/>
          <cell r="C388"/>
          <cell r="G388"/>
          <cell r="I388"/>
          <cell r="J388"/>
          <cell r="L388"/>
          <cell r="M388"/>
          <cell r="N388"/>
        </row>
        <row r="389">
          <cell r="B389"/>
          <cell r="C389"/>
          <cell r="G389"/>
          <cell r="I389"/>
          <cell r="J389"/>
          <cell r="L389"/>
          <cell r="M389"/>
          <cell r="N389"/>
        </row>
        <row r="390">
          <cell r="B390"/>
          <cell r="C390"/>
          <cell r="G390"/>
          <cell r="I390"/>
          <cell r="J390"/>
          <cell r="L390"/>
          <cell r="M390"/>
          <cell r="N390"/>
        </row>
        <row r="391">
          <cell r="B391"/>
          <cell r="C391"/>
          <cell r="G391"/>
          <cell r="I391"/>
          <cell r="J391"/>
          <cell r="L391"/>
          <cell r="M391"/>
          <cell r="N391"/>
        </row>
        <row r="392">
          <cell r="B392"/>
          <cell r="C392"/>
          <cell r="G392"/>
          <cell r="I392"/>
          <cell r="J392"/>
          <cell r="L392"/>
          <cell r="M392"/>
          <cell r="N392"/>
        </row>
        <row r="393">
          <cell r="B393"/>
          <cell r="C393"/>
          <cell r="G393"/>
          <cell r="I393"/>
          <cell r="J393"/>
          <cell r="L393"/>
          <cell r="M393"/>
          <cell r="N393"/>
        </row>
        <row r="394">
          <cell r="B394"/>
          <cell r="C394"/>
          <cell r="G394"/>
          <cell r="I394"/>
          <cell r="J394"/>
          <cell r="L394"/>
          <cell r="M394"/>
          <cell r="N394"/>
        </row>
        <row r="395">
          <cell r="B395"/>
          <cell r="C395"/>
          <cell r="G395"/>
          <cell r="I395"/>
          <cell r="J395"/>
          <cell r="L395"/>
          <cell r="M395"/>
          <cell r="N395"/>
        </row>
        <row r="396">
          <cell r="B396"/>
          <cell r="C396"/>
          <cell r="G396"/>
          <cell r="I396"/>
          <cell r="J396"/>
          <cell r="L396"/>
          <cell r="M396"/>
          <cell r="N396"/>
        </row>
        <row r="397">
          <cell r="B397"/>
          <cell r="C397"/>
          <cell r="G397"/>
          <cell r="I397"/>
          <cell r="J397"/>
          <cell r="L397"/>
          <cell r="M397"/>
          <cell r="N397"/>
        </row>
        <row r="398">
          <cell r="B398"/>
          <cell r="C398"/>
          <cell r="G398"/>
          <cell r="I398"/>
          <cell r="J398"/>
          <cell r="L398"/>
          <cell r="M398"/>
          <cell r="N398"/>
        </row>
        <row r="399">
          <cell r="B399"/>
          <cell r="C399"/>
          <cell r="G399"/>
          <cell r="I399"/>
          <cell r="J399"/>
          <cell r="L399"/>
          <cell r="M399"/>
          <cell r="N399"/>
        </row>
        <row r="400">
          <cell r="B400"/>
          <cell r="C400"/>
          <cell r="G400"/>
          <cell r="I400"/>
          <cell r="J400"/>
          <cell r="L400"/>
          <cell r="M400"/>
          <cell r="N400"/>
        </row>
        <row r="401">
          <cell r="B401"/>
          <cell r="C401"/>
          <cell r="G401"/>
          <cell r="I401"/>
          <cell r="J401"/>
          <cell r="L401"/>
          <cell r="M401"/>
          <cell r="N401"/>
        </row>
        <row r="402">
          <cell r="B402"/>
          <cell r="C402"/>
          <cell r="G402"/>
          <cell r="I402"/>
          <cell r="J402"/>
          <cell r="L402"/>
          <cell r="M402"/>
          <cell r="N402"/>
        </row>
        <row r="403">
          <cell r="B403"/>
          <cell r="C403"/>
          <cell r="G403"/>
          <cell r="I403"/>
          <cell r="J403"/>
          <cell r="L403"/>
          <cell r="M403"/>
          <cell r="N403"/>
        </row>
        <row r="404">
          <cell r="B404"/>
          <cell r="C404"/>
          <cell r="G404"/>
          <cell r="I404"/>
          <cell r="J404"/>
          <cell r="L404"/>
          <cell r="M404"/>
          <cell r="N404"/>
        </row>
        <row r="405">
          <cell r="B405"/>
          <cell r="C405"/>
          <cell r="G405"/>
          <cell r="I405"/>
          <cell r="J405"/>
          <cell r="L405"/>
          <cell r="M405"/>
          <cell r="N405"/>
        </row>
        <row r="406">
          <cell r="B406"/>
          <cell r="C406"/>
          <cell r="G406"/>
          <cell r="I406"/>
          <cell r="J406"/>
          <cell r="L406"/>
          <cell r="M406"/>
          <cell r="N406"/>
        </row>
        <row r="407">
          <cell r="B407"/>
          <cell r="C407"/>
          <cell r="G407"/>
          <cell r="I407"/>
          <cell r="J407"/>
          <cell r="L407"/>
          <cell r="M407"/>
          <cell r="N407"/>
        </row>
        <row r="408">
          <cell r="B408"/>
          <cell r="C408"/>
          <cell r="G408"/>
          <cell r="I408"/>
          <cell r="J408"/>
          <cell r="L408"/>
          <cell r="M408"/>
          <cell r="N408"/>
        </row>
        <row r="409">
          <cell r="B409"/>
          <cell r="C409"/>
          <cell r="G409"/>
          <cell r="I409"/>
          <cell r="J409"/>
          <cell r="L409"/>
          <cell r="M409"/>
          <cell r="N409"/>
        </row>
        <row r="410">
          <cell r="B410"/>
          <cell r="C410"/>
          <cell r="G410"/>
          <cell r="I410"/>
          <cell r="J410"/>
          <cell r="L410"/>
          <cell r="M410"/>
          <cell r="N410"/>
        </row>
        <row r="411">
          <cell r="B411"/>
          <cell r="C411"/>
          <cell r="G411"/>
          <cell r="I411"/>
          <cell r="J411"/>
          <cell r="L411"/>
          <cell r="M411"/>
          <cell r="N411"/>
        </row>
        <row r="412">
          <cell r="B412"/>
          <cell r="C412"/>
          <cell r="G412"/>
          <cell r="I412"/>
          <cell r="J412"/>
          <cell r="L412"/>
          <cell r="M412"/>
          <cell r="N412"/>
        </row>
        <row r="413">
          <cell r="B413"/>
          <cell r="C413"/>
          <cell r="G413"/>
          <cell r="I413"/>
          <cell r="J413"/>
          <cell r="L413"/>
          <cell r="M413"/>
          <cell r="N413"/>
        </row>
        <row r="414">
          <cell r="B414"/>
          <cell r="C414"/>
          <cell r="G414"/>
          <cell r="I414"/>
          <cell r="J414"/>
          <cell r="L414"/>
          <cell r="M414"/>
          <cell r="N414"/>
        </row>
        <row r="415">
          <cell r="B415"/>
          <cell r="C415"/>
          <cell r="G415"/>
          <cell r="I415"/>
          <cell r="J415"/>
          <cell r="L415"/>
          <cell r="M415"/>
          <cell r="N415"/>
        </row>
        <row r="416">
          <cell r="B416"/>
          <cell r="C416"/>
          <cell r="G416"/>
          <cell r="I416"/>
          <cell r="J416"/>
          <cell r="L416"/>
          <cell r="M416"/>
          <cell r="N416"/>
        </row>
        <row r="417">
          <cell r="B417"/>
          <cell r="C417"/>
          <cell r="G417"/>
          <cell r="I417"/>
          <cell r="J417"/>
          <cell r="L417"/>
          <cell r="M417"/>
          <cell r="N417"/>
        </row>
        <row r="418">
          <cell r="B418"/>
          <cell r="C418"/>
          <cell r="G418"/>
          <cell r="I418"/>
          <cell r="J418"/>
          <cell r="L418"/>
          <cell r="M418"/>
          <cell r="N418"/>
        </row>
        <row r="419">
          <cell r="B419"/>
          <cell r="C419"/>
          <cell r="G419"/>
          <cell r="I419"/>
          <cell r="J419"/>
          <cell r="L419"/>
          <cell r="M419"/>
          <cell r="N419"/>
        </row>
        <row r="420">
          <cell r="B420"/>
          <cell r="C420"/>
          <cell r="G420"/>
          <cell r="I420"/>
          <cell r="J420"/>
          <cell r="L420"/>
          <cell r="M420"/>
          <cell r="N420"/>
        </row>
        <row r="421">
          <cell r="B421"/>
          <cell r="C421"/>
          <cell r="G421"/>
          <cell r="I421"/>
          <cell r="J421"/>
          <cell r="L421"/>
          <cell r="M421"/>
          <cell r="N421"/>
        </row>
        <row r="422">
          <cell r="B422"/>
          <cell r="C422"/>
          <cell r="G422"/>
          <cell r="I422"/>
          <cell r="J422"/>
          <cell r="L422"/>
          <cell r="M422"/>
          <cell r="N422"/>
        </row>
        <row r="423">
          <cell r="B423"/>
          <cell r="C423"/>
          <cell r="G423"/>
          <cell r="I423"/>
          <cell r="J423"/>
          <cell r="L423"/>
          <cell r="M423"/>
          <cell r="N423"/>
        </row>
        <row r="424">
          <cell r="B424"/>
          <cell r="C424"/>
          <cell r="G424"/>
          <cell r="I424"/>
          <cell r="J424"/>
          <cell r="L424"/>
          <cell r="M424"/>
          <cell r="N424"/>
        </row>
        <row r="425">
          <cell r="B425"/>
          <cell r="C425"/>
          <cell r="G425"/>
          <cell r="I425"/>
          <cell r="J425"/>
          <cell r="L425"/>
          <cell r="M425"/>
          <cell r="N425"/>
        </row>
        <row r="426">
          <cell r="B426"/>
          <cell r="C426"/>
          <cell r="G426"/>
          <cell r="I426"/>
          <cell r="J426"/>
          <cell r="L426"/>
          <cell r="M426"/>
          <cell r="N426"/>
        </row>
        <row r="427">
          <cell r="B427"/>
          <cell r="C427"/>
          <cell r="G427"/>
          <cell r="I427"/>
          <cell r="J427"/>
          <cell r="L427"/>
          <cell r="M427"/>
          <cell r="N427"/>
        </row>
        <row r="428">
          <cell r="B428"/>
          <cell r="C428"/>
          <cell r="G428"/>
          <cell r="I428"/>
          <cell r="J428"/>
          <cell r="L428"/>
          <cell r="M428"/>
          <cell r="N428"/>
        </row>
        <row r="429">
          <cell r="B429"/>
          <cell r="C429"/>
          <cell r="G429"/>
          <cell r="I429"/>
          <cell r="J429"/>
          <cell r="L429"/>
          <cell r="M429"/>
          <cell r="N429"/>
        </row>
        <row r="430">
          <cell r="B430"/>
          <cell r="C430"/>
          <cell r="G430"/>
          <cell r="I430"/>
          <cell r="J430"/>
          <cell r="L430"/>
          <cell r="M430"/>
          <cell r="N430"/>
        </row>
        <row r="431">
          <cell r="B431"/>
          <cell r="C431"/>
          <cell r="G431"/>
          <cell r="I431"/>
          <cell r="J431"/>
          <cell r="L431"/>
          <cell r="M431"/>
          <cell r="N431"/>
        </row>
        <row r="432">
          <cell r="B432"/>
          <cell r="C432"/>
          <cell r="G432"/>
          <cell r="I432"/>
          <cell r="J432"/>
          <cell r="L432"/>
          <cell r="M432"/>
          <cell r="N432"/>
        </row>
        <row r="433">
          <cell r="B433"/>
          <cell r="C433"/>
          <cell r="G433"/>
          <cell r="I433"/>
          <cell r="J433"/>
          <cell r="L433"/>
          <cell r="M433"/>
          <cell r="N433"/>
        </row>
        <row r="434">
          <cell r="B434"/>
          <cell r="C434"/>
          <cell r="G434"/>
          <cell r="I434"/>
          <cell r="J434"/>
          <cell r="L434"/>
          <cell r="M434"/>
          <cell r="N434"/>
        </row>
        <row r="435">
          <cell r="B435"/>
          <cell r="C435"/>
          <cell r="G435"/>
          <cell r="I435"/>
          <cell r="J435"/>
          <cell r="L435"/>
          <cell r="M435"/>
          <cell r="N435"/>
        </row>
        <row r="436">
          <cell r="B436"/>
          <cell r="C436"/>
          <cell r="G436"/>
          <cell r="I436"/>
          <cell r="J436"/>
          <cell r="L436"/>
          <cell r="M436"/>
          <cell r="N436"/>
        </row>
        <row r="437">
          <cell r="B437"/>
          <cell r="C437"/>
          <cell r="G437"/>
          <cell r="I437"/>
          <cell r="J437"/>
          <cell r="L437"/>
          <cell r="M437"/>
          <cell r="N437"/>
        </row>
        <row r="438">
          <cell r="B438"/>
          <cell r="C438"/>
          <cell r="G438"/>
          <cell r="I438"/>
          <cell r="J438"/>
          <cell r="L438"/>
          <cell r="M438"/>
          <cell r="N438"/>
        </row>
        <row r="439">
          <cell r="B439"/>
          <cell r="C439"/>
          <cell r="G439"/>
          <cell r="I439"/>
          <cell r="J439"/>
          <cell r="L439"/>
          <cell r="M439"/>
          <cell r="N439"/>
        </row>
        <row r="440">
          <cell r="B440"/>
          <cell r="C440"/>
          <cell r="G440"/>
          <cell r="I440"/>
          <cell r="J440"/>
          <cell r="L440"/>
          <cell r="M440"/>
          <cell r="N440"/>
        </row>
        <row r="441">
          <cell r="B441"/>
          <cell r="C441"/>
          <cell r="G441"/>
          <cell r="I441"/>
          <cell r="J441"/>
          <cell r="L441"/>
          <cell r="M441"/>
          <cell r="N441"/>
        </row>
        <row r="442">
          <cell r="B442"/>
          <cell r="C442"/>
          <cell r="G442"/>
          <cell r="I442"/>
          <cell r="J442"/>
          <cell r="L442"/>
          <cell r="M442"/>
          <cell r="N442"/>
        </row>
        <row r="443">
          <cell r="B443"/>
          <cell r="C443"/>
          <cell r="G443"/>
          <cell r="I443"/>
          <cell r="J443"/>
          <cell r="L443"/>
          <cell r="M443"/>
          <cell r="N443"/>
        </row>
        <row r="444">
          <cell r="B444"/>
          <cell r="C444"/>
          <cell r="G444"/>
          <cell r="I444"/>
          <cell r="J444"/>
          <cell r="L444"/>
          <cell r="M444"/>
          <cell r="N444"/>
        </row>
        <row r="445">
          <cell r="B445"/>
          <cell r="C445"/>
          <cell r="G445"/>
          <cell r="I445"/>
          <cell r="J445"/>
          <cell r="L445"/>
          <cell r="M445"/>
          <cell r="N445"/>
        </row>
        <row r="446">
          <cell r="B446"/>
          <cell r="C446"/>
          <cell r="G446"/>
          <cell r="I446"/>
          <cell r="J446"/>
          <cell r="L446"/>
          <cell r="M446"/>
          <cell r="N446"/>
        </row>
        <row r="447">
          <cell r="B447"/>
          <cell r="C447"/>
          <cell r="G447"/>
          <cell r="I447"/>
          <cell r="J447"/>
          <cell r="L447"/>
          <cell r="M447"/>
          <cell r="N447"/>
        </row>
        <row r="448">
          <cell r="B448"/>
          <cell r="C448"/>
          <cell r="G448"/>
          <cell r="I448"/>
          <cell r="J448"/>
          <cell r="L448"/>
          <cell r="M448"/>
          <cell r="N448"/>
        </row>
        <row r="449">
          <cell r="B449"/>
          <cell r="C449"/>
          <cell r="G449"/>
          <cell r="I449"/>
          <cell r="J449"/>
          <cell r="L449"/>
          <cell r="M449"/>
          <cell r="N449"/>
        </row>
        <row r="450">
          <cell r="B450"/>
          <cell r="C450"/>
          <cell r="G450"/>
          <cell r="I450"/>
          <cell r="J450"/>
          <cell r="L450"/>
          <cell r="M450"/>
          <cell r="N450"/>
        </row>
        <row r="451">
          <cell r="B451"/>
          <cell r="C451"/>
          <cell r="G451"/>
          <cell r="I451"/>
          <cell r="J451"/>
          <cell r="L451"/>
          <cell r="M451"/>
          <cell r="N451"/>
        </row>
        <row r="452">
          <cell r="B452"/>
          <cell r="C452"/>
          <cell r="G452"/>
          <cell r="I452"/>
          <cell r="J452"/>
          <cell r="L452"/>
          <cell r="M452"/>
          <cell r="N452"/>
        </row>
        <row r="453">
          <cell r="B453"/>
          <cell r="C453"/>
          <cell r="G453"/>
          <cell r="I453"/>
          <cell r="J453"/>
          <cell r="L453"/>
          <cell r="M453"/>
          <cell r="N453"/>
        </row>
        <row r="454">
          <cell r="B454"/>
          <cell r="C454"/>
          <cell r="G454"/>
          <cell r="I454"/>
          <cell r="J454"/>
          <cell r="L454"/>
          <cell r="M454"/>
          <cell r="N454"/>
        </row>
        <row r="455">
          <cell r="B455"/>
          <cell r="C455"/>
          <cell r="G455"/>
          <cell r="I455"/>
          <cell r="J455"/>
          <cell r="L455"/>
          <cell r="M455"/>
          <cell r="N455"/>
        </row>
        <row r="456">
          <cell r="B456"/>
          <cell r="C456"/>
          <cell r="G456"/>
          <cell r="I456"/>
          <cell r="J456"/>
          <cell r="L456"/>
          <cell r="M456"/>
          <cell r="N456"/>
        </row>
        <row r="457">
          <cell r="B457"/>
          <cell r="C457"/>
          <cell r="G457"/>
          <cell r="I457"/>
          <cell r="J457"/>
          <cell r="L457"/>
          <cell r="M457"/>
          <cell r="N457"/>
        </row>
        <row r="458">
          <cell r="B458"/>
          <cell r="C458"/>
          <cell r="G458"/>
          <cell r="I458"/>
          <cell r="J458"/>
          <cell r="L458"/>
          <cell r="M458"/>
          <cell r="N458"/>
        </row>
        <row r="459">
          <cell r="B459"/>
          <cell r="C459"/>
          <cell r="G459"/>
          <cell r="I459"/>
          <cell r="J459"/>
          <cell r="L459"/>
          <cell r="M459"/>
          <cell r="N459"/>
        </row>
        <row r="460">
          <cell r="B460"/>
          <cell r="C460"/>
          <cell r="G460"/>
          <cell r="I460"/>
          <cell r="J460"/>
          <cell r="L460"/>
          <cell r="M460"/>
          <cell r="N460"/>
        </row>
        <row r="461">
          <cell r="B461"/>
          <cell r="C461"/>
          <cell r="G461"/>
          <cell r="I461"/>
          <cell r="J461"/>
          <cell r="L461"/>
          <cell r="M461"/>
          <cell r="N461"/>
        </row>
        <row r="462">
          <cell r="B462"/>
          <cell r="C462"/>
          <cell r="G462"/>
          <cell r="I462"/>
          <cell r="J462"/>
          <cell r="L462"/>
          <cell r="M462"/>
          <cell r="N462"/>
        </row>
        <row r="463">
          <cell r="B463"/>
          <cell r="C463"/>
          <cell r="G463"/>
          <cell r="I463"/>
          <cell r="J463"/>
          <cell r="L463"/>
          <cell r="M463"/>
          <cell r="N463"/>
        </row>
        <row r="464">
          <cell r="B464"/>
          <cell r="C464"/>
          <cell r="G464"/>
          <cell r="I464"/>
          <cell r="J464"/>
          <cell r="L464"/>
          <cell r="M464"/>
          <cell r="N464"/>
        </row>
        <row r="465">
          <cell r="B465"/>
          <cell r="C465"/>
          <cell r="G465"/>
          <cell r="I465"/>
          <cell r="J465"/>
          <cell r="L465"/>
          <cell r="M465"/>
          <cell r="N465"/>
        </row>
        <row r="466">
          <cell r="B466"/>
          <cell r="C466"/>
          <cell r="G466"/>
          <cell r="I466"/>
          <cell r="J466"/>
          <cell r="L466"/>
          <cell r="M466"/>
          <cell r="N466"/>
        </row>
        <row r="467">
          <cell r="B467"/>
          <cell r="C467"/>
          <cell r="G467"/>
          <cell r="I467"/>
          <cell r="J467"/>
          <cell r="L467"/>
          <cell r="M467"/>
          <cell r="N467"/>
        </row>
        <row r="468">
          <cell r="B468"/>
          <cell r="C468"/>
          <cell r="G468"/>
          <cell r="I468"/>
          <cell r="J468"/>
          <cell r="L468"/>
          <cell r="M468"/>
          <cell r="N468"/>
        </row>
        <row r="469">
          <cell r="B469"/>
          <cell r="C469"/>
          <cell r="G469"/>
          <cell r="I469"/>
          <cell r="J469"/>
          <cell r="L469"/>
          <cell r="M469"/>
          <cell r="N469"/>
        </row>
        <row r="470">
          <cell r="B470"/>
          <cell r="C470"/>
          <cell r="G470"/>
          <cell r="I470"/>
          <cell r="J470"/>
          <cell r="L470"/>
          <cell r="M470"/>
          <cell r="N470"/>
        </row>
        <row r="471">
          <cell r="B471"/>
          <cell r="C471"/>
          <cell r="G471"/>
          <cell r="I471"/>
          <cell r="J471"/>
          <cell r="L471"/>
          <cell r="M471"/>
          <cell r="N471"/>
        </row>
        <row r="472">
          <cell r="B472"/>
          <cell r="C472"/>
          <cell r="G472"/>
          <cell r="I472"/>
          <cell r="J472"/>
          <cell r="L472"/>
          <cell r="M472"/>
          <cell r="N472"/>
        </row>
        <row r="473">
          <cell r="B473"/>
          <cell r="C473"/>
          <cell r="G473"/>
          <cell r="I473"/>
          <cell r="J473"/>
          <cell r="L473"/>
          <cell r="M473"/>
          <cell r="N473"/>
        </row>
        <row r="474">
          <cell r="B474"/>
          <cell r="C474"/>
          <cell r="G474"/>
          <cell r="I474"/>
          <cell r="J474"/>
          <cell r="L474"/>
          <cell r="M474"/>
          <cell r="N474"/>
        </row>
        <row r="475">
          <cell r="B475"/>
          <cell r="C475"/>
          <cell r="G475"/>
          <cell r="I475"/>
          <cell r="J475"/>
          <cell r="L475"/>
          <cell r="M475"/>
          <cell r="N475"/>
        </row>
        <row r="476">
          <cell r="B476"/>
          <cell r="C476"/>
          <cell r="G476"/>
          <cell r="I476"/>
          <cell r="J476"/>
          <cell r="L476"/>
          <cell r="M476"/>
          <cell r="N476"/>
        </row>
        <row r="477">
          <cell r="B477"/>
          <cell r="C477"/>
          <cell r="G477"/>
          <cell r="I477"/>
          <cell r="J477"/>
          <cell r="L477"/>
          <cell r="M477"/>
          <cell r="N477"/>
        </row>
        <row r="478">
          <cell r="B478"/>
          <cell r="C478"/>
          <cell r="G478"/>
          <cell r="I478"/>
          <cell r="J478"/>
          <cell r="L478"/>
          <cell r="M478"/>
          <cell r="N478"/>
        </row>
        <row r="479">
          <cell r="B479"/>
          <cell r="C479"/>
          <cell r="G479"/>
          <cell r="I479"/>
          <cell r="J479"/>
          <cell r="L479"/>
          <cell r="M479"/>
          <cell r="N479"/>
        </row>
        <row r="480">
          <cell r="B480"/>
          <cell r="C480"/>
          <cell r="G480"/>
          <cell r="I480"/>
          <cell r="J480"/>
          <cell r="L480"/>
          <cell r="M480"/>
          <cell r="N480"/>
        </row>
        <row r="481">
          <cell r="B481"/>
          <cell r="C481"/>
          <cell r="G481"/>
          <cell r="I481"/>
          <cell r="J481"/>
          <cell r="L481"/>
          <cell r="M481"/>
          <cell r="N481"/>
        </row>
        <row r="482">
          <cell r="B482"/>
          <cell r="C482"/>
          <cell r="G482"/>
          <cell r="I482"/>
          <cell r="J482"/>
          <cell r="L482"/>
          <cell r="M482"/>
          <cell r="N482"/>
        </row>
        <row r="483">
          <cell r="B483"/>
          <cell r="C483"/>
          <cell r="G483"/>
          <cell r="I483"/>
          <cell r="J483"/>
          <cell r="L483"/>
          <cell r="M483"/>
          <cell r="N483"/>
        </row>
        <row r="484">
          <cell r="B484"/>
          <cell r="C484"/>
          <cell r="G484"/>
          <cell r="I484"/>
          <cell r="J484"/>
          <cell r="L484"/>
          <cell r="M484"/>
          <cell r="N484"/>
        </row>
        <row r="485">
          <cell r="B485"/>
          <cell r="C485"/>
          <cell r="G485"/>
          <cell r="I485"/>
          <cell r="J485"/>
          <cell r="L485"/>
          <cell r="M485"/>
          <cell r="N485"/>
        </row>
        <row r="486">
          <cell r="B486"/>
          <cell r="C486"/>
          <cell r="G486"/>
          <cell r="I486"/>
          <cell r="J486"/>
          <cell r="L486"/>
          <cell r="M486"/>
          <cell r="N486"/>
        </row>
        <row r="487">
          <cell r="B487"/>
          <cell r="C487"/>
          <cell r="G487"/>
          <cell r="I487"/>
          <cell r="J487"/>
          <cell r="L487"/>
          <cell r="M487"/>
          <cell r="N487"/>
        </row>
        <row r="488">
          <cell r="B488"/>
          <cell r="C488"/>
          <cell r="G488"/>
          <cell r="I488"/>
          <cell r="J488"/>
          <cell r="L488"/>
          <cell r="M488"/>
          <cell r="N488"/>
        </row>
        <row r="489">
          <cell r="B489"/>
          <cell r="C489"/>
          <cell r="G489"/>
          <cell r="I489"/>
          <cell r="J489"/>
          <cell r="L489"/>
          <cell r="M489"/>
          <cell r="N489"/>
        </row>
        <row r="490">
          <cell r="B490"/>
          <cell r="C490"/>
          <cell r="G490"/>
          <cell r="I490"/>
          <cell r="J490"/>
          <cell r="L490"/>
          <cell r="M490"/>
          <cell r="N490"/>
        </row>
        <row r="491">
          <cell r="B491"/>
          <cell r="C491"/>
          <cell r="G491"/>
          <cell r="I491"/>
          <cell r="J491"/>
          <cell r="L491"/>
          <cell r="M491"/>
          <cell r="N491"/>
        </row>
        <row r="492">
          <cell r="B492"/>
          <cell r="C492"/>
          <cell r="G492"/>
          <cell r="I492"/>
          <cell r="J492"/>
          <cell r="L492"/>
          <cell r="M492"/>
          <cell r="N492"/>
        </row>
        <row r="493">
          <cell r="B493"/>
          <cell r="C493"/>
          <cell r="G493"/>
          <cell r="I493"/>
          <cell r="J493"/>
          <cell r="L493"/>
          <cell r="M493"/>
          <cell r="N493"/>
        </row>
        <row r="494">
          <cell r="B494"/>
          <cell r="C494"/>
          <cell r="G494"/>
          <cell r="I494"/>
          <cell r="J494"/>
          <cell r="L494"/>
          <cell r="M494"/>
          <cell r="N494"/>
        </row>
        <row r="495">
          <cell r="B495"/>
          <cell r="C495"/>
          <cell r="G495"/>
          <cell r="I495"/>
          <cell r="J495"/>
          <cell r="L495"/>
          <cell r="M495"/>
          <cell r="N495"/>
        </row>
        <row r="496">
          <cell r="B496"/>
          <cell r="C496"/>
          <cell r="G496"/>
          <cell r="I496"/>
          <cell r="J496"/>
          <cell r="L496"/>
          <cell r="M496"/>
          <cell r="N496"/>
        </row>
        <row r="497">
          <cell r="B497"/>
          <cell r="C497"/>
          <cell r="G497"/>
          <cell r="I497"/>
          <cell r="J497"/>
          <cell r="L497"/>
          <cell r="M497"/>
          <cell r="N497"/>
        </row>
        <row r="498">
          <cell r="B498"/>
          <cell r="C498"/>
          <cell r="G498"/>
          <cell r="I498"/>
          <cell r="J498"/>
          <cell r="L498"/>
          <cell r="M498"/>
          <cell r="N498"/>
        </row>
        <row r="499">
          <cell r="B499"/>
          <cell r="C499"/>
          <cell r="G499"/>
          <cell r="I499"/>
          <cell r="J499"/>
          <cell r="L499"/>
          <cell r="M499"/>
          <cell r="N499"/>
        </row>
        <row r="500">
          <cell r="B500"/>
          <cell r="C500"/>
          <cell r="G500"/>
          <cell r="I500"/>
          <cell r="J500"/>
          <cell r="L500"/>
          <cell r="M500"/>
          <cell r="N500"/>
        </row>
        <row r="501">
          <cell r="B501"/>
          <cell r="C501"/>
          <cell r="G501"/>
          <cell r="I501"/>
          <cell r="J501"/>
          <cell r="L501"/>
          <cell r="M501"/>
          <cell r="N501"/>
        </row>
        <row r="502">
          <cell r="B502"/>
          <cell r="C502"/>
          <cell r="G502"/>
          <cell r="I502"/>
          <cell r="J502"/>
          <cell r="L502"/>
          <cell r="M502"/>
          <cell r="N502"/>
        </row>
        <row r="503">
          <cell r="B503"/>
          <cell r="C503"/>
          <cell r="G503"/>
          <cell r="I503"/>
          <cell r="J503"/>
          <cell r="L503"/>
          <cell r="M503"/>
          <cell r="N503"/>
        </row>
        <row r="504">
          <cell r="B504"/>
          <cell r="C504"/>
          <cell r="G504"/>
          <cell r="I504"/>
          <cell r="J504"/>
          <cell r="L504"/>
          <cell r="M504"/>
          <cell r="N504"/>
        </row>
        <row r="505">
          <cell r="B505"/>
          <cell r="C505"/>
          <cell r="G505"/>
          <cell r="I505"/>
          <cell r="J505"/>
          <cell r="L505"/>
          <cell r="M505"/>
          <cell r="N505"/>
        </row>
        <row r="506">
          <cell r="B506"/>
          <cell r="C506"/>
          <cell r="G506"/>
          <cell r="I506"/>
          <cell r="J506"/>
          <cell r="L506"/>
          <cell r="M506"/>
          <cell r="N506"/>
        </row>
        <row r="507">
          <cell r="B507"/>
          <cell r="C507"/>
          <cell r="G507"/>
          <cell r="I507"/>
          <cell r="J507"/>
          <cell r="L507"/>
          <cell r="M507"/>
          <cell r="N507"/>
        </row>
        <row r="508">
          <cell r="B508"/>
          <cell r="C508"/>
          <cell r="G508"/>
          <cell r="I508"/>
          <cell r="J508"/>
          <cell r="L508"/>
          <cell r="M508"/>
          <cell r="N508"/>
        </row>
        <row r="509">
          <cell r="B509"/>
          <cell r="C509"/>
          <cell r="G509"/>
          <cell r="I509"/>
          <cell r="J509"/>
          <cell r="L509"/>
          <cell r="M509"/>
          <cell r="N509"/>
        </row>
        <row r="510">
          <cell r="B510"/>
          <cell r="C510"/>
          <cell r="G510"/>
          <cell r="I510"/>
          <cell r="J510"/>
          <cell r="L510"/>
          <cell r="M510"/>
          <cell r="N510"/>
        </row>
        <row r="511">
          <cell r="B511"/>
          <cell r="C511"/>
          <cell r="G511"/>
          <cell r="I511"/>
          <cell r="J511"/>
          <cell r="L511"/>
          <cell r="M511"/>
          <cell r="N511"/>
        </row>
        <row r="512">
          <cell r="B512"/>
          <cell r="C512"/>
          <cell r="G512"/>
          <cell r="I512"/>
          <cell r="J512"/>
          <cell r="L512"/>
          <cell r="M512"/>
          <cell r="N512"/>
        </row>
        <row r="513">
          <cell r="B513"/>
          <cell r="C513"/>
          <cell r="G513"/>
          <cell r="I513"/>
          <cell r="J513"/>
          <cell r="L513"/>
          <cell r="M513"/>
          <cell r="N513"/>
        </row>
        <row r="514">
          <cell r="B514"/>
          <cell r="C514"/>
          <cell r="G514"/>
          <cell r="I514"/>
          <cell r="J514"/>
          <cell r="L514"/>
          <cell r="M514"/>
          <cell r="N514"/>
        </row>
        <row r="515">
          <cell r="B515"/>
          <cell r="C515"/>
          <cell r="G515"/>
          <cell r="I515"/>
          <cell r="J515"/>
          <cell r="L515"/>
          <cell r="M515"/>
          <cell r="N515"/>
        </row>
        <row r="516">
          <cell r="B516"/>
          <cell r="C516"/>
          <cell r="G516"/>
          <cell r="I516"/>
          <cell r="J516"/>
          <cell r="L516"/>
          <cell r="M516"/>
          <cell r="N516"/>
        </row>
        <row r="517">
          <cell r="B517"/>
          <cell r="C517"/>
          <cell r="G517"/>
          <cell r="I517"/>
          <cell r="J517"/>
          <cell r="L517"/>
          <cell r="M517"/>
          <cell r="N517"/>
        </row>
        <row r="518">
          <cell r="B518"/>
          <cell r="C518"/>
          <cell r="G518"/>
          <cell r="I518"/>
          <cell r="J518"/>
          <cell r="L518"/>
          <cell r="M518"/>
          <cell r="N518"/>
        </row>
        <row r="519">
          <cell r="B519"/>
          <cell r="C519"/>
          <cell r="G519"/>
          <cell r="I519"/>
          <cell r="J519"/>
          <cell r="L519"/>
          <cell r="M519"/>
          <cell r="N519"/>
        </row>
        <row r="520">
          <cell r="B520"/>
          <cell r="C520"/>
          <cell r="G520"/>
          <cell r="I520"/>
          <cell r="J520"/>
          <cell r="L520"/>
          <cell r="M520"/>
          <cell r="N520"/>
        </row>
        <row r="521">
          <cell r="B521"/>
          <cell r="C521"/>
          <cell r="G521"/>
          <cell r="I521"/>
          <cell r="J521"/>
          <cell r="L521"/>
          <cell r="M521"/>
          <cell r="N521"/>
        </row>
        <row r="522">
          <cell r="B522"/>
          <cell r="C522"/>
          <cell r="G522"/>
          <cell r="I522"/>
          <cell r="J522"/>
          <cell r="L522"/>
          <cell r="M522"/>
          <cell r="N522"/>
        </row>
        <row r="523">
          <cell r="B523"/>
          <cell r="C523"/>
          <cell r="G523"/>
          <cell r="I523"/>
          <cell r="J523"/>
          <cell r="L523"/>
          <cell r="M523"/>
          <cell r="N523"/>
        </row>
        <row r="524">
          <cell r="B524"/>
          <cell r="C524"/>
          <cell r="G524"/>
          <cell r="I524"/>
          <cell r="J524"/>
          <cell r="L524"/>
          <cell r="M524"/>
          <cell r="N524"/>
        </row>
        <row r="525">
          <cell r="B525"/>
          <cell r="C525"/>
          <cell r="G525"/>
          <cell r="I525"/>
          <cell r="J525"/>
          <cell r="L525"/>
          <cell r="M525"/>
          <cell r="N525"/>
        </row>
        <row r="526">
          <cell r="B526"/>
          <cell r="C526"/>
          <cell r="G526"/>
          <cell r="I526"/>
          <cell r="J526"/>
          <cell r="L526"/>
          <cell r="M526"/>
          <cell r="N526"/>
        </row>
        <row r="527">
          <cell r="B527"/>
          <cell r="C527"/>
          <cell r="G527"/>
          <cell r="I527"/>
          <cell r="J527"/>
          <cell r="L527"/>
          <cell r="M527"/>
          <cell r="N527"/>
        </row>
        <row r="528">
          <cell r="B528"/>
          <cell r="C528"/>
          <cell r="G528"/>
          <cell r="I528"/>
          <cell r="J528"/>
          <cell r="L528"/>
          <cell r="M528"/>
          <cell r="N528"/>
        </row>
        <row r="529">
          <cell r="B529"/>
          <cell r="C529"/>
          <cell r="G529"/>
          <cell r="I529"/>
          <cell r="J529"/>
          <cell r="L529"/>
          <cell r="M529"/>
          <cell r="N529"/>
        </row>
        <row r="530">
          <cell r="B530"/>
          <cell r="C530"/>
          <cell r="G530"/>
          <cell r="I530"/>
          <cell r="J530"/>
          <cell r="L530"/>
          <cell r="M530"/>
          <cell r="N530"/>
        </row>
        <row r="531">
          <cell r="B531"/>
          <cell r="C531"/>
          <cell r="G531"/>
          <cell r="I531"/>
          <cell r="J531"/>
          <cell r="L531"/>
          <cell r="M531"/>
          <cell r="N531"/>
        </row>
        <row r="532">
          <cell r="B532"/>
          <cell r="C532"/>
          <cell r="G532"/>
          <cell r="I532"/>
          <cell r="J532"/>
          <cell r="L532"/>
          <cell r="M532"/>
          <cell r="N532"/>
        </row>
        <row r="533">
          <cell r="B533"/>
          <cell r="C533"/>
          <cell r="G533"/>
          <cell r="I533"/>
          <cell r="J533"/>
          <cell r="L533"/>
          <cell r="M533"/>
          <cell r="N533"/>
        </row>
        <row r="534">
          <cell r="B534"/>
          <cell r="C534"/>
          <cell r="G534"/>
          <cell r="I534"/>
          <cell r="J534"/>
          <cell r="L534"/>
          <cell r="M534"/>
          <cell r="N534"/>
        </row>
        <row r="535">
          <cell r="B535"/>
          <cell r="C535"/>
          <cell r="G535"/>
          <cell r="I535"/>
          <cell r="J535"/>
          <cell r="L535"/>
          <cell r="M535"/>
          <cell r="N535"/>
        </row>
        <row r="536">
          <cell r="B536"/>
          <cell r="C536"/>
          <cell r="G536"/>
          <cell r="I536"/>
          <cell r="J536"/>
          <cell r="L536"/>
          <cell r="M536"/>
          <cell r="N536"/>
        </row>
        <row r="537">
          <cell r="B537"/>
          <cell r="C537"/>
          <cell r="G537"/>
          <cell r="I537"/>
          <cell r="J537"/>
          <cell r="L537"/>
          <cell r="M537"/>
          <cell r="N537"/>
        </row>
        <row r="538">
          <cell r="B538"/>
          <cell r="C538"/>
          <cell r="G538"/>
          <cell r="I538"/>
          <cell r="J538"/>
          <cell r="L538"/>
          <cell r="M538"/>
          <cell r="N538"/>
        </row>
        <row r="539">
          <cell r="B539"/>
          <cell r="C539"/>
          <cell r="G539"/>
          <cell r="I539"/>
          <cell r="J539"/>
          <cell r="L539"/>
          <cell r="M539"/>
          <cell r="N539"/>
        </row>
        <row r="540">
          <cell r="B540"/>
          <cell r="C540"/>
          <cell r="G540"/>
          <cell r="I540"/>
          <cell r="J540"/>
          <cell r="L540"/>
          <cell r="M540"/>
          <cell r="N540"/>
        </row>
        <row r="541">
          <cell r="B541"/>
          <cell r="C541"/>
          <cell r="G541"/>
          <cell r="I541"/>
          <cell r="J541"/>
          <cell r="L541"/>
          <cell r="M541"/>
          <cell r="N541"/>
        </row>
        <row r="542">
          <cell r="B542"/>
          <cell r="C542"/>
          <cell r="G542"/>
          <cell r="I542"/>
          <cell r="J542"/>
          <cell r="L542"/>
          <cell r="M542"/>
          <cell r="N542"/>
        </row>
        <row r="543">
          <cell r="B543"/>
          <cell r="C543"/>
          <cell r="G543"/>
          <cell r="I543"/>
          <cell r="J543"/>
          <cell r="L543"/>
          <cell r="M543"/>
          <cell r="N543"/>
        </row>
        <row r="544">
          <cell r="B544"/>
          <cell r="C544"/>
          <cell r="G544"/>
          <cell r="I544"/>
          <cell r="J544"/>
          <cell r="L544"/>
          <cell r="M544"/>
          <cell r="N544"/>
        </row>
        <row r="545">
          <cell r="B545"/>
          <cell r="C545"/>
          <cell r="G545"/>
          <cell r="I545"/>
          <cell r="J545"/>
          <cell r="L545"/>
          <cell r="M545"/>
          <cell r="N545"/>
        </row>
        <row r="546">
          <cell r="B546"/>
          <cell r="C546"/>
          <cell r="G546"/>
          <cell r="I546"/>
          <cell r="J546"/>
          <cell r="L546"/>
          <cell r="M546"/>
          <cell r="N546"/>
        </row>
        <row r="547">
          <cell r="B547"/>
          <cell r="C547"/>
          <cell r="G547"/>
          <cell r="I547"/>
          <cell r="J547"/>
          <cell r="L547"/>
          <cell r="M547"/>
          <cell r="N547"/>
        </row>
        <row r="548">
          <cell r="B548"/>
          <cell r="C548"/>
          <cell r="G548"/>
          <cell r="I548"/>
          <cell r="J548"/>
          <cell r="L548"/>
          <cell r="M548"/>
          <cell r="N548"/>
        </row>
        <row r="549">
          <cell r="B549"/>
          <cell r="C549"/>
          <cell r="G549"/>
          <cell r="I549"/>
          <cell r="J549"/>
          <cell r="L549"/>
          <cell r="M549"/>
          <cell r="N549"/>
        </row>
        <row r="550">
          <cell r="B550"/>
          <cell r="C550"/>
          <cell r="G550"/>
          <cell r="I550"/>
          <cell r="J550"/>
          <cell r="L550"/>
          <cell r="M550"/>
          <cell r="N550"/>
        </row>
        <row r="551">
          <cell r="B551"/>
          <cell r="C551"/>
          <cell r="G551"/>
          <cell r="I551"/>
          <cell r="J551"/>
          <cell r="L551"/>
          <cell r="M551"/>
          <cell r="N551"/>
        </row>
        <row r="552">
          <cell r="B552"/>
          <cell r="C552"/>
          <cell r="G552"/>
          <cell r="I552"/>
          <cell r="J552"/>
          <cell r="L552"/>
          <cell r="M552"/>
          <cell r="N552"/>
        </row>
        <row r="553">
          <cell r="B553"/>
          <cell r="C553"/>
          <cell r="G553"/>
          <cell r="I553"/>
          <cell r="J553"/>
          <cell r="L553"/>
          <cell r="M553"/>
          <cell r="N553"/>
        </row>
        <row r="554">
          <cell r="B554"/>
          <cell r="C554"/>
          <cell r="G554"/>
          <cell r="I554"/>
          <cell r="J554"/>
          <cell r="L554"/>
          <cell r="M554"/>
          <cell r="N554"/>
        </row>
        <row r="555">
          <cell r="B555"/>
          <cell r="C555"/>
          <cell r="G555"/>
          <cell r="I555"/>
          <cell r="J555"/>
          <cell r="L555"/>
          <cell r="M555"/>
          <cell r="N555"/>
        </row>
        <row r="556">
          <cell r="B556"/>
          <cell r="C556"/>
          <cell r="G556"/>
          <cell r="I556"/>
          <cell r="J556"/>
          <cell r="L556"/>
          <cell r="M556"/>
          <cell r="N556"/>
        </row>
        <row r="557">
          <cell r="B557"/>
          <cell r="C557"/>
          <cell r="G557"/>
          <cell r="I557"/>
          <cell r="J557"/>
          <cell r="L557"/>
          <cell r="M557"/>
          <cell r="N557"/>
        </row>
        <row r="558">
          <cell r="B558"/>
          <cell r="C558"/>
          <cell r="G558"/>
          <cell r="I558"/>
          <cell r="J558"/>
          <cell r="L558"/>
          <cell r="M558"/>
          <cell r="N558"/>
        </row>
        <row r="559">
          <cell r="B559"/>
          <cell r="C559"/>
          <cell r="G559"/>
          <cell r="I559"/>
          <cell r="J559"/>
          <cell r="L559"/>
          <cell r="M559"/>
          <cell r="N559"/>
        </row>
        <row r="560">
          <cell r="B560"/>
          <cell r="C560"/>
          <cell r="G560"/>
          <cell r="I560"/>
          <cell r="J560"/>
          <cell r="L560"/>
          <cell r="M560"/>
          <cell r="N560"/>
        </row>
        <row r="561">
          <cell r="B561"/>
          <cell r="C561"/>
          <cell r="G561"/>
          <cell r="I561"/>
          <cell r="J561"/>
          <cell r="L561"/>
          <cell r="M561"/>
          <cell r="N561"/>
        </row>
        <row r="562">
          <cell r="B562"/>
          <cell r="C562"/>
          <cell r="G562"/>
          <cell r="I562"/>
          <cell r="J562"/>
          <cell r="L562"/>
          <cell r="M562"/>
          <cell r="N562"/>
        </row>
        <row r="563">
          <cell r="B563"/>
          <cell r="C563"/>
          <cell r="G563"/>
          <cell r="I563"/>
          <cell r="J563"/>
          <cell r="L563"/>
          <cell r="M563"/>
          <cell r="N563"/>
        </row>
        <row r="564">
          <cell r="B564"/>
          <cell r="C564"/>
          <cell r="G564"/>
          <cell r="I564"/>
          <cell r="J564"/>
          <cell r="L564"/>
          <cell r="M564"/>
          <cell r="N564"/>
        </row>
        <row r="565">
          <cell r="B565"/>
          <cell r="C565"/>
          <cell r="G565"/>
          <cell r="I565"/>
          <cell r="J565"/>
          <cell r="L565"/>
          <cell r="M565"/>
          <cell r="N565"/>
        </row>
        <row r="566">
          <cell r="B566"/>
          <cell r="C566"/>
          <cell r="G566"/>
          <cell r="I566"/>
          <cell r="J566"/>
          <cell r="L566"/>
          <cell r="M566"/>
          <cell r="N566"/>
        </row>
        <row r="567">
          <cell r="B567"/>
          <cell r="C567"/>
          <cell r="G567"/>
          <cell r="I567"/>
          <cell r="J567"/>
          <cell r="L567"/>
          <cell r="M567"/>
          <cell r="N567"/>
        </row>
        <row r="568">
          <cell r="B568"/>
          <cell r="C568"/>
          <cell r="G568"/>
          <cell r="I568"/>
          <cell r="J568"/>
          <cell r="L568"/>
          <cell r="M568"/>
          <cell r="N568"/>
        </row>
        <row r="569">
          <cell r="B569"/>
          <cell r="C569"/>
          <cell r="G569"/>
          <cell r="I569"/>
          <cell r="J569"/>
          <cell r="L569"/>
          <cell r="M569"/>
          <cell r="N569"/>
        </row>
        <row r="570">
          <cell r="B570"/>
          <cell r="C570"/>
          <cell r="G570"/>
          <cell r="I570"/>
          <cell r="J570"/>
          <cell r="L570"/>
          <cell r="M570"/>
          <cell r="N570"/>
        </row>
        <row r="571">
          <cell r="B571"/>
          <cell r="C571"/>
          <cell r="G571"/>
          <cell r="I571"/>
          <cell r="J571"/>
          <cell r="L571"/>
          <cell r="M571"/>
          <cell r="N571"/>
        </row>
        <row r="572">
          <cell r="B572"/>
          <cell r="C572"/>
          <cell r="G572"/>
          <cell r="I572"/>
          <cell r="J572"/>
          <cell r="L572"/>
          <cell r="M572"/>
          <cell r="N572"/>
        </row>
        <row r="573">
          <cell r="B573"/>
          <cell r="C573"/>
          <cell r="G573"/>
          <cell r="I573"/>
          <cell r="J573"/>
          <cell r="L573"/>
          <cell r="M573"/>
          <cell r="N573"/>
        </row>
        <row r="574">
          <cell r="B574"/>
          <cell r="C574"/>
          <cell r="G574"/>
          <cell r="I574"/>
          <cell r="J574"/>
          <cell r="L574"/>
          <cell r="M574"/>
          <cell r="N574"/>
        </row>
        <row r="575">
          <cell r="B575"/>
          <cell r="C575"/>
          <cell r="G575"/>
          <cell r="I575"/>
          <cell r="J575"/>
          <cell r="L575"/>
          <cell r="M575"/>
          <cell r="N575"/>
        </row>
        <row r="576">
          <cell r="B576"/>
          <cell r="C576"/>
          <cell r="G576"/>
          <cell r="I576"/>
          <cell r="J576"/>
          <cell r="L576"/>
          <cell r="M576"/>
          <cell r="N576"/>
        </row>
        <row r="577">
          <cell r="B577"/>
          <cell r="C577"/>
          <cell r="G577"/>
          <cell r="I577"/>
          <cell r="J577"/>
          <cell r="L577"/>
          <cell r="M577"/>
          <cell r="N577"/>
        </row>
        <row r="578">
          <cell r="B578"/>
          <cell r="C578"/>
          <cell r="G578"/>
          <cell r="I578"/>
          <cell r="J578"/>
          <cell r="L578"/>
          <cell r="M578"/>
          <cell r="N578"/>
        </row>
        <row r="579">
          <cell r="B579"/>
          <cell r="C579"/>
          <cell r="G579"/>
          <cell r="I579"/>
          <cell r="J579"/>
          <cell r="L579"/>
          <cell r="M579"/>
          <cell r="N579"/>
        </row>
        <row r="580">
          <cell r="B580"/>
          <cell r="C580"/>
          <cell r="G580"/>
          <cell r="I580"/>
          <cell r="J580"/>
          <cell r="L580"/>
          <cell r="M580"/>
          <cell r="N580"/>
        </row>
        <row r="581">
          <cell r="B581"/>
          <cell r="C581"/>
          <cell r="G581"/>
          <cell r="I581"/>
          <cell r="J581"/>
          <cell r="L581"/>
          <cell r="M581"/>
          <cell r="N581"/>
        </row>
        <row r="582">
          <cell r="B582"/>
          <cell r="C582"/>
          <cell r="G582"/>
          <cell r="I582"/>
          <cell r="J582"/>
          <cell r="L582"/>
          <cell r="M582"/>
          <cell r="N582"/>
        </row>
        <row r="583">
          <cell r="B583"/>
          <cell r="C583"/>
          <cell r="G583"/>
          <cell r="I583"/>
          <cell r="J583"/>
          <cell r="L583"/>
          <cell r="M583"/>
          <cell r="N583"/>
        </row>
        <row r="584">
          <cell r="B584"/>
          <cell r="C584"/>
          <cell r="G584"/>
          <cell r="I584"/>
          <cell r="J584"/>
          <cell r="L584"/>
          <cell r="M584"/>
          <cell r="N584"/>
        </row>
        <row r="585">
          <cell r="B585"/>
          <cell r="C585"/>
          <cell r="G585"/>
          <cell r="I585"/>
          <cell r="J585"/>
          <cell r="L585"/>
          <cell r="M585"/>
          <cell r="N585"/>
        </row>
        <row r="586">
          <cell r="B586"/>
          <cell r="C586"/>
          <cell r="G586"/>
          <cell r="I586"/>
          <cell r="J586"/>
          <cell r="L586"/>
          <cell r="M586"/>
          <cell r="N586"/>
        </row>
        <row r="587">
          <cell r="B587"/>
          <cell r="C587"/>
          <cell r="G587"/>
          <cell r="I587"/>
          <cell r="J587"/>
          <cell r="L587"/>
          <cell r="M587"/>
          <cell r="N587"/>
        </row>
        <row r="588">
          <cell r="B588"/>
          <cell r="C588"/>
          <cell r="G588"/>
          <cell r="I588"/>
          <cell r="J588"/>
          <cell r="L588"/>
          <cell r="M588"/>
          <cell r="N588"/>
        </row>
        <row r="589">
          <cell r="B589"/>
          <cell r="C589"/>
          <cell r="G589"/>
          <cell r="I589"/>
          <cell r="J589"/>
          <cell r="L589"/>
          <cell r="M589"/>
          <cell r="N589"/>
        </row>
        <row r="590">
          <cell r="B590"/>
          <cell r="C590"/>
          <cell r="G590"/>
          <cell r="I590"/>
          <cell r="J590"/>
          <cell r="L590"/>
          <cell r="M590"/>
          <cell r="N590"/>
        </row>
        <row r="591">
          <cell r="B591"/>
          <cell r="C591"/>
          <cell r="G591"/>
          <cell r="I591"/>
          <cell r="J591"/>
          <cell r="L591"/>
          <cell r="M591"/>
          <cell r="N591"/>
        </row>
        <row r="592">
          <cell r="B592"/>
          <cell r="C592"/>
          <cell r="G592"/>
          <cell r="I592"/>
          <cell r="J592"/>
          <cell r="L592"/>
          <cell r="M592"/>
          <cell r="N592"/>
        </row>
        <row r="593">
          <cell r="B593"/>
          <cell r="C593"/>
          <cell r="G593"/>
          <cell r="I593"/>
          <cell r="J593"/>
          <cell r="L593"/>
          <cell r="M593"/>
          <cell r="N593"/>
        </row>
        <row r="594">
          <cell r="B594"/>
          <cell r="C594"/>
          <cell r="G594"/>
          <cell r="I594"/>
          <cell r="J594"/>
          <cell r="L594"/>
          <cell r="M594"/>
          <cell r="N594"/>
        </row>
        <row r="595">
          <cell r="B595"/>
          <cell r="C595"/>
          <cell r="G595"/>
          <cell r="I595"/>
          <cell r="J595"/>
          <cell r="L595"/>
          <cell r="M595"/>
          <cell r="N595"/>
        </row>
        <row r="596">
          <cell r="B596"/>
          <cell r="C596"/>
          <cell r="G596"/>
          <cell r="I596"/>
          <cell r="J596"/>
          <cell r="L596"/>
          <cell r="M596"/>
          <cell r="N596"/>
        </row>
        <row r="597">
          <cell r="B597"/>
          <cell r="C597"/>
          <cell r="G597"/>
          <cell r="I597"/>
          <cell r="J597"/>
          <cell r="L597"/>
          <cell r="M597"/>
          <cell r="N597"/>
        </row>
        <row r="598">
          <cell r="B598"/>
          <cell r="C598"/>
          <cell r="G598"/>
          <cell r="I598"/>
          <cell r="J598"/>
          <cell r="L598"/>
          <cell r="M598"/>
          <cell r="N598"/>
        </row>
        <row r="599">
          <cell r="B599"/>
          <cell r="C599"/>
          <cell r="G599"/>
          <cell r="I599"/>
          <cell r="J599"/>
          <cell r="L599"/>
          <cell r="M599"/>
          <cell r="N599"/>
        </row>
        <row r="600">
          <cell r="B600"/>
          <cell r="C600"/>
          <cell r="G600"/>
          <cell r="I600"/>
          <cell r="J600"/>
          <cell r="L600"/>
          <cell r="M600"/>
          <cell r="N600"/>
        </row>
        <row r="601">
          <cell r="B601"/>
          <cell r="C601"/>
          <cell r="G601"/>
          <cell r="I601"/>
          <cell r="J601"/>
          <cell r="L601"/>
          <cell r="M601"/>
          <cell r="N601"/>
        </row>
        <row r="602">
          <cell r="B602"/>
          <cell r="C602"/>
          <cell r="G602"/>
          <cell r="I602"/>
          <cell r="J602"/>
          <cell r="L602"/>
          <cell r="M602"/>
          <cell r="N602"/>
        </row>
        <row r="603">
          <cell r="B603"/>
          <cell r="C603"/>
          <cell r="G603"/>
          <cell r="I603"/>
          <cell r="J603"/>
          <cell r="L603"/>
          <cell r="M603"/>
          <cell r="N603"/>
        </row>
        <row r="604">
          <cell r="B604"/>
          <cell r="C604"/>
          <cell r="G604"/>
          <cell r="I604"/>
          <cell r="J604"/>
          <cell r="L604"/>
          <cell r="M604"/>
          <cell r="N604"/>
        </row>
        <row r="605">
          <cell r="B605"/>
          <cell r="C605"/>
          <cell r="G605"/>
          <cell r="I605"/>
          <cell r="J605"/>
          <cell r="L605"/>
          <cell r="M605"/>
          <cell r="N605"/>
        </row>
        <row r="606">
          <cell r="B606"/>
          <cell r="C606"/>
          <cell r="G606"/>
          <cell r="I606"/>
          <cell r="J606"/>
          <cell r="L606"/>
          <cell r="M606"/>
          <cell r="N606"/>
        </row>
        <row r="607">
          <cell r="B607"/>
          <cell r="C607"/>
          <cell r="G607"/>
          <cell r="I607"/>
          <cell r="J607"/>
          <cell r="L607"/>
          <cell r="M607"/>
          <cell r="N607"/>
        </row>
        <row r="608">
          <cell r="B608"/>
          <cell r="C608"/>
          <cell r="G608"/>
          <cell r="I608"/>
          <cell r="J608"/>
          <cell r="L608"/>
          <cell r="M608"/>
          <cell r="N608"/>
        </row>
        <row r="609">
          <cell r="B609"/>
          <cell r="C609"/>
          <cell r="G609"/>
          <cell r="I609"/>
          <cell r="J609"/>
          <cell r="L609"/>
          <cell r="M609"/>
          <cell r="N609"/>
        </row>
        <row r="610">
          <cell r="B610"/>
          <cell r="C610"/>
          <cell r="G610"/>
          <cell r="I610"/>
          <cell r="J610"/>
          <cell r="L610"/>
          <cell r="M610"/>
          <cell r="N610"/>
        </row>
        <row r="611">
          <cell r="B611"/>
          <cell r="C611"/>
          <cell r="G611"/>
          <cell r="I611"/>
          <cell r="J611"/>
          <cell r="L611"/>
          <cell r="M611"/>
          <cell r="N611"/>
        </row>
        <row r="612">
          <cell r="B612"/>
          <cell r="C612"/>
          <cell r="G612"/>
          <cell r="I612"/>
          <cell r="J612"/>
          <cell r="L612"/>
          <cell r="M612"/>
          <cell r="N612"/>
        </row>
        <row r="613">
          <cell r="B613"/>
          <cell r="C613"/>
          <cell r="G613"/>
          <cell r="I613"/>
          <cell r="J613"/>
          <cell r="L613"/>
          <cell r="M613"/>
          <cell r="N613"/>
        </row>
        <row r="614">
          <cell r="B614"/>
          <cell r="C614"/>
          <cell r="G614"/>
          <cell r="I614"/>
          <cell r="J614"/>
          <cell r="L614"/>
          <cell r="M614"/>
          <cell r="N614"/>
        </row>
        <row r="615">
          <cell r="B615"/>
          <cell r="C615"/>
          <cell r="G615"/>
          <cell r="I615"/>
          <cell r="J615"/>
          <cell r="L615"/>
          <cell r="M615"/>
          <cell r="N615"/>
        </row>
        <row r="616">
          <cell r="B616"/>
          <cell r="C616"/>
          <cell r="G616"/>
          <cell r="I616"/>
          <cell r="J616"/>
          <cell r="L616"/>
          <cell r="M616"/>
          <cell r="N616"/>
        </row>
        <row r="617">
          <cell r="B617"/>
          <cell r="C617"/>
          <cell r="G617"/>
          <cell r="I617"/>
          <cell r="J617"/>
          <cell r="L617"/>
          <cell r="M617"/>
          <cell r="N617"/>
        </row>
        <row r="618">
          <cell r="B618"/>
          <cell r="C618"/>
          <cell r="G618"/>
          <cell r="I618"/>
          <cell r="J618"/>
          <cell r="L618"/>
          <cell r="M618"/>
          <cell r="N618"/>
        </row>
        <row r="619">
          <cell r="B619"/>
          <cell r="C619"/>
          <cell r="G619"/>
          <cell r="I619"/>
          <cell r="J619"/>
          <cell r="L619"/>
          <cell r="M619"/>
          <cell r="N619"/>
        </row>
        <row r="620">
          <cell r="B620"/>
          <cell r="C620"/>
          <cell r="G620"/>
          <cell r="I620"/>
          <cell r="J620"/>
          <cell r="L620"/>
          <cell r="M620"/>
          <cell r="N620"/>
        </row>
        <row r="621">
          <cell r="B621"/>
          <cell r="C621"/>
          <cell r="G621"/>
          <cell r="I621"/>
          <cell r="J621"/>
          <cell r="L621"/>
          <cell r="M621"/>
          <cell r="N621"/>
        </row>
        <row r="622">
          <cell r="B622"/>
          <cell r="C622"/>
          <cell r="G622"/>
          <cell r="I622"/>
          <cell r="J622"/>
          <cell r="L622"/>
          <cell r="M622"/>
          <cell r="N622"/>
        </row>
        <row r="623">
          <cell r="B623"/>
          <cell r="C623"/>
          <cell r="G623"/>
          <cell r="I623"/>
          <cell r="J623"/>
          <cell r="L623"/>
          <cell r="M623"/>
          <cell r="N623"/>
        </row>
        <row r="624">
          <cell r="B624"/>
          <cell r="C624"/>
          <cell r="G624"/>
          <cell r="I624"/>
          <cell r="J624"/>
          <cell r="L624"/>
          <cell r="M624"/>
          <cell r="N624"/>
        </row>
        <row r="625">
          <cell r="B625"/>
          <cell r="C625"/>
          <cell r="G625"/>
          <cell r="I625"/>
          <cell r="J625"/>
          <cell r="L625"/>
          <cell r="M625"/>
          <cell r="N625"/>
        </row>
        <row r="626">
          <cell r="B626"/>
          <cell r="C626"/>
          <cell r="G626"/>
          <cell r="I626"/>
          <cell r="J626"/>
          <cell r="L626"/>
          <cell r="M626"/>
          <cell r="N626"/>
        </row>
        <row r="627">
          <cell r="B627"/>
          <cell r="C627"/>
          <cell r="G627"/>
          <cell r="I627"/>
          <cell r="J627"/>
          <cell r="L627"/>
          <cell r="M627"/>
          <cell r="N627"/>
        </row>
        <row r="628">
          <cell r="B628"/>
          <cell r="C628"/>
          <cell r="G628"/>
          <cell r="I628"/>
          <cell r="J628"/>
          <cell r="L628"/>
          <cell r="M628"/>
          <cell r="N628"/>
        </row>
        <row r="629">
          <cell r="B629"/>
          <cell r="C629"/>
          <cell r="G629"/>
          <cell r="I629"/>
          <cell r="J629"/>
          <cell r="L629"/>
          <cell r="M629"/>
          <cell r="N629"/>
        </row>
        <row r="630">
          <cell r="B630"/>
          <cell r="C630"/>
          <cell r="G630"/>
          <cell r="I630"/>
          <cell r="J630"/>
          <cell r="L630"/>
          <cell r="M630"/>
          <cell r="N630"/>
        </row>
        <row r="631">
          <cell r="B631"/>
          <cell r="C631"/>
          <cell r="G631"/>
          <cell r="I631"/>
          <cell r="J631"/>
          <cell r="L631"/>
          <cell r="M631"/>
          <cell r="N631"/>
        </row>
        <row r="632">
          <cell r="B632"/>
          <cell r="C632"/>
          <cell r="G632"/>
          <cell r="I632"/>
          <cell r="J632"/>
          <cell r="L632"/>
          <cell r="M632"/>
          <cell r="N632"/>
        </row>
        <row r="633">
          <cell r="B633"/>
          <cell r="C633"/>
          <cell r="G633"/>
          <cell r="I633"/>
          <cell r="J633"/>
          <cell r="L633"/>
          <cell r="M633"/>
          <cell r="N633"/>
        </row>
        <row r="634">
          <cell r="B634"/>
          <cell r="C634"/>
          <cell r="G634"/>
          <cell r="I634"/>
          <cell r="J634"/>
          <cell r="L634"/>
          <cell r="M634"/>
          <cell r="N634"/>
        </row>
        <row r="635">
          <cell r="B635"/>
          <cell r="C635"/>
          <cell r="G635"/>
          <cell r="I635"/>
          <cell r="J635"/>
          <cell r="L635"/>
          <cell r="M635"/>
          <cell r="N635"/>
        </row>
        <row r="636">
          <cell r="B636"/>
          <cell r="C636"/>
          <cell r="G636"/>
          <cell r="I636"/>
          <cell r="J636"/>
          <cell r="L636"/>
          <cell r="M636"/>
          <cell r="N636"/>
        </row>
        <row r="637">
          <cell r="B637"/>
          <cell r="C637"/>
          <cell r="G637"/>
          <cell r="I637"/>
          <cell r="J637"/>
          <cell r="L637"/>
          <cell r="M637"/>
          <cell r="N637"/>
        </row>
        <row r="638">
          <cell r="B638"/>
          <cell r="C638"/>
          <cell r="G638"/>
          <cell r="I638"/>
          <cell r="J638"/>
          <cell r="L638"/>
          <cell r="M638"/>
          <cell r="N638"/>
        </row>
        <row r="639">
          <cell r="B639"/>
          <cell r="C639"/>
          <cell r="G639"/>
          <cell r="I639"/>
          <cell r="J639"/>
          <cell r="L639"/>
          <cell r="M639"/>
          <cell r="N639"/>
        </row>
        <row r="640">
          <cell r="B640"/>
          <cell r="C640"/>
          <cell r="G640"/>
          <cell r="I640"/>
          <cell r="J640"/>
          <cell r="L640"/>
          <cell r="M640"/>
          <cell r="N640"/>
        </row>
        <row r="641">
          <cell r="B641"/>
          <cell r="C641"/>
          <cell r="G641"/>
          <cell r="I641"/>
          <cell r="J641"/>
          <cell r="L641"/>
          <cell r="M641"/>
          <cell r="N641"/>
        </row>
        <row r="642">
          <cell r="B642"/>
          <cell r="C642"/>
          <cell r="G642"/>
          <cell r="I642"/>
          <cell r="J642"/>
          <cell r="L642"/>
          <cell r="M642"/>
          <cell r="N642"/>
        </row>
        <row r="643">
          <cell r="B643"/>
          <cell r="C643"/>
          <cell r="G643"/>
          <cell r="I643"/>
          <cell r="J643"/>
          <cell r="L643"/>
          <cell r="M643"/>
          <cell r="N643"/>
        </row>
        <row r="644">
          <cell r="B644"/>
          <cell r="C644"/>
          <cell r="G644"/>
          <cell r="I644"/>
          <cell r="J644"/>
          <cell r="L644"/>
          <cell r="M644"/>
          <cell r="N644"/>
        </row>
        <row r="645">
          <cell r="B645"/>
          <cell r="C645"/>
          <cell r="G645"/>
          <cell r="I645"/>
          <cell r="J645"/>
          <cell r="L645"/>
          <cell r="M645"/>
          <cell r="N645"/>
        </row>
        <row r="646">
          <cell r="B646"/>
          <cell r="C646"/>
          <cell r="G646"/>
          <cell r="I646"/>
          <cell r="J646"/>
          <cell r="L646"/>
          <cell r="M646"/>
          <cell r="N646"/>
        </row>
        <row r="647">
          <cell r="B647"/>
          <cell r="C647"/>
          <cell r="G647"/>
          <cell r="I647"/>
          <cell r="J647"/>
          <cell r="L647"/>
          <cell r="M647"/>
          <cell r="N647"/>
        </row>
        <row r="648">
          <cell r="B648"/>
          <cell r="C648"/>
          <cell r="G648"/>
          <cell r="I648"/>
          <cell r="J648"/>
          <cell r="L648"/>
          <cell r="M648"/>
          <cell r="N648"/>
        </row>
        <row r="649">
          <cell r="B649"/>
          <cell r="C649"/>
          <cell r="G649"/>
          <cell r="I649"/>
          <cell r="J649"/>
          <cell r="L649"/>
          <cell r="M649"/>
          <cell r="N649"/>
        </row>
        <row r="650">
          <cell r="B650"/>
          <cell r="C650"/>
          <cell r="G650"/>
          <cell r="I650"/>
          <cell r="J650"/>
          <cell r="L650"/>
          <cell r="M650"/>
          <cell r="N650"/>
        </row>
        <row r="651">
          <cell r="B651"/>
          <cell r="C651"/>
          <cell r="G651"/>
          <cell r="I651"/>
          <cell r="J651"/>
          <cell r="L651"/>
          <cell r="M651"/>
          <cell r="N651"/>
        </row>
        <row r="652">
          <cell r="B652"/>
          <cell r="C652"/>
          <cell r="G652"/>
          <cell r="I652"/>
          <cell r="J652"/>
          <cell r="L652"/>
          <cell r="M652"/>
          <cell r="N652"/>
        </row>
        <row r="653">
          <cell r="B653"/>
          <cell r="C653"/>
          <cell r="G653"/>
          <cell r="I653"/>
          <cell r="J653"/>
          <cell r="L653"/>
          <cell r="M653"/>
          <cell r="N653"/>
        </row>
        <row r="654">
          <cell r="B654"/>
          <cell r="C654"/>
          <cell r="G654"/>
          <cell r="I654"/>
          <cell r="J654"/>
          <cell r="L654"/>
          <cell r="M654"/>
          <cell r="N654"/>
        </row>
        <row r="655">
          <cell r="B655"/>
          <cell r="C655"/>
          <cell r="G655"/>
          <cell r="I655"/>
          <cell r="J655"/>
          <cell r="L655"/>
          <cell r="M655"/>
          <cell r="N655"/>
        </row>
        <row r="656">
          <cell r="B656"/>
          <cell r="C656"/>
          <cell r="G656"/>
          <cell r="I656"/>
          <cell r="J656"/>
          <cell r="L656"/>
          <cell r="M656"/>
          <cell r="N656"/>
        </row>
        <row r="657">
          <cell r="B657"/>
          <cell r="C657"/>
          <cell r="G657"/>
          <cell r="I657"/>
          <cell r="J657"/>
          <cell r="L657"/>
          <cell r="M657"/>
          <cell r="N657"/>
        </row>
        <row r="658">
          <cell r="B658"/>
          <cell r="C658"/>
          <cell r="G658"/>
          <cell r="I658"/>
          <cell r="J658"/>
          <cell r="L658"/>
          <cell r="M658"/>
          <cell r="N658"/>
        </row>
        <row r="659">
          <cell r="B659"/>
          <cell r="C659"/>
          <cell r="G659"/>
          <cell r="I659"/>
          <cell r="J659"/>
          <cell r="L659"/>
          <cell r="M659"/>
          <cell r="N659"/>
        </row>
        <row r="660">
          <cell r="B660"/>
          <cell r="C660"/>
          <cell r="G660"/>
          <cell r="I660"/>
          <cell r="J660"/>
          <cell r="L660"/>
          <cell r="M660"/>
          <cell r="N660"/>
        </row>
        <row r="661">
          <cell r="B661"/>
          <cell r="C661"/>
          <cell r="G661"/>
          <cell r="I661"/>
          <cell r="J661"/>
          <cell r="L661"/>
          <cell r="M661"/>
          <cell r="N661"/>
        </row>
        <row r="662">
          <cell r="B662"/>
          <cell r="C662"/>
          <cell r="G662"/>
          <cell r="I662"/>
          <cell r="J662"/>
          <cell r="L662"/>
          <cell r="M662"/>
          <cell r="N662"/>
        </row>
        <row r="663">
          <cell r="B663"/>
          <cell r="C663"/>
          <cell r="G663"/>
          <cell r="I663"/>
          <cell r="J663"/>
          <cell r="L663"/>
          <cell r="M663"/>
          <cell r="N663"/>
        </row>
        <row r="664">
          <cell r="B664"/>
          <cell r="C664"/>
          <cell r="G664"/>
          <cell r="I664"/>
          <cell r="J664"/>
          <cell r="L664"/>
          <cell r="M664"/>
          <cell r="N664"/>
        </row>
        <row r="665">
          <cell r="B665"/>
          <cell r="C665"/>
          <cell r="G665"/>
          <cell r="I665"/>
          <cell r="J665"/>
          <cell r="L665"/>
          <cell r="M665"/>
          <cell r="N665"/>
        </row>
        <row r="666">
          <cell r="B666"/>
          <cell r="C666"/>
          <cell r="G666"/>
          <cell r="I666"/>
          <cell r="J666"/>
          <cell r="L666"/>
          <cell r="M666"/>
          <cell r="N666"/>
        </row>
        <row r="667">
          <cell r="B667"/>
          <cell r="C667"/>
          <cell r="G667"/>
          <cell r="I667"/>
          <cell r="J667"/>
          <cell r="L667"/>
          <cell r="M667"/>
          <cell r="N667"/>
        </row>
        <row r="668">
          <cell r="B668"/>
          <cell r="C668"/>
          <cell r="G668"/>
          <cell r="I668"/>
          <cell r="J668"/>
          <cell r="L668"/>
          <cell r="M668"/>
          <cell r="N668"/>
        </row>
        <row r="669">
          <cell r="B669"/>
          <cell r="C669"/>
          <cell r="G669"/>
          <cell r="I669"/>
          <cell r="J669"/>
          <cell r="L669"/>
          <cell r="M669"/>
          <cell r="N669"/>
        </row>
        <row r="670">
          <cell r="B670"/>
          <cell r="C670"/>
          <cell r="G670"/>
          <cell r="I670"/>
          <cell r="J670"/>
          <cell r="L670"/>
          <cell r="M670"/>
          <cell r="N670"/>
        </row>
        <row r="671">
          <cell r="B671"/>
          <cell r="C671"/>
          <cell r="G671"/>
          <cell r="I671"/>
          <cell r="J671"/>
          <cell r="L671"/>
          <cell r="M671"/>
          <cell r="N671"/>
        </row>
        <row r="672">
          <cell r="B672"/>
          <cell r="C672"/>
          <cell r="G672"/>
          <cell r="I672"/>
          <cell r="J672"/>
          <cell r="L672"/>
          <cell r="M672"/>
          <cell r="N672"/>
        </row>
        <row r="673">
          <cell r="B673"/>
          <cell r="C673"/>
          <cell r="G673"/>
          <cell r="I673"/>
          <cell r="J673"/>
          <cell r="L673"/>
          <cell r="M673"/>
          <cell r="N673"/>
        </row>
        <row r="674">
          <cell r="B674"/>
          <cell r="C674"/>
          <cell r="G674"/>
          <cell r="I674"/>
          <cell r="J674"/>
          <cell r="L674"/>
          <cell r="M674"/>
          <cell r="N674"/>
        </row>
        <row r="675">
          <cell r="B675"/>
          <cell r="C675"/>
          <cell r="G675"/>
          <cell r="I675"/>
          <cell r="J675"/>
          <cell r="L675"/>
          <cell r="M675"/>
          <cell r="N675"/>
        </row>
        <row r="676">
          <cell r="B676"/>
          <cell r="C676"/>
          <cell r="G676"/>
          <cell r="I676"/>
          <cell r="J676"/>
          <cell r="L676"/>
          <cell r="M676"/>
          <cell r="N676"/>
        </row>
        <row r="677">
          <cell r="B677"/>
          <cell r="C677"/>
          <cell r="G677"/>
          <cell r="I677"/>
          <cell r="J677"/>
          <cell r="L677"/>
          <cell r="M677"/>
          <cell r="N677"/>
        </row>
        <row r="678">
          <cell r="B678"/>
          <cell r="C678"/>
          <cell r="G678"/>
          <cell r="I678"/>
          <cell r="J678"/>
          <cell r="L678"/>
          <cell r="M678"/>
          <cell r="N678"/>
        </row>
        <row r="679">
          <cell r="B679"/>
          <cell r="C679"/>
          <cell r="G679"/>
          <cell r="I679"/>
          <cell r="J679"/>
          <cell r="L679"/>
          <cell r="M679"/>
          <cell r="N679"/>
        </row>
        <row r="680">
          <cell r="B680"/>
          <cell r="C680"/>
          <cell r="G680"/>
          <cell r="I680"/>
          <cell r="J680"/>
          <cell r="L680"/>
          <cell r="M680"/>
          <cell r="N680"/>
        </row>
        <row r="681">
          <cell r="B681"/>
          <cell r="C681"/>
          <cell r="G681"/>
          <cell r="I681"/>
          <cell r="J681"/>
          <cell r="L681"/>
          <cell r="M681"/>
          <cell r="N681"/>
        </row>
        <row r="682">
          <cell r="B682"/>
          <cell r="C682"/>
          <cell r="G682"/>
          <cell r="I682"/>
          <cell r="J682"/>
          <cell r="L682"/>
          <cell r="M682"/>
          <cell r="N682"/>
        </row>
        <row r="683">
          <cell r="B683"/>
          <cell r="C683"/>
          <cell r="G683"/>
          <cell r="I683"/>
          <cell r="J683"/>
          <cell r="L683"/>
          <cell r="M683"/>
          <cell r="N683"/>
        </row>
        <row r="684">
          <cell r="B684"/>
          <cell r="C684"/>
          <cell r="G684"/>
          <cell r="I684"/>
          <cell r="J684"/>
          <cell r="L684"/>
          <cell r="M684"/>
          <cell r="N684"/>
        </row>
        <row r="685">
          <cell r="B685"/>
          <cell r="C685"/>
          <cell r="G685"/>
          <cell r="I685"/>
          <cell r="J685"/>
          <cell r="L685"/>
          <cell r="M685"/>
          <cell r="N685"/>
        </row>
        <row r="686">
          <cell r="B686"/>
          <cell r="C686"/>
          <cell r="G686"/>
          <cell r="I686"/>
          <cell r="J686"/>
          <cell r="L686"/>
          <cell r="M686"/>
          <cell r="N686"/>
        </row>
        <row r="687">
          <cell r="B687"/>
          <cell r="C687"/>
          <cell r="G687"/>
          <cell r="I687"/>
          <cell r="J687"/>
          <cell r="L687"/>
          <cell r="M687"/>
          <cell r="N687"/>
        </row>
        <row r="688">
          <cell r="B688"/>
          <cell r="C688"/>
          <cell r="G688"/>
          <cell r="I688"/>
          <cell r="J688"/>
          <cell r="L688"/>
          <cell r="M688"/>
          <cell r="N688"/>
        </row>
        <row r="689">
          <cell r="B689"/>
          <cell r="C689"/>
          <cell r="G689"/>
          <cell r="I689"/>
          <cell r="J689"/>
          <cell r="L689"/>
          <cell r="M689"/>
          <cell r="N689"/>
        </row>
        <row r="690">
          <cell r="B690"/>
          <cell r="C690"/>
          <cell r="G690"/>
          <cell r="I690"/>
          <cell r="J690"/>
          <cell r="L690"/>
          <cell r="M690"/>
          <cell r="N690"/>
        </row>
        <row r="691">
          <cell r="B691"/>
          <cell r="C691"/>
          <cell r="G691"/>
          <cell r="I691"/>
          <cell r="J691"/>
          <cell r="L691"/>
          <cell r="M691"/>
          <cell r="N691"/>
        </row>
        <row r="692">
          <cell r="B692"/>
          <cell r="C692"/>
          <cell r="G692"/>
          <cell r="I692"/>
          <cell r="J692"/>
          <cell r="L692"/>
          <cell r="M692"/>
          <cell r="N692"/>
        </row>
        <row r="693">
          <cell r="B693"/>
          <cell r="C693"/>
          <cell r="G693"/>
          <cell r="I693"/>
          <cell r="J693"/>
          <cell r="L693"/>
          <cell r="M693"/>
          <cell r="N693"/>
        </row>
        <row r="694">
          <cell r="B694"/>
          <cell r="C694"/>
          <cell r="G694"/>
          <cell r="I694"/>
          <cell r="J694"/>
          <cell r="L694"/>
          <cell r="M694"/>
          <cell r="N694"/>
        </row>
        <row r="695">
          <cell r="B695"/>
          <cell r="C695"/>
          <cell r="G695"/>
          <cell r="I695"/>
          <cell r="J695"/>
          <cell r="L695"/>
          <cell r="M695"/>
          <cell r="N695"/>
        </row>
        <row r="696">
          <cell r="B696"/>
          <cell r="C696"/>
          <cell r="G696"/>
          <cell r="I696"/>
          <cell r="J696"/>
          <cell r="L696"/>
          <cell r="M696"/>
          <cell r="N696"/>
        </row>
        <row r="697">
          <cell r="B697"/>
          <cell r="C697"/>
          <cell r="G697"/>
          <cell r="I697"/>
          <cell r="J697"/>
          <cell r="L697"/>
          <cell r="M697"/>
          <cell r="N697"/>
        </row>
        <row r="698">
          <cell r="B698"/>
          <cell r="C698"/>
          <cell r="G698"/>
          <cell r="I698"/>
          <cell r="J698"/>
          <cell r="L698"/>
          <cell r="M698"/>
          <cell r="N698"/>
        </row>
        <row r="699">
          <cell r="B699"/>
          <cell r="C699"/>
          <cell r="G699"/>
          <cell r="I699"/>
          <cell r="J699"/>
          <cell r="L699"/>
          <cell r="M699"/>
          <cell r="N699"/>
        </row>
        <row r="700">
          <cell r="B700"/>
          <cell r="C700"/>
          <cell r="G700"/>
          <cell r="I700"/>
          <cell r="J700"/>
          <cell r="L700"/>
          <cell r="M700"/>
          <cell r="N700"/>
        </row>
        <row r="701">
          <cell r="B701"/>
          <cell r="C701"/>
          <cell r="G701"/>
          <cell r="I701"/>
          <cell r="J701"/>
          <cell r="L701"/>
          <cell r="M701"/>
          <cell r="N701"/>
        </row>
        <row r="702">
          <cell r="B702"/>
          <cell r="C702"/>
          <cell r="G702"/>
          <cell r="I702"/>
          <cell r="J702"/>
          <cell r="L702"/>
          <cell r="M702"/>
          <cell r="N702"/>
        </row>
        <row r="703">
          <cell r="B703"/>
          <cell r="C703"/>
          <cell r="G703"/>
          <cell r="I703"/>
          <cell r="J703"/>
          <cell r="L703"/>
          <cell r="M703"/>
          <cell r="N703"/>
        </row>
        <row r="704">
          <cell r="B704"/>
          <cell r="C704"/>
          <cell r="G704"/>
          <cell r="I704"/>
          <cell r="J704"/>
          <cell r="L704"/>
          <cell r="M704"/>
          <cell r="N704"/>
        </row>
        <row r="705">
          <cell r="B705"/>
          <cell r="C705"/>
          <cell r="G705"/>
          <cell r="I705"/>
          <cell r="J705"/>
          <cell r="L705"/>
          <cell r="M705"/>
          <cell r="N705"/>
        </row>
        <row r="706">
          <cell r="B706"/>
          <cell r="C706"/>
          <cell r="G706"/>
          <cell r="I706"/>
          <cell r="J706"/>
          <cell r="L706"/>
          <cell r="M706"/>
          <cell r="N706"/>
        </row>
        <row r="707">
          <cell r="B707"/>
          <cell r="C707"/>
          <cell r="G707"/>
          <cell r="I707"/>
          <cell r="J707"/>
          <cell r="L707"/>
          <cell r="M707"/>
          <cell r="N707"/>
        </row>
        <row r="708">
          <cell r="B708"/>
          <cell r="C708"/>
          <cell r="G708"/>
          <cell r="I708"/>
          <cell r="J708"/>
          <cell r="L708"/>
          <cell r="M708"/>
          <cell r="N708"/>
        </row>
        <row r="709">
          <cell r="B709"/>
          <cell r="C709"/>
          <cell r="G709"/>
          <cell r="I709"/>
          <cell r="J709"/>
          <cell r="L709"/>
          <cell r="M709"/>
          <cell r="N709"/>
        </row>
        <row r="710">
          <cell r="B710"/>
          <cell r="C710"/>
          <cell r="G710"/>
          <cell r="I710"/>
          <cell r="J710"/>
          <cell r="L710"/>
          <cell r="M710"/>
          <cell r="N710"/>
        </row>
        <row r="711">
          <cell r="B711"/>
          <cell r="C711"/>
          <cell r="G711"/>
          <cell r="I711"/>
          <cell r="J711"/>
          <cell r="L711"/>
          <cell r="M711"/>
          <cell r="N711"/>
        </row>
        <row r="712">
          <cell r="B712"/>
          <cell r="C712"/>
          <cell r="G712"/>
          <cell r="I712"/>
          <cell r="J712"/>
          <cell r="L712"/>
          <cell r="M712"/>
          <cell r="N712"/>
        </row>
        <row r="713">
          <cell r="B713"/>
          <cell r="C713"/>
          <cell r="G713"/>
          <cell r="I713"/>
          <cell r="J713"/>
          <cell r="L713"/>
          <cell r="M713"/>
          <cell r="N713"/>
        </row>
        <row r="714">
          <cell r="B714"/>
          <cell r="C714"/>
          <cell r="G714"/>
          <cell r="I714"/>
          <cell r="J714"/>
          <cell r="L714"/>
          <cell r="M714"/>
          <cell r="N714"/>
        </row>
        <row r="715">
          <cell r="B715"/>
          <cell r="C715"/>
          <cell r="G715"/>
          <cell r="I715"/>
          <cell r="J715"/>
          <cell r="L715"/>
          <cell r="M715"/>
          <cell r="N715"/>
        </row>
        <row r="716">
          <cell r="B716"/>
          <cell r="C716"/>
          <cell r="G716"/>
          <cell r="I716"/>
          <cell r="J716"/>
          <cell r="L716"/>
          <cell r="M716"/>
          <cell r="N716"/>
        </row>
        <row r="717">
          <cell r="B717"/>
          <cell r="C717"/>
          <cell r="G717"/>
          <cell r="I717"/>
          <cell r="J717"/>
          <cell r="L717"/>
          <cell r="M717"/>
          <cell r="N717"/>
        </row>
        <row r="718">
          <cell r="B718"/>
          <cell r="C718"/>
          <cell r="G718"/>
          <cell r="I718"/>
          <cell r="J718"/>
          <cell r="L718"/>
          <cell r="M718"/>
          <cell r="N718"/>
        </row>
        <row r="719">
          <cell r="B719"/>
          <cell r="C719"/>
          <cell r="G719"/>
          <cell r="I719"/>
          <cell r="J719"/>
          <cell r="L719"/>
          <cell r="M719"/>
          <cell r="N719"/>
        </row>
        <row r="720">
          <cell r="B720"/>
          <cell r="C720"/>
          <cell r="G720"/>
          <cell r="I720"/>
          <cell r="J720"/>
          <cell r="L720"/>
          <cell r="M720"/>
          <cell r="N720"/>
        </row>
        <row r="721">
          <cell r="B721"/>
          <cell r="C721"/>
          <cell r="G721"/>
          <cell r="I721"/>
          <cell r="J721"/>
          <cell r="L721"/>
          <cell r="M721"/>
          <cell r="N721"/>
        </row>
        <row r="722">
          <cell r="B722"/>
          <cell r="C722"/>
          <cell r="G722"/>
          <cell r="I722"/>
          <cell r="J722"/>
          <cell r="L722"/>
          <cell r="M722"/>
          <cell r="N722"/>
        </row>
        <row r="723">
          <cell r="B723"/>
          <cell r="C723"/>
          <cell r="G723"/>
          <cell r="I723"/>
          <cell r="J723"/>
          <cell r="L723"/>
          <cell r="M723"/>
          <cell r="N723"/>
        </row>
        <row r="724">
          <cell r="B724"/>
          <cell r="C724"/>
          <cell r="G724"/>
          <cell r="I724"/>
          <cell r="J724"/>
          <cell r="L724"/>
          <cell r="M724"/>
          <cell r="N724"/>
        </row>
        <row r="725">
          <cell r="B725"/>
          <cell r="C725"/>
          <cell r="G725"/>
          <cell r="I725"/>
          <cell r="J725"/>
          <cell r="L725"/>
          <cell r="M725"/>
          <cell r="N725"/>
        </row>
        <row r="726">
          <cell r="B726"/>
          <cell r="C726"/>
          <cell r="G726"/>
          <cell r="I726"/>
          <cell r="J726"/>
          <cell r="L726"/>
          <cell r="M726"/>
          <cell r="N726"/>
        </row>
        <row r="727">
          <cell r="B727"/>
          <cell r="C727"/>
          <cell r="G727"/>
          <cell r="I727"/>
          <cell r="J727"/>
          <cell r="L727"/>
          <cell r="M727"/>
          <cell r="N727"/>
        </row>
        <row r="728">
          <cell r="B728"/>
          <cell r="C728"/>
          <cell r="G728"/>
          <cell r="I728"/>
          <cell r="J728"/>
          <cell r="L728"/>
          <cell r="M728"/>
          <cell r="N728"/>
        </row>
        <row r="729">
          <cell r="B729"/>
          <cell r="C729"/>
          <cell r="G729"/>
          <cell r="I729"/>
          <cell r="J729"/>
          <cell r="L729"/>
          <cell r="M729"/>
          <cell r="N729"/>
        </row>
        <row r="730">
          <cell r="B730"/>
          <cell r="C730"/>
          <cell r="G730"/>
          <cell r="I730"/>
          <cell r="J730"/>
          <cell r="L730"/>
          <cell r="M730"/>
          <cell r="N730"/>
        </row>
        <row r="731">
          <cell r="B731"/>
          <cell r="C731"/>
          <cell r="G731"/>
          <cell r="I731"/>
          <cell r="J731"/>
          <cell r="L731"/>
          <cell r="M731"/>
          <cell r="N731"/>
        </row>
        <row r="732">
          <cell r="B732"/>
          <cell r="C732"/>
          <cell r="G732"/>
          <cell r="I732"/>
          <cell r="J732"/>
          <cell r="L732"/>
          <cell r="M732"/>
          <cell r="N732"/>
        </row>
        <row r="733">
          <cell r="B733"/>
          <cell r="C733"/>
          <cell r="G733"/>
          <cell r="I733"/>
          <cell r="J733"/>
          <cell r="L733"/>
          <cell r="M733"/>
          <cell r="N733"/>
        </row>
        <row r="734">
          <cell r="B734"/>
          <cell r="C734"/>
          <cell r="G734"/>
          <cell r="I734"/>
          <cell r="J734"/>
          <cell r="L734"/>
          <cell r="M734"/>
          <cell r="N734"/>
        </row>
        <row r="735">
          <cell r="B735"/>
          <cell r="C735"/>
          <cell r="G735"/>
          <cell r="I735"/>
          <cell r="J735"/>
          <cell r="L735"/>
          <cell r="M735"/>
          <cell r="N735"/>
        </row>
        <row r="736">
          <cell r="B736"/>
          <cell r="C736"/>
          <cell r="G736"/>
          <cell r="I736"/>
          <cell r="J736"/>
          <cell r="L736"/>
          <cell r="M736"/>
          <cell r="N736"/>
        </row>
        <row r="737">
          <cell r="B737"/>
          <cell r="C737"/>
          <cell r="G737"/>
          <cell r="I737"/>
          <cell r="J737"/>
          <cell r="L737"/>
          <cell r="M737"/>
          <cell r="N737"/>
        </row>
        <row r="738">
          <cell r="B738"/>
          <cell r="C738"/>
          <cell r="G738"/>
          <cell r="I738"/>
          <cell r="J738"/>
          <cell r="L738"/>
          <cell r="M738"/>
          <cell r="N738"/>
        </row>
        <row r="739">
          <cell r="B739"/>
          <cell r="C739"/>
          <cell r="G739"/>
          <cell r="I739"/>
          <cell r="J739"/>
          <cell r="L739"/>
          <cell r="M739"/>
          <cell r="N739"/>
        </row>
        <row r="740">
          <cell r="B740"/>
          <cell r="C740"/>
          <cell r="G740"/>
          <cell r="I740"/>
          <cell r="J740"/>
          <cell r="L740"/>
          <cell r="M740"/>
          <cell r="N740"/>
        </row>
        <row r="741">
          <cell r="B741"/>
          <cell r="C741"/>
          <cell r="G741"/>
          <cell r="I741"/>
          <cell r="J741"/>
          <cell r="L741"/>
          <cell r="M741"/>
          <cell r="N741"/>
        </row>
        <row r="742">
          <cell r="B742"/>
          <cell r="C742"/>
          <cell r="G742"/>
          <cell r="I742"/>
          <cell r="J742"/>
          <cell r="L742"/>
          <cell r="M742"/>
          <cell r="N742"/>
        </row>
        <row r="743">
          <cell r="B743"/>
          <cell r="C743"/>
          <cell r="G743"/>
          <cell r="I743"/>
          <cell r="J743"/>
          <cell r="L743"/>
          <cell r="M743"/>
          <cell r="N743"/>
        </row>
        <row r="744">
          <cell r="B744"/>
          <cell r="C744"/>
          <cell r="G744"/>
          <cell r="I744"/>
          <cell r="J744"/>
          <cell r="L744"/>
          <cell r="M744"/>
          <cell r="N744"/>
        </row>
        <row r="745">
          <cell r="B745"/>
          <cell r="C745"/>
          <cell r="G745"/>
          <cell r="I745"/>
          <cell r="J745"/>
          <cell r="L745"/>
          <cell r="M745"/>
          <cell r="N745"/>
        </row>
        <row r="746">
          <cell r="B746"/>
          <cell r="C746"/>
          <cell r="G746"/>
          <cell r="I746"/>
          <cell r="J746"/>
          <cell r="L746"/>
          <cell r="M746"/>
          <cell r="N746"/>
        </row>
        <row r="747">
          <cell r="B747"/>
          <cell r="C747"/>
          <cell r="G747"/>
          <cell r="I747"/>
          <cell r="J747"/>
          <cell r="L747"/>
          <cell r="M747"/>
          <cell r="N747"/>
        </row>
        <row r="748">
          <cell r="B748"/>
          <cell r="C748"/>
          <cell r="G748"/>
          <cell r="I748"/>
          <cell r="J748"/>
          <cell r="L748"/>
          <cell r="M748"/>
          <cell r="N748"/>
        </row>
        <row r="749">
          <cell r="B749"/>
          <cell r="C749"/>
          <cell r="G749"/>
          <cell r="I749"/>
          <cell r="J749"/>
          <cell r="L749"/>
          <cell r="M749"/>
          <cell r="N749"/>
        </row>
        <row r="750">
          <cell r="B750"/>
          <cell r="C750"/>
          <cell r="G750"/>
          <cell r="I750"/>
          <cell r="J750"/>
          <cell r="L750"/>
          <cell r="M750"/>
          <cell r="N750"/>
        </row>
        <row r="751">
          <cell r="B751"/>
          <cell r="C751"/>
          <cell r="G751"/>
          <cell r="I751"/>
          <cell r="J751"/>
          <cell r="L751"/>
          <cell r="M751"/>
          <cell r="N751"/>
        </row>
        <row r="752">
          <cell r="B752"/>
          <cell r="C752"/>
          <cell r="G752"/>
          <cell r="I752"/>
          <cell r="J752"/>
          <cell r="L752"/>
          <cell r="M752"/>
          <cell r="N752"/>
        </row>
        <row r="753">
          <cell r="B753"/>
          <cell r="C753"/>
          <cell r="G753"/>
          <cell r="I753"/>
          <cell r="J753"/>
          <cell r="L753"/>
          <cell r="M753"/>
          <cell r="N753"/>
        </row>
        <row r="754">
          <cell r="B754"/>
          <cell r="C754"/>
          <cell r="G754"/>
          <cell r="I754"/>
          <cell r="J754"/>
          <cell r="L754"/>
          <cell r="M754"/>
          <cell r="N754"/>
        </row>
        <row r="755">
          <cell r="B755"/>
          <cell r="C755"/>
          <cell r="G755"/>
          <cell r="I755"/>
          <cell r="J755"/>
          <cell r="L755"/>
          <cell r="M755"/>
          <cell r="N755"/>
        </row>
        <row r="756">
          <cell r="B756"/>
          <cell r="C756"/>
          <cell r="G756"/>
          <cell r="I756"/>
          <cell r="J756"/>
          <cell r="L756"/>
          <cell r="M756"/>
          <cell r="N756"/>
        </row>
        <row r="757">
          <cell r="B757"/>
          <cell r="C757"/>
          <cell r="G757"/>
          <cell r="I757"/>
          <cell r="J757"/>
          <cell r="L757"/>
          <cell r="M757"/>
          <cell r="N757"/>
        </row>
        <row r="758">
          <cell r="B758"/>
          <cell r="C758"/>
          <cell r="G758"/>
          <cell r="I758"/>
          <cell r="J758"/>
          <cell r="L758"/>
          <cell r="M758"/>
          <cell r="N758"/>
        </row>
        <row r="759">
          <cell r="B759"/>
          <cell r="C759"/>
          <cell r="G759"/>
          <cell r="I759"/>
          <cell r="J759"/>
          <cell r="L759"/>
          <cell r="M759"/>
          <cell r="N759"/>
        </row>
        <row r="760">
          <cell r="B760"/>
          <cell r="C760"/>
          <cell r="G760"/>
          <cell r="I760"/>
          <cell r="J760"/>
          <cell r="L760"/>
          <cell r="M760"/>
          <cell r="N760"/>
        </row>
        <row r="761">
          <cell r="B761"/>
          <cell r="C761"/>
          <cell r="G761"/>
          <cell r="I761"/>
          <cell r="J761"/>
          <cell r="L761"/>
          <cell r="M761"/>
          <cell r="N761"/>
        </row>
        <row r="762">
          <cell r="B762"/>
          <cell r="C762"/>
          <cell r="G762"/>
          <cell r="I762"/>
          <cell r="J762"/>
          <cell r="L762"/>
          <cell r="M762"/>
          <cell r="N762"/>
        </row>
        <row r="763">
          <cell r="B763"/>
          <cell r="C763"/>
          <cell r="G763"/>
          <cell r="I763"/>
          <cell r="J763"/>
          <cell r="L763"/>
          <cell r="M763"/>
          <cell r="N763"/>
        </row>
        <row r="764">
          <cell r="B764"/>
          <cell r="C764"/>
          <cell r="G764"/>
          <cell r="I764"/>
          <cell r="J764"/>
          <cell r="L764"/>
          <cell r="M764"/>
          <cell r="N764"/>
        </row>
        <row r="765">
          <cell r="B765"/>
          <cell r="C765"/>
          <cell r="G765"/>
          <cell r="I765"/>
          <cell r="J765"/>
          <cell r="L765"/>
          <cell r="M765"/>
          <cell r="N765"/>
        </row>
        <row r="766">
          <cell r="B766"/>
          <cell r="C766"/>
          <cell r="G766"/>
          <cell r="I766"/>
          <cell r="J766"/>
          <cell r="L766"/>
          <cell r="M766"/>
          <cell r="N766"/>
        </row>
        <row r="767">
          <cell r="B767"/>
          <cell r="C767"/>
          <cell r="G767"/>
          <cell r="I767"/>
          <cell r="J767"/>
          <cell r="L767"/>
          <cell r="M767"/>
          <cell r="N767"/>
        </row>
        <row r="768">
          <cell r="B768"/>
          <cell r="C768"/>
          <cell r="G768"/>
          <cell r="I768"/>
          <cell r="J768"/>
          <cell r="L768"/>
          <cell r="M768"/>
          <cell r="N768"/>
        </row>
        <row r="769">
          <cell r="B769"/>
          <cell r="C769"/>
          <cell r="G769"/>
          <cell r="I769"/>
          <cell r="J769"/>
          <cell r="L769"/>
          <cell r="M769"/>
          <cell r="N769"/>
        </row>
        <row r="770">
          <cell r="B770"/>
          <cell r="C770"/>
          <cell r="G770"/>
          <cell r="I770"/>
          <cell r="J770"/>
          <cell r="L770"/>
          <cell r="M770"/>
          <cell r="N770"/>
        </row>
        <row r="771">
          <cell r="B771"/>
          <cell r="C771"/>
          <cell r="G771"/>
          <cell r="I771"/>
          <cell r="J771"/>
          <cell r="L771"/>
          <cell r="M771"/>
          <cell r="N771"/>
        </row>
        <row r="772">
          <cell r="B772"/>
          <cell r="C772"/>
          <cell r="G772"/>
          <cell r="I772"/>
          <cell r="J772"/>
          <cell r="L772"/>
          <cell r="M772"/>
          <cell r="N772"/>
        </row>
        <row r="773">
          <cell r="B773"/>
          <cell r="C773"/>
          <cell r="G773"/>
          <cell r="I773"/>
          <cell r="J773"/>
          <cell r="L773"/>
          <cell r="M773"/>
          <cell r="N773"/>
        </row>
        <row r="774">
          <cell r="B774"/>
          <cell r="C774"/>
          <cell r="G774"/>
          <cell r="I774"/>
          <cell r="J774"/>
          <cell r="L774"/>
          <cell r="M774"/>
          <cell r="N774"/>
        </row>
        <row r="775">
          <cell r="B775"/>
          <cell r="C775"/>
          <cell r="G775"/>
          <cell r="I775"/>
          <cell r="J775"/>
          <cell r="L775"/>
          <cell r="M775"/>
          <cell r="N775"/>
        </row>
        <row r="776">
          <cell r="B776"/>
          <cell r="C776"/>
          <cell r="G776"/>
          <cell r="I776"/>
          <cell r="J776"/>
          <cell r="L776"/>
          <cell r="M776"/>
          <cell r="N776"/>
        </row>
        <row r="777">
          <cell r="B777"/>
          <cell r="C777"/>
          <cell r="G777"/>
          <cell r="I777"/>
          <cell r="J777"/>
          <cell r="L777"/>
          <cell r="M777"/>
          <cell r="N777"/>
        </row>
        <row r="778">
          <cell r="B778"/>
          <cell r="C778"/>
          <cell r="G778"/>
          <cell r="I778"/>
          <cell r="J778"/>
          <cell r="L778"/>
          <cell r="M778"/>
          <cell r="N778"/>
        </row>
        <row r="779">
          <cell r="B779"/>
          <cell r="C779"/>
          <cell r="G779"/>
          <cell r="I779"/>
          <cell r="J779"/>
          <cell r="L779"/>
          <cell r="M779"/>
          <cell r="N779"/>
        </row>
        <row r="780">
          <cell r="B780"/>
          <cell r="C780"/>
          <cell r="G780"/>
          <cell r="I780"/>
          <cell r="J780"/>
          <cell r="L780"/>
          <cell r="M780"/>
          <cell r="N780"/>
        </row>
        <row r="781">
          <cell r="B781"/>
          <cell r="C781"/>
          <cell r="G781"/>
          <cell r="I781"/>
          <cell r="J781"/>
          <cell r="L781"/>
          <cell r="M781"/>
          <cell r="N781"/>
        </row>
        <row r="782">
          <cell r="B782"/>
          <cell r="C782"/>
          <cell r="G782"/>
          <cell r="I782"/>
          <cell r="J782"/>
          <cell r="L782"/>
          <cell r="M782"/>
          <cell r="N782"/>
        </row>
        <row r="783">
          <cell r="B783"/>
          <cell r="C783"/>
          <cell r="G783"/>
          <cell r="I783"/>
          <cell r="J783"/>
          <cell r="L783"/>
          <cell r="M783"/>
          <cell r="N783"/>
        </row>
        <row r="784">
          <cell r="B784"/>
          <cell r="C784"/>
          <cell r="G784"/>
          <cell r="I784"/>
          <cell r="J784"/>
          <cell r="L784"/>
          <cell r="M784"/>
          <cell r="N784"/>
        </row>
        <row r="785">
          <cell r="B785"/>
          <cell r="C785"/>
          <cell r="G785"/>
          <cell r="I785"/>
          <cell r="J785"/>
          <cell r="L785"/>
          <cell r="M785"/>
          <cell r="N785"/>
        </row>
        <row r="786">
          <cell r="B786"/>
          <cell r="C786"/>
          <cell r="G786"/>
          <cell r="I786"/>
          <cell r="J786"/>
          <cell r="L786"/>
          <cell r="M786"/>
          <cell r="N786"/>
        </row>
        <row r="787">
          <cell r="B787"/>
          <cell r="C787"/>
          <cell r="G787"/>
          <cell r="I787"/>
          <cell r="J787"/>
          <cell r="L787"/>
          <cell r="M787"/>
          <cell r="N787"/>
        </row>
        <row r="788">
          <cell r="B788"/>
          <cell r="C788"/>
          <cell r="G788"/>
          <cell r="I788"/>
          <cell r="J788"/>
          <cell r="L788"/>
          <cell r="M788"/>
          <cell r="N788"/>
        </row>
        <row r="789">
          <cell r="B789"/>
          <cell r="C789"/>
          <cell r="G789"/>
          <cell r="I789"/>
          <cell r="J789"/>
          <cell r="L789"/>
          <cell r="M789"/>
          <cell r="N789"/>
        </row>
        <row r="790">
          <cell r="B790"/>
          <cell r="C790"/>
          <cell r="G790"/>
          <cell r="I790"/>
          <cell r="J790"/>
          <cell r="L790"/>
          <cell r="M790"/>
          <cell r="N790"/>
        </row>
        <row r="791">
          <cell r="B791"/>
          <cell r="C791"/>
          <cell r="G791"/>
          <cell r="I791"/>
          <cell r="J791"/>
          <cell r="L791"/>
          <cell r="M791"/>
          <cell r="N791"/>
        </row>
        <row r="792">
          <cell r="B792"/>
          <cell r="C792"/>
          <cell r="G792"/>
          <cell r="I792"/>
          <cell r="J792"/>
          <cell r="L792"/>
          <cell r="M792"/>
          <cell r="N792"/>
        </row>
        <row r="793">
          <cell r="B793"/>
          <cell r="C793"/>
          <cell r="G793"/>
          <cell r="I793"/>
          <cell r="J793"/>
          <cell r="L793"/>
          <cell r="M793"/>
          <cell r="N793"/>
        </row>
        <row r="794">
          <cell r="B794"/>
          <cell r="C794"/>
          <cell r="G794"/>
          <cell r="I794"/>
          <cell r="J794"/>
          <cell r="L794"/>
          <cell r="M794"/>
          <cell r="N794"/>
        </row>
        <row r="795">
          <cell r="B795"/>
          <cell r="C795"/>
          <cell r="G795"/>
          <cell r="I795"/>
          <cell r="J795"/>
          <cell r="L795"/>
          <cell r="M795"/>
          <cell r="N795"/>
        </row>
        <row r="796">
          <cell r="B796"/>
          <cell r="C796"/>
          <cell r="G796"/>
          <cell r="I796"/>
          <cell r="J796"/>
          <cell r="L796"/>
          <cell r="M796"/>
          <cell r="N796"/>
        </row>
        <row r="797">
          <cell r="B797"/>
          <cell r="C797"/>
          <cell r="G797"/>
          <cell r="I797"/>
          <cell r="J797"/>
          <cell r="L797"/>
          <cell r="M797"/>
          <cell r="N797"/>
        </row>
        <row r="798">
          <cell r="B798"/>
          <cell r="C798"/>
          <cell r="G798"/>
          <cell r="I798"/>
          <cell r="J798"/>
          <cell r="L798"/>
          <cell r="M798"/>
          <cell r="N798"/>
        </row>
        <row r="799">
          <cell r="B799"/>
          <cell r="C799"/>
          <cell r="G799"/>
          <cell r="I799"/>
          <cell r="J799"/>
          <cell r="L799"/>
          <cell r="M799"/>
          <cell r="N799"/>
        </row>
        <row r="800">
          <cell r="B800"/>
          <cell r="C800"/>
          <cell r="G800"/>
          <cell r="I800"/>
          <cell r="J800"/>
          <cell r="L800"/>
          <cell r="M800"/>
          <cell r="N800"/>
        </row>
        <row r="801">
          <cell r="B801"/>
          <cell r="C801"/>
          <cell r="G801"/>
          <cell r="I801"/>
          <cell r="J801"/>
          <cell r="L801"/>
          <cell r="M801"/>
          <cell r="N801"/>
        </row>
        <row r="802">
          <cell r="B802"/>
          <cell r="C802"/>
          <cell r="G802"/>
          <cell r="I802"/>
          <cell r="J802"/>
          <cell r="L802"/>
          <cell r="M802"/>
          <cell r="N802"/>
        </row>
        <row r="803">
          <cell r="B803"/>
          <cell r="C803"/>
          <cell r="G803"/>
          <cell r="I803"/>
          <cell r="J803"/>
          <cell r="L803"/>
          <cell r="M803"/>
          <cell r="N803"/>
        </row>
        <row r="804">
          <cell r="B804"/>
          <cell r="C804"/>
          <cell r="G804"/>
          <cell r="I804"/>
          <cell r="J804"/>
          <cell r="L804"/>
          <cell r="M804"/>
          <cell r="N804"/>
        </row>
        <row r="805">
          <cell r="B805"/>
          <cell r="C805"/>
          <cell r="G805"/>
          <cell r="I805"/>
          <cell r="J805"/>
          <cell r="L805"/>
          <cell r="M805"/>
          <cell r="N805"/>
        </row>
        <row r="806">
          <cell r="B806"/>
          <cell r="C806"/>
          <cell r="G806"/>
          <cell r="I806"/>
          <cell r="J806"/>
          <cell r="L806"/>
          <cell r="M806"/>
          <cell r="N806"/>
        </row>
        <row r="807">
          <cell r="B807"/>
          <cell r="C807"/>
          <cell r="G807"/>
          <cell r="I807"/>
          <cell r="J807"/>
          <cell r="L807"/>
          <cell r="M807"/>
          <cell r="N807"/>
        </row>
        <row r="808">
          <cell r="B808"/>
          <cell r="C808"/>
          <cell r="G808"/>
          <cell r="I808"/>
          <cell r="J808"/>
          <cell r="L808"/>
          <cell r="M808"/>
          <cell r="N808"/>
        </row>
        <row r="809">
          <cell r="B809"/>
          <cell r="C809"/>
          <cell r="G809"/>
          <cell r="I809"/>
          <cell r="J809"/>
          <cell r="L809"/>
          <cell r="M809"/>
          <cell r="N809"/>
        </row>
        <row r="810">
          <cell r="B810"/>
          <cell r="C810"/>
          <cell r="G810"/>
          <cell r="I810"/>
          <cell r="J810"/>
          <cell r="L810"/>
          <cell r="M810"/>
          <cell r="N810"/>
        </row>
        <row r="811">
          <cell r="B811"/>
          <cell r="C811"/>
          <cell r="G811"/>
          <cell r="I811"/>
          <cell r="J811"/>
          <cell r="L811"/>
          <cell r="M811"/>
          <cell r="N811"/>
        </row>
        <row r="812">
          <cell r="B812"/>
          <cell r="C812"/>
          <cell r="G812"/>
          <cell r="I812"/>
          <cell r="J812"/>
          <cell r="L812"/>
          <cell r="M812"/>
          <cell r="N812"/>
        </row>
        <row r="813">
          <cell r="B813"/>
          <cell r="C813"/>
          <cell r="G813"/>
          <cell r="I813"/>
          <cell r="J813"/>
          <cell r="L813"/>
          <cell r="M813"/>
          <cell r="N813"/>
        </row>
        <row r="814">
          <cell r="B814"/>
          <cell r="C814"/>
          <cell r="G814"/>
          <cell r="I814"/>
          <cell r="J814"/>
          <cell r="L814"/>
          <cell r="M814"/>
          <cell r="N814"/>
        </row>
        <row r="815">
          <cell r="B815"/>
          <cell r="C815"/>
          <cell r="G815"/>
          <cell r="I815"/>
          <cell r="J815"/>
          <cell r="L815"/>
          <cell r="M815"/>
          <cell r="N815"/>
        </row>
        <row r="816">
          <cell r="B816"/>
          <cell r="C816"/>
          <cell r="G816"/>
          <cell r="I816"/>
          <cell r="J816"/>
          <cell r="L816"/>
          <cell r="M816"/>
          <cell r="N816"/>
        </row>
        <row r="817">
          <cell r="B817"/>
          <cell r="C817"/>
          <cell r="G817"/>
          <cell r="I817"/>
          <cell r="J817"/>
          <cell r="L817"/>
          <cell r="M817"/>
          <cell r="N817"/>
        </row>
        <row r="818">
          <cell r="B818"/>
          <cell r="C818"/>
          <cell r="G818"/>
          <cell r="I818"/>
          <cell r="J818"/>
          <cell r="L818"/>
          <cell r="M818"/>
          <cell r="N818"/>
        </row>
        <row r="819">
          <cell r="B819"/>
          <cell r="C819"/>
          <cell r="G819"/>
          <cell r="I819"/>
          <cell r="J819"/>
          <cell r="L819"/>
          <cell r="M819"/>
          <cell r="N819"/>
        </row>
        <row r="820">
          <cell r="B820"/>
          <cell r="C820"/>
          <cell r="G820"/>
          <cell r="I820"/>
          <cell r="J820"/>
          <cell r="L820"/>
          <cell r="M820"/>
          <cell r="N820"/>
        </row>
        <row r="821">
          <cell r="B821"/>
          <cell r="C821"/>
          <cell r="G821"/>
          <cell r="I821"/>
          <cell r="J821"/>
          <cell r="L821"/>
          <cell r="M821"/>
          <cell r="N821"/>
        </row>
        <row r="822">
          <cell r="B822"/>
          <cell r="C822"/>
          <cell r="G822"/>
          <cell r="I822"/>
          <cell r="J822"/>
          <cell r="L822"/>
          <cell r="M822"/>
          <cell r="N822"/>
        </row>
        <row r="823">
          <cell r="B823"/>
          <cell r="C823"/>
          <cell r="G823"/>
          <cell r="I823"/>
          <cell r="J823"/>
          <cell r="L823"/>
          <cell r="M823"/>
          <cell r="N823"/>
        </row>
        <row r="824">
          <cell r="B824"/>
          <cell r="C824"/>
          <cell r="G824"/>
          <cell r="I824"/>
          <cell r="J824"/>
          <cell r="L824"/>
          <cell r="M824"/>
          <cell r="N824"/>
        </row>
        <row r="825">
          <cell r="B825"/>
          <cell r="C825"/>
          <cell r="G825"/>
          <cell r="I825"/>
          <cell r="J825"/>
          <cell r="L825"/>
          <cell r="M825"/>
          <cell r="N825"/>
        </row>
        <row r="826">
          <cell r="B826"/>
          <cell r="C826"/>
          <cell r="G826"/>
          <cell r="I826"/>
          <cell r="J826"/>
          <cell r="L826"/>
          <cell r="M826"/>
          <cell r="N826"/>
        </row>
        <row r="827">
          <cell r="B827"/>
          <cell r="C827"/>
          <cell r="G827"/>
          <cell r="I827"/>
          <cell r="J827"/>
          <cell r="L827"/>
          <cell r="M827"/>
          <cell r="N827"/>
        </row>
        <row r="828">
          <cell r="B828"/>
          <cell r="C828"/>
          <cell r="G828"/>
          <cell r="I828"/>
          <cell r="J828"/>
          <cell r="L828"/>
          <cell r="M828"/>
          <cell r="N828"/>
        </row>
        <row r="829">
          <cell r="B829"/>
          <cell r="C829"/>
          <cell r="G829"/>
          <cell r="I829"/>
          <cell r="J829"/>
          <cell r="L829"/>
          <cell r="M829"/>
          <cell r="N829"/>
        </row>
        <row r="830">
          <cell r="B830"/>
          <cell r="C830"/>
          <cell r="G830"/>
          <cell r="I830"/>
          <cell r="J830"/>
          <cell r="L830"/>
          <cell r="M830"/>
          <cell r="N830"/>
        </row>
        <row r="831">
          <cell r="B831"/>
          <cell r="C831"/>
          <cell r="G831"/>
          <cell r="I831"/>
          <cell r="J831"/>
          <cell r="L831"/>
          <cell r="M831"/>
          <cell r="N831"/>
        </row>
        <row r="832">
          <cell r="B832"/>
          <cell r="C832"/>
          <cell r="G832"/>
          <cell r="I832"/>
          <cell r="J832"/>
          <cell r="L832"/>
          <cell r="M832"/>
          <cell r="N832"/>
        </row>
        <row r="833">
          <cell r="B833"/>
          <cell r="C833"/>
          <cell r="G833"/>
          <cell r="I833"/>
          <cell r="J833"/>
          <cell r="L833"/>
          <cell r="M833"/>
          <cell r="N833"/>
        </row>
        <row r="834">
          <cell r="B834"/>
          <cell r="C834"/>
          <cell r="G834"/>
          <cell r="I834"/>
          <cell r="J834"/>
          <cell r="L834"/>
          <cell r="M834"/>
          <cell r="N834"/>
        </row>
        <row r="835">
          <cell r="B835"/>
          <cell r="C835"/>
          <cell r="G835"/>
          <cell r="I835"/>
          <cell r="J835"/>
          <cell r="L835"/>
          <cell r="M835"/>
          <cell r="N835"/>
        </row>
        <row r="836">
          <cell r="B836"/>
          <cell r="C836"/>
          <cell r="G836"/>
          <cell r="I836"/>
          <cell r="J836"/>
          <cell r="L836"/>
          <cell r="M836"/>
          <cell r="N836"/>
        </row>
        <row r="837">
          <cell r="B837"/>
          <cell r="C837"/>
          <cell r="G837"/>
          <cell r="I837"/>
          <cell r="J837"/>
          <cell r="L837"/>
          <cell r="M837"/>
          <cell r="N837"/>
        </row>
        <row r="838">
          <cell r="B838"/>
          <cell r="C838"/>
          <cell r="G838"/>
          <cell r="I838"/>
          <cell r="J838"/>
          <cell r="L838"/>
          <cell r="M838"/>
          <cell r="N838"/>
        </row>
        <row r="839">
          <cell r="B839"/>
          <cell r="C839"/>
          <cell r="G839"/>
          <cell r="I839"/>
          <cell r="J839"/>
          <cell r="L839"/>
          <cell r="M839"/>
          <cell r="N839"/>
        </row>
        <row r="840">
          <cell r="B840"/>
          <cell r="C840"/>
          <cell r="G840"/>
          <cell r="I840"/>
          <cell r="J840"/>
          <cell r="L840"/>
          <cell r="M840"/>
          <cell r="N840"/>
        </row>
        <row r="841">
          <cell r="B841"/>
          <cell r="C841"/>
          <cell r="G841"/>
          <cell r="I841"/>
          <cell r="J841"/>
          <cell r="L841"/>
          <cell r="M841"/>
          <cell r="N841"/>
        </row>
        <row r="842">
          <cell r="B842"/>
          <cell r="C842"/>
          <cell r="G842"/>
          <cell r="I842"/>
          <cell r="J842"/>
          <cell r="L842"/>
          <cell r="M842"/>
          <cell r="N842"/>
        </row>
        <row r="843">
          <cell r="B843"/>
          <cell r="C843"/>
          <cell r="G843"/>
          <cell r="I843"/>
          <cell r="J843"/>
          <cell r="L843"/>
          <cell r="M843"/>
          <cell r="N843"/>
        </row>
        <row r="844">
          <cell r="B844"/>
          <cell r="C844"/>
          <cell r="G844"/>
          <cell r="I844"/>
          <cell r="J844"/>
          <cell r="L844"/>
          <cell r="M844"/>
          <cell r="N844"/>
        </row>
        <row r="845">
          <cell r="B845"/>
          <cell r="C845"/>
          <cell r="G845"/>
          <cell r="I845"/>
          <cell r="J845"/>
          <cell r="L845"/>
          <cell r="M845"/>
          <cell r="N845"/>
        </row>
        <row r="846">
          <cell r="B846"/>
          <cell r="C846"/>
          <cell r="G846"/>
          <cell r="I846"/>
          <cell r="J846"/>
          <cell r="L846"/>
          <cell r="M846"/>
          <cell r="N846"/>
        </row>
        <row r="847">
          <cell r="B847"/>
          <cell r="C847"/>
          <cell r="G847"/>
          <cell r="I847"/>
          <cell r="J847"/>
          <cell r="L847"/>
          <cell r="M847"/>
          <cell r="N847"/>
        </row>
        <row r="848">
          <cell r="B848"/>
          <cell r="C848"/>
          <cell r="G848"/>
          <cell r="I848"/>
          <cell r="J848"/>
          <cell r="L848"/>
          <cell r="M848"/>
          <cell r="N848"/>
        </row>
        <row r="849">
          <cell r="B849"/>
          <cell r="C849"/>
          <cell r="G849"/>
          <cell r="I849"/>
          <cell r="J849"/>
          <cell r="L849"/>
          <cell r="M849"/>
          <cell r="N849"/>
        </row>
        <row r="850">
          <cell r="B850"/>
          <cell r="C850"/>
          <cell r="G850"/>
          <cell r="I850"/>
          <cell r="J850"/>
          <cell r="L850"/>
          <cell r="M850"/>
          <cell r="N850"/>
        </row>
        <row r="851">
          <cell r="B851"/>
          <cell r="C851"/>
          <cell r="G851"/>
          <cell r="I851"/>
          <cell r="J851"/>
          <cell r="L851"/>
          <cell r="M851"/>
          <cell r="N851"/>
        </row>
        <row r="852">
          <cell r="B852"/>
          <cell r="C852"/>
          <cell r="G852"/>
          <cell r="I852"/>
          <cell r="J852"/>
          <cell r="L852"/>
          <cell r="M852"/>
          <cell r="N852"/>
        </row>
        <row r="853">
          <cell r="B853"/>
          <cell r="C853"/>
          <cell r="G853"/>
          <cell r="I853"/>
          <cell r="J853"/>
          <cell r="L853"/>
          <cell r="M853"/>
          <cell r="N853"/>
        </row>
        <row r="854">
          <cell r="B854"/>
          <cell r="C854"/>
          <cell r="G854"/>
          <cell r="I854"/>
          <cell r="J854"/>
          <cell r="L854"/>
          <cell r="M854"/>
          <cell r="N854"/>
        </row>
        <row r="855">
          <cell r="B855"/>
          <cell r="C855"/>
          <cell r="G855"/>
          <cell r="I855"/>
          <cell r="J855"/>
          <cell r="L855"/>
          <cell r="M855"/>
          <cell r="N855"/>
        </row>
        <row r="856">
          <cell r="B856"/>
          <cell r="C856"/>
          <cell r="G856"/>
          <cell r="I856"/>
          <cell r="J856"/>
          <cell r="L856"/>
          <cell r="M856"/>
          <cell r="N856"/>
        </row>
        <row r="857">
          <cell r="B857"/>
          <cell r="C857"/>
          <cell r="G857"/>
          <cell r="I857"/>
          <cell r="J857"/>
          <cell r="L857"/>
          <cell r="M857"/>
          <cell r="N857"/>
        </row>
        <row r="858">
          <cell r="B858"/>
          <cell r="C858"/>
          <cell r="G858"/>
          <cell r="I858"/>
          <cell r="J858"/>
          <cell r="L858"/>
          <cell r="M858"/>
          <cell r="N858"/>
        </row>
        <row r="859">
          <cell r="B859"/>
          <cell r="C859"/>
          <cell r="G859"/>
          <cell r="I859"/>
          <cell r="J859"/>
          <cell r="L859"/>
          <cell r="M859"/>
          <cell r="N859"/>
        </row>
        <row r="860">
          <cell r="B860"/>
          <cell r="C860"/>
          <cell r="G860"/>
          <cell r="I860"/>
          <cell r="J860"/>
          <cell r="L860"/>
          <cell r="M860"/>
          <cell r="N860"/>
        </row>
        <row r="861">
          <cell r="B861"/>
          <cell r="C861"/>
          <cell r="G861"/>
          <cell r="I861"/>
          <cell r="J861"/>
          <cell r="L861"/>
          <cell r="M861"/>
          <cell r="N861"/>
        </row>
        <row r="862">
          <cell r="B862"/>
          <cell r="C862"/>
          <cell r="G862"/>
          <cell r="I862"/>
          <cell r="J862"/>
          <cell r="L862"/>
          <cell r="M862"/>
          <cell r="N862"/>
        </row>
        <row r="863">
          <cell r="B863"/>
          <cell r="C863"/>
          <cell r="G863"/>
          <cell r="I863"/>
          <cell r="J863"/>
          <cell r="L863"/>
          <cell r="M863"/>
          <cell r="N863"/>
        </row>
        <row r="864">
          <cell r="B864"/>
          <cell r="C864"/>
          <cell r="G864"/>
          <cell r="I864"/>
          <cell r="J864"/>
          <cell r="L864"/>
          <cell r="M864"/>
          <cell r="N864"/>
        </row>
        <row r="865">
          <cell r="B865"/>
          <cell r="C865"/>
          <cell r="G865"/>
          <cell r="I865"/>
          <cell r="J865"/>
          <cell r="L865"/>
          <cell r="M865"/>
          <cell r="N865"/>
        </row>
        <row r="866">
          <cell r="B866"/>
          <cell r="C866"/>
          <cell r="G866"/>
          <cell r="I866"/>
          <cell r="J866"/>
          <cell r="L866"/>
          <cell r="M866"/>
          <cell r="N866"/>
        </row>
        <row r="867">
          <cell r="B867"/>
          <cell r="C867"/>
          <cell r="G867"/>
          <cell r="I867"/>
          <cell r="J867"/>
          <cell r="L867"/>
          <cell r="M867"/>
          <cell r="N867"/>
        </row>
        <row r="868">
          <cell r="B868"/>
          <cell r="C868"/>
          <cell r="G868"/>
          <cell r="I868"/>
          <cell r="J868"/>
          <cell r="L868"/>
          <cell r="M868"/>
          <cell r="N868"/>
        </row>
        <row r="869">
          <cell r="B869"/>
          <cell r="C869"/>
          <cell r="G869"/>
          <cell r="I869"/>
          <cell r="J869"/>
          <cell r="L869"/>
          <cell r="M869"/>
          <cell r="N869"/>
        </row>
        <row r="870">
          <cell r="B870"/>
          <cell r="C870"/>
          <cell r="G870"/>
          <cell r="I870"/>
          <cell r="J870"/>
          <cell r="L870"/>
          <cell r="M870"/>
          <cell r="N870"/>
        </row>
        <row r="871">
          <cell r="B871"/>
          <cell r="C871"/>
          <cell r="G871"/>
          <cell r="I871"/>
          <cell r="J871"/>
          <cell r="L871"/>
          <cell r="M871"/>
          <cell r="N871"/>
        </row>
        <row r="872">
          <cell r="B872"/>
          <cell r="C872"/>
          <cell r="G872"/>
          <cell r="I872"/>
          <cell r="J872"/>
          <cell r="L872"/>
          <cell r="M872"/>
          <cell r="N872"/>
        </row>
        <row r="873">
          <cell r="B873"/>
          <cell r="C873"/>
          <cell r="G873"/>
          <cell r="I873"/>
          <cell r="J873"/>
          <cell r="L873"/>
          <cell r="M873"/>
          <cell r="N873"/>
        </row>
        <row r="874">
          <cell r="B874"/>
          <cell r="C874"/>
          <cell r="G874"/>
          <cell r="I874"/>
          <cell r="J874"/>
          <cell r="L874"/>
          <cell r="M874"/>
          <cell r="N874"/>
        </row>
        <row r="875">
          <cell r="B875"/>
          <cell r="C875"/>
          <cell r="G875"/>
          <cell r="I875"/>
          <cell r="J875"/>
          <cell r="L875"/>
          <cell r="M875"/>
          <cell r="N875"/>
        </row>
        <row r="876">
          <cell r="B876"/>
          <cell r="C876"/>
          <cell r="G876"/>
          <cell r="I876"/>
          <cell r="J876"/>
          <cell r="L876"/>
          <cell r="M876"/>
          <cell r="N876"/>
        </row>
        <row r="877">
          <cell r="B877"/>
          <cell r="C877"/>
          <cell r="G877"/>
          <cell r="I877"/>
          <cell r="J877"/>
          <cell r="L877"/>
          <cell r="M877"/>
          <cell r="N877"/>
        </row>
        <row r="878">
          <cell r="B878"/>
          <cell r="C878"/>
          <cell r="G878"/>
          <cell r="I878"/>
          <cell r="J878"/>
          <cell r="L878"/>
          <cell r="M878"/>
          <cell r="N878"/>
        </row>
        <row r="879">
          <cell r="B879"/>
          <cell r="C879"/>
          <cell r="G879"/>
          <cell r="I879"/>
          <cell r="J879"/>
          <cell r="L879"/>
          <cell r="M879"/>
          <cell r="N879"/>
        </row>
        <row r="880">
          <cell r="B880"/>
          <cell r="C880"/>
          <cell r="G880"/>
          <cell r="I880"/>
          <cell r="J880"/>
          <cell r="L880"/>
          <cell r="M880"/>
          <cell r="N880"/>
        </row>
        <row r="881">
          <cell r="B881"/>
          <cell r="C881"/>
          <cell r="G881"/>
          <cell r="I881"/>
          <cell r="J881"/>
          <cell r="L881"/>
          <cell r="M881"/>
          <cell r="N881"/>
        </row>
        <row r="882">
          <cell r="B882"/>
          <cell r="C882"/>
          <cell r="G882"/>
          <cell r="I882"/>
          <cell r="J882"/>
          <cell r="L882"/>
          <cell r="M882"/>
          <cell r="N882"/>
        </row>
        <row r="883">
          <cell r="B883"/>
          <cell r="C883"/>
          <cell r="G883"/>
          <cell r="I883"/>
          <cell r="J883"/>
          <cell r="L883"/>
          <cell r="M883"/>
          <cell r="N883"/>
        </row>
        <row r="884">
          <cell r="B884"/>
          <cell r="C884"/>
          <cell r="G884"/>
          <cell r="I884"/>
          <cell r="J884"/>
          <cell r="L884"/>
          <cell r="M884"/>
          <cell r="N884"/>
        </row>
        <row r="885">
          <cell r="B885"/>
          <cell r="C885"/>
          <cell r="G885"/>
          <cell r="I885"/>
          <cell r="J885"/>
          <cell r="L885"/>
          <cell r="M885"/>
          <cell r="N885"/>
        </row>
        <row r="886">
          <cell r="B886"/>
          <cell r="C886"/>
          <cell r="G886"/>
          <cell r="I886"/>
          <cell r="J886"/>
          <cell r="L886"/>
          <cell r="M886"/>
          <cell r="N886"/>
        </row>
        <row r="887">
          <cell r="B887"/>
          <cell r="C887"/>
          <cell r="G887"/>
          <cell r="I887"/>
          <cell r="J887"/>
          <cell r="L887"/>
          <cell r="M887"/>
          <cell r="N887"/>
        </row>
        <row r="888">
          <cell r="B888"/>
          <cell r="C888"/>
          <cell r="G888"/>
          <cell r="I888"/>
          <cell r="J888"/>
          <cell r="L888"/>
          <cell r="M888"/>
          <cell r="N888"/>
        </row>
        <row r="889">
          <cell r="B889"/>
          <cell r="C889"/>
          <cell r="G889"/>
          <cell r="I889"/>
          <cell r="J889"/>
          <cell r="L889"/>
          <cell r="M889"/>
          <cell r="N889"/>
        </row>
        <row r="890">
          <cell r="B890"/>
          <cell r="C890"/>
          <cell r="G890"/>
          <cell r="I890"/>
          <cell r="J890"/>
          <cell r="L890"/>
          <cell r="M890"/>
          <cell r="N890"/>
        </row>
        <row r="891">
          <cell r="B891"/>
          <cell r="C891"/>
          <cell r="G891"/>
          <cell r="I891"/>
          <cell r="J891"/>
          <cell r="L891"/>
          <cell r="M891"/>
          <cell r="N891"/>
        </row>
        <row r="892">
          <cell r="B892"/>
          <cell r="C892"/>
          <cell r="G892"/>
          <cell r="I892"/>
          <cell r="J892"/>
          <cell r="L892"/>
          <cell r="M892"/>
          <cell r="N892"/>
        </row>
        <row r="893">
          <cell r="B893"/>
          <cell r="C893"/>
          <cell r="G893"/>
          <cell r="I893"/>
          <cell r="J893"/>
          <cell r="L893"/>
          <cell r="M893"/>
          <cell r="N893"/>
        </row>
        <row r="894">
          <cell r="B894"/>
          <cell r="C894"/>
          <cell r="G894"/>
          <cell r="I894"/>
          <cell r="J894"/>
          <cell r="L894"/>
          <cell r="M894"/>
          <cell r="N894"/>
        </row>
        <row r="895">
          <cell r="B895"/>
          <cell r="C895"/>
          <cell r="G895"/>
          <cell r="I895"/>
          <cell r="J895"/>
          <cell r="L895"/>
          <cell r="M895"/>
          <cell r="N895"/>
        </row>
        <row r="896">
          <cell r="B896"/>
          <cell r="C896"/>
          <cell r="G896"/>
          <cell r="I896"/>
          <cell r="J896"/>
          <cell r="L896"/>
          <cell r="M896"/>
          <cell r="N896"/>
        </row>
        <row r="897">
          <cell r="B897"/>
          <cell r="C897"/>
          <cell r="G897"/>
          <cell r="I897"/>
          <cell r="J897"/>
          <cell r="L897"/>
          <cell r="M897"/>
          <cell r="N897"/>
        </row>
        <row r="898">
          <cell r="B898"/>
          <cell r="C898"/>
          <cell r="G898"/>
          <cell r="I898"/>
          <cell r="J898"/>
          <cell r="L898"/>
          <cell r="M898"/>
          <cell r="N898"/>
        </row>
        <row r="899">
          <cell r="B899"/>
          <cell r="C899"/>
          <cell r="G899"/>
          <cell r="I899"/>
          <cell r="J899"/>
          <cell r="L899"/>
          <cell r="M899"/>
          <cell r="N899"/>
        </row>
        <row r="900">
          <cell r="B900"/>
          <cell r="C900"/>
          <cell r="G900"/>
          <cell r="I900"/>
          <cell r="J900"/>
          <cell r="L900"/>
          <cell r="M900"/>
          <cell r="N900"/>
        </row>
        <row r="901">
          <cell r="B901"/>
          <cell r="C901"/>
          <cell r="G901"/>
          <cell r="I901"/>
          <cell r="J901"/>
          <cell r="L901"/>
          <cell r="M901"/>
          <cell r="N901"/>
        </row>
        <row r="902">
          <cell r="B902"/>
          <cell r="C902"/>
          <cell r="G902"/>
          <cell r="I902"/>
          <cell r="J902"/>
          <cell r="L902"/>
          <cell r="M902"/>
          <cell r="N902"/>
        </row>
        <row r="903">
          <cell r="B903"/>
          <cell r="C903"/>
          <cell r="G903"/>
          <cell r="I903"/>
          <cell r="J903"/>
          <cell r="L903"/>
          <cell r="M903"/>
          <cell r="N903"/>
        </row>
        <row r="904">
          <cell r="B904"/>
          <cell r="C904"/>
          <cell r="G904"/>
          <cell r="I904"/>
          <cell r="J904"/>
          <cell r="L904"/>
          <cell r="M904"/>
          <cell r="N904"/>
        </row>
        <row r="905">
          <cell r="B905"/>
          <cell r="C905"/>
          <cell r="G905"/>
          <cell r="I905"/>
          <cell r="J905"/>
          <cell r="L905"/>
          <cell r="M905"/>
          <cell r="N905"/>
        </row>
        <row r="906">
          <cell r="B906"/>
          <cell r="C906"/>
          <cell r="G906"/>
          <cell r="I906"/>
          <cell r="J906"/>
          <cell r="L906"/>
          <cell r="M906"/>
          <cell r="N906"/>
        </row>
        <row r="907">
          <cell r="B907"/>
          <cell r="C907"/>
          <cell r="G907"/>
          <cell r="I907"/>
          <cell r="J907"/>
          <cell r="L907"/>
          <cell r="M907"/>
          <cell r="N907"/>
        </row>
        <row r="908">
          <cell r="B908"/>
          <cell r="C908"/>
          <cell r="G908"/>
          <cell r="I908"/>
          <cell r="J908"/>
          <cell r="L908"/>
          <cell r="M908"/>
          <cell r="N908"/>
        </row>
        <row r="909">
          <cell r="B909"/>
          <cell r="C909"/>
          <cell r="G909"/>
          <cell r="I909"/>
          <cell r="J909"/>
          <cell r="L909"/>
          <cell r="M909"/>
          <cell r="N909"/>
        </row>
        <row r="910">
          <cell r="B910"/>
          <cell r="C910"/>
          <cell r="G910"/>
          <cell r="I910"/>
          <cell r="J910"/>
          <cell r="L910"/>
          <cell r="M910"/>
          <cell r="N910"/>
        </row>
        <row r="911">
          <cell r="B911"/>
          <cell r="C911"/>
          <cell r="G911"/>
          <cell r="I911"/>
          <cell r="J911"/>
          <cell r="L911"/>
          <cell r="M911"/>
          <cell r="N911"/>
        </row>
        <row r="912">
          <cell r="B912"/>
          <cell r="C912"/>
          <cell r="G912"/>
          <cell r="I912"/>
          <cell r="J912"/>
          <cell r="L912"/>
          <cell r="M912"/>
          <cell r="N912"/>
        </row>
        <row r="913">
          <cell r="B913"/>
          <cell r="C913"/>
          <cell r="G913"/>
          <cell r="I913"/>
          <cell r="J913"/>
          <cell r="L913"/>
          <cell r="M913"/>
          <cell r="N913"/>
        </row>
        <row r="914">
          <cell r="B914"/>
          <cell r="C914"/>
          <cell r="G914"/>
          <cell r="I914"/>
          <cell r="J914"/>
          <cell r="L914"/>
          <cell r="M914"/>
          <cell r="N914"/>
        </row>
        <row r="915">
          <cell r="B915"/>
          <cell r="C915"/>
          <cell r="G915"/>
          <cell r="I915"/>
          <cell r="J915"/>
          <cell r="L915"/>
          <cell r="M915"/>
          <cell r="N915"/>
        </row>
        <row r="916">
          <cell r="B916"/>
          <cell r="C916"/>
          <cell r="G916"/>
          <cell r="I916"/>
          <cell r="J916"/>
          <cell r="L916"/>
          <cell r="M916"/>
          <cell r="N916"/>
        </row>
        <row r="917">
          <cell r="B917"/>
          <cell r="C917"/>
          <cell r="G917"/>
          <cell r="I917"/>
          <cell r="J917"/>
          <cell r="L917"/>
          <cell r="M917"/>
          <cell r="N917"/>
        </row>
        <row r="918">
          <cell r="B918"/>
          <cell r="C918"/>
          <cell r="G918"/>
          <cell r="I918"/>
          <cell r="J918"/>
          <cell r="L918"/>
          <cell r="M918"/>
          <cell r="N918"/>
        </row>
        <row r="919">
          <cell r="B919"/>
          <cell r="C919"/>
          <cell r="G919"/>
          <cell r="I919"/>
          <cell r="J919"/>
          <cell r="L919"/>
          <cell r="M919"/>
          <cell r="N919"/>
        </row>
        <row r="920">
          <cell r="B920"/>
          <cell r="C920"/>
          <cell r="G920"/>
          <cell r="I920"/>
          <cell r="J920"/>
          <cell r="L920"/>
          <cell r="M920"/>
          <cell r="N920"/>
        </row>
        <row r="921">
          <cell r="B921"/>
          <cell r="C921"/>
          <cell r="G921"/>
          <cell r="I921"/>
          <cell r="J921"/>
          <cell r="L921"/>
          <cell r="M921"/>
          <cell r="N921"/>
        </row>
        <row r="922">
          <cell r="B922"/>
          <cell r="C922"/>
          <cell r="G922"/>
          <cell r="I922"/>
          <cell r="J922"/>
          <cell r="L922"/>
          <cell r="M922"/>
          <cell r="N922"/>
        </row>
        <row r="923">
          <cell r="B923"/>
          <cell r="C923"/>
          <cell r="G923"/>
          <cell r="I923"/>
          <cell r="J923"/>
          <cell r="L923"/>
          <cell r="M923"/>
          <cell r="N923"/>
        </row>
        <row r="924">
          <cell r="B924"/>
          <cell r="C924"/>
          <cell r="G924"/>
          <cell r="I924"/>
          <cell r="J924"/>
          <cell r="L924"/>
          <cell r="M924"/>
          <cell r="N924"/>
        </row>
        <row r="925">
          <cell r="B925"/>
          <cell r="C925"/>
          <cell r="G925"/>
          <cell r="I925"/>
          <cell r="J925"/>
          <cell r="L925"/>
          <cell r="M925"/>
          <cell r="N925"/>
        </row>
        <row r="926">
          <cell r="B926"/>
          <cell r="C926"/>
          <cell r="G926"/>
          <cell r="I926"/>
          <cell r="J926"/>
          <cell r="L926"/>
          <cell r="M926"/>
          <cell r="N926"/>
        </row>
        <row r="927">
          <cell r="B927"/>
          <cell r="C927"/>
          <cell r="G927"/>
          <cell r="I927"/>
          <cell r="J927"/>
          <cell r="L927"/>
          <cell r="M927"/>
          <cell r="N927"/>
        </row>
        <row r="928">
          <cell r="B928"/>
          <cell r="C928"/>
          <cell r="G928"/>
          <cell r="I928"/>
          <cell r="J928"/>
          <cell r="L928"/>
          <cell r="M928"/>
          <cell r="N928"/>
        </row>
        <row r="929">
          <cell r="B929"/>
          <cell r="C929"/>
          <cell r="G929"/>
          <cell r="I929"/>
          <cell r="J929"/>
          <cell r="L929"/>
          <cell r="M929"/>
          <cell r="N929"/>
        </row>
        <row r="930">
          <cell r="B930"/>
          <cell r="C930"/>
          <cell r="G930"/>
          <cell r="I930"/>
          <cell r="J930"/>
          <cell r="L930"/>
          <cell r="M930"/>
          <cell r="N930"/>
        </row>
        <row r="931">
          <cell r="B931"/>
          <cell r="C931"/>
          <cell r="G931"/>
          <cell r="I931"/>
          <cell r="J931"/>
          <cell r="L931"/>
          <cell r="M931"/>
          <cell r="N931"/>
        </row>
        <row r="932">
          <cell r="B932"/>
          <cell r="C932"/>
          <cell r="G932"/>
          <cell r="I932"/>
          <cell r="J932"/>
          <cell r="L932"/>
          <cell r="M932"/>
          <cell r="N932"/>
        </row>
        <row r="933">
          <cell r="B933"/>
          <cell r="C933"/>
          <cell r="G933"/>
          <cell r="I933"/>
          <cell r="J933"/>
          <cell r="L933"/>
          <cell r="M933"/>
          <cell r="N933"/>
        </row>
        <row r="934">
          <cell r="B934"/>
          <cell r="C934"/>
          <cell r="G934"/>
          <cell r="I934"/>
          <cell r="J934"/>
          <cell r="L934"/>
          <cell r="M934"/>
          <cell r="N934"/>
        </row>
        <row r="935">
          <cell r="B935"/>
          <cell r="C935"/>
          <cell r="G935"/>
          <cell r="I935"/>
          <cell r="J935"/>
          <cell r="L935"/>
          <cell r="M935"/>
          <cell r="N935"/>
        </row>
        <row r="936">
          <cell r="B936"/>
          <cell r="C936"/>
          <cell r="G936"/>
          <cell r="I936"/>
          <cell r="J936"/>
          <cell r="L936"/>
          <cell r="M936"/>
          <cell r="N936"/>
        </row>
        <row r="937">
          <cell r="B937"/>
          <cell r="C937"/>
          <cell r="G937"/>
          <cell r="I937"/>
          <cell r="J937"/>
          <cell r="L937"/>
          <cell r="M937"/>
          <cell r="N937"/>
        </row>
        <row r="938">
          <cell r="B938"/>
          <cell r="C938"/>
          <cell r="G938"/>
          <cell r="I938"/>
          <cell r="J938"/>
          <cell r="L938"/>
          <cell r="M938"/>
          <cell r="N938"/>
        </row>
        <row r="939">
          <cell r="B939"/>
          <cell r="C939"/>
          <cell r="G939"/>
          <cell r="I939"/>
          <cell r="J939"/>
          <cell r="L939"/>
          <cell r="M939"/>
          <cell r="N939"/>
        </row>
        <row r="940">
          <cell r="B940"/>
          <cell r="C940"/>
          <cell r="G940"/>
          <cell r="I940"/>
          <cell r="J940"/>
          <cell r="L940"/>
          <cell r="M940"/>
          <cell r="N940"/>
        </row>
        <row r="941">
          <cell r="B941"/>
          <cell r="C941"/>
          <cell r="G941"/>
          <cell r="I941"/>
          <cell r="J941"/>
          <cell r="L941"/>
          <cell r="M941"/>
          <cell r="N941"/>
        </row>
        <row r="942">
          <cell r="B942"/>
          <cell r="C942"/>
          <cell r="G942"/>
          <cell r="I942"/>
          <cell r="J942"/>
          <cell r="L942"/>
          <cell r="M942"/>
          <cell r="N942"/>
        </row>
        <row r="943">
          <cell r="B943"/>
          <cell r="C943"/>
          <cell r="G943"/>
          <cell r="I943"/>
          <cell r="J943"/>
          <cell r="L943"/>
          <cell r="M943"/>
          <cell r="N943"/>
        </row>
        <row r="944">
          <cell r="B944"/>
          <cell r="C944"/>
          <cell r="G944"/>
          <cell r="I944"/>
          <cell r="J944"/>
          <cell r="L944"/>
          <cell r="M944"/>
          <cell r="N944"/>
        </row>
        <row r="945">
          <cell r="B945"/>
          <cell r="C945"/>
          <cell r="G945"/>
          <cell r="I945"/>
          <cell r="J945"/>
          <cell r="L945"/>
          <cell r="M945"/>
          <cell r="N945"/>
        </row>
        <row r="946">
          <cell r="B946"/>
          <cell r="C946"/>
          <cell r="G946"/>
          <cell r="I946"/>
          <cell r="J946"/>
          <cell r="L946"/>
          <cell r="M946"/>
          <cell r="N946"/>
        </row>
        <row r="947">
          <cell r="B947"/>
          <cell r="C947"/>
          <cell r="G947"/>
          <cell r="I947"/>
          <cell r="J947"/>
          <cell r="L947"/>
          <cell r="M947"/>
          <cell r="N947"/>
        </row>
        <row r="948">
          <cell r="B948"/>
          <cell r="C948"/>
          <cell r="G948"/>
          <cell r="I948"/>
          <cell r="J948"/>
          <cell r="L948"/>
          <cell r="M948"/>
          <cell r="N948"/>
        </row>
        <row r="949">
          <cell r="B949"/>
          <cell r="C949"/>
          <cell r="G949"/>
          <cell r="I949"/>
          <cell r="J949"/>
          <cell r="L949"/>
          <cell r="M949"/>
          <cell r="N949"/>
        </row>
        <row r="950">
          <cell r="B950"/>
          <cell r="C950"/>
          <cell r="G950"/>
          <cell r="I950"/>
          <cell r="J950"/>
          <cell r="L950"/>
          <cell r="M950"/>
          <cell r="N950"/>
        </row>
        <row r="951">
          <cell r="B951"/>
          <cell r="C951"/>
          <cell r="G951"/>
          <cell r="I951"/>
          <cell r="J951"/>
          <cell r="L951"/>
          <cell r="M951"/>
          <cell r="N951"/>
        </row>
        <row r="952">
          <cell r="B952"/>
          <cell r="C952"/>
          <cell r="G952"/>
          <cell r="I952"/>
          <cell r="J952"/>
          <cell r="L952"/>
          <cell r="M952"/>
          <cell r="N952"/>
        </row>
        <row r="953">
          <cell r="B953"/>
          <cell r="C953"/>
          <cell r="G953"/>
          <cell r="I953"/>
          <cell r="J953"/>
          <cell r="L953"/>
          <cell r="M953"/>
          <cell r="N953"/>
        </row>
        <row r="954">
          <cell r="B954"/>
          <cell r="C954"/>
          <cell r="G954"/>
          <cell r="I954"/>
          <cell r="J954"/>
          <cell r="L954"/>
          <cell r="M954"/>
          <cell r="N954"/>
        </row>
        <row r="955">
          <cell r="B955"/>
          <cell r="C955"/>
          <cell r="G955"/>
          <cell r="I955"/>
          <cell r="J955"/>
          <cell r="L955"/>
          <cell r="M955"/>
          <cell r="N955"/>
        </row>
        <row r="956">
          <cell r="B956"/>
          <cell r="C956"/>
          <cell r="G956"/>
          <cell r="I956"/>
          <cell r="J956"/>
          <cell r="L956"/>
          <cell r="M956"/>
          <cell r="N956"/>
        </row>
        <row r="957">
          <cell r="B957"/>
          <cell r="C957"/>
          <cell r="G957"/>
          <cell r="I957"/>
          <cell r="J957"/>
          <cell r="L957"/>
          <cell r="M957"/>
          <cell r="N957"/>
        </row>
        <row r="958">
          <cell r="B958"/>
          <cell r="C958"/>
          <cell r="G958"/>
          <cell r="I958"/>
          <cell r="J958"/>
          <cell r="L958"/>
          <cell r="M958"/>
          <cell r="N958"/>
        </row>
        <row r="959">
          <cell r="B959"/>
          <cell r="C959"/>
          <cell r="G959"/>
          <cell r="I959"/>
          <cell r="J959"/>
          <cell r="L959"/>
          <cell r="M959"/>
          <cell r="N959"/>
        </row>
        <row r="960">
          <cell r="B960"/>
          <cell r="C960"/>
          <cell r="G960"/>
          <cell r="I960"/>
          <cell r="J960"/>
          <cell r="L960"/>
          <cell r="M960"/>
          <cell r="N960"/>
        </row>
        <row r="961">
          <cell r="B961"/>
          <cell r="C961"/>
          <cell r="G961"/>
          <cell r="I961"/>
          <cell r="J961"/>
          <cell r="L961"/>
          <cell r="M961"/>
          <cell r="N961"/>
        </row>
        <row r="962">
          <cell r="B962"/>
          <cell r="C962"/>
          <cell r="G962"/>
          <cell r="I962"/>
          <cell r="J962"/>
          <cell r="L962"/>
          <cell r="M962"/>
          <cell r="N962"/>
        </row>
        <row r="963">
          <cell r="B963"/>
          <cell r="C963"/>
          <cell r="G963"/>
          <cell r="I963"/>
          <cell r="J963"/>
          <cell r="L963"/>
          <cell r="M963"/>
          <cell r="N963"/>
        </row>
        <row r="964">
          <cell r="B964"/>
          <cell r="C964"/>
          <cell r="G964"/>
          <cell r="I964"/>
          <cell r="J964"/>
          <cell r="L964"/>
          <cell r="M964"/>
          <cell r="N964"/>
        </row>
        <row r="965">
          <cell r="B965"/>
          <cell r="C965"/>
          <cell r="G965"/>
          <cell r="I965"/>
          <cell r="J965"/>
          <cell r="L965"/>
          <cell r="M965"/>
          <cell r="N965"/>
        </row>
        <row r="966">
          <cell r="B966"/>
          <cell r="C966"/>
          <cell r="G966"/>
          <cell r="I966"/>
          <cell r="J966"/>
          <cell r="L966"/>
          <cell r="M966"/>
          <cell r="N966"/>
        </row>
        <row r="967">
          <cell r="B967"/>
          <cell r="C967"/>
          <cell r="G967"/>
          <cell r="I967"/>
          <cell r="J967"/>
          <cell r="L967"/>
          <cell r="M967"/>
          <cell r="N967"/>
        </row>
        <row r="968">
          <cell r="B968"/>
          <cell r="C968"/>
          <cell r="G968"/>
          <cell r="I968"/>
          <cell r="J968"/>
          <cell r="L968"/>
          <cell r="M968"/>
          <cell r="N968"/>
        </row>
        <row r="969">
          <cell r="B969"/>
          <cell r="C969"/>
          <cell r="G969"/>
          <cell r="I969"/>
          <cell r="J969"/>
          <cell r="L969"/>
          <cell r="M969"/>
          <cell r="N969"/>
        </row>
        <row r="970">
          <cell r="B970"/>
          <cell r="C970"/>
          <cell r="G970"/>
          <cell r="I970"/>
          <cell r="J970"/>
          <cell r="L970"/>
          <cell r="M970"/>
          <cell r="N970"/>
        </row>
        <row r="971">
          <cell r="B971"/>
          <cell r="C971"/>
          <cell r="G971"/>
          <cell r="I971"/>
          <cell r="J971"/>
          <cell r="L971"/>
          <cell r="M971"/>
          <cell r="N971"/>
        </row>
        <row r="972">
          <cell r="B972"/>
          <cell r="C972"/>
          <cell r="G972"/>
          <cell r="I972"/>
          <cell r="J972"/>
          <cell r="L972"/>
          <cell r="M972"/>
          <cell r="N972"/>
        </row>
        <row r="973">
          <cell r="B973"/>
          <cell r="C973"/>
          <cell r="G973"/>
          <cell r="I973"/>
          <cell r="J973"/>
          <cell r="L973"/>
          <cell r="M973"/>
          <cell r="N973"/>
        </row>
        <row r="974">
          <cell r="B974"/>
          <cell r="C974"/>
          <cell r="G974"/>
          <cell r="I974"/>
          <cell r="J974"/>
          <cell r="L974"/>
          <cell r="M974"/>
          <cell r="N974"/>
        </row>
        <row r="975">
          <cell r="B975"/>
          <cell r="C975"/>
          <cell r="G975"/>
          <cell r="I975"/>
          <cell r="J975"/>
          <cell r="L975"/>
          <cell r="M975"/>
          <cell r="N975"/>
        </row>
        <row r="976">
          <cell r="B976"/>
          <cell r="C976"/>
          <cell r="G976"/>
          <cell r="I976"/>
          <cell r="J976"/>
          <cell r="L976"/>
          <cell r="M976"/>
          <cell r="N976"/>
        </row>
        <row r="977">
          <cell r="B977"/>
          <cell r="C977"/>
          <cell r="G977"/>
          <cell r="I977"/>
          <cell r="J977"/>
          <cell r="L977"/>
          <cell r="M977"/>
          <cell r="N977"/>
        </row>
        <row r="978">
          <cell r="B978"/>
          <cell r="C978"/>
          <cell r="G978"/>
          <cell r="I978"/>
          <cell r="J978"/>
          <cell r="L978"/>
          <cell r="M978"/>
          <cell r="N978"/>
        </row>
        <row r="979">
          <cell r="B979"/>
          <cell r="C979"/>
          <cell r="G979"/>
          <cell r="I979"/>
          <cell r="J979"/>
          <cell r="L979"/>
          <cell r="M979"/>
          <cell r="N979"/>
        </row>
        <row r="980">
          <cell r="B980"/>
          <cell r="C980"/>
          <cell r="G980"/>
          <cell r="I980"/>
          <cell r="J980"/>
          <cell r="L980"/>
          <cell r="M980"/>
          <cell r="N980"/>
        </row>
        <row r="981">
          <cell r="B981"/>
          <cell r="C981"/>
          <cell r="G981"/>
          <cell r="I981"/>
          <cell r="J981"/>
          <cell r="L981"/>
          <cell r="M981"/>
          <cell r="N981"/>
        </row>
        <row r="982">
          <cell r="B982"/>
          <cell r="C982"/>
          <cell r="G982"/>
          <cell r="I982"/>
          <cell r="J982"/>
          <cell r="L982"/>
          <cell r="M982"/>
          <cell r="N982"/>
        </row>
        <row r="983">
          <cell r="B983"/>
          <cell r="C983"/>
          <cell r="G983"/>
          <cell r="I983"/>
          <cell r="J983"/>
          <cell r="L983"/>
          <cell r="M983"/>
          <cell r="N983"/>
        </row>
        <row r="984">
          <cell r="B984"/>
          <cell r="C984"/>
          <cell r="G984"/>
          <cell r="I984"/>
          <cell r="J984"/>
          <cell r="L984"/>
          <cell r="M984"/>
          <cell r="N984"/>
        </row>
        <row r="985">
          <cell r="B985"/>
          <cell r="C985"/>
          <cell r="G985"/>
          <cell r="I985"/>
          <cell r="J985"/>
          <cell r="L985"/>
          <cell r="M985"/>
          <cell r="N985"/>
        </row>
        <row r="986">
          <cell r="B986"/>
          <cell r="C986"/>
          <cell r="G986"/>
          <cell r="I986"/>
          <cell r="J986"/>
          <cell r="L986"/>
          <cell r="M986"/>
          <cell r="N986"/>
        </row>
        <row r="987">
          <cell r="B987"/>
          <cell r="C987"/>
          <cell r="G987"/>
          <cell r="I987"/>
          <cell r="J987"/>
          <cell r="L987"/>
          <cell r="M987"/>
          <cell r="N987"/>
        </row>
        <row r="988">
          <cell r="B988"/>
          <cell r="C988"/>
          <cell r="G988"/>
          <cell r="I988"/>
          <cell r="J988"/>
          <cell r="L988"/>
          <cell r="M988"/>
          <cell r="N988"/>
        </row>
        <row r="989">
          <cell r="B989"/>
          <cell r="C989"/>
          <cell r="G989"/>
          <cell r="I989"/>
          <cell r="J989"/>
          <cell r="L989"/>
          <cell r="M989"/>
          <cell r="N989"/>
        </row>
        <row r="990">
          <cell r="B990"/>
          <cell r="C990"/>
          <cell r="G990"/>
          <cell r="I990"/>
          <cell r="J990"/>
          <cell r="L990"/>
          <cell r="M990"/>
          <cell r="N990"/>
        </row>
        <row r="991">
          <cell r="B991"/>
          <cell r="C991"/>
          <cell r="G991"/>
          <cell r="I991"/>
          <cell r="J991"/>
          <cell r="L991"/>
          <cell r="M991"/>
          <cell r="N991"/>
        </row>
        <row r="992">
          <cell r="B992"/>
          <cell r="C992"/>
          <cell r="G992"/>
          <cell r="I992"/>
          <cell r="J992"/>
          <cell r="L992"/>
          <cell r="M992"/>
          <cell r="N992"/>
        </row>
        <row r="993">
          <cell r="B993"/>
          <cell r="C993"/>
          <cell r="G993"/>
          <cell r="I993"/>
          <cell r="J993"/>
          <cell r="L993"/>
          <cell r="M993"/>
          <cell r="N993"/>
        </row>
        <row r="994">
          <cell r="B994"/>
          <cell r="C994"/>
          <cell r="G994"/>
          <cell r="I994"/>
          <cell r="J994"/>
          <cell r="L994"/>
          <cell r="M994"/>
          <cell r="N994"/>
        </row>
        <row r="995">
          <cell r="B995"/>
          <cell r="C995"/>
          <cell r="G995"/>
          <cell r="I995"/>
          <cell r="J995"/>
          <cell r="L995"/>
          <cell r="M995"/>
          <cell r="N995"/>
        </row>
        <row r="996">
          <cell r="B996"/>
          <cell r="C996"/>
          <cell r="G996"/>
          <cell r="I996"/>
          <cell r="J996"/>
          <cell r="L996"/>
          <cell r="M996"/>
          <cell r="N996"/>
        </row>
        <row r="997">
          <cell r="B997"/>
          <cell r="C997"/>
          <cell r="G997"/>
          <cell r="I997"/>
          <cell r="J997"/>
          <cell r="L997"/>
          <cell r="M997"/>
          <cell r="N997"/>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row r="4">
          <cell r="N4">
            <v>100</v>
          </cell>
          <cell r="W4" t="str">
            <v>MEAN</v>
          </cell>
        </row>
        <row r="42">
          <cell r="C42" t="str">
            <v>Avondale Partners</v>
          </cell>
          <cell r="D42">
            <v>164</v>
          </cell>
          <cell r="L42">
            <v>42641</v>
          </cell>
          <cell r="R42">
            <v>5.2631578947368416</v>
          </cell>
          <cell r="T42">
            <v>68.421052631578945</v>
          </cell>
          <cell r="V42">
            <v>26.315789473684209</v>
          </cell>
          <cell r="AC42">
            <v>162.39000000000001</v>
          </cell>
          <cell r="AD42">
            <v>157.76920000000001</v>
          </cell>
        </row>
        <row r="43">
          <cell r="C43" t="str">
            <v>Barclays</v>
          </cell>
          <cell r="D43">
            <v>175</v>
          </cell>
          <cell r="L43">
            <v>42613</v>
          </cell>
          <cell r="R43">
            <v>5.2631578947368416</v>
          </cell>
          <cell r="T43">
            <v>78.94736842105263</v>
          </cell>
          <cell r="V43">
            <v>15.789473684210526</v>
          </cell>
          <cell r="AC43">
            <v>178.03</v>
          </cell>
          <cell r="AD43">
            <v>156.875</v>
          </cell>
        </row>
        <row r="44">
          <cell r="C44" t="str">
            <v>BofAML</v>
          </cell>
          <cell r="D44">
            <v>180</v>
          </cell>
          <cell r="L44">
            <v>42580</v>
          </cell>
          <cell r="R44">
            <v>0</v>
          </cell>
          <cell r="T44">
            <v>83.333333333333343</v>
          </cell>
          <cell r="V44">
            <v>11.111111111111111</v>
          </cell>
          <cell r="AC44">
            <v>171.96</v>
          </cell>
          <cell r="AD44">
            <v>151.42860000000002</v>
          </cell>
        </row>
        <row r="45">
          <cell r="C45" t="str">
            <v>Cantor Fitzgerald</v>
          </cell>
          <cell r="D45">
            <v>161</v>
          </cell>
          <cell r="L45">
            <v>42551</v>
          </cell>
          <cell r="R45">
            <v>0</v>
          </cell>
          <cell r="T45">
            <v>88.235294117647058</v>
          </cell>
          <cell r="V45">
            <v>11.76470588235294</v>
          </cell>
          <cell r="AC45">
            <v>161.42000000000002</v>
          </cell>
          <cell r="AD45">
            <v>148.5</v>
          </cell>
        </row>
        <row r="46">
          <cell r="C46" t="str">
            <v>Credit Suisse</v>
          </cell>
          <cell r="D46">
            <v>179</v>
          </cell>
          <cell r="L46">
            <v>42521</v>
          </cell>
          <cell r="R46">
            <v>0</v>
          </cell>
          <cell r="T46">
            <v>88.235294117647058</v>
          </cell>
          <cell r="V46">
            <v>11.76470588235294</v>
          </cell>
          <cell r="AC46">
            <v>159.07</v>
          </cell>
          <cell r="AD46">
            <v>152.83330000000001</v>
          </cell>
        </row>
        <row r="47">
          <cell r="C47" t="str">
            <v>Evercore ISI</v>
          </cell>
          <cell r="D47">
            <v>145</v>
          </cell>
          <cell r="L47">
            <v>42489</v>
          </cell>
          <cell r="R47">
            <v>0</v>
          </cell>
          <cell r="T47">
            <v>88.235294117647058</v>
          </cell>
          <cell r="V47">
            <v>11.76470588235294</v>
          </cell>
          <cell r="AC47">
            <v>150.75</v>
          </cell>
          <cell r="AD47">
            <v>152.83330000000001</v>
          </cell>
        </row>
        <row r="48">
          <cell r="C48" t="str">
            <v>Goldman Sachs</v>
          </cell>
          <cell r="D48">
            <v>125</v>
          </cell>
          <cell r="L48">
            <v>42460</v>
          </cell>
          <cell r="R48">
            <v>6.25</v>
          </cell>
          <cell r="T48">
            <v>87.5</v>
          </cell>
          <cell r="V48">
            <v>12.5</v>
          </cell>
          <cell r="AC48">
            <v>151.53</v>
          </cell>
          <cell r="AD48">
            <v>155.0909</v>
          </cell>
        </row>
        <row r="49">
          <cell r="C49" t="str">
            <v>Macquarie Research</v>
          </cell>
          <cell r="D49">
            <v>180</v>
          </cell>
          <cell r="L49">
            <v>42429</v>
          </cell>
          <cell r="R49">
            <v>5.8823529411764701</v>
          </cell>
          <cell r="T49">
            <v>88.235294117647058</v>
          </cell>
          <cell r="V49">
            <v>5.8823529411764701</v>
          </cell>
          <cell r="AC49">
            <v>150.49</v>
          </cell>
          <cell r="AD49">
            <v>160.60000000000002</v>
          </cell>
        </row>
        <row r="50">
          <cell r="C50" t="str">
            <v>Morgan Stanley</v>
          </cell>
          <cell r="D50">
            <v>161</v>
          </cell>
          <cell r="L50">
            <v>42398</v>
          </cell>
          <cell r="R50">
            <v>5.8823529411764701</v>
          </cell>
          <cell r="T50">
            <v>88.235294117647058</v>
          </cell>
          <cell r="V50">
            <v>5.8823529411764701</v>
          </cell>
          <cell r="AC50">
            <v>150.70000000000002</v>
          </cell>
          <cell r="AD50">
            <v>160.60000000000002</v>
          </cell>
        </row>
        <row r="51">
          <cell r="C51" t="str">
            <v>Morningstar</v>
          </cell>
          <cell r="D51">
            <v>131</v>
          </cell>
          <cell r="L51">
            <v>42369</v>
          </cell>
          <cell r="R51">
            <v>5.8823529411764701</v>
          </cell>
          <cell r="T51">
            <v>88.235294117647058</v>
          </cell>
          <cell r="V51">
            <v>5.8823529411764701</v>
          </cell>
          <cell r="AC51">
            <v>162.57</v>
          </cell>
          <cell r="AD51">
            <v>160.20000000000002</v>
          </cell>
        </row>
        <row r="52">
          <cell r="C52" t="str">
            <v>Piper Jaffray</v>
          </cell>
          <cell r="D52">
            <v>154</v>
          </cell>
          <cell r="L52">
            <v>42338</v>
          </cell>
          <cell r="R52">
            <v>5.8823529411764701</v>
          </cell>
          <cell r="T52">
            <v>88.235294117647058</v>
          </cell>
          <cell r="V52">
            <v>5.8823529411764701</v>
          </cell>
          <cell r="AC52">
            <v>169.53</v>
          </cell>
          <cell r="AD52">
            <v>160.30000000000001</v>
          </cell>
        </row>
        <row r="53">
          <cell r="C53" t="str">
            <v>Stifel Nicolaus</v>
          </cell>
          <cell r="D53">
            <v>158</v>
          </cell>
          <cell r="L53">
            <v>42307</v>
          </cell>
          <cell r="R53">
            <v>12.5</v>
          </cell>
          <cell r="T53">
            <v>87.5</v>
          </cell>
          <cell r="V53">
            <v>6.25</v>
          </cell>
          <cell r="AC53">
            <v>175.12</v>
          </cell>
          <cell r="AD53">
            <v>157.33330000000001</v>
          </cell>
        </row>
        <row r="54">
          <cell r="C54" t="str">
            <v>UBS</v>
          </cell>
          <cell r="D54">
            <v>138</v>
          </cell>
          <cell r="L54">
            <v>42277</v>
          </cell>
          <cell r="R54">
            <v>0</v>
          </cell>
          <cell r="T54">
            <v>82.35294117647058</v>
          </cell>
          <cell r="V54">
            <v>5.8823529411764701</v>
          </cell>
          <cell r="AC54">
            <v>159.81</v>
          </cell>
          <cell r="AD54">
            <v>161</v>
          </cell>
        </row>
        <row r="55">
          <cell r="C55"/>
          <cell r="D55" t="str">
            <v/>
          </cell>
          <cell r="L55"/>
          <cell r="R55"/>
          <cell r="T55"/>
          <cell r="V55"/>
          <cell r="AC55"/>
          <cell r="AD55"/>
        </row>
        <row r="56">
          <cell r="C56"/>
          <cell r="D56" t="str">
            <v/>
          </cell>
          <cell r="L56"/>
          <cell r="R56"/>
          <cell r="T56"/>
          <cell r="V56"/>
          <cell r="AC56"/>
          <cell r="AD56"/>
        </row>
        <row r="57">
          <cell r="C57"/>
          <cell r="D57" t="str">
            <v/>
          </cell>
          <cell r="L57"/>
          <cell r="R57"/>
          <cell r="T57"/>
          <cell r="V57"/>
          <cell r="AC57"/>
          <cell r="AD57"/>
        </row>
        <row r="58">
          <cell r="C58"/>
          <cell r="D58" t="str">
            <v/>
          </cell>
          <cell r="L58"/>
          <cell r="R58"/>
          <cell r="T58"/>
          <cell r="V58"/>
          <cell r="AC58"/>
          <cell r="AD58"/>
        </row>
        <row r="59">
          <cell r="C59"/>
          <cell r="D59" t="str">
            <v/>
          </cell>
          <cell r="L59"/>
          <cell r="R59"/>
          <cell r="T59"/>
          <cell r="V59"/>
          <cell r="AC59"/>
          <cell r="AD59"/>
        </row>
        <row r="60">
          <cell r="C60"/>
          <cell r="D60" t="str">
            <v/>
          </cell>
          <cell r="L60"/>
          <cell r="R60"/>
          <cell r="T60"/>
          <cell r="V60"/>
          <cell r="AC60"/>
          <cell r="AD60"/>
        </row>
        <row r="61">
          <cell r="C61"/>
          <cell r="D61" t="str">
            <v/>
          </cell>
          <cell r="L61"/>
          <cell r="R61"/>
          <cell r="T61"/>
          <cell r="V61"/>
          <cell r="AC61"/>
          <cell r="AD61"/>
        </row>
        <row r="62">
          <cell r="C62"/>
          <cell r="D62" t="str">
            <v/>
          </cell>
          <cell r="L62"/>
          <cell r="R62"/>
          <cell r="T62"/>
          <cell r="V62"/>
          <cell r="AC62"/>
          <cell r="AD62"/>
        </row>
        <row r="63">
          <cell r="C63"/>
          <cell r="D63" t="str">
            <v/>
          </cell>
          <cell r="L63"/>
          <cell r="R63"/>
          <cell r="T63"/>
          <cell r="V63"/>
          <cell r="AC63"/>
          <cell r="AD63"/>
        </row>
        <row r="64">
          <cell r="C64"/>
          <cell r="D64" t="str">
            <v/>
          </cell>
          <cell r="L64"/>
          <cell r="R64"/>
          <cell r="T64"/>
          <cell r="V64"/>
          <cell r="AC64"/>
          <cell r="AD64"/>
        </row>
        <row r="65">
          <cell r="C65"/>
          <cell r="D65" t="str">
            <v/>
          </cell>
          <cell r="L65"/>
          <cell r="R65"/>
          <cell r="T65"/>
          <cell r="V65"/>
          <cell r="AC65"/>
          <cell r="AD65"/>
        </row>
        <row r="66">
          <cell r="C66"/>
          <cell r="D66" t="str">
            <v/>
          </cell>
          <cell r="L66"/>
          <cell r="R66"/>
          <cell r="T66"/>
          <cell r="V66"/>
          <cell r="AC66"/>
          <cell r="AD66"/>
        </row>
        <row r="67">
          <cell r="C67"/>
          <cell r="D67" t="str">
            <v/>
          </cell>
          <cell r="L67"/>
          <cell r="R67"/>
          <cell r="T67"/>
          <cell r="V67"/>
          <cell r="AC67"/>
          <cell r="AD67"/>
        </row>
        <row r="68">
          <cell r="C68"/>
          <cell r="D68" t="str">
            <v/>
          </cell>
          <cell r="L68"/>
          <cell r="R68"/>
          <cell r="T68"/>
          <cell r="V68"/>
          <cell r="AC68"/>
          <cell r="AD68"/>
        </row>
        <row r="69">
          <cell r="C69"/>
          <cell r="D69" t="str">
            <v/>
          </cell>
          <cell r="L69"/>
          <cell r="R69"/>
          <cell r="T69"/>
          <cell r="V69"/>
          <cell r="AC69"/>
          <cell r="AD69"/>
        </row>
        <row r="70">
          <cell r="C70"/>
          <cell r="D70" t="str">
            <v/>
          </cell>
          <cell r="L70"/>
          <cell r="R70"/>
          <cell r="T70"/>
          <cell r="V70"/>
          <cell r="AC70"/>
          <cell r="AD70"/>
        </row>
        <row r="71">
          <cell r="C71"/>
          <cell r="D71" t="str">
            <v/>
          </cell>
          <cell r="L71"/>
          <cell r="R71"/>
          <cell r="T71"/>
          <cell r="V71"/>
          <cell r="AC71"/>
          <cell r="AD71"/>
        </row>
        <row r="72">
          <cell r="C72"/>
          <cell r="D72" t="str">
            <v/>
          </cell>
          <cell r="L72"/>
          <cell r="R72"/>
          <cell r="T72"/>
          <cell r="V72"/>
          <cell r="AC72"/>
          <cell r="AD72"/>
        </row>
        <row r="73">
          <cell r="C73"/>
          <cell r="D73" t="str">
            <v/>
          </cell>
          <cell r="L73"/>
          <cell r="R73"/>
          <cell r="T73"/>
          <cell r="V73"/>
          <cell r="AC73"/>
          <cell r="AD73"/>
        </row>
        <row r="74">
          <cell r="C74"/>
          <cell r="D74" t="str">
            <v/>
          </cell>
          <cell r="L74"/>
          <cell r="R74"/>
          <cell r="T74"/>
          <cell r="V74"/>
          <cell r="AC74"/>
          <cell r="AD74"/>
        </row>
        <row r="75">
          <cell r="C75"/>
          <cell r="D75" t="str">
            <v/>
          </cell>
          <cell r="L75"/>
          <cell r="R75"/>
          <cell r="T75"/>
          <cell r="V75"/>
          <cell r="AC75"/>
          <cell r="AD75"/>
        </row>
        <row r="76">
          <cell r="C76"/>
          <cell r="D76" t="str">
            <v/>
          </cell>
          <cell r="L76"/>
          <cell r="R76"/>
          <cell r="T76"/>
          <cell r="V76"/>
          <cell r="AC76"/>
          <cell r="AD76"/>
        </row>
        <row r="77">
          <cell r="C77"/>
          <cell r="D77" t="str">
            <v/>
          </cell>
          <cell r="L77"/>
          <cell r="R77"/>
          <cell r="T77"/>
          <cell r="V77"/>
          <cell r="AC77"/>
          <cell r="AD77"/>
        </row>
        <row r="78">
          <cell r="C78"/>
          <cell r="D78" t="str">
            <v/>
          </cell>
          <cell r="L78"/>
          <cell r="R78"/>
          <cell r="T78"/>
          <cell r="V78"/>
          <cell r="AC78"/>
          <cell r="AD78"/>
        </row>
        <row r="79">
          <cell r="C79"/>
          <cell r="D79" t="str">
            <v/>
          </cell>
          <cell r="L79"/>
          <cell r="R79"/>
          <cell r="T79"/>
          <cell r="V79"/>
          <cell r="AC79"/>
          <cell r="AD79"/>
        </row>
        <row r="80">
          <cell r="C80"/>
          <cell r="D80" t="str">
            <v/>
          </cell>
          <cell r="L80"/>
          <cell r="R80"/>
          <cell r="T80"/>
          <cell r="V80"/>
          <cell r="AC80"/>
          <cell r="AD80"/>
        </row>
        <row r="81">
          <cell r="C81"/>
          <cell r="D81" t="str">
            <v/>
          </cell>
          <cell r="L81"/>
          <cell r="R81"/>
          <cell r="T81"/>
          <cell r="V81"/>
          <cell r="AC81"/>
          <cell r="AD81"/>
        </row>
        <row r="82">
          <cell r="C82"/>
          <cell r="D82" t="str">
            <v/>
          </cell>
          <cell r="L82"/>
          <cell r="R82"/>
          <cell r="T82"/>
          <cell r="V82"/>
          <cell r="AC82"/>
          <cell r="AD82"/>
        </row>
        <row r="83">
          <cell r="C83"/>
          <cell r="D83" t="str">
            <v/>
          </cell>
          <cell r="L83"/>
          <cell r="R83"/>
          <cell r="T83"/>
          <cell r="V83"/>
          <cell r="AC83"/>
          <cell r="AD83"/>
        </row>
        <row r="84">
          <cell r="C84"/>
          <cell r="D84" t="str">
            <v/>
          </cell>
          <cell r="L84"/>
          <cell r="R84"/>
          <cell r="T84"/>
          <cell r="V84"/>
          <cell r="AC84"/>
          <cell r="AD84"/>
        </row>
        <row r="85">
          <cell r="C85"/>
          <cell r="D85" t="str">
            <v/>
          </cell>
          <cell r="L85"/>
          <cell r="R85"/>
          <cell r="T85"/>
          <cell r="V85"/>
          <cell r="AC85"/>
          <cell r="AD85"/>
        </row>
        <row r="86">
          <cell r="C86"/>
          <cell r="D86" t="str">
            <v/>
          </cell>
          <cell r="L86"/>
          <cell r="R86"/>
          <cell r="T86"/>
          <cell r="V86"/>
          <cell r="AC86"/>
          <cell r="AD86"/>
        </row>
        <row r="87">
          <cell r="C87"/>
          <cell r="D87" t="str">
            <v/>
          </cell>
          <cell r="L87"/>
          <cell r="R87"/>
          <cell r="T87"/>
          <cell r="V87"/>
          <cell r="AC87"/>
          <cell r="AD87"/>
        </row>
        <row r="88">
          <cell r="C88"/>
          <cell r="D88" t="str">
            <v/>
          </cell>
          <cell r="L88"/>
          <cell r="R88"/>
          <cell r="T88"/>
          <cell r="V88"/>
          <cell r="AC88"/>
          <cell r="AD88"/>
        </row>
        <row r="89">
          <cell r="C89"/>
          <cell r="D89" t="str">
            <v/>
          </cell>
          <cell r="L89"/>
          <cell r="R89"/>
          <cell r="T89"/>
          <cell r="V89"/>
          <cell r="AC89"/>
          <cell r="AD89"/>
        </row>
        <row r="90">
          <cell r="C90"/>
          <cell r="D90" t="str">
            <v/>
          </cell>
          <cell r="L90"/>
          <cell r="R90"/>
          <cell r="T90"/>
          <cell r="V90"/>
          <cell r="AC90"/>
          <cell r="AD90"/>
        </row>
        <row r="91">
          <cell r="C91"/>
          <cell r="D91" t="str">
            <v/>
          </cell>
          <cell r="L91"/>
          <cell r="R91"/>
          <cell r="T91"/>
          <cell r="V91"/>
          <cell r="AC91"/>
          <cell r="AD91"/>
        </row>
        <row r="92">
          <cell r="C92"/>
          <cell r="D92" t="str">
            <v/>
          </cell>
          <cell r="L92"/>
          <cell r="R92"/>
          <cell r="T92"/>
          <cell r="V92"/>
          <cell r="AC92"/>
          <cell r="AD92"/>
        </row>
        <row r="93">
          <cell r="C93"/>
          <cell r="D93" t="str">
            <v/>
          </cell>
          <cell r="L93"/>
          <cell r="R93"/>
          <cell r="T93"/>
          <cell r="V93"/>
          <cell r="AC93"/>
          <cell r="AD93"/>
        </row>
        <row r="94">
          <cell r="C94"/>
          <cell r="D94" t="str">
            <v/>
          </cell>
          <cell r="L94"/>
          <cell r="R94"/>
          <cell r="T94"/>
          <cell r="V94"/>
          <cell r="AC94"/>
          <cell r="AD94"/>
        </row>
        <row r="95">
          <cell r="C95"/>
          <cell r="D95" t="str">
            <v/>
          </cell>
          <cell r="L95"/>
          <cell r="R95"/>
          <cell r="T95"/>
          <cell r="V95"/>
          <cell r="AC95"/>
          <cell r="AD95"/>
        </row>
        <row r="96">
          <cell r="C96"/>
          <cell r="D96" t="str">
            <v/>
          </cell>
          <cell r="L96"/>
          <cell r="R96"/>
          <cell r="T96"/>
          <cell r="V96"/>
          <cell r="AC96"/>
          <cell r="AD96"/>
        </row>
        <row r="97">
          <cell r="C97"/>
          <cell r="D97" t="str">
            <v/>
          </cell>
          <cell r="L97"/>
          <cell r="R97"/>
          <cell r="T97"/>
          <cell r="V97"/>
          <cell r="AC97"/>
          <cell r="AD97"/>
        </row>
        <row r="98">
          <cell r="C98"/>
          <cell r="D98" t="str">
            <v/>
          </cell>
          <cell r="L98"/>
          <cell r="R98"/>
          <cell r="T98"/>
          <cell r="V98"/>
          <cell r="AC98"/>
          <cell r="AD98"/>
        </row>
      </sheetData>
      <sheetData sheetId="14" refreshError="1"/>
      <sheetData sheetId="15" refreshError="1">
        <row r="9">
          <cell r="B9">
            <v>42636</v>
          </cell>
          <cell r="D9">
            <v>6.3794046981080506</v>
          </cell>
          <cell r="E9">
            <v>6.3650942878439407</v>
          </cell>
          <cell r="F9">
            <v>5.9729388465781463</v>
          </cell>
          <cell r="G9">
            <v>5.5215477156787376</v>
          </cell>
          <cell r="I9">
            <v>20.562394902709936</v>
          </cell>
          <cell r="J9">
            <v>19.160773340794925</v>
          </cell>
          <cell r="K9">
            <v>17.754529269563452</v>
          </cell>
          <cell r="L9">
            <v>16.411981320472496</v>
          </cell>
          <cell r="N9">
            <v>18.544381628358021</v>
          </cell>
          <cell r="O9">
            <v>18.130391390014758</v>
          </cell>
          <cell r="P9">
            <v>16.860995632663474</v>
          </cell>
          <cell r="Q9">
            <v>15.759303679389525</v>
          </cell>
        </row>
        <row r="10">
          <cell r="B10">
            <v>42629</v>
          </cell>
          <cell r="D10">
            <v>6.3084255766166368</v>
          </cell>
          <cell r="E10">
            <v>6.294096089258872</v>
          </cell>
          <cell r="F10">
            <v>5.906442930719388</v>
          </cell>
          <cell r="G10">
            <v>5.4601133617416018</v>
          </cell>
          <cell r="I10">
            <v>20.333611686246694</v>
          </cell>
          <cell r="J10">
            <v>18.945727031605802</v>
          </cell>
          <cell r="K10">
            <v>17.525849988846339</v>
          </cell>
          <cell r="L10">
            <v>16.229376818769367</v>
          </cell>
          <cell r="N10">
            <v>18.338051417488547</v>
          </cell>
          <cell r="O10">
            <v>17.928667355554243</v>
          </cell>
          <cell r="P10">
            <v>16.679332636775349</v>
          </cell>
          <cell r="Q10">
            <v>15.583961059911063</v>
          </cell>
        </row>
        <row r="11">
          <cell r="B11">
            <v>42622</v>
          </cell>
          <cell r="D11">
            <v>6.3031021425047831</v>
          </cell>
          <cell r="E11">
            <v>6.2877271987028358</v>
          </cell>
          <cell r="F11">
            <v>5.8931560121311071</v>
          </cell>
          <cell r="G11">
            <v>5.4618349896286151</v>
          </cell>
          <cell r="I11">
            <v>20.316452945011957</v>
          </cell>
          <cell r="J11">
            <v>18.927646441176417</v>
          </cell>
          <cell r="K11">
            <v>17.447912982654692</v>
          </cell>
          <cell r="L11">
            <v>16.147083925707982</v>
          </cell>
          <cell r="N11">
            <v>18.322576651673341</v>
          </cell>
          <cell r="O11">
            <v>17.933724614083587</v>
          </cell>
          <cell r="P11">
            <v>16.629535936487233</v>
          </cell>
          <cell r="Q11">
            <v>15.570810363450184</v>
          </cell>
        </row>
        <row r="12">
          <cell r="B12">
            <v>42615</v>
          </cell>
          <cell r="D12">
            <v>6.4840989023078857</v>
          </cell>
          <cell r="E12">
            <v>6.4682824592334551</v>
          </cell>
          <cell r="F12">
            <v>6.0623809618613418</v>
          </cell>
          <cell r="G12">
            <v>5.6186743384685407</v>
          </cell>
          <cell r="I12">
            <v>20.89985014699322</v>
          </cell>
          <cell r="J12">
            <v>19.471163363336</v>
          </cell>
          <cell r="K12">
            <v>17.948938611589213</v>
          </cell>
          <cell r="L12">
            <v>16.610755591618908</v>
          </cell>
          <cell r="N12">
            <v>18.848718689390502</v>
          </cell>
          <cell r="O12">
            <v>18.472169949981257</v>
          </cell>
          <cell r="P12">
            <v>17.107061455427555</v>
          </cell>
          <cell r="Q12">
            <v>16.017934043120256</v>
          </cell>
        </row>
        <row r="13">
          <cell r="B13">
            <v>42608</v>
          </cell>
          <cell r="D13">
            <v>7.2619296559927822</v>
          </cell>
          <cell r="E13">
            <v>6.4708512967271181</v>
          </cell>
          <cell r="F13">
            <v>6.0647885981409653</v>
          </cell>
          <cell r="G13">
            <v>5.6209057594672851</v>
          </cell>
          <cell r="I13">
            <v>21.98972679585216</v>
          </cell>
          <cell r="J13">
            <v>19.478896212791515</v>
          </cell>
          <cell r="K13">
            <v>17.95606691910632</v>
          </cell>
          <cell r="L13">
            <v>16.617352448208081</v>
          </cell>
          <cell r="N13">
            <v>20.094986053510578</v>
          </cell>
          <cell r="O13">
            <v>18.479506055517142</v>
          </cell>
          <cell r="P13">
            <v>17.11385541675347</v>
          </cell>
          <cell r="Q13">
            <v>16.024295464378579</v>
          </cell>
        </row>
        <row r="14">
          <cell r="B14">
            <v>42601</v>
          </cell>
          <cell r="D14">
            <v>7.1634055858569807</v>
          </cell>
          <cell r="E14">
            <v>6.3843708967136275</v>
          </cell>
          <cell r="F14">
            <v>5.9924582215300299</v>
          </cell>
          <cell r="G14">
            <v>5.5730661188785238</v>
          </cell>
          <cell r="I14">
            <v>21.691387719637927</v>
          </cell>
          <cell r="J14">
            <v>19.214622083524326</v>
          </cell>
          <cell r="K14">
            <v>17.698904145053913</v>
          </cell>
          <cell r="L14">
            <v>16.196916237958376</v>
          </cell>
          <cell r="N14">
            <v>19.822353308620219</v>
          </cell>
          <cell r="O14">
            <v>18.22879085488362</v>
          </cell>
          <cell r="P14">
            <v>17.021099494414624</v>
          </cell>
          <cell r="Q14">
            <v>16.025508587540173</v>
          </cell>
        </row>
        <row r="15">
          <cell r="B15">
            <v>42594</v>
          </cell>
          <cell r="D15">
            <v>7.0652853028938667</v>
          </cell>
          <cell r="E15">
            <v>6.2969213908300272</v>
          </cell>
          <cell r="F15">
            <v>5.9103769140717386</v>
          </cell>
          <cell r="G15">
            <v>5.4967294075193154</v>
          </cell>
          <cell r="I15">
            <v>21.394271344555715</v>
          </cell>
          <cell r="J15">
            <v>18.951431044950851</v>
          </cell>
          <cell r="K15">
            <v>17.456474554542044</v>
          </cell>
          <cell r="L15">
            <v>15.975060029294713</v>
          </cell>
          <cell r="N15">
            <v>19.550837911044979</v>
          </cell>
          <cell r="O15">
            <v>17.979103175564173</v>
          </cell>
          <cell r="P15">
            <v>16.787954089101728</v>
          </cell>
          <cell r="Q15">
            <v>15.806000224040309</v>
          </cell>
        </row>
        <row r="16">
          <cell r="B16">
            <v>42587</v>
          </cell>
          <cell r="D16">
            <v>7.1226230814155223</v>
          </cell>
          <cell r="E16">
            <v>6.3480235712229138</v>
          </cell>
          <cell r="F16">
            <v>5.9583421225453082</v>
          </cell>
          <cell r="G16">
            <v>5.541337691523462</v>
          </cell>
          <cell r="I16">
            <v>21.567894905303348</v>
          </cell>
          <cell r="J16">
            <v>19.105229923458808</v>
          </cell>
          <cell r="K16">
            <v>17.59814122883293</v>
          </cell>
          <cell r="L16">
            <v>16.10470439814344</v>
          </cell>
          <cell r="N16">
            <v>19.70950122979265</v>
          </cell>
          <cell r="O16">
            <v>18.125011202162369</v>
          </cell>
          <cell r="P16">
            <v>16.924195437062352</v>
          </cell>
          <cell r="Q16">
            <v>15.934272601064922</v>
          </cell>
        </row>
        <row r="17">
          <cell r="B17">
            <v>42580</v>
          </cell>
          <cell r="D17">
            <v>7.0317709675607869</v>
          </cell>
          <cell r="E17">
            <v>6.2670518065158767</v>
          </cell>
          <cell r="F17">
            <v>5.8823409119357795</v>
          </cell>
          <cell r="G17">
            <v>5.4706555513760478</v>
          </cell>
          <cell r="I17">
            <v>21.292787150597597</v>
          </cell>
          <cell r="J17">
            <v>18.861534517372263</v>
          </cell>
          <cell r="K17">
            <v>17.373669385766387</v>
          </cell>
          <cell r="L17">
            <v>15.899281982714122</v>
          </cell>
          <cell r="N17">
            <v>19.458098083889652</v>
          </cell>
          <cell r="O17">
            <v>17.893818906496215</v>
          </cell>
          <cell r="P17">
            <v>16.708320061772636</v>
          </cell>
          <cell r="Q17">
            <v>15.731024116342827</v>
          </cell>
        </row>
        <row r="18">
          <cell r="B18">
            <v>42573</v>
          </cell>
          <cell r="D18">
            <v>6.9433415767421787</v>
          </cell>
          <cell r="E18">
            <v>6.1882392888676954</v>
          </cell>
          <cell r="F18">
            <v>5.8083664002758386</v>
          </cell>
          <cell r="G18">
            <v>5.4018582682992307</v>
          </cell>
          <cell r="I18">
            <v>21.025015602684</v>
          </cell>
          <cell r="J18">
            <v>18.624337655448024</v>
          </cell>
          <cell r="K18">
            <v>17.155183458514955</v>
          </cell>
          <cell r="L18">
            <v>15.699337498362922</v>
          </cell>
          <cell r="N18">
            <v>19.213399021877404</v>
          </cell>
          <cell r="O18">
            <v>17.668791738714489</v>
          </cell>
          <cell r="P18">
            <v>16.49820136315731</v>
          </cell>
          <cell r="Q18">
            <v>15.533195591213319</v>
          </cell>
        </row>
        <row r="19">
          <cell r="B19">
            <v>42566</v>
          </cell>
          <cell r="D19">
            <v>6.8460288681244403</v>
          </cell>
          <cell r="E19">
            <v>6.101509532003714</v>
          </cell>
          <cell r="F19">
            <v>5.7269606591340771</v>
          </cell>
          <cell r="G19">
            <v>5.3261498426302216</v>
          </cell>
          <cell r="I19">
            <v>20.73034462986584</v>
          </cell>
          <cell r="J19">
            <v>18.36331279826199</v>
          </cell>
          <cell r="K19">
            <v>16.914749173274792</v>
          </cell>
          <cell r="L19">
            <v>15.479307266725298</v>
          </cell>
          <cell r="N19">
            <v>18.944118318932418</v>
          </cell>
          <cell r="O19">
            <v>17.421159102023186</v>
          </cell>
          <cell r="P19">
            <v>16.266974850069214</v>
          </cell>
          <cell r="Q19">
            <v>15.315493880910985</v>
          </cell>
        </row>
        <row r="20">
          <cell r="B20">
            <v>42559</v>
          </cell>
          <cell r="D20">
            <v>6.5900278006404323</v>
          </cell>
          <cell r="E20">
            <v>5.8733490927847756</v>
          </cell>
          <cell r="F20">
            <v>5.5128061367943397</v>
          </cell>
          <cell r="G20">
            <v>5.126983278837062</v>
          </cell>
          <cell r="I20">
            <v>19.955152112161638</v>
          </cell>
          <cell r="J20">
            <v>17.676633298444788</v>
          </cell>
          <cell r="K20">
            <v>16.282237402145071</v>
          </cell>
          <cell r="L20">
            <v>14.900472549471136</v>
          </cell>
          <cell r="N20">
            <v>18.23572012114353</v>
          </cell>
          <cell r="O20">
            <v>16.769710588901663</v>
          </cell>
          <cell r="P20">
            <v>15.658686014808413</v>
          </cell>
          <cell r="Q20">
            <v>14.742784817294057</v>
          </cell>
        </row>
        <row r="21">
          <cell r="B21">
            <v>42552</v>
          </cell>
          <cell r="D21">
            <v>6.5964883954034343</v>
          </cell>
          <cell r="E21">
            <v>5.8548607582015988</v>
          </cell>
          <cell r="F21">
            <v>5.4184936783037179</v>
          </cell>
          <cell r="G21">
            <v>5.0435489504248503</v>
          </cell>
          <cell r="I21">
            <v>19.974715330274044</v>
          </cell>
          <cell r="J21">
            <v>17.812316586883053</v>
          </cell>
          <cell r="K21">
            <v>16.351229035376949</v>
          </cell>
          <cell r="L21">
            <v>15.63972742738488</v>
          </cell>
          <cell r="N21">
            <v>18.253597678185518</v>
          </cell>
          <cell r="O21">
            <v>16.126144733826891</v>
          </cell>
          <cell r="P21">
            <v>14.854307089604108</v>
          </cell>
          <cell r="Q21">
            <v>14.450261243688663</v>
          </cell>
        </row>
        <row r="22">
          <cell r="B22">
            <v>42545</v>
          </cell>
          <cell r="D22">
            <v>6.3660616134768553</v>
          </cell>
          <cell r="E22">
            <v>5.6483634033202579</v>
          </cell>
          <cell r="F22">
            <v>5.2007691983232522</v>
          </cell>
          <cell r="G22">
            <v>4.8026688096540244</v>
          </cell>
          <cell r="I22">
            <v>19.276963875627082</v>
          </cell>
          <cell r="J22">
            <v>17.069614994274836</v>
          </cell>
          <cell r="K22">
            <v>15.532122616075938</v>
          </cell>
          <cell r="L22">
            <v>14.836143243336718</v>
          </cell>
          <cell r="N22">
            <v>17.615967848578347</v>
          </cell>
          <cell r="O22">
            <v>15.639370873168483</v>
          </cell>
          <cell r="P22">
            <v>14.279370889905586</v>
          </cell>
          <cell r="Q22">
            <v>13.772834290275572</v>
          </cell>
        </row>
        <row r="23">
          <cell r="B23">
            <v>42538</v>
          </cell>
          <cell r="D23">
            <v>6.3866790748871312</v>
          </cell>
          <cell r="E23">
            <v>5.6703094631785662</v>
          </cell>
          <cell r="F23">
            <v>5.2182309031536827</v>
          </cell>
          <cell r="G23">
            <v>4.8182229850392826</v>
          </cell>
          <cell r="I23">
            <v>19.339395263028617</v>
          </cell>
          <cell r="J23">
            <v>17.124897545685851</v>
          </cell>
          <cell r="K23">
            <v>15.593501945011514</v>
          </cell>
          <cell r="L23">
            <v>14.884192355860113</v>
          </cell>
          <cell r="N23">
            <v>17.673019847031181</v>
          </cell>
          <cell r="O23">
            <v>15.717247917411516</v>
          </cell>
          <cell r="P23">
            <v>14.332143618837684</v>
          </cell>
          <cell r="Q23">
            <v>13.817439714591407</v>
          </cell>
        </row>
        <row r="24">
          <cell r="B24">
            <v>42531</v>
          </cell>
          <cell r="D24">
            <v>6.5200861781300832</v>
          </cell>
          <cell r="E24">
            <v>5.7887527967332773</v>
          </cell>
          <cell r="F24">
            <v>5.3272310675082517</v>
          </cell>
          <cell r="G24">
            <v>4.9188676492968266</v>
          </cell>
          <cell r="I24">
            <v>19.743363063862059</v>
          </cell>
          <cell r="J24">
            <v>17.482608172462985</v>
          </cell>
          <cell r="K24">
            <v>15.91922426478129</v>
          </cell>
          <cell r="L24">
            <v>15.195098378070298</v>
          </cell>
          <cell r="N24">
            <v>18.042179837020075</v>
          </cell>
          <cell r="O24">
            <v>16.045555084724484</v>
          </cell>
          <cell r="P24">
            <v>14.631518261125448</v>
          </cell>
          <cell r="Q24">
            <v>14.106063048399726</v>
          </cell>
        </row>
        <row r="25">
          <cell r="B25">
            <v>42524</v>
          </cell>
          <cell r="D25">
            <v>6.5136179549425455</v>
          </cell>
          <cell r="E25">
            <v>5.7830100896518362</v>
          </cell>
          <cell r="F25">
            <v>5.321946211054696</v>
          </cell>
          <cell r="G25">
            <v>4.9139879079994904</v>
          </cell>
          <cell r="I25">
            <v>19.723776746245889</v>
          </cell>
          <cell r="J25">
            <v>17.465264626922274</v>
          </cell>
          <cell r="K25">
            <v>15.903431667459117</v>
          </cell>
          <cell r="L25">
            <v>15.180024146690409</v>
          </cell>
          <cell r="N25">
            <v>18.024281170838794</v>
          </cell>
          <cell r="O25">
            <v>16.029637161460823</v>
          </cell>
          <cell r="P25">
            <v>14.617003126953918</v>
          </cell>
          <cell r="Q25">
            <v>14.092069189790836</v>
          </cell>
        </row>
        <row r="26">
          <cell r="B26">
            <v>42517</v>
          </cell>
          <cell r="D26">
            <v>6.580583382109034</v>
          </cell>
          <cell r="E26">
            <v>5.842464258385788</v>
          </cell>
          <cell r="F26">
            <v>5.3766602584313814</v>
          </cell>
          <cell r="G26">
            <v>4.9645078036437305</v>
          </cell>
          <cell r="I26">
            <v>19.92655362758671</v>
          </cell>
          <cell r="J26">
            <v>17.644822119303317</v>
          </cell>
          <cell r="K26">
            <v>16.066932213912928</v>
          </cell>
          <cell r="L26">
            <v>15.336087460260925</v>
          </cell>
          <cell r="N26">
            <v>18.209585819702678</v>
          </cell>
          <cell r="O26">
            <v>16.194435205691605</v>
          </cell>
          <cell r="P26">
            <v>14.767278114689057</v>
          </cell>
          <cell r="Q26">
            <v>14.236947418677133</v>
          </cell>
        </row>
        <row r="27">
          <cell r="B27">
            <v>42510</v>
          </cell>
          <cell r="D27">
            <v>6.4104476562264043</v>
          </cell>
          <cell r="E27">
            <v>5.6914120127374375</v>
          </cell>
          <cell r="F27">
            <v>5.2376510030544914</v>
          </cell>
          <cell r="G27">
            <v>4.8361544207021403</v>
          </cell>
          <cell r="I27">
            <v>19.41136850357692</v>
          </cell>
          <cell r="J27">
            <v>17.188629340483846</v>
          </cell>
          <cell r="K27">
            <v>15.651534517965038</v>
          </cell>
          <cell r="L27">
            <v>14.939585171520873</v>
          </cell>
          <cell r="N27">
            <v>17.738791526619163</v>
          </cell>
          <cell r="O27">
            <v>15.775741021757945</v>
          </cell>
          <cell r="P27">
            <v>14.385481937136776</v>
          </cell>
          <cell r="Q27">
            <v>13.868862517570211</v>
          </cell>
        </row>
        <row r="28">
          <cell r="B28">
            <v>42503</v>
          </cell>
          <cell r="D28">
            <v>6.2082338340556422</v>
          </cell>
          <cell r="E28">
            <v>5.5118797494131462</v>
          </cell>
          <cell r="F28">
            <v>5.072432365398905</v>
          </cell>
          <cell r="G28">
            <v>4.6836007579219219</v>
          </cell>
          <cell r="I28">
            <v>18.799048236854066</v>
          </cell>
          <cell r="J28">
            <v>16.646424080693642</v>
          </cell>
          <cell r="K28">
            <v>15.157816015382579</v>
          </cell>
          <cell r="L28">
            <v>14.468324694689022</v>
          </cell>
          <cell r="N28">
            <v>17.179231722429211</v>
          </cell>
          <cell r="O28">
            <v>15.278104497655409</v>
          </cell>
          <cell r="P28">
            <v>13.931700322766764</v>
          </cell>
          <cell r="Q28">
            <v>13.431377360645993</v>
          </cell>
        </row>
        <row r="29">
          <cell r="B29">
            <v>42496</v>
          </cell>
          <cell r="D29">
            <v>6.2151367155353672</v>
          </cell>
          <cell r="E29">
            <v>5.5180083608117663</v>
          </cell>
          <cell r="F29">
            <v>5.0780723590538148</v>
          </cell>
          <cell r="G29">
            <v>4.6888084130770702</v>
          </cell>
          <cell r="I29">
            <v>18.819950735918905</v>
          </cell>
          <cell r="J29">
            <v>16.664933095586079</v>
          </cell>
          <cell r="K29">
            <v>15.174669859848246</v>
          </cell>
          <cell r="L29">
            <v>14.484411899721435</v>
          </cell>
          <cell r="N29">
            <v>17.198333161528065</v>
          </cell>
          <cell r="O29">
            <v>15.295092089843648</v>
          </cell>
          <cell r="P29">
            <v>13.947190859803491</v>
          </cell>
          <cell r="Q29">
            <v>13.446311592910474</v>
          </cell>
        </row>
        <row r="30">
          <cell r="B30">
            <v>42489</v>
          </cell>
          <cell r="D30">
            <v>6.2224456488668407</v>
          </cell>
          <cell r="E30">
            <v>5.524497478763247</v>
          </cell>
          <cell r="F30">
            <v>5.0840441170413664</v>
          </cell>
          <cell r="G30">
            <v>4.694322400888403</v>
          </cell>
          <cell r="I30">
            <v>18.842082793752262</v>
          </cell>
          <cell r="J30">
            <v>16.684530876060425</v>
          </cell>
          <cell r="K30">
            <v>15.192515106929539</v>
          </cell>
          <cell r="L30">
            <v>14.501445410932225</v>
          </cell>
          <cell r="N30">
            <v>17.218558214691559</v>
          </cell>
          <cell r="O30">
            <v>15.313078952160607</v>
          </cell>
          <cell r="P30">
            <v>13.963592604901203</v>
          </cell>
          <cell r="Q30">
            <v>13.462124309425809</v>
          </cell>
        </row>
        <row r="31">
          <cell r="B31">
            <v>42482</v>
          </cell>
          <cell r="D31">
            <v>6.3962358414152067</v>
          </cell>
          <cell r="E31">
            <v>5.6787942833873375</v>
          </cell>
          <cell r="F31">
            <v>5.2265652164232606</v>
          </cell>
          <cell r="G31">
            <v>4.824843454954749</v>
          </cell>
          <cell r="I31">
            <v>19.368333946678728</v>
          </cell>
          <cell r="J31">
            <v>17.150522545117067</v>
          </cell>
          <cell r="K31">
            <v>15.61683542641808</v>
          </cell>
          <cell r="L31">
            <v>14.906464455277671</v>
          </cell>
          <cell r="N31">
            <v>17.69946503435682</v>
          </cell>
          <cell r="O31">
            <v>15.740766567252749</v>
          </cell>
          <cell r="P31">
            <v>14.35358965500234</v>
          </cell>
          <cell r="Q31">
            <v>13.838115568790396</v>
          </cell>
        </row>
        <row r="32">
          <cell r="B32">
            <v>42475</v>
          </cell>
          <cell r="D32">
            <v>6.3503519821676244</v>
          </cell>
          <cell r="E32">
            <v>5.6377388524254641</v>
          </cell>
          <cell r="F32">
            <v>5.189893475411127</v>
          </cell>
          <cell r="G32">
            <v>4.790232092355307</v>
          </cell>
          <cell r="I32">
            <v>19.229393805835993</v>
          </cell>
          <cell r="J32">
            <v>17.027492034361458</v>
          </cell>
          <cell r="K32">
            <v>15.504806930852178</v>
          </cell>
          <cell r="L32">
            <v>14.799531857121046</v>
          </cell>
          <cell r="N32">
            <v>17.57249664505267</v>
          </cell>
          <cell r="O32">
            <v>15.577969667740641</v>
          </cell>
          <cell r="P32">
            <v>14.250623144111151</v>
          </cell>
          <cell r="Q32">
            <v>13.738846848444139</v>
          </cell>
        </row>
        <row r="33">
          <cell r="B33">
            <v>42468</v>
          </cell>
          <cell r="D33">
            <v>6.1294597748164303</v>
          </cell>
          <cell r="E33">
            <v>5.4416343556859363</v>
          </cell>
          <cell r="F33">
            <v>5.0093669425637604</v>
          </cell>
          <cell r="G33">
            <v>4.6582654265943919</v>
          </cell>
          <cell r="I33">
            <v>18.560513835761231</v>
          </cell>
          <cell r="J33">
            <v>16.435203557803483</v>
          </cell>
          <cell r="K33">
            <v>14.96548390795086</v>
          </cell>
          <cell r="L33">
            <v>14.284741296083844</v>
          </cell>
          <cell r="N33">
            <v>16.96125059388935</v>
          </cell>
          <cell r="O33">
            <v>14.99394856762242</v>
          </cell>
          <cell r="P33">
            <v>13.715290473137118</v>
          </cell>
          <cell r="Q33">
            <v>13.060605184060517</v>
          </cell>
        </row>
        <row r="34">
          <cell r="B34">
            <v>42461</v>
          </cell>
          <cell r="D34">
            <v>6.3032499673647973</v>
          </cell>
          <cell r="E34">
            <v>5.5959224523854179</v>
          </cell>
          <cell r="F34">
            <v>5.1513988470833807</v>
          </cell>
          <cell r="G34">
            <v>4.7903424570621347</v>
          </cell>
          <cell r="I34">
            <v>19.086764988687701</v>
          </cell>
          <cell r="J34">
            <v>16.901195226860128</v>
          </cell>
          <cell r="K34">
            <v>15.3898042274394</v>
          </cell>
          <cell r="L34">
            <v>14.689760340429292</v>
          </cell>
          <cell r="N34">
            <v>17.442157413554614</v>
          </cell>
          <cell r="O34">
            <v>15.419075953127685</v>
          </cell>
          <cell r="P34">
            <v>14.10416372783674</v>
          </cell>
          <cell r="Q34">
            <v>13.430915973775104</v>
          </cell>
        </row>
        <row r="35">
          <cell r="B35">
            <v>42454</v>
          </cell>
          <cell r="D35">
            <v>6.175662118780096</v>
          </cell>
          <cell r="E35">
            <v>5.4826520426375449</v>
          </cell>
          <cell r="F35">
            <v>5.0471263052194164</v>
          </cell>
          <cell r="G35">
            <v>4.6933782733085234</v>
          </cell>
          <cell r="I35">
            <v>18.700418374804869</v>
          </cell>
          <cell r="J35">
            <v>16.559088036336217</v>
          </cell>
          <cell r="K35">
            <v>15.078290005143749</v>
          </cell>
          <cell r="L35">
            <v>14.392416124705003</v>
          </cell>
          <cell r="N35">
            <v>17.089100284201784</v>
          </cell>
          <cell r="O35">
            <v>15.106969224343434</v>
          </cell>
          <cell r="P35">
            <v>13.818672923023648</v>
          </cell>
          <cell r="Q35">
            <v>13.159052778996511</v>
          </cell>
        </row>
        <row r="36">
          <cell r="B36">
            <v>42447</v>
          </cell>
          <cell r="D36">
            <v>6.2139430335489401</v>
          </cell>
          <cell r="E36">
            <v>5.5216523653258536</v>
          </cell>
          <cell r="F36">
            <v>5.0796529661085765</v>
          </cell>
          <cell r="G36">
            <v>4.7192790425052014</v>
          </cell>
          <cell r="I36">
            <v>18.816336167614597</v>
          </cell>
          <cell r="J36">
            <v>16.689415424853202</v>
          </cell>
          <cell r="K36">
            <v>15.18939645933558</v>
          </cell>
          <cell r="L36">
            <v>14.481630016979343</v>
          </cell>
          <cell r="N36">
            <v>17.195030041833181</v>
          </cell>
          <cell r="O36">
            <v>15.251994388747457</v>
          </cell>
          <cell r="P36">
            <v>13.947894705863467</v>
          </cell>
          <cell r="Q36">
            <v>13.098180889340661</v>
          </cell>
        </row>
        <row r="37">
          <cell r="B37">
            <v>42440</v>
          </cell>
          <cell r="D37">
            <v>6.3951665130397473</v>
          </cell>
          <cell r="E37">
            <v>5.6671050048894962</v>
          </cell>
          <cell r="F37">
            <v>5.1953058303114226</v>
          </cell>
          <cell r="G37">
            <v>4.8783002756449019</v>
          </cell>
          <cell r="I37">
            <v>19.365095931447886</v>
          </cell>
          <cell r="J37">
            <v>17.63637309914769</v>
          </cell>
          <cell r="K37">
            <v>15.925398249416689</v>
          </cell>
          <cell r="L37">
            <v>14.845842739118305</v>
          </cell>
          <cell r="N37">
            <v>17.696506022109467</v>
          </cell>
          <cell r="O37">
            <v>15.99626978493499</v>
          </cell>
          <cell r="P37">
            <v>14.511568100217051</v>
          </cell>
          <cell r="Q37">
            <v>13.486930759976817</v>
          </cell>
        </row>
        <row r="38">
          <cell r="B38">
            <v>42433</v>
          </cell>
          <cell r="D38">
            <v>6.4232663334551754</v>
          </cell>
          <cell r="E38">
            <v>5.6919356442920357</v>
          </cell>
          <cell r="F38">
            <v>5.2132790405954044</v>
          </cell>
          <cell r="G38">
            <v>4.8800752529372566</v>
          </cell>
          <cell r="I38">
            <v>19.45018452404226</v>
          </cell>
          <cell r="J38">
            <v>17.713632925951725</v>
          </cell>
          <cell r="K38">
            <v>15.971500082491053</v>
          </cell>
          <cell r="L38">
            <v>14.853712475462938</v>
          </cell>
          <cell r="N38">
            <v>17.774262971860171</v>
          </cell>
          <cell r="O38">
            <v>16.066340490476701</v>
          </cell>
          <cell r="P38">
            <v>14.561562633346581</v>
          </cell>
          <cell r="Q38">
            <v>13.498827806912423</v>
          </cell>
        </row>
        <row r="39">
          <cell r="B39">
            <v>42426</v>
          </cell>
          <cell r="D39">
            <v>6.2667207394007258</v>
          </cell>
          <cell r="E39">
            <v>5.5533799775941768</v>
          </cell>
          <cell r="F39">
            <v>5.0863376448434625</v>
          </cell>
          <cell r="G39">
            <v>4.7611397706075769</v>
          </cell>
          <cell r="I39">
            <v>18.976151449167876</v>
          </cell>
          <cell r="J39">
            <v>17.28192247751327</v>
          </cell>
          <cell r="K39">
            <v>15.582248284643006</v>
          </cell>
          <cell r="L39">
            <v>14.491703005098264</v>
          </cell>
          <cell r="N39">
            <v>17.341074869209425</v>
          </cell>
          <cell r="O39">
            <v>15.674777275471445</v>
          </cell>
          <cell r="P39">
            <v>14.206673336459506</v>
          </cell>
          <cell r="Q39">
            <v>13.169839110450397</v>
          </cell>
        </row>
        <row r="40">
          <cell r="B40">
            <v>42419</v>
          </cell>
          <cell r="D40">
            <v>6.1677086287865066</v>
          </cell>
          <cell r="E40">
            <v>5.4656384145838341</v>
          </cell>
          <cell r="F40">
            <v>5.0059751958921037</v>
          </cell>
          <cell r="G40">
            <v>4.6859153402841933</v>
          </cell>
          <cell r="I40">
            <v>18.676334545806572</v>
          </cell>
          <cell r="J40">
            <v>17.008873830361722</v>
          </cell>
          <cell r="K40">
            <v>15.336053926391637</v>
          </cell>
          <cell r="L40">
            <v>14.262738900808783</v>
          </cell>
          <cell r="N40">
            <v>17.067091633874799</v>
          </cell>
          <cell r="O40">
            <v>15.427120989833186</v>
          </cell>
          <cell r="P40">
            <v>13.982212606463085</v>
          </cell>
          <cell r="Q40">
            <v>12.961760017572216</v>
          </cell>
        </row>
        <row r="41">
          <cell r="B41">
            <v>42412</v>
          </cell>
          <cell r="D41">
            <v>5.8416232892843016</v>
          </cell>
          <cell r="E41">
            <v>5.1766713661572092</v>
          </cell>
          <cell r="F41">
            <v>4.7413104363291572</v>
          </cell>
          <cell r="G41">
            <v>4.4381720718224669</v>
          </cell>
          <cell r="I41">
            <v>17.68892102523235</v>
          </cell>
          <cell r="J41">
            <v>16.109618575073355</v>
          </cell>
          <cell r="K41">
            <v>14.525240275456337</v>
          </cell>
          <cell r="L41">
            <v>13.508671168913253</v>
          </cell>
          <cell r="N41">
            <v>16.164758416677689</v>
          </cell>
          <cell r="O41">
            <v>14.611492644156762</v>
          </cell>
          <cell r="P41">
            <v>13.242976235359155</v>
          </cell>
          <cell r="Q41">
            <v>12.276474740613903</v>
          </cell>
        </row>
        <row r="42">
          <cell r="B42">
            <v>42405</v>
          </cell>
          <cell r="D42">
            <v>5.9259063255922735</v>
          </cell>
          <cell r="E42">
            <v>5.2513604652486574</v>
          </cell>
          <cell r="F42">
            <v>4.8097181408084131</v>
          </cell>
          <cell r="G42">
            <v>4.5022060910233641</v>
          </cell>
          <cell r="I42">
            <v>17.944137066936602</v>
          </cell>
          <cell r="J42">
            <v>16.342048415210623</v>
          </cell>
          <cell r="K42">
            <v>14.734810679587667</v>
          </cell>
          <cell r="L42">
            <v>13.703574497358018</v>
          </cell>
          <cell r="N42">
            <v>16.397983815350965</v>
          </cell>
          <cell r="O42">
            <v>14.822307498873627</v>
          </cell>
          <cell r="P42">
            <v>13.434046112959416</v>
          </cell>
          <cell r="Q42">
            <v>12.453599918849049</v>
          </cell>
        </row>
        <row r="43">
          <cell r="B43">
            <v>42398</v>
          </cell>
          <cell r="D43">
            <v>6.2618110479653115</v>
          </cell>
          <cell r="E43">
            <v>5.5490291562878795</v>
          </cell>
          <cell r="F43">
            <v>5.0823527300194291</v>
          </cell>
          <cell r="G43">
            <v>4.7574096335667493</v>
          </cell>
          <cell r="I43">
            <v>18.961284495282197</v>
          </cell>
          <cell r="J43">
            <v>17.268382875175178</v>
          </cell>
          <cell r="K43">
            <v>15.570040299936331</v>
          </cell>
          <cell r="L43">
            <v>14.448347199807531</v>
          </cell>
          <cell r="N43">
            <v>17.327488923655647</v>
          </cell>
          <cell r="O43">
            <v>15.662496798497649</v>
          </cell>
          <cell r="P43">
            <v>14.195543052327455</v>
          </cell>
          <cell r="Q43">
            <v>13.13308550899985</v>
          </cell>
        </row>
        <row r="44">
          <cell r="B44">
            <v>42391</v>
          </cell>
          <cell r="D44">
            <v>6.0641959676898214</v>
          </cell>
          <cell r="E44">
            <v>5.3739085987093853</v>
          </cell>
          <cell r="F44">
            <v>4.9219599083520471</v>
          </cell>
          <cell r="G44">
            <v>4.6072716176733817</v>
          </cell>
          <cell r="I44">
            <v>18.362889601383387</v>
          </cell>
          <cell r="J44">
            <v>16.723413881066922</v>
          </cell>
          <cell r="K44">
            <v>15.078668915492477</v>
          </cell>
          <cell r="L44">
            <v>13.992375074512266</v>
          </cell>
          <cell r="N44">
            <v>16.780654615115864</v>
          </cell>
          <cell r="O44">
            <v>15.168207600302274</v>
          </cell>
          <cell r="P44">
            <v>13.747549116012276</v>
          </cell>
          <cell r="Q44">
            <v>12.718621430277897</v>
          </cell>
        </row>
        <row r="45">
          <cell r="B45">
            <v>42384</v>
          </cell>
          <cell r="D45">
            <v>6.1030643582201964</v>
          </cell>
          <cell r="E45">
            <v>5.4083526007175768</v>
          </cell>
          <cell r="F45">
            <v>4.9535071507089841</v>
          </cell>
          <cell r="G45">
            <v>4.6368018692466109</v>
          </cell>
          <cell r="I45">
            <v>18.480586319645056</v>
          </cell>
          <cell r="J45">
            <v>16.830602399576822</v>
          </cell>
          <cell r="K45">
            <v>15.17531546108702</v>
          </cell>
          <cell r="L45">
            <v>14.082059032903672</v>
          </cell>
          <cell r="N45">
            <v>16.888210017416647</v>
          </cell>
          <cell r="O45">
            <v>15.265428043011507</v>
          </cell>
          <cell r="P45">
            <v>13.835663865391036</v>
          </cell>
          <cell r="Q45">
            <v>12.80014128013004</v>
          </cell>
        </row>
        <row r="46">
          <cell r="B46">
            <v>42377</v>
          </cell>
          <cell r="D46">
            <v>6.2462636917531595</v>
          </cell>
          <cell r="E46">
            <v>5.5350859056800585</v>
          </cell>
          <cell r="F46">
            <v>5.0696193954536515</v>
          </cell>
          <cell r="G46">
            <v>4.745597532937456</v>
          </cell>
          <cell r="I46">
            <v>18.914205807977524</v>
          </cell>
          <cell r="J46">
            <v>17.225507467771212</v>
          </cell>
          <cell r="K46">
            <v>15.531381681698507</v>
          </cell>
          <cell r="L46">
            <v>14.412473616450963</v>
          </cell>
          <cell r="N46">
            <v>17.284466762735327</v>
          </cell>
          <cell r="O46">
            <v>15.623608621413952</v>
          </cell>
          <cell r="P46">
            <v>14.160297152575948</v>
          </cell>
          <cell r="Q46">
            <v>13.100477569058988</v>
          </cell>
        </row>
        <row r="47">
          <cell r="B47">
            <v>42370</v>
          </cell>
          <cell r="D47">
            <v>6.7474613591185308</v>
          </cell>
          <cell r="E47">
            <v>5.9763626057232697</v>
          </cell>
          <cell r="F47">
            <v>5.4644037594493433</v>
          </cell>
          <cell r="G47">
            <v>5.0879976883093203</v>
          </cell>
          <cell r="I47">
            <v>20.431874017141165</v>
          </cell>
          <cell r="J47">
            <v>18.60327753714299</v>
          </cell>
          <cell r="K47">
            <v>16.767848245560408</v>
          </cell>
          <cell r="L47">
            <v>15.547416844396354</v>
          </cell>
          <cell r="N47">
            <v>18.671365371350714</v>
          </cell>
          <cell r="O47">
            <v>16.949523105851171</v>
          </cell>
          <cell r="P47">
            <v>15.346919406578257</v>
          </cell>
          <cell r="Q47">
            <v>14.220168724669916</v>
          </cell>
        </row>
        <row r="48">
          <cell r="B48">
            <v>42363</v>
          </cell>
          <cell r="D48">
            <v>6.6841628304247447</v>
          </cell>
          <cell r="E48">
            <v>5.9198343041913688</v>
          </cell>
          <cell r="F48">
            <v>5.4140606287635773</v>
          </cell>
          <cell r="G48">
            <v>5.0402667343213983</v>
          </cell>
          <cell r="I48">
            <v>20.24020080926217</v>
          </cell>
          <cell r="J48">
            <v>18.446130845582442</v>
          </cell>
          <cell r="K48">
            <v>16.635534053004243</v>
          </cell>
          <cell r="L48">
            <v>15.401565159019997</v>
          </cell>
          <cell r="N48">
            <v>18.496207649978448</v>
          </cell>
          <cell r="O48">
            <v>16.802726539786203</v>
          </cell>
          <cell r="P48">
            <v>15.228455632622254</v>
          </cell>
          <cell r="Q48">
            <v>14.086768070684313</v>
          </cell>
        </row>
        <row r="49">
          <cell r="B49">
            <v>42356</v>
          </cell>
          <cell r="D49">
            <v>6.5217321552073937</v>
          </cell>
          <cell r="E49">
            <v>5.7759774431903423</v>
          </cell>
          <cell r="F49">
            <v>5.2824944856416778</v>
          </cell>
          <cell r="G49">
            <v>4.9177840914383024</v>
          </cell>
          <cell r="I49">
            <v>19.748347219307909</v>
          </cell>
          <cell r="J49">
            <v>17.997874636927936</v>
          </cell>
          <cell r="K49">
            <v>16.231276841236255</v>
          </cell>
          <cell r="L49">
            <v>15.027294410139291</v>
          </cell>
          <cell r="N49">
            <v>18.04673453363376</v>
          </cell>
          <cell r="O49">
            <v>16.394406412555469</v>
          </cell>
          <cell r="P49">
            <v>14.858391588152061</v>
          </cell>
          <cell r="Q49">
            <v>13.744447976545302</v>
          </cell>
        </row>
        <row r="50">
          <cell r="B50">
            <v>42349</v>
          </cell>
          <cell r="D50">
            <v>7.0102578315572996</v>
          </cell>
          <cell r="E50">
            <v>6.235320588785739</v>
          </cell>
          <cell r="F50">
            <v>5.709464580950943</v>
          </cell>
          <cell r="G50">
            <v>5.3382845192023547</v>
          </cell>
          <cell r="I50">
            <v>21.227643586056413</v>
          </cell>
          <cell r="J50">
            <v>18.941316905101516</v>
          </cell>
          <cell r="K50">
            <v>17.155748211092344</v>
          </cell>
          <cell r="L50">
            <v>15.838722921919038</v>
          </cell>
          <cell r="N50">
            <v>19.39856760253879</v>
          </cell>
          <cell r="O50">
            <v>17.303076087117418</v>
          </cell>
          <cell r="P50">
            <v>15.725191190227957</v>
          </cell>
          <cell r="Q50">
            <v>14.527900085839827</v>
          </cell>
        </row>
        <row r="51">
          <cell r="B51">
            <v>42342</v>
          </cell>
          <cell r="D51">
            <v>7.2117541122066715</v>
          </cell>
          <cell r="E51">
            <v>6.4326149599304747</v>
          </cell>
          <cell r="F51">
            <v>5.8888069148679918</v>
          </cell>
          <cell r="G51">
            <v>5.5280333788419789</v>
          </cell>
          <cell r="I51">
            <v>21.837791077392072</v>
          </cell>
          <cell r="J51">
            <v>19.478189377264293</v>
          </cell>
          <cell r="K51">
            <v>17.650435839658197</v>
          </cell>
          <cell r="L51">
            <v>16.3014100389993</v>
          </cell>
          <cell r="N51">
            <v>19.956141848130933</v>
          </cell>
          <cell r="O51">
            <v>17.799079824734552</v>
          </cell>
          <cell r="P51">
            <v>16.185659779834335</v>
          </cell>
          <cell r="Q51">
            <v>14.951724224358312</v>
          </cell>
        </row>
        <row r="52">
          <cell r="B52">
            <v>42335</v>
          </cell>
          <cell r="D52">
            <v>6.8879477339486721</v>
          </cell>
          <cell r="E52">
            <v>6.143791780368967</v>
          </cell>
          <cell r="F52">
            <v>5.6244006123657275</v>
          </cell>
          <cell r="G52">
            <v>5.2798257390026837</v>
          </cell>
          <cell r="I52">
            <v>20.857278440950907</v>
          </cell>
          <cell r="J52">
            <v>18.603622405187441</v>
          </cell>
          <cell r="K52">
            <v>16.857934651321631</v>
          </cell>
          <cell r="L52">
            <v>15.569479850712304</v>
          </cell>
          <cell r="N52">
            <v>19.06011490166188</v>
          </cell>
          <cell r="O52">
            <v>16.999904549940162</v>
          </cell>
          <cell r="P52">
            <v>15.458926756012389</v>
          </cell>
          <cell r="Q52">
            <v>14.280394670622258</v>
          </cell>
        </row>
        <row r="53">
          <cell r="B53">
            <v>42328</v>
          </cell>
          <cell r="D53">
            <v>6.8587167781259772</v>
          </cell>
          <cell r="E53">
            <v>6.1177188609664777</v>
          </cell>
          <cell r="F53">
            <v>5.6005318763968281</v>
          </cell>
          <cell r="G53">
            <v>5.2574193040398214</v>
          </cell>
          <cell r="I53">
            <v>20.768764676294399</v>
          </cell>
          <cell r="J53">
            <v>18.524672667809515</v>
          </cell>
          <cell r="K53">
            <v>16.786393234039103</v>
          </cell>
          <cell r="L53">
            <v>15.503406356069567</v>
          </cell>
          <cell r="N53">
            <v>18.979227909166283</v>
          </cell>
          <cell r="O53">
            <v>16.927760643208678</v>
          </cell>
          <cell r="P53">
            <v>15.393322424718745</v>
          </cell>
          <cell r="Q53">
            <v>14.219791773813064</v>
          </cell>
        </row>
        <row r="54">
          <cell r="B54">
            <v>42321</v>
          </cell>
          <cell r="D54">
            <v>6.726971625122288</v>
          </cell>
          <cell r="E54">
            <v>6.0002071115468141</v>
          </cell>
          <cell r="F54">
            <v>5.4929544748468633</v>
          </cell>
          <cell r="G54">
            <v>5.1564325549114329</v>
          </cell>
          <cell r="I54">
            <v>20.369829398969294</v>
          </cell>
          <cell r="J54">
            <v>18.168842865542821</v>
          </cell>
          <cell r="K54">
            <v>16.463953043469981</v>
          </cell>
          <cell r="L54">
            <v>15.205610323876964</v>
          </cell>
          <cell r="N54">
            <v>18.614666816228404</v>
          </cell>
          <cell r="O54">
            <v>16.602605007235809</v>
          </cell>
          <cell r="P54">
            <v>15.097640931564305</v>
          </cell>
          <cell r="Q54">
            <v>13.946651957208264</v>
          </cell>
        </row>
        <row r="55">
          <cell r="B55">
            <v>42314</v>
          </cell>
          <cell r="D55">
            <v>6.9925204491453501</v>
          </cell>
          <cell r="E55">
            <v>6.2473284787201626</v>
          </cell>
          <cell r="F55">
            <v>5.7237171377414775</v>
          </cell>
          <cell r="G55">
            <v>5.3599839711233415</v>
          </cell>
          <cell r="I55">
            <v>21.173933317327705</v>
          </cell>
          <cell r="J55">
            <v>18.896535785280097</v>
          </cell>
          <cell r="K55">
            <v>17.146935472391771</v>
          </cell>
          <cell r="L55">
            <v>15.805855451265181</v>
          </cell>
          <cell r="N55">
            <v>19.349485269181322</v>
          </cell>
          <cell r="O55">
            <v>17.268931793940741</v>
          </cell>
          <cell r="P55">
            <v>15.728687223614026</v>
          </cell>
          <cell r="Q55">
            <v>14.497199400052317</v>
          </cell>
        </row>
        <row r="56">
          <cell r="B56">
            <v>42307</v>
          </cell>
          <cell r="D56">
            <v>7.0633334688848342</v>
          </cell>
          <cell r="E56">
            <v>6.3193882725257664</v>
          </cell>
          <cell r="F56">
            <v>5.7994668849632278</v>
          </cell>
          <cell r="G56">
            <v>5.4142643487798505</v>
          </cell>
          <cell r="I56">
            <v>21.388361028889953</v>
          </cell>
          <cell r="J56">
            <v>19.082168755446659</v>
          </cell>
          <cell r="K56">
            <v>17.335525019745553</v>
          </cell>
          <cell r="L56">
            <v>15.965920818568708</v>
          </cell>
          <cell r="N56">
            <v>19.545436856635437</v>
          </cell>
          <cell r="O56">
            <v>17.456145960597759</v>
          </cell>
          <cell r="P56">
            <v>15.925958853107431</v>
          </cell>
          <cell r="Q56">
            <v>14.6440120514774</v>
          </cell>
        </row>
        <row r="57">
          <cell r="B57">
            <v>42300</v>
          </cell>
          <cell r="D57">
            <v>7.0999750895639844</v>
          </cell>
          <cell r="E57">
            <v>6.3521706165884089</v>
          </cell>
          <cell r="F57">
            <v>5.8295520942594088</v>
          </cell>
          <cell r="G57">
            <v>5.4423512883811833</v>
          </cell>
          <cell r="I57">
            <v>21.499314902895996</v>
          </cell>
          <cell r="J57">
            <v>19.181159068215088</v>
          </cell>
          <cell r="K57">
            <v>17.425454475128852</v>
          </cell>
          <cell r="L57">
            <v>16.048745340022275</v>
          </cell>
          <cell r="N57">
            <v>19.646830410608786</v>
          </cell>
          <cell r="O57">
            <v>17.546701146987552</v>
          </cell>
          <cell r="P57">
            <v>16.008576068593285</v>
          </cell>
          <cell r="Q57">
            <v>14.719979062970609</v>
          </cell>
        </row>
        <row r="58">
          <cell r="B58">
            <v>42293</v>
          </cell>
          <cell r="D58">
            <v>6.6374476282844732</v>
          </cell>
          <cell r="E58">
            <v>5.9516871892906762</v>
          </cell>
          <cell r="F58">
            <v>5.465744368993966</v>
          </cell>
          <cell r="G58">
            <v>5.136830987345971</v>
          </cell>
          <cell r="I58">
            <v>20.098743293017865</v>
          </cell>
          <cell r="J58">
            <v>17.948928358496442</v>
          </cell>
          <cell r="K58">
            <v>16.321875045236112</v>
          </cell>
          <cell r="L58">
            <v>15.116397677770042</v>
          </cell>
          <cell r="N58">
            <v>18.366938794458619</v>
          </cell>
          <cell r="O58">
            <v>16.430342654818155</v>
          </cell>
          <cell r="P58">
            <v>15.011909509014405</v>
          </cell>
          <cell r="Q58">
            <v>13.88496495254959</v>
          </cell>
        </row>
        <row r="59">
          <cell r="B59">
            <v>42286</v>
          </cell>
          <cell r="D59">
            <v>6.5644278276531782</v>
          </cell>
          <cell r="E59">
            <v>5.9059529758204841</v>
          </cell>
          <cell r="F59">
            <v>5.4235409914986956</v>
          </cell>
          <cell r="G59">
            <v>5.0802650767712016</v>
          </cell>
          <cell r="I59">
            <v>19.877633265431093</v>
          </cell>
          <cell r="J59">
            <v>17.747659978652756</v>
          </cell>
          <cell r="K59">
            <v>16.164081046671491</v>
          </cell>
          <cell r="L59">
            <v>14.949937034691972</v>
          </cell>
          <cell r="N59">
            <v>18.164880671504328</v>
          </cell>
          <cell r="O59">
            <v>16.255368767294573</v>
          </cell>
          <cell r="P59">
            <v>14.850447130200825</v>
          </cell>
          <cell r="Q59">
            <v>13.732059781559565</v>
          </cell>
        </row>
        <row r="60">
          <cell r="B60">
            <v>42279</v>
          </cell>
          <cell r="D60">
            <v>6.4737684122626371</v>
          </cell>
          <cell r="E60">
            <v>5.8319549277507416</v>
          </cell>
          <cell r="F60">
            <v>5.3619091501157765</v>
          </cell>
          <cell r="G60">
            <v>5.0101030041608743</v>
          </cell>
          <cell r="I60">
            <v>19.603109017696951</v>
          </cell>
          <cell r="J60">
            <v>17.496397081626885</v>
          </cell>
          <cell r="K60" t="str">
            <v xml:space="preserve"> </v>
          </cell>
          <cell r="L60">
            <v>14.743467775333063</v>
          </cell>
          <cell r="N60">
            <v>17.91401075480265</v>
          </cell>
          <cell r="O60">
            <v>16.030870567589719</v>
          </cell>
          <cell r="P60">
            <v>14.645351897156964</v>
          </cell>
          <cell r="Q60">
            <v>13.542410272936781</v>
          </cell>
        </row>
        <row r="61">
          <cell r="B61"/>
          <cell r="D61" t="e">
            <v>#N/A</v>
          </cell>
          <cell r="E61" t="e">
            <v>#N/A</v>
          </cell>
          <cell r="F61" t="e">
            <v>#N/A</v>
          </cell>
          <cell r="G61" t="e">
            <v>#N/A</v>
          </cell>
          <cell r="I61" t="e">
            <v>#N/A</v>
          </cell>
          <cell r="J61" t="e">
            <v>#N/A</v>
          </cell>
          <cell r="K61" t="e">
            <v>#N/A</v>
          </cell>
          <cell r="L61" t="e">
            <v>#N/A</v>
          </cell>
          <cell r="N61" t="e">
            <v>#N/A</v>
          </cell>
          <cell r="O61" t="e">
            <v>#N/A</v>
          </cell>
          <cell r="P61" t="e">
            <v>#N/A</v>
          </cell>
          <cell r="Q61" t="e">
            <v>#N/A</v>
          </cell>
        </row>
        <row r="62">
          <cell r="B62"/>
          <cell r="D62"/>
          <cell r="E62"/>
          <cell r="F62"/>
          <cell r="G62"/>
          <cell r="I62"/>
          <cell r="J62"/>
          <cell r="K62"/>
          <cell r="L62"/>
          <cell r="N62"/>
          <cell r="O62"/>
          <cell r="P62"/>
          <cell r="Q62"/>
        </row>
        <row r="63">
          <cell r="B63"/>
          <cell r="G63"/>
          <cell r="L63"/>
          <cell r="Q63"/>
        </row>
        <row r="64">
          <cell r="B64"/>
        </row>
        <row r="65">
          <cell r="B65"/>
        </row>
        <row r="66">
          <cell r="B66"/>
        </row>
        <row r="67">
          <cell r="B67"/>
        </row>
        <row r="68">
          <cell r="B68"/>
        </row>
        <row r="69">
          <cell r="B69"/>
        </row>
        <row r="70">
          <cell r="B70"/>
        </row>
        <row r="71">
          <cell r="B71"/>
        </row>
        <row r="72">
          <cell r="B72"/>
        </row>
        <row r="73">
          <cell r="B73"/>
        </row>
        <row r="74">
          <cell r="B74"/>
        </row>
        <row r="75">
          <cell r="B75"/>
        </row>
        <row r="76">
          <cell r="B76"/>
        </row>
        <row r="77">
          <cell r="B77"/>
        </row>
        <row r="78">
          <cell r="B78"/>
        </row>
        <row r="79">
          <cell r="B79"/>
        </row>
        <row r="80">
          <cell r="B80"/>
        </row>
        <row r="81">
          <cell r="B81"/>
        </row>
        <row r="82">
          <cell r="B82"/>
        </row>
        <row r="83">
          <cell r="B83"/>
        </row>
        <row r="84">
          <cell r="B84"/>
        </row>
        <row r="85">
          <cell r="B85"/>
        </row>
        <row r="86">
          <cell r="B86"/>
        </row>
        <row r="87">
          <cell r="B87"/>
        </row>
        <row r="88">
          <cell r="B88"/>
        </row>
        <row r="89">
          <cell r="B89"/>
        </row>
        <row r="90">
          <cell r="B90"/>
        </row>
        <row r="91">
          <cell r="B91"/>
        </row>
        <row r="92">
          <cell r="B92"/>
        </row>
        <row r="93">
          <cell r="B93"/>
        </row>
        <row r="94">
          <cell r="B94"/>
        </row>
        <row r="95">
          <cell r="B95"/>
        </row>
        <row r="96">
          <cell r="B96"/>
        </row>
        <row r="97">
          <cell r="B97"/>
        </row>
        <row r="98">
          <cell r="B98"/>
        </row>
        <row r="99">
          <cell r="B99"/>
        </row>
        <row r="100">
          <cell r="B100"/>
        </row>
        <row r="101">
          <cell r="B101"/>
        </row>
        <row r="102">
          <cell r="B102"/>
        </row>
        <row r="103">
          <cell r="B103"/>
        </row>
        <row r="104">
          <cell r="B104"/>
        </row>
        <row r="105">
          <cell r="B105"/>
        </row>
        <row r="106">
          <cell r="B106"/>
        </row>
        <row r="107">
          <cell r="B107"/>
        </row>
        <row r="108">
          <cell r="B108"/>
        </row>
        <row r="109">
          <cell r="B109"/>
        </row>
        <row r="110">
          <cell r="B110"/>
        </row>
        <row r="111">
          <cell r="B111"/>
        </row>
        <row r="112">
          <cell r="B112"/>
        </row>
        <row r="113">
          <cell r="B113"/>
        </row>
        <row r="114">
          <cell r="B114"/>
        </row>
        <row r="115">
          <cell r="B115"/>
        </row>
        <row r="116">
          <cell r="B116"/>
        </row>
        <row r="117">
          <cell r="B117"/>
        </row>
        <row r="118">
          <cell r="B118"/>
        </row>
        <row r="119">
          <cell r="B119"/>
        </row>
        <row r="120">
          <cell r="B120"/>
        </row>
        <row r="121">
          <cell r="B121"/>
        </row>
        <row r="122">
          <cell r="B122"/>
        </row>
        <row r="123">
          <cell r="B123"/>
        </row>
        <row r="124">
          <cell r="B124"/>
        </row>
        <row r="125">
          <cell r="B125"/>
        </row>
        <row r="126">
          <cell r="B126"/>
        </row>
        <row r="127">
          <cell r="B127"/>
        </row>
        <row r="128">
          <cell r="B128"/>
        </row>
        <row r="129">
          <cell r="B129"/>
        </row>
        <row r="130">
          <cell r="B130"/>
        </row>
        <row r="131">
          <cell r="B131"/>
        </row>
        <row r="132">
          <cell r="B132"/>
        </row>
        <row r="133">
          <cell r="B133"/>
        </row>
        <row r="134">
          <cell r="B134"/>
        </row>
        <row r="135">
          <cell r="B135"/>
        </row>
        <row r="136">
          <cell r="B136"/>
        </row>
        <row r="137">
          <cell r="B137"/>
        </row>
        <row r="138">
          <cell r="B138"/>
        </row>
        <row r="139">
          <cell r="B139"/>
        </row>
        <row r="140">
          <cell r="B140"/>
        </row>
        <row r="141">
          <cell r="B141"/>
        </row>
        <row r="142">
          <cell r="B142"/>
        </row>
        <row r="143">
          <cell r="B143"/>
        </row>
        <row r="144">
          <cell r="B144"/>
        </row>
        <row r="145">
          <cell r="B145"/>
        </row>
        <row r="146">
          <cell r="B146"/>
        </row>
        <row r="147">
          <cell r="B147"/>
        </row>
        <row r="148">
          <cell r="B148"/>
        </row>
        <row r="149">
          <cell r="B149"/>
        </row>
        <row r="150">
          <cell r="B150"/>
        </row>
        <row r="151">
          <cell r="B151"/>
        </row>
        <row r="152">
          <cell r="B152"/>
        </row>
        <row r="153">
          <cell r="B153"/>
        </row>
        <row r="154">
          <cell r="B154"/>
        </row>
        <row r="155">
          <cell r="B155"/>
        </row>
        <row r="156">
          <cell r="B156"/>
        </row>
        <row r="157">
          <cell r="B157"/>
        </row>
        <row r="158">
          <cell r="B158"/>
        </row>
        <row r="159">
          <cell r="B159"/>
        </row>
        <row r="160">
          <cell r="B160"/>
        </row>
        <row r="161">
          <cell r="B161"/>
        </row>
        <row r="162">
          <cell r="B162"/>
        </row>
        <row r="163">
          <cell r="B163"/>
        </row>
        <row r="164">
          <cell r="B164"/>
        </row>
        <row r="165">
          <cell r="B165"/>
        </row>
        <row r="166">
          <cell r="B166"/>
        </row>
        <row r="167">
          <cell r="B167"/>
        </row>
        <row r="168">
          <cell r="B168"/>
        </row>
        <row r="169">
          <cell r="B169"/>
        </row>
        <row r="170">
          <cell r="B170"/>
        </row>
        <row r="171">
          <cell r="B171"/>
        </row>
        <row r="172">
          <cell r="B172"/>
        </row>
        <row r="173">
          <cell r="B173"/>
        </row>
        <row r="174">
          <cell r="B174"/>
        </row>
        <row r="175">
          <cell r="B175"/>
        </row>
        <row r="176">
          <cell r="B176"/>
        </row>
        <row r="177">
          <cell r="B177"/>
        </row>
        <row r="178">
          <cell r="B178"/>
        </row>
        <row r="179">
          <cell r="B179"/>
        </row>
        <row r="180">
          <cell r="B180"/>
        </row>
        <row r="181">
          <cell r="B181"/>
        </row>
        <row r="182">
          <cell r="B182"/>
        </row>
        <row r="183">
          <cell r="B183"/>
        </row>
        <row r="184">
          <cell r="B184"/>
        </row>
        <row r="185">
          <cell r="B185"/>
        </row>
        <row r="186">
          <cell r="B186"/>
        </row>
        <row r="187">
          <cell r="B187"/>
        </row>
        <row r="188">
          <cell r="B188"/>
        </row>
        <row r="189">
          <cell r="B189"/>
        </row>
        <row r="190">
          <cell r="B190"/>
        </row>
        <row r="191">
          <cell r="B191"/>
        </row>
        <row r="192">
          <cell r="B192"/>
        </row>
        <row r="193">
          <cell r="B193"/>
        </row>
        <row r="194">
          <cell r="B194"/>
        </row>
        <row r="195">
          <cell r="B195"/>
        </row>
        <row r="196">
          <cell r="B196"/>
        </row>
        <row r="197">
          <cell r="B197"/>
        </row>
        <row r="198">
          <cell r="B198"/>
        </row>
        <row r="199">
          <cell r="B199"/>
        </row>
        <row r="200">
          <cell r="B200"/>
        </row>
        <row r="201">
          <cell r="B201"/>
        </row>
        <row r="202">
          <cell r="B202"/>
        </row>
        <row r="203">
          <cell r="B203"/>
        </row>
        <row r="204">
          <cell r="B204"/>
        </row>
        <row r="205">
          <cell r="B205"/>
        </row>
        <row r="206">
          <cell r="B206"/>
        </row>
        <row r="207">
          <cell r="B207"/>
        </row>
        <row r="208">
          <cell r="B208"/>
        </row>
        <row r="209">
          <cell r="B209"/>
        </row>
        <row r="210">
          <cell r="B210"/>
        </row>
        <row r="211">
          <cell r="B211"/>
        </row>
        <row r="212">
          <cell r="B212"/>
        </row>
        <row r="213">
          <cell r="B213"/>
        </row>
        <row r="214">
          <cell r="B214"/>
        </row>
        <row r="215">
          <cell r="B215"/>
        </row>
        <row r="216">
          <cell r="B216"/>
        </row>
        <row r="217">
          <cell r="B217"/>
        </row>
        <row r="218">
          <cell r="B218"/>
        </row>
        <row r="219">
          <cell r="B219"/>
        </row>
        <row r="220">
          <cell r="B220"/>
        </row>
        <row r="221">
          <cell r="B221"/>
        </row>
        <row r="222">
          <cell r="B222"/>
        </row>
        <row r="223">
          <cell r="B223"/>
        </row>
        <row r="224">
          <cell r="B224"/>
        </row>
        <row r="225">
          <cell r="B225"/>
        </row>
        <row r="226">
          <cell r="B226"/>
        </row>
        <row r="227">
          <cell r="B227"/>
        </row>
        <row r="228">
          <cell r="B228"/>
        </row>
        <row r="229">
          <cell r="B229"/>
        </row>
        <row r="230">
          <cell r="B230"/>
        </row>
        <row r="231">
          <cell r="B231"/>
        </row>
        <row r="232">
          <cell r="B232"/>
        </row>
        <row r="233">
          <cell r="B233"/>
        </row>
        <row r="234">
          <cell r="B234"/>
        </row>
        <row r="235">
          <cell r="B235"/>
        </row>
        <row r="236">
          <cell r="B236"/>
        </row>
        <row r="237">
          <cell r="B237"/>
        </row>
        <row r="238">
          <cell r="B238"/>
        </row>
        <row r="239">
          <cell r="B239"/>
        </row>
        <row r="240">
          <cell r="B240"/>
        </row>
        <row r="241">
          <cell r="B241"/>
        </row>
        <row r="242">
          <cell r="B242"/>
        </row>
        <row r="243">
          <cell r="B243"/>
        </row>
        <row r="244">
          <cell r="B244"/>
        </row>
        <row r="245">
          <cell r="B245"/>
        </row>
        <row r="246">
          <cell r="B246"/>
        </row>
        <row r="247">
          <cell r="B247"/>
        </row>
        <row r="248">
          <cell r="B248"/>
        </row>
        <row r="249">
          <cell r="B249"/>
        </row>
        <row r="250">
          <cell r="B250"/>
        </row>
        <row r="251">
          <cell r="B251"/>
        </row>
        <row r="252">
          <cell r="B252"/>
        </row>
        <row r="253">
          <cell r="B253"/>
        </row>
        <row r="254">
          <cell r="B254"/>
        </row>
        <row r="255">
          <cell r="B255"/>
        </row>
        <row r="256">
          <cell r="B256"/>
        </row>
        <row r="257">
          <cell r="B257"/>
        </row>
        <row r="258">
          <cell r="B258"/>
        </row>
        <row r="259">
          <cell r="B259"/>
        </row>
        <row r="260">
          <cell r="B260"/>
        </row>
        <row r="261">
          <cell r="B261"/>
        </row>
        <row r="262">
          <cell r="B262"/>
        </row>
        <row r="263">
          <cell r="B263"/>
        </row>
        <row r="264">
          <cell r="B264"/>
        </row>
        <row r="265">
          <cell r="B265"/>
        </row>
        <row r="266">
          <cell r="B266"/>
        </row>
        <row r="267">
          <cell r="B267"/>
        </row>
        <row r="268">
          <cell r="B268"/>
        </row>
        <row r="269">
          <cell r="B269"/>
        </row>
        <row r="270">
          <cell r="B270"/>
        </row>
        <row r="271">
          <cell r="B271"/>
        </row>
        <row r="272">
          <cell r="B272"/>
        </row>
        <row r="273">
          <cell r="B273"/>
        </row>
        <row r="274">
          <cell r="B274"/>
        </row>
        <row r="275">
          <cell r="B275"/>
        </row>
        <row r="276">
          <cell r="B276"/>
        </row>
        <row r="277">
          <cell r="B277"/>
        </row>
        <row r="278">
          <cell r="B278"/>
        </row>
        <row r="279">
          <cell r="B279"/>
        </row>
        <row r="280">
          <cell r="B280"/>
        </row>
        <row r="281">
          <cell r="B281"/>
        </row>
        <row r="282">
          <cell r="B282"/>
        </row>
        <row r="283">
          <cell r="B283"/>
        </row>
        <row r="284">
          <cell r="B284"/>
        </row>
        <row r="285">
          <cell r="B285"/>
        </row>
        <row r="286">
          <cell r="B286"/>
        </row>
        <row r="287">
          <cell r="B287"/>
        </row>
        <row r="288">
          <cell r="B288"/>
        </row>
        <row r="289">
          <cell r="B289"/>
        </row>
        <row r="290">
          <cell r="B290"/>
        </row>
        <row r="291">
          <cell r="B291"/>
        </row>
        <row r="292">
          <cell r="B292"/>
        </row>
        <row r="293">
          <cell r="B293"/>
        </row>
        <row r="294">
          <cell r="B294"/>
        </row>
        <row r="295">
          <cell r="B295"/>
        </row>
        <row r="296">
          <cell r="B296"/>
        </row>
        <row r="297">
          <cell r="B297"/>
        </row>
        <row r="298">
          <cell r="B298"/>
        </row>
        <row r="299">
          <cell r="B299"/>
        </row>
        <row r="300">
          <cell r="B300"/>
        </row>
        <row r="301">
          <cell r="B301"/>
        </row>
        <row r="302">
          <cell r="B302"/>
        </row>
        <row r="303">
          <cell r="B303"/>
        </row>
        <row r="304">
          <cell r="B304"/>
        </row>
        <row r="305">
          <cell r="B305"/>
        </row>
        <row r="306">
          <cell r="B306"/>
        </row>
        <row r="307">
          <cell r="B307"/>
        </row>
        <row r="308">
          <cell r="B308"/>
        </row>
        <row r="309">
          <cell r="B309"/>
        </row>
        <row r="310">
          <cell r="B310"/>
        </row>
        <row r="311">
          <cell r="B311"/>
        </row>
        <row r="312">
          <cell r="B312"/>
        </row>
        <row r="313">
          <cell r="B313"/>
        </row>
        <row r="314">
          <cell r="B314"/>
        </row>
        <row r="315">
          <cell r="B315"/>
        </row>
        <row r="316">
          <cell r="B316"/>
        </row>
        <row r="317">
          <cell r="B317"/>
        </row>
        <row r="318">
          <cell r="B318"/>
        </row>
        <row r="319">
          <cell r="B319"/>
        </row>
        <row r="320">
          <cell r="B320"/>
        </row>
        <row r="321">
          <cell r="B321"/>
        </row>
        <row r="322">
          <cell r="B322"/>
        </row>
        <row r="323">
          <cell r="B323"/>
        </row>
        <row r="324">
          <cell r="B324"/>
        </row>
        <row r="325">
          <cell r="B325"/>
        </row>
        <row r="326">
          <cell r="B326"/>
        </row>
        <row r="327">
          <cell r="B327"/>
        </row>
        <row r="328">
          <cell r="B328"/>
        </row>
        <row r="329">
          <cell r="B329"/>
        </row>
        <row r="330">
          <cell r="B330"/>
        </row>
        <row r="331">
          <cell r="B331"/>
        </row>
        <row r="332">
          <cell r="B332"/>
        </row>
        <row r="333">
          <cell r="B333"/>
        </row>
        <row r="334">
          <cell r="B334"/>
        </row>
        <row r="335">
          <cell r="B335"/>
        </row>
        <row r="336">
          <cell r="B336"/>
        </row>
        <row r="337">
          <cell r="B337"/>
        </row>
        <row r="338">
          <cell r="B338"/>
        </row>
        <row r="339">
          <cell r="B339"/>
        </row>
        <row r="340">
          <cell r="B340"/>
        </row>
        <row r="341">
          <cell r="B341"/>
        </row>
        <row r="342">
          <cell r="B342"/>
        </row>
        <row r="343">
          <cell r="B343"/>
        </row>
        <row r="344">
          <cell r="B344"/>
        </row>
        <row r="345">
          <cell r="B345"/>
        </row>
        <row r="346">
          <cell r="B346"/>
        </row>
        <row r="347">
          <cell r="B347"/>
        </row>
        <row r="348">
          <cell r="B348"/>
        </row>
        <row r="349">
          <cell r="B349"/>
        </row>
        <row r="350">
          <cell r="B350"/>
        </row>
        <row r="351">
          <cell r="B351"/>
        </row>
        <row r="352">
          <cell r="B352"/>
        </row>
        <row r="353">
          <cell r="B353"/>
        </row>
        <row r="354">
          <cell r="B354"/>
        </row>
        <row r="355">
          <cell r="B355"/>
        </row>
        <row r="356">
          <cell r="B356"/>
        </row>
        <row r="357">
          <cell r="B357"/>
        </row>
        <row r="358">
          <cell r="B358"/>
        </row>
        <row r="359">
          <cell r="B359"/>
        </row>
        <row r="360">
          <cell r="B360"/>
        </row>
        <row r="361">
          <cell r="B361"/>
        </row>
        <row r="362">
          <cell r="B362"/>
        </row>
        <row r="363">
          <cell r="B363"/>
        </row>
        <row r="364">
          <cell r="B364"/>
        </row>
        <row r="365">
          <cell r="B365"/>
        </row>
        <row r="366">
          <cell r="B366"/>
        </row>
        <row r="367">
          <cell r="B367"/>
        </row>
        <row r="368">
          <cell r="B368"/>
        </row>
        <row r="369">
          <cell r="B369"/>
        </row>
        <row r="370">
          <cell r="B370"/>
        </row>
        <row r="371">
          <cell r="B371"/>
        </row>
        <row r="372">
          <cell r="B372"/>
        </row>
        <row r="373">
          <cell r="B373"/>
        </row>
        <row r="374">
          <cell r="B374"/>
        </row>
        <row r="375">
          <cell r="B375"/>
        </row>
        <row r="376">
          <cell r="B376"/>
        </row>
        <row r="377">
          <cell r="B377"/>
        </row>
        <row r="378">
          <cell r="B378"/>
        </row>
        <row r="379">
          <cell r="B379"/>
        </row>
        <row r="380">
          <cell r="B380"/>
        </row>
        <row r="381">
          <cell r="B381"/>
        </row>
        <row r="382">
          <cell r="B382"/>
        </row>
        <row r="383">
          <cell r="B383"/>
        </row>
        <row r="384">
          <cell r="B384"/>
        </row>
        <row r="385">
          <cell r="B385"/>
        </row>
        <row r="386">
          <cell r="B386"/>
        </row>
        <row r="387">
          <cell r="B387"/>
        </row>
        <row r="388">
          <cell r="B388"/>
        </row>
        <row r="389">
          <cell r="B389"/>
        </row>
        <row r="390">
          <cell r="B390"/>
        </row>
        <row r="391">
          <cell r="B391"/>
        </row>
        <row r="392">
          <cell r="B392"/>
        </row>
        <row r="393">
          <cell r="B393"/>
        </row>
        <row r="394">
          <cell r="B394"/>
        </row>
        <row r="395">
          <cell r="B395"/>
        </row>
        <row r="396">
          <cell r="B396"/>
        </row>
        <row r="397">
          <cell r="B397"/>
        </row>
        <row r="398">
          <cell r="B398"/>
        </row>
        <row r="399">
          <cell r="B399"/>
        </row>
        <row r="400">
          <cell r="B400"/>
        </row>
        <row r="401">
          <cell r="B401"/>
        </row>
        <row r="402">
          <cell r="B402"/>
        </row>
        <row r="403">
          <cell r="B403"/>
        </row>
        <row r="404">
          <cell r="B404"/>
        </row>
        <row r="405">
          <cell r="B405"/>
        </row>
        <row r="406">
          <cell r="B406"/>
        </row>
        <row r="407">
          <cell r="B407"/>
        </row>
        <row r="408">
          <cell r="B408"/>
        </row>
        <row r="409">
          <cell r="B409"/>
        </row>
        <row r="410">
          <cell r="B410"/>
        </row>
        <row r="411">
          <cell r="B411"/>
        </row>
        <row r="412">
          <cell r="B412"/>
        </row>
        <row r="413">
          <cell r="B413"/>
        </row>
        <row r="414">
          <cell r="B414"/>
        </row>
        <row r="415">
          <cell r="B415"/>
        </row>
        <row r="416">
          <cell r="B416"/>
        </row>
        <row r="417">
          <cell r="B417"/>
        </row>
        <row r="418">
          <cell r="B418"/>
        </row>
        <row r="419">
          <cell r="B419"/>
        </row>
        <row r="420">
          <cell r="B420"/>
        </row>
        <row r="421">
          <cell r="B421"/>
        </row>
        <row r="422">
          <cell r="B422"/>
        </row>
        <row r="423">
          <cell r="B423"/>
        </row>
        <row r="424">
          <cell r="B424"/>
        </row>
        <row r="425">
          <cell r="B425"/>
        </row>
        <row r="426">
          <cell r="B426"/>
        </row>
        <row r="427">
          <cell r="B427"/>
        </row>
        <row r="428">
          <cell r="B428"/>
        </row>
        <row r="429">
          <cell r="B429"/>
        </row>
        <row r="430">
          <cell r="B430"/>
        </row>
        <row r="431">
          <cell r="B431"/>
        </row>
        <row r="432">
          <cell r="B432"/>
        </row>
        <row r="433">
          <cell r="B433"/>
        </row>
        <row r="434">
          <cell r="B434"/>
        </row>
        <row r="435">
          <cell r="B435"/>
        </row>
        <row r="436">
          <cell r="B436"/>
        </row>
        <row r="437">
          <cell r="B437"/>
        </row>
        <row r="438">
          <cell r="B438"/>
        </row>
        <row r="439">
          <cell r="B439"/>
        </row>
        <row r="440">
          <cell r="B440"/>
        </row>
        <row r="441">
          <cell r="B441"/>
        </row>
        <row r="442">
          <cell r="B442"/>
        </row>
        <row r="443">
          <cell r="B443"/>
        </row>
        <row r="444">
          <cell r="B444"/>
        </row>
        <row r="445">
          <cell r="B445"/>
        </row>
        <row r="446">
          <cell r="B446"/>
        </row>
        <row r="447">
          <cell r="B447"/>
        </row>
        <row r="448">
          <cell r="B448"/>
        </row>
        <row r="449">
          <cell r="B449"/>
        </row>
        <row r="450">
          <cell r="B450"/>
        </row>
        <row r="451">
          <cell r="B451"/>
        </row>
        <row r="452">
          <cell r="B452"/>
        </row>
        <row r="453">
          <cell r="B453"/>
        </row>
        <row r="454">
          <cell r="B454"/>
        </row>
        <row r="455">
          <cell r="B455"/>
        </row>
        <row r="456">
          <cell r="B456"/>
        </row>
        <row r="457">
          <cell r="B457"/>
        </row>
        <row r="458">
          <cell r="B458"/>
        </row>
        <row r="459">
          <cell r="B459"/>
        </row>
        <row r="460">
          <cell r="B460"/>
        </row>
        <row r="461">
          <cell r="B461"/>
        </row>
        <row r="462">
          <cell r="B462"/>
        </row>
        <row r="463">
          <cell r="B463"/>
        </row>
        <row r="464">
          <cell r="B464"/>
        </row>
        <row r="465">
          <cell r="B465"/>
        </row>
        <row r="466">
          <cell r="B466"/>
        </row>
        <row r="467">
          <cell r="B467"/>
        </row>
        <row r="468">
          <cell r="B468"/>
        </row>
        <row r="469">
          <cell r="B469"/>
        </row>
        <row r="470">
          <cell r="B470"/>
        </row>
        <row r="471">
          <cell r="B471"/>
        </row>
        <row r="472">
          <cell r="B472"/>
        </row>
        <row r="473">
          <cell r="B473"/>
        </row>
        <row r="474">
          <cell r="B474"/>
        </row>
        <row r="475">
          <cell r="B475"/>
        </row>
        <row r="476">
          <cell r="B476"/>
        </row>
        <row r="477">
          <cell r="B477"/>
        </row>
        <row r="478">
          <cell r="B478"/>
        </row>
        <row r="479">
          <cell r="B479"/>
        </row>
        <row r="480">
          <cell r="B480"/>
        </row>
        <row r="481">
          <cell r="B481"/>
        </row>
        <row r="482">
          <cell r="B482"/>
        </row>
        <row r="483">
          <cell r="B483"/>
        </row>
        <row r="484">
          <cell r="B484"/>
        </row>
        <row r="485">
          <cell r="B485"/>
        </row>
        <row r="486">
          <cell r="B486"/>
        </row>
        <row r="487">
          <cell r="B487"/>
        </row>
        <row r="488">
          <cell r="B488"/>
        </row>
        <row r="489">
          <cell r="B489"/>
        </row>
        <row r="490">
          <cell r="B490"/>
        </row>
        <row r="491">
          <cell r="B491"/>
        </row>
        <row r="492">
          <cell r="B492"/>
        </row>
        <row r="493">
          <cell r="B493"/>
        </row>
        <row r="494">
          <cell r="B494"/>
        </row>
        <row r="495">
          <cell r="B495"/>
        </row>
        <row r="496">
          <cell r="B496"/>
        </row>
        <row r="497">
          <cell r="B497"/>
        </row>
        <row r="498">
          <cell r="B498"/>
        </row>
        <row r="499">
          <cell r="B499"/>
        </row>
        <row r="500">
          <cell r="B500"/>
        </row>
        <row r="501">
          <cell r="B501"/>
        </row>
        <row r="502">
          <cell r="B502"/>
        </row>
        <row r="503">
          <cell r="B503"/>
        </row>
        <row r="504">
          <cell r="B504"/>
        </row>
        <row r="505">
          <cell r="B505"/>
        </row>
        <row r="506">
          <cell r="B506"/>
        </row>
        <row r="507">
          <cell r="B507"/>
        </row>
        <row r="508">
          <cell r="B508"/>
        </row>
        <row r="509">
          <cell r="B509"/>
        </row>
        <row r="510">
          <cell r="B510"/>
        </row>
        <row r="511">
          <cell r="B511"/>
        </row>
        <row r="512">
          <cell r="B512"/>
        </row>
        <row r="513">
          <cell r="B513"/>
        </row>
        <row r="514">
          <cell r="B514"/>
        </row>
        <row r="515">
          <cell r="B515"/>
        </row>
        <row r="516">
          <cell r="B516"/>
        </row>
        <row r="517">
          <cell r="B517"/>
        </row>
        <row r="518">
          <cell r="B518"/>
        </row>
        <row r="519">
          <cell r="B519"/>
        </row>
        <row r="520">
          <cell r="B520"/>
        </row>
        <row r="521">
          <cell r="B521"/>
        </row>
        <row r="522">
          <cell r="B522"/>
        </row>
        <row r="523">
          <cell r="B523"/>
        </row>
        <row r="524">
          <cell r="B524"/>
        </row>
        <row r="525">
          <cell r="B525"/>
        </row>
        <row r="526">
          <cell r="B526"/>
        </row>
        <row r="527">
          <cell r="B527"/>
        </row>
        <row r="528">
          <cell r="B528"/>
        </row>
        <row r="529">
          <cell r="B529"/>
        </row>
        <row r="530">
          <cell r="B530"/>
        </row>
        <row r="531">
          <cell r="B531"/>
        </row>
        <row r="532">
          <cell r="B532"/>
        </row>
        <row r="533">
          <cell r="B533"/>
        </row>
        <row r="534">
          <cell r="B534"/>
        </row>
        <row r="535">
          <cell r="B535"/>
        </row>
        <row r="536">
          <cell r="B536"/>
        </row>
        <row r="537">
          <cell r="B537"/>
        </row>
        <row r="538">
          <cell r="B538"/>
        </row>
        <row r="539">
          <cell r="B539"/>
        </row>
        <row r="540">
          <cell r="B540"/>
        </row>
        <row r="541">
          <cell r="B541"/>
        </row>
        <row r="542">
          <cell r="B542"/>
        </row>
        <row r="543">
          <cell r="B543"/>
        </row>
        <row r="544">
          <cell r="B544"/>
        </row>
        <row r="545">
          <cell r="B545"/>
        </row>
        <row r="546">
          <cell r="B546"/>
        </row>
        <row r="547">
          <cell r="B547"/>
        </row>
        <row r="548">
          <cell r="B548"/>
        </row>
        <row r="549">
          <cell r="B549"/>
        </row>
        <row r="550">
          <cell r="B550"/>
        </row>
        <row r="551">
          <cell r="B551"/>
        </row>
        <row r="552">
          <cell r="B552"/>
        </row>
        <row r="553">
          <cell r="B553"/>
        </row>
        <row r="554">
          <cell r="B554"/>
        </row>
        <row r="555">
          <cell r="B555"/>
        </row>
        <row r="556">
          <cell r="B556"/>
        </row>
        <row r="557">
          <cell r="B557"/>
        </row>
        <row r="558">
          <cell r="B558"/>
        </row>
        <row r="559">
          <cell r="B559"/>
        </row>
        <row r="560">
          <cell r="B560"/>
        </row>
        <row r="561">
          <cell r="B561"/>
        </row>
        <row r="562">
          <cell r="B562"/>
        </row>
        <row r="563">
          <cell r="B563"/>
        </row>
        <row r="564">
          <cell r="B564"/>
        </row>
        <row r="565">
          <cell r="B565"/>
        </row>
        <row r="566">
          <cell r="B566"/>
        </row>
        <row r="567">
          <cell r="B567"/>
        </row>
        <row r="568">
          <cell r="B568"/>
        </row>
        <row r="569">
          <cell r="B569"/>
        </row>
        <row r="570">
          <cell r="B570"/>
        </row>
        <row r="571">
          <cell r="B571"/>
        </row>
        <row r="572">
          <cell r="B572"/>
        </row>
        <row r="573">
          <cell r="B573"/>
        </row>
        <row r="574">
          <cell r="B574"/>
        </row>
        <row r="575">
          <cell r="B575"/>
        </row>
        <row r="576">
          <cell r="B576"/>
        </row>
        <row r="577">
          <cell r="B577"/>
        </row>
        <row r="578">
          <cell r="B578"/>
        </row>
        <row r="579">
          <cell r="B579"/>
        </row>
        <row r="580">
          <cell r="B580"/>
        </row>
        <row r="581">
          <cell r="B581"/>
        </row>
        <row r="582">
          <cell r="B582"/>
        </row>
        <row r="583">
          <cell r="B583"/>
        </row>
        <row r="584">
          <cell r="B584"/>
        </row>
        <row r="585">
          <cell r="B585"/>
        </row>
        <row r="586">
          <cell r="B586"/>
        </row>
        <row r="587">
          <cell r="B587"/>
        </row>
        <row r="588">
          <cell r="B588"/>
        </row>
        <row r="589">
          <cell r="B589"/>
        </row>
        <row r="590">
          <cell r="B590"/>
        </row>
        <row r="591">
          <cell r="B591"/>
        </row>
        <row r="592">
          <cell r="B592"/>
        </row>
        <row r="593">
          <cell r="B593"/>
        </row>
        <row r="594">
          <cell r="B594"/>
        </row>
        <row r="595">
          <cell r="B595"/>
        </row>
        <row r="596">
          <cell r="B596"/>
        </row>
        <row r="597">
          <cell r="B597"/>
        </row>
        <row r="598">
          <cell r="B598"/>
        </row>
        <row r="599">
          <cell r="B599"/>
        </row>
        <row r="600">
          <cell r="B600"/>
        </row>
        <row r="601">
          <cell r="B601"/>
        </row>
        <row r="602">
          <cell r="B602"/>
        </row>
        <row r="603">
          <cell r="B603"/>
        </row>
        <row r="604">
          <cell r="B604"/>
        </row>
        <row r="605">
          <cell r="B605"/>
        </row>
        <row r="606">
          <cell r="B606"/>
        </row>
        <row r="607">
          <cell r="B607"/>
        </row>
        <row r="608">
          <cell r="B608"/>
        </row>
        <row r="609">
          <cell r="B609"/>
        </row>
        <row r="610">
          <cell r="B610"/>
        </row>
        <row r="611">
          <cell r="B611"/>
        </row>
        <row r="612">
          <cell r="B612"/>
        </row>
        <row r="613">
          <cell r="B613"/>
        </row>
        <row r="614">
          <cell r="B614"/>
        </row>
        <row r="615">
          <cell r="B615"/>
        </row>
        <row r="616">
          <cell r="B616"/>
        </row>
        <row r="617">
          <cell r="B617"/>
        </row>
        <row r="618">
          <cell r="B618"/>
        </row>
        <row r="619">
          <cell r="B619"/>
        </row>
        <row r="620">
          <cell r="B620"/>
        </row>
        <row r="621">
          <cell r="B621"/>
        </row>
        <row r="622">
          <cell r="B622"/>
        </row>
        <row r="623">
          <cell r="B623"/>
        </row>
        <row r="624">
          <cell r="B624"/>
        </row>
        <row r="625">
          <cell r="B625"/>
        </row>
        <row r="626">
          <cell r="B626"/>
        </row>
        <row r="627">
          <cell r="B627"/>
        </row>
        <row r="628">
          <cell r="B628"/>
        </row>
        <row r="629">
          <cell r="B629"/>
        </row>
        <row r="630">
          <cell r="B630"/>
        </row>
        <row r="631">
          <cell r="B631"/>
        </row>
        <row r="632">
          <cell r="B632"/>
        </row>
        <row r="633">
          <cell r="B633"/>
        </row>
        <row r="634">
          <cell r="B634"/>
        </row>
        <row r="635">
          <cell r="B635"/>
        </row>
        <row r="636">
          <cell r="B636"/>
        </row>
        <row r="637">
          <cell r="B637"/>
        </row>
        <row r="638">
          <cell r="B638"/>
        </row>
        <row r="639">
          <cell r="B639"/>
        </row>
        <row r="640">
          <cell r="B640"/>
        </row>
        <row r="641">
          <cell r="B641"/>
        </row>
        <row r="642">
          <cell r="B642"/>
        </row>
        <row r="643">
          <cell r="B643"/>
        </row>
        <row r="644">
          <cell r="B644"/>
        </row>
        <row r="645">
          <cell r="B645"/>
        </row>
        <row r="646">
          <cell r="B646"/>
        </row>
        <row r="647">
          <cell r="B647"/>
        </row>
        <row r="648">
          <cell r="B648"/>
        </row>
        <row r="649">
          <cell r="B649"/>
        </row>
        <row r="650">
          <cell r="B650"/>
        </row>
        <row r="651">
          <cell r="B651"/>
        </row>
        <row r="652">
          <cell r="B652"/>
        </row>
        <row r="653">
          <cell r="B653"/>
        </row>
        <row r="654">
          <cell r="B654"/>
        </row>
        <row r="655">
          <cell r="B655"/>
        </row>
        <row r="656">
          <cell r="B656"/>
        </row>
        <row r="657">
          <cell r="B657"/>
        </row>
        <row r="658">
          <cell r="B658"/>
        </row>
        <row r="659">
          <cell r="B659"/>
        </row>
        <row r="660">
          <cell r="B660"/>
        </row>
        <row r="661">
          <cell r="B661"/>
        </row>
        <row r="662">
          <cell r="B662"/>
        </row>
        <row r="663">
          <cell r="B663"/>
        </row>
        <row r="664">
          <cell r="B664"/>
        </row>
        <row r="665">
          <cell r="B665"/>
        </row>
        <row r="666">
          <cell r="B666"/>
        </row>
        <row r="667">
          <cell r="B667"/>
        </row>
        <row r="668">
          <cell r="B668"/>
        </row>
        <row r="669">
          <cell r="B669"/>
        </row>
        <row r="670">
          <cell r="B670"/>
        </row>
        <row r="671">
          <cell r="B671"/>
        </row>
        <row r="672">
          <cell r="B672"/>
        </row>
        <row r="673">
          <cell r="B673"/>
        </row>
        <row r="674">
          <cell r="B674"/>
        </row>
        <row r="675">
          <cell r="B675"/>
        </row>
        <row r="676">
          <cell r="B676"/>
        </row>
        <row r="677">
          <cell r="B677"/>
        </row>
        <row r="678">
          <cell r="B678"/>
        </row>
        <row r="679">
          <cell r="B679"/>
        </row>
        <row r="680">
          <cell r="B680"/>
        </row>
        <row r="681">
          <cell r="B681"/>
        </row>
        <row r="682">
          <cell r="B682"/>
        </row>
        <row r="683">
          <cell r="B683"/>
        </row>
        <row r="684">
          <cell r="B684"/>
        </row>
        <row r="685">
          <cell r="B685"/>
        </row>
        <row r="686">
          <cell r="B686"/>
        </row>
        <row r="687">
          <cell r="B687"/>
        </row>
        <row r="688">
          <cell r="B688"/>
        </row>
        <row r="689">
          <cell r="B689"/>
        </row>
        <row r="690">
          <cell r="B690"/>
        </row>
        <row r="691">
          <cell r="B691"/>
        </row>
        <row r="692">
          <cell r="B692"/>
        </row>
        <row r="693">
          <cell r="B693"/>
        </row>
        <row r="694">
          <cell r="B694"/>
        </row>
        <row r="695">
          <cell r="B695"/>
        </row>
        <row r="696">
          <cell r="B696"/>
        </row>
        <row r="697">
          <cell r="B697"/>
        </row>
        <row r="698">
          <cell r="B698"/>
        </row>
        <row r="699">
          <cell r="B699"/>
        </row>
        <row r="700">
          <cell r="B700"/>
        </row>
        <row r="701">
          <cell r="B701"/>
        </row>
        <row r="702">
          <cell r="B702"/>
        </row>
        <row r="703">
          <cell r="B703"/>
        </row>
        <row r="704">
          <cell r="B704"/>
        </row>
        <row r="705">
          <cell r="B705"/>
        </row>
        <row r="706">
          <cell r="B706"/>
        </row>
        <row r="707">
          <cell r="B707"/>
        </row>
        <row r="708">
          <cell r="B708"/>
        </row>
        <row r="709">
          <cell r="B709"/>
        </row>
        <row r="710">
          <cell r="B710"/>
        </row>
        <row r="711">
          <cell r="B711"/>
        </row>
        <row r="712">
          <cell r="B712"/>
        </row>
        <row r="713">
          <cell r="B713"/>
        </row>
        <row r="714">
          <cell r="B714"/>
        </row>
        <row r="715">
          <cell r="B715"/>
        </row>
        <row r="716">
          <cell r="B716"/>
        </row>
        <row r="717">
          <cell r="B717"/>
        </row>
        <row r="718">
          <cell r="B718"/>
        </row>
        <row r="719">
          <cell r="B719"/>
        </row>
        <row r="720">
          <cell r="B720"/>
        </row>
        <row r="721">
          <cell r="B721"/>
        </row>
        <row r="722">
          <cell r="B722"/>
        </row>
        <row r="723">
          <cell r="B723"/>
        </row>
        <row r="724">
          <cell r="B724"/>
        </row>
        <row r="725">
          <cell r="B725"/>
        </row>
        <row r="726">
          <cell r="B726"/>
        </row>
        <row r="727">
          <cell r="B727"/>
        </row>
        <row r="728">
          <cell r="B728"/>
        </row>
        <row r="729">
          <cell r="B729"/>
        </row>
        <row r="730">
          <cell r="B730"/>
        </row>
        <row r="731">
          <cell r="B731"/>
        </row>
        <row r="732">
          <cell r="B732"/>
        </row>
        <row r="733">
          <cell r="B733"/>
        </row>
        <row r="734">
          <cell r="B734"/>
        </row>
        <row r="735">
          <cell r="B735"/>
        </row>
        <row r="736">
          <cell r="B736"/>
        </row>
        <row r="737">
          <cell r="B737"/>
        </row>
      </sheetData>
      <sheetData sheetId="16" refreshError="1">
        <row r="1">
          <cell r="E1">
            <v>0</v>
          </cell>
        </row>
      </sheetData>
      <sheetData sheetId="17" refreshError="1"/>
      <sheetData sheetId="18" refreshError="1"/>
      <sheetData sheetId="19" refreshError="1"/>
      <sheetData sheetId="2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
      <sheetName val="Cash Flow Statement"/>
      <sheetName val="Balance Sheet"/>
      <sheetName val="Depreciation"/>
      <sheetName val="Operating Working Capital"/>
      <sheetName val="Debt Schedule"/>
      <sheetName val="---&gt; Valuation"/>
      <sheetName val="DCF Analysis"/>
      <sheetName val="Comparable Companies"/>
      <sheetName val="Costco Comp"/>
      <sheetName val="Wal-Mart Comp"/>
      <sheetName val="Target Comp"/>
      <sheetName val="Dollar General"/>
      <sheetName val="Dollar Tree"/>
      <sheetName val="Family Dollar Store"/>
      <sheetName val="Precedent Transactions"/>
      <sheetName val="A&amp;P - Pathmark"/>
      <sheetName val="WFM - Wild Oats"/>
      <sheetName val="Football fi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4">
          <cell r="L54">
            <v>1000</v>
          </cell>
        </row>
      </sheetData>
      <sheetData sheetId="18"/>
    </sheetDataSet>
  </externalBook>
</externalLink>
</file>

<file path=xl/persons/person.xml><?xml version="1.0" encoding="utf-8"?>
<personList xmlns="http://schemas.microsoft.com/office/spreadsheetml/2018/threadedcomments" xmlns:x="http://schemas.openxmlformats.org/spreadsheetml/2006/main">
  <person displayName="Paul-Ary Sigwald" id="{05C057DC-E468-4412-A965-CCAB76265271}" userId="S::p_sigwa@live.concordia.ca::9fd0f7d6-d618-43d6-9af7-ada056c5328b" providerId="AD"/>
  <person displayName="Juliane Proelss" id="{6DF7FFFE-3A10-4581-BAD8-F5BFF1A245D7}" userId="S::juliane.proelss@concordia.ca::5aecf81a-fc0c-4b5a-99b1-4c1cdd589303"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4" displayName="Table14" ref="A1:E97" totalsRowShown="0" dataDxfId="25" headerRowBorderDxfId="26" tableBorderDxfId="24" totalsRowBorderDxfId="23">
  <autoFilter ref="A1:E97" xr:uid="{00000000-0009-0000-0100-000003000000}"/>
  <sortState xmlns:xlrd2="http://schemas.microsoft.com/office/spreadsheetml/2017/richdata2" ref="A2:E97">
    <sortCondition ref="C2:C97"/>
  </sortState>
  <tableColumns count="5">
    <tableColumn id="1" xr3:uid="{00000000-0010-0000-0000-000001000000}" name="Industry  Name" dataDxfId="22"/>
    <tableColumn id="2" xr3:uid="{00000000-0010-0000-0000-000002000000}" name="Number of firms" dataDxfId="21"/>
    <tableColumn id="3" xr3:uid="{00000000-0010-0000-0000-000003000000}" name="Current PE" dataDxfId="20"/>
    <tableColumn id="4" xr3:uid="{00000000-0010-0000-0000-000004000000}" name="Trailing PE" dataDxfId="19"/>
    <tableColumn id="5" xr3:uid="{00000000-0010-0000-0000-000005000000}" name="Forward PE" dataDxfId="18"/>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F97" totalsRowShown="0" headerRowDxfId="17" dataDxfId="15" headerRowBorderDxfId="16" tableBorderDxfId="14" totalsRowBorderDxfId="13">
  <autoFilter ref="A1:F97" xr:uid="{00000000-0009-0000-0100-000001000000}"/>
  <tableColumns count="6">
    <tableColumn id="1" xr3:uid="{00000000-0010-0000-0100-000001000000}" name="Industry  Name" dataDxfId="12"/>
    <tableColumn id="2" xr3:uid="{00000000-0010-0000-0100-000002000000}" name="Number of firms" dataDxfId="11"/>
    <tableColumn id="3" xr3:uid="{00000000-0010-0000-0100-000003000000}" name="EV/EBITDAR&amp;D" dataDxfId="10"/>
    <tableColumn id="4" xr3:uid="{00000000-0010-0000-0100-000004000000}" name="EV/EBITDA" dataDxfId="9"/>
    <tableColumn id="5" xr3:uid="{00000000-0010-0000-0100-000005000000}" name="EV/EBIT" dataDxfId="8"/>
    <tableColumn id="6" xr3:uid="{00000000-0010-0000-0100-000006000000}" name="EV/EBIT (1-t)" dataDxfId="7"/>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15" displayName="Table15" ref="A1:F97" totalsRowShown="0" dataDxfId="6">
  <autoFilter ref="A1:F97" xr:uid="{00000000-0009-0000-0100-000004000000}"/>
  <tableColumns count="6">
    <tableColumn id="1" xr3:uid="{00000000-0010-0000-0200-000001000000}" name="Industry Name" dataDxfId="5"/>
    <tableColumn id="2" xr3:uid="{00000000-0010-0000-0200-000002000000}" name="Number of firms" dataDxfId="4"/>
    <tableColumn id="3" xr3:uid="{00000000-0010-0000-0200-000003000000}" name="Price/Sales" dataDxfId="3"/>
    <tableColumn id="4" xr3:uid="{00000000-0010-0000-0200-000004000000}" name="Net Margin" dataDxfId="2"/>
    <tableColumn id="5" xr3:uid="{00000000-0010-0000-0200-000005000000}" name="EV/Sales" dataDxfId="1"/>
    <tableColumn id="6" xr3:uid="{00000000-0010-0000-0200-000006000000}" name="Pre-tax Operating Margin"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actSet Color Set">
    <a:dk1>
      <a:sysClr val="windowText" lastClr="000000"/>
    </a:dk1>
    <a:lt1>
      <a:sysClr val="window" lastClr="FFFFFF"/>
    </a:lt1>
    <a:dk2>
      <a:srgbClr val="00B0F0"/>
    </a:dk2>
    <a:lt2>
      <a:srgbClr val="B4DFEF"/>
    </a:lt2>
    <a:accent1>
      <a:srgbClr val="00B0F0"/>
    </a:accent1>
    <a:accent2>
      <a:srgbClr val="98CA3C"/>
    </a:accent2>
    <a:accent3>
      <a:srgbClr val="F7C807"/>
    </a:accent3>
    <a:accent4>
      <a:srgbClr val="DCDCDC"/>
    </a:accent4>
    <a:accent5>
      <a:srgbClr val="FF0000"/>
    </a:accent5>
    <a:accent6>
      <a:srgbClr val="009999"/>
    </a:accent6>
    <a:hlink>
      <a:srgbClr val="0000FF"/>
    </a:hlink>
    <a:folHlink>
      <a:srgbClr val="800080"/>
    </a:folHlink>
  </a:clrScheme>
  <a:fontScheme name="FactSet Font Set">
    <a:majorFont>
      <a:latin typeface="Calibri"/>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FactSet Color Set">
    <a:dk1>
      <a:sysClr val="windowText" lastClr="000000"/>
    </a:dk1>
    <a:lt1>
      <a:sysClr val="window" lastClr="FFFFFF"/>
    </a:lt1>
    <a:dk2>
      <a:srgbClr val="00B0F0"/>
    </a:dk2>
    <a:lt2>
      <a:srgbClr val="B4DFEF"/>
    </a:lt2>
    <a:accent1>
      <a:srgbClr val="00B0F0"/>
    </a:accent1>
    <a:accent2>
      <a:srgbClr val="98CA3C"/>
    </a:accent2>
    <a:accent3>
      <a:srgbClr val="F7C807"/>
    </a:accent3>
    <a:accent4>
      <a:srgbClr val="DCDCDC"/>
    </a:accent4>
    <a:accent5>
      <a:srgbClr val="FF0000"/>
    </a:accent5>
    <a:accent6>
      <a:srgbClr val="009999"/>
    </a:accent6>
    <a:hlink>
      <a:srgbClr val="0000FF"/>
    </a:hlink>
    <a:folHlink>
      <a:srgbClr val="800080"/>
    </a:folHlink>
  </a:clrScheme>
  <a:fontScheme name="FactSet Font Set">
    <a:majorFont>
      <a:latin typeface="Calibri"/>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FactSet Color Set">
    <a:dk1>
      <a:sysClr val="windowText" lastClr="000000"/>
    </a:dk1>
    <a:lt1>
      <a:sysClr val="window" lastClr="FFFFFF"/>
    </a:lt1>
    <a:dk2>
      <a:srgbClr val="00B0F0"/>
    </a:dk2>
    <a:lt2>
      <a:srgbClr val="B4DFEF"/>
    </a:lt2>
    <a:accent1>
      <a:srgbClr val="00B0F0"/>
    </a:accent1>
    <a:accent2>
      <a:srgbClr val="98CA3C"/>
    </a:accent2>
    <a:accent3>
      <a:srgbClr val="F7C807"/>
    </a:accent3>
    <a:accent4>
      <a:srgbClr val="DCDCDC"/>
    </a:accent4>
    <a:accent5>
      <a:srgbClr val="FF0000"/>
    </a:accent5>
    <a:accent6>
      <a:srgbClr val="009999"/>
    </a:accent6>
    <a:hlink>
      <a:srgbClr val="0000FF"/>
    </a:hlink>
    <a:folHlink>
      <a:srgbClr val="800080"/>
    </a:folHlink>
  </a:clrScheme>
  <a:fontScheme name="FactSet Font Set">
    <a:majorFont>
      <a:latin typeface="Calibri"/>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FactSet Color Set">
    <a:dk1>
      <a:sysClr val="windowText" lastClr="000000"/>
    </a:dk1>
    <a:lt1>
      <a:sysClr val="window" lastClr="FFFFFF"/>
    </a:lt1>
    <a:dk2>
      <a:srgbClr val="00B0F0"/>
    </a:dk2>
    <a:lt2>
      <a:srgbClr val="B4DFEF"/>
    </a:lt2>
    <a:accent1>
      <a:srgbClr val="00B0F0"/>
    </a:accent1>
    <a:accent2>
      <a:srgbClr val="98CA3C"/>
    </a:accent2>
    <a:accent3>
      <a:srgbClr val="F7C807"/>
    </a:accent3>
    <a:accent4>
      <a:srgbClr val="DCDCDC"/>
    </a:accent4>
    <a:accent5>
      <a:srgbClr val="FF0000"/>
    </a:accent5>
    <a:accent6>
      <a:srgbClr val="009999"/>
    </a:accent6>
    <a:hlink>
      <a:srgbClr val="0000FF"/>
    </a:hlink>
    <a:folHlink>
      <a:srgbClr val="800080"/>
    </a:folHlink>
  </a:clrScheme>
  <a:fontScheme name="FactSet Font Set">
    <a:majorFont>
      <a:latin typeface="Calibri"/>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O69" dT="2021-11-28T22:09:15.38" personId="{05C057DC-E468-4412-A965-CCAB76265271}" id="{D817D853-5C15-44FE-B34F-F7B695BC158B}">
    <text>No Lease adj has they have been capitalized since 2011</text>
  </threadedComment>
</ThreadedComments>
</file>

<file path=xl/threadedComments/threadedComment2.xml><?xml version="1.0" encoding="utf-8"?>
<ThreadedComments xmlns="http://schemas.microsoft.com/office/spreadsheetml/2018/threadedcomments" xmlns:x="http://schemas.openxmlformats.org/spreadsheetml/2006/main">
  <threadedComment ref="C16" dT="2021-10-19T17:03:02.43" personId="{6DF7FFFE-3A10-4581-BAD8-F5BFF1A245D7}" id="{21EEB850-CA15-473D-82FA-82364F04E8FA}">
    <text>Included since 2020 in PP&amp;E</text>
  </threadedComment>
</ThreadedComments>
</file>

<file path=xl/threadedComments/threadedComment3.xml><?xml version="1.0" encoding="utf-8"?>
<ThreadedComments xmlns="http://schemas.microsoft.com/office/spreadsheetml/2018/threadedcomments" xmlns:x="http://schemas.openxmlformats.org/spreadsheetml/2006/main">
  <threadedComment ref="C16" dT="2021-10-19T17:03:02.43" personId="{6DF7FFFE-3A10-4581-BAD8-F5BFF1A245D7}" id="{02D07C7A-3423-4FE0-AF30-40FEA75C83CA}">
    <text>Included since 2020 in PP&amp;E</text>
  </threadedComment>
</ThreadedComments>
</file>

<file path=xl/threadedComments/threadedComment4.xml><?xml version="1.0" encoding="utf-8"?>
<ThreadedComments xmlns="http://schemas.microsoft.com/office/spreadsheetml/2018/threadedcomments" xmlns:x="http://schemas.openxmlformats.org/spreadsheetml/2006/main">
  <threadedComment ref="C16" dT="2021-10-19T17:03:02.43" personId="{6DF7FFFE-3A10-4581-BAD8-F5BFF1A245D7}" id="{1A66EC94-7593-4359-8B09-57E1696C1B3F}">
    <text>Included since 2020 in PP&amp;E</text>
  </threadedComment>
</ThreadedComments>
</file>

<file path=xl/threadedComments/threadedComment5.xml><?xml version="1.0" encoding="utf-8"?>
<ThreadedComments xmlns="http://schemas.microsoft.com/office/spreadsheetml/2018/threadedcomments" xmlns:x="http://schemas.openxmlformats.org/spreadsheetml/2006/main">
  <threadedComment ref="C16" dT="2021-10-19T17:03:02.43" personId="{6DF7FFFE-3A10-4581-BAD8-F5BFF1A245D7}" id="{9C6877F3-1A7B-458F-AE9A-CD57C130840D}">
    <text>Included since 2020 in PP&amp;E</text>
  </threadedComment>
</ThreadedComments>
</file>

<file path=xl/threadedComments/threadedComment6.xml><?xml version="1.0" encoding="utf-8"?>
<ThreadedComments xmlns="http://schemas.microsoft.com/office/spreadsheetml/2018/threadedcomments" xmlns:x="http://schemas.openxmlformats.org/spreadsheetml/2006/main">
  <threadedComment ref="C16" dT="2021-10-19T17:03:02.43" personId="{6DF7FFFE-3A10-4581-BAD8-F5BFF1A245D7}" id="{4AFBB35E-0565-4807-82F1-CAFAD316709B}">
    <text>Included since 2020 in PP&amp;E</text>
  </threadedComment>
</ThreadedComments>
</file>

<file path=xl/threadedComments/threadedComment7.xml><?xml version="1.0" encoding="utf-8"?>
<ThreadedComments xmlns="http://schemas.microsoft.com/office/spreadsheetml/2018/threadedcomments" xmlns:x="http://schemas.openxmlformats.org/spreadsheetml/2006/main">
  <threadedComment ref="C16" dT="2021-10-19T17:03:02.43" personId="{6DF7FFFE-3A10-4581-BAD8-F5BFF1A245D7}" id="{E81FC0F4-1B0D-42F6-81FC-4AEAA27CB5EB}">
    <text>Included since 2020 in PP&amp;E</text>
  </threadedComment>
</ThreadedComments>
</file>

<file path=xl/threadedComments/threadedComment8.xml><?xml version="1.0" encoding="utf-8"?>
<ThreadedComments xmlns="http://schemas.microsoft.com/office/spreadsheetml/2018/threadedcomments" xmlns:x="http://schemas.openxmlformats.org/spreadsheetml/2006/main">
  <threadedComment ref="M29" dT="2021-11-28T01:56:55.76" personId="{05C057DC-E468-4412-A965-CCAB76265271}" id="{EC6420A8-C57B-48B2-AC71-A66277721415}">
    <text>See also comment L57
In 2021 Q3 earnings call is is stated that the company as repurchased stocks over the past tears but that it will not porceed this way in the future. It is said to cut stock repurchasments for at least 2-3years.
There is no information regarding the issuance of new stocks.
Hence we conclude that there is no change in shares.</text>
  </threadedComment>
  <threadedComment ref="M56" dT="2021-11-28T01:59:55.12" personId="{05C057DC-E468-4412-A965-CCAB76265271}" id="{B684B863-44DC-4177-970B-EA4759483CD3}">
    <text>Had to be changed because of #DIV/0 error caused by the nul change in shares.
Recap (also see M29):
Has been set to 0 as their wont be any change in the number of shares.</text>
  </threadedComment>
  <threadedComment ref="M57" dT="2021-11-28T01:57:42.98" personId="{05C057DC-E468-4412-A965-CCAB76265271}" id="{FC96DE14-066D-4DD3-9FF4-A1070DE34404}">
    <text>Dividend payouts have been retrived from FactSet estimates</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omments" Target="../comments2.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8.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ctrlProp" Target="../ctrlProps/ctrlProp9.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9.bin"/><Relationship Id="rId4" Type="http://schemas.microsoft.com/office/2017/10/relationships/threadedComment" Target="../threadedComments/threadedComment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0.bin"/><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printerSettings" Target="../printerSettings/printerSettings44.bin"/><Relationship Id="rId4" Type="http://schemas.microsoft.com/office/2017/10/relationships/threadedComment" Target="../threadedComments/threadedComment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hyperlink" Target="http://www.stern.nyu.edu/~adamodar/New_Home_Page/data.html" TargetMode="External"/><Relationship Id="rId7" Type="http://schemas.openxmlformats.org/officeDocument/2006/relationships/table" Target="../tables/table1.xml"/><Relationship Id="rId2" Type="http://schemas.openxmlformats.org/officeDocument/2006/relationships/hyperlink" Target="http://www.damodaran.com/" TargetMode="External"/><Relationship Id="rId1" Type="http://schemas.openxmlformats.org/officeDocument/2006/relationships/hyperlink" Target="mailto:adamodar@stern.nyu.edu?subject=Data%20on%20website" TargetMode="External"/><Relationship Id="rId6" Type="http://schemas.openxmlformats.org/officeDocument/2006/relationships/drawing" Target="../drawings/drawing16.xml"/><Relationship Id="rId5" Type="http://schemas.openxmlformats.org/officeDocument/2006/relationships/hyperlink" Target="http://www.stern.nyu.edu/~adamodar/New_Home_Page/datafile/variable.htm" TargetMode="External"/><Relationship Id="rId4" Type="http://schemas.openxmlformats.org/officeDocument/2006/relationships/hyperlink" Target="http://www.stern.nyu.edu/~adamodar/pc/datasets/indname.xls"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http://www.stern.nyu.edu/~adamodar/New_Home_Page/data.html" TargetMode="External"/><Relationship Id="rId2" Type="http://schemas.openxmlformats.org/officeDocument/2006/relationships/hyperlink" Target="http://www.damodaran.com/" TargetMode="External"/><Relationship Id="rId1" Type="http://schemas.openxmlformats.org/officeDocument/2006/relationships/hyperlink" Target="mailto:adamodar@stern.nyu.edu?subject=Data%20on%20website" TargetMode="External"/><Relationship Id="rId6" Type="http://schemas.openxmlformats.org/officeDocument/2006/relationships/table" Target="../tables/table2.xml"/><Relationship Id="rId5" Type="http://schemas.openxmlformats.org/officeDocument/2006/relationships/hyperlink" Target="http://www.stern.nyu.edu/~adamodar/New_Home_Page/datafile/variable.htm" TargetMode="External"/><Relationship Id="rId4" Type="http://schemas.openxmlformats.org/officeDocument/2006/relationships/hyperlink" Target="http://www.stern.nyu.edu/~adamodar/pc/datasets/indname.xls"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http://www.stern.nyu.edu/~adamodar/New_Home_Page/data.html" TargetMode="External"/><Relationship Id="rId2" Type="http://schemas.openxmlformats.org/officeDocument/2006/relationships/hyperlink" Target="http://www.damodaran.com/" TargetMode="External"/><Relationship Id="rId1" Type="http://schemas.openxmlformats.org/officeDocument/2006/relationships/hyperlink" Target="mailto:adamodar@stern.nyu.edu?subject=Data%20on%20website" TargetMode="External"/><Relationship Id="rId6" Type="http://schemas.openxmlformats.org/officeDocument/2006/relationships/table" Target="../tables/table3.xml"/><Relationship Id="rId5" Type="http://schemas.openxmlformats.org/officeDocument/2006/relationships/hyperlink" Target="http://www.stern.nyu.edu/~adamodar/New_Home_Page/datafile/variable.htm" TargetMode="External"/><Relationship Id="rId4" Type="http://schemas.openxmlformats.org/officeDocument/2006/relationships/hyperlink" Target="http://www.stern.nyu.edu/~adamodar/pc/datasets/indname.xl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B31"/>
  <sheetViews>
    <sheetView workbookViewId="0">
      <selection activeCell="E19" sqref="E19"/>
    </sheetView>
  </sheetViews>
  <sheetFormatPr defaultColWidth="11.28515625" defaultRowHeight="15"/>
  <sheetData>
    <row r="1" spans="1:2">
      <c r="B1" t="s">
        <v>0</v>
      </c>
    </row>
    <row r="2" spans="1:2"/>
    <row r="3" spans="1:2"/>
    <row r="4" spans="1:2"/>
    <row r="5" spans="1:2"/>
    <row r="6" spans="1:2"/>
    <row r="7" spans="1:2"/>
    <row r="8" spans="1:2"/>
    <row r="9" spans="1:2"/>
    <row r="10" spans="1:2"/>
    <row r="11" spans="1:2"/>
    <row r="12" spans="1:2"/>
    <row r="13" spans="1:2"/>
    <row r="14" spans="1:2"/>
    <row r="15" spans="1:2"/>
    <row r="16" spans="1:2"/>
    <row r="17" spans="1:1"/>
    <row r="18" spans="1:1"/>
    <row r="19" spans="1:1"/>
    <row r="20" spans="1:1"/>
    <row r="21" spans="1:1"/>
    <row r="22" spans="1:1"/>
    <row r="23" spans="1:1"/>
    <row r="24" spans="1:1"/>
    <row r="25" spans="1:1"/>
    <row r="26" spans="1:1"/>
    <row r="27" spans="1:1"/>
    <row r="28" spans="1:1"/>
    <row r="29" spans="1:1"/>
    <row r="30" spans="1:1"/>
    <row r="31" spans="1:1"/>
  </sheetData>
  <pageMargins left="0.7" right="0.7" top="0.78740157499999996" bottom="0.78740157499999996"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theme="6" tint="0.59999389629810485"/>
    <outlinePr summaryBelow="0"/>
    <pageSetUpPr fitToPage="1"/>
  </sheetPr>
  <dimension ref="A1:AF457"/>
  <sheetViews>
    <sheetView showGridLines="0" tabSelected="1" topLeftCell="A2" zoomScaleNormal="100" workbookViewId="0">
      <pane ySplit="2" topLeftCell="A16" activePane="bottomLeft" state="frozen"/>
      <selection activeCell="E31" sqref="E31"/>
      <selection pane="bottomLeft" activeCell="P4" sqref="P4"/>
    </sheetView>
  </sheetViews>
  <sheetFormatPr defaultColWidth="9.28515625" defaultRowHeight="15" customHeight="1" outlineLevelRow="1"/>
  <cols>
    <col min="1" max="2" width="2.7109375" style="34" customWidth="1"/>
    <col min="3" max="3" width="27" style="34" bestFit="1" customWidth="1"/>
    <col min="4" max="4" width="11.28515625" style="34" customWidth="1"/>
    <col min="5" max="5" width="11.28515625" style="35" customWidth="1"/>
    <col min="6" max="10" width="11.28515625" style="34" customWidth="1"/>
    <col min="11" max="11" width="3" style="34" customWidth="1"/>
    <col min="12" max="12" width="2.7109375" style="34" customWidth="1"/>
    <col min="13" max="13" width="3" style="34" customWidth="1"/>
    <col min="14" max="14" width="9.28515625" style="34"/>
    <col min="15" max="15" width="9.28515625" style="34" customWidth="1"/>
    <col min="16" max="17" width="10" style="34" customWidth="1"/>
    <col min="18" max="18" width="13.28515625" style="34" customWidth="1"/>
    <col min="19" max="19" width="11.7109375" style="34" customWidth="1"/>
    <col min="20" max="20" width="10.7109375" style="34" customWidth="1"/>
    <col min="21" max="21" width="14.28515625" style="34" customWidth="1"/>
    <col min="22" max="22" width="2.7109375" style="34" customWidth="1"/>
    <col min="23" max="23" width="10" style="34" customWidth="1"/>
    <col min="24" max="24" width="9.28515625" style="34" customWidth="1"/>
    <col min="25" max="16384" width="9.28515625" style="34"/>
  </cols>
  <sheetData>
    <row r="1" spans="1:32" ht="15" hidden="1" customHeight="1"/>
    <row r="2" spans="1:32" s="36" customFormat="1" ht="22.5" customHeight="1">
      <c r="C2" s="37"/>
      <c r="F2" s="38" t="s">
        <v>1</v>
      </c>
      <c r="G2" s="1018" t="s">
        <v>2</v>
      </c>
      <c r="I2" s="39" t="s">
        <v>3</v>
      </c>
      <c r="J2" s="1019" t="s">
        <v>4</v>
      </c>
      <c r="K2" s="40"/>
      <c r="L2" s="40"/>
      <c r="M2" s="40"/>
      <c r="N2" s="41"/>
      <c r="O2" s="40"/>
      <c r="Q2" s="42" t="str">
        <f>IF(LEN(R2)&gt;0,"Next rpt date: ","")</f>
        <v xml:space="preserve">Next rpt date: </v>
      </c>
      <c r="R2" s="43" cm="1">
        <f t="array" ref="R2">_xll.FDSB(Identifier,"CS_EVENT_DATEJ_N(""ER"",1)")</f>
        <v>44579</v>
      </c>
      <c r="T2" s="44" t="s">
        <v>5</v>
      </c>
      <c r="U2" s="45" cm="1">
        <f t="array" ref="U2">_xll.FDS("dummy","julian(today)")</f>
        <v>44526</v>
      </c>
      <c r="W2" s="40"/>
      <c r="Z2" s="37"/>
      <c r="AA2" s="37"/>
      <c r="AB2" s="37"/>
      <c r="AC2" s="37"/>
    </row>
    <row r="3" spans="1:32" s="53" customFormat="1" ht="24.75" customHeight="1">
      <c r="A3" s="46"/>
      <c r="B3" s="47"/>
      <c r="C3" s="48" t="str">
        <f>"Company at a Glance - "&amp; _xll.FDSC("-",G2,"FG_COMPANY_NAME")&amp;" ("&amp;UPPER(G2)&amp;")"</f>
        <v>Company at a Glance - Delta Air Lines, Inc. (DAL-US)</v>
      </c>
      <c r="D3" s="46"/>
      <c r="E3" s="47"/>
      <c r="F3" s="49"/>
      <c r="G3" s="46"/>
      <c r="H3" s="46"/>
      <c r="I3" s="46"/>
      <c r="J3" s="46"/>
      <c r="K3" s="46"/>
      <c r="L3" s="46"/>
      <c r="M3" s="46"/>
      <c r="N3" s="46"/>
      <c r="O3" s="46"/>
      <c r="P3" s="50"/>
      <c r="Q3" s="51"/>
      <c r="R3" s="51"/>
      <c r="S3" s="51"/>
      <c r="T3" s="51"/>
      <c r="U3" s="52" t="str" cm="1">
        <f t="array" ref="U3">"Price : "&amp;_xll.FDS(Identifier,"p(now)")&amp;" | Currency : "&amp;_xll.FDS(Identifier,"P_CURRENCY(""ISO"")")&amp;" | Exchange : "&amp;_xll.FDS(Identifier,"P_EXCHANGE('NAME','FS')")&amp;" | FactSet Sector : "&amp;_xll.FDS(Identifier,"FG_FACTSET_SECTOR")&amp;""</f>
        <v>Price : 36.38 | Currency : USD | Exchange : NYSE | FactSet Sector : Transportation</v>
      </c>
      <c r="V3" s="46"/>
      <c r="W3" s="46"/>
      <c r="X3" s="46"/>
      <c r="Y3" s="46"/>
      <c r="Z3" s="46"/>
      <c r="AA3" s="46"/>
      <c r="AB3" s="46"/>
      <c r="AC3" s="46"/>
      <c r="AD3" s="46"/>
      <c r="AE3" s="46"/>
      <c r="AF3" s="46"/>
    </row>
    <row r="4" spans="1:32" s="61" customFormat="1" ht="15" customHeight="1">
      <c r="A4" s="54"/>
      <c r="B4" s="55"/>
      <c r="C4" s="56"/>
      <c r="D4" s="56"/>
      <c r="E4" s="57"/>
      <c r="F4" s="57"/>
      <c r="G4" s="57"/>
      <c r="H4" s="56"/>
      <c r="I4" s="57"/>
      <c r="J4" s="58"/>
      <c r="K4" s="59"/>
      <c r="L4" s="56"/>
      <c r="M4" s="56"/>
      <c r="N4" s="56"/>
      <c r="O4" s="56"/>
      <c r="P4" s="60"/>
      <c r="Q4" s="60"/>
      <c r="R4" s="60"/>
      <c r="S4" s="60"/>
      <c r="T4" s="60"/>
      <c r="U4" s="60"/>
      <c r="V4" s="60"/>
      <c r="W4" s="60"/>
      <c r="X4" s="60"/>
      <c r="Y4" s="60"/>
      <c r="Z4" s="60"/>
      <c r="AA4" s="60"/>
      <c r="AB4" s="60"/>
      <c r="AC4" s="60"/>
      <c r="AD4" s="60"/>
      <c r="AE4" s="60"/>
      <c r="AF4" s="60"/>
    </row>
    <row r="5" spans="1:32" s="53" customFormat="1" ht="15" customHeight="1">
      <c r="A5" s="35"/>
      <c r="B5" s="62"/>
      <c r="C5" s="63"/>
      <c r="D5" s="63"/>
      <c r="E5" s="63"/>
      <c r="F5" s="63"/>
      <c r="G5" s="63"/>
      <c r="H5" s="63"/>
      <c r="I5" s="63"/>
      <c r="J5" s="63"/>
      <c r="K5" s="63"/>
      <c r="L5" s="63"/>
      <c r="M5" s="63"/>
      <c r="N5" s="63"/>
      <c r="O5" s="63"/>
      <c r="P5" s="63"/>
      <c r="Q5" s="63"/>
      <c r="R5" s="63"/>
      <c r="S5" s="63"/>
      <c r="T5" s="63"/>
      <c r="U5" s="64"/>
      <c r="V5" s="65"/>
      <c r="W5" s="66"/>
      <c r="X5" s="66"/>
      <c r="Y5" s="35"/>
      <c r="Z5" s="35"/>
      <c r="AA5" s="35"/>
      <c r="AB5" s="35"/>
      <c r="AC5" s="35"/>
      <c r="AD5" s="35"/>
      <c r="AE5" s="35"/>
      <c r="AF5" s="35"/>
    </row>
    <row r="6" spans="1:32" s="53" customFormat="1" ht="15.75">
      <c r="A6" s="35"/>
      <c r="B6" s="67"/>
      <c r="C6" s="68" t="s">
        <v>6</v>
      </c>
      <c r="D6" s="69"/>
      <c r="E6" s="69"/>
      <c r="F6" s="69"/>
      <c r="G6" s="69"/>
      <c r="H6" s="69"/>
      <c r="I6" s="69"/>
      <c r="J6" s="69"/>
      <c r="K6" s="69"/>
      <c r="L6" s="69"/>
      <c r="M6" s="69"/>
      <c r="N6" s="69"/>
      <c r="O6" s="69"/>
      <c r="P6" s="69"/>
      <c r="Q6" s="69"/>
      <c r="R6" s="69"/>
      <c r="S6" s="69"/>
      <c r="T6" s="69"/>
      <c r="U6" s="70"/>
      <c r="V6" s="71"/>
      <c r="W6" s="66"/>
      <c r="X6" s="66"/>
      <c r="Y6" s="35"/>
      <c r="Z6" s="35"/>
      <c r="AA6" s="35"/>
      <c r="AB6" s="35"/>
      <c r="AC6" s="35"/>
      <c r="AD6" s="35"/>
      <c r="AE6" s="35"/>
      <c r="AF6" s="35"/>
    </row>
    <row r="7" spans="1:32" s="53" customFormat="1" ht="15.75">
      <c r="A7" s="35"/>
      <c r="B7" s="67"/>
      <c r="C7" s="68"/>
      <c r="D7" s="69"/>
      <c r="E7" s="69"/>
      <c r="F7" s="69"/>
      <c r="G7" s="69"/>
      <c r="H7" s="69"/>
      <c r="I7" s="69"/>
      <c r="J7" s="69"/>
      <c r="K7" s="69"/>
      <c r="L7" s="69"/>
      <c r="M7" s="69"/>
      <c r="N7" s="69"/>
      <c r="O7" s="69"/>
      <c r="P7" s="69"/>
      <c r="Q7" s="69"/>
      <c r="R7" s="69"/>
      <c r="S7" s="69"/>
      <c r="T7" s="72"/>
      <c r="U7" s="70"/>
      <c r="V7" s="71"/>
      <c r="W7" s="66"/>
      <c r="X7" s="66"/>
      <c r="Y7" s="35"/>
      <c r="Z7" s="35"/>
      <c r="AA7" s="35"/>
      <c r="AB7" s="35"/>
      <c r="AC7" s="35"/>
      <c r="AD7" s="35"/>
      <c r="AE7" s="35"/>
      <c r="AF7" s="35"/>
    </row>
    <row r="8" spans="1:32" s="81" customFormat="1" ht="14.25" customHeight="1">
      <c r="A8" s="34"/>
      <c r="B8" s="73"/>
      <c r="C8" s="74" t="str" cm="1">
        <f t="array" ref="C8">_xll.FDSB(G2,"FG_BUS_DESC_BRIEF(""ARRAY"")[0]")</f>
        <v>Delta Air Lines, Inc. engages in the provision of scheduled air</v>
      </c>
      <c r="D8" s="69"/>
      <c r="E8" s="69"/>
      <c r="F8" s="69"/>
      <c r="G8" s="69"/>
      <c r="H8" s="71"/>
      <c r="I8" s="75"/>
      <c r="J8" s="76" t="s">
        <v>7</v>
      </c>
      <c r="K8" s="75"/>
      <c r="L8" s="75"/>
      <c r="M8" s="75"/>
      <c r="N8" s="77" t="s">
        <v>8</v>
      </c>
      <c r="O8" s="77"/>
      <c r="P8" s="77" t="s">
        <v>9</v>
      </c>
      <c r="Q8" s="77"/>
      <c r="R8" s="77" t="s">
        <v>10</v>
      </c>
      <c r="S8" s="77"/>
      <c r="T8" s="78" t="s">
        <v>11</v>
      </c>
      <c r="U8" s="78"/>
      <c r="V8" s="79"/>
      <c r="W8" s="80"/>
      <c r="X8" s="34"/>
      <c r="Y8" s="34"/>
      <c r="Z8" s="34"/>
      <c r="AA8" s="34"/>
      <c r="AB8" s="34"/>
      <c r="AC8" s="34"/>
      <c r="AD8" s="34"/>
      <c r="AE8" s="34"/>
      <c r="AF8" s="34"/>
    </row>
    <row r="9" spans="1:32" s="53" customFormat="1" ht="14.25" customHeight="1">
      <c r="A9" s="66"/>
      <c r="B9" s="67"/>
      <c r="C9" s="74" t="str" cm="1">
        <f t="array" ref="C9">_xll.FDSB(G2,"FG_BUS_DESC_BRIEF(""ARRAY"")[1]")</f>
        <v>transportation for passengers and cargo. It operates through the Airline</v>
      </c>
      <c r="D9" s="69"/>
      <c r="E9" s="69"/>
      <c r="F9" s="69"/>
      <c r="G9" s="69"/>
      <c r="H9" s="71"/>
      <c r="I9" s="69"/>
      <c r="J9" s="82" cm="1">
        <f t="array" ref="J9">_xll.FDSC("-",G2,"P_PRICE(NOW)")</f>
        <v>36.380000000000003</v>
      </c>
      <c r="K9" s="69"/>
      <c r="L9" s="69"/>
      <c r="M9" s="69"/>
      <c r="N9" s="83">
        <f>J59</f>
        <v>-0.13320000000000001</v>
      </c>
      <c r="O9" s="84"/>
      <c r="P9" s="85">
        <f>IF(ISERROR(J9/N9),"-",J9/N9)</f>
        <v>-273.12312312312309</v>
      </c>
      <c r="Q9" s="84"/>
      <c r="R9" s="85">
        <f>IF(ISERROR(J9/(J91/T12)),"-",J9/(J91/T12))</f>
        <v>8.9346543821949354</v>
      </c>
      <c r="S9" s="84"/>
      <c r="T9" s="86" t="str">
        <f>IF(ISERROR(FIXED(J9*T12,0)&amp;" / "&amp;FIXED(_xll.FSUM((J9*T12),I81,I85,I90,-I69),0)),"-",FIXED(J9*T12,0)&amp;" / "&amp;FIXED(_xll.FSUM((J9*T12),I81,I85,I90,-I69),0))</f>
        <v>23,284 / 44,544</v>
      </c>
      <c r="U9" s="84"/>
      <c r="V9" s="87"/>
      <c r="W9" s="88"/>
      <c r="X9" s="66"/>
      <c r="Y9" s="66"/>
      <c r="Z9" s="66"/>
      <c r="AA9" s="66"/>
      <c r="AB9" s="66"/>
      <c r="AC9" s="66"/>
      <c r="AD9" s="66"/>
      <c r="AE9" s="66"/>
      <c r="AF9" s="66"/>
    </row>
    <row r="10" spans="1:32" s="53" customFormat="1" ht="14.25" customHeight="1">
      <c r="A10" s="66"/>
      <c r="B10" s="67"/>
      <c r="C10" s="74" t="str" cm="1">
        <f t="array" ref="C10">_xll.FDSB(G2,"FG_BUS_DESC_BRIEF(""ARRAY"")[2]")</f>
        <v>and Refinery segments. The Airline segment provides scheduled air</v>
      </c>
      <c r="D10" s="69"/>
      <c r="E10" s="69"/>
      <c r="F10" s="69"/>
      <c r="G10" s="69"/>
      <c r="H10" s="71"/>
      <c r="I10" s="69"/>
      <c r="J10" s="89"/>
      <c r="K10" s="69"/>
      <c r="L10" s="69"/>
      <c r="M10" s="69"/>
      <c r="N10" s="89"/>
      <c r="O10" s="89"/>
      <c r="P10" s="89"/>
      <c r="Q10" s="89"/>
      <c r="R10" s="89"/>
      <c r="S10" s="89"/>
      <c r="T10" s="89"/>
      <c r="U10" s="89"/>
      <c r="V10" s="90"/>
      <c r="W10" s="91"/>
      <c r="X10" s="66"/>
      <c r="Y10" s="66"/>
      <c r="Z10" s="66"/>
      <c r="AA10" s="66"/>
      <c r="AB10" s="66"/>
      <c r="AC10" s="66"/>
      <c r="AD10" s="66"/>
      <c r="AE10" s="66"/>
      <c r="AF10" s="66"/>
    </row>
    <row r="11" spans="1:32" s="53" customFormat="1" ht="14.25" customHeight="1">
      <c r="A11" s="66"/>
      <c r="B11" s="67"/>
      <c r="C11" s="74" t="str" cm="1">
        <f t="array" ref="C11">_xll.FDSB(G2,"FG_BUS_DESC_BRIEF(""ARRAY"")[3]")</f>
        <v>transportation for passengers and cargo. The Refinery segment consists of</v>
      </c>
      <c r="D11" s="69"/>
      <c r="E11" s="69"/>
      <c r="F11" s="69"/>
      <c r="G11" s="69"/>
      <c r="H11" s="71"/>
      <c r="I11" s="69"/>
      <c r="J11" s="77" t="s">
        <v>12</v>
      </c>
      <c r="K11" s="69"/>
      <c r="L11" s="69"/>
      <c r="M11" s="69"/>
      <c r="N11" s="77" t="s">
        <v>13</v>
      </c>
      <c r="O11" s="77"/>
      <c r="P11" s="77" t="s">
        <v>14</v>
      </c>
      <c r="Q11" s="77"/>
      <c r="R11" s="77" t="s">
        <v>15</v>
      </c>
      <c r="S11" s="77"/>
      <c r="T11" s="77" t="s">
        <v>16</v>
      </c>
      <c r="U11" s="77"/>
      <c r="V11" s="79"/>
      <c r="W11" s="80"/>
      <c r="X11" s="66"/>
      <c r="Y11" s="66"/>
      <c r="Z11" s="66"/>
      <c r="AA11" s="66"/>
      <c r="AB11" s="66"/>
      <c r="AC11" s="66"/>
      <c r="AD11" s="66"/>
      <c r="AE11" s="66"/>
      <c r="AF11" s="66"/>
    </row>
    <row r="12" spans="1:32" s="53" customFormat="1" ht="14.25" customHeight="1">
      <c r="A12" s="66"/>
      <c r="B12" s="67"/>
      <c r="C12" s="74" t="str" cm="1">
        <f t="array" ref="C12">_xll.FDSB(G2,"FG_BUS_DESC_BRIEF(""ARRAY"")[4]")</f>
        <v>jet fuel and non-jet fuel products. The company was founded by Collett</v>
      </c>
      <c r="D12" s="69"/>
      <c r="E12" s="69"/>
      <c r="F12" s="69"/>
      <c r="G12" s="69"/>
      <c r="H12" s="71"/>
      <c r="I12" s="69"/>
      <c r="J12" s="92" t="str" cm="1">
        <f t="array" ref="J12">""&amp;FIXED(_xll.FDSZ(G2,"P_PRICE_HIGH(-52AW,0,,,,""PRICE"",""INTRA"")"),1)&amp;" / "&amp;""&amp;FIXED(_xll.FDSZ(G2,"P_PRICE_LOW(-52AW,0,,,,""PRICE"",""INTRA"")"),1)</f>
        <v>52.3 / 37.3</v>
      </c>
      <c r="K12" s="69"/>
      <c r="L12" s="69"/>
      <c r="M12" s="69"/>
      <c r="N12" s="93" cm="1">
        <f t="array" ref="N12">_xll.FDSC("-",G2,"FE_ESTIMATE(EPS,MEAN,ANNUAL,+1,NOW)")</f>
        <v>-4.5392437000000001</v>
      </c>
      <c r="O12" s="75"/>
      <c r="P12" s="85">
        <f>IF(ISERROR(J9/N12),"-",J9/N12)</f>
        <v>-8.0145509702420252</v>
      </c>
      <c r="Q12" s="75"/>
      <c r="R12" s="94" cm="1">
        <f t="array" ref="R12">_xll.FDS(G2,"FF_BPS(ANN_R,0)")</f>
        <v>2.4037000000000002</v>
      </c>
      <c r="S12" s="75"/>
      <c r="T12" s="95" cm="1">
        <f t="array" ref="T12">_xll.FDSC("-",G2,"FF_COM_SHS_OUT(CURR,0)")</f>
        <v>640.01400000000001</v>
      </c>
      <c r="U12" s="96"/>
      <c r="V12" s="97"/>
      <c r="W12" s="98"/>
      <c r="X12" s="66"/>
      <c r="Y12" s="66"/>
      <c r="Z12" s="66"/>
      <c r="AA12" s="66"/>
      <c r="AB12" s="66"/>
      <c r="AC12" s="66"/>
      <c r="AD12" s="66"/>
      <c r="AE12" s="66"/>
      <c r="AF12" s="66"/>
    </row>
    <row r="13" spans="1:32" s="53" customFormat="1" ht="14.25" customHeight="1">
      <c r="A13" s="66"/>
      <c r="B13" s="67"/>
      <c r="C13" s="74" t="str" cm="1">
        <f t="array" ref="C13">_xll.FDSB(G2,"FG_BUS_DESC_BRIEF(""ARRAY"")[5]")</f>
        <v>Everman Woolman in 1928 and is headquartered in Atlanta, GA.</v>
      </c>
      <c r="D13" s="69"/>
      <c r="E13" s="69"/>
      <c r="F13" s="69"/>
      <c r="G13" s="69"/>
      <c r="H13" s="71"/>
      <c r="I13" s="69"/>
      <c r="J13" s="99"/>
      <c r="K13" s="69"/>
      <c r="L13" s="69"/>
      <c r="M13" s="69"/>
      <c r="N13" s="89"/>
      <c r="O13" s="89"/>
      <c r="P13" s="89"/>
      <c r="Q13" s="89"/>
      <c r="R13" s="89"/>
      <c r="S13" s="89"/>
      <c r="T13" s="89"/>
      <c r="U13" s="89"/>
      <c r="V13" s="90"/>
      <c r="W13" s="91"/>
      <c r="X13" s="66"/>
      <c r="Y13" s="66"/>
      <c r="Z13" s="66"/>
      <c r="AA13" s="66"/>
      <c r="AB13" s="66"/>
      <c r="AC13" s="66"/>
      <c r="AD13" s="66"/>
      <c r="AE13" s="66"/>
      <c r="AF13" s="66"/>
    </row>
    <row r="14" spans="1:32" s="53" customFormat="1" ht="14.25" customHeight="1">
      <c r="A14" s="66"/>
      <c r="B14" s="67"/>
      <c r="C14" s="74" t="str" cm="1">
        <f t="array" ref="C14">_xll.FDSB(G2,"FG_BUS_DESC_BRIEF(""ARRAY"")[6]")</f>
        <v/>
      </c>
      <c r="D14" s="69"/>
      <c r="E14" s="69"/>
      <c r="F14" s="69"/>
      <c r="G14" s="69"/>
      <c r="H14" s="71"/>
      <c r="I14" s="69"/>
      <c r="J14" s="77" t="s">
        <v>17</v>
      </c>
      <c r="K14" s="69"/>
      <c r="L14" s="69"/>
      <c r="M14" s="69"/>
      <c r="N14" s="77" t="s">
        <v>18</v>
      </c>
      <c r="O14" s="77"/>
      <c r="P14" s="77" t="s">
        <v>19</v>
      </c>
      <c r="Q14" s="77"/>
      <c r="R14" s="100" t="str">
        <f>C91</f>
        <v>Stockholder's Equity</v>
      </c>
      <c r="S14" s="77"/>
      <c r="T14" s="77" t="s">
        <v>20</v>
      </c>
      <c r="U14" s="77"/>
      <c r="V14" s="79"/>
      <c r="W14" s="80"/>
      <c r="X14" s="66"/>
      <c r="Y14" s="66"/>
      <c r="Z14" s="66"/>
      <c r="AA14" s="66"/>
      <c r="AB14" s="66"/>
      <c r="AC14" s="66"/>
      <c r="AD14" s="66"/>
      <c r="AE14" s="66"/>
      <c r="AF14" s="66"/>
    </row>
    <row r="15" spans="1:32" s="53" customFormat="1" ht="14.25" customHeight="1">
      <c r="A15" s="66"/>
      <c r="B15" s="67"/>
      <c r="C15" s="74" t="str" cm="1">
        <f t="array" ref="C15">_xll.FDSB(G2,"FG_BUS_DESC_BRIEF(""ARRAY"")[7]")</f>
        <v/>
      </c>
      <c r="D15" s="69"/>
      <c r="E15" s="69"/>
      <c r="F15" s="69"/>
      <c r="G15" s="69"/>
      <c r="H15" s="71"/>
      <c r="I15" s="69"/>
      <c r="J15" s="101" cm="1">
        <f t="array" ref="J15">_xll.FDSC("-",G2,"P_PRICE_CHANGE(0CY,NOW,RANGE)/100")</f>
        <v>-9.5249890000000004E-2</v>
      </c>
      <c r="K15" s="69"/>
      <c r="L15" s="69"/>
      <c r="M15" s="69"/>
      <c r="N15" s="93" cm="1">
        <f t="array" ref="N15">_xll.FDSC("-",G2,"FE_ESTIMATE(EPS,MEAN,ANNUAL,+1,NOW)")</f>
        <v>-4.5392437000000001</v>
      </c>
      <c r="O15" s="75"/>
      <c r="P15" s="85">
        <f>IF(ISERROR(J9/N15),"-",J9/N15)</f>
        <v>-8.0145509702420252</v>
      </c>
      <c r="Q15" s="75"/>
      <c r="R15" s="102">
        <f>J91</f>
        <v>2606</v>
      </c>
      <c r="S15" s="75"/>
      <c r="T15" s="93" cm="1">
        <f t="array" ref="T15">_xll.FDSC("-",G2,"FF_DPS(LTM,0)")</f>
        <v>0</v>
      </c>
      <c r="U15" s="103"/>
      <c r="V15" s="104"/>
      <c r="W15" s="105"/>
      <c r="X15" s="66"/>
      <c r="Y15" s="66"/>
      <c r="Z15" s="66"/>
      <c r="AA15" s="66"/>
      <c r="AB15" s="66"/>
      <c r="AC15" s="66"/>
      <c r="AD15" s="66"/>
      <c r="AE15" s="66"/>
      <c r="AF15" s="66"/>
    </row>
    <row r="16" spans="1:32" s="53" customFormat="1" ht="14.25" customHeight="1">
      <c r="A16" s="66"/>
      <c r="B16" s="67"/>
      <c r="C16" s="74" t="str" cm="1">
        <f t="array" ref="C16">_xll.FDSB(G2,"FG_BUS_DESC_BRIEF(""ARRAY"")[8]")</f>
        <v/>
      </c>
      <c r="D16" s="69"/>
      <c r="E16" s="69"/>
      <c r="F16" s="69"/>
      <c r="G16" s="69"/>
      <c r="H16" s="71"/>
      <c r="I16" s="69"/>
      <c r="J16" s="89"/>
      <c r="K16" s="69"/>
      <c r="L16" s="69"/>
      <c r="M16" s="69"/>
      <c r="N16" s="89"/>
      <c r="O16" s="89"/>
      <c r="P16" s="89"/>
      <c r="Q16" s="89"/>
      <c r="R16" s="89"/>
      <c r="S16" s="89"/>
      <c r="T16" s="89"/>
      <c r="U16" s="89"/>
      <c r="V16" s="90"/>
      <c r="W16" s="91"/>
      <c r="X16" s="66"/>
      <c r="Y16" s="66"/>
      <c r="Z16" s="66"/>
      <c r="AA16" s="66"/>
      <c r="AB16" s="66"/>
      <c r="AC16" s="66"/>
      <c r="AD16" s="66"/>
      <c r="AE16" s="66"/>
      <c r="AF16" s="66"/>
    </row>
    <row r="17" spans="1:32" s="53" customFormat="1" ht="14.25" customHeight="1">
      <c r="A17" s="66"/>
      <c r="B17" s="67"/>
      <c r="C17" s="74" t="str" cm="1">
        <f t="array" ref="C17">_xll.FDSB(G2,"FG_BUS_DESC_BRIEF(""ARRAY"")[9]")</f>
        <v/>
      </c>
      <c r="D17" s="69"/>
      <c r="E17" s="69"/>
      <c r="F17" s="69"/>
      <c r="G17" s="69"/>
      <c r="H17" s="71"/>
      <c r="I17" s="69"/>
      <c r="J17" s="77" t="s">
        <v>21</v>
      </c>
      <c r="K17" s="69"/>
      <c r="L17" s="69"/>
      <c r="M17" s="69"/>
      <c r="N17" s="77" t="s">
        <v>22</v>
      </c>
      <c r="O17" s="77"/>
      <c r="P17" s="77" t="s">
        <v>23</v>
      </c>
      <c r="Q17" s="77"/>
      <c r="R17" s="77" t="s">
        <v>24</v>
      </c>
      <c r="S17" s="77"/>
      <c r="T17" s="77" t="s">
        <v>25</v>
      </c>
      <c r="U17" s="77"/>
      <c r="V17" s="79"/>
      <c r="W17" s="80"/>
      <c r="X17" s="66"/>
      <c r="Y17" s="66"/>
      <c r="Z17" s="66"/>
      <c r="AA17" s="66"/>
      <c r="AB17" s="66"/>
      <c r="AC17" s="66"/>
      <c r="AD17" s="66"/>
      <c r="AE17" s="66"/>
      <c r="AF17" s="66"/>
    </row>
    <row r="18" spans="1:32" s="53" customFormat="1" ht="14.25" customHeight="1">
      <c r="A18" s="66"/>
      <c r="B18" s="106"/>
      <c r="C18" s="74" t="str" cm="1">
        <f t="array" ref="C18">_xll.FDSB(G2,"FG_BUS_DESC_BRIEF(""ARRAY"")[10]")</f>
        <v/>
      </c>
      <c r="D18" s="69"/>
      <c r="E18" s="69"/>
      <c r="F18" s="69"/>
      <c r="G18" s="69"/>
      <c r="H18" s="71"/>
      <c r="I18" s="69"/>
      <c r="J18" s="101" cm="1">
        <f t="array" ref="J18">_xll.FDSC("-",G2,"P_PRICE_CHANGE(-1AY,NOW,RANGE)/100")</f>
        <v>-0.11827427</v>
      </c>
      <c r="K18" s="69"/>
      <c r="L18" s="69"/>
      <c r="M18" s="69"/>
      <c r="N18" s="93" cm="1">
        <f t="array" ref="N18">_xll.FDSC("-",G2,"FE_ESTIMATE(EPS,MEAN,NTMA,,NOW)")</f>
        <v>2.6970111999999999</v>
      </c>
      <c r="O18" s="75"/>
      <c r="P18" s="85">
        <f>IF(ISERROR(J9/N18),"-",J9/N18)</f>
        <v>13.489005904017011</v>
      </c>
      <c r="Q18" s="75"/>
      <c r="R18" s="85">
        <f>IF(ISERROR(_xll.FSUM((J9*T12),J81,J85,J90,-J69)/J43),"-",_xll.FSUM((J9*T12),J81,J85,J90,-J69)/J43)</f>
        <v>-16.67928518714556</v>
      </c>
      <c r="S18" s="75"/>
      <c r="T18" s="107">
        <f>IF(ISERROR(T15/J9), "-", T15/J9)</f>
        <v>0</v>
      </c>
      <c r="U18" s="108"/>
      <c r="V18" s="109"/>
      <c r="W18" s="110"/>
      <c r="X18" s="66"/>
      <c r="Y18" s="66"/>
      <c r="Z18" s="66"/>
      <c r="AA18" s="66"/>
      <c r="AB18" s="66"/>
      <c r="AC18" s="66"/>
      <c r="AD18" s="66"/>
      <c r="AE18" s="66"/>
      <c r="AF18" s="66"/>
    </row>
    <row r="19" spans="1:32" s="53" customFormat="1" ht="14.25" customHeight="1">
      <c r="A19" s="35"/>
      <c r="B19" s="67"/>
      <c r="C19" s="74" t="str" cm="1">
        <f t="array" ref="C19">_xll.FDSB(G2,"FG_BUS_DESC_BRIEF(""ARRAY"")[11]")</f>
        <v/>
      </c>
      <c r="D19" s="69"/>
      <c r="E19" s="69"/>
      <c r="F19" s="69"/>
      <c r="G19" s="69"/>
      <c r="H19" s="71"/>
      <c r="I19" s="69"/>
      <c r="J19" s="111"/>
      <c r="K19" s="69"/>
      <c r="L19" s="69"/>
      <c r="M19" s="69"/>
      <c r="N19" s="75"/>
      <c r="O19" s="75"/>
      <c r="P19" s="69"/>
      <c r="Q19" s="75"/>
      <c r="R19" s="75"/>
      <c r="S19" s="75"/>
      <c r="T19" s="112"/>
      <c r="U19" s="75"/>
      <c r="V19" s="113"/>
      <c r="W19" s="34"/>
      <c r="X19" s="66"/>
      <c r="Y19" s="35"/>
      <c r="Z19" s="35"/>
      <c r="AA19" s="35"/>
      <c r="AB19" s="35"/>
      <c r="AC19" s="35"/>
      <c r="AD19" s="35"/>
      <c r="AE19" s="35"/>
      <c r="AF19" s="35"/>
    </row>
    <row r="20" spans="1:32" s="81" customFormat="1" ht="14.25" customHeight="1">
      <c r="A20" s="34"/>
      <c r="B20" s="73"/>
      <c r="C20" s="74" t="str" cm="1">
        <f t="array" ref="C20">_xll.FDSB(G2,"FG_BUS_DESC_BRIEF(""ARRAY"")[12]")</f>
        <v/>
      </c>
      <c r="D20" s="69"/>
      <c r="E20" s="69"/>
      <c r="F20" s="69"/>
      <c r="G20" s="69"/>
      <c r="H20" s="71"/>
      <c r="I20" s="75" t="s">
        <v>26</v>
      </c>
      <c r="J20" s="77" t="s">
        <v>27</v>
      </c>
      <c r="K20" s="75"/>
      <c r="L20" s="75"/>
      <c r="M20" s="75"/>
      <c r="N20" s="77" t="s">
        <v>28</v>
      </c>
      <c r="O20" s="77"/>
      <c r="P20" s="77" t="str">
        <f>"PEG ("&amp;CHOOSE(C181,C177,C178,C179,C180)&amp;")"</f>
        <v>PEG (FY2 PE)</v>
      </c>
      <c r="Q20" s="77"/>
      <c r="R20" s="77" t="s">
        <v>29</v>
      </c>
      <c r="S20" s="77"/>
      <c r="T20" s="77" t="s">
        <v>30</v>
      </c>
      <c r="U20" s="77"/>
      <c r="V20" s="79"/>
      <c r="W20" s="80"/>
      <c r="X20" s="34"/>
      <c r="Y20" s="34"/>
      <c r="Z20" s="34"/>
      <c r="AA20" s="34"/>
      <c r="AB20" s="34"/>
      <c r="AC20" s="34"/>
      <c r="AD20" s="34"/>
      <c r="AE20" s="34"/>
      <c r="AF20" s="34"/>
    </row>
    <row r="21" spans="1:32" s="81" customFormat="1" ht="14.25" customHeight="1">
      <c r="A21" s="114"/>
      <c r="B21" s="73"/>
      <c r="C21" s="74" t="str" cm="1">
        <f t="array" ref="C21">_xll.FDSB(G2,"FG_BUS_DESC_BRIEF(""ARRAY"")[13]")</f>
        <v/>
      </c>
      <c r="D21" s="70"/>
      <c r="E21" s="69"/>
      <c r="F21" s="69"/>
      <c r="G21" s="69"/>
      <c r="H21" s="71"/>
      <c r="I21" s="75"/>
      <c r="J21" s="94" cm="1">
        <f t="array" ref="J21">_xll.FDSC("-",G2,"BETA(""SP50"",-60AM,0,AM)")</f>
        <v>1.3736221</v>
      </c>
      <c r="K21" s="75"/>
      <c r="L21" s="75"/>
      <c r="M21" s="75"/>
      <c r="N21" s="101" t="str" cm="1">
        <f t="array" ref="N21">_xll.FDSC("-",G2,"FE_ESTIMATE(EPS_LTG,MEAN,,,NOW,,,'')/100")</f>
        <v>-</v>
      </c>
      <c r="O21" s="75"/>
      <c r="P21" s="83" t="str">
        <f>IF(ISERROR(CHOOSE(C181,P9,P12,P15,P18)/(N21*100)),"-",CHOOSE(C181,P9,P12,P15,P18)/(N21*100))</f>
        <v>-</v>
      </c>
      <c r="Q21" s="75"/>
      <c r="R21" s="85">
        <f>IF(ISERROR(_xll.FSUM((J9*T12),J81,J85,J90,-J69)/J47),"-",_xll.FSUM((J9*T12),J81,J85,J90,-J69)/J47)</f>
        <v>-9.5120114963346278</v>
      </c>
      <c r="S21" s="75"/>
      <c r="T21" s="115">
        <f>IF(ISERROR(T15/N9), "-", T15/N9)</f>
        <v>0</v>
      </c>
      <c r="U21" s="108"/>
      <c r="V21" s="109"/>
      <c r="W21" s="110"/>
      <c r="X21" s="34"/>
      <c r="Y21" s="114"/>
      <c r="Z21" s="114"/>
      <c r="AA21" s="114"/>
      <c r="AB21" s="114"/>
      <c r="AC21" s="114"/>
      <c r="AD21" s="114"/>
      <c r="AE21" s="114"/>
      <c r="AF21" s="114"/>
    </row>
    <row r="22" spans="1:32" s="81" customFormat="1" ht="14.25" customHeight="1">
      <c r="A22" s="34"/>
      <c r="B22" s="73"/>
      <c r="C22" s="74" t="str" cm="1">
        <f t="array" ref="C22">_xll.FDSB(G2,"FG_BUS_DESC_BRIEF(""ARRAY"")[14]")</f>
        <v/>
      </c>
      <c r="D22" s="70"/>
      <c r="E22" s="69"/>
      <c r="F22" s="69"/>
      <c r="G22" s="69"/>
      <c r="H22" s="69"/>
      <c r="I22" s="75"/>
      <c r="J22" s="75"/>
      <c r="K22" s="75"/>
      <c r="L22" s="75"/>
      <c r="M22" s="75"/>
      <c r="N22" s="116"/>
      <c r="O22" s="116"/>
      <c r="P22" s="75"/>
      <c r="Q22" s="75"/>
      <c r="R22" s="75"/>
      <c r="S22" s="75"/>
      <c r="T22" s="117"/>
      <c r="U22" s="75"/>
      <c r="V22" s="113"/>
      <c r="W22" s="34"/>
      <c r="X22" s="34"/>
      <c r="Y22" s="34"/>
      <c r="Z22" s="34"/>
      <c r="AA22" s="34"/>
      <c r="AB22" s="34"/>
      <c r="AC22" s="34"/>
      <c r="AD22" s="34"/>
      <c r="AE22" s="34"/>
      <c r="AF22" s="34"/>
    </row>
    <row r="23" spans="1:32" s="81" customFormat="1" ht="16.5" customHeight="1">
      <c r="A23" s="34"/>
      <c r="B23" s="73"/>
      <c r="C23" s="70"/>
      <c r="D23" s="70"/>
      <c r="E23" s="69"/>
      <c r="F23" s="69"/>
      <c r="G23" s="69"/>
      <c r="I23" s="75"/>
      <c r="J23" s="75"/>
      <c r="K23" s="75"/>
      <c r="L23" s="75"/>
      <c r="M23" s="75"/>
      <c r="N23" s="75"/>
      <c r="O23" s="75"/>
      <c r="P23" s="75"/>
      <c r="Q23" s="75"/>
      <c r="R23" s="75"/>
      <c r="S23" s="75"/>
      <c r="T23" s="75"/>
      <c r="U23" s="75"/>
      <c r="V23" s="113"/>
      <c r="W23" s="34"/>
      <c r="X23" s="34"/>
      <c r="Y23" s="34"/>
      <c r="Z23" s="34"/>
      <c r="AA23" s="34"/>
      <c r="AB23" s="34"/>
      <c r="AC23" s="34"/>
      <c r="AD23" s="34"/>
      <c r="AE23" s="34"/>
      <c r="AF23" s="34"/>
    </row>
    <row r="24" spans="1:32" s="81" customFormat="1" ht="14.25" customHeight="1">
      <c r="A24" s="34"/>
      <c r="B24" s="118"/>
      <c r="C24" s="77" t="s">
        <v>31</v>
      </c>
      <c r="D24" s="119"/>
      <c r="E24" s="75"/>
      <c r="G24" s="77" t="s">
        <v>32</v>
      </c>
      <c r="I24" s="119"/>
      <c r="K24" s="77" t="s">
        <v>33</v>
      </c>
      <c r="R24" s="77" t="s">
        <v>34</v>
      </c>
      <c r="T24" s="77"/>
      <c r="U24" s="75"/>
      <c r="V24" s="113"/>
      <c r="W24" s="34"/>
      <c r="X24" s="66"/>
      <c r="Y24" s="34"/>
      <c r="Z24" s="34"/>
      <c r="AA24" s="34"/>
      <c r="AB24" s="34"/>
      <c r="AC24" s="34"/>
      <c r="AD24" s="34"/>
      <c r="AE24" s="34"/>
      <c r="AF24" s="34"/>
    </row>
    <row r="25" spans="1:32" s="81" customFormat="1" ht="12.75">
      <c r="A25" s="34"/>
      <c r="B25" s="73"/>
      <c r="C25" s="92" t="str" cm="1">
        <f t="array" ref="C25">_xll.FDS(G2," FG_ADDRESS_L1")</f>
        <v>Hartsfield-Jackson Atlanta</v>
      </c>
      <c r="D25" s="75"/>
      <c r="E25" s="75"/>
      <c r="G25" s="92" t="str" cm="1">
        <f t="array" ref="G25">_xll.FDSC("-",G2,"HOMEPAGE")</f>
        <v>http://www.delta.com</v>
      </c>
      <c r="I25" s="75"/>
      <c r="K25" s="92" t="str" cm="1">
        <f t="array" ref="K25">_xll.FDSZ(G2,"FG_FACTSET_SECTOR")</f>
        <v>Transportation</v>
      </c>
      <c r="R25" s="92" t="str" cm="1">
        <f t="array" ref="R25">_xll.FDSZ(G2,"FG_FACTSET_IND")</f>
        <v>Airlines</v>
      </c>
      <c r="T25" s="120"/>
      <c r="U25" s="75"/>
      <c r="V25" s="113"/>
      <c r="W25" s="34"/>
      <c r="X25" s="66"/>
      <c r="Y25" s="34"/>
      <c r="Z25" s="34"/>
      <c r="AA25" s="34"/>
      <c r="AB25" s="34"/>
      <c r="AC25" s="34"/>
      <c r="AD25" s="34"/>
      <c r="AE25" s="34"/>
      <c r="AF25" s="34"/>
    </row>
    <row r="26" spans="1:32" s="81" customFormat="1" ht="12.75">
      <c r="A26" s="34"/>
      <c r="B26" s="73"/>
      <c r="C26" s="92" t="str" cm="1">
        <f t="array" ref="C26">_xll.FDS(G2,"FG_ADDRESS_L2")</f>
        <v>Atlanta, Georgia 30354 US</v>
      </c>
      <c r="D26" s="75"/>
      <c r="E26" s="75"/>
      <c r="G26" s="75"/>
      <c r="H26" s="75"/>
      <c r="I26" s="75"/>
      <c r="J26" s="75"/>
      <c r="K26" s="75"/>
      <c r="L26" s="75"/>
      <c r="M26" s="75"/>
      <c r="N26" s="75"/>
      <c r="O26" s="75"/>
      <c r="P26" s="75"/>
      <c r="Q26" s="75"/>
      <c r="R26" s="75"/>
      <c r="S26" s="75"/>
      <c r="T26" s="75"/>
      <c r="U26" s="75"/>
      <c r="V26" s="113"/>
      <c r="W26" s="66"/>
      <c r="X26" s="66"/>
      <c r="Y26" s="34"/>
      <c r="Z26" s="34"/>
      <c r="AA26" s="34"/>
      <c r="AB26" s="34"/>
      <c r="AC26" s="34"/>
      <c r="AD26" s="34"/>
      <c r="AE26" s="34"/>
      <c r="AF26" s="34"/>
    </row>
    <row r="27" spans="1:32" s="122" customFormat="1" ht="12.75">
      <c r="A27" s="91"/>
      <c r="B27" s="121"/>
      <c r="C27" s="92" t="str" cm="1">
        <f t="array" ref="C27">_xll.FDS(G2,"Proper(FG_COUNTRY)")</f>
        <v>United States</v>
      </c>
      <c r="D27" s="89"/>
      <c r="E27" s="89"/>
      <c r="G27" s="89"/>
      <c r="H27" s="89"/>
      <c r="I27" s="89"/>
      <c r="J27" s="89"/>
      <c r="K27" s="89"/>
      <c r="L27" s="89"/>
      <c r="M27" s="89"/>
      <c r="N27" s="89"/>
      <c r="O27" s="89"/>
      <c r="P27" s="89"/>
      <c r="Q27" s="89"/>
      <c r="R27" s="89"/>
      <c r="S27" s="89"/>
      <c r="T27" s="89"/>
      <c r="U27" s="89"/>
      <c r="V27" s="90"/>
      <c r="W27" s="66"/>
      <c r="X27" s="66"/>
      <c r="Y27" s="91"/>
      <c r="Z27" s="91"/>
      <c r="AA27" s="91"/>
      <c r="AB27" s="91"/>
      <c r="AC27" s="91"/>
      <c r="AD27" s="91"/>
      <c r="AE27" s="91"/>
      <c r="AF27" s="91"/>
    </row>
    <row r="28" spans="1:32" s="81" customFormat="1" ht="12.75">
      <c r="A28" s="34"/>
      <c r="B28" s="123"/>
      <c r="C28" s="124"/>
      <c r="D28" s="124"/>
      <c r="E28" s="124"/>
      <c r="F28" s="124"/>
      <c r="G28" s="124"/>
      <c r="H28" s="124"/>
      <c r="I28" s="124"/>
      <c r="J28" s="124"/>
      <c r="K28" s="124"/>
      <c r="L28" s="124"/>
      <c r="M28" s="124"/>
      <c r="N28" s="124"/>
      <c r="O28" s="125"/>
      <c r="P28" s="124"/>
      <c r="Q28" s="124"/>
      <c r="R28" s="124"/>
      <c r="S28" s="124"/>
      <c r="T28" s="124"/>
      <c r="U28" s="124"/>
      <c r="V28" s="126"/>
      <c r="W28" s="34"/>
      <c r="X28" s="66"/>
      <c r="Y28" s="34"/>
      <c r="Z28" s="34"/>
      <c r="AA28" s="34"/>
      <c r="AB28" s="34"/>
      <c r="AC28" s="34"/>
      <c r="AD28" s="34"/>
      <c r="AE28" s="34"/>
      <c r="AF28" s="34"/>
    </row>
    <row r="29" spans="1:32" s="81" customFormat="1" ht="15" customHeight="1">
      <c r="A29" s="34"/>
      <c r="B29" s="34"/>
      <c r="C29" s="34"/>
      <c r="D29" s="34"/>
      <c r="E29" s="34"/>
      <c r="F29" s="34"/>
      <c r="G29" s="34"/>
      <c r="H29" s="34"/>
      <c r="I29" s="34"/>
      <c r="J29" s="34"/>
      <c r="K29" s="34"/>
      <c r="L29" s="34"/>
      <c r="M29" s="34"/>
      <c r="N29" s="34"/>
      <c r="O29" s="34"/>
      <c r="P29" s="34"/>
      <c r="Q29" s="34"/>
      <c r="R29" s="34"/>
      <c r="S29" s="34"/>
      <c r="T29" s="34"/>
      <c r="U29" s="34"/>
      <c r="V29" s="34"/>
      <c r="W29" s="34"/>
      <c r="X29" s="66"/>
      <c r="Y29" s="34"/>
      <c r="Z29" s="34"/>
      <c r="AA29" s="34"/>
      <c r="AB29" s="34"/>
      <c r="AC29" s="34"/>
      <c r="AD29" s="34"/>
      <c r="AE29" s="34"/>
      <c r="AF29" s="34"/>
    </row>
    <row r="30" spans="1:32" s="81" customFormat="1" ht="12">
      <c r="A30" s="34" t="s">
        <v>26</v>
      </c>
      <c r="B30" s="127"/>
      <c r="C30" s="128"/>
      <c r="D30" s="128"/>
      <c r="E30" s="128"/>
      <c r="F30" s="128"/>
      <c r="G30" s="128"/>
      <c r="H30" s="128"/>
      <c r="I30" s="128"/>
      <c r="J30" s="128"/>
      <c r="K30" s="129"/>
      <c r="L30" s="34"/>
      <c r="M30" s="34"/>
      <c r="N30" s="34"/>
      <c r="O30" s="34"/>
      <c r="P30" s="34"/>
      <c r="Q30" s="34"/>
      <c r="R30" s="34"/>
      <c r="S30" s="34"/>
      <c r="T30" s="34"/>
      <c r="U30" s="34"/>
      <c r="V30" s="34"/>
      <c r="W30" s="34"/>
      <c r="X30" s="34"/>
      <c r="Y30" s="34"/>
      <c r="Z30" s="34"/>
      <c r="AA30" s="34"/>
      <c r="AB30" s="34"/>
      <c r="AC30" s="34"/>
      <c r="AD30" s="34"/>
      <c r="AE30" s="34"/>
      <c r="AF30" s="34"/>
    </row>
    <row r="31" spans="1:32" s="81" customFormat="1" ht="15.75">
      <c r="A31" s="34"/>
      <c r="B31" s="130"/>
      <c r="C31" s="68" t="s">
        <v>35</v>
      </c>
      <c r="D31" s="131"/>
      <c r="E31" s="131"/>
      <c r="F31" s="131"/>
      <c r="G31" s="131"/>
      <c r="H31" s="131"/>
      <c r="J31" s="132" t="s">
        <v>36</v>
      </c>
      <c r="K31" s="133"/>
      <c r="L31" s="34"/>
      <c r="M31" s="34"/>
      <c r="N31" s="34"/>
      <c r="O31" s="34" t="s">
        <v>37</v>
      </c>
      <c r="P31" s="34"/>
      <c r="Q31" s="34"/>
      <c r="R31" s="34"/>
      <c r="S31" s="34"/>
      <c r="T31" s="34"/>
      <c r="U31" s="34"/>
      <c r="V31" s="34"/>
      <c r="W31" s="34"/>
      <c r="X31" s="34"/>
      <c r="Y31" s="34"/>
      <c r="Z31" s="34"/>
      <c r="AA31" s="34"/>
      <c r="AB31" s="34"/>
      <c r="AC31" s="34"/>
      <c r="AD31" s="34"/>
      <c r="AE31" s="34"/>
      <c r="AF31" s="34"/>
    </row>
    <row r="32" spans="1:32" s="81" customFormat="1" ht="7.5" customHeight="1">
      <c r="A32" s="34"/>
      <c r="B32" s="130"/>
      <c r="C32" s="134"/>
      <c r="D32" s="131"/>
      <c r="E32" s="131"/>
      <c r="F32" s="131"/>
      <c r="G32" s="131"/>
      <c r="H32" s="131"/>
      <c r="I32" s="131"/>
      <c r="J32" s="131"/>
      <c r="K32" s="133"/>
      <c r="L32" s="34"/>
      <c r="M32" s="34"/>
      <c r="N32" s="34"/>
      <c r="O32" s="34"/>
      <c r="P32" s="34"/>
      <c r="Q32" s="34"/>
      <c r="R32" s="34"/>
      <c r="S32" s="34"/>
      <c r="T32" s="34"/>
      <c r="U32" s="34"/>
      <c r="V32" s="34"/>
      <c r="W32" s="34"/>
      <c r="X32" s="34"/>
      <c r="Y32" s="34"/>
      <c r="Z32" s="34"/>
      <c r="AA32" s="34"/>
      <c r="AB32" s="34"/>
      <c r="AC32" s="34"/>
      <c r="AD32" s="34"/>
      <c r="AE32" s="34"/>
      <c r="AF32" s="34"/>
    </row>
    <row r="33" spans="1:32" s="122" customFormat="1" ht="19.5" customHeight="1">
      <c r="A33" s="91"/>
      <c r="B33" s="135"/>
      <c r="C33" s="136"/>
      <c r="D33" s="137"/>
      <c r="E33" s="138" t="str" cm="1">
        <f t="array" ref="E33">_xll.FDSC("-",G2,"FF_FISCAL_DATE(ANN,-4FY,,,RP,""DATEM"")")</f>
        <v>12/2016</v>
      </c>
      <c r="F33" s="138" t="str" cm="1">
        <f t="array" ref="F33">_xll.FDSC("-",G2,"FF_FISCAL_DATE(ANN,-3FY,,,RP,""DATEM"")")</f>
        <v>12/2017</v>
      </c>
      <c r="G33" s="138" t="str" cm="1">
        <f t="array" ref="G33">_xll.FDSC("-",G2,"FF_FISCAL_DATE(ANN,-2FY,,,RP,""DATEM"")")</f>
        <v>12/2018</v>
      </c>
      <c r="H33" s="138" t="str" cm="1">
        <f t="array" ref="H33">_xll.FDSC("-",G2,"FF_FISCAL_DATE(ANN,-1FY,,,RP,""DATEM"")")</f>
        <v>12/2019</v>
      </c>
      <c r="I33" s="138" t="str" cm="1">
        <f t="array" ref="I33">_xll.FDSC("-",G2,"FF_FISCAL_DATE(ANN,0FY,,,RP,""DATEM"")")</f>
        <v>12/2020</v>
      </c>
      <c r="J33" s="139" t="str" cm="1">
        <f t="array" ref="J33">_xll.FDSC("-",G2,"FF_FISCAL_DATE(QTR,0,,,RP,""DATEM"")@FF_FISCAL_DATE(SEMI,0,,,RP,""DATEM"")")</f>
        <v>09/2021</v>
      </c>
      <c r="K33" s="133"/>
      <c r="L33" s="91"/>
      <c r="M33" s="91"/>
      <c r="N33" s="91"/>
      <c r="O33" s="91"/>
      <c r="P33" s="91"/>
      <c r="Q33" s="91"/>
      <c r="R33" s="91"/>
      <c r="S33" s="91"/>
      <c r="T33" s="91"/>
      <c r="U33" s="91"/>
      <c r="V33" s="91"/>
      <c r="W33" s="91"/>
      <c r="X33" s="34"/>
      <c r="Y33" s="91"/>
      <c r="Z33" s="91"/>
      <c r="AA33" s="91"/>
      <c r="AB33" s="91"/>
      <c r="AC33" s="91"/>
      <c r="AD33" s="91"/>
      <c r="AE33" s="91"/>
      <c r="AF33" s="91"/>
    </row>
    <row r="34" spans="1:32" s="81" customFormat="1" ht="13.5" customHeight="1">
      <c r="A34" s="34"/>
      <c r="B34" s="140"/>
      <c r="C34" s="141" t="s">
        <v>38</v>
      </c>
      <c r="D34" s="142"/>
      <c r="E34" s="143">
        <f t="array" ref="E34:I34">_xll.FDSRC("-",G2,"FF_SALES(ANN,-4FY,0FY,,RP)")</f>
        <v>39602</v>
      </c>
      <c r="F34" s="143">
        <v>41234</v>
      </c>
      <c r="G34" s="143">
        <v>44441</v>
      </c>
      <c r="H34" s="143">
        <v>47006</v>
      </c>
      <c r="I34" s="143">
        <v>17095</v>
      </c>
      <c r="J34" s="143" cm="1">
        <f t="array" ref="J34">_xll.FDSC("-",G2,"FF_SALES(LTM,0)@FF_SALES(LTM_SEMI,0)")</f>
        <v>24403</v>
      </c>
      <c r="K34" s="133"/>
      <c r="L34" s="34"/>
      <c r="M34" s="34"/>
      <c r="N34" s="34"/>
      <c r="O34" s="34"/>
      <c r="P34" s="34"/>
      <c r="Q34" s="34"/>
      <c r="R34" s="34"/>
      <c r="S34" s="34"/>
      <c r="T34" s="34"/>
      <c r="U34" s="34"/>
      <c r="V34" s="34"/>
      <c r="W34" s="34"/>
      <c r="X34" s="34"/>
      <c r="Y34" s="34"/>
      <c r="Z34" s="34"/>
      <c r="AA34" s="34"/>
      <c r="AB34" s="34"/>
      <c r="AC34" s="34"/>
      <c r="AD34" s="34"/>
      <c r="AE34" s="34"/>
      <c r="AF34" s="34"/>
    </row>
    <row r="35" spans="1:32" s="81" customFormat="1" ht="13.5" customHeight="1">
      <c r="A35" s="34"/>
      <c r="B35" s="130"/>
      <c r="C35" s="144" t="s">
        <v>39</v>
      </c>
      <c r="D35" s="145"/>
      <c r="E35" s="146">
        <f t="shared" ref="E35:J35" si="0">IF(ISERROR(E101),"-",E101)</f>
        <v>-2.2317681331160855E-2</v>
      </c>
      <c r="F35" s="147">
        <f t="shared" si="0"/>
        <v>4.1210039896974804E-2</v>
      </c>
      <c r="G35" s="147">
        <f t="shared" si="0"/>
        <v>7.7775622059465421E-2</v>
      </c>
      <c r="H35" s="147">
        <f t="shared" si="0"/>
        <v>5.7716973065412569E-2</v>
      </c>
      <c r="I35" s="147">
        <f t="shared" si="0"/>
        <v>-0.63632302259286044</v>
      </c>
      <c r="J35" s="147">
        <f t="shared" si="0"/>
        <v>0.42749341912840011</v>
      </c>
      <c r="K35" s="133"/>
      <c r="L35" s="34"/>
      <c r="M35" s="34"/>
      <c r="N35" s="34"/>
      <c r="O35" s="34"/>
      <c r="P35" s="34"/>
      <c r="Q35" s="34"/>
      <c r="R35" s="34"/>
      <c r="S35" s="34"/>
      <c r="T35" s="34"/>
      <c r="U35" s="34"/>
      <c r="V35" s="34"/>
      <c r="W35" s="34"/>
      <c r="X35" s="34"/>
      <c r="Y35" s="34"/>
      <c r="Z35" s="34"/>
      <c r="AA35" s="34"/>
      <c r="AB35" s="34"/>
      <c r="AC35" s="34"/>
      <c r="AD35" s="34"/>
      <c r="AE35" s="34"/>
      <c r="AF35" s="34"/>
    </row>
    <row r="36" spans="1:32" s="81" customFormat="1" ht="13.5" customHeight="1">
      <c r="A36" s="34"/>
      <c r="B36" s="148"/>
      <c r="C36" s="149" t="s">
        <v>40</v>
      </c>
      <c r="D36" s="150"/>
      <c r="E36" s="151">
        <f t="array" ref="E36:I36">_xll.FDSRC("-",G2,"FF_COGS(ANN,-4FY,0FY,,RP)")</f>
        <v>28625</v>
      </c>
      <c r="F36" s="151">
        <v>31013</v>
      </c>
      <c r="G36" s="151">
        <v>35510</v>
      </c>
      <c r="H36" s="151">
        <v>36584</v>
      </c>
      <c r="I36" s="151">
        <v>23631</v>
      </c>
      <c r="J36" s="151" cm="1">
        <f t="array" ref="J36">_xll.FDSC("-",G2,"FF_COGS(LTM,0)@FF_COGS(LTM_SEMI,0)")</f>
        <v>27090</v>
      </c>
      <c r="K36" s="133"/>
      <c r="L36" s="34"/>
      <c r="M36" s="34"/>
      <c r="N36" s="34"/>
      <c r="O36" s="34"/>
      <c r="P36" s="34"/>
      <c r="Q36" s="34"/>
      <c r="R36" s="34"/>
      <c r="S36" s="34"/>
      <c r="T36" s="34"/>
      <c r="U36" s="34"/>
      <c r="V36" s="34"/>
      <c r="W36" s="34"/>
      <c r="X36" s="34"/>
      <c r="Y36" s="34"/>
      <c r="Z36" s="34"/>
      <c r="AA36" s="34"/>
      <c r="AB36" s="34"/>
      <c r="AC36" s="34"/>
      <c r="AD36" s="34"/>
      <c r="AE36" s="34"/>
      <c r="AF36" s="34"/>
    </row>
    <row r="37" spans="1:32" s="81" customFormat="1" ht="13.5" customHeight="1">
      <c r="A37" s="34"/>
      <c r="B37" s="148"/>
      <c r="C37" s="149" t="s">
        <v>41</v>
      </c>
      <c r="D37" s="150"/>
      <c r="E37" s="152">
        <f t="shared" ref="E37:J37" si="1">IF(ISERROR(E34-E36),"-",E34-E36)</f>
        <v>10977</v>
      </c>
      <c r="F37" s="152">
        <f t="shared" si="1"/>
        <v>10221</v>
      </c>
      <c r="G37" s="152">
        <f t="shared" si="1"/>
        <v>8931</v>
      </c>
      <c r="H37" s="152">
        <f t="shared" si="1"/>
        <v>10422</v>
      </c>
      <c r="I37" s="152">
        <f t="shared" si="1"/>
        <v>-6536</v>
      </c>
      <c r="J37" s="152">
        <f t="shared" si="1"/>
        <v>-2687</v>
      </c>
      <c r="K37" s="133"/>
      <c r="L37" s="34"/>
      <c r="M37" s="34"/>
      <c r="N37" s="34"/>
      <c r="O37" s="34"/>
      <c r="P37" s="34"/>
      <c r="Q37" s="34"/>
      <c r="R37" s="34"/>
      <c r="S37" s="34"/>
      <c r="T37" s="34"/>
      <c r="U37" s="34"/>
      <c r="V37" s="34"/>
      <c r="W37" s="34"/>
      <c r="X37" s="34"/>
      <c r="Y37" s="34"/>
      <c r="Z37" s="34"/>
      <c r="AA37" s="34"/>
      <c r="AB37" s="34"/>
      <c r="AC37" s="34"/>
      <c r="AD37" s="34"/>
      <c r="AE37" s="34"/>
      <c r="AF37" s="34"/>
    </row>
    <row r="38" spans="1:32" s="81" customFormat="1" ht="13.5" customHeight="1">
      <c r="A38" s="34"/>
      <c r="B38" s="130"/>
      <c r="C38" s="144" t="s">
        <v>39</v>
      </c>
      <c r="E38" s="147">
        <f t="shared" ref="E38:J38" si="2">IF(ISERROR(E102),"-",E102)</f>
        <v>-8.9045643153526921E-2</v>
      </c>
      <c r="F38" s="147">
        <f t="shared" si="2"/>
        <v>-6.8871276305001339E-2</v>
      </c>
      <c r="G38" s="147">
        <f t="shared" si="2"/>
        <v>-0.12621074258878784</v>
      </c>
      <c r="H38" s="147">
        <f t="shared" si="2"/>
        <v>0.16694659052737659</v>
      </c>
      <c r="I38" s="147">
        <f t="shared" si="2"/>
        <v>-1.6271349069276531</v>
      </c>
      <c r="J38" s="147">
        <f t="shared" si="2"/>
        <v>-0.58889228886168909</v>
      </c>
      <c r="K38" s="133"/>
      <c r="L38" s="34"/>
      <c r="M38" s="34"/>
      <c r="N38" s="34"/>
      <c r="O38" s="34"/>
      <c r="P38" s="34"/>
      <c r="Q38" s="34"/>
      <c r="R38" s="34"/>
      <c r="S38" s="34"/>
      <c r="T38" s="34"/>
      <c r="U38" s="34"/>
      <c r="V38" s="34"/>
      <c r="W38" s="34"/>
      <c r="X38" s="34"/>
      <c r="Y38" s="34"/>
      <c r="Z38" s="34"/>
      <c r="AA38" s="34"/>
      <c r="AB38" s="34"/>
      <c r="AC38" s="34"/>
      <c r="AD38" s="34"/>
      <c r="AE38" s="34"/>
      <c r="AF38" s="34"/>
    </row>
    <row r="39" spans="1:32" s="81" customFormat="1" ht="13.5" customHeight="1">
      <c r="A39" s="34"/>
      <c r="B39" s="135"/>
      <c r="C39" s="153" t="str">
        <f>D146</f>
        <v>Gross Margin</v>
      </c>
      <c r="E39" s="147">
        <f t="shared" ref="E39:J39" si="3">IF(ISERROR(E146),"-",E146)</f>
        <v>0.27718297055704255</v>
      </c>
      <c r="F39" s="147">
        <f t="shared" si="3"/>
        <v>0.24787796478634136</v>
      </c>
      <c r="G39" s="147">
        <f t="shared" si="3"/>
        <v>0.20096307463828447</v>
      </c>
      <c r="H39" s="147">
        <f t="shared" si="3"/>
        <v>0.22171637663277027</v>
      </c>
      <c r="I39" s="147">
        <f t="shared" si="3"/>
        <v>-0.38233401579409182</v>
      </c>
      <c r="J39" s="147">
        <f t="shared" si="3"/>
        <v>-0.11010941277711757</v>
      </c>
      <c r="K39" s="154"/>
      <c r="L39" s="34"/>
      <c r="M39" s="34"/>
      <c r="N39" s="34"/>
      <c r="O39" s="34"/>
      <c r="P39" s="34"/>
      <c r="Q39" s="34"/>
      <c r="R39" s="34"/>
      <c r="S39" s="34"/>
      <c r="T39" s="34"/>
      <c r="U39" s="34"/>
      <c r="V39" s="34"/>
      <c r="W39" s="34"/>
      <c r="X39" s="34"/>
      <c r="Y39" s="34"/>
      <c r="Z39" s="34"/>
      <c r="AA39" s="34"/>
      <c r="AB39" s="34"/>
      <c r="AC39" s="34"/>
      <c r="AD39" s="34"/>
      <c r="AE39" s="34"/>
      <c r="AF39" s="34"/>
    </row>
    <row r="40" spans="1:32" s="81" customFormat="1" ht="13.5" customHeight="1">
      <c r="A40" s="114"/>
      <c r="B40" s="148"/>
      <c r="C40" s="149" t="s">
        <v>42</v>
      </c>
      <c r="D40" s="150"/>
      <c r="E40" s="155">
        <f t="array" ref="E40:I40">_xll.FDSRC("-",G2,"FF_SGA(ANN,-4FY,0FY,,RP)")</f>
        <v>1710</v>
      </c>
      <c r="F40" s="155">
        <v>1787</v>
      </c>
      <c r="G40" s="155">
        <v>1941</v>
      </c>
      <c r="H40" s="155">
        <v>1993</v>
      </c>
      <c r="I40" s="155">
        <v>582</v>
      </c>
      <c r="J40" s="155" cm="1">
        <f t="array" ref="J40">_xll.FDSC("-",G2,"FF_SGA(LTM,0)@FF_SGA(LTM_SEMI,0)")</f>
        <v>724</v>
      </c>
      <c r="K40" s="133"/>
      <c r="L40" s="114"/>
      <c r="M40" s="114"/>
      <c r="N40" s="114"/>
      <c r="O40" s="114"/>
      <c r="P40" s="114"/>
      <c r="Q40" s="114"/>
      <c r="R40" s="114"/>
      <c r="S40" s="114"/>
      <c r="T40" s="114"/>
      <c r="U40" s="114"/>
      <c r="V40" s="114"/>
      <c r="W40" s="114"/>
      <c r="X40" s="34"/>
      <c r="Y40" s="114"/>
      <c r="Z40" s="114"/>
      <c r="AA40" s="114"/>
      <c r="AB40" s="114"/>
      <c r="AC40" s="114"/>
      <c r="AD40" s="114"/>
      <c r="AE40" s="114"/>
      <c r="AF40" s="114"/>
    </row>
    <row r="41" spans="1:32" s="81" customFormat="1" ht="13.5" customHeight="1">
      <c r="A41" s="34"/>
      <c r="B41" s="130"/>
      <c r="C41" s="144" t="s">
        <v>39</v>
      </c>
      <c r="D41" s="137"/>
      <c r="E41" s="147">
        <f t="shared" ref="E41:J41" si="4">IF(ISERROR(E103),"-",E103)</f>
        <v>2.2727272727272707E-2</v>
      </c>
      <c r="F41" s="147">
        <f t="shared" si="4"/>
        <v>4.5029239766081863E-2</v>
      </c>
      <c r="G41" s="147">
        <f t="shared" si="4"/>
        <v>8.617795187465016E-2</v>
      </c>
      <c r="H41" s="147">
        <f t="shared" si="4"/>
        <v>2.6790314270994431E-2</v>
      </c>
      <c r="I41" s="147">
        <f t="shared" si="4"/>
        <v>-0.70797792272955351</v>
      </c>
      <c r="J41" s="147">
        <f t="shared" si="4"/>
        <v>0.24398625429553267</v>
      </c>
      <c r="K41" s="133"/>
      <c r="L41" s="34"/>
      <c r="M41" s="34"/>
      <c r="N41" s="34"/>
      <c r="O41" s="34"/>
      <c r="P41" s="34"/>
      <c r="Q41" s="34"/>
      <c r="R41" s="34"/>
      <c r="S41" s="34"/>
      <c r="T41" s="34"/>
      <c r="U41" s="34"/>
      <c r="V41" s="34"/>
      <c r="W41" s="34"/>
      <c r="X41" s="34"/>
      <c r="Y41" s="34"/>
      <c r="Z41" s="34"/>
      <c r="AA41" s="34"/>
      <c r="AB41" s="34"/>
      <c r="AC41" s="34"/>
      <c r="AD41" s="34"/>
      <c r="AE41" s="34"/>
      <c r="AF41" s="34"/>
    </row>
    <row r="42" spans="1:32" s="81" customFormat="1" ht="13.5" customHeight="1">
      <c r="A42" s="34"/>
      <c r="B42" s="135"/>
      <c r="C42" s="153" t="str">
        <f>D147</f>
        <v>SG&amp;A % of Sales</v>
      </c>
      <c r="D42" s="137"/>
      <c r="E42" s="147">
        <f t="shared" ref="E42:J42" si="5">IF(ISERROR(E147),"-",E147)</f>
        <v>4.3179637392050906E-2</v>
      </c>
      <c r="F42" s="147">
        <f t="shared" si="5"/>
        <v>4.3338022020662559E-2</v>
      </c>
      <c r="G42" s="147">
        <f t="shared" si="5"/>
        <v>4.3675884881078285E-2</v>
      </c>
      <c r="H42" s="147">
        <f t="shared" si="5"/>
        <v>4.2398842700931798E-2</v>
      </c>
      <c r="I42" s="147">
        <f t="shared" si="5"/>
        <v>3.404504241006142E-2</v>
      </c>
      <c r="J42" s="147">
        <f t="shared" si="5"/>
        <v>2.9668483383190593E-2</v>
      </c>
      <c r="K42" s="154"/>
      <c r="L42" s="34"/>
      <c r="M42" s="34"/>
      <c r="N42" s="34"/>
      <c r="O42" s="34"/>
      <c r="P42" s="34"/>
      <c r="Q42" s="34"/>
      <c r="R42" s="34"/>
      <c r="S42" s="34"/>
      <c r="T42" s="34"/>
      <c r="U42" s="34"/>
      <c r="V42" s="34"/>
      <c r="W42" s="34"/>
      <c r="X42" s="34"/>
      <c r="Y42" s="34"/>
      <c r="Z42" s="34"/>
      <c r="AA42" s="34"/>
      <c r="AB42" s="34"/>
      <c r="AC42" s="34"/>
      <c r="AD42" s="34"/>
      <c r="AE42" s="34"/>
      <c r="AF42" s="34"/>
    </row>
    <row r="43" spans="1:32" s="81" customFormat="1" ht="13.5" customHeight="1">
      <c r="A43" s="34"/>
      <c r="B43" s="156"/>
      <c r="C43" s="141" t="s">
        <v>43</v>
      </c>
      <c r="D43" s="142"/>
      <c r="E43" s="157">
        <f t="array" ref="E43:I43">_xll.FDSRC("-",G2,"FF_EBITDA_OPER(ANN,-4FY,0FY,,RP)")</f>
        <v>9183</v>
      </c>
      <c r="F43" s="157">
        <v>8420</v>
      </c>
      <c r="G43" s="157">
        <v>7596</v>
      </c>
      <c r="H43" s="157">
        <v>9239</v>
      </c>
      <c r="I43" s="157">
        <v>-5969</v>
      </c>
      <c r="J43" s="157" cm="1">
        <f t="array" ref="J43">_xll.FDSC("-",G2,"FF_EBITDA_OPER(LTM,0)@FF_EBITDA_OPER(LTM_SEMI,0)")</f>
        <v>-2645</v>
      </c>
      <c r="K43" s="133"/>
      <c r="L43" s="34"/>
      <c r="M43" s="34"/>
      <c r="N43" s="34"/>
      <c r="O43" s="34"/>
      <c r="P43" s="34"/>
      <c r="Q43" s="34"/>
      <c r="R43" s="34"/>
      <c r="S43" s="34"/>
      <c r="T43" s="34"/>
      <c r="U43" s="34"/>
      <c r="V43" s="34"/>
      <c r="W43" s="34"/>
      <c r="X43" s="34"/>
      <c r="Y43" s="34"/>
      <c r="Z43" s="34"/>
      <c r="AA43" s="34"/>
      <c r="AB43" s="34"/>
      <c r="AC43" s="34"/>
      <c r="AD43" s="34"/>
      <c r="AE43" s="34"/>
      <c r="AF43" s="34"/>
    </row>
    <row r="44" spans="1:32" s="122" customFormat="1" ht="13.5" customHeight="1">
      <c r="A44" s="91"/>
      <c r="B44" s="130"/>
      <c r="C44" s="144" t="s">
        <v>39</v>
      </c>
      <c r="E44" s="147">
        <f t="shared" ref="E44:J44" si="6">IF(ISERROR(E104),"-",E104)</f>
        <v>-0.10102790014684293</v>
      </c>
      <c r="F44" s="147">
        <f t="shared" si="6"/>
        <v>-8.3088315365348997E-2</v>
      </c>
      <c r="G44" s="147">
        <f t="shared" si="6"/>
        <v>-9.7862232779097336E-2</v>
      </c>
      <c r="H44" s="147">
        <f t="shared" si="6"/>
        <v>0.21629805160610838</v>
      </c>
      <c r="I44" s="147">
        <f t="shared" si="6"/>
        <v>-1.6460655915142333</v>
      </c>
      <c r="J44" s="147">
        <f t="shared" si="6"/>
        <v>-0.55687719886078069</v>
      </c>
      <c r="K44" s="133"/>
      <c r="L44" s="91"/>
      <c r="M44" s="91"/>
      <c r="N44" s="91"/>
      <c r="O44" s="91"/>
      <c r="P44" s="91"/>
      <c r="Q44" s="91"/>
      <c r="R44" s="91"/>
      <c r="S44" s="91"/>
      <c r="T44" s="91"/>
      <c r="U44" s="91"/>
      <c r="V44" s="91"/>
      <c r="W44" s="91"/>
      <c r="X44" s="34"/>
      <c r="Y44" s="91"/>
      <c r="Z44" s="91"/>
      <c r="AA44" s="91"/>
      <c r="AB44" s="91"/>
      <c r="AC44" s="91"/>
      <c r="AD44" s="91"/>
      <c r="AE44" s="91"/>
      <c r="AF44" s="91"/>
    </row>
    <row r="45" spans="1:32" s="81" customFormat="1" ht="13.5" customHeight="1">
      <c r="A45" s="34"/>
      <c r="B45" s="135"/>
      <c r="C45" s="153" t="str">
        <f>D148</f>
        <v>EBITDA Margin</v>
      </c>
      <c r="E45" s="147">
        <f t="shared" ref="E45:J45" si="7">IF(ISERROR(E148),"-",E148)</f>
        <v>0.23188222817029444</v>
      </c>
      <c r="F45" s="147">
        <f t="shared" si="7"/>
        <v>0.20420041713149342</v>
      </c>
      <c r="G45" s="147">
        <f t="shared" si="7"/>
        <v>0.17092324655160776</v>
      </c>
      <c r="H45" s="147">
        <f t="shared" si="7"/>
        <v>0.19654937667531805</v>
      </c>
      <c r="I45" s="147">
        <f t="shared" si="7"/>
        <v>-0.34916642293068151</v>
      </c>
      <c r="J45" s="147">
        <f t="shared" si="7"/>
        <v>-0.10838831291234684</v>
      </c>
      <c r="K45" s="154"/>
      <c r="L45" s="34"/>
      <c r="M45" s="34"/>
      <c r="N45" s="34"/>
      <c r="O45" s="34"/>
      <c r="P45" s="34"/>
      <c r="Q45" s="34"/>
      <c r="R45" s="34"/>
      <c r="S45" s="34"/>
      <c r="T45" s="34"/>
      <c r="U45" s="34"/>
      <c r="V45" s="34"/>
      <c r="W45" s="34"/>
      <c r="X45" s="34"/>
      <c r="Y45" s="34"/>
      <c r="Z45" s="34"/>
      <c r="AA45" s="34"/>
      <c r="AB45" s="34"/>
      <c r="AC45" s="34"/>
      <c r="AD45" s="34"/>
      <c r="AE45" s="34"/>
      <c r="AF45" s="34"/>
    </row>
    <row r="46" spans="1:32" s="122" customFormat="1" ht="13.5" customHeight="1">
      <c r="A46" s="91"/>
      <c r="B46" s="135"/>
      <c r="C46" s="153" t="str">
        <f>D161</f>
        <v>EBITDA/ Int. Exp.</v>
      </c>
      <c r="E46" s="158">
        <f>IF(ISERROR(F161),"-",F161)</f>
        <v>21.262626262626263</v>
      </c>
      <c r="F46" s="158">
        <f>IF(ISERROR(G161),"-",G161)</f>
        <v>24.424437299035368</v>
      </c>
      <c r="G46" s="158">
        <f>IF(ISERROR(H161),"-",H161)</f>
        <v>30.694352159468437</v>
      </c>
      <c r="H46" s="158">
        <f>IF(ISERROR(I161),"-",I161)</f>
        <v>-6.4251883745963401</v>
      </c>
      <c r="I46" s="158">
        <f>IF(ISERROR(J161),"-",J161)</f>
        <v>-1.9194484760522497</v>
      </c>
      <c r="J46" s="158">
        <f>IF(ISERROR(E161),"-",E161)</f>
        <v>23.667525773195877</v>
      </c>
      <c r="K46" s="154"/>
      <c r="L46" s="91"/>
      <c r="M46" s="91"/>
      <c r="N46" s="91"/>
      <c r="O46" s="91"/>
      <c r="P46" s="91"/>
      <c r="Q46" s="91"/>
      <c r="R46" s="91"/>
      <c r="S46" s="91"/>
      <c r="T46" s="91"/>
      <c r="U46" s="91"/>
      <c r="V46" s="91"/>
      <c r="W46" s="91"/>
      <c r="X46" s="34"/>
      <c r="Y46" s="91"/>
      <c r="Z46" s="91"/>
      <c r="AA46" s="91"/>
      <c r="AB46" s="91"/>
      <c r="AC46" s="91"/>
      <c r="AD46" s="91"/>
      <c r="AE46" s="91"/>
      <c r="AF46" s="91"/>
    </row>
    <row r="47" spans="1:32" s="81" customFormat="1" ht="13.5" customHeight="1">
      <c r="A47" s="34"/>
      <c r="B47" s="148"/>
      <c r="C47" s="141" t="s">
        <v>44</v>
      </c>
      <c r="D47" s="142"/>
      <c r="E47" s="157">
        <f t="array" ref="E47:I47">_xll.FDSRC("-",G2,"FF_EBIT_OPER(ANN,-4FY,0FY,,RP)")</f>
        <v>7281</v>
      </c>
      <c r="F47" s="157">
        <v>6185</v>
      </c>
      <c r="G47" s="157">
        <v>5267</v>
      </c>
      <c r="H47" s="157">
        <v>6658</v>
      </c>
      <c r="I47" s="157">
        <v>-8281</v>
      </c>
      <c r="J47" s="157" cm="1">
        <f t="array" ref="J47">_xll.FDSC("-",G2,"FF_EBIT_OPER(LTM,0)@FF_EBIT_OPER(LTM_SEMI,0)")</f>
        <v>-4638</v>
      </c>
      <c r="K47" s="133"/>
      <c r="L47" s="34"/>
      <c r="M47" s="34"/>
      <c r="N47" s="34"/>
      <c r="O47" s="34"/>
      <c r="P47" s="34"/>
      <c r="Q47" s="34"/>
      <c r="R47" s="34"/>
      <c r="S47" s="34"/>
      <c r="T47" s="34"/>
      <c r="U47" s="34"/>
      <c r="V47" s="34"/>
      <c r="W47" s="34"/>
      <c r="X47" s="34"/>
      <c r="Y47" s="34"/>
      <c r="Z47" s="34"/>
      <c r="AA47" s="34"/>
      <c r="AB47" s="34"/>
      <c r="AC47" s="34"/>
      <c r="AD47" s="34"/>
      <c r="AE47" s="34"/>
      <c r="AF47" s="34"/>
    </row>
    <row r="48" spans="1:32" s="122" customFormat="1" ht="13.5" customHeight="1">
      <c r="A48" s="91"/>
      <c r="B48" s="130"/>
      <c r="C48" s="144" t="s">
        <v>39</v>
      </c>
      <c r="E48" s="147">
        <f t="shared" ref="E48:J48" si="8">IF(ISERROR(E105),"-",E105)</f>
        <v>-0.13114558472553695</v>
      </c>
      <c r="F48" s="147">
        <f t="shared" si="8"/>
        <v>-0.15052877352012084</v>
      </c>
      <c r="G48" s="147">
        <f t="shared" si="8"/>
        <v>-0.1484236054971706</v>
      </c>
      <c r="H48" s="147">
        <f t="shared" si="8"/>
        <v>0.26409720903740275</v>
      </c>
      <c r="I48" s="147">
        <f t="shared" si="8"/>
        <v>-2.243766896966056</v>
      </c>
      <c r="J48" s="147">
        <f t="shared" si="8"/>
        <v>-0.43992271464798938</v>
      </c>
      <c r="K48" s="133"/>
      <c r="L48" s="91"/>
      <c r="M48" s="91"/>
      <c r="N48" s="91"/>
      <c r="O48" s="91"/>
      <c r="P48" s="91"/>
      <c r="Q48" s="91"/>
      <c r="R48" s="91"/>
      <c r="S48" s="91"/>
      <c r="T48" s="91"/>
      <c r="U48" s="91"/>
      <c r="V48" s="91"/>
      <c r="W48" s="91"/>
      <c r="X48" s="34"/>
      <c r="Y48" s="91"/>
      <c r="Z48" s="91"/>
      <c r="AA48" s="91"/>
      <c r="AB48" s="91"/>
      <c r="AC48" s="91"/>
      <c r="AD48" s="91"/>
      <c r="AE48" s="91"/>
      <c r="AF48" s="91"/>
    </row>
    <row r="49" spans="1:32" s="122" customFormat="1" ht="13.5" customHeight="1">
      <c r="A49" s="91"/>
      <c r="B49" s="135"/>
      <c r="C49" s="153" t="str">
        <f>D149</f>
        <v>EBIT Margin</v>
      </c>
      <c r="E49" s="147">
        <f t="shared" ref="E49:J49" si="9">IF(ISERROR(E149),"-",E149)</f>
        <v>0.18385435079036413</v>
      </c>
      <c r="F49" s="147">
        <f t="shared" si="9"/>
        <v>0.14999757481689868</v>
      </c>
      <c r="G49" s="147">
        <f t="shared" si="9"/>
        <v>0.11851668504309083</v>
      </c>
      <c r="H49" s="147">
        <f t="shared" si="9"/>
        <v>0.14164149257541592</v>
      </c>
      <c r="I49" s="147">
        <f t="shared" si="9"/>
        <v>-0.48441064638783271</v>
      </c>
      <c r="J49" s="147">
        <f t="shared" si="9"/>
        <v>-0.19005859935253863</v>
      </c>
      <c r="K49" s="154"/>
      <c r="L49" s="91"/>
      <c r="M49" s="91"/>
      <c r="N49" s="91"/>
      <c r="O49" s="91"/>
      <c r="P49" s="91"/>
      <c r="Q49" s="91"/>
      <c r="R49" s="91"/>
      <c r="S49" s="91"/>
      <c r="T49" s="91"/>
      <c r="U49" s="91"/>
      <c r="V49" s="91"/>
      <c r="W49" s="91"/>
      <c r="X49" s="34"/>
      <c r="Y49" s="91"/>
      <c r="Z49" s="91"/>
      <c r="AA49" s="91"/>
      <c r="AB49" s="91"/>
      <c r="AC49" s="91"/>
      <c r="AD49" s="91"/>
      <c r="AE49" s="91"/>
      <c r="AF49" s="91"/>
    </row>
    <row r="50" spans="1:32" s="81" customFormat="1" ht="13.5" customHeight="1">
      <c r="A50" s="34"/>
      <c r="B50" s="148"/>
      <c r="C50" s="149" t="s">
        <v>45</v>
      </c>
      <c r="D50" s="150"/>
      <c r="E50" s="159" cm="1">
        <f t="array" ref="E50">_xll.FDSC("-",G2,"FF_INT_EXP_NET(ANN,-4FY,,,RP)")</f>
        <v>388</v>
      </c>
      <c r="F50" s="159" cm="1">
        <f t="array" ref="F50">_xll.FDSC("-",G2,"FF_INT_EXP_NET(ANN,-3FY,,,RP)")</f>
        <v>396</v>
      </c>
      <c r="G50" s="159" cm="1">
        <f t="array" ref="G50">_xll.FDSC("-",G2,"FF_INT_EXP_NET(ANN,-2FY,,,RP)")</f>
        <v>311</v>
      </c>
      <c r="H50" s="159" cm="1">
        <f t="array" ref="H50">_xll.FDSC("-",G2,"FF_INT_EXP_NET(ANN,-1FY,,,RP)")</f>
        <v>301</v>
      </c>
      <c r="I50" s="159" cm="1">
        <f t="array" ref="I50">_xll.FDSC("-",G2,"FF_INT_EXP_NET(ANN,0FY,,,RP)")</f>
        <v>929</v>
      </c>
      <c r="J50" s="159" cm="1">
        <f t="array" ref="J50">_xll.FDSC("-",G2,"FF_INT_EXP_NET(LTM,0)")</f>
        <v>1378</v>
      </c>
      <c r="K50" s="133"/>
      <c r="L50" s="34"/>
      <c r="M50" s="34"/>
      <c r="N50" s="34"/>
      <c r="O50" s="34"/>
      <c r="P50" s="34"/>
      <c r="Q50" s="34"/>
      <c r="R50" s="34"/>
      <c r="S50" s="34"/>
      <c r="T50" s="34"/>
      <c r="U50" s="34"/>
      <c r="V50" s="34"/>
      <c r="W50" s="34"/>
      <c r="X50" s="34"/>
      <c r="Y50" s="34"/>
      <c r="Z50" s="34"/>
      <c r="AA50" s="34"/>
      <c r="AB50" s="34"/>
      <c r="AC50" s="34"/>
      <c r="AD50" s="34"/>
      <c r="AE50" s="34"/>
      <c r="AF50" s="34"/>
    </row>
    <row r="51" spans="1:32" s="81" customFormat="1" ht="13.5" customHeight="1">
      <c r="A51" s="34"/>
      <c r="B51" s="148"/>
      <c r="C51" s="149" t="s">
        <v>46</v>
      </c>
      <c r="D51" s="150"/>
      <c r="E51" s="155">
        <f t="array" ref="E51:I51">_xll.FDSRC("-",G2,"FF_PTX_INC(ANN,-4FY,0FY,,RP)")</f>
        <v>6636</v>
      </c>
      <c r="F51" s="155">
        <v>5701</v>
      </c>
      <c r="G51" s="155">
        <v>5151</v>
      </c>
      <c r="H51" s="155">
        <v>6198</v>
      </c>
      <c r="I51" s="155">
        <v>-15587</v>
      </c>
      <c r="J51" s="155" cm="1">
        <f t="array" ref="J51">_xll.FDSC("-",G2,"FF_PTX_INC(LTM,0)@FF_PTX_INC(LTM_SEMI,0)")</f>
        <v>-315</v>
      </c>
      <c r="K51" s="133"/>
      <c r="L51" s="34"/>
      <c r="M51" s="34"/>
      <c r="N51" s="34"/>
      <c r="O51" s="34"/>
      <c r="P51" s="34"/>
      <c r="Q51" s="34"/>
      <c r="R51" s="34"/>
      <c r="S51" s="34"/>
      <c r="T51" s="34"/>
      <c r="U51" s="34"/>
      <c r="V51" s="34"/>
      <c r="W51" s="34"/>
      <c r="X51" s="34"/>
      <c r="Y51" s="34"/>
      <c r="Z51" s="34"/>
      <c r="AA51" s="34"/>
      <c r="AB51" s="34"/>
      <c r="AC51" s="34"/>
      <c r="AD51" s="34"/>
      <c r="AE51" s="34"/>
      <c r="AF51" s="34"/>
    </row>
    <row r="52" spans="1:32" s="81" customFormat="1" ht="13.5" customHeight="1">
      <c r="A52" s="34"/>
      <c r="B52" s="135"/>
      <c r="C52" s="153" t="str">
        <f>D150</f>
        <v>Pretax Margin</v>
      </c>
      <c r="E52" s="147">
        <f t="shared" ref="E52:J52" si="10">IF(ISERROR(E150),"-",E150)</f>
        <v>0.16756729458108177</v>
      </c>
      <c r="F52" s="147">
        <f t="shared" si="10"/>
        <v>0.13825968860648979</v>
      </c>
      <c r="G52" s="147">
        <f t="shared" si="10"/>
        <v>0.11590648275241332</v>
      </c>
      <c r="H52" s="147">
        <f t="shared" si="10"/>
        <v>0.13185550780751393</v>
      </c>
      <c r="I52" s="147">
        <f t="shared" si="10"/>
        <v>-0.91178707224334599</v>
      </c>
      <c r="J52" s="147">
        <f t="shared" si="10"/>
        <v>-1.2908248985780437E-2</v>
      </c>
      <c r="K52" s="154"/>
      <c r="L52" s="34"/>
      <c r="M52" s="34"/>
      <c r="N52" s="34"/>
      <c r="O52" s="34"/>
      <c r="P52" s="34"/>
      <c r="Q52" s="34"/>
      <c r="R52" s="34"/>
      <c r="S52" s="34"/>
      <c r="T52" s="34"/>
      <c r="U52" s="34"/>
      <c r="V52" s="34"/>
      <c r="W52" s="34"/>
      <c r="X52" s="34"/>
      <c r="Y52" s="34"/>
      <c r="Z52" s="34"/>
      <c r="AA52" s="34"/>
      <c r="AB52" s="34"/>
      <c r="AC52" s="34"/>
      <c r="AD52" s="34"/>
      <c r="AE52" s="34"/>
      <c r="AF52" s="34"/>
    </row>
    <row r="53" spans="1:32" s="122" customFormat="1" ht="13.5" customHeight="1">
      <c r="A53" s="91"/>
      <c r="B53" s="160"/>
      <c r="C53" s="153" t="s">
        <v>47</v>
      </c>
      <c r="E53" s="147">
        <f t="shared" ref="E53:J53" si="11">IF(ISERROR((E51-E54)/E51),"-",(E51-E54)/E51)</f>
        <v>0.34101868595539481</v>
      </c>
      <c r="F53" s="147">
        <f t="shared" si="11"/>
        <v>0.37256621645325383</v>
      </c>
      <c r="G53" s="147">
        <f t="shared" si="11"/>
        <v>0.23607066589011844</v>
      </c>
      <c r="H53" s="147">
        <f t="shared" si="11"/>
        <v>0.2308809293320426</v>
      </c>
      <c r="I53" s="147">
        <f t="shared" si="11"/>
        <v>0.20542759992301277</v>
      </c>
      <c r="J53" s="147">
        <f t="shared" si="11"/>
        <v>0.78412698412698412</v>
      </c>
      <c r="K53" s="133"/>
      <c r="L53" s="91"/>
      <c r="M53" s="91"/>
      <c r="N53" s="91"/>
      <c r="O53" s="91"/>
      <c r="P53" s="91"/>
      <c r="Q53" s="91"/>
      <c r="R53" s="91"/>
      <c r="S53" s="91"/>
      <c r="T53" s="91"/>
      <c r="U53" s="91"/>
      <c r="V53" s="91"/>
      <c r="W53" s="91"/>
      <c r="X53" s="34"/>
      <c r="Y53" s="91"/>
      <c r="Z53" s="91"/>
      <c r="AA53" s="91"/>
      <c r="AB53" s="91"/>
      <c r="AC53" s="91"/>
      <c r="AD53" s="91"/>
      <c r="AE53" s="91"/>
      <c r="AF53" s="91"/>
    </row>
    <row r="54" spans="1:32" s="81" customFormat="1" ht="13.5" customHeight="1">
      <c r="A54" s="34"/>
      <c r="B54" s="156"/>
      <c r="C54" s="141" t="s">
        <v>48</v>
      </c>
      <c r="D54" s="142"/>
      <c r="E54" s="157">
        <f t="array" ref="E54:I54">_xll.FDSRC("-",G2,"FF_NET_INC(ANN,-4FY,0FY,,RP)")</f>
        <v>4373</v>
      </c>
      <c r="F54" s="157">
        <v>3577</v>
      </c>
      <c r="G54" s="157">
        <v>3935</v>
      </c>
      <c r="H54" s="157">
        <v>4767</v>
      </c>
      <c r="I54" s="157">
        <v>-12385</v>
      </c>
      <c r="J54" s="157" cm="1">
        <f t="array" ref="J54">_xll.FDSC("-",G2,"FF_NET_INC(LTM,0)@FF_NET_INC(LTM_SEMI,0)")</f>
        <v>-68</v>
      </c>
      <c r="K54" s="133"/>
      <c r="L54" s="34"/>
      <c r="M54" s="34"/>
      <c r="N54" s="34"/>
      <c r="O54" s="34"/>
      <c r="P54" s="34"/>
      <c r="Q54" s="34"/>
      <c r="R54" s="34"/>
      <c r="S54" s="34"/>
      <c r="T54" s="34"/>
      <c r="U54" s="34"/>
      <c r="V54" s="34"/>
      <c r="W54" s="34"/>
      <c r="X54" s="34"/>
      <c r="Y54" s="34"/>
      <c r="Z54" s="34"/>
      <c r="AA54" s="34"/>
      <c r="AB54" s="34"/>
      <c r="AC54" s="34"/>
      <c r="AD54" s="34"/>
      <c r="AE54" s="34"/>
      <c r="AF54" s="34"/>
    </row>
    <row r="55" spans="1:32" s="81" customFormat="1" ht="13.5" customHeight="1">
      <c r="A55" s="34"/>
      <c r="B55" s="130"/>
      <c r="C55" s="144" t="s">
        <v>39</v>
      </c>
      <c r="E55" s="147">
        <f t="shared" ref="E55:J55" si="12">IF(ISERROR(E106),"-",E106)</f>
        <v>-3.3804684047724298E-2</v>
      </c>
      <c r="F55" s="147">
        <f t="shared" si="12"/>
        <v>-0.18202606906014174</v>
      </c>
      <c r="G55" s="147">
        <f t="shared" si="12"/>
        <v>0.10008386916410394</v>
      </c>
      <c r="H55" s="147">
        <f t="shared" si="12"/>
        <v>0.21143583227446006</v>
      </c>
      <c r="I55" s="147">
        <f t="shared" si="12"/>
        <v>-3.5980700650304174</v>
      </c>
      <c r="J55" s="147">
        <f t="shared" si="12"/>
        <v>-0.99450948728300359</v>
      </c>
      <c r="K55" s="133"/>
      <c r="L55" s="34"/>
      <c r="M55" s="34"/>
      <c r="N55" s="34"/>
      <c r="O55" s="34"/>
      <c r="P55" s="34"/>
      <c r="Q55" s="34"/>
      <c r="R55" s="34"/>
      <c r="S55" s="34"/>
      <c r="T55" s="34"/>
      <c r="U55" s="34"/>
      <c r="V55" s="34"/>
      <c r="W55" s="34"/>
      <c r="X55" s="34"/>
      <c r="Y55" s="34"/>
      <c r="Z55" s="34"/>
      <c r="AA55" s="34"/>
      <c r="AB55" s="34"/>
      <c r="AC55" s="34"/>
      <c r="AD55" s="34"/>
      <c r="AE55" s="34"/>
      <c r="AF55" s="34"/>
    </row>
    <row r="56" spans="1:32" s="122" customFormat="1" ht="13.5" customHeight="1">
      <c r="A56" s="91"/>
      <c r="B56" s="135"/>
      <c r="C56" s="153" t="str">
        <f>D151</f>
        <v>Net Margin</v>
      </c>
      <c r="E56" s="147">
        <f t="shared" ref="E56:J58" si="13">IF(ISERROR(E151),"-",E151)</f>
        <v>0.11042371597394071</v>
      </c>
      <c r="F56" s="147">
        <f t="shared" si="13"/>
        <v>8.6748799534364845E-2</v>
      </c>
      <c r="G56" s="147">
        <f t="shared" si="13"/>
        <v>8.8544362188069575E-2</v>
      </c>
      <c r="H56" s="147">
        <f t="shared" si="13"/>
        <v>0.10141258562736671</v>
      </c>
      <c r="I56" s="147">
        <f t="shared" si="13"/>
        <v>-0.72448084235156474</v>
      </c>
      <c r="J56" s="147">
        <f t="shared" si="13"/>
        <v>-2.7865426382002213E-3</v>
      </c>
      <c r="K56" s="154"/>
      <c r="L56" s="91"/>
      <c r="M56" s="91"/>
      <c r="N56" s="91"/>
      <c r="O56" s="91"/>
      <c r="P56" s="91"/>
      <c r="Q56" s="91"/>
      <c r="R56" s="91"/>
      <c r="S56" s="91"/>
      <c r="T56" s="91"/>
      <c r="U56" s="91"/>
      <c r="V56" s="91"/>
      <c r="W56" s="91"/>
      <c r="X56" s="34"/>
      <c r="Y56" s="91"/>
      <c r="Z56" s="91"/>
      <c r="AA56" s="91"/>
      <c r="AB56" s="91"/>
      <c r="AC56" s="91"/>
      <c r="AD56" s="91"/>
      <c r="AE56" s="91"/>
      <c r="AF56" s="91"/>
    </row>
    <row r="57" spans="1:32" s="81" customFormat="1" ht="13.5" customHeight="1">
      <c r="A57" s="34"/>
      <c r="B57" s="130"/>
      <c r="C57" s="153" t="str">
        <f>D152</f>
        <v>ROA</v>
      </c>
      <c r="E57" s="147">
        <f t="shared" si="13"/>
        <v>7.3168079107861425E-2</v>
      </c>
      <c r="F57" s="147">
        <f t="shared" si="13"/>
        <v>6.0952023924137989E-2</v>
      </c>
      <c r="G57" s="147">
        <f t="shared" si="13"/>
        <v>6.6280382017551251E-2</v>
      </c>
      <c r="H57" s="147">
        <f t="shared" si="13"/>
        <v>7.6395455055369474E-2</v>
      </c>
      <c r="I57" s="147">
        <f t="shared" si="13"/>
        <v>-0.18142798546818234</v>
      </c>
      <c r="J57" s="147">
        <f t="shared" si="13"/>
        <v>-9.3936275288543228E-4</v>
      </c>
      <c r="K57" s="133"/>
      <c r="L57" s="34"/>
      <c r="M57" s="34"/>
      <c r="N57" s="34"/>
      <c r="O57" s="34"/>
      <c r="P57" s="34"/>
      <c r="Q57" s="34"/>
      <c r="R57" s="34"/>
      <c r="S57" s="34"/>
      <c r="T57" s="34"/>
      <c r="U57" s="34"/>
      <c r="V57" s="34"/>
      <c r="W57" s="34"/>
      <c r="X57" s="34"/>
      <c r="Y57" s="34"/>
      <c r="Z57" s="34"/>
      <c r="AA57" s="34"/>
      <c r="AB57" s="34"/>
      <c r="AC57" s="34"/>
      <c r="AD57" s="34"/>
      <c r="AE57" s="34"/>
      <c r="AF57" s="34"/>
    </row>
    <row r="58" spans="1:32" s="81" customFormat="1" ht="13.5" customHeight="1">
      <c r="A58" s="34"/>
      <c r="B58" s="130"/>
      <c r="C58" s="153" t="str">
        <f>D153</f>
        <v>ROE</v>
      </c>
      <c r="E58" s="147">
        <f t="shared" si="13"/>
        <v>0.37800924925444096</v>
      </c>
      <c r="F58" s="147">
        <f t="shared" si="13"/>
        <v>0.27308470435546056</v>
      </c>
      <c r="G58" s="147">
        <f t="shared" si="13"/>
        <v>0.28517592491937527</v>
      </c>
      <c r="H58" s="147">
        <f t="shared" si="13"/>
        <v>0.32824926837665691</v>
      </c>
      <c r="I58" s="147">
        <f t="shared" si="13"/>
        <v>-1.4663746152024626</v>
      </c>
      <c r="J58" s="147">
        <f t="shared" si="13"/>
        <v>-3.2850241545893721E-2</v>
      </c>
      <c r="K58" s="133"/>
      <c r="L58" s="34"/>
      <c r="M58" s="34"/>
      <c r="N58" s="34"/>
      <c r="O58" s="34"/>
      <c r="P58" s="34"/>
      <c r="Q58" s="34"/>
      <c r="R58" s="34"/>
      <c r="S58" s="34"/>
      <c r="T58" s="34"/>
      <c r="U58" s="34"/>
      <c r="V58" s="34"/>
      <c r="W58" s="34"/>
      <c r="X58" s="34"/>
      <c r="Y58" s="34"/>
      <c r="Z58" s="34"/>
      <c r="AA58" s="34"/>
      <c r="AB58" s="34"/>
      <c r="AC58" s="34"/>
      <c r="AD58" s="34"/>
      <c r="AE58" s="34"/>
      <c r="AF58" s="34"/>
    </row>
    <row r="59" spans="1:32" s="122" customFormat="1" ht="13.5" customHeight="1">
      <c r="A59" s="91"/>
      <c r="B59" s="161"/>
      <c r="C59" s="149" t="s">
        <v>49</v>
      </c>
      <c r="D59" s="150"/>
      <c r="E59" s="162">
        <f t="array" ref="E59:I59">_xll.FDSRC("-",G2,"FF_EPS_DIL(ANN,-4FY,0FY,,RP)")</f>
        <v>5.79</v>
      </c>
      <c r="F59" s="162">
        <v>4.95</v>
      </c>
      <c r="G59" s="162">
        <v>5.67</v>
      </c>
      <c r="H59" s="162">
        <v>7.3002000000000002</v>
      </c>
      <c r="I59" s="162">
        <v>-19.473299999999998</v>
      </c>
      <c r="J59" s="162" cm="1">
        <f t="array" ref="J59">_xll.FDSC("-",G2,"FF_EPS_DIL(LTM,0)@FF_EPS_DIL(LTM_SEMI,0)")</f>
        <v>-0.13320000000000001</v>
      </c>
      <c r="K59" s="133"/>
      <c r="L59" s="91"/>
      <c r="M59" s="91"/>
      <c r="N59" s="91"/>
      <c r="O59" s="91"/>
      <c r="P59" s="91"/>
      <c r="Q59" s="91"/>
      <c r="R59" s="91"/>
      <c r="S59" s="91"/>
      <c r="T59" s="91"/>
      <c r="U59" s="91"/>
      <c r="V59" s="91"/>
      <c r="W59" s="91"/>
      <c r="X59" s="34"/>
      <c r="Y59" s="91"/>
      <c r="Z59" s="91"/>
      <c r="AA59" s="91"/>
      <c r="AB59" s="91"/>
      <c r="AC59" s="91"/>
      <c r="AD59" s="91"/>
      <c r="AE59" s="91"/>
      <c r="AF59" s="91"/>
    </row>
    <row r="60" spans="1:32" s="122" customFormat="1" ht="13.5" customHeight="1">
      <c r="A60" s="91"/>
      <c r="B60" s="130"/>
      <c r="C60" s="144" t="s">
        <v>39</v>
      </c>
      <c r="E60" s="147">
        <f t="shared" ref="E60:J60" si="14">IF(ISERROR(E107),"-",E107)</f>
        <v>2.8419182948490329E-2</v>
      </c>
      <c r="F60" s="147">
        <f t="shared" si="14"/>
        <v>-0.14507772020725385</v>
      </c>
      <c r="G60" s="147">
        <f t="shared" si="14"/>
        <v>0.1454545454545455</v>
      </c>
      <c r="H60" s="147">
        <f t="shared" si="14"/>
        <v>0.2875132275132275</v>
      </c>
      <c r="I60" s="147">
        <f t="shared" si="14"/>
        <v>-3.6675022602120486</v>
      </c>
      <c r="J60" s="147">
        <f t="shared" si="14"/>
        <v>-0.99315986504598608</v>
      </c>
      <c r="K60" s="133"/>
      <c r="L60" s="91"/>
      <c r="M60" s="91"/>
      <c r="N60" s="91"/>
      <c r="O60" s="91"/>
      <c r="P60" s="91"/>
      <c r="Q60" s="91"/>
      <c r="R60" s="91"/>
      <c r="S60" s="91"/>
      <c r="T60" s="91"/>
      <c r="U60" s="91"/>
      <c r="V60" s="91"/>
      <c r="W60" s="91"/>
      <c r="X60" s="34"/>
      <c r="Y60" s="91"/>
      <c r="Z60" s="91"/>
      <c r="AA60" s="91"/>
      <c r="AB60" s="91"/>
      <c r="AC60" s="91"/>
      <c r="AD60" s="91"/>
      <c r="AE60" s="91"/>
      <c r="AF60" s="91"/>
    </row>
    <row r="61" spans="1:32" s="122" customFormat="1" ht="13.5" customHeight="1">
      <c r="A61" s="91"/>
      <c r="B61" s="130"/>
      <c r="C61" s="149" t="s">
        <v>16</v>
      </c>
      <c r="D61" s="150"/>
      <c r="E61" s="163" cm="1">
        <f t="array" ref="E61">_xll.FDSC("-",Identifier,"FF_COM_SHS_OUT(ANN,-4FY,,,RP)")</f>
        <v>730.737709</v>
      </c>
      <c r="F61" s="163" cm="1">
        <f t="array" ref="F61">_xll.FDSC("-",Identifier,"FF_COM_SHS_OUT(ANN,-3FY,,,RP)")</f>
        <v>707.19797900000003</v>
      </c>
      <c r="G61" s="163" cm="1">
        <f t="array" ref="G61">_xll.FDSC("-",Identifier,"FF_COM_SHS_OUT(ANN,-2FY,,,RP)")</f>
        <v>679.94447500000001</v>
      </c>
      <c r="H61" s="163" cm="1">
        <f t="array" ref="H61">_xll.FDSC("-",Identifier,"FF_COM_SHS_OUT(ANN,-1FY,,,RP)")</f>
        <v>642.77171299999998</v>
      </c>
      <c r="I61" s="163" cm="1">
        <f t="array" ref="I61">_xll.FDSC("-",Identifier,"FF_COM_SHS_OUT(ANN,0FY,,,RP)")</f>
        <v>638.18251999999995</v>
      </c>
      <c r="J61" s="163" t="str" cm="1">
        <f t="array" ref="J61">_xll.FDSC("-",G2,"FF_COM_SHS_OUT(LTM,0)")</f>
        <v>-</v>
      </c>
      <c r="K61" s="133"/>
      <c r="L61" s="91"/>
      <c r="M61" s="91"/>
      <c r="N61" s="91"/>
      <c r="O61" s="91"/>
      <c r="P61" s="91"/>
      <c r="Q61" s="91"/>
      <c r="R61" s="91"/>
      <c r="S61" s="91"/>
      <c r="T61" s="91"/>
      <c r="U61" s="91"/>
      <c r="V61" s="91"/>
      <c r="W61" s="91"/>
      <c r="X61" s="34"/>
      <c r="Y61" s="91"/>
      <c r="Z61" s="91"/>
      <c r="AA61" s="91"/>
      <c r="AB61" s="91"/>
      <c r="AC61" s="91"/>
      <c r="AD61" s="91"/>
      <c r="AE61" s="91"/>
      <c r="AF61" s="91"/>
    </row>
    <row r="62" spans="1:32" s="81" customFormat="1" ht="13.5" customHeight="1">
      <c r="A62" s="34"/>
      <c r="B62" s="130"/>
      <c r="C62" s="149" t="s">
        <v>50</v>
      </c>
      <c r="D62" s="150"/>
      <c r="E62" s="155">
        <f t="array" ref="E62:I62">_xll.FDSRC("-",G2,"FF_CAPEX(ANN,-4FY,0FY,,RP)")</f>
        <v>3391</v>
      </c>
      <c r="F62" s="155">
        <v>3891</v>
      </c>
      <c r="G62" s="155">
        <v>5168</v>
      </c>
      <c r="H62" s="155">
        <v>4936</v>
      </c>
      <c r="I62" s="155">
        <v>1899</v>
      </c>
      <c r="J62" s="155" cm="1">
        <f t="array" ref="J62">_xll.FDSC("-",G2,"FF_CAPEX(LTM,0)@FF_CAPEX(LTM_SEMI,0)")</f>
        <v>2577</v>
      </c>
      <c r="K62" s="164"/>
      <c r="L62" s="34"/>
      <c r="M62" s="34"/>
      <c r="N62" s="34"/>
      <c r="O62" s="34"/>
      <c r="P62" s="34"/>
      <c r="Q62" s="34"/>
      <c r="R62" s="34"/>
      <c r="S62" s="34"/>
      <c r="T62" s="34"/>
      <c r="U62" s="34"/>
      <c r="V62" s="34"/>
      <c r="W62" s="34"/>
      <c r="X62" s="34"/>
      <c r="Y62" s="34"/>
      <c r="Z62" s="34"/>
      <c r="AA62" s="34"/>
      <c r="AB62" s="34"/>
      <c r="AC62" s="34"/>
      <c r="AD62" s="34"/>
      <c r="AE62" s="34"/>
      <c r="AF62" s="34"/>
    </row>
    <row r="63" spans="1:32" s="81" customFormat="1" ht="13.5" customHeight="1">
      <c r="A63" s="34"/>
      <c r="B63" s="165"/>
      <c r="C63" s="166"/>
      <c r="D63" s="166"/>
      <c r="E63" s="166"/>
      <c r="F63" s="166"/>
      <c r="G63" s="166"/>
      <c r="H63" s="166"/>
      <c r="I63" s="166"/>
      <c r="J63" s="166"/>
      <c r="K63" s="167"/>
      <c r="L63" s="34"/>
      <c r="M63" s="34"/>
      <c r="N63" s="34"/>
      <c r="O63" s="34"/>
      <c r="P63" s="34"/>
      <c r="Q63" s="34"/>
      <c r="R63" s="34"/>
      <c r="S63" s="34"/>
      <c r="T63" s="34"/>
      <c r="U63" s="34"/>
      <c r="V63" s="34"/>
      <c r="W63" s="34"/>
      <c r="X63" s="34"/>
      <c r="Y63" s="34"/>
      <c r="Z63" s="34"/>
      <c r="AA63" s="34"/>
      <c r="AB63" s="34"/>
      <c r="AC63" s="34"/>
      <c r="AD63" s="34"/>
      <c r="AE63" s="34"/>
      <c r="AF63" s="34"/>
    </row>
    <row r="64" spans="1:32" s="81" customFormat="1" ht="12">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row>
    <row r="65" spans="1:32" s="81" customFormat="1" ht="12">
      <c r="A65" s="34"/>
      <c r="B65" s="127"/>
      <c r="C65" s="128"/>
      <c r="D65" s="128"/>
      <c r="E65" s="128"/>
      <c r="F65" s="128"/>
      <c r="G65" s="128"/>
      <c r="H65" s="128"/>
      <c r="I65" s="128"/>
      <c r="J65" s="128"/>
      <c r="K65" s="129"/>
      <c r="L65" s="34"/>
      <c r="M65" s="34"/>
      <c r="N65" s="34"/>
      <c r="O65" s="34"/>
      <c r="P65" s="34"/>
      <c r="Q65" s="34"/>
      <c r="R65" s="34"/>
      <c r="S65" s="34"/>
      <c r="T65" s="34"/>
      <c r="U65" s="34"/>
      <c r="V65" s="34"/>
      <c r="W65" s="34"/>
      <c r="X65" s="34"/>
      <c r="Y65" s="34"/>
      <c r="Z65" s="34"/>
      <c r="AA65" s="34"/>
      <c r="AB65" s="34"/>
      <c r="AC65" s="34"/>
      <c r="AD65" s="34"/>
      <c r="AE65" s="34"/>
      <c r="AF65" s="34"/>
    </row>
    <row r="66" spans="1:32" s="81" customFormat="1">
      <c r="A66" s="34"/>
      <c r="B66" s="130"/>
      <c r="C66" s="168" t="s">
        <v>51</v>
      </c>
      <c r="D66" s="169"/>
      <c r="E66" s="169"/>
      <c r="F66" s="169"/>
      <c r="G66" s="169"/>
      <c r="H66" s="169"/>
      <c r="I66" s="169"/>
      <c r="J66" s="132" t="s">
        <v>36</v>
      </c>
      <c r="K66" s="133"/>
      <c r="L66" s="34"/>
      <c r="M66" s="34"/>
      <c r="N66" s="34"/>
      <c r="O66" s="34"/>
      <c r="P66" s="34"/>
      <c r="Q66" s="34"/>
      <c r="R66" s="34"/>
      <c r="S66" s="34"/>
      <c r="T66" s="34"/>
      <c r="U66" s="34"/>
      <c r="V66" s="34"/>
      <c r="W66" s="34"/>
      <c r="X66" s="34"/>
      <c r="Y66" s="34"/>
      <c r="Z66" s="34"/>
      <c r="AA66" s="34"/>
      <c r="AB66" s="34"/>
      <c r="AC66" s="34"/>
      <c r="AD66" s="34"/>
      <c r="AE66" s="34"/>
      <c r="AF66" s="34"/>
    </row>
    <row r="67" spans="1:32" s="81" customFormat="1" ht="12.75">
      <c r="A67" s="34"/>
      <c r="B67" s="161"/>
      <c r="C67" s="131"/>
      <c r="D67" s="131"/>
      <c r="E67" s="134"/>
      <c r="F67" s="131"/>
      <c r="G67" s="131"/>
      <c r="H67" s="131"/>
      <c r="I67" s="131"/>
      <c r="J67" s="131"/>
      <c r="K67" s="133"/>
      <c r="L67" s="34"/>
      <c r="M67" s="34"/>
      <c r="N67" s="34"/>
      <c r="O67" s="34"/>
      <c r="P67" s="34"/>
      <c r="Q67" s="34"/>
      <c r="R67" s="34"/>
      <c r="S67" s="34"/>
      <c r="T67" s="34"/>
      <c r="U67" s="34"/>
      <c r="V67" s="34"/>
      <c r="W67" s="34"/>
      <c r="X67" s="34"/>
      <c r="Y67" s="34"/>
      <c r="Z67" s="34"/>
      <c r="AA67" s="34"/>
      <c r="AB67" s="34"/>
      <c r="AC67" s="34"/>
      <c r="AD67" s="34"/>
      <c r="AE67" s="34"/>
      <c r="AF67" s="34"/>
    </row>
    <row r="68" spans="1:32" s="81" customFormat="1" ht="18.75" customHeight="1">
      <c r="A68" s="34"/>
      <c r="B68" s="148"/>
      <c r="C68" s="136"/>
      <c r="D68" s="137"/>
      <c r="E68" s="138" t="str" cm="1">
        <f t="array" ref="E68">_xll.FDSC("-",G2,"FF_FISCAL_DATE(ANN,-4FY,,,RP,""DATEM"")")</f>
        <v>12/2016</v>
      </c>
      <c r="F68" s="138" t="str" cm="1">
        <f t="array" ref="F68">_xll.FDSC("-",G2,"FF_FISCAL_DATE(ANN,-3FY,,,RP,""DATEM"")")</f>
        <v>12/2017</v>
      </c>
      <c r="G68" s="138" t="str" cm="1">
        <f t="array" ref="G68">_xll.FDSC("-",G2,"FF_FISCAL_DATE(ANN,-2FY,,,RP,""DATEM"")")</f>
        <v>12/2018</v>
      </c>
      <c r="H68" s="138" t="str" cm="1">
        <f t="array" ref="H68">_xll.FDSC("-",G2,"FF_FISCAL_DATE(ANN,-1FY,,,RP,""DATEM"")")</f>
        <v>12/2019</v>
      </c>
      <c r="I68" s="138" t="str" cm="1">
        <f t="array" ref="I68">_xll.FDSC("-",G2,"FF_FISCAL_DATE(ANN,0FY,,,RP,""DATEM"")")</f>
        <v>12/2020</v>
      </c>
      <c r="J68" s="170" t="str" cm="1">
        <f t="array" ref="J68">_xll.FDSC("-",G2,"FF_FISCAL_DATE(LTM,0,,,RP,""DATEM"")")</f>
        <v>09/2021</v>
      </c>
      <c r="K68" s="133"/>
      <c r="L68" s="34"/>
      <c r="M68" s="34"/>
      <c r="N68" s="34"/>
      <c r="O68" s="34"/>
      <c r="P68" s="34"/>
      <c r="Q68" s="34"/>
      <c r="R68" s="34"/>
      <c r="S68" s="34"/>
      <c r="T68" s="34"/>
      <c r="U68" s="34"/>
      <c r="V68" s="34"/>
      <c r="W68" s="34"/>
      <c r="X68" s="34"/>
      <c r="Y68" s="34"/>
      <c r="Z68" s="34"/>
      <c r="AA68" s="34"/>
      <c r="AB68" s="34"/>
      <c r="AC68" s="34"/>
      <c r="AD68" s="34"/>
      <c r="AE68" s="34"/>
      <c r="AF68" s="34"/>
    </row>
    <row r="69" spans="1:32" s="81" customFormat="1" ht="13.5" customHeight="1">
      <c r="A69" s="34"/>
      <c r="B69" s="135"/>
      <c r="C69" s="171" t="s">
        <v>52</v>
      </c>
      <c r="D69" s="172"/>
      <c r="E69" s="173">
        <f t="array" ref="E69:I69">_xll.FDSRC("-",G2,"FF_CASH_ST(ANN,-4FY,0FY,,RP)")</f>
        <v>3642</v>
      </c>
      <c r="F69" s="173">
        <v>2639</v>
      </c>
      <c r="G69" s="173">
        <v>1815</v>
      </c>
      <c r="H69" s="173">
        <v>3094</v>
      </c>
      <c r="I69" s="173">
        <v>14288</v>
      </c>
      <c r="J69" s="173" cm="1">
        <f t="array" ref="J69">_xll.FDSC("-",G2,"FF_CASH_ST(QTR,0)@FF_CASH_ST(SEMI,0)")</f>
        <v>13364</v>
      </c>
      <c r="K69" s="154"/>
      <c r="L69" s="34"/>
      <c r="M69" s="34"/>
      <c r="N69" s="34"/>
      <c r="O69" s="34"/>
      <c r="P69" s="34"/>
      <c r="Q69" s="34"/>
      <c r="R69" s="34"/>
      <c r="S69" s="34"/>
      <c r="T69" s="34"/>
      <c r="U69" s="34"/>
      <c r="V69" s="34"/>
      <c r="W69" s="34"/>
      <c r="X69" s="34"/>
      <c r="Y69" s="34"/>
      <c r="Z69" s="34"/>
      <c r="AA69" s="34"/>
      <c r="AB69" s="34"/>
      <c r="AC69" s="34"/>
      <c r="AD69" s="34"/>
      <c r="AE69" s="34"/>
      <c r="AF69" s="34"/>
    </row>
    <row r="70" spans="1:32" s="81" customFormat="1" ht="13.5" customHeight="1">
      <c r="A70" s="34"/>
      <c r="B70" s="174"/>
      <c r="C70" s="175" t="s">
        <v>53</v>
      </c>
      <c r="D70" s="172"/>
      <c r="E70" s="155">
        <f t="array" ref="E70:I70">_xll.FDSRC("-",G2,"FF_RECEIV_TOT(ANN,-4FY,0FY,,RP)")</f>
        <v>2064</v>
      </c>
      <c r="F70" s="155">
        <v>2377</v>
      </c>
      <c r="G70" s="155">
        <v>2314</v>
      </c>
      <c r="H70" s="155">
        <v>2854</v>
      </c>
      <c r="I70" s="155">
        <v>1396</v>
      </c>
      <c r="J70" s="155" cm="1">
        <f t="array" ref="J70">_xll.FDSC("-",G2,"FF_RECEIV_TOT(QTR,0,,,RP)@FF_RECEIV_TOT(SEMI,0,,,RP)")</f>
        <v>2183</v>
      </c>
      <c r="K70" s="133"/>
      <c r="L70" s="34"/>
      <c r="M70" s="34"/>
      <c r="N70" s="34"/>
      <c r="O70" s="34"/>
      <c r="P70" s="34"/>
      <c r="Q70" s="34"/>
      <c r="R70" s="34"/>
      <c r="S70" s="34"/>
      <c r="T70" s="34"/>
      <c r="U70" s="34"/>
      <c r="V70" s="34"/>
      <c r="W70" s="34"/>
      <c r="X70" s="34"/>
      <c r="Y70" s="34"/>
      <c r="Z70" s="34"/>
      <c r="AA70" s="34"/>
      <c r="AB70" s="34"/>
      <c r="AC70" s="34"/>
      <c r="AD70" s="34"/>
      <c r="AE70" s="34"/>
      <c r="AF70" s="34"/>
    </row>
    <row r="71" spans="1:32" s="81" customFormat="1" ht="13.5" customHeight="1">
      <c r="A71" s="34"/>
      <c r="B71" s="135"/>
      <c r="C71" s="176" t="s">
        <v>54</v>
      </c>
      <c r="E71" s="177">
        <f t="shared" ref="E71:J71" si="15">IF(ISERROR(E166),"-",E166)</f>
        <v>19.368908135952729</v>
      </c>
      <c r="F71" s="177">
        <f t="shared" si="15"/>
        <v>19.655684629189505</v>
      </c>
      <c r="G71" s="177">
        <f t="shared" si="15"/>
        <v>19.263911703156996</v>
      </c>
      <c r="H71" s="177">
        <f t="shared" si="15"/>
        <v>20.064672594987872</v>
      </c>
      <c r="I71" s="177">
        <f t="shared" si="15"/>
        <v>45.37145364141562</v>
      </c>
      <c r="J71" s="177">
        <f t="shared" si="15"/>
        <v>26.76586895053887</v>
      </c>
      <c r="K71" s="154"/>
      <c r="L71" s="34"/>
      <c r="M71" s="34"/>
      <c r="N71" s="34"/>
      <c r="O71" s="34"/>
      <c r="P71" s="34"/>
      <c r="Q71" s="34"/>
      <c r="R71" s="34"/>
      <c r="S71" s="34"/>
      <c r="T71" s="34"/>
      <c r="U71" s="34"/>
      <c r="V71" s="34"/>
      <c r="W71" s="34"/>
      <c r="X71" s="34"/>
      <c r="Y71" s="34"/>
      <c r="Z71" s="34"/>
      <c r="AA71" s="34"/>
      <c r="AB71" s="34"/>
      <c r="AC71" s="34"/>
      <c r="AD71" s="34"/>
      <c r="AE71" s="34"/>
      <c r="AF71" s="34"/>
    </row>
    <row r="72" spans="1:32" s="81" customFormat="1" ht="13.5" customHeight="1">
      <c r="A72" s="34"/>
      <c r="B72" s="174"/>
      <c r="C72" s="175" t="s">
        <v>55</v>
      </c>
      <c r="D72" s="172"/>
      <c r="E72" s="155" cm="1">
        <f t="array" ref="E72">_xll.FDSRC("-",G2,"FF_INVEN(ANN,-4FY,,,RP)")</f>
        <v>891</v>
      </c>
      <c r="F72" s="155" cm="1">
        <f t="array" ref="F72">_xll.FDSC("-",G2,"FF_INVEN(ANN,-3FY,,,RP)")</f>
        <v>1329</v>
      </c>
      <c r="G72" s="155" cm="1">
        <f t="array" ref="G72">_xll.FDSC("-",G2,"FF_INVEN(ANN,-2FY,,,RP)")</f>
        <v>1055</v>
      </c>
      <c r="H72" s="155" cm="1">
        <f t="array" ref="H72">_xll.FDSC("-",G2,"FF_INVEN(ANN,-1FY,,,RP)")</f>
        <v>1251</v>
      </c>
      <c r="I72" s="155" cm="1">
        <f t="array" ref="I72">_xll.FDSC("-",G2,"FF_INVEN(ANN,0FY,,,RP)")</f>
        <v>732</v>
      </c>
      <c r="J72" s="155" cm="1">
        <f t="array" ref="J72">_xll.FDSC("-",G2,"FF_INVEN(QTR,0)@FF_INVEN(SEMI,0)")</f>
        <v>1012</v>
      </c>
      <c r="K72" s="133"/>
      <c r="L72" s="34"/>
      <c r="M72" s="34"/>
      <c r="N72" s="34"/>
      <c r="O72" s="34"/>
      <c r="P72" s="34"/>
      <c r="Q72" s="34"/>
      <c r="R72" s="34"/>
      <c r="S72" s="34"/>
      <c r="T72" s="34"/>
      <c r="U72" s="34"/>
      <c r="V72" s="34"/>
      <c r="W72" s="34"/>
      <c r="X72" s="34"/>
      <c r="Y72" s="34"/>
      <c r="Z72" s="34"/>
      <c r="AA72" s="34"/>
      <c r="AB72" s="34"/>
      <c r="AC72" s="34"/>
      <c r="AD72" s="34"/>
      <c r="AE72" s="34"/>
      <c r="AF72" s="34"/>
    </row>
    <row r="73" spans="1:32" s="81" customFormat="1" ht="13.5" customHeight="1">
      <c r="A73" s="34"/>
      <c r="B73" s="135"/>
      <c r="C73" s="176" t="s">
        <v>56</v>
      </c>
      <c r="D73" s="176"/>
      <c r="E73" s="177">
        <f t="shared" ref="E73:J73" si="16">IF(ISERROR(E167),"-",E167)</f>
        <v>10.124366812227075</v>
      </c>
      <c r="F73" s="177">
        <f t="shared" si="16"/>
        <v>13.063876438912715</v>
      </c>
      <c r="G73" s="177">
        <f t="shared" si="16"/>
        <v>12.252323289214306</v>
      </c>
      <c r="H73" s="177">
        <f t="shared" si="16"/>
        <v>11.50352613164225</v>
      </c>
      <c r="I73" s="177">
        <f t="shared" si="16"/>
        <v>15.31452329567094</v>
      </c>
      <c r="J73" s="177">
        <f t="shared" si="16"/>
        <v>11.748984865263935</v>
      </c>
      <c r="K73" s="154"/>
      <c r="L73" s="34"/>
      <c r="M73" s="34"/>
      <c r="N73" s="34"/>
      <c r="O73" s="34"/>
      <c r="P73" s="34"/>
      <c r="Q73" s="34"/>
      <c r="R73" s="34"/>
      <c r="S73" s="34"/>
      <c r="T73" s="34"/>
      <c r="U73" s="34"/>
      <c r="V73" s="34"/>
      <c r="W73" s="34"/>
      <c r="X73" s="34"/>
      <c r="Y73" s="34"/>
      <c r="Z73" s="34"/>
      <c r="AA73" s="34"/>
      <c r="AB73" s="34"/>
      <c r="AC73" s="34"/>
      <c r="AD73" s="34"/>
      <c r="AE73" s="34"/>
      <c r="AF73" s="34"/>
    </row>
    <row r="74" spans="1:32" s="81" customFormat="1" ht="13.5" customHeight="1">
      <c r="A74" s="34"/>
      <c r="B74" s="135"/>
      <c r="C74" s="175" t="s">
        <v>57</v>
      </c>
      <c r="D74" s="175"/>
      <c r="E74" s="155">
        <f t="array" ref="E74:I74">_xll.FDSRC("-",G2,"FF_ASSETS_CURR(ANN,-4FY,0FY,,RP)")</f>
        <v>7451</v>
      </c>
      <c r="F74" s="155">
        <v>7844</v>
      </c>
      <c r="G74" s="155">
        <v>6340</v>
      </c>
      <c r="H74" s="155">
        <v>8249</v>
      </c>
      <c r="I74" s="155">
        <v>17404</v>
      </c>
      <c r="J74" s="155" cm="1">
        <f t="array" ref="J74">_xll.FDSC("-",G2,"FF_ASSETS_CURR(QTR,0)@FF_ASSETS_CURR(SEMI,0)")</f>
        <v>17471</v>
      </c>
      <c r="K74" s="154"/>
      <c r="L74" s="34"/>
      <c r="M74" s="34"/>
      <c r="N74" s="34"/>
      <c r="O74" s="34"/>
      <c r="P74" s="34"/>
      <c r="Q74" s="34"/>
      <c r="R74" s="34"/>
      <c r="S74" s="34"/>
      <c r="T74" s="34"/>
      <c r="U74" s="34"/>
      <c r="V74" s="34"/>
      <c r="W74" s="34"/>
      <c r="X74" s="34"/>
      <c r="Y74" s="34"/>
      <c r="Z74" s="34"/>
      <c r="AA74" s="34"/>
      <c r="AB74" s="34"/>
      <c r="AC74" s="34"/>
      <c r="AD74" s="34"/>
      <c r="AE74" s="34"/>
      <c r="AF74" s="34"/>
    </row>
    <row r="75" spans="1:32" s="81" customFormat="1" ht="13.5" customHeight="1">
      <c r="A75" s="34"/>
      <c r="B75" s="174"/>
      <c r="C75" s="176" t="str">
        <f>D162</f>
        <v>Current Ratio</v>
      </c>
      <c r="D75" s="176"/>
      <c r="E75" s="178">
        <f t="shared" ref="E75:J76" si="17">IF(ISERROR(E162),"-",E162)</f>
        <v>0.48894284401863641</v>
      </c>
      <c r="F75" s="178">
        <f t="shared" si="17"/>
        <v>0.42233349485812738</v>
      </c>
      <c r="G75" s="178">
        <f t="shared" si="17"/>
        <v>0.34126386048013779</v>
      </c>
      <c r="H75" s="178">
        <f t="shared" si="17"/>
        <v>0.40828548802217385</v>
      </c>
      <c r="I75" s="178">
        <f t="shared" si="17"/>
        <v>1.0927356062033027</v>
      </c>
      <c r="J75" s="178">
        <f t="shared" si="17"/>
        <v>0.83497419231504488</v>
      </c>
      <c r="K75" s="133"/>
      <c r="L75" s="34"/>
      <c r="M75" s="34"/>
      <c r="N75" s="34"/>
      <c r="O75" s="34"/>
      <c r="P75" s="34"/>
      <c r="Q75" s="34"/>
      <c r="R75" s="34"/>
      <c r="S75" s="34"/>
      <c r="T75" s="34"/>
      <c r="U75" s="34"/>
      <c r="V75" s="34"/>
      <c r="W75" s="34"/>
      <c r="X75" s="34"/>
      <c r="Y75" s="34"/>
      <c r="Z75" s="34"/>
      <c r="AA75" s="34"/>
      <c r="AB75" s="34"/>
      <c r="AC75" s="34"/>
      <c r="AD75" s="34"/>
      <c r="AE75" s="34"/>
      <c r="AF75" s="34"/>
    </row>
    <row r="76" spans="1:32" s="81" customFormat="1" ht="13.5" customHeight="1">
      <c r="A76" s="34"/>
      <c r="B76" s="179"/>
      <c r="C76" s="176" t="str">
        <f>D163</f>
        <v>Quick Ratio</v>
      </c>
      <c r="D76" s="176"/>
      <c r="E76" s="178">
        <f t="shared" si="17"/>
        <v>0.43047444058009054</v>
      </c>
      <c r="F76" s="178">
        <f t="shared" si="17"/>
        <v>0.35077801109136919</v>
      </c>
      <c r="G76" s="178">
        <f t="shared" si="17"/>
        <v>0.28447626224566691</v>
      </c>
      <c r="H76" s="178">
        <f t="shared" si="17"/>
        <v>0.3463670560285092</v>
      </c>
      <c r="I76" s="178">
        <f t="shared" si="17"/>
        <v>1.0467759151127016</v>
      </c>
      <c r="J76" s="178">
        <f t="shared" si="17"/>
        <v>0.78660867902886633</v>
      </c>
      <c r="K76" s="133"/>
      <c r="L76" s="34"/>
      <c r="M76" s="34"/>
      <c r="N76" s="34"/>
      <c r="O76" s="34"/>
      <c r="P76" s="34"/>
      <c r="Q76" s="34"/>
      <c r="R76" s="34"/>
      <c r="S76" s="34"/>
      <c r="T76" s="34"/>
      <c r="U76" s="34"/>
      <c r="V76" s="34"/>
      <c r="W76" s="34"/>
      <c r="X76" s="34"/>
      <c r="Y76" s="34"/>
      <c r="Z76" s="34"/>
      <c r="AA76" s="34"/>
      <c r="AB76" s="34"/>
      <c r="AC76" s="34"/>
      <c r="AD76" s="34"/>
      <c r="AE76" s="34"/>
      <c r="AF76" s="34"/>
    </row>
    <row r="77" spans="1:32" s="81" customFormat="1" ht="13.5" customHeight="1">
      <c r="A77" s="34"/>
      <c r="B77" s="130"/>
      <c r="C77" s="175" t="s">
        <v>58</v>
      </c>
      <c r="D77" s="175"/>
      <c r="E77" s="155">
        <f t="array" ref="E77:I77">_xll.FDSRC("-",G2,"FF_PPE_NET(ANN,-4FY,0FY,,RP)")</f>
        <v>24375</v>
      </c>
      <c r="F77" s="155">
        <v>26563</v>
      </c>
      <c r="G77" s="155">
        <v>34329</v>
      </c>
      <c r="H77" s="155">
        <v>36937</v>
      </c>
      <c r="I77" s="155">
        <v>32262</v>
      </c>
      <c r="J77" s="155" cm="1">
        <f t="array" ref="J77">_xll.FDSC("-",G2,"FF_PPE_NET(QTR,0)@FF_PPE_NET(SEMI,0)")</f>
        <v>33643</v>
      </c>
      <c r="K77" s="133"/>
      <c r="L77" s="34"/>
      <c r="M77" s="34"/>
      <c r="N77" s="34"/>
      <c r="O77" s="34"/>
      <c r="P77" s="34"/>
      <c r="Q77" s="34"/>
      <c r="R77" s="34"/>
      <c r="S77" s="34"/>
      <c r="T77" s="34"/>
      <c r="U77" s="34"/>
      <c r="V77" s="34"/>
      <c r="W77" s="34"/>
      <c r="X77" s="34"/>
      <c r="Y77" s="34"/>
      <c r="Z77" s="34"/>
      <c r="AA77" s="34"/>
      <c r="AB77" s="34"/>
      <c r="AC77" s="34"/>
      <c r="AD77" s="34"/>
      <c r="AE77" s="34"/>
      <c r="AF77" s="34"/>
    </row>
    <row r="78" spans="1:32" s="81" customFormat="1" ht="13.5" customHeight="1">
      <c r="A78" s="34"/>
      <c r="B78" s="135"/>
      <c r="C78" s="180" t="s">
        <v>59</v>
      </c>
      <c r="D78" s="180"/>
      <c r="E78" s="155">
        <f t="array" ref="E78:I78">_xll.FDSRC("-",G2,"FF_ASSETS(ANN,-4FY,0FY,,RP)")</f>
        <v>58899</v>
      </c>
      <c r="F78" s="155">
        <v>58472</v>
      </c>
      <c r="G78" s="155">
        <v>60266</v>
      </c>
      <c r="H78" s="155">
        <v>64532</v>
      </c>
      <c r="I78" s="155">
        <v>71996</v>
      </c>
      <c r="J78" s="155" cm="1">
        <f t="array" ref="J78">_xll.FDSC("-",G2,"FF_ASSETS(QTR,0)")</f>
        <v>72783</v>
      </c>
      <c r="K78" s="154"/>
      <c r="L78" s="34"/>
      <c r="M78" s="34"/>
      <c r="N78" s="34"/>
      <c r="O78" s="34"/>
      <c r="P78" s="34"/>
      <c r="Q78" s="34"/>
      <c r="R78" s="34"/>
      <c r="S78" s="34"/>
      <c r="T78" s="34"/>
      <c r="U78" s="34"/>
      <c r="V78" s="34"/>
      <c r="W78" s="34"/>
      <c r="X78" s="34"/>
      <c r="Y78" s="34"/>
      <c r="Z78" s="34"/>
      <c r="AA78" s="34"/>
      <c r="AB78" s="34"/>
      <c r="AC78" s="34"/>
      <c r="AD78" s="34"/>
      <c r="AE78" s="34"/>
      <c r="AF78" s="34"/>
    </row>
    <row r="79" spans="1:32" s="53" customFormat="1" ht="13.5" customHeight="1">
      <c r="A79" s="35"/>
      <c r="B79" s="174"/>
      <c r="C79" s="181" t="s">
        <v>39</v>
      </c>
      <c r="D79" s="181"/>
      <c r="E79" s="147">
        <f t="shared" ref="E79:J79" si="18">IF(ISERROR(E108),"-",E108)</f>
        <v>-2.8614308803641575E-2</v>
      </c>
      <c r="F79" s="147">
        <f t="shared" si="18"/>
        <v>-7.2496986366491489E-3</v>
      </c>
      <c r="G79" s="147">
        <f t="shared" si="18"/>
        <v>3.0681351758106379E-2</v>
      </c>
      <c r="H79" s="147">
        <f t="shared" si="18"/>
        <v>7.0786181263067016E-2</v>
      </c>
      <c r="I79" s="147">
        <f t="shared" si="18"/>
        <v>0.11566354676749513</v>
      </c>
      <c r="J79" s="147">
        <f t="shared" si="18"/>
        <v>1.0931162842380049E-2</v>
      </c>
      <c r="K79" s="133"/>
      <c r="L79" s="35"/>
      <c r="M79" s="35"/>
      <c r="N79" s="35"/>
      <c r="O79" s="35"/>
      <c r="P79" s="35"/>
      <c r="Q79" s="35"/>
      <c r="R79" s="35"/>
      <c r="S79" s="35"/>
      <c r="T79" s="35"/>
      <c r="U79" s="35"/>
      <c r="V79" s="35"/>
      <c r="W79" s="35"/>
      <c r="X79" s="35"/>
      <c r="Y79" s="35"/>
      <c r="Z79" s="35"/>
      <c r="AA79" s="35"/>
      <c r="AB79" s="35"/>
      <c r="AC79" s="35"/>
      <c r="AD79" s="35"/>
      <c r="AE79" s="35"/>
      <c r="AF79" s="35"/>
    </row>
    <row r="80" spans="1:32" s="81" customFormat="1" ht="13.5" customHeight="1">
      <c r="A80" s="34"/>
      <c r="B80" s="174"/>
      <c r="C80" s="176" t="str">
        <f>D169</f>
        <v>Asset Turnover</v>
      </c>
      <c r="D80" s="176"/>
      <c r="E80" s="177">
        <f t="shared" ref="E80:J80" si="19">IF(ISERROR(E169),"-",E169)</f>
        <v>0.67237134756107908</v>
      </c>
      <c r="F80" s="177">
        <f t="shared" si="19"/>
        <v>0.70519222875906418</v>
      </c>
      <c r="G80" s="177">
        <f t="shared" si="19"/>
        <v>0.73741413068728634</v>
      </c>
      <c r="H80" s="177">
        <f t="shared" si="19"/>
        <v>0.72841381020269014</v>
      </c>
      <c r="I80" s="177">
        <f t="shared" si="19"/>
        <v>0.23744374687482639</v>
      </c>
      <c r="J80" s="177">
        <f t="shared" si="19"/>
        <v>0.33528433837571958</v>
      </c>
      <c r="K80" s="133"/>
      <c r="L80" s="34"/>
      <c r="M80" s="34"/>
      <c r="N80" s="34"/>
      <c r="O80" s="34"/>
      <c r="P80" s="34"/>
      <c r="Q80" s="34"/>
      <c r="R80" s="34"/>
      <c r="S80" s="34"/>
      <c r="T80" s="34"/>
      <c r="U80" s="34"/>
      <c r="V80" s="34"/>
      <c r="W80" s="34"/>
      <c r="X80" s="34"/>
      <c r="Y80" s="34"/>
      <c r="Z80" s="34"/>
      <c r="AA80" s="34"/>
      <c r="AB80" s="34"/>
      <c r="AC80" s="34"/>
      <c r="AD80" s="34"/>
      <c r="AE80" s="34"/>
      <c r="AF80" s="34"/>
    </row>
    <row r="81" spans="1:32" s="53" customFormat="1" ht="13.5" customHeight="1">
      <c r="A81" s="35"/>
      <c r="B81" s="135"/>
      <c r="C81" s="175" t="s">
        <v>60</v>
      </c>
      <c r="D81" s="175"/>
      <c r="E81" s="155">
        <f t="array" ref="E81:I81">_xll.FDSRC("-",G2,"FF_DEBT_ST(ANN,-4FY,0FY,,RP)")</f>
        <v>1131</v>
      </c>
      <c r="F81" s="155">
        <v>2242</v>
      </c>
      <c r="G81" s="155">
        <v>2473</v>
      </c>
      <c r="H81" s="155">
        <v>3088</v>
      </c>
      <c r="I81" s="155">
        <v>2410</v>
      </c>
      <c r="J81" s="155" cm="1">
        <f t="array" ref="J81">_xll.FDSC("-",G2,"FF_DEBT_ST(QTR,0)@FF_DEBT_ST(SEMI,0)")</f>
        <v>2932</v>
      </c>
      <c r="K81" s="154"/>
      <c r="L81" s="35"/>
      <c r="M81" s="35"/>
      <c r="N81" s="35"/>
      <c r="O81" s="35"/>
      <c r="P81" s="35"/>
      <c r="Q81" s="35"/>
      <c r="R81" s="35"/>
      <c r="S81" s="35"/>
      <c r="T81" s="35"/>
      <c r="U81" s="35"/>
      <c r="V81" s="35"/>
      <c r="W81" s="35"/>
      <c r="X81" s="35"/>
      <c r="Y81" s="35"/>
      <c r="Z81" s="35"/>
      <c r="AA81" s="35"/>
      <c r="AB81" s="35"/>
      <c r="AC81" s="35"/>
      <c r="AD81" s="35"/>
      <c r="AE81" s="35"/>
      <c r="AF81" s="35"/>
    </row>
    <row r="82" spans="1:32" s="81" customFormat="1" ht="13.5" customHeight="1">
      <c r="A82" s="34"/>
      <c r="B82" s="148"/>
      <c r="C82" s="175" t="s">
        <v>61</v>
      </c>
      <c r="D82" s="175"/>
      <c r="E82" s="155">
        <f t="array" ref="E82:I82">_xll.FDSRC("-",G2,"FF_PAY_ACCT(ANN,-4FY,0FY,,RP)")</f>
        <v>2572</v>
      </c>
      <c r="F82" s="155">
        <v>3674</v>
      </c>
      <c r="G82" s="155">
        <v>2976</v>
      </c>
      <c r="H82" s="155">
        <v>3266</v>
      </c>
      <c r="I82" s="155">
        <v>2840</v>
      </c>
      <c r="J82" s="155" cm="1">
        <f t="array" ref="J82">_xll.FDSC("-",G2,"FF_PAY_ACCT(QTR,0)@FF_PAY_ACCT(SEMI,0)")</f>
        <v>4017</v>
      </c>
      <c r="K82" s="133"/>
      <c r="L82" s="34"/>
      <c r="M82" s="34"/>
      <c r="N82" s="34"/>
      <c r="O82" s="34"/>
      <c r="P82" s="34"/>
      <c r="Q82" s="34"/>
      <c r="R82" s="34"/>
      <c r="S82" s="34"/>
      <c r="T82" s="34"/>
      <c r="U82" s="34"/>
      <c r="V82" s="34"/>
      <c r="W82" s="34"/>
      <c r="X82" s="34"/>
      <c r="Y82" s="34"/>
      <c r="Z82" s="34"/>
      <c r="AA82" s="34"/>
      <c r="AB82" s="34"/>
      <c r="AC82" s="34"/>
      <c r="AD82" s="34"/>
      <c r="AE82" s="34"/>
      <c r="AF82" s="34"/>
    </row>
    <row r="83" spans="1:32" s="81" customFormat="1" ht="13.5" customHeight="1">
      <c r="A83" s="34"/>
      <c r="B83" s="148"/>
      <c r="C83" s="176" t="s">
        <v>62</v>
      </c>
      <c r="D83" s="176"/>
      <c r="E83" s="177">
        <f t="shared" ref="E83:J83" si="20">IF(ISERROR(E168),"-",E168)</f>
        <v>32.891668690794269</v>
      </c>
      <c r="F83" s="177">
        <f t="shared" si="20"/>
        <v>36.243521668627388</v>
      </c>
      <c r="G83" s="177">
        <f t="shared" si="20"/>
        <v>34.176992396508027</v>
      </c>
      <c r="H83" s="177">
        <f t="shared" si="20"/>
        <v>31.138339164662149</v>
      </c>
      <c r="I83" s="177">
        <f t="shared" si="20"/>
        <v>47.156066184249504</v>
      </c>
      <c r="J83" s="177">
        <f t="shared" si="20"/>
        <v>46.194259874492431</v>
      </c>
      <c r="K83" s="133"/>
      <c r="L83" s="34"/>
      <c r="M83" s="34"/>
      <c r="N83" s="34"/>
      <c r="O83" s="34"/>
      <c r="P83" s="34"/>
      <c r="Q83" s="34"/>
      <c r="R83" s="34"/>
      <c r="S83" s="34"/>
      <c r="T83" s="34"/>
      <c r="U83" s="34"/>
      <c r="V83" s="34"/>
      <c r="W83" s="34"/>
      <c r="X83" s="34"/>
      <c r="Y83" s="34"/>
      <c r="Z83" s="34"/>
      <c r="AA83" s="34"/>
      <c r="AB83" s="34"/>
      <c r="AC83" s="34"/>
      <c r="AD83" s="34"/>
      <c r="AE83" s="34"/>
      <c r="AF83" s="34"/>
    </row>
    <row r="84" spans="1:32" s="81" customFormat="1" ht="13.5" customHeight="1">
      <c r="A84" s="34"/>
      <c r="B84" s="135"/>
      <c r="C84" s="175" t="s">
        <v>63</v>
      </c>
      <c r="D84" s="175"/>
      <c r="E84" s="155">
        <f t="array" ref="E84:I84">_xll.FDSRC("-",G2,"FF_LIABS_CURR(ANN,-4FY,0FY,,RP)")</f>
        <v>15239</v>
      </c>
      <c r="F84" s="155">
        <v>18573</v>
      </c>
      <c r="G84" s="155">
        <v>18578</v>
      </c>
      <c r="H84" s="155">
        <v>20204</v>
      </c>
      <c r="I84" s="155">
        <v>15927</v>
      </c>
      <c r="J84" s="155" cm="1">
        <f t="array" ref="J84">_xll.FDSC("-",G2,"FF_LIABS_CURR(QTR,0)@FF_LIABS_CURR(SEMI,0)")</f>
        <v>20924</v>
      </c>
      <c r="K84" s="154"/>
      <c r="L84" s="34"/>
      <c r="M84" s="34"/>
      <c r="N84" s="34"/>
      <c r="O84" s="34"/>
      <c r="P84" s="34"/>
      <c r="Q84" s="34"/>
      <c r="R84" s="34"/>
      <c r="S84" s="34"/>
      <c r="T84" s="34"/>
      <c r="U84" s="34"/>
      <c r="V84" s="34"/>
      <c r="W84" s="34"/>
      <c r="X84" s="34"/>
      <c r="Y84" s="34"/>
      <c r="Z84" s="34"/>
      <c r="AA84" s="34"/>
      <c r="AB84" s="34"/>
      <c r="AC84" s="34"/>
      <c r="AD84" s="34"/>
      <c r="AE84" s="34"/>
      <c r="AF84" s="34"/>
    </row>
    <row r="85" spans="1:32" s="81" customFormat="1" ht="13.5" customHeight="1">
      <c r="A85" s="34"/>
      <c r="B85" s="135"/>
      <c r="C85" s="175" t="s">
        <v>64</v>
      </c>
      <c r="D85" s="175"/>
      <c r="E85" s="155">
        <f t="array" ref="E85:I85">_xll.FDSRC("-",G2,"FF_DEBT_LT(ANN,-4FY,0FY,,RP)")</f>
        <v>6201</v>
      </c>
      <c r="F85" s="155">
        <v>6592</v>
      </c>
      <c r="G85" s="155">
        <v>14054</v>
      </c>
      <c r="H85" s="155">
        <v>14167</v>
      </c>
      <c r="I85" s="155">
        <v>33138</v>
      </c>
      <c r="J85" s="155" cm="1">
        <f t="array" ref="J85">_xll.FDSC("-",G2,"FF_DEBT_LT(QTR,0)")</f>
        <v>31265</v>
      </c>
      <c r="K85" s="154"/>
      <c r="L85" s="34"/>
      <c r="M85" s="34"/>
      <c r="N85" s="34"/>
      <c r="O85" s="34"/>
      <c r="P85" s="34"/>
      <c r="Q85" s="34"/>
      <c r="R85" s="34"/>
      <c r="S85" s="34"/>
      <c r="T85" s="34"/>
      <c r="U85" s="34"/>
      <c r="V85" s="34"/>
      <c r="W85" s="34"/>
      <c r="X85" s="34"/>
      <c r="Y85" s="34"/>
      <c r="Z85" s="34"/>
      <c r="AA85" s="34"/>
      <c r="AB85" s="34"/>
      <c r="AC85" s="34"/>
      <c r="AD85" s="34"/>
      <c r="AE85" s="34"/>
      <c r="AF85" s="34"/>
    </row>
    <row r="86" spans="1:32" s="81" customFormat="1" ht="13.5" customHeight="1">
      <c r="A86" s="34"/>
      <c r="B86" s="135"/>
      <c r="C86" s="176" t="str">
        <f>D156</f>
        <v>LTD/ TD + Stkhldr's Equity</v>
      </c>
      <c r="D86" s="176"/>
      <c r="E86" s="147">
        <f t="shared" ref="E86:J86" si="21">IF(ISERROR(E156),"-",E156)</f>
        <v>0.31607115551251336</v>
      </c>
      <c r="F86" s="147">
        <f t="shared" si="21"/>
        <v>0.28983468167428772</v>
      </c>
      <c r="G86" s="147">
        <f t="shared" si="21"/>
        <v>0.46514860660620905</v>
      </c>
      <c r="H86" s="147">
        <f t="shared" si="21"/>
        <v>0.4343973262196057</v>
      </c>
      <c r="I86" s="147">
        <f t="shared" si="21"/>
        <v>0.89364111968070759</v>
      </c>
      <c r="J86" s="147">
        <f t="shared" si="21"/>
        <v>0.84952313670081248</v>
      </c>
      <c r="K86" s="154"/>
      <c r="L86" s="34"/>
      <c r="M86" s="34"/>
      <c r="N86" s="34"/>
      <c r="O86" s="34"/>
      <c r="P86" s="34"/>
      <c r="Q86" s="34"/>
      <c r="R86" s="34"/>
      <c r="S86" s="34"/>
      <c r="T86" s="34"/>
      <c r="U86" s="34"/>
      <c r="V86" s="34"/>
      <c r="W86" s="34"/>
      <c r="X86" s="34"/>
      <c r="Y86" s="34"/>
      <c r="Z86" s="34"/>
      <c r="AA86" s="34"/>
      <c r="AB86" s="34"/>
      <c r="AC86" s="34"/>
      <c r="AD86" s="34"/>
      <c r="AE86" s="34"/>
      <c r="AF86" s="34"/>
    </row>
    <row r="87" spans="1:32" s="81" customFormat="1" ht="13.5" customHeight="1">
      <c r="A87" s="34"/>
      <c r="B87" s="174"/>
      <c r="C87" s="176" t="str">
        <f>D158</f>
        <v>TD/ TD + Stkhldr's Equity</v>
      </c>
      <c r="D87" s="176"/>
      <c r="E87" s="147">
        <f t="shared" ref="E87:J87" si="22">IF(ISERROR(E158),"-",E158)</f>
        <v>0.37371935368775167</v>
      </c>
      <c r="F87" s="147">
        <f t="shared" si="22"/>
        <v>0.38841013014421388</v>
      </c>
      <c r="G87" s="147">
        <f t="shared" si="22"/>
        <v>0.546998080360098</v>
      </c>
      <c r="H87" s="147">
        <f t="shared" si="22"/>
        <v>0.52908349431208412</v>
      </c>
      <c r="I87" s="147">
        <f t="shared" si="22"/>
        <v>0.95863222048433205</v>
      </c>
      <c r="J87" s="147">
        <f t="shared" si="22"/>
        <v>0.92919055511778936</v>
      </c>
      <c r="K87" s="133"/>
      <c r="L87" s="34"/>
      <c r="M87" s="34"/>
      <c r="N87" s="34"/>
      <c r="O87" s="34"/>
      <c r="P87" s="34"/>
      <c r="Q87" s="34"/>
      <c r="R87" s="34"/>
      <c r="S87" s="34"/>
      <c r="T87" s="34"/>
      <c r="U87" s="34"/>
      <c r="V87" s="34"/>
      <c r="W87" s="34"/>
      <c r="X87" s="34"/>
      <c r="Y87" s="34"/>
      <c r="Z87" s="34"/>
      <c r="AA87" s="34"/>
      <c r="AB87" s="34"/>
      <c r="AC87" s="34"/>
      <c r="AD87" s="34"/>
      <c r="AE87" s="34"/>
      <c r="AF87" s="34"/>
    </row>
    <row r="88" spans="1:32" s="81" customFormat="1" ht="13.5" customHeight="1">
      <c r="A88" s="34"/>
      <c r="B88" s="174"/>
      <c r="C88" s="176" t="str">
        <f>D160</f>
        <v>TD/ EBITDA</v>
      </c>
      <c r="D88" s="176"/>
      <c r="E88" s="178">
        <f t="shared" ref="E88:J88" si="23">IF(ISERROR(E160),"-",E160)</f>
        <v>0.79843188500490037</v>
      </c>
      <c r="F88" s="178">
        <f t="shared" si="23"/>
        <v>1.0491686460807601</v>
      </c>
      <c r="G88" s="178">
        <f t="shared" si="23"/>
        <v>2.1757503949447079</v>
      </c>
      <c r="H88" s="178">
        <f t="shared" si="23"/>
        <v>1.8676263664898798</v>
      </c>
      <c r="I88" s="178">
        <f t="shared" si="23"/>
        <v>-5.9554364215111413</v>
      </c>
      <c r="J88" s="178">
        <f t="shared" si="23"/>
        <v>-12.928922495274103</v>
      </c>
      <c r="K88" s="182"/>
      <c r="L88" s="34"/>
      <c r="M88" s="34"/>
      <c r="N88" s="34"/>
      <c r="O88" s="34"/>
      <c r="P88" s="34"/>
      <c r="Q88" s="34"/>
      <c r="R88" s="34"/>
      <c r="S88" s="34"/>
      <c r="T88" s="34"/>
      <c r="U88" s="34"/>
      <c r="V88" s="34"/>
      <c r="W88" s="34"/>
      <c r="X88" s="34"/>
      <c r="Y88" s="34"/>
      <c r="Z88" s="34"/>
      <c r="AA88" s="34"/>
      <c r="AB88" s="34"/>
      <c r="AC88" s="34"/>
      <c r="AD88" s="34"/>
      <c r="AE88" s="34"/>
      <c r="AF88" s="34"/>
    </row>
    <row r="89" spans="1:32" s="81" customFormat="1" ht="13.5" customHeight="1">
      <c r="A89" s="34"/>
      <c r="B89" s="174"/>
      <c r="C89" s="180" t="s">
        <v>65</v>
      </c>
      <c r="D89" s="183"/>
      <c r="E89" s="157">
        <f t="array" ref="E89:I89">_xll.FDSRC("-",G2,"FF_LIABS(ANN,-4FY,0FY,,RP)")</f>
        <v>46612</v>
      </c>
      <c r="F89" s="157">
        <v>44562</v>
      </c>
      <c r="G89" s="157">
        <v>46579</v>
      </c>
      <c r="H89" s="157">
        <v>49174</v>
      </c>
      <c r="I89" s="157">
        <v>70462</v>
      </c>
      <c r="J89" s="157" cm="1">
        <f t="array" ref="J89">_xll.FDSC("-",G2,"FF_LIABS(QTR,0)@FF_LIABS(SEMI,0)")</f>
        <v>70177</v>
      </c>
      <c r="K89" s="133"/>
      <c r="L89" s="34"/>
      <c r="M89" s="34"/>
      <c r="N89" s="34"/>
      <c r="O89" s="34"/>
      <c r="P89" s="34"/>
      <c r="Q89" s="34"/>
      <c r="R89" s="34"/>
      <c r="S89" s="34"/>
      <c r="T89" s="34"/>
      <c r="U89" s="34"/>
      <c r="V89" s="34"/>
      <c r="W89" s="34"/>
      <c r="X89" s="34"/>
      <c r="Y89" s="34"/>
      <c r="Z89" s="34"/>
      <c r="AA89" s="34"/>
      <c r="AB89" s="34"/>
      <c r="AC89" s="34"/>
      <c r="AD89" s="34"/>
      <c r="AE89" s="34"/>
      <c r="AF89" s="34"/>
    </row>
    <row r="90" spans="1:32" s="81" customFormat="1" ht="13.5" customHeight="1">
      <c r="A90" s="34"/>
      <c r="B90" s="184"/>
      <c r="C90" s="175" t="s">
        <v>66</v>
      </c>
      <c r="D90" s="172"/>
      <c r="E90" s="155">
        <f t="array" ref="E90:I90">_xll.FDSRC("-",G2,"FF_PFD_STK(ANN,-4FY,0FY,,RP)")</f>
        <v>0</v>
      </c>
      <c r="F90" s="155">
        <v>0</v>
      </c>
      <c r="G90" s="155">
        <v>0</v>
      </c>
      <c r="H90" s="155">
        <v>0</v>
      </c>
      <c r="I90" s="155">
        <v>0</v>
      </c>
      <c r="J90" s="155" cm="1">
        <f t="array" ref="J90">_xll.FDSC("-",G2,"FF_PFD_STK(QTR,0)@FF_PFD_STK(SEMI,0)")</f>
        <v>0</v>
      </c>
      <c r="K90" s="133"/>
      <c r="L90" s="34"/>
      <c r="M90" s="34"/>
      <c r="N90" s="34"/>
      <c r="O90" s="34"/>
      <c r="P90" s="34"/>
      <c r="Q90" s="34"/>
      <c r="R90" s="34"/>
      <c r="S90" s="34"/>
      <c r="T90" s="34"/>
      <c r="U90" s="34"/>
      <c r="V90" s="34"/>
      <c r="W90" s="34"/>
      <c r="X90" s="34"/>
      <c r="Y90" s="34"/>
      <c r="Z90" s="34"/>
      <c r="AA90" s="34"/>
      <c r="AB90" s="34"/>
      <c r="AC90" s="34"/>
      <c r="AD90" s="34"/>
      <c r="AE90" s="34"/>
      <c r="AF90" s="34"/>
    </row>
    <row r="91" spans="1:32" s="81" customFormat="1" ht="13.5" customHeight="1">
      <c r="A91" s="34"/>
      <c r="B91" s="130"/>
      <c r="C91" s="175" t="s">
        <v>67</v>
      </c>
      <c r="D91" s="172"/>
      <c r="E91" s="155">
        <f t="array" ref="E91:I91">_xll.FDSRC("-",G2,"FF_SHLDRS_EQ(ANN,-4FY,0FY,,RP)")</f>
        <v>12287</v>
      </c>
      <c r="F91" s="155">
        <v>13910</v>
      </c>
      <c r="G91" s="155">
        <v>13687</v>
      </c>
      <c r="H91" s="155">
        <v>15358</v>
      </c>
      <c r="I91" s="155">
        <v>1534</v>
      </c>
      <c r="J91" s="155" cm="1">
        <f t="array" ref="J91">_xll.FDSC("-",G2,"FF_SHLDRS_EQ(QTR,0)@FF_SHLDRS_EQ(SEMI,0)")</f>
        <v>2606</v>
      </c>
      <c r="K91" s="133"/>
      <c r="L91" s="34"/>
      <c r="M91" s="34"/>
      <c r="N91" s="34"/>
      <c r="O91" s="34"/>
      <c r="P91" s="34"/>
      <c r="Q91" s="34"/>
      <c r="R91" s="34"/>
      <c r="S91" s="34"/>
      <c r="T91" s="34"/>
      <c r="U91" s="34"/>
      <c r="V91" s="34"/>
      <c r="W91" s="34"/>
      <c r="X91" s="34"/>
      <c r="Y91" s="34"/>
      <c r="Z91" s="34"/>
      <c r="AA91" s="34"/>
      <c r="AB91" s="34"/>
      <c r="AC91" s="34"/>
      <c r="AD91" s="34"/>
      <c r="AE91" s="34"/>
      <c r="AF91" s="34"/>
    </row>
    <row r="92" spans="1:32" s="81" customFormat="1" ht="13.5" customHeight="1">
      <c r="A92" s="34"/>
      <c r="B92" s="130"/>
      <c r="C92" s="185" t="s">
        <v>68</v>
      </c>
      <c r="D92" s="172"/>
      <c r="E92" s="143">
        <f t="array" ref="E92:I92">_xll.FDSRC("-",G2,"FF_LIABS_SHLDRS_EQ(ANN,-4FY,0FY,,RP)")</f>
        <v>58899</v>
      </c>
      <c r="F92" s="143">
        <v>58472</v>
      </c>
      <c r="G92" s="143">
        <v>60266</v>
      </c>
      <c r="H92" s="143">
        <v>64532</v>
      </c>
      <c r="I92" s="143">
        <v>71996</v>
      </c>
      <c r="J92" s="143" cm="1">
        <f t="array" ref="J92">_xll.FDSC("-",G2,"FF_LIABS_SHLDRS_EQ(QTR,0,,,RP)@FF_LIABS_SHLDRS_EQ(SEMI,0,,,RP)")</f>
        <v>72783</v>
      </c>
      <c r="K92" s="133"/>
      <c r="L92" s="34"/>
      <c r="M92" s="34"/>
      <c r="N92" s="34"/>
      <c r="O92" s="34"/>
      <c r="P92" s="34"/>
      <c r="Q92" s="34"/>
      <c r="R92" s="34"/>
      <c r="S92" s="34"/>
      <c r="T92" s="34"/>
      <c r="U92" s="34"/>
      <c r="V92" s="34"/>
      <c r="W92" s="34"/>
      <c r="X92" s="34"/>
      <c r="Y92" s="34"/>
      <c r="Z92" s="34"/>
      <c r="AA92" s="34"/>
      <c r="AB92" s="34"/>
      <c r="AC92" s="34"/>
      <c r="AD92" s="34"/>
      <c r="AE92" s="34"/>
      <c r="AF92" s="34"/>
    </row>
    <row r="93" spans="1:32" s="81" customFormat="1" ht="12">
      <c r="A93" s="34"/>
      <c r="B93" s="165"/>
      <c r="C93" s="166"/>
      <c r="D93" s="166"/>
      <c r="E93" s="166"/>
      <c r="F93" s="166"/>
      <c r="G93" s="166"/>
      <c r="H93" s="166"/>
      <c r="I93" s="166"/>
      <c r="J93" s="186"/>
      <c r="K93" s="187"/>
      <c r="L93" s="34"/>
      <c r="M93" s="34"/>
      <c r="N93" s="34"/>
      <c r="O93" s="34"/>
      <c r="P93" s="34"/>
      <c r="Q93" s="34"/>
      <c r="R93" s="34"/>
      <c r="S93" s="34"/>
      <c r="T93" s="34"/>
      <c r="U93" s="34"/>
      <c r="V93" s="34"/>
      <c r="W93" s="34"/>
      <c r="X93" s="34"/>
      <c r="Y93" s="34"/>
      <c r="Z93" s="34"/>
      <c r="AA93" s="34"/>
      <c r="AB93" s="34"/>
      <c r="AC93" s="34"/>
      <c r="AD93" s="34"/>
      <c r="AE93" s="34"/>
      <c r="AF93" s="34"/>
    </row>
    <row r="94" spans="1:32" s="81" customFormat="1" ht="15" customHeight="1">
      <c r="A94" s="34"/>
      <c r="B94" s="34"/>
      <c r="C94" s="34"/>
      <c r="D94" s="34"/>
      <c r="E94" s="35"/>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row>
    <row r="95" spans="1:32" s="81" customFormat="1" ht="15" customHeight="1">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row>
    <row r="96" spans="1:32" s="81" customFormat="1" ht="15" customHeight="1">
      <c r="A96" s="34"/>
      <c r="B96" s="127"/>
      <c r="C96" s="128"/>
      <c r="D96" s="128"/>
      <c r="E96" s="128"/>
      <c r="F96" s="128"/>
      <c r="G96" s="128"/>
      <c r="H96" s="128"/>
      <c r="I96" s="128"/>
      <c r="J96" s="128"/>
      <c r="K96" s="129"/>
      <c r="L96" s="34"/>
      <c r="M96" s="34"/>
      <c r="N96" s="34"/>
      <c r="O96" s="34"/>
      <c r="P96" s="34"/>
      <c r="Q96" s="34"/>
      <c r="R96" s="34"/>
      <c r="S96" s="34"/>
      <c r="T96" s="34"/>
      <c r="U96" s="34"/>
      <c r="V96" s="34"/>
      <c r="W96" s="34"/>
      <c r="X96" s="34"/>
      <c r="Y96" s="34"/>
      <c r="Z96" s="34"/>
      <c r="AA96" s="34"/>
      <c r="AB96" s="34"/>
      <c r="AC96" s="34"/>
      <c r="AD96" s="34"/>
      <c r="AE96" s="34"/>
      <c r="AF96" s="34"/>
    </row>
    <row r="97" spans="1:32" s="81" customFormat="1" ht="15" customHeight="1" collapsed="1">
      <c r="A97" s="34"/>
      <c r="B97" s="130"/>
      <c r="C97" s="168" t="s">
        <v>69</v>
      </c>
      <c r="D97" s="169"/>
      <c r="E97" s="169"/>
      <c r="F97" s="169"/>
      <c r="G97" s="169"/>
      <c r="H97" s="169"/>
      <c r="I97" s="169"/>
      <c r="J97" s="132"/>
      <c r="K97" s="133"/>
      <c r="L97" s="34"/>
      <c r="M97" s="34"/>
      <c r="N97" s="34"/>
      <c r="O97" s="34"/>
      <c r="P97" s="34"/>
      <c r="Q97" s="34"/>
      <c r="R97" s="34"/>
      <c r="S97" s="34"/>
      <c r="T97" s="34"/>
      <c r="U97" s="34"/>
      <c r="V97" s="34"/>
      <c r="W97" s="34"/>
      <c r="X97" s="34"/>
      <c r="Y97" s="34"/>
      <c r="Z97" s="34"/>
      <c r="AA97" s="34"/>
      <c r="AB97" s="34"/>
      <c r="AC97" s="34"/>
      <c r="AD97" s="34"/>
      <c r="AE97" s="34"/>
      <c r="AF97" s="34"/>
    </row>
    <row r="98" spans="1:32" s="81" customFormat="1" ht="15" hidden="1" customHeight="1" outlineLevel="1">
      <c r="A98" s="34"/>
      <c r="B98" s="130"/>
      <c r="C98" s="188"/>
      <c r="D98" s="188"/>
      <c r="E98" s="188"/>
      <c r="F98" s="188"/>
      <c r="G98" s="188"/>
      <c r="H98" s="188"/>
      <c r="I98" s="188"/>
      <c r="J98" s="188"/>
      <c r="K98" s="133"/>
      <c r="L98" s="34"/>
      <c r="M98" s="34"/>
      <c r="N98" s="34"/>
      <c r="O98" s="34"/>
      <c r="P98" s="34"/>
      <c r="Q98" s="34"/>
      <c r="R98" s="34"/>
      <c r="S98" s="34"/>
      <c r="T98" s="34"/>
      <c r="U98" s="34"/>
      <c r="V98" s="34"/>
      <c r="W98" s="34"/>
      <c r="X98" s="34"/>
      <c r="Y98" s="34"/>
      <c r="Z98" s="34"/>
      <c r="AA98" s="34"/>
      <c r="AB98" s="34"/>
      <c r="AC98" s="34"/>
      <c r="AD98" s="34"/>
      <c r="AE98" s="34"/>
      <c r="AF98" s="34"/>
    </row>
    <row r="99" spans="1:32" s="81" customFormat="1" ht="15" hidden="1" customHeight="1" outlineLevel="1">
      <c r="A99" s="34"/>
      <c r="B99" s="130"/>
      <c r="C99" s="189" t="s">
        <v>70</v>
      </c>
      <c r="D99" s="190"/>
      <c r="E99" s="191" t="str">
        <f t="shared" ref="E99:J99" si="24">E33</f>
        <v>12/2016</v>
      </c>
      <c r="F99" s="191" t="str">
        <f t="shared" si="24"/>
        <v>12/2017</v>
      </c>
      <c r="G99" s="191" t="str">
        <f t="shared" si="24"/>
        <v>12/2018</v>
      </c>
      <c r="H99" s="191" t="str">
        <f t="shared" si="24"/>
        <v>12/2019</v>
      </c>
      <c r="I99" s="191" t="str">
        <f t="shared" si="24"/>
        <v>12/2020</v>
      </c>
      <c r="J99" s="191" t="str">
        <f t="shared" si="24"/>
        <v>09/2021</v>
      </c>
      <c r="K99" s="133"/>
      <c r="L99" s="34"/>
      <c r="M99" s="34"/>
      <c r="N99" s="34"/>
      <c r="O99" s="34"/>
      <c r="P99" s="34"/>
      <c r="Q99" s="34"/>
      <c r="R99" s="34"/>
      <c r="S99" s="34"/>
      <c r="T99" s="34"/>
      <c r="U99" s="34"/>
      <c r="V99" s="34"/>
      <c r="W99" s="34"/>
      <c r="X99" s="34"/>
      <c r="Y99" s="34"/>
      <c r="Z99" s="34"/>
      <c r="AA99" s="34"/>
      <c r="AB99" s="34"/>
      <c r="AC99" s="34"/>
      <c r="AD99" s="34"/>
      <c r="AE99" s="34"/>
      <c r="AF99" s="34"/>
    </row>
    <row r="100" spans="1:32" s="81" customFormat="1" ht="15" hidden="1" customHeight="1" outlineLevel="1">
      <c r="A100" s="34"/>
      <c r="B100" s="130"/>
      <c r="C100" s="192">
        <v>1</v>
      </c>
      <c r="D100" s="53" t="str">
        <f>VLOOKUP(C100,C101:J108,2)&amp;" Growth"</f>
        <v>Revenue Growth</v>
      </c>
      <c r="E100" s="193">
        <f>VLOOKUP(C100,C101:J108,3)</f>
        <v>-2.2317681331160855E-2</v>
      </c>
      <c r="F100" s="193">
        <f>VLOOKUP(C100,C101:J108,4)</f>
        <v>4.1210039896974804E-2</v>
      </c>
      <c r="G100" s="193">
        <f>VLOOKUP(C100,C101:J108,5)</f>
        <v>7.7775622059465421E-2</v>
      </c>
      <c r="H100" s="193">
        <f>VLOOKUP(C100,C101:J108,6)</f>
        <v>5.7716973065412569E-2</v>
      </c>
      <c r="I100" s="193">
        <f>VLOOKUP(C100,C101:J108,7)</f>
        <v>-0.63632302259286044</v>
      </c>
      <c r="J100" s="193">
        <f>VLOOKUP(D100,D101:K108,7)</f>
        <v>-0.99315986504598608</v>
      </c>
      <c r="K100" s="133"/>
      <c r="L100" s="34"/>
      <c r="M100" s="34"/>
      <c r="N100" s="34"/>
      <c r="O100" s="34"/>
      <c r="P100" s="34"/>
      <c r="Q100" s="34"/>
      <c r="R100" s="34"/>
      <c r="S100" s="34"/>
      <c r="T100" s="34"/>
      <c r="U100" s="34"/>
      <c r="V100" s="34"/>
      <c r="W100" s="34"/>
      <c r="X100" s="34"/>
      <c r="Y100" s="34"/>
      <c r="Z100" s="34"/>
      <c r="AA100" s="34"/>
      <c r="AB100" s="34"/>
      <c r="AC100" s="34"/>
      <c r="AD100" s="34"/>
      <c r="AE100" s="34"/>
      <c r="AF100" s="34"/>
    </row>
    <row r="101" spans="1:32" s="81" customFormat="1" ht="15" hidden="1" customHeight="1" outlineLevel="1">
      <c r="A101" s="34"/>
      <c r="B101" s="130"/>
      <c r="C101" s="194">
        <v>1</v>
      </c>
      <c r="D101" s="195" t="str">
        <f>C34</f>
        <v>Revenue</v>
      </c>
      <c r="E101" s="196" cm="1">
        <f t="array" ref="E101">E34/_xll.FDSC("-",$G$2,"FF_SALES(ANN,-5FY,,,RP)")-1</f>
        <v>-2.2317681331160855E-2</v>
      </c>
      <c r="F101" s="197">
        <f>F34/E34-1</f>
        <v>4.1210039896974804E-2</v>
      </c>
      <c r="G101" s="197">
        <f>G34/F34-1</f>
        <v>7.7775622059465421E-2</v>
      </c>
      <c r="H101" s="197">
        <f>H34/G34-1</f>
        <v>5.7716973065412569E-2</v>
      </c>
      <c r="I101" s="197">
        <f>I34/H34-1</f>
        <v>-0.63632302259286044</v>
      </c>
      <c r="J101" s="197">
        <f>J34/I34-1</f>
        <v>0.42749341912840011</v>
      </c>
      <c r="K101" s="133"/>
      <c r="L101" s="34"/>
      <c r="M101" s="34"/>
      <c r="N101" s="34"/>
      <c r="O101" s="34"/>
      <c r="P101" s="34"/>
      <c r="Q101" s="34"/>
      <c r="R101" s="34"/>
      <c r="S101" s="34"/>
      <c r="T101" s="34"/>
      <c r="U101" s="34"/>
      <c r="V101" s="34"/>
      <c r="W101" s="34"/>
      <c r="X101" s="34"/>
      <c r="Y101" s="34"/>
      <c r="Z101" s="34"/>
      <c r="AA101" s="34"/>
      <c r="AB101" s="34"/>
      <c r="AC101" s="34"/>
      <c r="AD101" s="34"/>
      <c r="AE101" s="34"/>
      <c r="AF101" s="34"/>
    </row>
    <row r="102" spans="1:32" s="81" customFormat="1" ht="15" hidden="1" customHeight="1" outlineLevel="1">
      <c r="A102" s="34"/>
      <c r="B102" s="130"/>
      <c r="C102" s="192">
        <v>2</v>
      </c>
      <c r="D102" s="198" t="str">
        <f>C37</f>
        <v>Gross Profit</v>
      </c>
      <c r="E102" s="199" cm="1">
        <f t="array" ref="E102">E37/(_xll.FDSC("-",G2,"FF_SALES(ANN,-5FY,,,RP)")-_xll.FDSC("-",G2,"FF_COGS(ANN,-5FY,,,RP)"))-1</f>
        <v>-8.9045643153526921E-2</v>
      </c>
      <c r="F102" s="200">
        <f>F37/E37-1</f>
        <v>-6.8871276305001339E-2</v>
      </c>
      <c r="G102" s="200">
        <f>G37/F37-1</f>
        <v>-0.12621074258878784</v>
      </c>
      <c r="H102" s="200">
        <f>H37/G37-1</f>
        <v>0.16694659052737659</v>
      </c>
      <c r="I102" s="200">
        <f>I37/H37-1</f>
        <v>-1.6271349069276531</v>
      </c>
      <c r="J102" s="200">
        <f>J37/I37-1</f>
        <v>-0.58889228886168909</v>
      </c>
      <c r="K102" s="133"/>
      <c r="L102" s="34"/>
      <c r="M102" s="34"/>
      <c r="N102" s="34"/>
      <c r="O102" s="34"/>
      <c r="P102" s="34"/>
      <c r="Q102" s="34"/>
      <c r="R102" s="34"/>
      <c r="S102" s="34"/>
      <c r="T102" s="34"/>
      <c r="U102" s="34"/>
      <c r="V102" s="34"/>
      <c r="W102" s="34"/>
      <c r="X102" s="34"/>
      <c r="Y102" s="34"/>
      <c r="Z102" s="34"/>
      <c r="AA102" s="34"/>
      <c r="AB102" s="34"/>
      <c r="AC102" s="34"/>
      <c r="AD102" s="34"/>
      <c r="AE102" s="34"/>
      <c r="AF102" s="34"/>
    </row>
    <row r="103" spans="1:32" ht="15" hidden="1" customHeight="1" outlineLevel="1">
      <c r="B103" s="130"/>
      <c r="C103" s="194">
        <v>3</v>
      </c>
      <c r="D103" s="195" t="str">
        <f>C40</f>
        <v>SG&amp;A</v>
      </c>
      <c r="E103" s="201" cm="1">
        <f t="array" ref="E103">E40/_xll.FDSC("-",G2,"FF_SGA(ANN,-5FY,,,RP)")-1</f>
        <v>2.2727272727272707E-2</v>
      </c>
      <c r="F103" s="197">
        <f>F40/E40-1</f>
        <v>4.5029239766081863E-2</v>
      </c>
      <c r="G103" s="197">
        <f>G40/F40-1</f>
        <v>8.617795187465016E-2</v>
      </c>
      <c r="H103" s="197">
        <f>H40/G40-1</f>
        <v>2.6790314270994431E-2</v>
      </c>
      <c r="I103" s="197">
        <f>I40/H40-1</f>
        <v>-0.70797792272955351</v>
      </c>
      <c r="J103" s="197">
        <f>J40/I40-1</f>
        <v>0.24398625429553267</v>
      </c>
      <c r="K103" s="133"/>
    </row>
    <row r="104" spans="1:32" ht="15" hidden="1" customHeight="1" outlineLevel="1">
      <c r="B104" s="130"/>
      <c r="C104" s="192">
        <v>4</v>
      </c>
      <c r="D104" s="198" t="str">
        <f>C43</f>
        <v>EBITDA</v>
      </c>
      <c r="E104" s="202" cm="1">
        <f t="array" ref="E104">E43/_xll.FDSC("-",G2,"FF_EBITDA_OPER(ANN,-5FY,,,RP)")-1</f>
        <v>-0.10102790014684293</v>
      </c>
      <c r="F104" s="200">
        <f>F43/E43-1</f>
        <v>-8.3088315365348997E-2</v>
      </c>
      <c r="G104" s="200">
        <f>G43/F43-1</f>
        <v>-9.7862232779097336E-2</v>
      </c>
      <c r="H104" s="200">
        <f>H43/G43-1</f>
        <v>0.21629805160610838</v>
      </c>
      <c r="I104" s="200">
        <f>I43/H43-1</f>
        <v>-1.6460655915142333</v>
      </c>
      <c r="J104" s="200">
        <f>J43/I43-1</f>
        <v>-0.55687719886078069</v>
      </c>
      <c r="K104" s="133"/>
    </row>
    <row r="105" spans="1:32" ht="15" hidden="1" customHeight="1" outlineLevel="1">
      <c r="B105" s="130"/>
      <c r="C105" s="194">
        <v>5</v>
      </c>
      <c r="D105" s="195" t="str">
        <f>C47</f>
        <v>EBIT</v>
      </c>
      <c r="E105" s="201" cm="1">
        <f t="array" ref="E105">E47/_xll.FDSC("-",G2,"FF_EBIT_OPER(ANN,-5FY,,,RP)")-1</f>
        <v>-0.13114558472553695</v>
      </c>
      <c r="F105" s="197">
        <f>F47/E47-1</f>
        <v>-0.15052877352012084</v>
      </c>
      <c r="G105" s="197">
        <f>G47/F47-1</f>
        <v>-0.1484236054971706</v>
      </c>
      <c r="H105" s="197">
        <f>H47/G47-1</f>
        <v>0.26409720903740275</v>
      </c>
      <c r="I105" s="197">
        <f>I47/H47-1</f>
        <v>-2.243766896966056</v>
      </c>
      <c r="J105" s="197">
        <f>J47/I47-1</f>
        <v>-0.43992271464798938</v>
      </c>
      <c r="K105" s="133"/>
    </row>
    <row r="106" spans="1:32" ht="15" hidden="1" customHeight="1" outlineLevel="1">
      <c r="B106" s="130"/>
      <c r="C106" s="192">
        <v>6</v>
      </c>
      <c r="D106" s="198" t="str">
        <f>C54</f>
        <v>Net Income (before XOI)</v>
      </c>
      <c r="E106" s="202" cm="1">
        <f t="array" ref="E106">E54/_xll.FDSC("-",G2,"FF_NET_INC(ANN,-5FY,,,RP)")-1</f>
        <v>-3.3804684047724298E-2</v>
      </c>
      <c r="F106" s="200">
        <f>F54/E54-1</f>
        <v>-0.18202606906014174</v>
      </c>
      <c r="G106" s="200">
        <f>G54/F54-1</f>
        <v>0.10008386916410394</v>
      </c>
      <c r="H106" s="200">
        <f>H54/G54-1</f>
        <v>0.21143583227446006</v>
      </c>
      <c r="I106" s="200">
        <f>I54/H54-1</f>
        <v>-3.5980700650304174</v>
      </c>
      <c r="J106" s="200">
        <f>J54/I54-1</f>
        <v>-0.99450948728300359</v>
      </c>
      <c r="K106" s="133"/>
    </row>
    <row r="107" spans="1:32" ht="15" hidden="1" customHeight="1" outlineLevel="1">
      <c r="B107" s="130"/>
      <c r="C107" s="194">
        <v>7</v>
      </c>
      <c r="D107" s="195" t="str">
        <f>C59</f>
        <v>Earnings per Share</v>
      </c>
      <c r="E107" s="196" cm="1">
        <f t="array" ref="E107">E59/_xll.FDSC("-",G2,"FF_EPS_DIL(ANN,-5FY,,,RP)")-1</f>
        <v>2.8419182948490329E-2</v>
      </c>
      <c r="F107" s="197">
        <f>F59/E59-1</f>
        <v>-0.14507772020725385</v>
      </c>
      <c r="G107" s="197">
        <f>G59/F59-1</f>
        <v>0.1454545454545455</v>
      </c>
      <c r="H107" s="197">
        <f>H59/G59-1</f>
        <v>0.2875132275132275</v>
      </c>
      <c r="I107" s="197">
        <f>I59/H59-1</f>
        <v>-3.6675022602120486</v>
      </c>
      <c r="J107" s="197">
        <f>J59/I59-1</f>
        <v>-0.99315986504598608</v>
      </c>
      <c r="K107" s="133"/>
    </row>
    <row r="108" spans="1:32" ht="15" hidden="1" customHeight="1" outlineLevel="1">
      <c r="B108" s="130"/>
      <c r="C108" s="192">
        <v>8</v>
      </c>
      <c r="D108" s="198" t="str">
        <f>C78</f>
        <v>Total Assets</v>
      </c>
      <c r="E108" s="199" cm="1">
        <f t="array" ref="E108">E78/_xll.FDSC("-",G2,"FF_ASSETS(ANN,-5FY,,,RP)")-1</f>
        <v>-2.8614308803641575E-2</v>
      </c>
      <c r="F108" s="200">
        <f>F78/E78-1</f>
        <v>-7.2496986366491489E-3</v>
      </c>
      <c r="G108" s="200">
        <f>G78/F78-1</f>
        <v>3.0681351758106379E-2</v>
      </c>
      <c r="H108" s="200">
        <f>H78/G78-1</f>
        <v>7.0786181263067016E-2</v>
      </c>
      <c r="I108" s="200">
        <f>I78/H78-1</f>
        <v>0.11566354676749513</v>
      </c>
      <c r="J108" s="200">
        <f>IF(ISERROR(J78/I78),"-",J78/I78-1)</f>
        <v>1.0931162842380049E-2</v>
      </c>
      <c r="K108" s="133"/>
    </row>
    <row r="109" spans="1:32" ht="15" hidden="1" customHeight="1" outlineLevel="1">
      <c r="B109" s="130"/>
      <c r="C109" s="192"/>
      <c r="D109" s="53"/>
      <c r="E109" s="53"/>
      <c r="F109" s="53"/>
      <c r="G109" s="53"/>
      <c r="H109" s="53"/>
      <c r="I109" s="53"/>
      <c r="J109" s="53"/>
      <c r="K109" s="133"/>
    </row>
    <row r="110" spans="1:32" ht="15" hidden="1" customHeight="1" outlineLevel="1">
      <c r="B110" s="130"/>
      <c r="C110" s="203" t="s">
        <v>71</v>
      </c>
      <c r="D110" s="137"/>
      <c r="E110" s="191" t="str">
        <f t="shared" ref="E110:J110" si="25">E33</f>
        <v>12/2016</v>
      </c>
      <c r="F110" s="191" t="str">
        <f t="shared" si="25"/>
        <v>12/2017</v>
      </c>
      <c r="G110" s="191" t="str">
        <f t="shared" si="25"/>
        <v>12/2018</v>
      </c>
      <c r="H110" s="191" t="str">
        <f t="shared" si="25"/>
        <v>12/2019</v>
      </c>
      <c r="I110" s="191" t="str">
        <f t="shared" si="25"/>
        <v>12/2020</v>
      </c>
      <c r="J110" s="191" t="str">
        <f t="shared" si="25"/>
        <v>09/2021</v>
      </c>
      <c r="K110" s="133"/>
    </row>
    <row r="111" spans="1:32" ht="15" hidden="1" customHeight="1" outlineLevel="1">
      <c r="B111" s="130"/>
      <c r="C111" s="192">
        <v>1</v>
      </c>
      <c r="D111" s="53" t="str">
        <f>VLOOKUP(C111,C113:J141,2)</f>
        <v>Enterprise Value</v>
      </c>
      <c r="E111" s="204">
        <f>VLOOKUP(C111,C113:J141,3)</f>
        <v>39634.987905709997</v>
      </c>
      <c r="F111" s="204">
        <f>VLOOKUP(C111,C113:J141,4)</f>
        <v>45798.086823999998</v>
      </c>
      <c r="G111" s="204">
        <f>VLOOKUP(C111,C113:J141,5)</f>
        <v>48641.229302499996</v>
      </c>
      <c r="H111" s="204">
        <f>VLOOKUP(C111,C113:J141,6)</f>
        <v>51750.289776239995</v>
      </c>
      <c r="I111" s="204">
        <f>VLOOKUP(C111,C113:J141,7)</f>
        <v>46921.319129199997</v>
      </c>
      <c r="J111" s="204" t="e">
        <f>VLOOKUP(C111,C113:J141,8)</f>
        <v>#VALUE!</v>
      </c>
      <c r="K111" s="133"/>
    </row>
    <row r="112" spans="1:32" ht="15" hidden="1" customHeight="1" outlineLevel="1">
      <c r="B112" s="130"/>
      <c r="C112" s="194">
        <v>3</v>
      </c>
      <c r="D112" s="205" t="str">
        <f>VLOOKUP(C112,C113:J141,2)</f>
        <v>Revenue</v>
      </c>
      <c r="E112" s="206">
        <f>VLOOKUP(C112,C113:J141,3)</f>
        <v>39602</v>
      </c>
      <c r="F112" s="206">
        <f>VLOOKUP(C112,C113:J141,4)</f>
        <v>41234</v>
      </c>
      <c r="G112" s="206">
        <f>VLOOKUP(C112,C113:J141,5)</f>
        <v>44441</v>
      </c>
      <c r="H112" s="206">
        <f>VLOOKUP(C112,C113:J141,6)</f>
        <v>47006</v>
      </c>
      <c r="I112" s="206">
        <f>VLOOKUP(C112,C113:J141,7)</f>
        <v>17095</v>
      </c>
      <c r="J112" s="206">
        <f>VLOOKUP(C112,C113:J141,8)</f>
        <v>24403</v>
      </c>
      <c r="K112" s="133"/>
    </row>
    <row r="113" spans="2:11" ht="15" hidden="1" customHeight="1" outlineLevel="1">
      <c r="B113" s="130"/>
      <c r="C113" s="192">
        <v>1</v>
      </c>
      <c r="D113" s="53" t="s">
        <v>72</v>
      </c>
      <c r="E113" s="207">
        <f>E114+_xll.FSUM(E81,E85,E90,-E69)</f>
        <v>39634.987905709997</v>
      </c>
      <c r="F113" s="207">
        <f>F114+_xll.FSUM(F81,F85,F90,-F69)</f>
        <v>45798.086823999998</v>
      </c>
      <c r="G113" s="207">
        <f>G114+_xll.FSUM(G81,G85,G90,-G69)</f>
        <v>48641.229302499996</v>
      </c>
      <c r="H113" s="207">
        <f>H114+_xll.FSUM(H81,H85,H90,-H69)</f>
        <v>51750.289776239995</v>
      </c>
      <c r="I113" s="207">
        <f>I114+_xll.FSUM(I81,I85,I90,-I69)</f>
        <v>46921.319129199997</v>
      </c>
      <c r="J113" s="207" t="e">
        <f>J114+_xll.FSUM(J81,J85,J90,-J69)</f>
        <v>#VALUE!</v>
      </c>
      <c r="K113" s="133"/>
    </row>
    <row r="114" spans="2:11" ht="15" hidden="1" customHeight="1" outlineLevel="1">
      <c r="B114" s="130"/>
      <c r="C114" s="194">
        <v>2</v>
      </c>
      <c r="D114" s="205" t="s">
        <v>73</v>
      </c>
      <c r="E114" s="208" cm="1">
        <f t="array" ref="E114">_xll.FDS(G2,"FG_PRICE(-4FY,,)")*E125</f>
        <v>35944.987905709997</v>
      </c>
      <c r="F114" s="208" cm="1">
        <f t="array" ref="F114">_xll.FDS(G2,"FG_PRICE(-3FY,,)")*F125</f>
        <v>39603.086823999998</v>
      </c>
      <c r="G114" s="208" cm="1">
        <f t="array" ref="G114">_xll.FDS(G2,"FG_PRICE(-2FY,,)")*G125</f>
        <v>33929.229302499996</v>
      </c>
      <c r="H114" s="208" cm="1">
        <f t="array" ref="H114">_xll.FDS(G2,"FG_PRICE(-1FY,,)")*H125</f>
        <v>37589.289776239995</v>
      </c>
      <c r="I114" s="208" cm="1">
        <f t="array" ref="I114">_xll.FDS(G2,"FG_PRICE(-0FY,,)")*I125</f>
        <v>25661.319129199997</v>
      </c>
      <c r="J114" s="208" t="e" cm="1">
        <f t="array" ref="J114">_xll.FDS(G2,"FG_PRICE(0M,,)")*J125</f>
        <v>#VALUE!</v>
      </c>
      <c r="K114" s="133"/>
    </row>
    <row r="115" spans="2:11" ht="15" hidden="1" customHeight="1" outlineLevel="1">
      <c r="B115" s="130"/>
      <c r="C115" s="192">
        <v>3</v>
      </c>
      <c r="D115" s="209" t="str">
        <f>C34</f>
        <v>Revenue</v>
      </c>
      <c r="E115" s="210">
        <f t="shared" ref="E115:J115" si="26">E34</f>
        <v>39602</v>
      </c>
      <c r="F115" s="210">
        <f t="shared" si="26"/>
        <v>41234</v>
      </c>
      <c r="G115" s="210">
        <f t="shared" si="26"/>
        <v>44441</v>
      </c>
      <c r="H115" s="210">
        <f t="shared" si="26"/>
        <v>47006</v>
      </c>
      <c r="I115" s="210">
        <f t="shared" si="26"/>
        <v>17095</v>
      </c>
      <c r="J115" s="210">
        <f t="shared" si="26"/>
        <v>24403</v>
      </c>
      <c r="K115" s="133"/>
    </row>
    <row r="116" spans="2:11" ht="15" hidden="1" customHeight="1" outlineLevel="1">
      <c r="B116" s="130"/>
      <c r="C116" s="194">
        <v>4</v>
      </c>
      <c r="D116" s="211" t="str">
        <f>C36</f>
        <v>Cost of Goods Sold</v>
      </c>
      <c r="E116" s="212">
        <f t="shared" ref="E116:J117" si="27">E36</f>
        <v>28625</v>
      </c>
      <c r="F116" s="212">
        <f t="shared" si="27"/>
        <v>31013</v>
      </c>
      <c r="G116" s="212">
        <f t="shared" si="27"/>
        <v>35510</v>
      </c>
      <c r="H116" s="212">
        <f t="shared" si="27"/>
        <v>36584</v>
      </c>
      <c r="I116" s="212">
        <f t="shared" si="27"/>
        <v>23631</v>
      </c>
      <c r="J116" s="212">
        <f t="shared" si="27"/>
        <v>27090</v>
      </c>
      <c r="K116" s="133"/>
    </row>
    <row r="117" spans="2:11" ht="15" hidden="1" customHeight="1" outlineLevel="1">
      <c r="B117" s="130"/>
      <c r="C117" s="192">
        <v>5</v>
      </c>
      <c r="D117" s="213" t="str">
        <f>C37</f>
        <v>Gross Profit</v>
      </c>
      <c r="E117" s="210">
        <f t="shared" si="27"/>
        <v>10977</v>
      </c>
      <c r="F117" s="210">
        <f t="shared" si="27"/>
        <v>10221</v>
      </c>
      <c r="G117" s="210">
        <f t="shared" si="27"/>
        <v>8931</v>
      </c>
      <c r="H117" s="210">
        <f t="shared" si="27"/>
        <v>10422</v>
      </c>
      <c r="I117" s="210">
        <f t="shared" si="27"/>
        <v>-6536</v>
      </c>
      <c r="J117" s="210">
        <f t="shared" si="27"/>
        <v>-2687</v>
      </c>
      <c r="K117" s="133"/>
    </row>
    <row r="118" spans="2:11" ht="15" hidden="1" customHeight="1" outlineLevel="1">
      <c r="B118" s="130"/>
      <c r="C118" s="194">
        <v>6</v>
      </c>
      <c r="D118" s="211" t="str">
        <f>C40</f>
        <v>SG&amp;A</v>
      </c>
      <c r="E118" s="212">
        <f t="shared" ref="E118:J118" si="28">E40</f>
        <v>1710</v>
      </c>
      <c r="F118" s="212">
        <f t="shared" si="28"/>
        <v>1787</v>
      </c>
      <c r="G118" s="212">
        <f t="shared" si="28"/>
        <v>1941</v>
      </c>
      <c r="H118" s="212">
        <f t="shared" si="28"/>
        <v>1993</v>
      </c>
      <c r="I118" s="212">
        <f t="shared" si="28"/>
        <v>582</v>
      </c>
      <c r="J118" s="212">
        <f t="shared" si="28"/>
        <v>724</v>
      </c>
      <c r="K118" s="133"/>
    </row>
    <row r="119" spans="2:11" ht="15" hidden="1" customHeight="1" outlineLevel="1">
      <c r="B119" s="130"/>
      <c r="C119" s="192">
        <v>7</v>
      </c>
      <c r="D119" s="213" t="str">
        <f>C43</f>
        <v>EBITDA</v>
      </c>
      <c r="E119" s="210">
        <f t="shared" ref="E119:J119" si="29">E43</f>
        <v>9183</v>
      </c>
      <c r="F119" s="210">
        <f t="shared" si="29"/>
        <v>8420</v>
      </c>
      <c r="G119" s="210">
        <f t="shared" si="29"/>
        <v>7596</v>
      </c>
      <c r="H119" s="210">
        <f t="shared" si="29"/>
        <v>9239</v>
      </c>
      <c r="I119" s="210">
        <f t="shared" si="29"/>
        <v>-5969</v>
      </c>
      <c r="J119" s="210">
        <f t="shared" si="29"/>
        <v>-2645</v>
      </c>
      <c r="K119" s="133"/>
    </row>
    <row r="120" spans="2:11" ht="15" hidden="1" customHeight="1" outlineLevel="1">
      <c r="B120" s="130"/>
      <c r="C120" s="194">
        <v>8</v>
      </c>
      <c r="D120" s="211" t="str">
        <f>C47</f>
        <v>EBIT</v>
      </c>
      <c r="E120" s="212">
        <f t="shared" ref="E120:J120" si="30">E47</f>
        <v>7281</v>
      </c>
      <c r="F120" s="212">
        <f t="shared" si="30"/>
        <v>6185</v>
      </c>
      <c r="G120" s="212">
        <f t="shared" si="30"/>
        <v>5267</v>
      </c>
      <c r="H120" s="212">
        <f t="shared" si="30"/>
        <v>6658</v>
      </c>
      <c r="I120" s="212">
        <f t="shared" si="30"/>
        <v>-8281</v>
      </c>
      <c r="J120" s="212">
        <f t="shared" si="30"/>
        <v>-4638</v>
      </c>
      <c r="K120" s="133"/>
    </row>
    <row r="121" spans="2:11" ht="15" hidden="1" customHeight="1" outlineLevel="1">
      <c r="B121" s="130"/>
      <c r="C121" s="192">
        <v>9</v>
      </c>
      <c r="D121" s="213" t="str">
        <f>C50</f>
        <v>Interest Expense</v>
      </c>
      <c r="E121" s="210">
        <f t="shared" ref="E121:J122" si="31">E50</f>
        <v>388</v>
      </c>
      <c r="F121" s="210">
        <f t="shared" si="31"/>
        <v>396</v>
      </c>
      <c r="G121" s="210">
        <f t="shared" si="31"/>
        <v>311</v>
      </c>
      <c r="H121" s="210">
        <f t="shared" si="31"/>
        <v>301</v>
      </c>
      <c r="I121" s="210">
        <f t="shared" si="31"/>
        <v>929</v>
      </c>
      <c r="J121" s="210">
        <f t="shared" si="31"/>
        <v>1378</v>
      </c>
      <c r="K121" s="133"/>
    </row>
    <row r="122" spans="2:11" ht="15" hidden="1" customHeight="1" outlineLevel="1">
      <c r="B122" s="130"/>
      <c r="C122" s="194">
        <v>10</v>
      </c>
      <c r="D122" s="211" t="str">
        <f>C51</f>
        <v>Pretax Income</v>
      </c>
      <c r="E122" s="212">
        <f t="shared" si="31"/>
        <v>6636</v>
      </c>
      <c r="F122" s="212">
        <f t="shared" si="31"/>
        <v>5701</v>
      </c>
      <c r="G122" s="212">
        <f t="shared" si="31"/>
        <v>5151</v>
      </c>
      <c r="H122" s="212">
        <f t="shared" si="31"/>
        <v>6198</v>
      </c>
      <c r="I122" s="212">
        <f t="shared" si="31"/>
        <v>-15587</v>
      </c>
      <c r="J122" s="212">
        <f t="shared" si="31"/>
        <v>-315</v>
      </c>
      <c r="K122" s="133"/>
    </row>
    <row r="123" spans="2:11" ht="15" hidden="1" customHeight="1" outlineLevel="1">
      <c r="B123" s="130"/>
      <c r="C123" s="192">
        <v>11</v>
      </c>
      <c r="D123" s="213" t="str">
        <f>C54</f>
        <v>Net Income (before XOI)</v>
      </c>
      <c r="E123" s="210">
        <f t="shared" ref="E123:J123" si="32">E54</f>
        <v>4373</v>
      </c>
      <c r="F123" s="210">
        <f t="shared" si="32"/>
        <v>3577</v>
      </c>
      <c r="G123" s="210">
        <f t="shared" si="32"/>
        <v>3935</v>
      </c>
      <c r="H123" s="210">
        <f t="shared" si="32"/>
        <v>4767</v>
      </c>
      <c r="I123" s="210">
        <f t="shared" si="32"/>
        <v>-12385</v>
      </c>
      <c r="J123" s="210">
        <f t="shared" si="32"/>
        <v>-68</v>
      </c>
      <c r="K123" s="133"/>
    </row>
    <row r="124" spans="2:11" s="35" customFormat="1" ht="15" hidden="1" customHeight="1" outlineLevel="1">
      <c r="B124" s="130"/>
      <c r="C124" s="194">
        <v>12</v>
      </c>
      <c r="D124" s="214" t="str">
        <f>C59</f>
        <v>Earnings per Share</v>
      </c>
      <c r="E124" s="215">
        <f t="shared" ref="E124:J124" si="33">E59</f>
        <v>5.79</v>
      </c>
      <c r="F124" s="215">
        <f t="shared" si="33"/>
        <v>4.95</v>
      </c>
      <c r="G124" s="215">
        <f t="shared" si="33"/>
        <v>5.67</v>
      </c>
      <c r="H124" s="215">
        <f t="shared" si="33"/>
        <v>7.3002000000000002</v>
      </c>
      <c r="I124" s="215">
        <f t="shared" si="33"/>
        <v>-19.473299999999998</v>
      </c>
      <c r="J124" s="215">
        <f t="shared" si="33"/>
        <v>-0.13320000000000001</v>
      </c>
      <c r="K124" s="133"/>
    </row>
    <row r="125" spans="2:11" ht="15" hidden="1" customHeight="1" outlineLevel="1">
      <c r="B125" s="130"/>
      <c r="C125" s="192">
        <v>13</v>
      </c>
      <c r="D125" s="198" t="str">
        <f>C61</f>
        <v>Shares Outstanding</v>
      </c>
      <c r="E125" s="210">
        <f t="shared" ref="E125:J126" si="34">E61</f>
        <v>730.737709</v>
      </c>
      <c r="F125" s="210">
        <f t="shared" si="34"/>
        <v>707.19797900000003</v>
      </c>
      <c r="G125" s="210">
        <f t="shared" si="34"/>
        <v>679.94447500000001</v>
      </c>
      <c r="H125" s="210">
        <f t="shared" si="34"/>
        <v>642.77171299999998</v>
      </c>
      <c r="I125" s="210">
        <f t="shared" si="34"/>
        <v>638.18251999999995</v>
      </c>
      <c r="J125" s="210" t="str">
        <f t="shared" si="34"/>
        <v>-</v>
      </c>
      <c r="K125" s="133"/>
    </row>
    <row r="126" spans="2:11" ht="15" hidden="1" customHeight="1" outlineLevel="1">
      <c r="B126" s="130"/>
      <c r="C126" s="194">
        <v>14</v>
      </c>
      <c r="D126" s="195" t="str">
        <f>C62</f>
        <v>Capital Expenditures</v>
      </c>
      <c r="E126" s="212">
        <f t="shared" si="34"/>
        <v>3391</v>
      </c>
      <c r="F126" s="212">
        <f t="shared" si="34"/>
        <v>3891</v>
      </c>
      <c r="G126" s="212">
        <f t="shared" si="34"/>
        <v>5168</v>
      </c>
      <c r="H126" s="212">
        <f t="shared" si="34"/>
        <v>4936</v>
      </c>
      <c r="I126" s="212">
        <f t="shared" si="34"/>
        <v>1899</v>
      </c>
      <c r="J126" s="212">
        <f t="shared" si="34"/>
        <v>2577</v>
      </c>
      <c r="K126" s="133"/>
    </row>
    <row r="127" spans="2:11" ht="15" hidden="1" customHeight="1" outlineLevel="1">
      <c r="B127" s="130"/>
      <c r="C127" s="192">
        <v>15</v>
      </c>
      <c r="D127" s="53"/>
      <c r="E127" s="204"/>
      <c r="F127" s="204"/>
      <c r="G127" s="204"/>
      <c r="H127" s="204"/>
      <c r="I127" s="204"/>
      <c r="J127" s="204"/>
      <c r="K127" s="133"/>
    </row>
    <row r="128" spans="2:11" ht="15" hidden="1" customHeight="1" outlineLevel="1">
      <c r="B128" s="130"/>
      <c r="C128" s="194">
        <v>16</v>
      </c>
      <c r="D128" s="214" t="str">
        <f>C69</f>
        <v>Cash &amp; Equivalents</v>
      </c>
      <c r="E128" s="212">
        <f t="shared" ref="E128:J129" si="35">E69</f>
        <v>3642</v>
      </c>
      <c r="F128" s="212">
        <f t="shared" si="35"/>
        <v>2639</v>
      </c>
      <c r="G128" s="212">
        <f t="shared" si="35"/>
        <v>1815</v>
      </c>
      <c r="H128" s="212">
        <f t="shared" si="35"/>
        <v>3094</v>
      </c>
      <c r="I128" s="212">
        <f t="shared" si="35"/>
        <v>14288</v>
      </c>
      <c r="J128" s="212">
        <f t="shared" si="35"/>
        <v>13364</v>
      </c>
      <c r="K128" s="133"/>
    </row>
    <row r="129" spans="2:11" ht="15" hidden="1" customHeight="1" outlineLevel="1">
      <c r="B129" s="130"/>
      <c r="C129" s="192">
        <v>17</v>
      </c>
      <c r="D129" s="213" t="str">
        <f>C70</f>
        <v>Accounts Receivable</v>
      </c>
      <c r="E129" s="210">
        <f t="shared" si="35"/>
        <v>2064</v>
      </c>
      <c r="F129" s="210">
        <f t="shared" si="35"/>
        <v>2377</v>
      </c>
      <c r="G129" s="210">
        <f t="shared" si="35"/>
        <v>2314</v>
      </c>
      <c r="H129" s="210">
        <f t="shared" si="35"/>
        <v>2854</v>
      </c>
      <c r="I129" s="210">
        <f t="shared" si="35"/>
        <v>1396</v>
      </c>
      <c r="J129" s="210">
        <f t="shared" si="35"/>
        <v>2183</v>
      </c>
      <c r="K129" s="133"/>
    </row>
    <row r="130" spans="2:11" ht="15" hidden="1" customHeight="1" outlineLevel="1">
      <c r="B130" s="130"/>
      <c r="C130" s="194">
        <v>18</v>
      </c>
      <c r="D130" s="211" t="str">
        <f>C72</f>
        <v>Inventories</v>
      </c>
      <c r="E130" s="212">
        <f t="shared" ref="E130:J130" si="36">E72</f>
        <v>891</v>
      </c>
      <c r="F130" s="212">
        <f t="shared" si="36"/>
        <v>1329</v>
      </c>
      <c r="G130" s="212">
        <f t="shared" si="36"/>
        <v>1055</v>
      </c>
      <c r="H130" s="212">
        <f t="shared" si="36"/>
        <v>1251</v>
      </c>
      <c r="I130" s="212">
        <f t="shared" si="36"/>
        <v>732</v>
      </c>
      <c r="J130" s="212">
        <f t="shared" si="36"/>
        <v>1012</v>
      </c>
      <c r="K130" s="133"/>
    </row>
    <row r="131" spans="2:11" ht="15" hidden="1" customHeight="1" outlineLevel="1">
      <c r="B131" s="130"/>
      <c r="C131" s="192">
        <v>19</v>
      </c>
      <c r="D131" s="213" t="str">
        <f>C74</f>
        <v>Current Assets</v>
      </c>
      <c r="E131" s="210">
        <f t="shared" ref="E131:J131" si="37">E74</f>
        <v>7451</v>
      </c>
      <c r="F131" s="210">
        <f t="shared" si="37"/>
        <v>7844</v>
      </c>
      <c r="G131" s="210">
        <f t="shared" si="37"/>
        <v>6340</v>
      </c>
      <c r="H131" s="210">
        <f t="shared" si="37"/>
        <v>8249</v>
      </c>
      <c r="I131" s="210">
        <f t="shared" si="37"/>
        <v>17404</v>
      </c>
      <c r="J131" s="210">
        <f t="shared" si="37"/>
        <v>17471</v>
      </c>
      <c r="K131" s="133"/>
    </row>
    <row r="132" spans="2:11" ht="15" hidden="1" customHeight="1" outlineLevel="1">
      <c r="B132" s="130"/>
      <c r="C132" s="194">
        <v>20</v>
      </c>
      <c r="D132" s="211" t="str">
        <f>C77</f>
        <v>Net PP&amp;E</v>
      </c>
      <c r="E132" s="212">
        <f t="shared" ref="E132:J133" si="38">E77</f>
        <v>24375</v>
      </c>
      <c r="F132" s="212">
        <f t="shared" si="38"/>
        <v>26563</v>
      </c>
      <c r="G132" s="212">
        <f t="shared" si="38"/>
        <v>34329</v>
      </c>
      <c r="H132" s="212">
        <f t="shared" si="38"/>
        <v>36937</v>
      </c>
      <c r="I132" s="212">
        <f t="shared" si="38"/>
        <v>32262</v>
      </c>
      <c r="J132" s="212">
        <f t="shared" si="38"/>
        <v>33643</v>
      </c>
      <c r="K132" s="133"/>
    </row>
    <row r="133" spans="2:11" ht="15" hidden="1" customHeight="1" outlineLevel="1">
      <c r="B133" s="130"/>
      <c r="C133" s="192">
        <v>21</v>
      </c>
      <c r="D133" s="213" t="str">
        <f>C78</f>
        <v>Total Assets</v>
      </c>
      <c r="E133" s="210">
        <f t="shared" si="38"/>
        <v>58899</v>
      </c>
      <c r="F133" s="210">
        <f t="shared" si="38"/>
        <v>58472</v>
      </c>
      <c r="G133" s="210">
        <f t="shared" si="38"/>
        <v>60266</v>
      </c>
      <c r="H133" s="210">
        <f t="shared" si="38"/>
        <v>64532</v>
      </c>
      <c r="I133" s="210">
        <f t="shared" si="38"/>
        <v>71996</v>
      </c>
      <c r="J133" s="210">
        <f t="shared" si="38"/>
        <v>72783</v>
      </c>
      <c r="K133" s="133"/>
    </row>
    <row r="134" spans="2:11" ht="15" hidden="1" customHeight="1" outlineLevel="1">
      <c r="B134" s="130"/>
      <c r="C134" s="194">
        <v>22</v>
      </c>
      <c r="D134" s="211" t="str">
        <f>C81</f>
        <v>Short Term Debt</v>
      </c>
      <c r="E134" s="212">
        <f t="shared" ref="E134:J135" si="39">E81</f>
        <v>1131</v>
      </c>
      <c r="F134" s="212">
        <f t="shared" si="39"/>
        <v>2242</v>
      </c>
      <c r="G134" s="212">
        <f t="shared" si="39"/>
        <v>2473</v>
      </c>
      <c r="H134" s="212">
        <f t="shared" si="39"/>
        <v>3088</v>
      </c>
      <c r="I134" s="212">
        <f t="shared" si="39"/>
        <v>2410</v>
      </c>
      <c r="J134" s="212">
        <f t="shared" si="39"/>
        <v>2932</v>
      </c>
      <c r="K134" s="133"/>
    </row>
    <row r="135" spans="2:11" ht="15" hidden="1" customHeight="1" outlineLevel="1">
      <c r="B135" s="130"/>
      <c r="C135" s="192">
        <v>23</v>
      </c>
      <c r="D135" s="213" t="str">
        <f>C82</f>
        <v>Accounts Payable</v>
      </c>
      <c r="E135" s="210">
        <f t="shared" si="39"/>
        <v>2572</v>
      </c>
      <c r="F135" s="210">
        <f t="shared" si="39"/>
        <v>3674</v>
      </c>
      <c r="G135" s="210">
        <f t="shared" si="39"/>
        <v>2976</v>
      </c>
      <c r="H135" s="210">
        <f t="shared" si="39"/>
        <v>3266</v>
      </c>
      <c r="I135" s="210">
        <f t="shared" si="39"/>
        <v>2840</v>
      </c>
      <c r="J135" s="210">
        <f t="shared" si="39"/>
        <v>4017</v>
      </c>
      <c r="K135" s="133"/>
    </row>
    <row r="136" spans="2:11" ht="15" hidden="1" customHeight="1" outlineLevel="1">
      <c r="B136" s="130"/>
      <c r="C136" s="194">
        <v>24</v>
      </c>
      <c r="D136" s="211" t="str">
        <f>C84</f>
        <v>Current Liabilities</v>
      </c>
      <c r="E136" s="212">
        <f t="shared" ref="E136:J137" si="40">E84</f>
        <v>15239</v>
      </c>
      <c r="F136" s="212">
        <f t="shared" si="40"/>
        <v>18573</v>
      </c>
      <c r="G136" s="212">
        <f t="shared" si="40"/>
        <v>18578</v>
      </c>
      <c r="H136" s="212">
        <f t="shared" si="40"/>
        <v>20204</v>
      </c>
      <c r="I136" s="212">
        <f t="shared" si="40"/>
        <v>15927</v>
      </c>
      <c r="J136" s="212">
        <f t="shared" si="40"/>
        <v>20924</v>
      </c>
      <c r="K136" s="133"/>
    </row>
    <row r="137" spans="2:11" ht="15" hidden="1" customHeight="1" outlineLevel="1">
      <c r="B137" s="130"/>
      <c r="C137" s="192">
        <v>25</v>
      </c>
      <c r="D137" s="213" t="str">
        <f>C85</f>
        <v>Long Term Debt</v>
      </c>
      <c r="E137" s="210">
        <f t="shared" si="40"/>
        <v>6201</v>
      </c>
      <c r="F137" s="210">
        <f t="shared" si="40"/>
        <v>6592</v>
      </c>
      <c r="G137" s="210">
        <f t="shared" si="40"/>
        <v>14054</v>
      </c>
      <c r="H137" s="210">
        <f t="shared" si="40"/>
        <v>14167</v>
      </c>
      <c r="I137" s="210">
        <f t="shared" si="40"/>
        <v>33138</v>
      </c>
      <c r="J137" s="210">
        <f t="shared" si="40"/>
        <v>31265</v>
      </c>
      <c r="K137" s="133"/>
    </row>
    <row r="138" spans="2:11" ht="15" hidden="1" customHeight="1" outlineLevel="1">
      <c r="B138" s="130"/>
      <c r="C138" s="194">
        <v>26</v>
      </c>
      <c r="D138" s="211" t="str">
        <f>C89</f>
        <v>Total Liabilities</v>
      </c>
      <c r="E138" s="212">
        <f t="shared" ref="E138:J141" si="41">E89</f>
        <v>46612</v>
      </c>
      <c r="F138" s="212">
        <f t="shared" si="41"/>
        <v>44562</v>
      </c>
      <c r="G138" s="212">
        <f t="shared" si="41"/>
        <v>46579</v>
      </c>
      <c r="H138" s="212">
        <f t="shared" si="41"/>
        <v>49174</v>
      </c>
      <c r="I138" s="212">
        <f t="shared" si="41"/>
        <v>70462</v>
      </c>
      <c r="J138" s="212">
        <f t="shared" si="41"/>
        <v>70177</v>
      </c>
      <c r="K138" s="133"/>
    </row>
    <row r="139" spans="2:11" ht="15" hidden="1" customHeight="1" outlineLevel="1">
      <c r="B139" s="130"/>
      <c r="C139" s="192">
        <v>27</v>
      </c>
      <c r="D139" s="213" t="str">
        <f>C90</f>
        <v>Preferred Stock</v>
      </c>
      <c r="E139" s="210">
        <f t="shared" si="41"/>
        <v>0</v>
      </c>
      <c r="F139" s="210">
        <f t="shared" si="41"/>
        <v>0</v>
      </c>
      <c r="G139" s="210">
        <f t="shared" si="41"/>
        <v>0</v>
      </c>
      <c r="H139" s="210">
        <f t="shared" si="41"/>
        <v>0</v>
      </c>
      <c r="I139" s="210">
        <f t="shared" si="41"/>
        <v>0</v>
      </c>
      <c r="J139" s="210">
        <f t="shared" si="41"/>
        <v>0</v>
      </c>
      <c r="K139" s="133"/>
    </row>
    <row r="140" spans="2:11" ht="15" hidden="1" customHeight="1" outlineLevel="1">
      <c r="B140" s="130"/>
      <c r="C140" s="194">
        <v>28</v>
      </c>
      <c r="D140" s="211" t="str">
        <f>C91</f>
        <v>Stockholder's Equity</v>
      </c>
      <c r="E140" s="212">
        <f t="shared" si="41"/>
        <v>12287</v>
      </c>
      <c r="F140" s="212">
        <f t="shared" si="41"/>
        <v>13910</v>
      </c>
      <c r="G140" s="212">
        <f t="shared" si="41"/>
        <v>13687</v>
      </c>
      <c r="H140" s="212">
        <f t="shared" si="41"/>
        <v>15358</v>
      </c>
      <c r="I140" s="212">
        <f t="shared" si="41"/>
        <v>1534</v>
      </c>
      <c r="J140" s="212">
        <f t="shared" si="41"/>
        <v>2606</v>
      </c>
      <c r="K140" s="133"/>
    </row>
    <row r="141" spans="2:11" ht="15" hidden="1" customHeight="1" outlineLevel="1">
      <c r="B141" s="130"/>
      <c r="C141" s="192">
        <v>29</v>
      </c>
      <c r="D141" s="209" t="str">
        <f>C92</f>
        <v>Total Liabs. &amp; Stk. Equity</v>
      </c>
      <c r="E141" s="210">
        <f t="shared" si="41"/>
        <v>58899</v>
      </c>
      <c r="F141" s="210">
        <f t="shared" si="41"/>
        <v>58472</v>
      </c>
      <c r="G141" s="210">
        <f t="shared" si="41"/>
        <v>60266</v>
      </c>
      <c r="H141" s="210">
        <f t="shared" si="41"/>
        <v>64532</v>
      </c>
      <c r="I141" s="210">
        <f t="shared" si="41"/>
        <v>71996</v>
      </c>
      <c r="J141" s="210">
        <f t="shared" si="41"/>
        <v>72783</v>
      </c>
      <c r="K141" s="133"/>
    </row>
    <row r="142" spans="2:11" ht="15" hidden="1" customHeight="1" outlineLevel="1">
      <c r="B142" s="130"/>
      <c r="C142" s="192"/>
      <c r="D142" s="53"/>
      <c r="E142" s="53"/>
      <c r="F142" s="53"/>
      <c r="G142" s="53"/>
      <c r="H142" s="53"/>
      <c r="I142" s="53"/>
      <c r="J142" s="53"/>
      <c r="K142" s="133"/>
    </row>
    <row r="143" spans="2:11" ht="15" hidden="1" customHeight="1" outlineLevel="1">
      <c r="B143" s="130"/>
      <c r="C143" s="203" t="s">
        <v>74</v>
      </c>
      <c r="D143" s="137"/>
      <c r="E143" s="191" t="str">
        <f t="shared" ref="E143:J143" si="42">E33</f>
        <v>12/2016</v>
      </c>
      <c r="F143" s="191" t="str">
        <f t="shared" si="42"/>
        <v>12/2017</v>
      </c>
      <c r="G143" s="191" t="str">
        <f t="shared" si="42"/>
        <v>12/2018</v>
      </c>
      <c r="H143" s="191" t="str">
        <f t="shared" si="42"/>
        <v>12/2019</v>
      </c>
      <c r="I143" s="191" t="str">
        <f t="shared" si="42"/>
        <v>12/2020</v>
      </c>
      <c r="J143" s="191" t="str">
        <f t="shared" si="42"/>
        <v>09/2021</v>
      </c>
      <c r="K143" s="133"/>
    </row>
    <row r="144" spans="2:11" ht="15" hidden="1" customHeight="1" outlineLevel="1">
      <c r="B144" s="130"/>
      <c r="C144" s="192">
        <v>1</v>
      </c>
      <c r="D144" s="53" t="str">
        <f>VLOOKUP(C144,C146:J153,2)</f>
        <v>Gross Margin</v>
      </c>
      <c r="E144" s="216">
        <f>VLOOKUP(C144,C146:J153,3)</f>
        <v>0.27718297055704255</v>
      </c>
      <c r="F144" s="216">
        <f>VLOOKUP(C144,C146:J153,4)</f>
        <v>0.24787796478634136</v>
      </c>
      <c r="G144" s="216">
        <f>VLOOKUP(C144,C146:J153,5)</f>
        <v>0.20096307463828447</v>
      </c>
      <c r="H144" s="216">
        <f>VLOOKUP(C144,C146:J153,6)</f>
        <v>0.22171637663277027</v>
      </c>
      <c r="I144" s="216">
        <f>VLOOKUP(C144,C146:J153,7)</f>
        <v>-0.38233401579409182</v>
      </c>
      <c r="J144" s="216">
        <f>VLOOKUP(C144,C146:J153,8)</f>
        <v>-0.11010941277711757</v>
      </c>
      <c r="K144" s="133"/>
    </row>
    <row r="145" spans="2:11" ht="15" hidden="1" customHeight="1" outlineLevel="1">
      <c r="B145" s="130"/>
      <c r="C145" s="194">
        <v>4</v>
      </c>
      <c r="D145" s="205" t="str">
        <f>VLOOKUP(C145,C146:J153,2)</f>
        <v>EBIT Margin</v>
      </c>
      <c r="E145" s="217">
        <f>VLOOKUP(C145,C146:J153,3)</f>
        <v>0.18385435079036413</v>
      </c>
      <c r="F145" s="217">
        <f>VLOOKUP(C145,C146:J153,4)</f>
        <v>0.14999757481689868</v>
      </c>
      <c r="G145" s="217">
        <f>VLOOKUP(C145,C146:J153,5)</f>
        <v>0.11851668504309083</v>
      </c>
      <c r="H145" s="217">
        <f>VLOOKUP(C145,C146:J153,6)</f>
        <v>0.14164149257541592</v>
      </c>
      <c r="I145" s="217">
        <f>VLOOKUP(C145,C146:J153,7)</f>
        <v>-0.48441064638783271</v>
      </c>
      <c r="J145" s="217">
        <f>VLOOKUP(C145,C146:J153,8)</f>
        <v>-0.19005859935253863</v>
      </c>
      <c r="K145" s="133"/>
    </row>
    <row r="146" spans="2:11" ht="15" hidden="1" customHeight="1" outlineLevel="1">
      <c r="B146" s="130"/>
      <c r="C146" s="192">
        <v>1</v>
      </c>
      <c r="D146" s="198" t="s">
        <v>75</v>
      </c>
      <c r="E146" s="200">
        <f t="shared" ref="E146:J146" si="43">E37/E34</f>
        <v>0.27718297055704255</v>
      </c>
      <c r="F146" s="200">
        <f t="shared" si="43"/>
        <v>0.24787796478634136</v>
      </c>
      <c r="G146" s="200">
        <f t="shared" si="43"/>
        <v>0.20096307463828447</v>
      </c>
      <c r="H146" s="200">
        <f t="shared" si="43"/>
        <v>0.22171637663277027</v>
      </c>
      <c r="I146" s="200">
        <f t="shared" si="43"/>
        <v>-0.38233401579409182</v>
      </c>
      <c r="J146" s="200">
        <f t="shared" si="43"/>
        <v>-0.11010941277711757</v>
      </c>
      <c r="K146" s="133"/>
    </row>
    <row r="147" spans="2:11" ht="15" hidden="1" customHeight="1" outlineLevel="1">
      <c r="B147" s="130"/>
      <c r="C147" s="194">
        <v>2</v>
      </c>
      <c r="D147" s="195" t="s">
        <v>76</v>
      </c>
      <c r="E147" s="197">
        <f t="shared" ref="E147:J147" si="44">E40/E34</f>
        <v>4.3179637392050906E-2</v>
      </c>
      <c r="F147" s="197">
        <f t="shared" si="44"/>
        <v>4.3338022020662559E-2</v>
      </c>
      <c r="G147" s="197">
        <f t="shared" si="44"/>
        <v>4.3675884881078285E-2</v>
      </c>
      <c r="H147" s="197">
        <f t="shared" si="44"/>
        <v>4.2398842700931798E-2</v>
      </c>
      <c r="I147" s="197">
        <f t="shared" si="44"/>
        <v>3.404504241006142E-2</v>
      </c>
      <c r="J147" s="197">
        <f t="shared" si="44"/>
        <v>2.9668483383190593E-2</v>
      </c>
      <c r="K147" s="133"/>
    </row>
    <row r="148" spans="2:11" ht="15" hidden="1" customHeight="1" outlineLevel="1">
      <c r="B148" s="130"/>
      <c r="C148" s="192">
        <v>3</v>
      </c>
      <c r="D148" s="198" t="s">
        <v>77</v>
      </c>
      <c r="E148" s="200">
        <f t="shared" ref="E148:J148" si="45">E43/E34</f>
        <v>0.23188222817029444</v>
      </c>
      <c r="F148" s="200">
        <f t="shared" si="45"/>
        <v>0.20420041713149342</v>
      </c>
      <c r="G148" s="200">
        <f t="shared" si="45"/>
        <v>0.17092324655160776</v>
      </c>
      <c r="H148" s="200">
        <f t="shared" si="45"/>
        <v>0.19654937667531805</v>
      </c>
      <c r="I148" s="200">
        <f t="shared" si="45"/>
        <v>-0.34916642293068151</v>
      </c>
      <c r="J148" s="200">
        <f t="shared" si="45"/>
        <v>-0.10838831291234684</v>
      </c>
      <c r="K148" s="133"/>
    </row>
    <row r="149" spans="2:11" ht="15" hidden="1" customHeight="1" outlineLevel="1">
      <c r="B149" s="130"/>
      <c r="C149" s="194">
        <v>4</v>
      </c>
      <c r="D149" s="195" t="s">
        <v>78</v>
      </c>
      <c r="E149" s="197">
        <f t="shared" ref="E149:J149" si="46">E47/E34</f>
        <v>0.18385435079036413</v>
      </c>
      <c r="F149" s="197">
        <f t="shared" si="46"/>
        <v>0.14999757481689868</v>
      </c>
      <c r="G149" s="197">
        <f t="shared" si="46"/>
        <v>0.11851668504309083</v>
      </c>
      <c r="H149" s="197">
        <f t="shared" si="46"/>
        <v>0.14164149257541592</v>
      </c>
      <c r="I149" s="197">
        <f t="shared" si="46"/>
        <v>-0.48441064638783271</v>
      </c>
      <c r="J149" s="197">
        <f t="shared" si="46"/>
        <v>-0.19005859935253863</v>
      </c>
      <c r="K149" s="133"/>
    </row>
    <row r="150" spans="2:11" ht="15" hidden="1" customHeight="1" outlineLevel="1">
      <c r="B150" s="130"/>
      <c r="C150" s="192">
        <v>5</v>
      </c>
      <c r="D150" s="198" t="s">
        <v>79</v>
      </c>
      <c r="E150" s="200">
        <f t="shared" ref="E150:J150" si="47">E51/E34</f>
        <v>0.16756729458108177</v>
      </c>
      <c r="F150" s="200">
        <f t="shared" si="47"/>
        <v>0.13825968860648979</v>
      </c>
      <c r="G150" s="200">
        <f t="shared" si="47"/>
        <v>0.11590648275241332</v>
      </c>
      <c r="H150" s="200">
        <f t="shared" si="47"/>
        <v>0.13185550780751393</v>
      </c>
      <c r="I150" s="200">
        <f t="shared" si="47"/>
        <v>-0.91178707224334599</v>
      </c>
      <c r="J150" s="200">
        <f t="shared" si="47"/>
        <v>-1.2908248985780437E-2</v>
      </c>
      <c r="K150" s="133"/>
    </row>
    <row r="151" spans="2:11" ht="15" hidden="1" customHeight="1" outlineLevel="1">
      <c r="B151" s="130"/>
      <c r="C151" s="194">
        <v>6</v>
      </c>
      <c r="D151" s="195" t="s">
        <v>80</v>
      </c>
      <c r="E151" s="197">
        <f t="shared" ref="E151:J151" si="48">E54/E34</f>
        <v>0.11042371597394071</v>
      </c>
      <c r="F151" s="197">
        <f t="shared" si="48"/>
        <v>8.6748799534364845E-2</v>
      </c>
      <c r="G151" s="197">
        <f t="shared" si="48"/>
        <v>8.8544362188069575E-2</v>
      </c>
      <c r="H151" s="197">
        <f t="shared" si="48"/>
        <v>0.10141258562736671</v>
      </c>
      <c r="I151" s="197">
        <f t="shared" si="48"/>
        <v>-0.72448084235156474</v>
      </c>
      <c r="J151" s="197">
        <f t="shared" si="48"/>
        <v>-2.7865426382002213E-3</v>
      </c>
      <c r="K151" s="133"/>
    </row>
    <row r="152" spans="2:11" ht="15" hidden="1" customHeight="1" outlineLevel="1">
      <c r="B152" s="130"/>
      <c r="C152" s="192">
        <v>7</v>
      </c>
      <c r="D152" s="218" t="s">
        <v>81</v>
      </c>
      <c r="E152" s="199" cm="1">
        <f t="array" ref="E152">E54/((E78+_xll.FDSC("-",$G$2,"FF_ASSETS(ANN,-5FY,,,RP)"))/2)</f>
        <v>7.3168079107861425E-2</v>
      </c>
      <c r="F152" s="219">
        <f>F54/AVERAGE(F78,E78)</f>
        <v>6.0952023924137989E-2</v>
      </c>
      <c r="G152" s="219">
        <f>G54/AVERAGE(G78,F78)</f>
        <v>6.6280382017551251E-2</v>
      </c>
      <c r="H152" s="219">
        <f>H54/AVERAGE(H78,G78)</f>
        <v>7.6395455055369474E-2</v>
      </c>
      <c r="I152" s="219">
        <f>I54/AVERAGE(I78,H78)</f>
        <v>-0.18142798546818234</v>
      </c>
      <c r="J152" s="219">
        <f>J54/AVERAGE(J78,I78)</f>
        <v>-9.3936275288543228E-4</v>
      </c>
      <c r="K152" s="133"/>
    </row>
    <row r="153" spans="2:11" ht="15" hidden="1" customHeight="1" outlineLevel="1">
      <c r="B153" s="130"/>
      <c r="C153" s="194">
        <v>8</v>
      </c>
      <c r="D153" s="220" t="s">
        <v>82</v>
      </c>
      <c r="E153" s="196" cm="1">
        <f t="array" ref="E153">E54/((E91+_xll.FDSC("-",$G$2,"FF_SHLDRS_EQ(ANN,-5FY,,,RP)"))/2)</f>
        <v>0.37800924925444096</v>
      </c>
      <c r="F153" s="221">
        <f>F54/AVERAGE(F91,E91)</f>
        <v>0.27308470435546056</v>
      </c>
      <c r="G153" s="221">
        <f>G54/AVERAGE(G91,F91)</f>
        <v>0.28517592491937527</v>
      </c>
      <c r="H153" s="221">
        <f>H54/AVERAGE(H91,G91)</f>
        <v>0.32824926837665691</v>
      </c>
      <c r="I153" s="221">
        <f>I54/AVERAGE(I91,H91)</f>
        <v>-1.4663746152024626</v>
      </c>
      <c r="J153" s="221">
        <f>J54/AVERAGE(J91,I91)</f>
        <v>-3.2850241545893721E-2</v>
      </c>
      <c r="K153" s="133"/>
    </row>
    <row r="154" spans="2:11" ht="15" hidden="1" customHeight="1" outlineLevel="1">
      <c r="B154" s="130"/>
      <c r="C154" s="222"/>
      <c r="D154" s="218"/>
      <c r="E154" s="223"/>
      <c r="F154" s="224"/>
      <c r="G154" s="224"/>
      <c r="H154" s="224"/>
      <c r="I154" s="224"/>
      <c r="J154" s="223"/>
      <c r="K154" s="133"/>
    </row>
    <row r="155" spans="2:11" ht="15" hidden="1" customHeight="1" outlineLevel="1">
      <c r="B155" s="130"/>
      <c r="C155" s="203" t="s">
        <v>83</v>
      </c>
      <c r="D155" s="137"/>
      <c r="E155" s="191" t="str">
        <f t="shared" ref="E155:J155" si="49">E33</f>
        <v>12/2016</v>
      </c>
      <c r="F155" s="191" t="str">
        <f t="shared" si="49"/>
        <v>12/2017</v>
      </c>
      <c r="G155" s="191" t="str">
        <f t="shared" si="49"/>
        <v>12/2018</v>
      </c>
      <c r="H155" s="191" t="str">
        <f t="shared" si="49"/>
        <v>12/2019</v>
      </c>
      <c r="I155" s="191" t="str">
        <f t="shared" si="49"/>
        <v>12/2020</v>
      </c>
      <c r="J155" s="191" t="str">
        <f t="shared" si="49"/>
        <v>09/2021</v>
      </c>
      <c r="K155" s="133"/>
    </row>
    <row r="156" spans="2:11" ht="15" hidden="1" customHeight="1" outlineLevel="1">
      <c r="B156" s="130"/>
      <c r="C156" s="192"/>
      <c r="D156" s="198" t="s">
        <v>84</v>
      </c>
      <c r="E156" s="200">
        <f>E85/_xll.FSUM(E85,E81,E91)</f>
        <v>0.31607115551251336</v>
      </c>
      <c r="F156" s="200">
        <f>F85/_xll.FSUM(F85,F81,F91)</f>
        <v>0.28983468167428772</v>
      </c>
      <c r="G156" s="200">
        <f>G85/_xll.FSUM(G85,G81,G91)</f>
        <v>0.46514860660620905</v>
      </c>
      <c r="H156" s="200">
        <f>H85/_xll.FSUM(H85,H81,H91)</f>
        <v>0.4343973262196057</v>
      </c>
      <c r="I156" s="200">
        <f>I85/_xll.FSUM(I85,I81,I91)</f>
        <v>0.89364111968070759</v>
      </c>
      <c r="J156" s="200">
        <f>IF(ISERROR(J85/_xll.FSUM(J85,J81,J91)),"-",J85/_xll.FSUM(J85,J81,J91))</f>
        <v>0.84952313670081248</v>
      </c>
      <c r="K156" s="133"/>
    </row>
    <row r="157" spans="2:11" ht="15" hidden="1" customHeight="1" outlineLevel="1">
      <c r="B157" s="130"/>
      <c r="C157" s="194"/>
      <c r="D157" s="195" t="s">
        <v>85</v>
      </c>
      <c r="E157" s="197">
        <f>E158-E156</f>
        <v>5.7648198175238308E-2</v>
      </c>
      <c r="F157" s="197">
        <f>F158-F156</f>
        <v>9.8575448469926163E-2</v>
      </c>
      <c r="G157" s="197">
        <f>G158-G156</f>
        <v>8.1849473753888957E-2</v>
      </c>
      <c r="H157" s="197">
        <f>H158-H156</f>
        <v>9.4686168092478429E-2</v>
      </c>
      <c r="I157" s="197">
        <f>I158-I156</f>
        <v>6.4991100803624469E-2</v>
      </c>
      <c r="J157" s="197">
        <f>IF(ISERROR(J158-J156),"-",J158-J156)</f>
        <v>7.9667418416976887E-2</v>
      </c>
      <c r="K157" s="133"/>
    </row>
    <row r="158" spans="2:11" ht="15" hidden="1" customHeight="1" outlineLevel="1">
      <c r="B158" s="130"/>
      <c r="C158" s="192"/>
      <c r="D158" s="198" t="s">
        <v>86</v>
      </c>
      <c r="E158" s="200">
        <f>_xll.FSUM(E85,E81)/_xll.FSUM(E85,E81,E91)</f>
        <v>0.37371935368775167</v>
      </c>
      <c r="F158" s="200">
        <f>_xll.FSUM(F85,F81)/_xll.FSUM(F85,F81,F91)</f>
        <v>0.38841013014421388</v>
      </c>
      <c r="G158" s="200">
        <f>_xll.FSUM(G85,G81)/_xll.FSUM(G85,G81,G91)</f>
        <v>0.546998080360098</v>
      </c>
      <c r="H158" s="200">
        <f>_xll.FSUM(H85,H81)/_xll.FSUM(H85,H81,H91)</f>
        <v>0.52908349431208412</v>
      </c>
      <c r="I158" s="200">
        <f>_xll.FSUM(I85,I81)/_xll.FSUM(I85,I81,I91)</f>
        <v>0.95863222048433205</v>
      </c>
      <c r="J158" s="200">
        <f>_xll.FSUM(J85,J81)/_xll.FSUM(J85,J81,J91)</f>
        <v>0.92919055511778936</v>
      </c>
      <c r="K158" s="133"/>
    </row>
    <row r="159" spans="2:11" ht="15" hidden="1" customHeight="1" outlineLevel="1">
      <c r="B159" s="130"/>
      <c r="C159" s="194">
        <v>1</v>
      </c>
      <c r="D159" s="205" t="str">
        <f>VLOOKUP(C159,C160:J163,2)</f>
        <v>TD/ EBITDA</v>
      </c>
      <c r="E159" s="225">
        <f>VLOOKUP(C159,C160:J163,3)</f>
        <v>0.79843188500490037</v>
      </c>
      <c r="F159" s="225">
        <f>VLOOKUP(C159,C160:J163,4)</f>
        <v>1.0491686460807601</v>
      </c>
      <c r="G159" s="225">
        <f>VLOOKUP(C159,C160:J163,5)</f>
        <v>2.1757503949447079</v>
      </c>
      <c r="H159" s="225">
        <f>VLOOKUP(C159,C160:J163,6)</f>
        <v>1.8676263664898798</v>
      </c>
      <c r="I159" s="225">
        <f>VLOOKUP(C159,C160:J163,7)</f>
        <v>-5.9554364215111413</v>
      </c>
      <c r="J159" s="225">
        <f>VLOOKUP(C159,C160:J163,8)</f>
        <v>-12.928922495274103</v>
      </c>
      <c r="K159" s="133"/>
    </row>
    <row r="160" spans="2:11" ht="15" hidden="1" customHeight="1" outlineLevel="1">
      <c r="B160" s="130"/>
      <c r="C160" s="192">
        <v>1</v>
      </c>
      <c r="D160" s="198" t="s">
        <v>87</v>
      </c>
      <c r="E160" s="226">
        <f>(E85+E81)/E43</f>
        <v>0.79843188500490037</v>
      </c>
      <c r="F160" s="226">
        <f>(F85+F81)/F43</f>
        <v>1.0491686460807601</v>
      </c>
      <c r="G160" s="226">
        <f>(G85+G81)/G43</f>
        <v>2.1757503949447079</v>
      </c>
      <c r="H160" s="226">
        <f>(H85+H81)/H43</f>
        <v>1.8676263664898798</v>
      </c>
      <c r="I160" s="226">
        <f>(I85+I81)/I43</f>
        <v>-5.9554364215111413</v>
      </c>
      <c r="J160" s="226">
        <f>IF(ISERROR(J85+J81)/J43,"-",(J85+J81)/J43)</f>
        <v>-12.928922495274103</v>
      </c>
      <c r="K160" s="133"/>
    </row>
    <row r="161" spans="2:20" ht="15" hidden="1" customHeight="1" outlineLevel="1">
      <c r="B161" s="130"/>
      <c r="C161" s="194">
        <v>2</v>
      </c>
      <c r="D161" s="211" t="s">
        <v>88</v>
      </c>
      <c r="E161" s="227">
        <f t="shared" ref="E161:J161" si="50">IF(ISERROR(E43/E50),"-",E43/E50)</f>
        <v>23.667525773195877</v>
      </c>
      <c r="F161" s="227">
        <f t="shared" si="50"/>
        <v>21.262626262626263</v>
      </c>
      <c r="G161" s="227">
        <f t="shared" si="50"/>
        <v>24.424437299035368</v>
      </c>
      <c r="H161" s="227">
        <f t="shared" si="50"/>
        <v>30.694352159468437</v>
      </c>
      <c r="I161" s="227">
        <f t="shared" si="50"/>
        <v>-6.4251883745963401</v>
      </c>
      <c r="J161" s="227">
        <f t="shared" si="50"/>
        <v>-1.9194484760522497</v>
      </c>
      <c r="K161" s="133"/>
    </row>
    <row r="162" spans="2:20" ht="15" hidden="1" customHeight="1" outlineLevel="1">
      <c r="B162" s="130"/>
      <c r="C162" s="192">
        <v>3</v>
      </c>
      <c r="D162" s="198" t="s">
        <v>89</v>
      </c>
      <c r="E162" s="226">
        <f t="shared" ref="E162:J162" si="51">E74/E84</f>
        <v>0.48894284401863641</v>
      </c>
      <c r="F162" s="226">
        <f t="shared" si="51"/>
        <v>0.42233349485812738</v>
      </c>
      <c r="G162" s="226">
        <f t="shared" si="51"/>
        <v>0.34126386048013779</v>
      </c>
      <c r="H162" s="226">
        <f t="shared" si="51"/>
        <v>0.40828548802217385</v>
      </c>
      <c r="I162" s="226">
        <f t="shared" si="51"/>
        <v>1.0927356062033027</v>
      </c>
      <c r="J162" s="226">
        <f t="shared" si="51"/>
        <v>0.83497419231504488</v>
      </c>
      <c r="K162" s="133"/>
    </row>
    <row r="163" spans="2:20" ht="15" hidden="1" customHeight="1" outlineLevel="1">
      <c r="B163" s="130"/>
      <c r="C163" s="194">
        <v>4</v>
      </c>
      <c r="D163" s="195" t="s">
        <v>90</v>
      </c>
      <c r="E163" s="227">
        <f t="shared" ref="E163:J163" si="52">(E74-E72)/E84</f>
        <v>0.43047444058009054</v>
      </c>
      <c r="F163" s="227">
        <f t="shared" si="52"/>
        <v>0.35077801109136919</v>
      </c>
      <c r="G163" s="227">
        <f t="shared" si="52"/>
        <v>0.28447626224566691</v>
      </c>
      <c r="H163" s="227">
        <f t="shared" si="52"/>
        <v>0.3463670560285092</v>
      </c>
      <c r="I163" s="227">
        <f t="shared" si="52"/>
        <v>1.0467759151127016</v>
      </c>
      <c r="J163" s="227">
        <f t="shared" si="52"/>
        <v>0.78660867902886633</v>
      </c>
      <c r="K163" s="133"/>
    </row>
    <row r="164" spans="2:20" ht="15" hidden="1" customHeight="1" outlineLevel="1">
      <c r="B164" s="130"/>
      <c r="C164" s="192"/>
      <c r="D164" s="53"/>
      <c r="E164" s="53"/>
      <c r="F164" s="53"/>
      <c r="G164" s="53"/>
      <c r="H164" s="53"/>
      <c r="I164" s="53"/>
      <c r="J164" s="53"/>
      <c r="K164" s="133"/>
      <c r="L164" s="35"/>
      <c r="M164" s="35"/>
      <c r="N164" s="35"/>
      <c r="O164" s="35"/>
      <c r="P164" s="35"/>
      <c r="Q164" s="35"/>
      <c r="R164" s="35"/>
      <c r="S164" s="35"/>
      <c r="T164" s="35"/>
    </row>
    <row r="165" spans="2:20" ht="15" hidden="1" customHeight="1" outlineLevel="1">
      <c r="B165" s="130"/>
      <c r="C165" s="203" t="s">
        <v>91</v>
      </c>
      <c r="D165" s="137"/>
      <c r="E165" s="191" t="str">
        <f t="shared" ref="E165:J165" si="53">E33</f>
        <v>12/2016</v>
      </c>
      <c r="F165" s="191" t="str">
        <f t="shared" si="53"/>
        <v>12/2017</v>
      </c>
      <c r="G165" s="191" t="str">
        <f t="shared" si="53"/>
        <v>12/2018</v>
      </c>
      <c r="H165" s="191" t="str">
        <f t="shared" si="53"/>
        <v>12/2019</v>
      </c>
      <c r="I165" s="191" t="str">
        <f t="shared" si="53"/>
        <v>12/2020</v>
      </c>
      <c r="J165" s="191" t="str">
        <f t="shared" si="53"/>
        <v>09/2021</v>
      </c>
      <c r="K165" s="133"/>
      <c r="L165" s="35"/>
      <c r="M165" s="35"/>
      <c r="N165" s="35"/>
      <c r="O165" s="35"/>
      <c r="P165" s="35"/>
      <c r="Q165" s="35"/>
      <c r="R165" s="35"/>
      <c r="S165" s="35"/>
      <c r="T165" s="35"/>
    </row>
    <row r="166" spans="2:20" ht="15" hidden="1" customHeight="1" outlineLevel="1">
      <c r="B166" s="130"/>
      <c r="C166" s="222"/>
      <c r="D166" s="218" t="s">
        <v>92</v>
      </c>
      <c r="E166" s="228" cm="1">
        <f t="array" ref="E166">(((E70+_xll.FDSC("-",$G$2,"FF_RECEIV_TOT(ANN,-5FY,,,RP)"))/2)/E34)*365</f>
        <v>19.368908135952729</v>
      </c>
      <c r="F166" s="224">
        <f>(((F70+E70)/2)/F34)*365</f>
        <v>19.655684629189505</v>
      </c>
      <c r="G166" s="224">
        <f>(((G70+F70)/2)/G34)*365</f>
        <v>19.263911703156996</v>
      </c>
      <c r="H166" s="224">
        <f>(((H70+G70)/2)/H34)*365</f>
        <v>20.064672594987872</v>
      </c>
      <c r="I166" s="224">
        <f>(((I70+H70)/2)/I34)*365</f>
        <v>45.37145364141562</v>
      </c>
      <c r="J166" s="224">
        <f>(((J70+I70)/2)/J34)*365</f>
        <v>26.76586895053887</v>
      </c>
      <c r="K166" s="133"/>
      <c r="L166" s="35"/>
      <c r="M166" s="35"/>
      <c r="N166" s="229"/>
      <c r="O166" s="35"/>
      <c r="P166" s="35"/>
      <c r="Q166" s="35"/>
      <c r="R166" s="35"/>
      <c r="S166" s="35"/>
      <c r="T166" s="35"/>
    </row>
    <row r="167" spans="2:20" ht="15" hidden="1" customHeight="1" outlineLevel="1">
      <c r="B167" s="130"/>
      <c r="C167" s="230"/>
      <c r="D167" s="220" t="s">
        <v>93</v>
      </c>
      <c r="E167" s="231" cm="1">
        <f t="array" ref="E167">(((E72+_xll.FDSC("-",$G$2,"FF_INVEN(ANN,-5FY,,,RP)"))/2)/E36)*365</f>
        <v>10.124366812227075</v>
      </c>
      <c r="F167" s="232">
        <f>(((F72+E72)/2)/F36)*365</f>
        <v>13.063876438912715</v>
      </c>
      <c r="G167" s="232">
        <f>(((G72+F72)/2)/G36)*365</f>
        <v>12.252323289214306</v>
      </c>
      <c r="H167" s="232">
        <f>(((H72+G72)/2)/H36)*365</f>
        <v>11.50352613164225</v>
      </c>
      <c r="I167" s="232">
        <f>(((I72+H72)/2)/I36)*365</f>
        <v>15.31452329567094</v>
      </c>
      <c r="J167" s="232">
        <f>(((J72+I72)/2)/J36)*365</f>
        <v>11.748984865263935</v>
      </c>
      <c r="K167" s="133"/>
      <c r="L167" s="35"/>
      <c r="M167" s="35"/>
      <c r="N167" s="229"/>
      <c r="O167" s="35"/>
      <c r="P167" s="35"/>
      <c r="Q167" s="35"/>
      <c r="R167" s="35"/>
      <c r="S167" s="35"/>
      <c r="T167" s="35"/>
    </row>
    <row r="168" spans="2:20" ht="15" hidden="1" customHeight="1" outlineLevel="1">
      <c r="B168" s="130"/>
      <c r="C168" s="222"/>
      <c r="D168" s="218" t="s">
        <v>94</v>
      </c>
      <c r="E168" s="228" cm="1">
        <f t="array" ref="E168">(((E82+_xll.FDSC("-",$G$2,"FF_PAY_ACCT(ANN,-6FY,,,RP)"))/2)/(E36+(_xll.FDSC("-",$G$2,"FF_INVEN(ANN,-4FY,,,RP)")-_xll.FDSC("-",$G$2,"FF_INVEN(ANN,-5FY,,,RP)"))))*365</f>
        <v>32.891668690794269</v>
      </c>
      <c r="F168" s="224">
        <f>(((F82+E82)/2)/(F36+(F72-E72)))*365</f>
        <v>36.243521668627388</v>
      </c>
      <c r="G168" s="224">
        <f>(((G82+F82)/2)/(G36+(G72-G72)))*365</f>
        <v>34.176992396508027</v>
      </c>
      <c r="H168" s="224">
        <f>(((H82+G82)/2)/(H36+(H72-H72)))*365</f>
        <v>31.138339164662149</v>
      </c>
      <c r="I168" s="224">
        <f>(((I82+H82)/2)/(I36+(I72-I72)))*365</f>
        <v>47.156066184249504</v>
      </c>
      <c r="J168" s="224">
        <f>(((J82+I82)/2)/(J36+(J72-J72)))*365</f>
        <v>46.194259874492431</v>
      </c>
      <c r="K168" s="133"/>
      <c r="L168" s="35"/>
      <c r="M168" s="35"/>
      <c r="N168" s="35"/>
      <c r="O168" s="35"/>
      <c r="P168" s="35"/>
      <c r="Q168" s="35"/>
      <c r="R168" s="35"/>
      <c r="S168" s="35"/>
      <c r="T168" s="35"/>
    </row>
    <row r="169" spans="2:20" ht="15" hidden="1" customHeight="1" outlineLevel="1">
      <c r="B169" s="130"/>
      <c r="C169" s="230"/>
      <c r="D169" s="220" t="s">
        <v>95</v>
      </c>
      <c r="E169" s="233">
        <f t="shared" ref="E169:J169" si="54">E34/E78</f>
        <v>0.67237134756107908</v>
      </c>
      <c r="F169" s="233">
        <f t="shared" si="54"/>
        <v>0.70519222875906418</v>
      </c>
      <c r="G169" s="233">
        <f t="shared" si="54"/>
        <v>0.73741413068728634</v>
      </c>
      <c r="H169" s="233">
        <f t="shared" si="54"/>
        <v>0.72841381020269014</v>
      </c>
      <c r="I169" s="233">
        <f t="shared" si="54"/>
        <v>0.23744374687482639</v>
      </c>
      <c r="J169" s="233">
        <f t="shared" si="54"/>
        <v>0.33528433837571958</v>
      </c>
      <c r="K169" s="133"/>
      <c r="L169" s="35"/>
      <c r="M169" s="35"/>
      <c r="N169" s="35"/>
      <c r="O169" s="35"/>
      <c r="P169" s="35"/>
      <c r="Q169" s="35"/>
      <c r="R169" s="35"/>
      <c r="S169" s="35"/>
      <c r="T169" s="35"/>
    </row>
    <row r="170" spans="2:20" ht="15" hidden="1" customHeight="1" outlineLevel="1">
      <c r="B170" s="130"/>
      <c r="C170" s="166"/>
      <c r="D170" s="166"/>
      <c r="E170" s="166"/>
      <c r="F170" s="166"/>
      <c r="G170" s="166"/>
      <c r="H170" s="166"/>
      <c r="I170" s="166"/>
      <c r="J170" s="166"/>
      <c r="K170" s="187"/>
      <c r="L170" s="35"/>
      <c r="M170" s="35"/>
      <c r="N170" s="35"/>
      <c r="O170" s="35"/>
      <c r="P170" s="35"/>
      <c r="Q170" s="35"/>
      <c r="R170" s="35"/>
      <c r="S170" s="35"/>
      <c r="T170" s="35"/>
    </row>
    <row r="171" spans="2:20" ht="15" hidden="1" customHeight="1" outlineLevel="1">
      <c r="E171" s="66"/>
      <c r="L171" s="66"/>
      <c r="M171" s="66"/>
      <c r="N171" s="35"/>
      <c r="O171" s="35"/>
      <c r="P171" s="35"/>
      <c r="Q171" s="35"/>
      <c r="R171" s="35"/>
      <c r="S171" s="35"/>
      <c r="T171" s="35"/>
    </row>
    <row r="172" spans="2:20" ht="15" hidden="1" customHeight="1" outlineLevel="1">
      <c r="E172" s="66"/>
      <c r="L172" s="66"/>
      <c r="M172" s="66"/>
      <c r="N172" s="35"/>
      <c r="O172" s="35"/>
      <c r="P172" s="35"/>
      <c r="Q172" s="35"/>
      <c r="R172" s="35"/>
      <c r="S172" s="35"/>
      <c r="T172" s="35"/>
    </row>
    <row r="173" spans="2:20" ht="15" hidden="1" customHeight="1" outlineLevel="1">
      <c r="E173" s="66"/>
      <c r="L173" s="66"/>
      <c r="M173" s="66"/>
      <c r="N173" s="35"/>
      <c r="O173" s="35"/>
      <c r="P173" s="35"/>
      <c r="Q173" s="35"/>
      <c r="R173" s="35"/>
      <c r="S173" s="35"/>
      <c r="T173" s="35"/>
    </row>
    <row r="174" spans="2:20" ht="15" hidden="1" customHeight="1" outlineLevel="1">
      <c r="E174" s="66"/>
      <c r="L174" s="66"/>
      <c r="M174" s="66"/>
      <c r="N174" s="35"/>
      <c r="O174" s="35"/>
      <c r="P174" s="35"/>
      <c r="Q174" s="35"/>
      <c r="R174" s="35"/>
      <c r="S174" s="35"/>
      <c r="T174" s="35"/>
    </row>
    <row r="175" spans="2:20" ht="15" hidden="1" customHeight="1" outlineLevel="1">
      <c r="B175" s="127"/>
      <c r="C175" s="128"/>
      <c r="D175" s="128"/>
      <c r="E175" s="128"/>
      <c r="F175" s="128"/>
      <c r="G175" s="128"/>
      <c r="H175" s="128"/>
      <c r="I175" s="128"/>
      <c r="J175" s="128"/>
      <c r="K175" s="129"/>
      <c r="L175" s="35"/>
      <c r="M175" s="35"/>
      <c r="N175" s="35"/>
      <c r="O175" s="35"/>
      <c r="P175" s="35"/>
      <c r="Q175" s="35"/>
      <c r="R175" s="35"/>
      <c r="S175" s="35"/>
      <c r="T175" s="35"/>
    </row>
    <row r="176" spans="2:20" ht="15" hidden="1" customHeight="1" outlineLevel="1">
      <c r="B176" s="130"/>
      <c r="C176" s="203" t="s">
        <v>96</v>
      </c>
      <c r="D176" s="134"/>
      <c r="E176" s="131"/>
      <c r="F176" s="131"/>
      <c r="G176" s="131"/>
      <c r="H176" s="131"/>
      <c r="I176" s="131"/>
      <c r="J176" s="131"/>
      <c r="K176" s="133"/>
      <c r="L176" s="35"/>
      <c r="M176" s="35"/>
      <c r="N176" s="35"/>
      <c r="O176" s="35"/>
      <c r="P176" s="35"/>
      <c r="Q176" s="35"/>
      <c r="R176" s="35"/>
      <c r="S176" s="35"/>
      <c r="T176" s="35"/>
    </row>
    <row r="177" spans="2:20" ht="15" hidden="1" customHeight="1" outlineLevel="1">
      <c r="B177" s="130"/>
      <c r="C177" s="234" t="str">
        <f>P8</f>
        <v>LTM PE</v>
      </c>
      <c r="D177" s="134"/>
      <c r="E177" s="131"/>
      <c r="F177" s="131"/>
      <c r="G177" s="131"/>
      <c r="H177" s="131"/>
      <c r="I177" s="131"/>
      <c r="J177" s="131"/>
      <c r="K177" s="133"/>
      <c r="L177" s="35"/>
      <c r="M177" s="35"/>
      <c r="N177" s="35"/>
      <c r="O177" s="35"/>
      <c r="P177" s="35"/>
      <c r="Q177" s="35"/>
      <c r="R177" s="35"/>
      <c r="S177" s="35"/>
      <c r="T177" s="35"/>
    </row>
    <row r="178" spans="2:20" ht="15" hidden="1" customHeight="1" outlineLevel="1">
      <c r="B178" s="130"/>
      <c r="C178" s="234" t="str">
        <f>P11</f>
        <v>FY1 PE</v>
      </c>
      <c r="D178" s="134"/>
      <c r="E178" s="131"/>
      <c r="F178" s="131"/>
      <c r="G178" s="131"/>
      <c r="H178" s="131"/>
      <c r="I178" s="131"/>
      <c r="J178" s="131"/>
      <c r="K178" s="133"/>
      <c r="L178" s="35"/>
      <c r="M178" s="35"/>
      <c r="N178" s="35"/>
      <c r="O178" s="35"/>
      <c r="P178" s="35"/>
      <c r="Q178" s="35"/>
      <c r="R178" s="35"/>
      <c r="S178" s="35"/>
      <c r="T178" s="35"/>
    </row>
    <row r="179" spans="2:20" ht="15" hidden="1" customHeight="1" outlineLevel="1">
      <c r="B179" s="130"/>
      <c r="C179" s="234" t="str">
        <f>P14</f>
        <v>FY2 PE</v>
      </c>
      <c r="D179" s="134"/>
      <c r="E179" s="131"/>
      <c r="F179" s="131"/>
      <c r="G179" s="131"/>
      <c r="H179" s="131"/>
      <c r="I179" s="131"/>
      <c r="J179" s="131"/>
      <c r="K179" s="133"/>
      <c r="L179" s="35"/>
      <c r="M179" s="35"/>
      <c r="N179" s="35"/>
      <c r="O179" s="35"/>
      <c r="P179" s="35"/>
      <c r="Q179" s="35"/>
      <c r="R179" s="35"/>
      <c r="S179" s="35"/>
      <c r="T179" s="35"/>
    </row>
    <row r="180" spans="2:20" ht="15" hidden="1" customHeight="1" outlineLevel="1">
      <c r="B180" s="130"/>
      <c r="C180" s="234" t="str">
        <f>P17</f>
        <v>NTM PE</v>
      </c>
      <c r="D180" s="134"/>
      <c r="E180" s="131"/>
      <c r="F180" s="131"/>
      <c r="G180" s="131"/>
      <c r="H180" s="131"/>
      <c r="I180" s="131"/>
      <c r="J180" s="131"/>
      <c r="K180" s="133"/>
      <c r="L180" s="35"/>
      <c r="M180" s="35"/>
      <c r="N180" s="35"/>
      <c r="O180" s="35"/>
      <c r="P180" s="35"/>
      <c r="Q180" s="35"/>
      <c r="R180" s="35"/>
      <c r="S180" s="35"/>
      <c r="T180" s="35"/>
    </row>
    <row r="181" spans="2:20" ht="15" hidden="1" customHeight="1" outlineLevel="1">
      <c r="B181" s="130"/>
      <c r="C181" s="235">
        <v>3</v>
      </c>
      <c r="D181" s="134"/>
      <c r="E181" s="131"/>
      <c r="F181" s="131"/>
      <c r="G181" s="131"/>
      <c r="H181" s="131"/>
      <c r="I181" s="131"/>
      <c r="J181" s="131"/>
      <c r="K181" s="133"/>
      <c r="L181" s="35"/>
      <c r="M181" s="35"/>
      <c r="N181" s="35"/>
      <c r="O181" s="35"/>
      <c r="P181" s="35"/>
      <c r="Q181" s="35"/>
      <c r="R181" s="35"/>
      <c r="S181" s="35"/>
      <c r="T181" s="35"/>
    </row>
    <row r="182" spans="2:20" ht="15" hidden="1" customHeight="1" outlineLevel="1">
      <c r="B182" s="130"/>
      <c r="C182" s="131"/>
      <c r="D182" s="131"/>
      <c r="E182" s="131"/>
      <c r="F182" s="131"/>
      <c r="G182" s="131"/>
      <c r="H182" s="131"/>
      <c r="I182" s="131"/>
      <c r="J182" s="131"/>
      <c r="K182" s="133"/>
      <c r="L182" s="35"/>
      <c r="M182" s="35"/>
      <c r="N182" s="35"/>
      <c r="O182" s="35"/>
      <c r="P182" s="35"/>
      <c r="Q182" s="35"/>
      <c r="R182" s="35"/>
      <c r="S182" s="35"/>
      <c r="T182" s="35"/>
    </row>
    <row r="183" spans="2:20" ht="15" hidden="1" customHeight="1" outlineLevel="1">
      <c r="B183" s="130"/>
      <c r="C183" s="203" t="s">
        <v>97</v>
      </c>
      <c r="D183" s="203"/>
      <c r="E183" s="203"/>
      <c r="F183" s="131"/>
      <c r="G183" s="131"/>
      <c r="H183" s="131"/>
      <c r="I183" s="131"/>
      <c r="J183" s="131"/>
      <c r="K183" s="133"/>
      <c r="L183" s="35"/>
      <c r="M183" s="35"/>
      <c r="N183" s="35"/>
      <c r="O183" s="35"/>
      <c r="P183" s="35"/>
      <c r="Q183" s="35"/>
      <c r="R183" s="35"/>
      <c r="S183" s="35"/>
      <c r="T183" s="35"/>
    </row>
    <row r="184" spans="2:20" ht="15" hidden="1" customHeight="1" outlineLevel="1">
      <c r="B184" s="130"/>
      <c r="C184" s="203"/>
      <c r="D184" s="236" t="s">
        <v>98</v>
      </c>
      <c r="E184" s="236" t="s">
        <v>99</v>
      </c>
      <c r="F184" s="134"/>
      <c r="G184" s="131"/>
      <c r="H184" s="131"/>
      <c r="I184" s="131"/>
      <c r="J184" s="131"/>
      <c r="K184" s="133"/>
      <c r="L184" s="35"/>
      <c r="M184" s="35"/>
      <c r="N184" s="35"/>
      <c r="O184" s="35"/>
      <c r="P184" s="35"/>
      <c r="Q184" s="35"/>
      <c r="R184" s="35"/>
      <c r="S184" s="35"/>
      <c r="T184" s="35"/>
    </row>
    <row r="185" spans="2:20" ht="15" hidden="1" customHeight="1" outlineLevel="1">
      <c r="B185" s="130"/>
      <c r="C185" s="203"/>
      <c r="D185" s="237">
        <f>CEILING(_xll.FMAX(D189:D442),5)</f>
        <v>55</v>
      </c>
      <c r="E185" s="238">
        <f>IF(T166=2,CEILING(_xll.FMAX(F189:F442),500),CEILING(_xll.FMAX(F189:F442),5))</f>
        <v>40</v>
      </c>
      <c r="F185" s="134"/>
      <c r="G185" s="131"/>
      <c r="H185" s="131"/>
      <c r="I185" s="131"/>
      <c r="J185" s="131"/>
      <c r="K185" s="133"/>
      <c r="L185" s="35"/>
      <c r="M185" s="35"/>
      <c r="N185" s="35"/>
      <c r="O185" s="35"/>
      <c r="P185" s="35"/>
      <c r="Q185" s="35"/>
      <c r="R185" s="35"/>
      <c r="S185" s="35"/>
      <c r="T185" s="35"/>
    </row>
    <row r="186" spans="2:20" ht="15" hidden="1" customHeight="1" outlineLevel="1">
      <c r="B186" s="130"/>
      <c r="C186" s="203"/>
      <c r="D186" s="236" t="s">
        <v>100</v>
      </c>
      <c r="E186" s="236" t="s">
        <v>101</v>
      </c>
      <c r="F186" s="236"/>
      <c r="G186" s="131"/>
      <c r="H186" s="131"/>
      <c r="I186" s="131"/>
      <c r="J186" s="131"/>
      <c r="K186" s="133"/>
      <c r="L186" s="35"/>
      <c r="M186" s="35"/>
      <c r="N186" s="35"/>
      <c r="O186" s="35"/>
      <c r="P186" s="35"/>
      <c r="Q186" s="35"/>
      <c r="R186" s="35"/>
      <c r="S186" s="35"/>
      <c r="T186" s="35"/>
    </row>
    <row r="187" spans="2:20" ht="15" hidden="1" customHeight="1" outlineLevel="1">
      <c r="B187" s="130"/>
      <c r="C187" s="239"/>
      <c r="D187" s="237">
        <f>FLOOR(_xll.FMIN(D189:D442),5)</f>
        <v>35</v>
      </c>
      <c r="E187" s="238">
        <f>IF(T166=2,FLOOR(_xll.FMIN(F189:F442),500),FLOOR(_xll.FMIN(F189:F442),5))</f>
        <v>5</v>
      </c>
      <c r="F187" s="238"/>
      <c r="G187" s="134"/>
      <c r="H187" s="134"/>
      <c r="I187" s="134"/>
      <c r="J187" s="134"/>
      <c r="K187" s="133"/>
      <c r="L187" s="35"/>
      <c r="M187" s="35"/>
      <c r="N187" s="35"/>
      <c r="O187" s="35"/>
      <c r="P187" s="35"/>
      <c r="Q187" s="35"/>
      <c r="R187" s="35"/>
      <c r="S187" s="35"/>
      <c r="T187" s="35"/>
    </row>
    <row r="188" spans="2:20" ht="15" hidden="1" customHeight="1" outlineLevel="1">
      <c r="B188" s="130"/>
      <c r="C188" s="134" t="s">
        <v>102</v>
      </c>
      <c r="D188" s="240" t="s">
        <v>7</v>
      </c>
      <c r="E188" s="134" t="s">
        <v>103</v>
      </c>
      <c r="F188" s="134" t="s">
        <v>104</v>
      </c>
      <c r="G188" s="240" t="s">
        <v>105</v>
      </c>
      <c r="H188" s="134" t="str">
        <f>"(INDEX) Price "&amp;E188</f>
        <v>(INDEX) Price Relative</v>
      </c>
      <c r="I188" s="134"/>
      <c r="J188" s="75"/>
      <c r="K188" s="133"/>
      <c r="L188" s="35"/>
      <c r="M188" s="35"/>
      <c r="N188" s="35"/>
      <c r="O188" s="35"/>
      <c r="P188" s="35"/>
      <c r="Q188" s="35"/>
      <c r="R188" s="35"/>
      <c r="S188" s="35"/>
      <c r="T188" s="35"/>
    </row>
    <row r="189" spans="2:20" ht="15" hidden="1" customHeight="1" outlineLevel="1">
      <c r="B189" s="130"/>
      <c r="C189" s="241">
        <f t="array" ref="C189:C442">_xll.FDS(,"JULIAN(DATE_YYYYMMDD(0/0/-1, NOW, D))")</f>
        <v>44159</v>
      </c>
      <c r="D189" s="242">
        <f t="array" ref="D189:D442">_xll.FDS(Identifier,"FG_PRICE_ICS(0/0/-1,NOW,D,Local,SPLIT,0,,,5)")</f>
        <v>41.26</v>
      </c>
      <c r="E189" s="243" t="e" cm="1">
        <f t="array" ref="E189">_xll.FDS(Relative,"FG_PRICE_ICS(0/0/-1,NOW,D,Local,SPLIT,0,,,5)")</f>
        <v>#N/A</v>
      </c>
      <c r="F189" s="242">
        <f t="array" ref="F189:F442">_xll.FDS(Identifier,"FG_VOLUME(0/0/-1,NOW,D,SPLIT)")</f>
        <v>23.817969999999999</v>
      </c>
      <c r="G189" s="242">
        <f t="array" ref="G189:G442">_xll.FDS(Identifier,"REBASE(FG_PRICE_ICS(,,,Local,SPLIT,0,,,5), "&amp;D189&amp;", 0/0/-1) : 0/0/-1,NOW,D")</f>
        <v>41.26</v>
      </c>
      <c r="H189" s="242" t="e" cm="1">
        <f t="array" ref="H189">_xll.FDS(Relative,"REBASE(FG_PRICE_ICS(,,,Local,SPLIT,0,,,5), "&amp;D189&amp;", 0/0/-1) : 0/0/-1,NOW,D")</f>
        <v>#N/A</v>
      </c>
      <c r="I189" s="244"/>
      <c r="J189" s="244"/>
      <c r="K189" s="133"/>
      <c r="L189" s="35"/>
      <c r="M189" s="35"/>
      <c r="N189" s="35"/>
      <c r="O189" s="35"/>
      <c r="P189" s="35"/>
      <c r="Q189" s="35"/>
      <c r="R189" s="35"/>
      <c r="S189" s="35"/>
      <c r="T189" s="35"/>
    </row>
    <row r="190" spans="2:20" ht="15" hidden="1" customHeight="1" outlineLevel="1">
      <c r="B190" s="130"/>
      <c r="C190" s="241">
        <v>44160</v>
      </c>
      <c r="D190" s="242">
        <v>41.29</v>
      </c>
      <c r="E190" s="243"/>
      <c r="F190" s="242">
        <v>14.58887</v>
      </c>
      <c r="G190" s="242">
        <v>41.29</v>
      </c>
      <c r="H190" s="242"/>
      <c r="I190" s="244"/>
      <c r="J190" s="244"/>
      <c r="K190" s="133"/>
      <c r="L190" s="35"/>
      <c r="M190" s="35"/>
      <c r="N190" s="35"/>
      <c r="O190" s="35"/>
      <c r="P190" s="35"/>
      <c r="Q190" s="35"/>
      <c r="R190" s="35"/>
      <c r="S190" s="35"/>
      <c r="T190" s="35"/>
    </row>
    <row r="191" spans="2:20" ht="15" hidden="1" customHeight="1" outlineLevel="1">
      <c r="B191" s="130"/>
      <c r="C191" s="241">
        <v>44162</v>
      </c>
      <c r="D191" s="242">
        <v>41.06</v>
      </c>
      <c r="E191" s="243"/>
      <c r="F191" s="242">
        <v>10.51662</v>
      </c>
      <c r="G191" s="242">
        <v>41.06</v>
      </c>
      <c r="H191" s="242"/>
      <c r="I191" s="244"/>
      <c r="J191" s="244"/>
      <c r="K191" s="133"/>
      <c r="L191" s="35"/>
      <c r="M191" s="35"/>
      <c r="N191" s="35"/>
      <c r="O191" s="35"/>
      <c r="P191" s="35"/>
      <c r="Q191" s="35"/>
      <c r="R191" s="35"/>
      <c r="S191" s="35"/>
      <c r="T191" s="35"/>
    </row>
    <row r="192" spans="2:20" ht="15" hidden="1" customHeight="1" outlineLevel="1">
      <c r="B192" s="130"/>
      <c r="C192" s="241">
        <v>44165</v>
      </c>
      <c r="D192" s="242">
        <v>40.25</v>
      </c>
      <c r="E192" s="243"/>
      <c r="F192" s="242">
        <v>16.732620000000001</v>
      </c>
      <c r="G192" s="242">
        <v>40.25</v>
      </c>
      <c r="H192" s="242"/>
      <c r="I192" s="244"/>
      <c r="J192" s="244"/>
      <c r="K192" s="133"/>
      <c r="L192" s="35"/>
      <c r="M192" s="35"/>
      <c r="N192" s="35"/>
      <c r="O192" s="35"/>
      <c r="P192" s="35"/>
      <c r="Q192" s="35"/>
      <c r="R192" s="35"/>
      <c r="S192" s="35"/>
      <c r="T192" s="35"/>
    </row>
    <row r="193" spans="2:20" ht="15" hidden="1" customHeight="1" outlineLevel="1">
      <c r="B193" s="130"/>
      <c r="C193" s="241">
        <v>44166</v>
      </c>
      <c r="D193" s="242">
        <v>39.96</v>
      </c>
      <c r="E193" s="243"/>
      <c r="F193" s="242">
        <v>13.22363</v>
      </c>
      <c r="G193" s="242">
        <v>39.96</v>
      </c>
      <c r="H193" s="242"/>
      <c r="I193" s="244"/>
      <c r="J193" s="244"/>
      <c r="K193" s="133"/>
      <c r="L193" s="35"/>
      <c r="M193" s="35"/>
      <c r="N193" s="35"/>
      <c r="O193" s="35"/>
      <c r="P193" s="35"/>
      <c r="Q193" s="35"/>
      <c r="R193" s="35"/>
      <c r="S193" s="35"/>
      <c r="T193" s="35"/>
    </row>
    <row r="194" spans="2:20" ht="15" hidden="1" customHeight="1" outlineLevel="1">
      <c r="B194" s="130"/>
      <c r="C194" s="241">
        <v>44167</v>
      </c>
      <c r="D194" s="242">
        <v>41.07</v>
      </c>
      <c r="E194" s="243"/>
      <c r="F194" s="242">
        <v>12.93735</v>
      </c>
      <c r="G194" s="242">
        <v>41.07</v>
      </c>
      <c r="H194" s="242"/>
      <c r="I194" s="244"/>
      <c r="J194" s="244"/>
      <c r="K194" s="133"/>
      <c r="L194" s="35"/>
      <c r="M194" s="35"/>
      <c r="N194" s="35"/>
      <c r="O194" s="35"/>
      <c r="P194" s="35"/>
      <c r="Q194" s="35"/>
      <c r="R194" s="35"/>
      <c r="S194" s="35"/>
      <c r="T194" s="35"/>
    </row>
    <row r="195" spans="2:20" ht="15" hidden="1" customHeight="1" outlineLevel="1">
      <c r="B195" s="130"/>
      <c r="C195" s="241">
        <v>44168</v>
      </c>
      <c r="D195" s="242">
        <v>42.95</v>
      </c>
      <c r="E195" s="243"/>
      <c r="F195" s="242">
        <v>24.526759999999999</v>
      </c>
      <c r="G195" s="242">
        <v>42.95</v>
      </c>
      <c r="H195" s="242"/>
      <c r="I195" s="244"/>
      <c r="J195" s="244"/>
      <c r="K195" s="133"/>
      <c r="L195" s="35"/>
      <c r="M195" s="35"/>
      <c r="N195" s="35"/>
      <c r="O195" s="35"/>
      <c r="P195" s="35"/>
      <c r="Q195" s="35"/>
      <c r="R195" s="35"/>
      <c r="S195" s="35"/>
      <c r="T195" s="35"/>
    </row>
    <row r="196" spans="2:20" ht="15" hidden="1" customHeight="1" outlineLevel="1">
      <c r="B196" s="130"/>
      <c r="C196" s="241">
        <v>44169</v>
      </c>
      <c r="D196" s="242">
        <v>42.36</v>
      </c>
      <c r="E196" s="243"/>
      <c r="F196" s="242">
        <v>18.453379999999999</v>
      </c>
      <c r="G196" s="242">
        <v>42.36</v>
      </c>
      <c r="H196" s="242"/>
      <c r="I196" s="244"/>
      <c r="J196" s="244"/>
      <c r="K196" s="133"/>
      <c r="L196" s="35"/>
      <c r="M196" s="35"/>
      <c r="N196" s="35"/>
      <c r="O196" s="35"/>
      <c r="P196" s="35"/>
      <c r="Q196" s="35"/>
      <c r="R196" s="35"/>
      <c r="S196" s="35"/>
      <c r="T196" s="35"/>
    </row>
    <row r="197" spans="2:20" ht="15" hidden="1" customHeight="1" outlineLevel="1">
      <c r="B197" s="130"/>
      <c r="C197" s="241">
        <v>44172</v>
      </c>
      <c r="D197" s="242">
        <v>42.35</v>
      </c>
      <c r="E197" s="243"/>
      <c r="F197" s="242">
        <v>13.16911</v>
      </c>
      <c r="G197" s="242">
        <v>42.35</v>
      </c>
      <c r="H197" s="242"/>
      <c r="I197" s="244"/>
      <c r="J197" s="244"/>
      <c r="K197" s="133"/>
      <c r="L197" s="35"/>
      <c r="M197" s="35"/>
      <c r="N197" s="35"/>
      <c r="O197" s="35"/>
      <c r="P197" s="35"/>
      <c r="Q197" s="35"/>
      <c r="R197" s="35"/>
      <c r="S197" s="35"/>
      <c r="T197" s="35"/>
    </row>
    <row r="198" spans="2:20" ht="15" hidden="1" customHeight="1" outlineLevel="1">
      <c r="B198" s="130"/>
      <c r="C198" s="241">
        <v>44173</v>
      </c>
      <c r="D198" s="242">
        <v>42.41</v>
      </c>
      <c r="E198" s="243"/>
      <c r="F198" s="242">
        <v>11.530279999999999</v>
      </c>
      <c r="G198" s="242">
        <v>42.41</v>
      </c>
      <c r="H198" s="242"/>
      <c r="I198" s="244"/>
      <c r="J198" s="244"/>
      <c r="K198" s="133"/>
      <c r="L198" s="35"/>
      <c r="M198" s="35"/>
      <c r="N198" s="35"/>
      <c r="O198" s="35"/>
      <c r="P198" s="35"/>
      <c r="Q198" s="35"/>
      <c r="R198" s="35"/>
      <c r="S198" s="35"/>
      <c r="T198" s="35"/>
    </row>
    <row r="199" spans="2:20" ht="15" hidden="1" customHeight="1" outlineLevel="1">
      <c r="B199" s="130"/>
      <c r="C199" s="241">
        <v>44174</v>
      </c>
      <c r="D199" s="242">
        <v>42.11</v>
      </c>
      <c r="E199" s="243"/>
      <c r="F199" s="242">
        <v>16.348299999999998</v>
      </c>
      <c r="G199" s="242">
        <v>42.11</v>
      </c>
      <c r="H199" s="242"/>
      <c r="I199" s="244"/>
      <c r="J199" s="244"/>
      <c r="K199" s="133"/>
      <c r="L199" s="35"/>
      <c r="M199" s="35"/>
      <c r="N199" s="35"/>
      <c r="O199" s="35"/>
      <c r="P199" s="35"/>
      <c r="Q199" s="35"/>
      <c r="R199" s="35"/>
      <c r="S199" s="35"/>
      <c r="T199" s="35"/>
    </row>
    <row r="200" spans="2:20" ht="15" hidden="1" customHeight="1" outlineLevel="1">
      <c r="B200" s="130"/>
      <c r="C200" s="241">
        <v>44175</v>
      </c>
      <c r="D200" s="242">
        <v>42.62</v>
      </c>
      <c r="E200" s="243"/>
      <c r="F200" s="242">
        <v>10.68066</v>
      </c>
      <c r="G200" s="242">
        <v>42.62</v>
      </c>
      <c r="H200" s="242"/>
      <c r="I200" s="244"/>
      <c r="J200" s="244"/>
      <c r="K200" s="133"/>
      <c r="L200" s="35"/>
      <c r="M200" s="35"/>
      <c r="N200" s="35"/>
      <c r="O200" s="35"/>
      <c r="P200" s="35"/>
      <c r="Q200" s="35"/>
      <c r="R200" s="35"/>
      <c r="S200" s="35"/>
      <c r="T200" s="35"/>
    </row>
    <row r="201" spans="2:20" ht="15" hidden="1" customHeight="1" outlineLevel="1">
      <c r="B201" s="130"/>
      <c r="C201" s="241">
        <v>44176</v>
      </c>
      <c r="D201" s="242">
        <v>41.74</v>
      </c>
      <c r="E201" s="243"/>
      <c r="F201" s="242">
        <v>12.22311</v>
      </c>
      <c r="G201" s="242">
        <v>41.74</v>
      </c>
      <c r="H201" s="242"/>
      <c r="I201" s="244"/>
      <c r="J201" s="244"/>
      <c r="K201" s="133"/>
      <c r="L201" s="35"/>
      <c r="M201" s="35"/>
      <c r="N201" s="35"/>
      <c r="O201" s="35"/>
      <c r="P201" s="35"/>
      <c r="Q201" s="35"/>
      <c r="R201" s="35"/>
      <c r="S201" s="35"/>
      <c r="T201" s="35"/>
    </row>
    <row r="202" spans="2:20" ht="15" hidden="1" customHeight="1" outlineLevel="1">
      <c r="B202" s="130"/>
      <c r="C202" s="241">
        <v>44179</v>
      </c>
      <c r="D202" s="242">
        <v>40.69</v>
      </c>
      <c r="E202" s="243"/>
      <c r="F202" s="242">
        <v>12.44516</v>
      </c>
      <c r="G202" s="242">
        <v>40.69</v>
      </c>
      <c r="H202" s="242"/>
      <c r="I202" s="244"/>
      <c r="J202" s="244"/>
      <c r="K202" s="133"/>
      <c r="L202" s="35"/>
      <c r="M202" s="35"/>
      <c r="N202" s="35"/>
      <c r="O202" s="35"/>
      <c r="P202" s="35"/>
      <c r="Q202" s="35"/>
      <c r="R202" s="35"/>
      <c r="S202" s="35"/>
      <c r="T202" s="35"/>
    </row>
    <row r="203" spans="2:20" ht="15" hidden="1" customHeight="1" outlineLevel="1">
      <c r="B203" s="130"/>
      <c r="C203" s="241">
        <v>44180</v>
      </c>
      <c r="D203" s="242">
        <v>41.85</v>
      </c>
      <c r="E203" s="243"/>
      <c r="F203" s="242">
        <v>11.45377</v>
      </c>
      <c r="G203" s="242">
        <v>41.85</v>
      </c>
      <c r="H203" s="242"/>
      <c r="I203" s="244"/>
      <c r="J203" s="244"/>
      <c r="K203" s="133"/>
      <c r="L203" s="35"/>
      <c r="M203" s="35"/>
      <c r="N203" s="35"/>
      <c r="O203" s="35"/>
      <c r="P203" s="35"/>
      <c r="Q203" s="35"/>
      <c r="R203" s="35"/>
      <c r="S203" s="35"/>
      <c r="T203" s="35"/>
    </row>
    <row r="204" spans="2:20" ht="15" hidden="1" customHeight="1" outlineLevel="1">
      <c r="B204" s="130"/>
      <c r="C204" s="241">
        <v>44181</v>
      </c>
      <c r="D204" s="242">
        <v>41.08</v>
      </c>
      <c r="E204" s="243"/>
      <c r="F204" s="242">
        <v>11.010590000000001</v>
      </c>
      <c r="G204" s="242">
        <v>41.08</v>
      </c>
      <c r="H204" s="242"/>
      <c r="I204" s="244"/>
      <c r="J204" s="244"/>
      <c r="K204" s="133"/>
      <c r="L204" s="35"/>
      <c r="M204" s="35"/>
      <c r="N204" s="35"/>
      <c r="O204" s="35"/>
      <c r="P204" s="35"/>
      <c r="Q204" s="35"/>
      <c r="R204" s="35"/>
      <c r="S204" s="35"/>
      <c r="T204" s="35"/>
    </row>
    <row r="205" spans="2:20" ht="15" hidden="1" customHeight="1" outlineLevel="1">
      <c r="B205" s="130"/>
      <c r="C205" s="241">
        <v>44182</v>
      </c>
      <c r="D205" s="242">
        <v>41.11</v>
      </c>
      <c r="E205" s="243"/>
      <c r="F205" s="242">
        <v>9.6566770000000002</v>
      </c>
      <c r="G205" s="242">
        <v>41.11</v>
      </c>
      <c r="H205" s="242"/>
      <c r="I205" s="244"/>
      <c r="J205" s="244"/>
      <c r="K205" s="133"/>
      <c r="L205" s="35"/>
      <c r="M205" s="35"/>
      <c r="N205" s="35"/>
      <c r="O205" s="35"/>
      <c r="P205" s="35"/>
      <c r="Q205" s="35"/>
      <c r="R205" s="35"/>
      <c r="S205" s="35"/>
      <c r="T205" s="35"/>
    </row>
    <row r="206" spans="2:20" ht="15" hidden="1" customHeight="1" outlineLevel="1">
      <c r="B206" s="130"/>
      <c r="C206" s="241">
        <v>44183</v>
      </c>
      <c r="D206" s="242">
        <v>40.68</v>
      </c>
      <c r="E206" s="243"/>
      <c r="F206" s="242">
        <v>14.312419999999999</v>
      </c>
      <c r="G206" s="242">
        <v>40.68</v>
      </c>
      <c r="H206" s="242"/>
      <c r="I206" s="244"/>
      <c r="J206" s="244"/>
      <c r="K206" s="133"/>
      <c r="L206" s="35"/>
      <c r="M206" s="35"/>
      <c r="N206" s="35"/>
      <c r="O206" s="35"/>
      <c r="P206" s="35"/>
      <c r="Q206" s="35"/>
      <c r="R206" s="35"/>
      <c r="S206" s="35"/>
      <c r="T206" s="35"/>
    </row>
    <row r="207" spans="2:20" ht="15" hidden="1" customHeight="1" outlineLevel="1">
      <c r="B207" s="130"/>
      <c r="C207" s="241">
        <v>44186</v>
      </c>
      <c r="D207" s="242">
        <v>40.14</v>
      </c>
      <c r="E207" s="243"/>
      <c r="F207" s="242">
        <v>16.976839999999999</v>
      </c>
      <c r="G207" s="242">
        <v>40.14</v>
      </c>
      <c r="H207" s="242"/>
      <c r="I207" s="244"/>
      <c r="J207" s="244"/>
      <c r="K207" s="133"/>
      <c r="L207" s="35"/>
      <c r="M207" s="35"/>
      <c r="N207" s="35"/>
      <c r="O207" s="35"/>
      <c r="P207" s="35"/>
      <c r="Q207" s="35"/>
      <c r="R207" s="35"/>
      <c r="S207" s="35"/>
      <c r="T207" s="35"/>
    </row>
    <row r="208" spans="2:20" ht="15" hidden="1" customHeight="1" outlineLevel="1">
      <c r="B208" s="130"/>
      <c r="C208" s="241">
        <v>44187</v>
      </c>
      <c r="D208" s="242">
        <v>38.94</v>
      </c>
      <c r="E208" s="243"/>
      <c r="F208" s="242">
        <v>13.51998</v>
      </c>
      <c r="G208" s="242">
        <v>38.94</v>
      </c>
      <c r="H208" s="242"/>
      <c r="I208" s="244"/>
      <c r="J208" s="244"/>
      <c r="K208" s="133"/>
      <c r="L208" s="35"/>
      <c r="M208" s="35"/>
      <c r="N208" s="35"/>
      <c r="O208" s="35"/>
      <c r="P208" s="35"/>
      <c r="Q208" s="35"/>
      <c r="R208" s="35"/>
      <c r="S208" s="35"/>
      <c r="T208" s="35"/>
    </row>
    <row r="209" spans="2:20" ht="15" hidden="1" customHeight="1" outlineLevel="1">
      <c r="B209" s="130"/>
      <c r="C209" s="241">
        <v>44188</v>
      </c>
      <c r="D209" s="242">
        <v>40.24</v>
      </c>
      <c r="E209" s="243"/>
      <c r="F209" s="242">
        <v>12.65968</v>
      </c>
      <c r="G209" s="242">
        <v>40.24</v>
      </c>
      <c r="H209" s="242"/>
      <c r="I209" s="244"/>
      <c r="J209" s="244"/>
      <c r="K209" s="133"/>
      <c r="L209" s="35"/>
      <c r="M209" s="35"/>
      <c r="N209" s="35"/>
      <c r="O209" s="35"/>
      <c r="P209" s="35"/>
      <c r="Q209" s="35"/>
      <c r="R209" s="35"/>
      <c r="S209" s="35"/>
      <c r="T209" s="35"/>
    </row>
    <row r="210" spans="2:20" ht="15" hidden="1" customHeight="1" outlineLevel="1">
      <c r="B210" s="130"/>
      <c r="C210" s="241">
        <v>44189</v>
      </c>
      <c r="D210" s="242">
        <v>39.729999999999997</v>
      </c>
      <c r="E210" s="243"/>
      <c r="F210" s="242">
        <v>5.1764080000000003</v>
      </c>
      <c r="G210" s="242">
        <v>39.729999999999997</v>
      </c>
      <c r="H210" s="242"/>
      <c r="I210" s="244"/>
      <c r="J210" s="244"/>
      <c r="K210" s="133"/>
      <c r="L210" s="35"/>
      <c r="M210" s="35"/>
      <c r="N210" s="35"/>
      <c r="O210" s="35"/>
      <c r="P210" s="35"/>
      <c r="Q210" s="35"/>
      <c r="R210" s="35"/>
      <c r="S210" s="35"/>
      <c r="T210" s="35"/>
    </row>
    <row r="211" spans="2:20" ht="15" hidden="1" customHeight="1" outlineLevel="1">
      <c r="B211" s="130"/>
      <c r="C211" s="241">
        <v>44193</v>
      </c>
      <c r="D211" s="242">
        <v>40.15</v>
      </c>
      <c r="E211" s="243"/>
      <c r="F211" s="242">
        <v>10.65438</v>
      </c>
      <c r="G211" s="242">
        <v>40.15</v>
      </c>
      <c r="H211" s="242"/>
      <c r="I211" s="244"/>
      <c r="J211" s="244"/>
      <c r="K211" s="133"/>
      <c r="L211" s="35"/>
      <c r="M211" s="35"/>
      <c r="N211" s="35"/>
      <c r="O211" s="35"/>
      <c r="P211" s="35"/>
      <c r="Q211" s="35"/>
      <c r="R211" s="35"/>
      <c r="S211" s="35"/>
      <c r="T211" s="35"/>
    </row>
    <row r="212" spans="2:20" ht="15" hidden="1" customHeight="1" outlineLevel="1">
      <c r="B212" s="130"/>
      <c r="C212" s="241">
        <v>44194</v>
      </c>
      <c r="D212" s="242">
        <v>40.03</v>
      </c>
      <c r="E212" s="243"/>
      <c r="F212" s="242">
        <v>8.1428010000000004</v>
      </c>
      <c r="G212" s="242">
        <v>40.03</v>
      </c>
      <c r="H212" s="242"/>
      <c r="I212" s="244"/>
      <c r="J212" s="244"/>
      <c r="K212" s="133"/>
      <c r="L212" s="35"/>
      <c r="M212" s="35"/>
      <c r="N212" s="35"/>
      <c r="O212" s="35"/>
      <c r="P212" s="35"/>
      <c r="Q212" s="35"/>
      <c r="R212" s="35"/>
      <c r="S212" s="35"/>
      <c r="T212" s="35"/>
    </row>
    <row r="213" spans="2:20" ht="15" hidden="1" customHeight="1" outlineLevel="1">
      <c r="B213" s="130"/>
      <c r="C213" s="241">
        <v>44195</v>
      </c>
      <c r="D213" s="242">
        <v>40.56</v>
      </c>
      <c r="E213" s="243"/>
      <c r="F213" s="242">
        <v>8.5046320000000009</v>
      </c>
      <c r="G213" s="242">
        <v>40.56</v>
      </c>
      <c r="H213" s="242"/>
      <c r="I213" s="244"/>
      <c r="J213" s="244"/>
      <c r="K213" s="133"/>
      <c r="L213" s="35"/>
      <c r="M213" s="35"/>
      <c r="N213" s="35"/>
      <c r="O213" s="35"/>
      <c r="P213" s="35"/>
      <c r="Q213" s="35"/>
      <c r="R213" s="35"/>
      <c r="S213" s="35"/>
      <c r="T213" s="35"/>
    </row>
    <row r="214" spans="2:20" ht="15" hidden="1" customHeight="1" outlineLevel="1">
      <c r="B214" s="130"/>
      <c r="C214" s="241">
        <v>44196</v>
      </c>
      <c r="D214" s="242">
        <v>40.21</v>
      </c>
      <c r="E214" s="243"/>
      <c r="F214" s="242">
        <v>8.7057359999999999</v>
      </c>
      <c r="G214" s="242">
        <v>40.21</v>
      </c>
      <c r="H214" s="242"/>
      <c r="I214" s="244"/>
      <c r="J214" s="244"/>
      <c r="K214" s="133"/>
      <c r="L214" s="35"/>
      <c r="M214" s="35"/>
      <c r="N214" s="35"/>
      <c r="O214" s="35"/>
      <c r="P214" s="35"/>
      <c r="Q214" s="35"/>
      <c r="R214" s="35"/>
      <c r="S214" s="35"/>
      <c r="T214" s="35"/>
    </row>
    <row r="215" spans="2:20" ht="15" hidden="1" customHeight="1" outlineLevel="1">
      <c r="B215" s="130"/>
      <c r="C215" s="241">
        <v>44200</v>
      </c>
      <c r="D215" s="242">
        <v>38.729999999999997</v>
      </c>
      <c r="E215" s="243"/>
      <c r="F215" s="242">
        <v>15.12345</v>
      </c>
      <c r="G215" s="242">
        <v>38.729999999999997</v>
      </c>
      <c r="H215" s="242"/>
      <c r="I215" s="244"/>
      <c r="J215" s="244"/>
      <c r="K215" s="133"/>
      <c r="L215" s="35"/>
      <c r="M215" s="35"/>
      <c r="N215" s="35"/>
      <c r="O215" s="35"/>
      <c r="P215" s="35"/>
      <c r="Q215" s="35"/>
      <c r="R215" s="35"/>
      <c r="S215" s="35"/>
      <c r="T215" s="35"/>
    </row>
    <row r="216" spans="2:20" ht="15" hidden="1" customHeight="1" outlineLevel="1">
      <c r="B216" s="130"/>
      <c r="C216" s="241">
        <v>44201</v>
      </c>
      <c r="D216" s="242">
        <v>39.549999999999997</v>
      </c>
      <c r="E216" s="243"/>
      <c r="F216" s="242">
        <v>12.317220000000001</v>
      </c>
      <c r="G216" s="242">
        <v>39.549999999999997</v>
      </c>
      <c r="H216" s="242"/>
      <c r="I216" s="244"/>
      <c r="J216" s="244"/>
      <c r="K216" s="133"/>
      <c r="L216" s="35"/>
      <c r="M216" s="35"/>
      <c r="N216" s="35"/>
      <c r="O216" s="35"/>
      <c r="P216" s="35"/>
      <c r="Q216" s="35"/>
      <c r="R216" s="35"/>
      <c r="S216" s="35"/>
      <c r="T216" s="35"/>
    </row>
    <row r="217" spans="2:20" ht="15" hidden="1" customHeight="1" outlineLevel="1">
      <c r="B217" s="130"/>
      <c r="C217" s="241">
        <v>44202</v>
      </c>
      <c r="D217" s="242">
        <v>40.380000000000003</v>
      </c>
      <c r="E217" s="243"/>
      <c r="F217" s="242">
        <v>12.881080000000001</v>
      </c>
      <c r="G217" s="242">
        <v>40.380000000000003</v>
      </c>
      <c r="H217" s="242"/>
      <c r="I217" s="244"/>
      <c r="J217" s="244"/>
      <c r="K217" s="133"/>
      <c r="L217" s="35"/>
      <c r="M217" s="35"/>
      <c r="N217" s="35"/>
      <c r="O217" s="35"/>
      <c r="P217" s="35"/>
      <c r="Q217" s="35"/>
      <c r="R217" s="35"/>
      <c r="S217" s="35"/>
      <c r="T217" s="35"/>
    </row>
    <row r="218" spans="2:20" ht="15" hidden="1" customHeight="1" outlineLevel="1">
      <c r="B218" s="130"/>
      <c r="C218" s="241">
        <v>44203</v>
      </c>
      <c r="D218" s="242">
        <v>40.229999999999997</v>
      </c>
      <c r="E218" s="243"/>
      <c r="F218" s="242">
        <v>9.1362670000000001</v>
      </c>
      <c r="G218" s="242">
        <v>40.229999999999997</v>
      </c>
      <c r="H218" s="242"/>
      <c r="I218" s="244"/>
      <c r="J218" s="244"/>
      <c r="K218" s="133"/>
      <c r="L218" s="35"/>
      <c r="M218" s="35"/>
      <c r="N218" s="35"/>
      <c r="O218" s="35"/>
      <c r="P218" s="35"/>
      <c r="Q218" s="35"/>
      <c r="R218" s="35"/>
      <c r="S218" s="35"/>
      <c r="T218" s="35"/>
    </row>
    <row r="219" spans="2:20" ht="15" hidden="1" customHeight="1" outlineLevel="1">
      <c r="B219" s="130"/>
      <c r="C219" s="241">
        <v>44204</v>
      </c>
      <c r="D219" s="242">
        <v>40.020000000000003</v>
      </c>
      <c r="E219" s="243"/>
      <c r="F219" s="242">
        <v>9.4974670000000003</v>
      </c>
      <c r="G219" s="242">
        <v>40.020000000000003</v>
      </c>
      <c r="H219" s="242"/>
      <c r="I219" s="244"/>
      <c r="J219" s="244"/>
      <c r="K219" s="133"/>
      <c r="L219" s="35"/>
      <c r="M219" s="35"/>
      <c r="N219" s="35"/>
      <c r="O219" s="35"/>
      <c r="P219" s="35"/>
      <c r="Q219" s="35"/>
      <c r="R219" s="35"/>
      <c r="S219" s="35"/>
      <c r="T219" s="35"/>
    </row>
    <row r="220" spans="2:20" ht="15" hidden="1" customHeight="1" outlineLevel="1">
      <c r="B220" s="130"/>
      <c r="C220" s="241">
        <v>44207</v>
      </c>
      <c r="D220" s="242">
        <v>39.409999999999997</v>
      </c>
      <c r="E220" s="243"/>
      <c r="F220" s="242">
        <v>11.754899999999999</v>
      </c>
      <c r="G220" s="242">
        <v>39.409999999999997</v>
      </c>
      <c r="H220" s="242"/>
      <c r="I220" s="244"/>
      <c r="J220" s="244"/>
      <c r="K220" s="133"/>
      <c r="L220" s="35"/>
      <c r="M220" s="35"/>
      <c r="N220" s="35"/>
      <c r="O220" s="35"/>
      <c r="P220" s="35"/>
      <c r="Q220" s="35"/>
      <c r="R220" s="35"/>
      <c r="S220" s="35"/>
      <c r="T220" s="35"/>
    </row>
    <row r="221" spans="2:20" ht="15" hidden="1" customHeight="1" outlineLevel="1">
      <c r="B221" s="130"/>
      <c r="C221" s="241">
        <v>44208</v>
      </c>
      <c r="D221" s="242">
        <v>40.299999999999997</v>
      </c>
      <c r="E221" s="243"/>
      <c r="F221" s="242">
        <v>9.7250099999999993</v>
      </c>
      <c r="G221" s="242">
        <v>40.299999999999997</v>
      </c>
      <c r="H221" s="242"/>
      <c r="I221" s="244"/>
      <c r="J221" s="244"/>
      <c r="K221" s="133"/>
      <c r="L221" s="35"/>
      <c r="M221" s="35"/>
      <c r="N221" s="35"/>
      <c r="O221" s="35"/>
      <c r="P221" s="35"/>
      <c r="Q221" s="35"/>
      <c r="R221" s="35"/>
      <c r="S221" s="35"/>
      <c r="T221" s="35"/>
    </row>
    <row r="222" spans="2:20" ht="15" hidden="1" customHeight="1" outlineLevel="1">
      <c r="B222" s="130"/>
      <c r="C222" s="241">
        <v>44209</v>
      </c>
      <c r="D222" s="242">
        <v>40.450000000000003</v>
      </c>
      <c r="E222" s="243"/>
      <c r="F222" s="242">
        <v>10.85247</v>
      </c>
      <c r="G222" s="242">
        <v>40.450000000000003</v>
      </c>
      <c r="H222" s="242"/>
      <c r="I222" s="244"/>
      <c r="J222" s="244"/>
      <c r="K222" s="133"/>
      <c r="L222" s="35"/>
      <c r="M222" s="35"/>
      <c r="N222" s="35"/>
      <c r="O222" s="35"/>
      <c r="P222" s="35"/>
      <c r="Q222" s="35"/>
      <c r="R222" s="35"/>
      <c r="S222" s="35"/>
      <c r="T222" s="35"/>
    </row>
    <row r="223" spans="2:20" ht="15" hidden="1" customHeight="1" outlineLevel="1">
      <c r="B223" s="130"/>
      <c r="C223" s="241">
        <v>44210</v>
      </c>
      <c r="D223" s="242">
        <v>41.47</v>
      </c>
      <c r="E223" s="243"/>
      <c r="F223" s="242">
        <v>17.65831</v>
      </c>
      <c r="G223" s="242">
        <v>41.47</v>
      </c>
      <c r="H223" s="242"/>
      <c r="I223" s="244"/>
      <c r="J223" s="244"/>
      <c r="K223" s="133"/>
      <c r="L223" s="35"/>
      <c r="M223" s="35"/>
      <c r="N223" s="35"/>
      <c r="O223" s="35"/>
      <c r="P223" s="35"/>
      <c r="Q223" s="35"/>
      <c r="R223" s="35"/>
      <c r="S223" s="35"/>
      <c r="T223" s="35"/>
    </row>
    <row r="224" spans="2:20" ht="15" hidden="1" customHeight="1" outlineLevel="1">
      <c r="B224" s="130"/>
      <c r="C224" s="241">
        <v>44211</v>
      </c>
      <c r="D224" s="242">
        <v>39.979999999999997</v>
      </c>
      <c r="E224" s="243"/>
      <c r="F224" s="242">
        <v>15.465540000000001</v>
      </c>
      <c r="G224" s="242">
        <v>39.979999999999997</v>
      </c>
      <c r="H224" s="242"/>
      <c r="I224" s="244"/>
      <c r="J224" s="244"/>
      <c r="K224" s="133"/>
      <c r="L224" s="35"/>
      <c r="M224" s="35"/>
      <c r="N224" s="35"/>
      <c r="O224" s="35"/>
      <c r="P224" s="35"/>
      <c r="Q224" s="35"/>
      <c r="R224" s="35"/>
      <c r="S224" s="35"/>
      <c r="T224" s="35"/>
    </row>
    <row r="225" spans="2:20" ht="15" hidden="1" customHeight="1" outlineLevel="1">
      <c r="B225" s="130"/>
      <c r="C225" s="241">
        <v>44215</v>
      </c>
      <c r="D225" s="242">
        <v>40.31</v>
      </c>
      <c r="E225" s="243"/>
      <c r="F225" s="242">
        <v>11.53069</v>
      </c>
      <c r="G225" s="242">
        <v>40.31</v>
      </c>
      <c r="H225" s="242"/>
      <c r="I225" s="244"/>
      <c r="J225" s="244"/>
      <c r="K225" s="133"/>
      <c r="L225" s="35"/>
      <c r="M225" s="35"/>
      <c r="N225" s="35"/>
      <c r="O225" s="35"/>
      <c r="P225" s="35"/>
      <c r="Q225" s="35"/>
      <c r="R225" s="35"/>
      <c r="S225" s="35"/>
      <c r="T225" s="35"/>
    </row>
    <row r="226" spans="2:20" ht="15" hidden="1" customHeight="1" outlineLevel="1">
      <c r="B226" s="130"/>
      <c r="C226" s="241">
        <v>44216</v>
      </c>
      <c r="D226" s="242">
        <v>41.62</v>
      </c>
      <c r="E226" s="243"/>
      <c r="F226" s="242">
        <v>11.335699999999999</v>
      </c>
      <c r="G226" s="242">
        <v>41.62</v>
      </c>
      <c r="H226" s="242"/>
      <c r="I226" s="244"/>
      <c r="J226" s="244"/>
      <c r="K226" s="133"/>
      <c r="L226" s="35"/>
      <c r="M226" s="35"/>
      <c r="N226" s="35"/>
      <c r="O226" s="35"/>
      <c r="P226" s="35"/>
      <c r="Q226" s="35"/>
      <c r="R226" s="35"/>
      <c r="S226" s="35"/>
      <c r="T226" s="35"/>
    </row>
    <row r="227" spans="2:20" ht="15" hidden="1" customHeight="1" outlineLevel="1">
      <c r="B227" s="130"/>
      <c r="C227" s="241">
        <v>44217</v>
      </c>
      <c r="D227" s="242">
        <v>40.67</v>
      </c>
      <c r="E227" s="243"/>
      <c r="F227" s="242">
        <v>11.155110000000001</v>
      </c>
      <c r="G227" s="242">
        <v>40.67</v>
      </c>
      <c r="H227" s="242"/>
      <c r="I227" s="244"/>
      <c r="J227" s="244"/>
      <c r="K227" s="133"/>
      <c r="L227" s="35"/>
      <c r="M227" s="35"/>
      <c r="N227" s="35"/>
      <c r="O227" s="35"/>
      <c r="P227" s="35"/>
      <c r="Q227" s="35"/>
      <c r="R227" s="35"/>
      <c r="S227" s="35"/>
      <c r="T227" s="35"/>
    </row>
    <row r="228" spans="2:20" ht="15" hidden="1" customHeight="1" outlineLevel="1">
      <c r="B228" s="130"/>
      <c r="C228" s="241">
        <v>44218</v>
      </c>
      <c r="D228" s="242">
        <v>40</v>
      </c>
      <c r="E228" s="243"/>
      <c r="F228" s="242">
        <v>11.31006</v>
      </c>
      <c r="G228" s="242">
        <v>40</v>
      </c>
      <c r="H228" s="242"/>
      <c r="I228" s="244"/>
      <c r="J228" s="244"/>
      <c r="K228" s="133"/>
      <c r="L228" s="35"/>
      <c r="M228" s="35"/>
      <c r="N228" s="35"/>
      <c r="O228" s="35"/>
      <c r="P228" s="35"/>
      <c r="Q228" s="35"/>
      <c r="R228" s="35"/>
      <c r="S228" s="35"/>
      <c r="T228" s="35"/>
    </row>
    <row r="229" spans="2:20" ht="15" hidden="1" customHeight="1" outlineLevel="1">
      <c r="B229" s="130"/>
      <c r="C229" s="241">
        <v>44221</v>
      </c>
      <c r="D229" s="242">
        <v>38.9</v>
      </c>
      <c r="E229" s="243"/>
      <c r="F229" s="242">
        <v>15.9649</v>
      </c>
      <c r="G229" s="242">
        <v>38.9</v>
      </c>
      <c r="H229" s="242"/>
      <c r="I229" s="244"/>
      <c r="J229" s="244"/>
      <c r="K229" s="133"/>
      <c r="L229" s="35"/>
      <c r="M229" s="35"/>
      <c r="N229" s="35"/>
      <c r="O229" s="35"/>
      <c r="P229" s="35"/>
      <c r="Q229" s="35"/>
      <c r="R229" s="35"/>
      <c r="S229" s="35"/>
      <c r="T229" s="35"/>
    </row>
    <row r="230" spans="2:20" ht="15" hidden="1" customHeight="1" outlineLevel="1">
      <c r="B230" s="130"/>
      <c r="C230" s="241">
        <v>44222</v>
      </c>
      <c r="D230" s="242">
        <v>39.32</v>
      </c>
      <c r="E230" s="243"/>
      <c r="F230" s="242">
        <v>10.59937</v>
      </c>
      <c r="G230" s="242">
        <v>39.32</v>
      </c>
      <c r="H230" s="242"/>
      <c r="I230" s="244"/>
      <c r="J230" s="244"/>
      <c r="K230" s="133"/>
      <c r="L230" s="35"/>
      <c r="M230" s="35"/>
      <c r="N230" s="35"/>
      <c r="O230" s="35"/>
      <c r="P230" s="35"/>
      <c r="Q230" s="35"/>
      <c r="R230" s="35"/>
      <c r="S230" s="35"/>
      <c r="T230" s="35"/>
    </row>
    <row r="231" spans="2:20" ht="15" hidden="1" customHeight="1" outlineLevel="1">
      <c r="B231" s="130"/>
      <c r="C231" s="241">
        <v>44223</v>
      </c>
      <c r="D231" s="242">
        <v>38.520000000000003</v>
      </c>
      <c r="E231" s="243"/>
      <c r="F231" s="242">
        <v>16.953389999999999</v>
      </c>
      <c r="G231" s="242">
        <v>38.520000000000003</v>
      </c>
      <c r="H231" s="242"/>
      <c r="I231" s="244"/>
      <c r="J231" s="244"/>
      <c r="K231" s="133"/>
      <c r="L231" s="35"/>
      <c r="M231" s="35"/>
      <c r="N231" s="35"/>
      <c r="O231" s="35"/>
      <c r="P231" s="35"/>
      <c r="Q231" s="35"/>
      <c r="R231" s="35"/>
      <c r="S231" s="35"/>
      <c r="T231" s="35"/>
    </row>
    <row r="232" spans="2:20" ht="15" hidden="1" customHeight="1" outlineLevel="1">
      <c r="B232" s="130"/>
      <c r="C232" s="241">
        <v>44224</v>
      </c>
      <c r="D232" s="242">
        <v>40.08</v>
      </c>
      <c r="E232" s="243"/>
      <c r="F232" s="242">
        <v>21.65401</v>
      </c>
      <c r="G232" s="242">
        <v>40.08</v>
      </c>
      <c r="H232" s="242"/>
      <c r="I232" s="244"/>
      <c r="J232" s="244"/>
      <c r="K232" s="133"/>
      <c r="L232" s="35"/>
      <c r="M232" s="35"/>
      <c r="N232" s="35"/>
      <c r="O232" s="35"/>
      <c r="P232" s="35"/>
      <c r="Q232" s="35"/>
      <c r="R232" s="35"/>
      <c r="S232" s="35"/>
      <c r="T232" s="35"/>
    </row>
    <row r="233" spans="2:20" ht="15" hidden="1" customHeight="1" outlineLevel="1">
      <c r="B233" s="130"/>
      <c r="C233" s="241">
        <v>44225</v>
      </c>
      <c r="D233" s="242">
        <v>37.96</v>
      </c>
      <c r="E233" s="243"/>
      <c r="F233" s="242">
        <v>17.989709999999999</v>
      </c>
      <c r="G233" s="242">
        <v>37.96</v>
      </c>
      <c r="H233" s="242"/>
      <c r="I233" s="244"/>
      <c r="J233" s="244"/>
      <c r="K233" s="133"/>
      <c r="L233" s="35"/>
      <c r="M233" s="35"/>
      <c r="N233" s="35"/>
      <c r="O233" s="35"/>
      <c r="P233" s="35"/>
      <c r="Q233" s="35"/>
      <c r="R233" s="35"/>
      <c r="S233" s="35"/>
      <c r="T233" s="35"/>
    </row>
    <row r="234" spans="2:20" ht="15" hidden="1" customHeight="1" outlineLevel="1">
      <c r="B234" s="130"/>
      <c r="C234" s="241">
        <v>44228</v>
      </c>
      <c r="D234" s="242">
        <v>37.82</v>
      </c>
      <c r="E234" s="243"/>
      <c r="F234" s="242">
        <v>10.332929999999999</v>
      </c>
      <c r="G234" s="242">
        <v>37.82</v>
      </c>
      <c r="H234" s="242"/>
      <c r="I234" s="244"/>
      <c r="J234" s="244"/>
      <c r="K234" s="133"/>
      <c r="L234" s="35"/>
      <c r="M234" s="35"/>
      <c r="N234" s="35"/>
      <c r="O234" s="35"/>
      <c r="P234" s="35"/>
      <c r="Q234" s="35"/>
      <c r="R234" s="35"/>
      <c r="S234" s="35"/>
      <c r="T234" s="35"/>
    </row>
    <row r="235" spans="2:20" ht="15" hidden="1" customHeight="1" outlineLevel="1">
      <c r="B235" s="130"/>
      <c r="C235" s="241">
        <v>44229</v>
      </c>
      <c r="D235" s="242">
        <v>38.799999999999997</v>
      </c>
      <c r="E235" s="243"/>
      <c r="F235" s="242">
        <v>11.85426</v>
      </c>
      <c r="G235" s="242">
        <v>38.799999999999997</v>
      </c>
      <c r="H235" s="242"/>
      <c r="I235" s="244"/>
      <c r="J235" s="244"/>
      <c r="K235" s="133"/>
      <c r="L235" s="35"/>
      <c r="M235" s="35"/>
      <c r="N235" s="35"/>
      <c r="O235" s="35"/>
      <c r="P235" s="35"/>
      <c r="Q235" s="35"/>
      <c r="R235" s="35"/>
      <c r="S235" s="35"/>
      <c r="T235" s="35"/>
    </row>
    <row r="236" spans="2:20" ht="15" hidden="1" customHeight="1" outlineLevel="1">
      <c r="B236" s="130"/>
      <c r="C236" s="241">
        <v>44230</v>
      </c>
      <c r="D236" s="242">
        <v>39.78</v>
      </c>
      <c r="E236" s="243"/>
      <c r="F236" s="242">
        <v>12.41597</v>
      </c>
      <c r="G236" s="242">
        <v>39.78</v>
      </c>
      <c r="H236" s="242"/>
      <c r="I236" s="244"/>
      <c r="J236" s="244"/>
      <c r="K236" s="133"/>
      <c r="L236" s="35"/>
      <c r="M236" s="35"/>
      <c r="N236" s="35"/>
      <c r="O236" s="35"/>
      <c r="P236" s="35"/>
      <c r="Q236" s="35"/>
      <c r="R236" s="35"/>
      <c r="S236" s="35"/>
      <c r="T236" s="35"/>
    </row>
    <row r="237" spans="2:20" ht="15" hidden="1" customHeight="1" outlineLevel="1">
      <c r="B237" s="130"/>
      <c r="C237" s="241">
        <v>44231</v>
      </c>
      <c r="D237" s="242">
        <v>40.93</v>
      </c>
      <c r="E237" s="243"/>
      <c r="F237" s="242">
        <v>11.431800000000001</v>
      </c>
      <c r="G237" s="242">
        <v>40.93</v>
      </c>
      <c r="H237" s="242"/>
      <c r="I237" s="244"/>
      <c r="J237" s="244"/>
      <c r="K237" s="133"/>
      <c r="L237" s="35"/>
      <c r="M237" s="35"/>
      <c r="N237" s="35"/>
      <c r="O237" s="35"/>
      <c r="P237" s="35"/>
      <c r="Q237" s="35"/>
      <c r="R237" s="35"/>
      <c r="S237" s="35"/>
      <c r="T237" s="35"/>
    </row>
    <row r="238" spans="2:20" ht="15" hidden="1" customHeight="1" outlineLevel="1">
      <c r="B238" s="130"/>
      <c r="C238" s="241">
        <v>44232</v>
      </c>
      <c r="D238" s="242">
        <v>41.15</v>
      </c>
      <c r="E238" s="243"/>
      <c r="F238" s="242">
        <v>10.111940000000001</v>
      </c>
      <c r="G238" s="242">
        <v>41.15</v>
      </c>
      <c r="H238" s="242"/>
      <c r="I238" s="244"/>
      <c r="J238" s="244"/>
      <c r="K238" s="133"/>
      <c r="L238" s="35"/>
      <c r="M238" s="35"/>
      <c r="N238" s="35"/>
      <c r="O238" s="35"/>
      <c r="P238" s="35"/>
      <c r="Q238" s="35"/>
      <c r="R238" s="35"/>
      <c r="S238" s="35"/>
      <c r="T238" s="35"/>
    </row>
    <row r="239" spans="2:20" ht="15" hidden="1" customHeight="1" outlineLevel="1">
      <c r="B239" s="130"/>
      <c r="C239" s="241">
        <v>44235</v>
      </c>
      <c r="D239" s="242">
        <v>43.24</v>
      </c>
      <c r="E239" s="243"/>
      <c r="F239" s="242">
        <v>18.296299999999999</v>
      </c>
      <c r="G239" s="242">
        <v>43.24</v>
      </c>
      <c r="H239" s="242"/>
      <c r="I239" s="244"/>
      <c r="J239" s="244"/>
      <c r="K239" s="133"/>
      <c r="L239" s="35"/>
      <c r="M239" s="35"/>
      <c r="N239" s="35"/>
      <c r="O239" s="35"/>
      <c r="P239" s="35"/>
      <c r="Q239" s="35"/>
      <c r="R239" s="35"/>
      <c r="S239" s="35"/>
      <c r="T239" s="35"/>
    </row>
    <row r="240" spans="2:20" ht="15" hidden="1" customHeight="1" outlineLevel="1">
      <c r="B240" s="130"/>
      <c r="C240" s="241">
        <v>44236</v>
      </c>
      <c r="D240" s="242">
        <v>42.51</v>
      </c>
      <c r="E240" s="243"/>
      <c r="F240" s="242">
        <v>10.43207</v>
      </c>
      <c r="G240" s="242">
        <v>42.51</v>
      </c>
      <c r="H240" s="242"/>
      <c r="I240" s="244"/>
      <c r="J240" s="244"/>
      <c r="K240" s="133"/>
      <c r="L240" s="35"/>
      <c r="M240" s="35"/>
      <c r="N240" s="35"/>
      <c r="O240" s="35"/>
      <c r="P240" s="35"/>
      <c r="Q240" s="35"/>
      <c r="R240" s="35"/>
      <c r="S240" s="35"/>
      <c r="T240" s="35"/>
    </row>
    <row r="241" spans="2:20" ht="15" hidden="1" customHeight="1" outlineLevel="1">
      <c r="B241" s="130"/>
      <c r="C241" s="241">
        <v>44237</v>
      </c>
      <c r="D241" s="242">
        <v>42.9</v>
      </c>
      <c r="E241" s="243"/>
      <c r="F241" s="242">
        <v>12.011060000000001</v>
      </c>
      <c r="G241" s="242">
        <v>42.9</v>
      </c>
      <c r="H241" s="242"/>
      <c r="I241" s="244"/>
      <c r="J241" s="244"/>
      <c r="K241" s="133"/>
      <c r="L241" s="35"/>
      <c r="M241" s="35"/>
      <c r="N241" s="35"/>
      <c r="O241" s="35"/>
      <c r="P241" s="35"/>
      <c r="Q241" s="35"/>
      <c r="R241" s="35"/>
      <c r="S241" s="35"/>
      <c r="T241" s="35"/>
    </row>
    <row r="242" spans="2:20" ht="15" hidden="1" customHeight="1" outlineLevel="1">
      <c r="B242" s="130"/>
      <c r="C242" s="241">
        <v>44238</v>
      </c>
      <c r="D242" s="242">
        <v>42.72</v>
      </c>
      <c r="E242" s="243"/>
      <c r="F242" s="242">
        <v>8.5491810000000008</v>
      </c>
      <c r="G242" s="242">
        <v>42.72</v>
      </c>
      <c r="H242" s="242"/>
      <c r="I242" s="244"/>
      <c r="J242" s="244"/>
      <c r="K242" s="133"/>
      <c r="L242" s="35"/>
      <c r="M242" s="35"/>
      <c r="N242" s="35"/>
      <c r="O242" s="35"/>
      <c r="P242" s="35"/>
      <c r="Q242" s="35"/>
      <c r="R242" s="35"/>
      <c r="S242" s="35"/>
      <c r="T242" s="35"/>
    </row>
    <row r="243" spans="2:20" ht="15" hidden="1" customHeight="1" outlineLevel="1">
      <c r="B243" s="130"/>
      <c r="C243" s="241">
        <v>44239</v>
      </c>
      <c r="D243" s="242">
        <v>43.29</v>
      </c>
      <c r="E243" s="243"/>
      <c r="F243" s="242">
        <v>11.49011</v>
      </c>
      <c r="G243" s="242">
        <v>43.29</v>
      </c>
      <c r="H243" s="242"/>
      <c r="I243" s="244"/>
      <c r="J243" s="244"/>
      <c r="K243" s="133"/>
      <c r="L243" s="35"/>
      <c r="M243" s="35"/>
      <c r="N243" s="35"/>
      <c r="O243" s="35"/>
      <c r="P243" s="35"/>
      <c r="Q243" s="35"/>
      <c r="R243" s="35"/>
      <c r="S243" s="35"/>
      <c r="T243" s="35"/>
    </row>
    <row r="244" spans="2:20" ht="15" hidden="1" customHeight="1" outlineLevel="1">
      <c r="B244" s="130"/>
      <c r="C244" s="241">
        <v>44243</v>
      </c>
      <c r="D244" s="242">
        <v>44.65</v>
      </c>
      <c r="E244" s="243"/>
      <c r="F244" s="242">
        <v>13.77548</v>
      </c>
      <c r="G244" s="242">
        <v>44.65</v>
      </c>
      <c r="H244" s="242"/>
      <c r="I244" s="244"/>
      <c r="J244" s="244"/>
      <c r="K244" s="133"/>
      <c r="L244" s="35"/>
      <c r="M244" s="35"/>
      <c r="N244" s="35"/>
      <c r="O244" s="35"/>
      <c r="P244" s="35"/>
      <c r="Q244" s="35"/>
      <c r="R244" s="35"/>
      <c r="S244" s="35"/>
      <c r="T244" s="35"/>
    </row>
    <row r="245" spans="2:20" ht="15" hidden="1" customHeight="1" outlineLevel="1">
      <c r="B245" s="130"/>
      <c r="C245" s="241">
        <v>44244</v>
      </c>
      <c r="D245" s="242">
        <v>44.39</v>
      </c>
      <c r="E245" s="243"/>
      <c r="F245" s="242">
        <v>10.945650000000001</v>
      </c>
      <c r="G245" s="242">
        <v>44.39</v>
      </c>
      <c r="H245" s="242"/>
      <c r="I245" s="244"/>
      <c r="J245" s="244"/>
      <c r="K245" s="133"/>
      <c r="L245" s="35"/>
      <c r="M245" s="35"/>
      <c r="N245" s="35"/>
      <c r="O245" s="35"/>
      <c r="P245" s="35"/>
      <c r="Q245" s="35"/>
      <c r="R245" s="35"/>
      <c r="S245" s="35"/>
      <c r="T245" s="35"/>
    </row>
    <row r="246" spans="2:20" ht="15" hidden="1" customHeight="1" outlineLevel="1">
      <c r="B246" s="130"/>
      <c r="C246" s="241">
        <v>44245</v>
      </c>
      <c r="D246" s="242">
        <v>44.38</v>
      </c>
      <c r="E246" s="243"/>
      <c r="F246" s="242">
        <v>8.7562660000000001</v>
      </c>
      <c r="G246" s="242">
        <v>44.38</v>
      </c>
      <c r="H246" s="242"/>
      <c r="I246" s="244"/>
      <c r="J246" s="244"/>
      <c r="K246" s="133"/>
      <c r="L246" s="35"/>
      <c r="M246" s="35"/>
      <c r="N246" s="35"/>
      <c r="O246" s="35"/>
      <c r="P246" s="35"/>
      <c r="Q246" s="35"/>
      <c r="R246" s="35"/>
      <c r="S246" s="35"/>
      <c r="T246" s="35"/>
    </row>
    <row r="247" spans="2:20" ht="15" hidden="1" customHeight="1" outlineLevel="1">
      <c r="B247" s="130"/>
      <c r="C247" s="241">
        <v>44246</v>
      </c>
      <c r="D247" s="242">
        <v>45.67</v>
      </c>
      <c r="E247" s="243"/>
      <c r="F247" s="242">
        <v>14.587719999999999</v>
      </c>
      <c r="G247" s="242">
        <v>45.67</v>
      </c>
      <c r="H247" s="242"/>
      <c r="I247" s="244"/>
      <c r="J247" s="244"/>
      <c r="K247" s="133"/>
      <c r="L247" s="35"/>
      <c r="M247" s="35"/>
      <c r="N247" s="35"/>
      <c r="O247" s="35"/>
      <c r="P247" s="35"/>
      <c r="Q247" s="35"/>
      <c r="R247" s="35"/>
      <c r="S247" s="35"/>
      <c r="T247" s="35"/>
    </row>
    <row r="248" spans="2:20" ht="15" hidden="1" customHeight="1" outlineLevel="1">
      <c r="B248" s="130"/>
      <c r="C248" s="241">
        <v>44249</v>
      </c>
      <c r="D248" s="242">
        <v>47.74</v>
      </c>
      <c r="E248" s="243"/>
      <c r="F248" s="242">
        <v>21.573509999999999</v>
      </c>
      <c r="G248" s="242">
        <v>47.74</v>
      </c>
      <c r="H248" s="242"/>
      <c r="I248" s="244"/>
      <c r="J248" s="244"/>
      <c r="K248" s="133"/>
      <c r="L248" s="35"/>
      <c r="M248" s="35"/>
      <c r="N248" s="35"/>
      <c r="O248" s="35"/>
      <c r="P248" s="35"/>
      <c r="Q248" s="35"/>
      <c r="R248" s="35"/>
      <c r="S248" s="35"/>
      <c r="T248" s="35"/>
    </row>
    <row r="249" spans="2:20" ht="15" hidden="1" customHeight="1" outlineLevel="1">
      <c r="B249" s="130"/>
      <c r="C249" s="241">
        <v>44250</v>
      </c>
      <c r="D249" s="242">
        <v>48.34</v>
      </c>
      <c r="E249" s="243"/>
      <c r="F249" s="242">
        <v>19.19379</v>
      </c>
      <c r="G249" s="242">
        <v>48.34</v>
      </c>
      <c r="H249" s="242"/>
      <c r="I249" s="244"/>
      <c r="J249" s="244"/>
      <c r="K249" s="133"/>
      <c r="L249" s="35"/>
      <c r="M249" s="35"/>
      <c r="N249" s="35"/>
      <c r="O249" s="35"/>
      <c r="P249" s="35"/>
      <c r="Q249" s="35"/>
      <c r="R249" s="35"/>
      <c r="S249" s="35"/>
      <c r="T249" s="35"/>
    </row>
    <row r="250" spans="2:20" ht="15" hidden="1" customHeight="1" outlineLevel="1">
      <c r="B250" s="130"/>
      <c r="C250" s="241">
        <v>44251</v>
      </c>
      <c r="D250" s="242">
        <v>49.6</v>
      </c>
      <c r="E250" s="243"/>
      <c r="F250" s="242">
        <v>17.020900000000001</v>
      </c>
      <c r="G250" s="242">
        <v>49.6</v>
      </c>
      <c r="H250" s="242"/>
      <c r="I250" s="244"/>
      <c r="J250" s="244"/>
      <c r="K250" s="133"/>
      <c r="L250" s="35"/>
      <c r="M250" s="35"/>
      <c r="N250" s="35"/>
      <c r="O250" s="35"/>
      <c r="P250" s="35"/>
      <c r="Q250" s="35"/>
      <c r="R250" s="35"/>
      <c r="S250" s="35"/>
      <c r="T250" s="35"/>
    </row>
    <row r="251" spans="2:20" ht="15" hidden="1" customHeight="1" outlineLevel="1">
      <c r="B251" s="130"/>
      <c r="C251" s="241">
        <v>44252</v>
      </c>
      <c r="D251" s="242">
        <v>48.25</v>
      </c>
      <c r="E251" s="243"/>
      <c r="F251" s="242">
        <v>15.72978</v>
      </c>
      <c r="G251" s="242">
        <v>48.25</v>
      </c>
      <c r="H251" s="242"/>
      <c r="I251" s="244"/>
      <c r="J251" s="244"/>
      <c r="K251" s="133"/>
      <c r="L251" s="35"/>
      <c r="M251" s="35"/>
      <c r="N251" s="35"/>
      <c r="O251" s="35"/>
      <c r="P251" s="35"/>
      <c r="Q251" s="35"/>
      <c r="R251" s="35"/>
      <c r="S251" s="35"/>
      <c r="T251" s="35"/>
    </row>
    <row r="252" spans="2:20" ht="15" hidden="1" customHeight="1" outlineLevel="1">
      <c r="B252" s="130"/>
      <c r="C252" s="241">
        <v>44253</v>
      </c>
      <c r="D252" s="242">
        <v>47.94</v>
      </c>
      <c r="E252" s="243"/>
      <c r="F252" s="242">
        <v>14.82802</v>
      </c>
      <c r="G252" s="242">
        <v>47.94</v>
      </c>
      <c r="H252" s="242"/>
      <c r="I252" s="244"/>
      <c r="J252" s="244"/>
      <c r="K252" s="133"/>
      <c r="L252" s="35"/>
      <c r="M252" s="35"/>
      <c r="N252" s="35"/>
      <c r="O252" s="35"/>
      <c r="P252" s="35"/>
      <c r="Q252" s="35"/>
      <c r="R252" s="35"/>
      <c r="S252" s="35"/>
      <c r="T252" s="35"/>
    </row>
    <row r="253" spans="2:20" ht="15" hidden="1" customHeight="1" outlineLevel="1">
      <c r="B253" s="130"/>
      <c r="C253" s="241">
        <v>44256</v>
      </c>
      <c r="D253" s="242">
        <v>48.06</v>
      </c>
      <c r="E253" s="243"/>
      <c r="F253" s="242">
        <v>13.81292</v>
      </c>
      <c r="G253" s="242">
        <v>48.06</v>
      </c>
      <c r="H253" s="242"/>
      <c r="I253" s="244"/>
      <c r="J253" s="244"/>
      <c r="K253" s="133"/>
      <c r="L253" s="35"/>
      <c r="M253" s="35"/>
      <c r="N253" s="35"/>
      <c r="O253" s="35"/>
      <c r="P253" s="35"/>
      <c r="Q253" s="35"/>
      <c r="R253" s="35"/>
      <c r="S253" s="35"/>
      <c r="T253" s="35"/>
    </row>
    <row r="254" spans="2:20" ht="15" hidden="1" customHeight="1" outlineLevel="1">
      <c r="B254" s="130"/>
      <c r="C254" s="241">
        <v>44257</v>
      </c>
      <c r="D254" s="242">
        <v>48.23</v>
      </c>
      <c r="E254" s="243"/>
      <c r="F254" s="242">
        <v>11.566750000000001</v>
      </c>
      <c r="G254" s="242">
        <v>48.23</v>
      </c>
      <c r="H254" s="242"/>
      <c r="I254" s="244"/>
      <c r="J254" s="244"/>
      <c r="K254" s="133"/>
      <c r="L254" s="35"/>
      <c r="M254" s="35"/>
      <c r="N254" s="35"/>
      <c r="O254" s="35"/>
      <c r="P254" s="35"/>
      <c r="Q254" s="35"/>
      <c r="R254" s="35"/>
      <c r="S254" s="35"/>
      <c r="T254" s="35"/>
    </row>
    <row r="255" spans="2:20" ht="15" hidden="1" customHeight="1" outlineLevel="1">
      <c r="B255" s="130"/>
      <c r="C255" s="241">
        <v>44258</v>
      </c>
      <c r="D255" s="242">
        <v>48.35</v>
      </c>
      <c r="E255" s="243"/>
      <c r="F255" s="242">
        <v>13.64268</v>
      </c>
      <c r="G255" s="242">
        <v>48.35</v>
      </c>
      <c r="H255" s="242"/>
      <c r="I255" s="244"/>
      <c r="J255" s="244"/>
      <c r="K255" s="133"/>
      <c r="L255" s="35"/>
      <c r="M255" s="35"/>
      <c r="N255" s="35"/>
      <c r="O255" s="35"/>
      <c r="P255" s="35"/>
      <c r="Q255" s="35"/>
      <c r="R255" s="35"/>
      <c r="S255" s="35"/>
      <c r="T255" s="35"/>
    </row>
    <row r="256" spans="2:20" ht="15" hidden="1" customHeight="1" outlineLevel="1">
      <c r="B256" s="130"/>
      <c r="C256" s="241">
        <v>44259</v>
      </c>
      <c r="D256" s="242">
        <v>46.96</v>
      </c>
      <c r="E256" s="243"/>
      <c r="F256" s="242">
        <v>18.062480000000001</v>
      </c>
      <c r="G256" s="242">
        <v>46.96</v>
      </c>
      <c r="H256" s="242"/>
      <c r="I256" s="244"/>
      <c r="J256" s="244"/>
      <c r="K256" s="133"/>
      <c r="L256" s="35"/>
      <c r="M256" s="35"/>
      <c r="N256" s="35"/>
      <c r="O256" s="35"/>
      <c r="P256" s="35"/>
      <c r="Q256" s="35"/>
      <c r="R256" s="35"/>
      <c r="S256" s="35"/>
      <c r="T256" s="35"/>
    </row>
    <row r="257" spans="2:20" ht="15" hidden="1" customHeight="1" outlineLevel="1">
      <c r="B257" s="130"/>
      <c r="C257" s="241">
        <v>44260</v>
      </c>
      <c r="D257" s="242">
        <v>46.21</v>
      </c>
      <c r="E257" s="243"/>
      <c r="F257" s="242">
        <v>20.611789999999999</v>
      </c>
      <c r="G257" s="242">
        <v>46.21</v>
      </c>
      <c r="H257" s="242"/>
      <c r="I257" s="244"/>
      <c r="J257" s="244"/>
      <c r="K257" s="133"/>
      <c r="L257" s="35"/>
      <c r="M257" s="35"/>
      <c r="N257" s="35"/>
      <c r="O257" s="35"/>
      <c r="P257" s="35"/>
      <c r="Q257" s="35"/>
      <c r="R257" s="35"/>
      <c r="S257" s="35"/>
      <c r="T257" s="35"/>
    </row>
    <row r="258" spans="2:20" ht="15" hidden="1" customHeight="1" outlineLevel="1">
      <c r="B258" s="130"/>
      <c r="C258" s="241">
        <v>44263</v>
      </c>
      <c r="D258" s="242">
        <v>47.88</v>
      </c>
      <c r="E258" s="243"/>
      <c r="F258" s="242">
        <v>17.27299</v>
      </c>
      <c r="G258" s="242">
        <v>47.88</v>
      </c>
      <c r="H258" s="242"/>
      <c r="I258" s="244"/>
      <c r="J258" s="244"/>
      <c r="K258" s="133"/>
      <c r="L258" s="35"/>
      <c r="M258" s="35"/>
      <c r="N258" s="35"/>
      <c r="O258" s="35"/>
      <c r="P258" s="35"/>
      <c r="Q258" s="35"/>
      <c r="R258" s="35"/>
      <c r="S258" s="35"/>
      <c r="T258" s="35"/>
    </row>
    <row r="259" spans="2:20" ht="15" hidden="1" customHeight="1" outlineLevel="1">
      <c r="B259" s="130"/>
      <c r="C259" s="241">
        <v>44264</v>
      </c>
      <c r="D259" s="242">
        <v>47.62</v>
      </c>
      <c r="E259" s="243"/>
      <c r="F259" s="242">
        <v>11.71007</v>
      </c>
      <c r="G259" s="242">
        <v>47.62</v>
      </c>
      <c r="H259" s="242"/>
      <c r="I259" s="244"/>
      <c r="J259" s="244"/>
      <c r="K259" s="133"/>
      <c r="L259" s="35"/>
      <c r="M259" s="35"/>
      <c r="N259" s="35"/>
      <c r="O259" s="35"/>
      <c r="P259" s="35"/>
      <c r="Q259" s="35"/>
      <c r="R259" s="35"/>
      <c r="S259" s="35"/>
      <c r="T259" s="35"/>
    </row>
    <row r="260" spans="2:20" ht="15" hidden="1" customHeight="1" outlineLevel="1">
      <c r="B260" s="130"/>
      <c r="C260" s="241">
        <v>44265</v>
      </c>
      <c r="D260" s="242">
        <v>47.8</v>
      </c>
      <c r="E260" s="243"/>
      <c r="F260" s="242">
        <v>10.71932</v>
      </c>
      <c r="G260" s="242">
        <v>47.8</v>
      </c>
      <c r="H260" s="242"/>
      <c r="I260" s="244"/>
      <c r="J260" s="244"/>
      <c r="K260" s="133"/>
      <c r="L260" s="35"/>
      <c r="M260" s="35"/>
      <c r="N260" s="35"/>
      <c r="O260" s="35"/>
      <c r="P260" s="35"/>
      <c r="Q260" s="35"/>
      <c r="R260" s="35"/>
      <c r="S260" s="35"/>
      <c r="T260" s="35"/>
    </row>
    <row r="261" spans="2:20" ht="15" hidden="1" customHeight="1" outlineLevel="1">
      <c r="B261" s="130"/>
      <c r="C261" s="241">
        <v>44266</v>
      </c>
      <c r="D261" s="242">
        <v>48.32</v>
      </c>
      <c r="E261" s="243"/>
      <c r="F261" s="242">
        <v>11.318569999999999</v>
      </c>
      <c r="G261" s="242">
        <v>48.32</v>
      </c>
      <c r="H261" s="242"/>
      <c r="I261" s="244"/>
      <c r="J261" s="244"/>
      <c r="K261" s="133"/>
      <c r="L261" s="35"/>
      <c r="M261" s="35"/>
      <c r="N261" s="35"/>
      <c r="O261" s="35"/>
      <c r="P261" s="35"/>
      <c r="Q261" s="35"/>
      <c r="R261" s="35"/>
      <c r="S261" s="35"/>
      <c r="T261" s="35"/>
    </row>
    <row r="262" spans="2:20" ht="15" hidden="1" customHeight="1" outlineLevel="1">
      <c r="B262" s="130"/>
      <c r="C262" s="241">
        <v>44267</v>
      </c>
      <c r="D262" s="242">
        <v>49.83</v>
      </c>
      <c r="E262" s="243"/>
      <c r="F262" s="242">
        <v>15.89175</v>
      </c>
      <c r="G262" s="242">
        <v>49.83</v>
      </c>
      <c r="H262" s="242"/>
      <c r="I262" s="244"/>
      <c r="J262" s="244"/>
      <c r="K262" s="133"/>
      <c r="L262" s="35"/>
      <c r="M262" s="35"/>
      <c r="N262" s="35"/>
      <c r="O262" s="35"/>
      <c r="P262" s="35"/>
      <c r="Q262" s="35"/>
      <c r="R262" s="35"/>
      <c r="S262" s="35"/>
      <c r="T262" s="35"/>
    </row>
    <row r="263" spans="2:20" ht="15" hidden="1" customHeight="1" outlineLevel="1">
      <c r="B263" s="130"/>
      <c r="C263" s="241">
        <v>44270</v>
      </c>
      <c r="D263" s="242">
        <v>50.99</v>
      </c>
      <c r="E263" s="243"/>
      <c r="F263" s="242">
        <v>19.700790000000001</v>
      </c>
      <c r="G263" s="242">
        <v>50.99</v>
      </c>
      <c r="H263" s="242"/>
      <c r="I263" s="244"/>
      <c r="J263" s="244"/>
      <c r="K263" s="133"/>
      <c r="L263" s="35"/>
      <c r="M263" s="35"/>
      <c r="N263" s="35"/>
      <c r="O263" s="35"/>
      <c r="P263" s="35"/>
      <c r="Q263" s="35"/>
      <c r="R263" s="35"/>
      <c r="S263" s="35"/>
      <c r="T263" s="35"/>
    </row>
    <row r="264" spans="2:20" ht="15" hidden="1" customHeight="1" outlineLevel="1">
      <c r="B264" s="130"/>
      <c r="C264" s="241">
        <v>44271</v>
      </c>
      <c r="D264" s="242">
        <v>49.39</v>
      </c>
      <c r="E264" s="243"/>
      <c r="F264" s="242">
        <v>14.281499999999999</v>
      </c>
      <c r="G264" s="242">
        <v>49.39</v>
      </c>
      <c r="H264" s="242"/>
      <c r="I264" s="244"/>
      <c r="J264" s="244"/>
      <c r="K264" s="133"/>
      <c r="L264" s="35"/>
      <c r="M264" s="35"/>
      <c r="N264" s="35"/>
      <c r="O264" s="35"/>
      <c r="P264" s="35"/>
      <c r="Q264" s="35"/>
      <c r="R264" s="35"/>
      <c r="S264" s="35"/>
      <c r="T264" s="35"/>
    </row>
    <row r="265" spans="2:20" ht="15" hidden="1" customHeight="1" outlineLevel="1">
      <c r="B265" s="130"/>
      <c r="C265" s="241">
        <v>44272</v>
      </c>
      <c r="D265" s="242">
        <v>50.44</v>
      </c>
      <c r="E265" s="243"/>
      <c r="F265" s="242">
        <v>13.694380000000001</v>
      </c>
      <c r="G265" s="242">
        <v>50.44</v>
      </c>
      <c r="H265" s="242"/>
      <c r="I265" s="244"/>
      <c r="J265" s="244"/>
      <c r="K265" s="133"/>
      <c r="L265" s="35"/>
      <c r="M265" s="35"/>
      <c r="N265" s="35"/>
      <c r="O265" s="35"/>
      <c r="P265" s="35"/>
      <c r="Q265" s="35"/>
      <c r="R265" s="35"/>
      <c r="S265" s="35"/>
      <c r="T265" s="35"/>
    </row>
    <row r="266" spans="2:20" ht="15" hidden="1" customHeight="1" outlineLevel="1">
      <c r="B266" s="130"/>
      <c r="C266" s="241">
        <v>44273</v>
      </c>
      <c r="D266" s="242">
        <v>49.18</v>
      </c>
      <c r="E266" s="243"/>
      <c r="F266" s="242">
        <v>13.42357</v>
      </c>
      <c r="G266" s="242">
        <v>49.18</v>
      </c>
      <c r="H266" s="242"/>
      <c r="I266" s="244"/>
      <c r="J266" s="244"/>
      <c r="K266" s="133"/>
      <c r="L266" s="35"/>
      <c r="M266" s="35"/>
      <c r="N266" s="35"/>
      <c r="O266" s="35"/>
      <c r="P266" s="35"/>
      <c r="Q266" s="35"/>
      <c r="R266" s="35"/>
      <c r="S266" s="35"/>
      <c r="T266" s="35"/>
    </row>
    <row r="267" spans="2:20" ht="15" hidden="1" customHeight="1" outlineLevel="1">
      <c r="B267" s="130"/>
      <c r="C267" s="241">
        <v>44274</v>
      </c>
      <c r="D267" s="242">
        <v>49</v>
      </c>
      <c r="E267" s="243"/>
      <c r="F267" s="242">
        <v>12.12355</v>
      </c>
      <c r="G267" s="242">
        <v>49</v>
      </c>
      <c r="H267" s="242"/>
      <c r="I267" s="244"/>
      <c r="J267" s="244"/>
      <c r="K267" s="133"/>
      <c r="L267" s="35"/>
      <c r="M267" s="35"/>
      <c r="N267" s="35"/>
      <c r="O267" s="35"/>
      <c r="P267" s="35"/>
      <c r="Q267" s="35"/>
      <c r="R267" s="35"/>
      <c r="S267" s="35"/>
      <c r="T267" s="35"/>
    </row>
    <row r="268" spans="2:20" ht="15" hidden="1" customHeight="1" outlineLevel="1">
      <c r="B268" s="130"/>
      <c r="C268" s="241">
        <v>44277</v>
      </c>
      <c r="D268" s="242">
        <v>47.97</v>
      </c>
      <c r="E268" s="243"/>
      <c r="F268" s="242">
        <v>10.91109</v>
      </c>
      <c r="G268" s="242">
        <v>47.97</v>
      </c>
      <c r="H268" s="242"/>
      <c r="I268" s="244"/>
      <c r="J268" s="244"/>
      <c r="K268" s="133"/>
      <c r="L268" s="35"/>
      <c r="M268" s="35"/>
      <c r="N268" s="35"/>
      <c r="O268" s="35"/>
      <c r="P268" s="35"/>
      <c r="Q268" s="35"/>
      <c r="R268" s="35"/>
      <c r="S268" s="35"/>
      <c r="T268" s="35"/>
    </row>
    <row r="269" spans="2:20" ht="15" hidden="1" customHeight="1" outlineLevel="1">
      <c r="B269" s="130"/>
      <c r="C269" s="241">
        <v>44278</v>
      </c>
      <c r="D269" s="242">
        <v>45.64</v>
      </c>
      <c r="E269" s="243"/>
      <c r="F269" s="242">
        <v>13.616820000000001</v>
      </c>
      <c r="G269" s="242">
        <v>45.64</v>
      </c>
      <c r="H269" s="242"/>
      <c r="I269" s="244"/>
      <c r="J269" s="244"/>
      <c r="K269" s="133"/>
      <c r="L269" s="35"/>
      <c r="M269" s="35"/>
      <c r="N269" s="35"/>
      <c r="O269" s="35"/>
      <c r="P269" s="35"/>
      <c r="Q269" s="35"/>
      <c r="R269" s="35"/>
      <c r="S269" s="35"/>
      <c r="T269" s="35"/>
    </row>
    <row r="270" spans="2:20" ht="15" hidden="1" customHeight="1" outlineLevel="1">
      <c r="B270" s="130"/>
      <c r="C270" s="241">
        <v>44279</v>
      </c>
      <c r="D270" s="242">
        <v>45.61</v>
      </c>
      <c r="E270" s="243"/>
      <c r="F270" s="242">
        <v>12.120760000000001</v>
      </c>
      <c r="G270" s="242">
        <v>45.61</v>
      </c>
      <c r="H270" s="242"/>
      <c r="I270" s="244"/>
      <c r="J270" s="244"/>
      <c r="K270" s="133"/>
      <c r="L270" s="35"/>
      <c r="M270" s="35"/>
      <c r="N270" s="35"/>
      <c r="O270" s="35"/>
      <c r="P270" s="35"/>
      <c r="Q270" s="35"/>
      <c r="R270" s="35"/>
      <c r="S270" s="35"/>
      <c r="T270" s="35"/>
    </row>
    <row r="271" spans="2:20" ht="15" hidden="1" customHeight="1" outlineLevel="1">
      <c r="B271" s="130"/>
      <c r="C271" s="241">
        <v>44280</v>
      </c>
      <c r="D271" s="242">
        <v>47.01</v>
      </c>
      <c r="E271" s="243"/>
      <c r="F271" s="242">
        <v>14.46913</v>
      </c>
      <c r="G271" s="242">
        <v>47.01</v>
      </c>
      <c r="H271" s="242"/>
      <c r="I271" s="244"/>
      <c r="J271" s="244"/>
      <c r="K271" s="133"/>
      <c r="L271" s="35"/>
      <c r="M271" s="35"/>
      <c r="N271" s="35"/>
      <c r="O271" s="35"/>
      <c r="P271" s="35"/>
      <c r="Q271" s="35"/>
      <c r="R271" s="35"/>
      <c r="S271" s="35"/>
      <c r="T271" s="35"/>
    </row>
    <row r="272" spans="2:20" ht="15" hidden="1" customHeight="1" outlineLevel="1">
      <c r="B272" s="130"/>
      <c r="C272" s="241">
        <v>44281</v>
      </c>
      <c r="D272" s="242">
        <v>47.66</v>
      </c>
      <c r="E272" s="243"/>
      <c r="F272" s="242">
        <v>12.361409999999999</v>
      </c>
      <c r="G272" s="242">
        <v>47.66</v>
      </c>
      <c r="H272" s="242"/>
      <c r="I272" s="244"/>
      <c r="J272" s="244"/>
      <c r="K272" s="133"/>
      <c r="L272" s="35"/>
      <c r="M272" s="35"/>
      <c r="N272" s="35"/>
      <c r="O272" s="35"/>
      <c r="P272" s="35"/>
      <c r="Q272" s="35"/>
      <c r="R272" s="35"/>
      <c r="S272" s="35"/>
      <c r="T272" s="35"/>
    </row>
    <row r="273" spans="2:20" ht="15" hidden="1" customHeight="1" outlineLevel="1">
      <c r="B273" s="130"/>
      <c r="C273" s="241">
        <v>44284</v>
      </c>
      <c r="D273" s="242">
        <v>47.32</v>
      </c>
      <c r="E273" s="243"/>
      <c r="F273" s="242">
        <v>9.8241940000000003</v>
      </c>
      <c r="G273" s="242">
        <v>47.32</v>
      </c>
      <c r="H273" s="242"/>
      <c r="I273" s="244"/>
      <c r="J273" s="244"/>
      <c r="K273" s="133"/>
      <c r="L273" s="35"/>
      <c r="M273" s="35"/>
      <c r="N273" s="35"/>
      <c r="O273" s="35"/>
      <c r="P273" s="35"/>
      <c r="Q273" s="35"/>
      <c r="R273" s="35"/>
      <c r="S273" s="35"/>
      <c r="T273" s="35"/>
    </row>
    <row r="274" spans="2:20" ht="15" hidden="1" customHeight="1" outlineLevel="1">
      <c r="B274" s="130"/>
      <c r="C274" s="241">
        <v>44285</v>
      </c>
      <c r="D274" s="242">
        <v>48.9</v>
      </c>
      <c r="E274" s="243"/>
      <c r="F274" s="242">
        <v>10.78754</v>
      </c>
      <c r="G274" s="242">
        <v>48.9</v>
      </c>
      <c r="H274" s="242"/>
      <c r="I274" s="244"/>
      <c r="J274" s="244"/>
      <c r="K274" s="133"/>
      <c r="L274" s="35"/>
      <c r="M274" s="35"/>
      <c r="N274" s="35"/>
      <c r="O274" s="35"/>
      <c r="P274" s="35"/>
      <c r="Q274" s="35"/>
      <c r="R274" s="35"/>
      <c r="S274" s="35"/>
      <c r="T274" s="35"/>
    </row>
    <row r="275" spans="2:20" ht="15" hidden="1" customHeight="1" outlineLevel="1">
      <c r="B275" s="130"/>
      <c r="C275" s="241">
        <v>44286</v>
      </c>
      <c r="D275" s="242">
        <v>48.28</v>
      </c>
      <c r="E275" s="243"/>
      <c r="F275" s="242">
        <v>9.4692080000000001</v>
      </c>
      <c r="G275" s="242">
        <v>48.28</v>
      </c>
      <c r="H275" s="242"/>
      <c r="I275" s="244"/>
      <c r="J275" s="244"/>
      <c r="K275" s="133"/>
      <c r="L275" s="35"/>
      <c r="M275" s="35"/>
      <c r="N275" s="35"/>
      <c r="O275" s="35"/>
      <c r="P275" s="35"/>
      <c r="Q275" s="35"/>
      <c r="R275" s="35"/>
      <c r="S275" s="35"/>
      <c r="T275" s="35"/>
    </row>
    <row r="276" spans="2:20" ht="15" hidden="1" customHeight="1" outlineLevel="1">
      <c r="B276" s="130"/>
      <c r="C276" s="241">
        <v>44287</v>
      </c>
      <c r="D276" s="242">
        <v>48.83</v>
      </c>
      <c r="E276" s="243"/>
      <c r="F276" s="242">
        <v>9.5699850000000009</v>
      </c>
      <c r="G276" s="242">
        <v>48.83</v>
      </c>
      <c r="H276" s="242"/>
      <c r="I276" s="244"/>
      <c r="J276" s="244"/>
      <c r="K276" s="133"/>
      <c r="L276" s="35"/>
      <c r="M276" s="35"/>
      <c r="N276" s="35"/>
      <c r="O276" s="35"/>
      <c r="P276" s="35"/>
      <c r="Q276" s="35"/>
      <c r="R276" s="35"/>
      <c r="S276" s="35"/>
      <c r="T276" s="35"/>
    </row>
    <row r="277" spans="2:20" ht="15" hidden="1" customHeight="1" outlineLevel="1">
      <c r="B277" s="130"/>
      <c r="C277" s="241">
        <v>44291</v>
      </c>
      <c r="D277" s="242">
        <v>50.25</v>
      </c>
      <c r="E277" s="243"/>
      <c r="F277" s="242">
        <v>14.599919999999999</v>
      </c>
      <c r="G277" s="242">
        <v>50.25</v>
      </c>
      <c r="H277" s="242"/>
      <c r="I277" s="244"/>
      <c r="J277" s="244"/>
      <c r="K277" s="133"/>
      <c r="L277" s="35"/>
      <c r="M277" s="35"/>
      <c r="N277" s="35"/>
      <c r="O277" s="35"/>
      <c r="P277" s="35"/>
      <c r="Q277" s="35"/>
      <c r="R277" s="35"/>
      <c r="S277" s="35"/>
      <c r="T277" s="35"/>
    </row>
    <row r="278" spans="2:20" ht="15" hidden="1" customHeight="1" outlineLevel="1">
      <c r="B278" s="130"/>
      <c r="C278" s="241">
        <v>44292</v>
      </c>
      <c r="D278" s="242">
        <v>51.65</v>
      </c>
      <c r="E278" s="243"/>
      <c r="F278" s="242">
        <v>14.65246</v>
      </c>
      <c r="G278" s="242">
        <v>51.65</v>
      </c>
      <c r="H278" s="242"/>
      <c r="I278" s="244"/>
      <c r="J278" s="244"/>
      <c r="K278" s="133"/>
      <c r="L278" s="35"/>
      <c r="M278" s="35"/>
      <c r="N278" s="35"/>
      <c r="O278" s="35"/>
      <c r="P278" s="35"/>
      <c r="Q278" s="35"/>
      <c r="R278" s="35"/>
      <c r="S278" s="35"/>
      <c r="T278" s="35"/>
    </row>
    <row r="279" spans="2:20" ht="15" hidden="1" customHeight="1" outlineLevel="1">
      <c r="B279" s="130"/>
      <c r="C279" s="241">
        <v>44293</v>
      </c>
      <c r="D279" s="242">
        <v>50.2</v>
      </c>
      <c r="E279" s="243"/>
      <c r="F279" s="242">
        <v>12.244350000000001</v>
      </c>
      <c r="G279" s="242">
        <v>50.2</v>
      </c>
      <c r="H279" s="242"/>
      <c r="I279" s="244"/>
      <c r="J279" s="244"/>
      <c r="K279" s="133"/>
      <c r="L279" s="35"/>
      <c r="M279" s="35"/>
      <c r="N279" s="35"/>
      <c r="O279" s="35"/>
      <c r="P279" s="35"/>
      <c r="Q279" s="35"/>
      <c r="R279" s="35"/>
      <c r="S279" s="35"/>
      <c r="T279" s="35"/>
    </row>
    <row r="280" spans="2:20" ht="15" hidden="1" customHeight="1" outlineLevel="1">
      <c r="B280" s="130"/>
      <c r="C280" s="241">
        <v>44294</v>
      </c>
      <c r="D280" s="242">
        <v>49.81</v>
      </c>
      <c r="E280" s="243"/>
      <c r="F280" s="242">
        <v>13.546950000000001</v>
      </c>
      <c r="G280" s="242">
        <v>49.81</v>
      </c>
      <c r="H280" s="242"/>
      <c r="I280" s="244"/>
      <c r="J280" s="244"/>
      <c r="K280" s="133"/>
      <c r="L280" s="35"/>
      <c r="M280" s="35"/>
      <c r="N280" s="35"/>
      <c r="O280" s="35"/>
      <c r="P280" s="35"/>
      <c r="Q280" s="35"/>
      <c r="R280" s="35"/>
      <c r="S280" s="35"/>
      <c r="T280" s="35"/>
    </row>
    <row r="281" spans="2:20" ht="15" hidden="1" customHeight="1" outlineLevel="1">
      <c r="B281" s="130"/>
      <c r="C281" s="241">
        <v>44295</v>
      </c>
      <c r="D281" s="242">
        <v>49.27</v>
      </c>
      <c r="E281" s="243"/>
      <c r="F281" s="242">
        <v>9.7853929999999991</v>
      </c>
      <c r="G281" s="242">
        <v>49.27</v>
      </c>
      <c r="H281" s="242"/>
      <c r="I281" s="244"/>
      <c r="J281" s="244"/>
      <c r="K281" s="133"/>
      <c r="L281" s="35"/>
      <c r="M281" s="35"/>
      <c r="N281" s="35"/>
      <c r="O281" s="35"/>
      <c r="P281" s="35"/>
      <c r="Q281" s="35"/>
      <c r="R281" s="35"/>
      <c r="S281" s="35"/>
      <c r="T281" s="35"/>
    </row>
    <row r="282" spans="2:20" ht="15" hidden="1" customHeight="1" outlineLevel="1">
      <c r="B282" s="130"/>
      <c r="C282" s="241">
        <v>44298</v>
      </c>
      <c r="D282" s="242">
        <v>48.82</v>
      </c>
      <c r="E282" s="243"/>
      <c r="F282" s="242">
        <v>11.070270000000001</v>
      </c>
      <c r="G282" s="242">
        <v>48.82</v>
      </c>
      <c r="H282" s="242"/>
      <c r="I282" s="244"/>
      <c r="J282" s="244"/>
      <c r="K282" s="133"/>
      <c r="L282" s="35"/>
      <c r="M282" s="35"/>
      <c r="N282" s="35"/>
      <c r="O282" s="35"/>
      <c r="P282" s="35"/>
      <c r="Q282" s="35"/>
      <c r="R282" s="35"/>
      <c r="S282" s="35"/>
      <c r="T282" s="35"/>
    </row>
    <row r="283" spans="2:20" ht="15" hidden="1" customHeight="1" outlineLevel="1">
      <c r="B283" s="130"/>
      <c r="C283" s="241">
        <v>44299</v>
      </c>
      <c r="D283" s="242">
        <v>48.26</v>
      </c>
      <c r="E283" s="243"/>
      <c r="F283" s="242">
        <v>18.287600000000001</v>
      </c>
      <c r="G283" s="242">
        <v>48.26</v>
      </c>
      <c r="H283" s="242"/>
      <c r="I283" s="244"/>
      <c r="J283" s="244"/>
      <c r="K283" s="133"/>
      <c r="L283" s="35"/>
      <c r="M283" s="35"/>
      <c r="N283" s="35"/>
      <c r="O283" s="35"/>
      <c r="P283" s="35"/>
      <c r="Q283" s="35"/>
      <c r="R283" s="35"/>
      <c r="S283" s="35"/>
      <c r="T283" s="35"/>
    </row>
    <row r="284" spans="2:20" ht="15" hidden="1" customHeight="1" outlineLevel="1">
      <c r="B284" s="130"/>
      <c r="C284" s="241">
        <v>44300</v>
      </c>
      <c r="D284" s="242">
        <v>48.17</v>
      </c>
      <c r="E284" s="243"/>
      <c r="F284" s="242">
        <v>12.52042</v>
      </c>
      <c r="G284" s="242">
        <v>48.17</v>
      </c>
      <c r="H284" s="242"/>
      <c r="I284" s="244"/>
      <c r="J284" s="244"/>
      <c r="K284" s="133"/>
      <c r="L284" s="35"/>
      <c r="M284" s="35"/>
      <c r="N284" s="35"/>
      <c r="O284" s="35"/>
      <c r="P284" s="35"/>
      <c r="Q284" s="35"/>
      <c r="R284" s="35"/>
      <c r="S284" s="35"/>
      <c r="T284" s="35"/>
    </row>
    <row r="285" spans="2:20" ht="15" hidden="1" customHeight="1" outlineLevel="1">
      <c r="B285" s="130"/>
      <c r="C285" s="241">
        <v>44301</v>
      </c>
      <c r="D285" s="242">
        <v>46.82</v>
      </c>
      <c r="E285" s="243"/>
      <c r="F285" s="242">
        <v>22.267880000000002</v>
      </c>
      <c r="G285" s="242">
        <v>46.82</v>
      </c>
      <c r="H285" s="242"/>
      <c r="I285" s="244"/>
      <c r="J285" s="244"/>
      <c r="K285" s="133"/>
      <c r="L285" s="35"/>
      <c r="M285" s="35"/>
      <c r="N285" s="35"/>
      <c r="O285" s="35"/>
      <c r="P285" s="35"/>
      <c r="Q285" s="35"/>
      <c r="R285" s="35"/>
      <c r="S285" s="35"/>
      <c r="T285" s="35"/>
    </row>
    <row r="286" spans="2:20" ht="15" hidden="1" customHeight="1" outlineLevel="1">
      <c r="B286" s="130"/>
      <c r="C286" s="241">
        <v>44302</v>
      </c>
      <c r="D286" s="242">
        <v>46.64</v>
      </c>
      <c r="E286" s="243"/>
      <c r="F286" s="242">
        <v>12.23639</v>
      </c>
      <c r="G286" s="242">
        <v>46.64</v>
      </c>
      <c r="H286" s="242"/>
      <c r="I286" s="244"/>
      <c r="J286" s="244"/>
      <c r="K286" s="133"/>
      <c r="L286" s="35"/>
      <c r="M286" s="35"/>
      <c r="N286" s="35"/>
      <c r="O286" s="35"/>
      <c r="P286" s="35"/>
      <c r="Q286" s="35"/>
      <c r="R286" s="35"/>
      <c r="S286" s="35"/>
      <c r="T286" s="35"/>
    </row>
    <row r="287" spans="2:20" ht="15" hidden="1" customHeight="1" outlineLevel="1">
      <c r="B287" s="130"/>
      <c r="C287" s="241">
        <v>44305</v>
      </c>
      <c r="D287" s="242">
        <v>46.15</v>
      </c>
      <c r="E287" s="243"/>
      <c r="F287" s="242">
        <v>9.5794300000000003</v>
      </c>
      <c r="G287" s="242">
        <v>46.15</v>
      </c>
      <c r="H287" s="242"/>
      <c r="I287" s="244"/>
      <c r="J287" s="244"/>
      <c r="K287" s="133"/>
      <c r="L287" s="35"/>
      <c r="M287" s="35"/>
      <c r="N287" s="35"/>
      <c r="O287" s="35"/>
      <c r="P287" s="35"/>
      <c r="Q287" s="35"/>
      <c r="R287" s="35"/>
      <c r="S287" s="35"/>
      <c r="T287" s="35"/>
    </row>
    <row r="288" spans="2:20" ht="15" hidden="1" customHeight="1" outlineLevel="1">
      <c r="B288" s="130"/>
      <c r="C288" s="241">
        <v>44306</v>
      </c>
      <c r="D288" s="242">
        <v>44.45</v>
      </c>
      <c r="E288" s="243"/>
      <c r="F288" s="242">
        <v>15.62777</v>
      </c>
      <c r="G288" s="242">
        <v>44.45</v>
      </c>
      <c r="H288" s="242"/>
      <c r="I288" s="244"/>
      <c r="J288" s="244"/>
      <c r="K288" s="133"/>
      <c r="L288" s="35"/>
      <c r="M288" s="35"/>
      <c r="N288" s="35"/>
      <c r="O288" s="35"/>
      <c r="P288" s="35"/>
      <c r="Q288" s="35"/>
      <c r="R288" s="35"/>
      <c r="S288" s="35"/>
      <c r="T288" s="35"/>
    </row>
    <row r="289" spans="2:20" ht="15" hidden="1" customHeight="1" outlineLevel="1">
      <c r="B289" s="130"/>
      <c r="C289" s="241">
        <v>44307</v>
      </c>
      <c r="D289" s="242">
        <v>45.7</v>
      </c>
      <c r="E289" s="243"/>
      <c r="F289" s="242">
        <v>16.267119999999998</v>
      </c>
      <c r="G289" s="242">
        <v>45.7</v>
      </c>
      <c r="H289" s="242"/>
      <c r="I289" s="244"/>
      <c r="J289" s="244"/>
      <c r="K289" s="133"/>
      <c r="L289" s="35"/>
      <c r="M289" s="35"/>
      <c r="N289" s="35"/>
      <c r="O289" s="35"/>
      <c r="P289" s="35"/>
      <c r="Q289" s="35"/>
      <c r="R289" s="35"/>
      <c r="S289" s="35"/>
      <c r="T289" s="35"/>
    </row>
    <row r="290" spans="2:20" ht="15" hidden="1" customHeight="1" outlineLevel="1">
      <c r="B290" s="130"/>
      <c r="C290" s="241">
        <v>44308</v>
      </c>
      <c r="D290" s="242">
        <v>44.65</v>
      </c>
      <c r="E290" s="243"/>
      <c r="F290" s="242">
        <v>17.30322</v>
      </c>
      <c r="G290" s="242">
        <v>44.65</v>
      </c>
      <c r="H290" s="242"/>
      <c r="I290" s="244"/>
      <c r="J290" s="244"/>
      <c r="K290" s="133"/>
      <c r="L290" s="35"/>
      <c r="M290" s="35"/>
      <c r="N290" s="35"/>
      <c r="O290" s="35"/>
      <c r="P290" s="35"/>
      <c r="Q290" s="35"/>
      <c r="R290" s="35"/>
      <c r="S290" s="35"/>
      <c r="T290" s="35"/>
    </row>
    <row r="291" spans="2:20" ht="15" hidden="1" customHeight="1" outlineLevel="1">
      <c r="B291" s="130"/>
      <c r="C291" s="241">
        <v>44309</v>
      </c>
      <c r="D291" s="242">
        <v>45.8</v>
      </c>
      <c r="E291" s="243"/>
      <c r="F291" s="242">
        <v>9.1799619999999997</v>
      </c>
      <c r="G291" s="242">
        <v>45.8</v>
      </c>
      <c r="H291" s="242"/>
      <c r="I291" s="244"/>
      <c r="J291" s="244"/>
      <c r="K291" s="133"/>
      <c r="L291" s="35"/>
      <c r="M291" s="35"/>
      <c r="N291" s="35"/>
      <c r="O291" s="35"/>
      <c r="P291" s="35"/>
      <c r="Q291" s="35"/>
      <c r="R291" s="35"/>
      <c r="S291" s="35"/>
      <c r="T291" s="35"/>
    </row>
    <row r="292" spans="2:20" ht="15" hidden="1" customHeight="1" outlineLevel="1">
      <c r="B292" s="130"/>
      <c r="C292" s="241">
        <v>44312</v>
      </c>
      <c r="D292" s="242">
        <v>46.61</v>
      </c>
      <c r="E292" s="243"/>
      <c r="F292" s="242">
        <v>11.259980000000001</v>
      </c>
      <c r="G292" s="242">
        <v>46.61</v>
      </c>
      <c r="H292" s="242"/>
      <c r="I292" s="244"/>
      <c r="J292" s="244"/>
      <c r="K292" s="133"/>
      <c r="L292" s="35"/>
      <c r="M292" s="35"/>
      <c r="N292" s="35"/>
      <c r="O292" s="35"/>
      <c r="P292" s="35"/>
      <c r="Q292" s="35"/>
      <c r="R292" s="35"/>
      <c r="S292" s="35"/>
      <c r="T292" s="35"/>
    </row>
    <row r="293" spans="2:20" ht="15" hidden="1" customHeight="1" outlineLevel="1">
      <c r="B293" s="130"/>
      <c r="C293" s="241">
        <v>44313</v>
      </c>
      <c r="D293" s="242">
        <v>46.34</v>
      </c>
      <c r="E293" s="243"/>
      <c r="F293" s="242">
        <v>8.1516140000000004</v>
      </c>
      <c r="G293" s="242">
        <v>46.34</v>
      </c>
      <c r="H293" s="242"/>
      <c r="I293" s="244"/>
      <c r="J293" s="244"/>
      <c r="K293" s="133"/>
      <c r="L293" s="35"/>
      <c r="M293" s="35"/>
      <c r="N293" s="35"/>
      <c r="O293" s="35"/>
      <c r="P293" s="35"/>
      <c r="Q293" s="35"/>
      <c r="R293" s="35"/>
      <c r="S293" s="35"/>
      <c r="T293" s="35"/>
    </row>
    <row r="294" spans="2:20" ht="15" hidden="1" customHeight="1" outlineLevel="1">
      <c r="B294" s="130"/>
      <c r="C294" s="241">
        <v>44314</v>
      </c>
      <c r="D294" s="242">
        <v>46.44</v>
      </c>
      <c r="E294" s="243"/>
      <c r="F294" s="242">
        <v>7.2091789999999998</v>
      </c>
      <c r="G294" s="242">
        <v>46.44</v>
      </c>
      <c r="H294" s="242"/>
      <c r="I294" s="244"/>
      <c r="J294" s="244"/>
      <c r="K294" s="133"/>
      <c r="L294" s="35"/>
      <c r="M294" s="35"/>
      <c r="N294" s="35"/>
      <c r="O294" s="35"/>
      <c r="P294" s="35"/>
      <c r="Q294" s="35"/>
      <c r="R294" s="35"/>
      <c r="S294" s="35"/>
      <c r="T294" s="35"/>
    </row>
    <row r="295" spans="2:20" ht="15" hidden="1" customHeight="1" outlineLevel="1">
      <c r="B295" s="130"/>
      <c r="C295" s="241">
        <v>44315</v>
      </c>
      <c r="D295" s="242">
        <v>46.38</v>
      </c>
      <c r="E295" s="243"/>
      <c r="F295" s="242">
        <v>8.2222500000000007</v>
      </c>
      <c r="G295" s="242">
        <v>46.38</v>
      </c>
      <c r="H295" s="242"/>
      <c r="I295" s="244"/>
      <c r="J295" s="244"/>
      <c r="K295" s="133"/>
      <c r="L295" s="35"/>
      <c r="M295" s="35"/>
      <c r="N295" s="35"/>
      <c r="O295" s="35"/>
      <c r="P295" s="35"/>
      <c r="Q295" s="35"/>
      <c r="R295" s="35"/>
      <c r="S295" s="35"/>
      <c r="T295" s="35"/>
    </row>
    <row r="296" spans="2:20" ht="15" hidden="1" customHeight="1" outlineLevel="1">
      <c r="B296" s="130"/>
      <c r="C296" s="241">
        <v>44316</v>
      </c>
      <c r="D296" s="242">
        <v>46.92</v>
      </c>
      <c r="E296" s="243"/>
      <c r="F296" s="242">
        <v>9.1752369999999992</v>
      </c>
      <c r="G296" s="242">
        <v>46.92</v>
      </c>
      <c r="H296" s="242"/>
      <c r="I296" s="244"/>
      <c r="J296" s="244"/>
      <c r="K296" s="133"/>
      <c r="L296" s="35"/>
      <c r="M296" s="35"/>
      <c r="N296" s="35"/>
      <c r="O296" s="35"/>
      <c r="P296" s="35"/>
      <c r="Q296" s="35"/>
      <c r="R296" s="35"/>
      <c r="S296" s="35"/>
      <c r="T296" s="35"/>
    </row>
    <row r="297" spans="2:20" ht="15" hidden="1" customHeight="1" outlineLevel="1">
      <c r="B297" s="130"/>
      <c r="C297" s="241">
        <v>44319</v>
      </c>
      <c r="D297" s="242">
        <v>46.57</v>
      </c>
      <c r="E297" s="243"/>
      <c r="F297" s="242">
        <v>9.382638</v>
      </c>
      <c r="G297" s="242">
        <v>46.57</v>
      </c>
      <c r="H297" s="242"/>
      <c r="I297" s="244"/>
      <c r="J297" s="244"/>
      <c r="K297" s="133"/>
      <c r="L297" s="35"/>
      <c r="M297" s="35"/>
      <c r="N297" s="35"/>
      <c r="O297" s="35"/>
      <c r="P297" s="35"/>
      <c r="Q297" s="35"/>
      <c r="R297" s="35"/>
      <c r="S297" s="35"/>
      <c r="T297" s="35"/>
    </row>
    <row r="298" spans="2:20" ht="15" hidden="1" customHeight="1" outlineLevel="1">
      <c r="B298" s="130"/>
      <c r="C298" s="241">
        <v>44320</v>
      </c>
      <c r="D298" s="242">
        <v>44.66</v>
      </c>
      <c r="E298" s="243"/>
      <c r="F298" s="242">
        <v>14.79036</v>
      </c>
      <c r="G298" s="242">
        <v>44.66</v>
      </c>
      <c r="H298" s="242"/>
      <c r="I298" s="244"/>
      <c r="J298" s="244"/>
      <c r="K298" s="133"/>
      <c r="L298" s="35"/>
      <c r="M298" s="35"/>
      <c r="N298" s="35"/>
      <c r="O298" s="35"/>
      <c r="P298" s="35"/>
      <c r="Q298" s="35"/>
      <c r="R298" s="35"/>
      <c r="S298" s="35"/>
      <c r="T298" s="35"/>
    </row>
    <row r="299" spans="2:20" ht="15" hidden="1" customHeight="1" outlineLevel="1">
      <c r="B299" s="130"/>
      <c r="C299" s="241">
        <v>44321</v>
      </c>
      <c r="D299" s="242">
        <v>45.2</v>
      </c>
      <c r="E299" s="243"/>
      <c r="F299" s="242">
        <v>10.700063</v>
      </c>
      <c r="G299" s="242">
        <v>45.2</v>
      </c>
      <c r="H299" s="242"/>
      <c r="I299" s="244"/>
      <c r="J299" s="244"/>
      <c r="K299" s="133"/>
      <c r="L299" s="35"/>
      <c r="M299" s="35"/>
      <c r="N299" s="35"/>
      <c r="O299" s="35"/>
      <c r="P299" s="35"/>
      <c r="Q299" s="35"/>
      <c r="R299" s="35"/>
      <c r="S299" s="35"/>
      <c r="T299" s="35"/>
    </row>
    <row r="300" spans="2:20" ht="15" hidden="1" customHeight="1" outlineLevel="1">
      <c r="B300" s="130"/>
      <c r="C300" s="241">
        <v>44322</v>
      </c>
      <c r="D300" s="242">
        <v>44.93</v>
      </c>
      <c r="E300" s="243"/>
      <c r="F300" s="242">
        <v>9.6656689999999994</v>
      </c>
      <c r="G300" s="242">
        <v>44.93</v>
      </c>
      <c r="H300" s="242"/>
      <c r="I300" s="244"/>
      <c r="J300" s="244"/>
      <c r="K300" s="133"/>
      <c r="L300" s="35"/>
      <c r="M300" s="35"/>
      <c r="N300" s="35"/>
      <c r="O300" s="35"/>
      <c r="P300" s="35"/>
      <c r="Q300" s="35"/>
      <c r="R300" s="35"/>
      <c r="S300" s="35"/>
      <c r="T300" s="35"/>
    </row>
    <row r="301" spans="2:20" ht="15" hidden="1" customHeight="1" outlineLevel="1">
      <c r="B301" s="130"/>
      <c r="C301" s="241">
        <v>44323</v>
      </c>
      <c r="D301" s="242">
        <v>46.11</v>
      </c>
      <c r="E301" s="243"/>
      <c r="F301" s="242">
        <v>11.195069999999999</v>
      </c>
      <c r="G301" s="242">
        <v>46.11</v>
      </c>
      <c r="H301" s="242"/>
      <c r="I301" s="244"/>
      <c r="J301" s="244"/>
      <c r="K301" s="133"/>
      <c r="L301" s="35"/>
      <c r="M301" s="35"/>
      <c r="N301" s="35"/>
      <c r="O301" s="35"/>
      <c r="P301" s="35"/>
      <c r="Q301" s="35"/>
      <c r="R301" s="35"/>
      <c r="S301" s="35"/>
      <c r="T301" s="35"/>
    </row>
    <row r="302" spans="2:20" ht="15" hidden="1" customHeight="1" outlineLevel="1">
      <c r="B302" s="130"/>
      <c r="C302" s="241">
        <v>44326</v>
      </c>
      <c r="D302" s="242">
        <v>45.43</v>
      </c>
      <c r="E302" s="243"/>
      <c r="F302" s="242">
        <v>9.054157</v>
      </c>
      <c r="G302" s="242">
        <v>45.43</v>
      </c>
      <c r="H302" s="242"/>
      <c r="I302" s="244"/>
      <c r="J302" s="244"/>
      <c r="K302" s="133"/>
      <c r="L302" s="35"/>
      <c r="M302" s="35"/>
      <c r="N302" s="35"/>
      <c r="O302" s="35"/>
      <c r="P302" s="35"/>
      <c r="Q302" s="35"/>
      <c r="R302" s="35"/>
      <c r="S302" s="35"/>
      <c r="T302" s="35"/>
    </row>
    <row r="303" spans="2:20" ht="15" hidden="1" customHeight="1" outlineLevel="1">
      <c r="B303" s="130"/>
      <c r="C303" s="241">
        <v>44327</v>
      </c>
      <c r="D303" s="242">
        <v>44.52</v>
      </c>
      <c r="E303" s="243"/>
      <c r="F303" s="242">
        <v>14.13912</v>
      </c>
      <c r="G303" s="242">
        <v>44.52</v>
      </c>
      <c r="H303" s="242"/>
      <c r="I303" s="244"/>
      <c r="J303" s="244"/>
      <c r="K303" s="133"/>
      <c r="L303" s="35"/>
      <c r="M303" s="35"/>
      <c r="N303" s="35"/>
      <c r="O303" s="35"/>
      <c r="P303" s="35"/>
      <c r="Q303" s="35"/>
      <c r="R303" s="35"/>
      <c r="S303" s="35"/>
      <c r="T303" s="35"/>
    </row>
    <row r="304" spans="2:20" ht="15" hidden="1" customHeight="1" outlineLevel="1">
      <c r="B304" s="130"/>
      <c r="C304" s="241">
        <v>44328</v>
      </c>
      <c r="D304" s="242">
        <v>43.03</v>
      </c>
      <c r="E304" s="243"/>
      <c r="F304" s="242">
        <v>12.187250000000001</v>
      </c>
      <c r="G304" s="242">
        <v>43.03</v>
      </c>
      <c r="H304" s="242"/>
      <c r="I304" s="244"/>
      <c r="J304" s="244"/>
      <c r="K304" s="133"/>
      <c r="L304" s="35"/>
      <c r="M304" s="35"/>
      <c r="N304" s="35"/>
      <c r="O304" s="35"/>
      <c r="P304" s="35"/>
      <c r="Q304" s="35"/>
      <c r="R304" s="35"/>
      <c r="S304" s="35"/>
      <c r="T304" s="35"/>
    </row>
    <row r="305" spans="2:20" ht="15" hidden="1" customHeight="1" outlineLevel="1">
      <c r="B305" s="130"/>
      <c r="C305" s="241">
        <v>44329</v>
      </c>
      <c r="D305" s="242">
        <v>43.97</v>
      </c>
      <c r="E305" s="243"/>
      <c r="F305" s="242">
        <v>11.77805</v>
      </c>
      <c r="G305" s="242">
        <v>43.97</v>
      </c>
      <c r="H305" s="242"/>
      <c r="I305" s="244"/>
      <c r="J305" s="244"/>
      <c r="K305" s="133"/>
      <c r="L305" s="35"/>
      <c r="M305" s="35"/>
      <c r="N305" s="35"/>
      <c r="O305" s="35"/>
      <c r="P305" s="35"/>
      <c r="Q305" s="35"/>
      <c r="R305" s="35"/>
      <c r="S305" s="35"/>
      <c r="T305" s="35"/>
    </row>
    <row r="306" spans="2:20" ht="15" hidden="1" customHeight="1" outlineLevel="1">
      <c r="B306" s="130"/>
      <c r="C306" s="241">
        <v>44330</v>
      </c>
      <c r="D306" s="242">
        <v>46.31</v>
      </c>
      <c r="E306" s="243"/>
      <c r="F306" s="242">
        <v>11.537470000000001</v>
      </c>
      <c r="G306" s="242">
        <v>46.31</v>
      </c>
      <c r="H306" s="242"/>
      <c r="I306" s="244"/>
      <c r="J306" s="244"/>
      <c r="K306" s="133"/>
      <c r="L306" s="35"/>
      <c r="M306" s="35"/>
      <c r="N306" s="35"/>
      <c r="O306" s="35"/>
      <c r="P306" s="35"/>
      <c r="Q306" s="35"/>
      <c r="R306" s="35"/>
      <c r="S306" s="35"/>
      <c r="T306" s="35"/>
    </row>
    <row r="307" spans="2:20" ht="15" hidden="1" customHeight="1" outlineLevel="1">
      <c r="B307" s="130"/>
      <c r="C307" s="241">
        <v>44333</v>
      </c>
      <c r="D307" s="242">
        <v>46.75</v>
      </c>
      <c r="E307" s="243"/>
      <c r="F307" s="242">
        <v>11.05988</v>
      </c>
      <c r="G307" s="242">
        <v>46.75</v>
      </c>
      <c r="H307" s="242"/>
      <c r="I307" s="244"/>
      <c r="J307" s="244"/>
      <c r="K307" s="133"/>
      <c r="L307" s="35"/>
      <c r="M307" s="35"/>
      <c r="N307" s="35"/>
      <c r="O307" s="35"/>
      <c r="P307" s="35"/>
      <c r="Q307" s="35"/>
      <c r="R307" s="35"/>
      <c r="S307" s="35"/>
      <c r="T307" s="35"/>
    </row>
    <row r="308" spans="2:20" ht="15" hidden="1" customHeight="1" outlineLevel="1">
      <c r="B308" s="130"/>
      <c r="C308" s="241">
        <v>44334</v>
      </c>
      <c r="D308" s="242">
        <v>46.73</v>
      </c>
      <c r="E308" s="243"/>
      <c r="F308" s="242">
        <v>10.683999999999999</v>
      </c>
      <c r="G308" s="242">
        <v>46.73</v>
      </c>
      <c r="H308" s="242"/>
      <c r="I308" s="244"/>
      <c r="J308" s="244"/>
      <c r="K308" s="133"/>
      <c r="L308" s="35"/>
      <c r="M308" s="35"/>
      <c r="N308" s="35"/>
      <c r="O308" s="35"/>
      <c r="P308" s="35"/>
      <c r="Q308" s="35"/>
      <c r="R308" s="35"/>
      <c r="S308" s="35"/>
      <c r="T308" s="35"/>
    </row>
    <row r="309" spans="2:20" ht="15" hidden="1" customHeight="1" outlineLevel="1">
      <c r="B309" s="130"/>
      <c r="C309" s="241">
        <v>44335</v>
      </c>
      <c r="D309" s="242">
        <v>46.14</v>
      </c>
      <c r="E309" s="243"/>
      <c r="F309" s="242">
        <v>11.545809999999999</v>
      </c>
      <c r="G309" s="242">
        <v>46.14</v>
      </c>
      <c r="H309" s="242"/>
      <c r="I309" s="244"/>
      <c r="J309" s="244"/>
      <c r="K309" s="133"/>
      <c r="L309" s="35"/>
      <c r="M309" s="35"/>
      <c r="N309" s="35"/>
      <c r="O309" s="35"/>
      <c r="P309" s="35"/>
      <c r="Q309" s="35"/>
      <c r="R309" s="35"/>
      <c r="S309" s="35"/>
      <c r="T309" s="35"/>
    </row>
    <row r="310" spans="2:20" ht="15" hidden="1" customHeight="1" outlineLevel="1">
      <c r="B310" s="130"/>
      <c r="C310" s="241">
        <v>44336</v>
      </c>
      <c r="D310" s="242">
        <v>45.41</v>
      </c>
      <c r="E310" s="243"/>
      <c r="F310" s="242">
        <v>12.341710000000001</v>
      </c>
      <c r="G310" s="242">
        <v>45.41</v>
      </c>
      <c r="H310" s="242"/>
      <c r="I310" s="244"/>
      <c r="J310" s="244"/>
      <c r="K310" s="133"/>
      <c r="L310" s="35"/>
      <c r="M310" s="35"/>
      <c r="N310" s="35"/>
      <c r="O310" s="35"/>
      <c r="P310" s="35"/>
      <c r="Q310" s="35"/>
      <c r="R310" s="35"/>
      <c r="S310" s="35"/>
      <c r="T310" s="35"/>
    </row>
    <row r="311" spans="2:20" ht="15" hidden="1" customHeight="1" outlineLevel="1">
      <c r="B311" s="130"/>
      <c r="C311" s="241">
        <v>44337</v>
      </c>
      <c r="D311" s="242">
        <v>45.21</v>
      </c>
      <c r="E311" s="243"/>
      <c r="F311" s="242">
        <v>9.8944449999999993</v>
      </c>
      <c r="G311" s="242">
        <v>45.21</v>
      </c>
      <c r="H311" s="242"/>
      <c r="I311" s="244"/>
      <c r="J311" s="244"/>
      <c r="K311" s="133"/>
      <c r="L311" s="35"/>
      <c r="M311" s="35"/>
      <c r="N311" s="35"/>
      <c r="O311" s="35"/>
      <c r="P311" s="35"/>
      <c r="Q311" s="35"/>
      <c r="R311" s="35"/>
      <c r="S311" s="35"/>
      <c r="T311" s="35"/>
    </row>
    <row r="312" spans="2:20" ht="15" hidden="1" customHeight="1" outlineLevel="1">
      <c r="B312" s="130"/>
      <c r="C312" s="241">
        <v>44340</v>
      </c>
      <c r="D312" s="242">
        <v>46.17</v>
      </c>
      <c r="E312" s="243"/>
      <c r="F312" s="242">
        <v>8.4090889999999998</v>
      </c>
      <c r="G312" s="242">
        <v>46.17</v>
      </c>
      <c r="H312" s="242"/>
      <c r="I312" s="244"/>
      <c r="J312" s="244"/>
      <c r="K312" s="133"/>
      <c r="L312" s="35"/>
      <c r="M312" s="35"/>
      <c r="N312" s="35"/>
      <c r="O312" s="35"/>
      <c r="P312" s="35"/>
      <c r="Q312" s="35"/>
      <c r="R312" s="35"/>
      <c r="S312" s="35"/>
      <c r="T312" s="35"/>
    </row>
    <row r="313" spans="2:20" ht="15" hidden="1" customHeight="1" outlineLevel="1">
      <c r="B313" s="130"/>
      <c r="C313" s="241">
        <v>44341</v>
      </c>
      <c r="D313" s="242">
        <v>46.67</v>
      </c>
      <c r="E313" s="243"/>
      <c r="F313" s="242">
        <v>14.656980000000001</v>
      </c>
      <c r="G313" s="242">
        <v>46.67</v>
      </c>
      <c r="H313" s="242"/>
      <c r="I313" s="244"/>
      <c r="J313" s="244"/>
      <c r="K313" s="133"/>
      <c r="L313" s="35"/>
      <c r="M313" s="35"/>
      <c r="N313" s="35"/>
      <c r="O313" s="35"/>
      <c r="P313" s="35"/>
      <c r="Q313" s="35"/>
      <c r="R313" s="35"/>
      <c r="S313" s="35"/>
      <c r="T313" s="35"/>
    </row>
    <row r="314" spans="2:20" ht="15" hidden="1" customHeight="1" outlineLevel="1">
      <c r="B314" s="130"/>
      <c r="C314" s="241">
        <v>44342</v>
      </c>
      <c r="D314" s="242">
        <v>47.49</v>
      </c>
      <c r="E314" s="243"/>
      <c r="F314" s="242">
        <v>9.7462389999999992</v>
      </c>
      <c r="G314" s="242">
        <v>47.49</v>
      </c>
      <c r="H314" s="242"/>
      <c r="I314" s="244"/>
      <c r="J314" s="244"/>
      <c r="K314" s="133"/>
      <c r="L314" s="35"/>
      <c r="M314" s="35"/>
      <c r="N314" s="35"/>
      <c r="O314" s="35"/>
      <c r="P314" s="35"/>
      <c r="Q314" s="35"/>
      <c r="R314" s="35"/>
      <c r="S314" s="35"/>
      <c r="T314" s="35"/>
    </row>
    <row r="315" spans="2:20" ht="15" hidden="1" customHeight="1" outlineLevel="1">
      <c r="B315" s="130"/>
      <c r="C315" s="241">
        <v>44343</v>
      </c>
      <c r="D315" s="242">
        <v>48.05</v>
      </c>
      <c r="E315" s="243"/>
      <c r="F315" s="242">
        <v>8.6806570000000001</v>
      </c>
      <c r="G315" s="242">
        <v>48.05</v>
      </c>
      <c r="H315" s="242"/>
      <c r="I315" s="244"/>
      <c r="J315" s="244"/>
      <c r="K315" s="133"/>
      <c r="L315" s="35"/>
      <c r="M315" s="35"/>
      <c r="N315" s="35"/>
      <c r="O315" s="35"/>
      <c r="P315" s="35"/>
      <c r="Q315" s="35"/>
      <c r="R315" s="35"/>
      <c r="S315" s="35"/>
      <c r="T315" s="35"/>
    </row>
    <row r="316" spans="2:20" ht="15" hidden="1" customHeight="1" outlineLevel="1">
      <c r="B316" s="130"/>
      <c r="C316" s="241">
        <v>44344</v>
      </c>
      <c r="D316" s="242">
        <v>47.68</v>
      </c>
      <c r="E316" s="243"/>
      <c r="F316" s="242">
        <v>8.377637</v>
      </c>
      <c r="G316" s="242">
        <v>47.68</v>
      </c>
      <c r="H316" s="242"/>
      <c r="I316" s="244"/>
      <c r="J316" s="244"/>
      <c r="K316" s="133"/>
      <c r="L316" s="35"/>
      <c r="M316" s="35"/>
      <c r="N316" s="35"/>
      <c r="O316" s="35"/>
      <c r="P316" s="35"/>
      <c r="Q316" s="35"/>
      <c r="R316" s="35"/>
      <c r="S316" s="35"/>
      <c r="T316" s="35"/>
    </row>
    <row r="317" spans="2:20" ht="15" hidden="1" customHeight="1" outlineLevel="1">
      <c r="B317" s="130"/>
      <c r="C317" s="241">
        <v>44348</v>
      </c>
      <c r="D317" s="242">
        <v>47.7</v>
      </c>
      <c r="E317" s="243"/>
      <c r="F317" s="242">
        <v>11.986190000000001</v>
      </c>
      <c r="G317" s="242">
        <v>47.7</v>
      </c>
      <c r="H317" s="242"/>
      <c r="I317" s="244"/>
      <c r="J317" s="244"/>
      <c r="K317" s="133"/>
      <c r="L317" s="35"/>
      <c r="M317" s="35"/>
      <c r="N317" s="35"/>
      <c r="O317" s="35"/>
      <c r="P317" s="35"/>
      <c r="Q317" s="35"/>
      <c r="R317" s="35"/>
      <c r="S317" s="35"/>
      <c r="T317" s="35"/>
    </row>
    <row r="318" spans="2:20" ht="15" hidden="1" customHeight="1" outlineLevel="1">
      <c r="B318" s="130"/>
      <c r="C318" s="241">
        <v>44349</v>
      </c>
      <c r="D318" s="242">
        <v>47.77</v>
      </c>
      <c r="E318" s="243"/>
      <c r="F318" s="242">
        <v>9.1086229999999997</v>
      </c>
      <c r="G318" s="242">
        <v>47.77</v>
      </c>
      <c r="H318" s="242"/>
      <c r="I318" s="244"/>
      <c r="J318" s="244"/>
      <c r="K318" s="133"/>
      <c r="L318" s="35"/>
      <c r="M318" s="35"/>
      <c r="N318" s="35"/>
      <c r="O318" s="35"/>
      <c r="P318" s="35"/>
      <c r="Q318" s="35"/>
      <c r="R318" s="35"/>
      <c r="S318" s="35"/>
      <c r="T318" s="35"/>
    </row>
    <row r="319" spans="2:20" ht="15" hidden="1" customHeight="1" outlineLevel="1">
      <c r="B319" s="130"/>
      <c r="C319" s="241">
        <v>44350</v>
      </c>
      <c r="D319" s="242">
        <v>46.13</v>
      </c>
      <c r="E319" s="243"/>
      <c r="F319" s="242">
        <v>11.55561</v>
      </c>
      <c r="G319" s="242">
        <v>46.13</v>
      </c>
      <c r="H319" s="242"/>
      <c r="I319" s="244"/>
      <c r="J319" s="244"/>
      <c r="K319" s="133"/>
      <c r="L319" s="35"/>
      <c r="M319" s="35"/>
      <c r="N319" s="35"/>
      <c r="O319" s="35"/>
      <c r="P319" s="35"/>
      <c r="Q319" s="35"/>
      <c r="R319" s="35"/>
      <c r="S319" s="35"/>
      <c r="T319" s="35"/>
    </row>
    <row r="320" spans="2:20" ht="15" hidden="1" customHeight="1" outlineLevel="1">
      <c r="B320" s="130"/>
      <c r="C320" s="241">
        <v>44351</v>
      </c>
      <c r="D320" s="242">
        <v>45.98</v>
      </c>
      <c r="E320" s="243"/>
      <c r="F320" s="242">
        <v>7.6994470000000002</v>
      </c>
      <c r="G320" s="242">
        <v>45.98</v>
      </c>
      <c r="H320" s="242"/>
      <c r="I320" s="244"/>
      <c r="J320" s="244"/>
      <c r="K320" s="133"/>
      <c r="L320" s="35"/>
      <c r="M320" s="35"/>
      <c r="N320" s="35"/>
      <c r="O320" s="35"/>
      <c r="P320" s="35"/>
      <c r="Q320" s="35"/>
      <c r="R320" s="35"/>
      <c r="S320" s="35"/>
      <c r="T320" s="35"/>
    </row>
    <row r="321" spans="2:20" ht="15" hidden="1" customHeight="1" outlineLevel="1">
      <c r="B321" s="130"/>
      <c r="C321" s="241">
        <v>44354</v>
      </c>
      <c r="D321" s="242">
        <v>46.08</v>
      </c>
      <c r="E321" s="243"/>
      <c r="F321" s="242">
        <v>6.1201939999999997</v>
      </c>
      <c r="G321" s="242">
        <v>46.08</v>
      </c>
      <c r="H321" s="242"/>
      <c r="I321" s="244"/>
      <c r="J321" s="244"/>
      <c r="K321" s="133"/>
      <c r="L321" s="35"/>
      <c r="M321" s="35"/>
      <c r="N321" s="35"/>
      <c r="O321" s="35"/>
      <c r="P321" s="35"/>
      <c r="Q321" s="35"/>
      <c r="R321" s="35"/>
      <c r="S321" s="35"/>
      <c r="T321" s="35"/>
    </row>
    <row r="322" spans="2:20" ht="15" hidden="1" customHeight="1" outlineLevel="1">
      <c r="B322" s="130"/>
      <c r="C322" s="241">
        <v>44355</v>
      </c>
      <c r="D322" s="242">
        <v>47.04</v>
      </c>
      <c r="E322" s="243"/>
      <c r="F322" s="242">
        <v>10.714130000000001</v>
      </c>
      <c r="G322" s="242">
        <v>47.04</v>
      </c>
      <c r="H322" s="242"/>
      <c r="I322" s="244"/>
      <c r="J322" s="244"/>
      <c r="K322" s="133"/>
      <c r="L322" s="35"/>
      <c r="M322" s="35"/>
      <c r="N322" s="35"/>
      <c r="O322" s="35"/>
      <c r="P322" s="35"/>
      <c r="Q322" s="35"/>
      <c r="R322" s="35"/>
      <c r="S322" s="35"/>
      <c r="T322" s="35"/>
    </row>
    <row r="323" spans="2:20" ht="15" hidden="1" customHeight="1" outlineLevel="1">
      <c r="B323" s="130"/>
      <c r="C323" s="241">
        <v>44356</v>
      </c>
      <c r="D323" s="242">
        <v>46.52</v>
      </c>
      <c r="E323" s="243"/>
      <c r="F323" s="242">
        <v>6.7411649999999996</v>
      </c>
      <c r="G323" s="242">
        <v>46.52</v>
      </c>
      <c r="H323" s="242"/>
      <c r="I323" s="244"/>
      <c r="J323" s="244"/>
      <c r="K323" s="133"/>
      <c r="L323" s="35"/>
      <c r="M323" s="35"/>
      <c r="N323" s="35"/>
      <c r="O323" s="35"/>
      <c r="P323" s="35"/>
      <c r="Q323" s="35"/>
      <c r="R323" s="35"/>
      <c r="S323" s="35"/>
      <c r="T323" s="35"/>
    </row>
    <row r="324" spans="2:20" ht="15" hidden="1" customHeight="1" outlineLevel="1">
      <c r="B324" s="130"/>
      <c r="C324" s="241">
        <v>44357</v>
      </c>
      <c r="D324" s="242">
        <v>46.28</v>
      </c>
      <c r="E324" s="243"/>
      <c r="F324" s="242">
        <v>9.780818</v>
      </c>
      <c r="G324" s="242">
        <v>46.28</v>
      </c>
      <c r="H324" s="242"/>
      <c r="I324" s="244"/>
      <c r="J324" s="244"/>
      <c r="K324" s="133"/>
      <c r="L324" s="35"/>
      <c r="M324" s="35"/>
      <c r="N324" s="35"/>
      <c r="O324" s="35"/>
      <c r="P324" s="35"/>
      <c r="Q324" s="35"/>
      <c r="R324" s="35"/>
      <c r="S324" s="35"/>
      <c r="T324" s="35"/>
    </row>
    <row r="325" spans="2:20" ht="15" hidden="1" customHeight="1" outlineLevel="1">
      <c r="B325" s="130"/>
      <c r="C325" s="241">
        <v>44358</v>
      </c>
      <c r="D325" s="242">
        <v>46.5</v>
      </c>
      <c r="E325" s="243"/>
      <c r="F325" s="242">
        <v>8.2160589999999996</v>
      </c>
      <c r="G325" s="242">
        <v>46.5</v>
      </c>
      <c r="H325" s="242"/>
      <c r="I325" s="244"/>
      <c r="J325" s="244"/>
      <c r="K325" s="133"/>
      <c r="L325" s="35"/>
      <c r="M325" s="35"/>
      <c r="N325" s="35"/>
      <c r="O325" s="35"/>
      <c r="P325" s="35"/>
      <c r="Q325" s="35"/>
      <c r="R325" s="35"/>
      <c r="S325" s="35"/>
      <c r="T325" s="35"/>
    </row>
    <row r="326" spans="2:20" ht="15" hidden="1" customHeight="1" outlineLevel="1">
      <c r="B326" s="130"/>
      <c r="C326" s="241">
        <v>44361</v>
      </c>
      <c r="D326" s="242">
        <v>45.9</v>
      </c>
      <c r="E326" s="243"/>
      <c r="F326" s="242">
        <v>11.18416</v>
      </c>
      <c r="G326" s="242">
        <v>45.9</v>
      </c>
      <c r="H326" s="242"/>
      <c r="I326" s="244"/>
      <c r="J326" s="244"/>
      <c r="K326" s="133"/>
      <c r="L326" s="35"/>
      <c r="M326" s="35"/>
      <c r="N326" s="35"/>
      <c r="O326" s="35"/>
      <c r="P326" s="35"/>
      <c r="Q326" s="35"/>
      <c r="R326" s="35"/>
      <c r="S326" s="35"/>
      <c r="T326" s="35"/>
    </row>
    <row r="327" spans="2:20" ht="15" hidden="1" customHeight="1" outlineLevel="1">
      <c r="B327" s="130"/>
      <c r="C327" s="241">
        <v>44362</v>
      </c>
      <c r="D327" s="242">
        <v>45.53</v>
      </c>
      <c r="E327" s="243"/>
      <c r="F327" s="242">
        <v>7.8984500000000004</v>
      </c>
      <c r="G327" s="242">
        <v>45.53</v>
      </c>
      <c r="H327" s="242"/>
      <c r="I327" s="244"/>
      <c r="J327" s="244"/>
      <c r="K327" s="133"/>
      <c r="L327" s="35"/>
      <c r="M327" s="35"/>
      <c r="N327" s="35"/>
      <c r="O327" s="35"/>
      <c r="P327" s="35"/>
      <c r="Q327" s="35"/>
      <c r="R327" s="35"/>
      <c r="S327" s="35"/>
      <c r="T327" s="35"/>
    </row>
    <row r="328" spans="2:20" ht="15" hidden="1" customHeight="1" outlineLevel="1">
      <c r="B328" s="130"/>
      <c r="C328" s="241">
        <v>44363</v>
      </c>
      <c r="D328" s="242">
        <v>45.52</v>
      </c>
      <c r="E328" s="243"/>
      <c r="F328" s="242">
        <v>8.5655059999999992</v>
      </c>
      <c r="G328" s="242">
        <v>45.52</v>
      </c>
      <c r="H328" s="242"/>
      <c r="I328" s="244"/>
      <c r="J328" s="244"/>
      <c r="K328" s="133"/>
      <c r="L328" s="35"/>
      <c r="M328" s="35"/>
      <c r="N328" s="35"/>
      <c r="O328" s="35"/>
      <c r="P328" s="35"/>
      <c r="Q328" s="35"/>
      <c r="R328" s="35"/>
      <c r="S328" s="35"/>
      <c r="T328" s="35"/>
    </row>
    <row r="329" spans="2:20" ht="15" hidden="1" customHeight="1" outlineLevel="1">
      <c r="B329" s="130"/>
      <c r="C329" s="241">
        <v>44364</v>
      </c>
      <c r="D329" s="242">
        <v>44.57</v>
      </c>
      <c r="E329" s="243"/>
      <c r="F329" s="242">
        <v>10.14456</v>
      </c>
      <c r="G329" s="242">
        <v>44.57</v>
      </c>
      <c r="H329" s="242"/>
      <c r="I329" s="244"/>
      <c r="J329" s="244"/>
      <c r="K329" s="133"/>
      <c r="L329" s="35"/>
      <c r="M329" s="35"/>
      <c r="N329" s="35"/>
      <c r="O329" s="35"/>
      <c r="P329" s="35"/>
      <c r="Q329" s="35"/>
      <c r="R329" s="35"/>
      <c r="S329" s="35"/>
      <c r="T329" s="35"/>
    </row>
    <row r="330" spans="2:20" ht="15" hidden="1" customHeight="1" outlineLevel="1">
      <c r="B330" s="130"/>
      <c r="C330" s="241">
        <v>44365</v>
      </c>
      <c r="D330" s="242">
        <v>44.96</v>
      </c>
      <c r="E330" s="243"/>
      <c r="F330" s="242">
        <v>15.21935</v>
      </c>
      <c r="G330" s="242">
        <v>44.96</v>
      </c>
      <c r="H330" s="242"/>
      <c r="I330" s="244"/>
      <c r="J330" s="244"/>
      <c r="K330" s="133"/>
      <c r="L330" s="35"/>
      <c r="M330" s="35"/>
      <c r="N330" s="35"/>
      <c r="O330" s="35"/>
      <c r="P330" s="35"/>
      <c r="Q330" s="35"/>
      <c r="R330" s="35"/>
      <c r="S330" s="35"/>
      <c r="T330" s="35"/>
    </row>
    <row r="331" spans="2:20" ht="15" hidden="1" customHeight="1" outlineLevel="1">
      <c r="B331" s="130"/>
      <c r="C331" s="241">
        <v>44368</v>
      </c>
      <c r="D331" s="242">
        <v>45.77</v>
      </c>
      <c r="E331" s="243"/>
      <c r="F331" s="242">
        <v>9.8614270000000008</v>
      </c>
      <c r="G331" s="242">
        <v>45.77</v>
      </c>
      <c r="H331" s="242"/>
      <c r="I331" s="244"/>
      <c r="J331" s="244"/>
      <c r="K331" s="133"/>
      <c r="L331" s="35"/>
      <c r="M331" s="35"/>
      <c r="N331" s="35"/>
      <c r="O331" s="35"/>
      <c r="P331" s="35"/>
      <c r="Q331" s="35"/>
      <c r="R331" s="35"/>
      <c r="S331" s="35"/>
      <c r="T331" s="35"/>
    </row>
    <row r="332" spans="2:20" ht="15" hidden="1" customHeight="1" outlineLevel="1">
      <c r="B332" s="130"/>
      <c r="C332" s="241">
        <v>44369</v>
      </c>
      <c r="D332" s="242">
        <v>45.37</v>
      </c>
      <c r="E332" s="243"/>
      <c r="F332" s="242">
        <v>8.4998210000000007</v>
      </c>
      <c r="G332" s="242">
        <v>45.37</v>
      </c>
      <c r="H332" s="242"/>
      <c r="I332" s="244"/>
      <c r="J332" s="244"/>
      <c r="K332" s="133"/>
      <c r="L332" s="35"/>
      <c r="M332" s="35"/>
      <c r="N332" s="35"/>
      <c r="O332" s="35"/>
      <c r="P332" s="35"/>
      <c r="Q332" s="35"/>
      <c r="R332" s="35"/>
      <c r="S332" s="35"/>
      <c r="T332" s="35"/>
    </row>
    <row r="333" spans="2:20" ht="15" hidden="1" customHeight="1" outlineLevel="1">
      <c r="B333" s="130"/>
      <c r="C333" s="241">
        <v>44370</v>
      </c>
      <c r="D333" s="242">
        <v>45.27</v>
      </c>
      <c r="E333" s="243"/>
      <c r="F333" s="242">
        <v>7.406091</v>
      </c>
      <c r="G333" s="242">
        <v>45.27</v>
      </c>
      <c r="H333" s="242"/>
      <c r="I333" s="244"/>
      <c r="J333" s="244"/>
      <c r="K333" s="133"/>
      <c r="L333" s="35"/>
      <c r="M333" s="35"/>
      <c r="N333" s="35"/>
      <c r="O333" s="35"/>
      <c r="P333" s="35"/>
      <c r="Q333" s="35"/>
      <c r="R333" s="35"/>
      <c r="S333" s="35"/>
      <c r="T333" s="35"/>
    </row>
    <row r="334" spans="2:20" ht="15" hidden="1" customHeight="1" outlineLevel="1">
      <c r="B334" s="130"/>
      <c r="C334" s="241">
        <v>44371</v>
      </c>
      <c r="D334" s="242">
        <v>44.91</v>
      </c>
      <c r="E334" s="243"/>
      <c r="F334" s="242">
        <v>9.3003090000000004</v>
      </c>
      <c r="G334" s="242">
        <v>44.91</v>
      </c>
      <c r="H334" s="242"/>
      <c r="I334" s="244"/>
      <c r="J334" s="244"/>
      <c r="K334" s="133"/>
      <c r="L334" s="35"/>
      <c r="M334" s="35"/>
      <c r="N334" s="35"/>
      <c r="O334" s="35"/>
      <c r="P334" s="35"/>
      <c r="Q334" s="35"/>
      <c r="R334" s="35"/>
      <c r="S334" s="35"/>
      <c r="T334" s="35"/>
    </row>
    <row r="335" spans="2:20" ht="15" hidden="1" customHeight="1" outlineLevel="1">
      <c r="B335" s="130"/>
      <c r="C335" s="241">
        <v>44372</v>
      </c>
      <c r="D335" s="242">
        <v>44.43</v>
      </c>
      <c r="E335" s="243"/>
      <c r="F335" s="242">
        <v>23.930389999999999</v>
      </c>
      <c r="G335" s="242">
        <v>44.43</v>
      </c>
      <c r="H335" s="242"/>
      <c r="I335" s="244"/>
      <c r="J335" s="244"/>
      <c r="K335" s="133"/>
      <c r="L335" s="35"/>
      <c r="M335" s="35"/>
      <c r="N335" s="35"/>
      <c r="O335" s="35"/>
      <c r="P335" s="35"/>
      <c r="Q335" s="35"/>
      <c r="R335" s="35"/>
      <c r="S335" s="35"/>
      <c r="T335" s="35"/>
    </row>
    <row r="336" spans="2:20" ht="15" hidden="1" customHeight="1" outlineLevel="1">
      <c r="B336" s="130"/>
      <c r="C336" s="241">
        <v>44375</v>
      </c>
      <c r="D336" s="242">
        <v>43.12</v>
      </c>
      <c r="E336" s="243"/>
      <c r="F336" s="242">
        <v>17.441510000000001</v>
      </c>
      <c r="G336" s="242">
        <v>43.12</v>
      </c>
      <c r="H336" s="242"/>
      <c r="I336" s="244"/>
      <c r="J336" s="244"/>
      <c r="K336" s="133"/>
      <c r="L336" s="35"/>
      <c r="M336" s="35"/>
      <c r="N336" s="35"/>
      <c r="O336" s="35"/>
      <c r="P336" s="35"/>
      <c r="Q336" s="35"/>
      <c r="R336" s="35"/>
      <c r="S336" s="35"/>
      <c r="T336" s="35"/>
    </row>
    <row r="337" spans="2:20" ht="15" hidden="1" customHeight="1" outlineLevel="1">
      <c r="B337" s="130"/>
      <c r="C337" s="241">
        <v>44376</v>
      </c>
      <c r="D337" s="242">
        <v>42.87</v>
      </c>
      <c r="E337" s="243"/>
      <c r="F337" s="242">
        <v>9.4777629999999995</v>
      </c>
      <c r="G337" s="242">
        <v>42.87</v>
      </c>
      <c r="H337" s="242"/>
      <c r="I337" s="244"/>
      <c r="J337" s="244"/>
      <c r="K337" s="133"/>
      <c r="L337" s="35"/>
      <c r="M337" s="35"/>
      <c r="N337" s="35"/>
      <c r="O337" s="35"/>
      <c r="P337" s="35"/>
      <c r="Q337" s="35"/>
      <c r="R337" s="35"/>
      <c r="S337" s="35"/>
      <c r="T337" s="35"/>
    </row>
    <row r="338" spans="2:20" ht="15" hidden="1" customHeight="1" outlineLevel="1">
      <c r="B338" s="130"/>
      <c r="C338" s="241">
        <v>44377</v>
      </c>
      <c r="D338" s="242">
        <v>43.26</v>
      </c>
      <c r="E338" s="243"/>
      <c r="F338" s="242">
        <v>7.8455209999999997</v>
      </c>
      <c r="G338" s="242">
        <v>43.26</v>
      </c>
      <c r="H338" s="242"/>
      <c r="I338" s="244"/>
      <c r="J338" s="244"/>
      <c r="K338" s="133"/>
      <c r="L338" s="35"/>
      <c r="M338" s="35"/>
      <c r="N338" s="35"/>
      <c r="O338" s="35"/>
      <c r="P338" s="35"/>
      <c r="Q338" s="35"/>
      <c r="R338" s="35"/>
      <c r="S338" s="35"/>
      <c r="T338" s="35"/>
    </row>
    <row r="339" spans="2:20" ht="15" hidden="1" customHeight="1" outlineLevel="1">
      <c r="B339" s="130"/>
      <c r="C339" s="241">
        <v>44378</v>
      </c>
      <c r="D339" s="242">
        <v>44.23</v>
      </c>
      <c r="E339" s="243"/>
      <c r="F339" s="242">
        <v>9.8738200000000003</v>
      </c>
      <c r="G339" s="242">
        <v>44.23</v>
      </c>
      <c r="H339" s="242"/>
      <c r="I339" s="244"/>
      <c r="J339" s="244"/>
      <c r="K339" s="133"/>
      <c r="L339" s="35"/>
      <c r="M339" s="35"/>
      <c r="N339" s="35"/>
      <c r="O339" s="35"/>
      <c r="P339" s="35"/>
      <c r="Q339" s="35"/>
      <c r="R339" s="35"/>
      <c r="S339" s="35"/>
      <c r="T339" s="35"/>
    </row>
    <row r="340" spans="2:20" ht="15" hidden="1" customHeight="1" outlineLevel="1">
      <c r="B340" s="130"/>
      <c r="C340" s="241">
        <v>44379</v>
      </c>
      <c r="D340" s="242">
        <v>44.15</v>
      </c>
      <c r="E340" s="243"/>
      <c r="F340" s="242">
        <v>5.7638389999999999</v>
      </c>
      <c r="G340" s="242">
        <v>44.15</v>
      </c>
      <c r="H340" s="242"/>
      <c r="I340" s="244"/>
      <c r="J340" s="244"/>
      <c r="K340" s="133"/>
      <c r="L340" s="35"/>
      <c r="M340" s="35"/>
      <c r="N340" s="35"/>
      <c r="O340" s="35"/>
      <c r="P340" s="35"/>
      <c r="Q340" s="35"/>
      <c r="R340" s="35"/>
      <c r="S340" s="35"/>
      <c r="T340" s="35"/>
    </row>
    <row r="341" spans="2:20" ht="15" hidden="1" customHeight="1" outlineLevel="1">
      <c r="B341" s="130"/>
      <c r="C341" s="241">
        <v>44383</v>
      </c>
      <c r="D341" s="242">
        <v>43.24</v>
      </c>
      <c r="E341" s="243"/>
      <c r="F341" s="242">
        <v>7.880986</v>
      </c>
      <c r="G341" s="242">
        <v>43.24</v>
      </c>
      <c r="H341" s="242"/>
      <c r="I341" s="244"/>
      <c r="J341" s="244"/>
      <c r="K341" s="133"/>
      <c r="L341" s="35"/>
      <c r="M341" s="35"/>
      <c r="N341" s="35"/>
      <c r="O341" s="35"/>
      <c r="P341" s="35"/>
      <c r="Q341" s="35"/>
      <c r="R341" s="35"/>
      <c r="S341" s="35"/>
      <c r="T341" s="35"/>
    </row>
    <row r="342" spans="2:20" ht="15" hidden="1" customHeight="1" outlineLevel="1">
      <c r="B342" s="130"/>
      <c r="C342" s="241">
        <v>44384</v>
      </c>
      <c r="D342" s="242">
        <v>42.54</v>
      </c>
      <c r="E342" s="243"/>
      <c r="F342" s="242">
        <v>11.85833</v>
      </c>
      <c r="G342" s="242">
        <v>42.54</v>
      </c>
      <c r="H342" s="242"/>
      <c r="I342" s="244"/>
      <c r="J342" s="244"/>
      <c r="K342" s="133"/>
      <c r="L342" s="35"/>
      <c r="M342" s="35"/>
      <c r="N342" s="35"/>
      <c r="O342" s="35"/>
      <c r="P342" s="35"/>
      <c r="Q342" s="35"/>
      <c r="R342" s="35"/>
      <c r="S342" s="35"/>
      <c r="T342" s="35"/>
    </row>
    <row r="343" spans="2:20" ht="15" hidden="1" customHeight="1" outlineLevel="1">
      <c r="B343" s="130"/>
      <c r="C343" s="241">
        <v>44385</v>
      </c>
      <c r="D343" s="242">
        <v>42.07</v>
      </c>
      <c r="E343" s="243"/>
      <c r="F343" s="242">
        <v>10.363899999999999</v>
      </c>
      <c r="G343" s="242">
        <v>42.07</v>
      </c>
      <c r="H343" s="242"/>
      <c r="I343" s="244"/>
      <c r="J343" s="244"/>
      <c r="K343" s="133"/>
      <c r="L343" s="35"/>
      <c r="M343" s="35"/>
      <c r="N343" s="35"/>
      <c r="O343" s="35"/>
      <c r="P343" s="35"/>
      <c r="Q343" s="35"/>
      <c r="R343" s="35"/>
      <c r="S343" s="35"/>
      <c r="T343" s="35"/>
    </row>
    <row r="344" spans="2:20" ht="15" hidden="1" customHeight="1" outlineLevel="1">
      <c r="B344" s="130"/>
      <c r="C344" s="241">
        <v>44386</v>
      </c>
      <c r="D344" s="242">
        <v>42.92</v>
      </c>
      <c r="E344" s="243"/>
      <c r="F344" s="242">
        <v>7.7070699999999999</v>
      </c>
      <c r="G344" s="242">
        <v>42.92</v>
      </c>
      <c r="H344" s="242"/>
      <c r="I344" s="244"/>
      <c r="J344" s="244"/>
      <c r="K344" s="133"/>
      <c r="L344" s="35"/>
      <c r="M344" s="35"/>
      <c r="N344" s="35"/>
      <c r="O344" s="35"/>
      <c r="P344" s="35"/>
      <c r="Q344" s="35"/>
      <c r="R344" s="35"/>
      <c r="S344" s="35"/>
      <c r="T344" s="35"/>
    </row>
    <row r="345" spans="2:20" ht="15" hidden="1" customHeight="1" outlineLevel="1">
      <c r="B345" s="130"/>
      <c r="C345" s="241">
        <v>44389</v>
      </c>
      <c r="D345" s="242">
        <v>42.85</v>
      </c>
      <c r="E345" s="243"/>
      <c r="F345" s="242">
        <v>10.625970000000001</v>
      </c>
      <c r="G345" s="242">
        <v>42.85</v>
      </c>
      <c r="H345" s="242"/>
      <c r="I345" s="244"/>
      <c r="J345" s="244"/>
      <c r="K345" s="133"/>
      <c r="L345" s="35"/>
      <c r="M345" s="35"/>
      <c r="N345" s="35"/>
      <c r="O345" s="35"/>
      <c r="P345" s="35"/>
      <c r="Q345" s="35"/>
      <c r="R345" s="35"/>
      <c r="S345" s="35"/>
      <c r="T345" s="35"/>
    </row>
    <row r="346" spans="2:20" ht="15" hidden="1" customHeight="1" outlineLevel="1">
      <c r="B346" s="130"/>
      <c r="C346" s="241">
        <v>44390</v>
      </c>
      <c r="D346" s="242">
        <v>41.33</v>
      </c>
      <c r="E346" s="243"/>
      <c r="F346" s="242">
        <v>14.61036</v>
      </c>
      <c r="G346" s="242">
        <v>41.33</v>
      </c>
      <c r="H346" s="242"/>
      <c r="I346" s="244"/>
      <c r="J346" s="244"/>
      <c r="K346" s="133"/>
      <c r="L346" s="35"/>
      <c r="M346" s="35"/>
      <c r="N346" s="35"/>
      <c r="O346" s="35"/>
      <c r="P346" s="35"/>
      <c r="Q346" s="35"/>
      <c r="R346" s="35"/>
      <c r="S346" s="35"/>
      <c r="T346" s="35"/>
    </row>
    <row r="347" spans="2:20" ht="15" hidden="1" customHeight="1" outlineLevel="1">
      <c r="B347" s="130"/>
      <c r="C347" s="241">
        <v>44391</v>
      </c>
      <c r="D347" s="242">
        <v>40.68</v>
      </c>
      <c r="E347" s="243"/>
      <c r="F347" s="242">
        <v>31.085740000000001</v>
      </c>
      <c r="G347" s="242">
        <v>40.68</v>
      </c>
      <c r="H347" s="242"/>
      <c r="I347" s="244"/>
      <c r="J347" s="244"/>
      <c r="K347" s="133"/>
      <c r="L347" s="35"/>
      <c r="M347" s="35"/>
      <c r="N347" s="35"/>
      <c r="O347" s="35"/>
      <c r="P347" s="35"/>
      <c r="Q347" s="35"/>
      <c r="R347" s="35"/>
      <c r="S347" s="35"/>
      <c r="T347" s="35"/>
    </row>
    <row r="348" spans="2:20" ht="15" hidden="1" customHeight="1" outlineLevel="1">
      <c r="B348" s="130"/>
      <c r="C348" s="241">
        <v>44392</v>
      </c>
      <c r="D348" s="242">
        <v>41.35</v>
      </c>
      <c r="E348" s="243"/>
      <c r="F348" s="242">
        <v>20.89631</v>
      </c>
      <c r="G348" s="242">
        <v>41.35</v>
      </c>
      <c r="H348" s="242"/>
      <c r="I348" s="244"/>
      <c r="J348" s="244"/>
      <c r="K348" s="133"/>
      <c r="L348" s="35"/>
      <c r="M348" s="35"/>
      <c r="N348" s="35"/>
      <c r="O348" s="35"/>
      <c r="P348" s="35"/>
      <c r="Q348" s="35"/>
      <c r="R348" s="35"/>
      <c r="S348" s="35"/>
      <c r="T348" s="35"/>
    </row>
    <row r="349" spans="2:20" ht="15" hidden="1" customHeight="1" outlineLevel="1">
      <c r="B349" s="130"/>
      <c r="C349" s="241">
        <v>44393</v>
      </c>
      <c r="D349" s="242">
        <v>40.06</v>
      </c>
      <c r="E349" s="243"/>
      <c r="F349" s="242">
        <v>16.726649999999999</v>
      </c>
      <c r="G349" s="242">
        <v>40.06</v>
      </c>
      <c r="H349" s="242"/>
      <c r="I349" s="244"/>
      <c r="J349" s="244"/>
      <c r="K349" s="133"/>
      <c r="L349" s="35"/>
      <c r="M349" s="35"/>
      <c r="N349" s="35"/>
      <c r="O349" s="35"/>
      <c r="P349" s="35"/>
      <c r="Q349" s="35"/>
      <c r="R349" s="35"/>
      <c r="S349" s="35"/>
      <c r="T349" s="35"/>
    </row>
    <row r="350" spans="2:20" ht="15" hidden="1" customHeight="1" outlineLevel="1">
      <c r="B350" s="130"/>
      <c r="C350" s="241">
        <v>44396</v>
      </c>
      <c r="D350" s="242">
        <v>38.56</v>
      </c>
      <c r="E350" s="243"/>
      <c r="F350" s="242">
        <v>27.073810000000002</v>
      </c>
      <c r="G350" s="242">
        <v>38.56</v>
      </c>
      <c r="H350" s="242"/>
      <c r="I350" s="244"/>
      <c r="J350" s="244"/>
      <c r="K350" s="133"/>
      <c r="L350" s="35"/>
      <c r="M350" s="35"/>
      <c r="N350" s="35"/>
      <c r="O350" s="35"/>
      <c r="P350" s="35"/>
      <c r="Q350" s="35"/>
      <c r="R350" s="35"/>
      <c r="S350" s="35"/>
      <c r="T350" s="35"/>
    </row>
    <row r="351" spans="2:20" ht="15" hidden="1" customHeight="1" outlineLevel="1">
      <c r="B351" s="130"/>
      <c r="C351" s="241">
        <v>44397</v>
      </c>
      <c r="D351" s="242">
        <v>40.659999999999997</v>
      </c>
      <c r="E351" s="243"/>
      <c r="F351" s="242">
        <v>17.690650000000002</v>
      </c>
      <c r="G351" s="242">
        <v>40.659999999999997</v>
      </c>
      <c r="H351" s="242"/>
      <c r="I351" s="244"/>
      <c r="J351" s="244"/>
      <c r="K351" s="133"/>
      <c r="L351" s="35"/>
      <c r="M351" s="35"/>
      <c r="N351" s="35"/>
      <c r="O351" s="35"/>
      <c r="P351" s="35"/>
      <c r="Q351" s="35"/>
      <c r="R351" s="35"/>
      <c r="S351" s="35"/>
      <c r="T351" s="35"/>
    </row>
    <row r="352" spans="2:20" ht="15" hidden="1" customHeight="1" outlineLevel="1">
      <c r="B352" s="130"/>
      <c r="C352" s="241">
        <v>44398</v>
      </c>
      <c r="D352" s="242">
        <v>41.61</v>
      </c>
      <c r="E352" s="243"/>
      <c r="F352" s="242">
        <v>19.14526</v>
      </c>
      <c r="G352" s="242">
        <v>41.61</v>
      </c>
      <c r="H352" s="242"/>
      <c r="I352" s="244"/>
      <c r="J352" s="244"/>
      <c r="K352" s="133"/>
      <c r="L352" s="35"/>
      <c r="M352" s="35"/>
      <c r="N352" s="35"/>
      <c r="O352" s="35"/>
      <c r="P352" s="35"/>
      <c r="Q352" s="35"/>
      <c r="R352" s="35"/>
      <c r="S352" s="35"/>
      <c r="T352" s="35"/>
    </row>
    <row r="353" spans="2:20" ht="15" hidden="1" customHeight="1" outlineLevel="1">
      <c r="B353" s="130"/>
      <c r="C353" s="241">
        <v>44399</v>
      </c>
      <c r="D353" s="242">
        <v>41.06</v>
      </c>
      <c r="E353" s="243"/>
      <c r="F353" s="242">
        <v>10.850619999999999</v>
      </c>
      <c r="G353" s="242">
        <v>41.06</v>
      </c>
      <c r="H353" s="242"/>
      <c r="I353" s="244"/>
      <c r="J353" s="244"/>
      <c r="K353" s="133"/>
      <c r="L353" s="35"/>
      <c r="M353" s="35"/>
      <c r="N353" s="35"/>
      <c r="O353" s="35"/>
      <c r="P353" s="35"/>
      <c r="Q353" s="35"/>
      <c r="R353" s="35"/>
      <c r="S353" s="35"/>
      <c r="T353" s="35"/>
    </row>
    <row r="354" spans="2:20" ht="15" hidden="1" customHeight="1" outlineLevel="1">
      <c r="B354" s="130"/>
      <c r="C354" s="241">
        <v>44400</v>
      </c>
      <c r="D354" s="242">
        <v>40.409999999999997</v>
      </c>
      <c r="E354" s="243"/>
      <c r="F354" s="242">
        <v>10.10162</v>
      </c>
      <c r="G354" s="242">
        <v>40.409999999999997</v>
      </c>
      <c r="H354" s="242"/>
      <c r="I354" s="244"/>
      <c r="J354" s="244"/>
      <c r="K354" s="133"/>
      <c r="L354" s="35"/>
      <c r="M354" s="35"/>
      <c r="N354" s="35"/>
      <c r="O354" s="35"/>
      <c r="P354" s="35"/>
      <c r="Q354" s="35"/>
      <c r="R354" s="35"/>
      <c r="S354" s="35"/>
      <c r="T354" s="35"/>
    </row>
    <row r="355" spans="2:20" ht="15" hidden="1" customHeight="1" outlineLevel="1">
      <c r="B355" s="130"/>
      <c r="C355" s="241">
        <v>44403</v>
      </c>
      <c r="D355" s="242">
        <v>41.67</v>
      </c>
      <c r="E355" s="243"/>
      <c r="F355" s="242">
        <v>10.014849999999999</v>
      </c>
      <c r="G355" s="242">
        <v>41.67</v>
      </c>
      <c r="H355" s="242"/>
      <c r="I355" s="244"/>
      <c r="J355" s="244"/>
      <c r="K355" s="133"/>
      <c r="L355" s="35"/>
      <c r="M355" s="35"/>
      <c r="N355" s="35"/>
      <c r="O355" s="35"/>
      <c r="P355" s="35"/>
      <c r="Q355" s="35"/>
      <c r="R355" s="35"/>
      <c r="S355" s="35"/>
      <c r="T355" s="35"/>
    </row>
    <row r="356" spans="2:20" ht="15" hidden="1" customHeight="1" outlineLevel="1">
      <c r="B356" s="130"/>
      <c r="C356" s="241">
        <v>44404</v>
      </c>
      <c r="D356" s="242">
        <v>40.96</v>
      </c>
      <c r="E356" s="243"/>
      <c r="F356" s="242">
        <v>10.5082</v>
      </c>
      <c r="G356" s="242">
        <v>40.96</v>
      </c>
      <c r="H356" s="242"/>
      <c r="I356" s="244"/>
      <c r="J356" s="244"/>
      <c r="K356" s="133"/>
      <c r="L356" s="35"/>
      <c r="M356" s="35"/>
      <c r="N356" s="35"/>
      <c r="O356" s="35"/>
      <c r="P356" s="35"/>
      <c r="Q356" s="35"/>
      <c r="R356" s="35"/>
      <c r="S356" s="35"/>
      <c r="T356" s="35"/>
    </row>
    <row r="357" spans="2:20" ht="15" hidden="1" customHeight="1" outlineLevel="1">
      <c r="B357" s="130"/>
      <c r="C357" s="241">
        <v>44405</v>
      </c>
      <c r="D357" s="242">
        <v>41.3</v>
      </c>
      <c r="E357" s="243"/>
      <c r="F357" s="242">
        <v>7.5385650000000002</v>
      </c>
      <c r="G357" s="242">
        <v>41.3</v>
      </c>
      <c r="H357" s="242"/>
      <c r="I357" s="244"/>
      <c r="J357" s="244"/>
      <c r="K357" s="133"/>
      <c r="L357" s="35"/>
      <c r="M357" s="35"/>
      <c r="N357" s="35"/>
      <c r="O357" s="35"/>
      <c r="P357" s="35"/>
      <c r="Q357" s="35"/>
      <c r="R357" s="35"/>
      <c r="S357" s="35"/>
      <c r="T357" s="35"/>
    </row>
    <row r="358" spans="2:20" ht="15" hidden="1" customHeight="1" outlineLevel="1">
      <c r="B358" s="130"/>
      <c r="C358" s="241">
        <v>44406</v>
      </c>
      <c r="D358" s="242">
        <v>41.23</v>
      </c>
      <c r="E358" s="243"/>
      <c r="F358" s="242">
        <v>8.3574000000000002</v>
      </c>
      <c r="G358" s="242">
        <v>41.23</v>
      </c>
      <c r="H358" s="242"/>
      <c r="I358" s="244"/>
      <c r="J358" s="244"/>
      <c r="K358" s="133"/>
      <c r="L358" s="35"/>
      <c r="M358" s="35"/>
      <c r="N358" s="35"/>
      <c r="O358" s="35"/>
      <c r="P358" s="35"/>
      <c r="Q358" s="35"/>
      <c r="R358" s="35"/>
      <c r="S358" s="35"/>
      <c r="T358" s="35"/>
    </row>
    <row r="359" spans="2:20" ht="15" hidden="1" customHeight="1" outlineLevel="1">
      <c r="B359" s="130"/>
      <c r="C359" s="241">
        <v>44407</v>
      </c>
      <c r="D359" s="242">
        <v>39.9</v>
      </c>
      <c r="E359" s="243"/>
      <c r="F359" s="242">
        <v>12.20233</v>
      </c>
      <c r="G359" s="242">
        <v>39.9</v>
      </c>
      <c r="H359" s="242"/>
      <c r="I359" s="244"/>
      <c r="J359" s="244"/>
      <c r="K359" s="133"/>
      <c r="L359" s="35"/>
      <c r="M359" s="35"/>
      <c r="N359" s="35"/>
      <c r="O359" s="35"/>
      <c r="P359" s="35"/>
      <c r="Q359" s="35"/>
      <c r="R359" s="35"/>
      <c r="S359" s="35"/>
      <c r="T359" s="35"/>
    </row>
    <row r="360" spans="2:20" ht="15" hidden="1" customHeight="1" outlineLevel="1">
      <c r="B360" s="130"/>
      <c r="C360" s="241">
        <v>44410</v>
      </c>
      <c r="D360" s="242">
        <v>39.450000000000003</v>
      </c>
      <c r="E360" s="243"/>
      <c r="F360" s="242">
        <v>11.084820000000001</v>
      </c>
      <c r="G360" s="242">
        <v>39.450000000000003</v>
      </c>
      <c r="H360" s="242"/>
      <c r="I360" s="244"/>
      <c r="J360" s="244"/>
      <c r="K360" s="133"/>
      <c r="L360" s="35"/>
      <c r="M360" s="35"/>
      <c r="N360" s="35"/>
      <c r="O360" s="35"/>
      <c r="P360" s="35"/>
      <c r="Q360" s="35"/>
      <c r="R360" s="35"/>
      <c r="S360" s="35"/>
      <c r="T360" s="35"/>
    </row>
    <row r="361" spans="2:20" ht="15" hidden="1" customHeight="1" outlineLevel="1">
      <c r="B361" s="130"/>
      <c r="C361" s="241">
        <v>44411</v>
      </c>
      <c r="D361" s="242">
        <v>39.770000000000003</v>
      </c>
      <c r="E361" s="243"/>
      <c r="F361" s="242">
        <v>14.670629999999999</v>
      </c>
      <c r="G361" s="242">
        <v>39.770000000000003</v>
      </c>
      <c r="H361" s="242"/>
      <c r="I361" s="244"/>
      <c r="J361" s="244"/>
      <c r="K361" s="133"/>
      <c r="L361" s="35"/>
      <c r="M361" s="35"/>
      <c r="N361" s="35"/>
      <c r="O361" s="35"/>
      <c r="P361" s="35"/>
      <c r="Q361" s="35"/>
      <c r="R361" s="35"/>
      <c r="S361" s="35"/>
      <c r="T361" s="35"/>
    </row>
    <row r="362" spans="2:20" ht="15" hidden="1" customHeight="1" outlineLevel="1">
      <c r="B362" s="130"/>
      <c r="C362" s="241">
        <v>44412</v>
      </c>
      <c r="D362" s="242">
        <v>38.35</v>
      </c>
      <c r="E362" s="243"/>
      <c r="F362" s="242">
        <v>23.02366</v>
      </c>
      <c r="G362" s="242">
        <v>38.35</v>
      </c>
      <c r="H362" s="242"/>
      <c r="I362" s="244"/>
      <c r="J362" s="244"/>
      <c r="K362" s="133"/>
      <c r="L362" s="35"/>
      <c r="M362" s="35"/>
      <c r="N362" s="35"/>
      <c r="O362" s="35"/>
      <c r="P362" s="35"/>
      <c r="Q362" s="35"/>
      <c r="R362" s="35"/>
      <c r="S362" s="35"/>
      <c r="T362" s="35"/>
    </row>
    <row r="363" spans="2:20" ht="15" hidden="1" customHeight="1" outlineLevel="1">
      <c r="B363" s="130"/>
      <c r="C363" s="241">
        <v>44413</v>
      </c>
      <c r="D363" s="242">
        <v>39.99</v>
      </c>
      <c r="E363" s="243"/>
      <c r="F363" s="242">
        <v>15.652369999999999</v>
      </c>
      <c r="G363" s="242">
        <v>39.99</v>
      </c>
      <c r="H363" s="242"/>
      <c r="I363" s="244"/>
      <c r="J363" s="244"/>
      <c r="K363" s="133"/>
      <c r="L363" s="35"/>
      <c r="M363" s="35"/>
      <c r="N363" s="35"/>
      <c r="O363" s="35"/>
      <c r="P363" s="35"/>
      <c r="Q363" s="35"/>
      <c r="R363" s="35"/>
      <c r="S363" s="35"/>
      <c r="T363" s="35"/>
    </row>
    <row r="364" spans="2:20" ht="15" hidden="1" customHeight="1" outlineLevel="1">
      <c r="B364" s="130"/>
      <c r="C364" s="241">
        <v>44414</v>
      </c>
      <c r="D364" s="242">
        <v>40.32</v>
      </c>
      <c r="E364" s="243"/>
      <c r="F364" s="242">
        <v>11.716049999999999</v>
      </c>
      <c r="G364" s="242">
        <v>40.32</v>
      </c>
      <c r="H364" s="242"/>
      <c r="I364" s="244"/>
      <c r="J364" s="244"/>
      <c r="K364" s="133"/>
      <c r="L364" s="35"/>
      <c r="M364" s="35"/>
      <c r="N364" s="35"/>
      <c r="O364" s="35"/>
      <c r="P364" s="35"/>
      <c r="Q364" s="35"/>
      <c r="R364" s="35"/>
      <c r="S364" s="35"/>
      <c r="T364" s="35"/>
    </row>
    <row r="365" spans="2:20" ht="15" hidden="1" customHeight="1" outlineLevel="1">
      <c r="B365" s="130"/>
      <c r="C365" s="241">
        <v>44417</v>
      </c>
      <c r="D365" s="242">
        <v>39.29</v>
      </c>
      <c r="E365" s="243"/>
      <c r="F365" s="242">
        <v>10.985049999999999</v>
      </c>
      <c r="G365" s="242">
        <v>39.29</v>
      </c>
      <c r="H365" s="242"/>
      <c r="I365" s="244"/>
      <c r="J365" s="244"/>
      <c r="K365" s="133"/>
      <c r="L365" s="35"/>
      <c r="M365" s="35"/>
      <c r="N365" s="35"/>
      <c r="O365" s="35"/>
      <c r="P365" s="35"/>
      <c r="Q365" s="35"/>
      <c r="R365" s="35"/>
      <c r="S365" s="35"/>
      <c r="T365" s="35"/>
    </row>
    <row r="366" spans="2:20" ht="15" hidden="1" customHeight="1" outlineLevel="1">
      <c r="B366" s="130"/>
      <c r="C366" s="241">
        <v>44418</v>
      </c>
      <c r="D366" s="242">
        <v>40.46</v>
      </c>
      <c r="E366" s="243"/>
      <c r="F366" s="242">
        <v>13.745340000000001</v>
      </c>
      <c r="G366" s="242">
        <v>40.46</v>
      </c>
      <c r="H366" s="242"/>
      <c r="I366" s="244"/>
      <c r="J366" s="244"/>
      <c r="K366" s="133"/>
      <c r="L366" s="35"/>
      <c r="M366" s="35"/>
      <c r="N366" s="35"/>
      <c r="O366" s="35"/>
      <c r="P366" s="35"/>
      <c r="Q366" s="35"/>
      <c r="R366" s="35"/>
      <c r="S366" s="35"/>
      <c r="T366" s="35"/>
    </row>
    <row r="367" spans="2:20" ht="15" hidden="1" customHeight="1" outlineLevel="1">
      <c r="B367" s="130"/>
      <c r="C367" s="241">
        <v>44419</v>
      </c>
      <c r="D367" s="242">
        <v>41.3</v>
      </c>
      <c r="E367" s="243"/>
      <c r="F367" s="242">
        <v>12.452</v>
      </c>
      <c r="G367" s="242">
        <v>41.3</v>
      </c>
      <c r="H367" s="242"/>
      <c r="I367" s="244"/>
      <c r="J367" s="244"/>
      <c r="K367" s="133"/>
      <c r="L367" s="35"/>
      <c r="M367" s="35"/>
      <c r="N367" s="35"/>
      <c r="O367" s="35"/>
      <c r="P367" s="35"/>
      <c r="Q367" s="35"/>
      <c r="R367" s="35"/>
      <c r="S367" s="35"/>
      <c r="T367" s="35"/>
    </row>
    <row r="368" spans="2:20" ht="15" hidden="1" customHeight="1" outlineLevel="1">
      <c r="B368" s="130"/>
      <c r="C368" s="241">
        <v>44420</v>
      </c>
      <c r="D368" s="242">
        <v>40.53</v>
      </c>
      <c r="E368" s="243"/>
      <c r="F368" s="242">
        <v>9.8175070000000009</v>
      </c>
      <c r="G368" s="242">
        <v>40.53</v>
      </c>
      <c r="H368" s="242"/>
      <c r="I368" s="244"/>
      <c r="J368" s="244"/>
      <c r="K368" s="133"/>
      <c r="L368" s="35"/>
      <c r="M368" s="35"/>
      <c r="N368" s="35"/>
      <c r="O368" s="35"/>
      <c r="P368" s="35"/>
      <c r="Q368" s="35"/>
      <c r="R368" s="35"/>
      <c r="S368" s="35"/>
      <c r="T368" s="35"/>
    </row>
    <row r="369" spans="2:20" ht="15" hidden="1" customHeight="1" outlineLevel="1">
      <c r="B369" s="130"/>
      <c r="C369" s="241">
        <v>44421</v>
      </c>
      <c r="D369" s="242">
        <v>39.9</v>
      </c>
      <c r="E369" s="243"/>
      <c r="F369" s="242">
        <v>7.2118419999999999</v>
      </c>
      <c r="G369" s="242">
        <v>39.9</v>
      </c>
      <c r="H369" s="242"/>
      <c r="I369" s="244"/>
      <c r="J369" s="244"/>
      <c r="K369" s="133"/>
      <c r="L369" s="35"/>
      <c r="M369" s="35"/>
      <c r="N369" s="35"/>
      <c r="O369" s="35"/>
      <c r="P369" s="35"/>
      <c r="Q369" s="35"/>
      <c r="R369" s="35"/>
      <c r="S369" s="35"/>
      <c r="T369" s="35"/>
    </row>
    <row r="370" spans="2:20" ht="15" hidden="1" customHeight="1" outlineLevel="1">
      <c r="B370" s="130"/>
      <c r="C370" s="241">
        <v>44424</v>
      </c>
      <c r="D370" s="242">
        <v>39.93</v>
      </c>
      <c r="E370" s="243"/>
      <c r="F370" s="242">
        <v>10.930870000000001</v>
      </c>
      <c r="G370" s="242">
        <v>39.93</v>
      </c>
      <c r="H370" s="242"/>
      <c r="I370" s="244"/>
      <c r="J370" s="244"/>
      <c r="K370" s="133"/>
      <c r="L370" s="35"/>
      <c r="M370" s="35"/>
      <c r="N370" s="35"/>
      <c r="O370" s="35"/>
      <c r="P370" s="35"/>
      <c r="Q370" s="35"/>
      <c r="R370" s="35"/>
      <c r="S370" s="35"/>
      <c r="T370" s="35"/>
    </row>
    <row r="371" spans="2:20" ht="15" hidden="1" customHeight="1" outlineLevel="1">
      <c r="B371" s="130"/>
      <c r="C371" s="241">
        <v>44425</v>
      </c>
      <c r="D371" s="242">
        <v>38.78</v>
      </c>
      <c r="E371" s="243"/>
      <c r="F371" s="242">
        <v>11.442</v>
      </c>
      <c r="G371" s="242">
        <v>38.78</v>
      </c>
      <c r="H371" s="242"/>
      <c r="I371" s="244"/>
      <c r="J371" s="244"/>
      <c r="K371" s="133"/>
      <c r="L371" s="35"/>
      <c r="M371" s="35"/>
      <c r="N371" s="35"/>
      <c r="O371" s="35"/>
      <c r="P371" s="35"/>
      <c r="Q371" s="35"/>
      <c r="R371" s="35"/>
      <c r="S371" s="35"/>
      <c r="T371" s="35"/>
    </row>
    <row r="372" spans="2:20" ht="15" hidden="1" customHeight="1" outlineLevel="1">
      <c r="B372" s="130"/>
      <c r="C372" s="241">
        <v>44426</v>
      </c>
      <c r="D372" s="242">
        <v>38.65</v>
      </c>
      <c r="E372" s="243"/>
      <c r="F372" s="242">
        <v>8.6123440000000002</v>
      </c>
      <c r="G372" s="242">
        <v>38.65</v>
      </c>
      <c r="H372" s="242"/>
      <c r="I372" s="244"/>
      <c r="J372" s="244"/>
      <c r="K372" s="133"/>
      <c r="L372" s="35"/>
      <c r="M372" s="35"/>
      <c r="N372" s="35"/>
      <c r="O372" s="35"/>
      <c r="P372" s="35"/>
      <c r="Q372" s="35"/>
      <c r="R372" s="35"/>
      <c r="S372" s="35"/>
      <c r="T372" s="35"/>
    </row>
    <row r="373" spans="2:20" ht="15" hidden="1" customHeight="1" outlineLevel="1">
      <c r="B373" s="130"/>
      <c r="C373" s="241">
        <v>44427</v>
      </c>
      <c r="D373" s="242">
        <v>37.93</v>
      </c>
      <c r="E373" s="243"/>
      <c r="F373" s="242">
        <v>12.29401</v>
      </c>
      <c r="G373" s="242">
        <v>37.93</v>
      </c>
      <c r="H373" s="242"/>
      <c r="I373" s="244"/>
      <c r="J373" s="244"/>
      <c r="K373" s="133"/>
      <c r="L373" s="35"/>
      <c r="M373" s="35"/>
      <c r="N373" s="35"/>
      <c r="O373" s="35"/>
      <c r="P373" s="35"/>
      <c r="Q373" s="35"/>
      <c r="R373" s="35"/>
      <c r="S373" s="35"/>
      <c r="T373" s="35"/>
    </row>
    <row r="374" spans="2:20" ht="15" hidden="1" customHeight="1" outlineLevel="1">
      <c r="B374" s="130"/>
      <c r="C374" s="241">
        <v>44428</v>
      </c>
      <c r="D374" s="242">
        <v>38.119999999999997</v>
      </c>
      <c r="E374" s="243"/>
      <c r="F374" s="242">
        <v>8.2130799999999997</v>
      </c>
      <c r="G374" s="242">
        <v>38.119999999999997</v>
      </c>
      <c r="H374" s="242"/>
      <c r="I374" s="244"/>
      <c r="J374" s="244"/>
      <c r="K374" s="133"/>
      <c r="L374" s="35"/>
      <c r="M374" s="35"/>
      <c r="N374" s="35"/>
      <c r="O374" s="35"/>
      <c r="P374" s="35"/>
      <c r="Q374" s="35"/>
      <c r="R374" s="35"/>
      <c r="S374" s="35"/>
      <c r="T374" s="35"/>
    </row>
    <row r="375" spans="2:20" ht="15" hidden="1" customHeight="1" outlineLevel="1">
      <c r="B375" s="130"/>
      <c r="C375" s="241">
        <v>44431</v>
      </c>
      <c r="D375" s="242">
        <v>39.21</v>
      </c>
      <c r="E375" s="243"/>
      <c r="F375" s="242">
        <v>8.5846549999999997</v>
      </c>
      <c r="G375" s="242">
        <v>39.21</v>
      </c>
      <c r="H375" s="242"/>
      <c r="I375" s="244"/>
      <c r="J375" s="244"/>
      <c r="K375" s="133"/>
      <c r="L375" s="35"/>
      <c r="M375" s="35"/>
      <c r="N375" s="35"/>
      <c r="O375" s="35"/>
      <c r="P375" s="35"/>
      <c r="Q375" s="35"/>
      <c r="R375" s="35"/>
      <c r="S375" s="35"/>
      <c r="T375" s="35"/>
    </row>
    <row r="376" spans="2:20" ht="15" hidden="1" customHeight="1" outlineLevel="1">
      <c r="B376" s="130"/>
      <c r="C376" s="241">
        <v>44432</v>
      </c>
      <c r="D376" s="242">
        <v>40.53</v>
      </c>
      <c r="E376" s="243"/>
      <c r="F376" s="242">
        <v>10.80498</v>
      </c>
      <c r="G376" s="242">
        <v>40.53</v>
      </c>
      <c r="H376" s="242"/>
      <c r="I376" s="244"/>
      <c r="J376" s="244"/>
      <c r="K376" s="133"/>
      <c r="L376" s="35"/>
      <c r="M376" s="35"/>
      <c r="N376" s="35"/>
      <c r="O376" s="35"/>
      <c r="P376" s="35"/>
      <c r="Q376" s="35"/>
      <c r="R376" s="35"/>
      <c r="S376" s="35"/>
      <c r="T376" s="35"/>
    </row>
    <row r="377" spans="2:20" ht="15" hidden="1" customHeight="1" outlineLevel="1">
      <c r="B377" s="130"/>
      <c r="C377" s="241">
        <v>44433</v>
      </c>
      <c r="D377" s="242">
        <v>41.3</v>
      </c>
      <c r="E377" s="243"/>
      <c r="F377" s="242">
        <v>12.455859999999999</v>
      </c>
      <c r="G377" s="242">
        <v>41.3</v>
      </c>
      <c r="H377" s="242"/>
      <c r="I377" s="244"/>
      <c r="J377" s="244"/>
      <c r="K377" s="133"/>
      <c r="L377" s="35"/>
      <c r="M377" s="35"/>
      <c r="N377" s="35"/>
      <c r="O377" s="35"/>
      <c r="P377" s="35"/>
      <c r="Q377" s="35"/>
      <c r="R377" s="35"/>
      <c r="S377" s="35"/>
      <c r="T377" s="35"/>
    </row>
    <row r="378" spans="2:20" ht="15" hidden="1" customHeight="1" outlineLevel="1">
      <c r="B378" s="130"/>
      <c r="C378" s="241">
        <v>44434</v>
      </c>
      <c r="D378" s="242">
        <v>40.770000000000003</v>
      </c>
      <c r="E378" s="243"/>
      <c r="F378" s="242">
        <v>10.03288</v>
      </c>
      <c r="G378" s="242">
        <v>40.770000000000003</v>
      </c>
      <c r="H378" s="242"/>
      <c r="I378" s="244"/>
      <c r="J378" s="244"/>
      <c r="K378" s="133"/>
      <c r="L378" s="35"/>
      <c r="M378" s="35"/>
      <c r="N378" s="35"/>
      <c r="O378" s="35"/>
      <c r="P378" s="35"/>
      <c r="Q378" s="35"/>
      <c r="R378" s="35"/>
      <c r="S378" s="35"/>
      <c r="T378" s="35"/>
    </row>
    <row r="379" spans="2:20" ht="15" hidden="1" customHeight="1" outlineLevel="1">
      <c r="B379" s="130"/>
      <c r="C379" s="241">
        <v>44435</v>
      </c>
      <c r="D379" s="242">
        <v>41.52</v>
      </c>
      <c r="E379" s="243"/>
      <c r="F379" s="242">
        <v>7.9360949999999999</v>
      </c>
      <c r="G379" s="242">
        <v>41.52</v>
      </c>
      <c r="H379" s="242"/>
      <c r="I379" s="244"/>
      <c r="J379" s="244"/>
      <c r="K379" s="133"/>
      <c r="L379" s="35"/>
      <c r="M379" s="35"/>
      <c r="N379" s="35"/>
      <c r="O379" s="35"/>
      <c r="P379" s="35"/>
      <c r="Q379" s="35"/>
      <c r="R379" s="35"/>
      <c r="S379" s="35"/>
      <c r="T379" s="35"/>
    </row>
    <row r="380" spans="2:20" ht="15" hidden="1" customHeight="1" outlineLevel="1">
      <c r="B380" s="130"/>
      <c r="C380" s="241">
        <v>44438</v>
      </c>
      <c r="D380" s="242">
        <v>39.909999999999997</v>
      </c>
      <c r="E380" s="243"/>
      <c r="F380" s="242">
        <v>11.88214</v>
      </c>
      <c r="G380" s="242">
        <v>39.909999999999997</v>
      </c>
      <c r="H380" s="242"/>
      <c r="I380" s="244"/>
      <c r="J380" s="244"/>
      <c r="K380" s="133"/>
      <c r="L380" s="35"/>
      <c r="M380" s="35"/>
      <c r="N380" s="35"/>
      <c r="O380" s="35"/>
      <c r="P380" s="35"/>
      <c r="Q380" s="35"/>
      <c r="R380" s="35"/>
      <c r="S380" s="35"/>
      <c r="T380" s="35"/>
    </row>
    <row r="381" spans="2:20" ht="15" hidden="1" customHeight="1" outlineLevel="1">
      <c r="B381" s="130"/>
      <c r="C381" s="241">
        <v>44439</v>
      </c>
      <c r="D381" s="242">
        <v>40.44</v>
      </c>
      <c r="E381" s="243"/>
      <c r="F381" s="242">
        <v>8.627205</v>
      </c>
      <c r="G381" s="242">
        <v>40.44</v>
      </c>
      <c r="H381" s="242"/>
      <c r="I381" s="244"/>
      <c r="J381" s="244"/>
      <c r="K381" s="133"/>
      <c r="L381" s="35"/>
      <c r="M381" s="35"/>
      <c r="N381" s="35"/>
      <c r="O381" s="35"/>
      <c r="P381" s="35"/>
      <c r="Q381" s="35"/>
      <c r="R381" s="35"/>
      <c r="S381" s="35"/>
      <c r="T381" s="35"/>
    </row>
    <row r="382" spans="2:20" ht="15" hidden="1" customHeight="1" outlineLevel="1">
      <c r="B382" s="130"/>
      <c r="C382" s="241">
        <v>44440</v>
      </c>
      <c r="D382" s="242">
        <v>40.4</v>
      </c>
      <c r="E382" s="243"/>
      <c r="F382" s="242">
        <v>8.4346060000000005</v>
      </c>
      <c r="G382" s="242">
        <v>40.4</v>
      </c>
      <c r="H382" s="242"/>
      <c r="I382" s="244"/>
      <c r="J382" s="244"/>
      <c r="K382" s="133"/>
      <c r="L382" s="35"/>
      <c r="M382" s="35"/>
      <c r="N382" s="35"/>
      <c r="O382" s="35"/>
      <c r="P382" s="35"/>
      <c r="Q382" s="35"/>
      <c r="R382" s="35"/>
      <c r="S382" s="35"/>
      <c r="T382" s="35"/>
    </row>
    <row r="383" spans="2:20" ht="15" hidden="1" customHeight="1" outlineLevel="1">
      <c r="B383" s="130"/>
      <c r="C383" s="241">
        <v>44441</v>
      </c>
      <c r="D383" s="242">
        <v>40.82</v>
      </c>
      <c r="E383" s="243"/>
      <c r="F383" s="242">
        <v>9.3547440000000002</v>
      </c>
      <c r="G383" s="242">
        <v>40.82</v>
      </c>
      <c r="H383" s="242"/>
      <c r="I383" s="244"/>
      <c r="J383" s="244"/>
      <c r="K383" s="133"/>
      <c r="L383" s="35"/>
      <c r="M383" s="35"/>
      <c r="N383" s="35"/>
      <c r="O383" s="35"/>
      <c r="P383" s="35"/>
      <c r="Q383" s="35"/>
      <c r="R383" s="35"/>
      <c r="S383" s="35"/>
      <c r="T383" s="35"/>
    </row>
    <row r="384" spans="2:20" ht="15" hidden="1" customHeight="1" outlineLevel="1">
      <c r="B384" s="130"/>
      <c r="C384" s="241">
        <v>44442</v>
      </c>
      <c r="D384" s="242">
        <v>40.25</v>
      </c>
      <c r="E384" s="243"/>
      <c r="F384" s="242">
        <v>6.6523459999999996</v>
      </c>
      <c r="G384" s="242">
        <v>40.25</v>
      </c>
      <c r="H384" s="242"/>
      <c r="I384" s="244"/>
      <c r="J384" s="244"/>
      <c r="K384" s="133"/>
      <c r="L384" s="35"/>
      <c r="M384" s="35"/>
      <c r="N384" s="35"/>
      <c r="O384" s="35"/>
      <c r="P384" s="35"/>
      <c r="Q384" s="35"/>
      <c r="R384" s="35"/>
      <c r="S384" s="35"/>
      <c r="T384" s="35"/>
    </row>
    <row r="385" spans="2:20" ht="15" hidden="1" customHeight="1" outlineLevel="1">
      <c r="B385" s="130"/>
      <c r="C385" s="241">
        <v>44446</v>
      </c>
      <c r="D385" s="242">
        <v>40.35</v>
      </c>
      <c r="E385" s="243"/>
      <c r="F385" s="242">
        <v>8.2338950000000004</v>
      </c>
      <c r="G385" s="242">
        <v>40.35</v>
      </c>
      <c r="H385" s="242"/>
      <c r="I385" s="244"/>
      <c r="J385" s="244"/>
      <c r="K385" s="133"/>
      <c r="L385" s="35"/>
      <c r="M385" s="35"/>
      <c r="N385" s="35"/>
      <c r="O385" s="35"/>
      <c r="P385" s="35"/>
      <c r="Q385" s="35"/>
      <c r="R385" s="35"/>
      <c r="S385" s="35"/>
      <c r="T385" s="35"/>
    </row>
    <row r="386" spans="2:20" ht="15" hidden="1" customHeight="1" outlineLevel="1">
      <c r="B386" s="130"/>
      <c r="C386" s="241">
        <v>44447</v>
      </c>
      <c r="D386" s="242">
        <v>39.65</v>
      </c>
      <c r="E386" s="243"/>
      <c r="F386" s="242">
        <v>7.1560969999999999</v>
      </c>
      <c r="G386" s="242">
        <v>39.65</v>
      </c>
      <c r="H386" s="242"/>
      <c r="I386" s="244"/>
      <c r="J386" s="244"/>
      <c r="K386" s="133"/>
      <c r="L386" s="35"/>
      <c r="M386" s="35"/>
      <c r="N386" s="35"/>
      <c r="O386" s="35"/>
      <c r="P386" s="35"/>
      <c r="Q386" s="35"/>
      <c r="R386" s="35"/>
      <c r="S386" s="35"/>
      <c r="T386" s="35"/>
    </row>
    <row r="387" spans="2:20" ht="15" hidden="1" customHeight="1" outlineLevel="1">
      <c r="B387" s="130"/>
      <c r="C387" s="241">
        <v>44448</v>
      </c>
      <c r="D387" s="242">
        <v>41.09</v>
      </c>
      <c r="E387" s="243"/>
      <c r="F387" s="242">
        <v>15.509370000000001</v>
      </c>
      <c r="G387" s="242">
        <v>41.09</v>
      </c>
      <c r="H387" s="242"/>
      <c r="I387" s="244"/>
      <c r="J387" s="244"/>
      <c r="K387" s="133"/>
      <c r="L387" s="35"/>
      <c r="M387" s="35"/>
      <c r="N387" s="35"/>
      <c r="O387" s="35"/>
      <c r="P387" s="35"/>
      <c r="Q387" s="35"/>
      <c r="R387" s="35"/>
      <c r="S387" s="35"/>
      <c r="T387" s="35"/>
    </row>
    <row r="388" spans="2:20" ht="15" hidden="1" customHeight="1" outlineLevel="1">
      <c r="B388" s="130"/>
      <c r="C388" s="241">
        <v>44449</v>
      </c>
      <c r="D388" s="242">
        <v>39.36</v>
      </c>
      <c r="E388" s="243"/>
      <c r="F388" s="242">
        <v>12.50122</v>
      </c>
      <c r="G388" s="242">
        <v>39.36</v>
      </c>
      <c r="H388" s="242"/>
      <c r="I388" s="244"/>
      <c r="J388" s="244"/>
      <c r="K388" s="133"/>
      <c r="L388" s="35"/>
      <c r="M388" s="35"/>
      <c r="N388" s="35"/>
      <c r="O388" s="35"/>
      <c r="P388" s="35"/>
      <c r="Q388" s="35"/>
      <c r="R388" s="35"/>
      <c r="S388" s="35"/>
      <c r="T388" s="35"/>
    </row>
    <row r="389" spans="2:20" ht="15" hidden="1" customHeight="1" outlineLevel="1">
      <c r="B389" s="130"/>
      <c r="C389" s="241">
        <v>44452</v>
      </c>
      <c r="D389" s="242">
        <v>40.18</v>
      </c>
      <c r="E389" s="243"/>
      <c r="F389" s="242">
        <v>11.5563</v>
      </c>
      <c r="G389" s="242">
        <v>40.18</v>
      </c>
      <c r="H389" s="242"/>
      <c r="I389" s="244"/>
      <c r="J389" s="244"/>
      <c r="K389" s="133"/>
      <c r="L389" s="35"/>
      <c r="M389" s="35"/>
      <c r="N389" s="35"/>
      <c r="O389" s="35"/>
      <c r="P389" s="35"/>
      <c r="Q389" s="35"/>
      <c r="R389" s="35"/>
      <c r="S389" s="35"/>
      <c r="T389" s="35"/>
    </row>
    <row r="390" spans="2:20" ht="15" hidden="1" customHeight="1" outlineLevel="1">
      <c r="B390" s="130"/>
      <c r="C390" s="241">
        <v>44453</v>
      </c>
      <c r="D390" s="242">
        <v>39.44</v>
      </c>
      <c r="E390" s="243"/>
      <c r="F390" s="242">
        <v>8.8377210000000002</v>
      </c>
      <c r="G390" s="242">
        <v>39.44</v>
      </c>
      <c r="H390" s="242"/>
      <c r="I390" s="244"/>
      <c r="J390" s="244"/>
      <c r="K390" s="133"/>
      <c r="L390" s="35"/>
      <c r="M390" s="35"/>
      <c r="N390" s="35"/>
      <c r="O390" s="35"/>
      <c r="P390" s="35"/>
      <c r="Q390" s="35"/>
      <c r="R390" s="35"/>
      <c r="S390" s="35"/>
      <c r="T390" s="35"/>
    </row>
    <row r="391" spans="2:20" ht="15" hidden="1" customHeight="1" outlineLevel="1">
      <c r="B391" s="130"/>
      <c r="C391" s="241">
        <v>44454</v>
      </c>
      <c r="D391" s="242">
        <v>39.64</v>
      </c>
      <c r="E391" s="243"/>
      <c r="F391" s="242">
        <v>8.1758100000000002</v>
      </c>
      <c r="G391" s="242">
        <v>39.64</v>
      </c>
      <c r="H391" s="242"/>
      <c r="I391" s="244"/>
      <c r="J391" s="244"/>
      <c r="K391" s="133"/>
      <c r="L391" s="35"/>
      <c r="M391" s="35"/>
      <c r="N391" s="35"/>
      <c r="O391" s="35"/>
      <c r="P391" s="35"/>
      <c r="Q391" s="35"/>
      <c r="R391" s="35"/>
      <c r="S391" s="35"/>
      <c r="T391" s="35"/>
    </row>
    <row r="392" spans="2:20" ht="15" hidden="1" customHeight="1" outlineLevel="1">
      <c r="B392" s="130"/>
      <c r="C392" s="241">
        <v>44455</v>
      </c>
      <c r="D392" s="242">
        <v>40.22</v>
      </c>
      <c r="E392" s="243"/>
      <c r="F392" s="242">
        <v>9.4852270000000001</v>
      </c>
      <c r="G392" s="242">
        <v>40.22</v>
      </c>
      <c r="H392" s="242"/>
      <c r="I392" s="244"/>
      <c r="J392" s="244"/>
      <c r="K392" s="133"/>
      <c r="L392" s="35"/>
      <c r="M392" s="35"/>
      <c r="N392" s="35"/>
      <c r="O392" s="35"/>
      <c r="P392" s="35"/>
      <c r="Q392" s="35"/>
      <c r="R392" s="35"/>
      <c r="S392" s="35"/>
      <c r="T392" s="35"/>
    </row>
    <row r="393" spans="2:20" ht="15" hidden="1" customHeight="1" outlineLevel="1">
      <c r="B393" s="130"/>
      <c r="C393" s="241">
        <v>44456</v>
      </c>
      <c r="D393" s="242">
        <v>40.11</v>
      </c>
      <c r="E393" s="243"/>
      <c r="F393" s="242">
        <v>11.03191</v>
      </c>
      <c r="G393" s="242">
        <v>40.11</v>
      </c>
      <c r="H393" s="242"/>
      <c r="I393" s="244"/>
      <c r="J393" s="244"/>
      <c r="K393" s="133"/>
      <c r="L393" s="35"/>
      <c r="M393" s="35"/>
      <c r="N393" s="35"/>
      <c r="O393" s="35"/>
      <c r="P393" s="35"/>
      <c r="Q393" s="35"/>
      <c r="R393" s="35"/>
      <c r="S393" s="35"/>
      <c r="T393" s="35"/>
    </row>
    <row r="394" spans="2:20" ht="15" hidden="1" customHeight="1" outlineLevel="1">
      <c r="B394" s="130"/>
      <c r="C394" s="241">
        <v>44459</v>
      </c>
      <c r="D394" s="242">
        <v>40.78</v>
      </c>
      <c r="E394" s="243"/>
      <c r="F394" s="242">
        <v>16.633900000000001</v>
      </c>
      <c r="G394" s="242">
        <v>40.78</v>
      </c>
      <c r="H394" s="242"/>
      <c r="I394" s="244"/>
      <c r="J394" s="244"/>
      <c r="K394" s="133"/>
      <c r="L394" s="35"/>
      <c r="M394" s="35"/>
      <c r="N394" s="35"/>
      <c r="O394" s="35"/>
      <c r="P394" s="35"/>
      <c r="Q394" s="35"/>
      <c r="R394" s="35"/>
      <c r="S394" s="35"/>
      <c r="T394" s="35"/>
    </row>
    <row r="395" spans="2:20" ht="15" hidden="1" customHeight="1" outlineLevel="1">
      <c r="B395" s="130"/>
      <c r="C395" s="241">
        <v>44460</v>
      </c>
      <c r="D395" s="242">
        <v>40.36</v>
      </c>
      <c r="E395" s="243"/>
      <c r="F395" s="242">
        <v>11.837580000000001</v>
      </c>
      <c r="G395" s="242">
        <v>40.36</v>
      </c>
      <c r="H395" s="242"/>
      <c r="I395" s="244"/>
      <c r="J395" s="244"/>
      <c r="K395" s="133"/>
      <c r="L395" s="35"/>
      <c r="M395" s="35"/>
      <c r="N395" s="35"/>
      <c r="O395" s="35"/>
      <c r="P395" s="35"/>
      <c r="Q395" s="35"/>
      <c r="R395" s="35"/>
      <c r="S395" s="35"/>
      <c r="T395" s="35"/>
    </row>
    <row r="396" spans="2:20" ht="15" hidden="1" customHeight="1" outlineLevel="1">
      <c r="B396" s="130"/>
      <c r="C396" s="241">
        <v>44461</v>
      </c>
      <c r="D396" s="242">
        <v>41.59</v>
      </c>
      <c r="E396" s="243"/>
      <c r="F396" s="242">
        <v>11.599309999999999</v>
      </c>
      <c r="G396" s="242">
        <v>41.59</v>
      </c>
      <c r="H396" s="242"/>
      <c r="I396" s="244"/>
      <c r="J396" s="244"/>
      <c r="K396" s="133"/>
      <c r="L396" s="35"/>
      <c r="M396" s="35"/>
      <c r="N396" s="35"/>
      <c r="O396" s="35"/>
      <c r="P396" s="35"/>
      <c r="Q396" s="35"/>
      <c r="R396" s="35"/>
      <c r="S396" s="35"/>
      <c r="T396" s="35"/>
    </row>
    <row r="397" spans="2:20" ht="15" hidden="1" customHeight="1" outlineLevel="1">
      <c r="B397" s="130"/>
      <c r="C397" s="241">
        <v>44462</v>
      </c>
      <c r="D397" s="242">
        <v>42.59</v>
      </c>
      <c r="E397" s="243"/>
      <c r="F397" s="242">
        <v>12.651020000000001</v>
      </c>
      <c r="G397" s="242">
        <v>42.59</v>
      </c>
      <c r="H397" s="242"/>
      <c r="I397" s="244"/>
      <c r="J397" s="244"/>
      <c r="K397" s="133"/>
      <c r="L397" s="35"/>
      <c r="M397" s="35"/>
      <c r="N397" s="35"/>
      <c r="O397" s="35"/>
      <c r="P397" s="35"/>
      <c r="Q397" s="35"/>
      <c r="R397" s="35"/>
      <c r="S397" s="35"/>
      <c r="T397" s="35"/>
    </row>
    <row r="398" spans="2:20" ht="15" hidden="1" customHeight="1" outlineLevel="1">
      <c r="B398" s="130"/>
      <c r="C398" s="241">
        <v>44463</v>
      </c>
      <c r="D398" s="242">
        <v>43.53</v>
      </c>
      <c r="E398" s="243"/>
      <c r="F398" s="242">
        <v>13.47851</v>
      </c>
      <c r="G398" s="242">
        <v>43.53</v>
      </c>
      <c r="H398" s="242"/>
      <c r="I398" s="244"/>
      <c r="J398" s="244"/>
      <c r="K398" s="133"/>
      <c r="L398" s="35"/>
      <c r="M398" s="35"/>
      <c r="N398" s="35"/>
      <c r="O398" s="35"/>
      <c r="P398" s="35"/>
      <c r="Q398" s="35"/>
      <c r="R398" s="35"/>
      <c r="S398" s="35"/>
      <c r="T398" s="35"/>
    </row>
    <row r="399" spans="2:20" ht="15" hidden="1" customHeight="1" outlineLevel="1">
      <c r="B399" s="130"/>
      <c r="C399" s="241">
        <v>44466</v>
      </c>
      <c r="D399" s="242">
        <v>43.78</v>
      </c>
      <c r="E399" s="243"/>
      <c r="F399" s="242">
        <v>14.467449999999999</v>
      </c>
      <c r="G399" s="242">
        <v>43.78</v>
      </c>
      <c r="H399" s="242"/>
      <c r="I399" s="244"/>
      <c r="J399" s="244"/>
      <c r="K399" s="133"/>
      <c r="L399" s="35"/>
      <c r="M399" s="35"/>
      <c r="N399" s="35"/>
      <c r="O399" s="35"/>
      <c r="P399" s="35"/>
      <c r="Q399" s="35"/>
      <c r="R399" s="35"/>
      <c r="S399" s="35"/>
      <c r="T399" s="35"/>
    </row>
    <row r="400" spans="2:20" ht="15" hidden="1" customHeight="1" outlineLevel="1">
      <c r="B400" s="130"/>
      <c r="C400" s="241">
        <v>44467</v>
      </c>
      <c r="D400" s="242">
        <v>43.44</v>
      </c>
      <c r="E400" s="243"/>
      <c r="F400" s="242">
        <v>9.4347370000000002</v>
      </c>
      <c r="G400" s="242">
        <v>43.44</v>
      </c>
      <c r="H400" s="242"/>
      <c r="I400" s="244"/>
      <c r="J400" s="244"/>
      <c r="K400" s="133"/>
      <c r="L400" s="35"/>
      <c r="M400" s="35"/>
      <c r="N400" s="35"/>
      <c r="O400" s="35"/>
      <c r="P400" s="35"/>
      <c r="Q400" s="35"/>
      <c r="R400" s="35"/>
      <c r="S400" s="35"/>
      <c r="T400" s="35"/>
    </row>
    <row r="401" spans="2:20" ht="15" hidden="1" customHeight="1" outlineLevel="1">
      <c r="B401" s="130"/>
      <c r="C401" s="241">
        <v>44468</v>
      </c>
      <c r="D401" s="242">
        <v>43.36</v>
      </c>
      <c r="E401" s="243"/>
      <c r="F401" s="242">
        <v>9.1411280000000001</v>
      </c>
      <c r="G401" s="242">
        <v>43.36</v>
      </c>
      <c r="H401" s="242"/>
      <c r="I401" s="244"/>
      <c r="J401" s="244"/>
      <c r="K401" s="133"/>
      <c r="L401" s="35"/>
      <c r="M401" s="35"/>
      <c r="N401" s="35"/>
      <c r="O401" s="35"/>
      <c r="P401" s="35"/>
      <c r="Q401" s="35"/>
      <c r="R401" s="35"/>
      <c r="S401" s="35"/>
      <c r="T401" s="35"/>
    </row>
    <row r="402" spans="2:20" ht="15" hidden="1" customHeight="1" outlineLevel="1">
      <c r="B402" s="130"/>
      <c r="C402" s="241">
        <v>44469</v>
      </c>
      <c r="D402" s="242">
        <v>42.61</v>
      </c>
      <c r="E402" s="243"/>
      <c r="F402" s="242">
        <v>9.7985889999999998</v>
      </c>
      <c r="G402" s="242">
        <v>42.61</v>
      </c>
      <c r="H402" s="242"/>
      <c r="I402" s="244"/>
      <c r="J402" s="244"/>
      <c r="K402" s="133"/>
      <c r="L402" s="35"/>
      <c r="M402" s="35"/>
      <c r="N402" s="35"/>
      <c r="O402" s="35"/>
      <c r="P402" s="35"/>
      <c r="Q402" s="35"/>
      <c r="R402" s="35"/>
      <c r="S402" s="35"/>
      <c r="T402" s="35"/>
    </row>
    <row r="403" spans="2:20" ht="15" hidden="1" customHeight="1" outlineLevel="1">
      <c r="B403" s="130"/>
      <c r="C403" s="241">
        <v>44470</v>
      </c>
      <c r="D403" s="242">
        <v>45.38</v>
      </c>
      <c r="E403" s="243"/>
      <c r="F403" s="242">
        <v>19.205660000000002</v>
      </c>
      <c r="G403" s="242">
        <v>45.38</v>
      </c>
      <c r="H403" s="242"/>
      <c r="I403" s="244"/>
      <c r="J403" s="244"/>
      <c r="K403" s="133"/>
      <c r="L403" s="35"/>
      <c r="M403" s="35"/>
      <c r="N403" s="35"/>
      <c r="O403" s="35"/>
      <c r="P403" s="35"/>
      <c r="Q403" s="35"/>
      <c r="R403" s="35"/>
      <c r="S403" s="35"/>
      <c r="T403" s="35"/>
    </row>
    <row r="404" spans="2:20" ht="15" hidden="1" customHeight="1" outlineLevel="1">
      <c r="B404" s="130"/>
      <c r="C404" s="241">
        <v>44473</v>
      </c>
      <c r="D404" s="242">
        <v>44.96</v>
      </c>
      <c r="E404" s="243"/>
      <c r="F404" s="242">
        <v>13.342460000000001</v>
      </c>
      <c r="G404" s="242">
        <v>44.96</v>
      </c>
      <c r="H404" s="242"/>
      <c r="I404" s="244"/>
      <c r="J404" s="244"/>
      <c r="K404" s="133"/>
      <c r="L404" s="35"/>
      <c r="M404" s="35"/>
      <c r="N404" s="35"/>
      <c r="O404" s="35"/>
      <c r="P404" s="35"/>
      <c r="Q404" s="35"/>
      <c r="R404" s="35"/>
      <c r="S404" s="35"/>
      <c r="T404" s="35"/>
    </row>
    <row r="405" spans="2:20" ht="15" hidden="1" customHeight="1" outlineLevel="1">
      <c r="B405" s="130"/>
      <c r="C405" s="241">
        <v>44474</v>
      </c>
      <c r="D405" s="242">
        <v>44.74</v>
      </c>
      <c r="E405" s="243"/>
      <c r="F405" s="242">
        <v>9.5960029999999996</v>
      </c>
      <c r="G405" s="242">
        <v>44.74</v>
      </c>
      <c r="H405" s="242"/>
      <c r="I405" s="244"/>
      <c r="J405" s="244"/>
      <c r="K405" s="133"/>
      <c r="L405" s="35"/>
      <c r="M405" s="35"/>
      <c r="N405" s="35"/>
      <c r="O405" s="35"/>
      <c r="P405" s="35"/>
      <c r="Q405" s="35"/>
      <c r="R405" s="35"/>
      <c r="S405" s="35"/>
      <c r="T405" s="35"/>
    </row>
    <row r="406" spans="2:20" ht="15" hidden="1" customHeight="1" outlineLevel="1">
      <c r="B406" s="130"/>
      <c r="C406" s="241">
        <v>44475</v>
      </c>
      <c r="D406" s="242">
        <v>44.02</v>
      </c>
      <c r="E406" s="243"/>
      <c r="F406" s="242">
        <v>10.14578</v>
      </c>
      <c r="G406" s="242">
        <v>44.02</v>
      </c>
      <c r="H406" s="242"/>
      <c r="I406" s="244"/>
      <c r="J406" s="244"/>
      <c r="K406" s="133"/>
      <c r="L406" s="35"/>
      <c r="M406" s="35"/>
      <c r="N406" s="35"/>
      <c r="O406" s="35"/>
      <c r="P406" s="35"/>
      <c r="Q406" s="35"/>
      <c r="R406" s="35"/>
      <c r="S406" s="35"/>
      <c r="T406" s="35"/>
    </row>
    <row r="407" spans="2:20" ht="15" hidden="1" customHeight="1" outlineLevel="1">
      <c r="B407" s="130"/>
      <c r="C407" s="241">
        <v>44476</v>
      </c>
      <c r="D407" s="242">
        <v>43.68</v>
      </c>
      <c r="E407" s="243"/>
      <c r="F407" s="242">
        <v>8.8812189999999998</v>
      </c>
      <c r="G407" s="242">
        <v>43.68</v>
      </c>
      <c r="H407" s="242"/>
      <c r="I407" s="244"/>
      <c r="J407" s="244"/>
      <c r="K407" s="133"/>
      <c r="L407" s="35"/>
      <c r="M407" s="35"/>
      <c r="N407" s="35"/>
      <c r="O407" s="35"/>
      <c r="P407" s="35"/>
      <c r="Q407" s="35"/>
      <c r="R407" s="35"/>
      <c r="S407" s="35"/>
      <c r="T407" s="35"/>
    </row>
    <row r="408" spans="2:20" ht="15" hidden="1" customHeight="1" outlineLevel="1">
      <c r="B408" s="130"/>
      <c r="C408" s="241">
        <v>44477</v>
      </c>
      <c r="D408" s="242">
        <v>43.38</v>
      </c>
      <c r="E408" s="243"/>
      <c r="F408" s="242">
        <v>7.3405620000000003</v>
      </c>
      <c r="G408" s="242">
        <v>43.38</v>
      </c>
      <c r="H408" s="242"/>
      <c r="I408" s="244"/>
      <c r="J408" s="244"/>
      <c r="K408" s="133"/>
      <c r="L408" s="35"/>
      <c r="M408" s="35"/>
      <c r="N408" s="35"/>
      <c r="O408" s="35"/>
      <c r="P408" s="35"/>
      <c r="Q408" s="35"/>
      <c r="R408" s="35"/>
      <c r="S408" s="35"/>
      <c r="T408" s="35"/>
    </row>
    <row r="409" spans="2:20" ht="15" hidden="1" customHeight="1" outlineLevel="1">
      <c r="B409" s="130"/>
      <c r="C409" s="241">
        <v>44480</v>
      </c>
      <c r="D409" s="242">
        <v>43.19</v>
      </c>
      <c r="E409" s="243"/>
      <c r="F409" s="242">
        <v>9.0856510000000004</v>
      </c>
      <c r="G409" s="242">
        <v>43.19</v>
      </c>
      <c r="H409" s="242"/>
      <c r="I409" s="244"/>
      <c r="J409" s="244"/>
      <c r="K409" s="133"/>
      <c r="L409" s="35"/>
      <c r="M409" s="35"/>
      <c r="N409" s="35"/>
      <c r="O409" s="35"/>
      <c r="P409" s="35"/>
      <c r="Q409" s="35"/>
      <c r="R409" s="35"/>
      <c r="S409" s="35"/>
      <c r="T409" s="35"/>
    </row>
    <row r="410" spans="2:20" ht="15" hidden="1" customHeight="1" outlineLevel="1">
      <c r="B410" s="130"/>
      <c r="C410" s="241">
        <v>44481</v>
      </c>
      <c r="D410" s="242">
        <v>43.54</v>
      </c>
      <c r="E410" s="243"/>
      <c r="F410" s="242">
        <v>10.51525</v>
      </c>
      <c r="G410" s="242">
        <v>43.54</v>
      </c>
      <c r="H410" s="242"/>
      <c r="I410" s="244"/>
      <c r="J410" s="244"/>
      <c r="K410" s="133"/>
      <c r="L410" s="35"/>
      <c r="M410" s="35"/>
      <c r="N410" s="35"/>
      <c r="O410" s="35"/>
      <c r="P410" s="35"/>
      <c r="Q410" s="35"/>
      <c r="R410" s="35"/>
      <c r="S410" s="35"/>
      <c r="T410" s="35"/>
    </row>
    <row r="411" spans="2:20" ht="15" hidden="1" customHeight="1" outlineLevel="1">
      <c r="B411" s="130"/>
      <c r="C411" s="241">
        <v>44482</v>
      </c>
      <c r="D411" s="242">
        <v>41.03</v>
      </c>
      <c r="E411" s="243"/>
      <c r="F411" s="242">
        <v>28.236940000000001</v>
      </c>
      <c r="G411" s="242">
        <v>41.03</v>
      </c>
      <c r="H411" s="242"/>
      <c r="I411" s="244"/>
      <c r="J411" s="244"/>
      <c r="K411" s="133"/>
      <c r="L411" s="35"/>
      <c r="M411" s="35"/>
      <c r="N411" s="35"/>
      <c r="O411" s="35"/>
      <c r="P411" s="35"/>
      <c r="Q411" s="35"/>
      <c r="R411" s="35"/>
      <c r="S411" s="35"/>
      <c r="T411" s="35"/>
    </row>
    <row r="412" spans="2:20" ht="15" hidden="1" customHeight="1" outlineLevel="1">
      <c r="B412" s="130"/>
      <c r="C412" s="241">
        <v>44483</v>
      </c>
      <c r="D412" s="242">
        <v>41.2</v>
      </c>
      <c r="E412" s="243"/>
      <c r="F412" s="242">
        <v>16.28539</v>
      </c>
      <c r="G412" s="242">
        <v>41.2</v>
      </c>
      <c r="H412" s="242"/>
      <c r="I412" s="244"/>
      <c r="J412" s="244"/>
      <c r="K412" s="133"/>
      <c r="L412" s="35"/>
      <c r="M412" s="35"/>
      <c r="N412" s="35"/>
      <c r="O412" s="35"/>
      <c r="P412" s="35"/>
      <c r="Q412" s="35"/>
      <c r="R412" s="35"/>
      <c r="S412" s="35"/>
      <c r="T412" s="35"/>
    </row>
    <row r="413" spans="2:20" ht="15" hidden="1" customHeight="1" outlineLevel="1">
      <c r="B413" s="130"/>
      <c r="C413" s="241">
        <v>44484</v>
      </c>
      <c r="D413" s="242">
        <v>40.99</v>
      </c>
      <c r="E413" s="243"/>
      <c r="F413" s="242">
        <v>13.860290000000001</v>
      </c>
      <c r="G413" s="242">
        <v>40.99</v>
      </c>
      <c r="H413" s="242"/>
      <c r="I413" s="244"/>
      <c r="J413" s="244"/>
      <c r="K413" s="133"/>
      <c r="L413" s="35"/>
      <c r="M413" s="35"/>
      <c r="N413" s="35"/>
      <c r="O413" s="35"/>
      <c r="P413" s="35"/>
      <c r="Q413" s="35"/>
      <c r="R413" s="35"/>
      <c r="S413" s="35"/>
      <c r="T413" s="35"/>
    </row>
    <row r="414" spans="2:20" ht="15" hidden="1" customHeight="1" outlineLevel="1">
      <c r="B414" s="130"/>
      <c r="C414" s="241">
        <v>44487</v>
      </c>
      <c r="D414" s="242">
        <v>41.01</v>
      </c>
      <c r="E414" s="243"/>
      <c r="F414" s="242">
        <v>10.14021</v>
      </c>
      <c r="G414" s="242">
        <v>41.01</v>
      </c>
      <c r="H414" s="242"/>
      <c r="I414" s="244"/>
      <c r="J414" s="244"/>
      <c r="K414" s="133"/>
      <c r="L414" s="35"/>
      <c r="M414" s="35"/>
      <c r="N414" s="35"/>
      <c r="O414" s="35"/>
      <c r="P414" s="35"/>
      <c r="Q414" s="35"/>
      <c r="R414" s="35"/>
      <c r="S414" s="35"/>
      <c r="T414" s="35"/>
    </row>
    <row r="415" spans="2:20" ht="15" hidden="1" customHeight="1" outlineLevel="1">
      <c r="B415" s="130"/>
      <c r="C415" s="241">
        <v>44488</v>
      </c>
      <c r="D415" s="242">
        <v>40.450000000000003</v>
      </c>
      <c r="E415" s="243"/>
      <c r="F415" s="242">
        <v>11.314450000000001</v>
      </c>
      <c r="G415" s="242">
        <v>40.450000000000003</v>
      </c>
      <c r="H415" s="242"/>
      <c r="I415" s="244"/>
      <c r="J415" s="244"/>
      <c r="K415" s="133"/>
      <c r="L415" s="35"/>
      <c r="M415" s="35"/>
      <c r="N415" s="35"/>
      <c r="O415" s="35"/>
      <c r="P415" s="35"/>
      <c r="Q415" s="35"/>
      <c r="R415" s="35"/>
      <c r="S415" s="35"/>
      <c r="T415" s="35"/>
    </row>
    <row r="416" spans="2:20" ht="15" hidden="1" customHeight="1" outlineLevel="1">
      <c r="B416" s="130"/>
      <c r="C416" s="241">
        <v>44489</v>
      </c>
      <c r="D416" s="242">
        <v>40.299999999999997</v>
      </c>
      <c r="E416" s="243"/>
      <c r="F416" s="242">
        <v>15.162599999999999</v>
      </c>
      <c r="G416" s="242">
        <v>40.299999999999997</v>
      </c>
      <c r="H416" s="242"/>
      <c r="I416" s="244"/>
      <c r="J416" s="244"/>
      <c r="K416" s="133"/>
      <c r="L416" s="35"/>
      <c r="M416" s="35"/>
      <c r="N416" s="35"/>
      <c r="O416" s="35"/>
      <c r="P416" s="35"/>
      <c r="Q416" s="35"/>
      <c r="R416" s="35"/>
      <c r="S416" s="35"/>
      <c r="T416" s="35"/>
    </row>
    <row r="417" spans="2:20" ht="15" hidden="1" customHeight="1" outlineLevel="1">
      <c r="B417" s="130"/>
      <c r="C417" s="241">
        <v>44490</v>
      </c>
      <c r="D417" s="242">
        <v>40.4</v>
      </c>
      <c r="E417" s="243"/>
      <c r="F417" s="242">
        <v>10.694369999999999</v>
      </c>
      <c r="G417" s="242">
        <v>40.4</v>
      </c>
      <c r="H417" s="242"/>
      <c r="I417" s="244"/>
      <c r="J417" s="244"/>
      <c r="K417" s="133"/>
      <c r="L417" s="35"/>
      <c r="M417" s="35"/>
      <c r="N417" s="35"/>
      <c r="O417" s="35"/>
      <c r="P417" s="35"/>
      <c r="Q417" s="35"/>
      <c r="R417" s="35"/>
      <c r="S417" s="35"/>
      <c r="T417" s="35"/>
    </row>
    <row r="418" spans="2:20" ht="15" hidden="1" customHeight="1" outlineLevel="1">
      <c r="B418" s="130"/>
      <c r="C418" s="241">
        <v>44491</v>
      </c>
      <c r="D418" s="242">
        <v>39.74</v>
      </c>
      <c r="E418" s="243"/>
      <c r="F418" s="242">
        <v>9.4618599999999997</v>
      </c>
      <c r="G418" s="242">
        <v>39.74</v>
      </c>
      <c r="H418" s="242"/>
      <c r="I418" s="244"/>
      <c r="J418" s="244"/>
      <c r="K418" s="133"/>
      <c r="L418" s="35"/>
      <c r="M418" s="35"/>
      <c r="N418" s="35"/>
      <c r="O418" s="35"/>
      <c r="P418" s="35"/>
      <c r="Q418" s="35"/>
      <c r="R418" s="35"/>
      <c r="S418" s="35"/>
      <c r="T418" s="35"/>
    </row>
    <row r="419" spans="2:20" ht="15" hidden="1" customHeight="1" outlineLevel="1">
      <c r="B419" s="130"/>
      <c r="C419" s="241">
        <v>44494</v>
      </c>
      <c r="D419" s="242">
        <v>39.51</v>
      </c>
      <c r="E419" s="243"/>
      <c r="F419" s="242">
        <v>9.0904570000000007</v>
      </c>
      <c r="G419" s="242">
        <v>39.51</v>
      </c>
      <c r="H419" s="242"/>
      <c r="I419" s="244"/>
      <c r="J419" s="244"/>
      <c r="K419" s="133"/>
      <c r="L419" s="35"/>
      <c r="M419" s="35"/>
      <c r="N419" s="35"/>
      <c r="O419" s="35"/>
      <c r="P419" s="35"/>
      <c r="Q419" s="35"/>
      <c r="R419" s="35"/>
      <c r="S419" s="35"/>
      <c r="T419" s="35"/>
    </row>
    <row r="420" spans="2:20" s="35" customFormat="1" ht="15" hidden="1" customHeight="1" outlineLevel="1">
      <c r="B420" s="130"/>
      <c r="C420" s="241">
        <v>44495</v>
      </c>
      <c r="D420" s="242">
        <v>39.71</v>
      </c>
      <c r="E420" s="243"/>
      <c r="F420" s="242">
        <v>8.9511529999999997</v>
      </c>
      <c r="G420" s="242">
        <v>39.71</v>
      </c>
      <c r="H420" s="242"/>
      <c r="I420" s="244"/>
      <c r="J420" s="244"/>
      <c r="K420" s="133"/>
    </row>
    <row r="421" spans="2:20" ht="15" hidden="1" customHeight="1" outlineLevel="1">
      <c r="B421" s="130"/>
      <c r="C421" s="241">
        <v>44496</v>
      </c>
      <c r="D421" s="242">
        <v>39.07</v>
      </c>
      <c r="E421" s="243"/>
      <c r="F421" s="242">
        <v>8.3417860000000008</v>
      </c>
      <c r="G421" s="242">
        <v>39.07</v>
      </c>
      <c r="H421" s="242"/>
      <c r="I421" s="244"/>
      <c r="J421" s="244"/>
      <c r="K421" s="133"/>
    </row>
    <row r="422" spans="2:20" ht="15" hidden="1" customHeight="1" outlineLevel="1">
      <c r="B422" s="130"/>
      <c r="C422" s="241">
        <v>44497</v>
      </c>
      <c r="D422" s="242">
        <v>39.15</v>
      </c>
      <c r="E422" s="243"/>
      <c r="F422" s="242">
        <v>7.4159610000000002</v>
      </c>
      <c r="G422" s="242">
        <v>39.15</v>
      </c>
      <c r="H422" s="242"/>
      <c r="I422" s="244"/>
      <c r="J422" s="244"/>
      <c r="K422" s="133"/>
    </row>
    <row r="423" spans="2:20" ht="15" hidden="1" customHeight="1" outlineLevel="1">
      <c r="B423" s="130"/>
      <c r="C423" s="241">
        <v>44498</v>
      </c>
      <c r="D423" s="242">
        <v>39.130000000000003</v>
      </c>
      <c r="E423" s="243"/>
      <c r="F423" s="242">
        <v>9.3438370000000006</v>
      </c>
      <c r="G423" s="242">
        <v>39.130000000000003</v>
      </c>
      <c r="H423" s="242"/>
      <c r="I423" s="244"/>
      <c r="J423" s="244"/>
      <c r="K423" s="133"/>
    </row>
    <row r="424" spans="2:20" ht="15" hidden="1" customHeight="1" outlineLevel="1">
      <c r="B424" s="130"/>
      <c r="C424" s="241">
        <v>44501</v>
      </c>
      <c r="D424" s="242">
        <v>40.42</v>
      </c>
      <c r="E424" s="243"/>
      <c r="F424" s="242">
        <v>11.40128</v>
      </c>
      <c r="G424" s="242">
        <v>40.42</v>
      </c>
      <c r="H424" s="242"/>
      <c r="I424" s="244"/>
      <c r="J424" s="244"/>
      <c r="K424" s="133"/>
    </row>
    <row r="425" spans="2:20" ht="15" hidden="1" customHeight="1" outlineLevel="1">
      <c r="B425" s="130"/>
      <c r="C425" s="241">
        <v>44502</v>
      </c>
      <c r="D425" s="242">
        <v>40.39</v>
      </c>
      <c r="E425" s="243"/>
      <c r="F425" s="242">
        <v>7.6112460000000004</v>
      </c>
      <c r="G425" s="242">
        <v>40.39</v>
      </c>
      <c r="H425" s="242"/>
      <c r="I425" s="244"/>
      <c r="J425" s="244"/>
      <c r="K425" s="133"/>
    </row>
    <row r="426" spans="2:20" ht="15" hidden="1" customHeight="1" outlineLevel="1">
      <c r="B426" s="130"/>
      <c r="C426" s="241">
        <v>44503</v>
      </c>
      <c r="D426" s="242">
        <v>41.24</v>
      </c>
      <c r="E426" s="243"/>
      <c r="F426" s="242">
        <v>10.010590000000001</v>
      </c>
      <c r="G426" s="242">
        <v>41.24</v>
      </c>
      <c r="H426" s="242"/>
      <c r="I426" s="244"/>
      <c r="J426" s="244"/>
      <c r="K426" s="133"/>
    </row>
    <row r="427" spans="2:20" ht="15" hidden="1" customHeight="1" outlineLevel="1">
      <c r="B427" s="130"/>
      <c r="C427" s="241">
        <v>44504</v>
      </c>
      <c r="D427" s="242">
        <v>40.99</v>
      </c>
      <c r="E427" s="243"/>
      <c r="F427" s="242">
        <v>9.9902870000000004</v>
      </c>
      <c r="G427" s="242">
        <v>40.99</v>
      </c>
      <c r="H427" s="242"/>
      <c r="I427" s="244"/>
      <c r="J427" s="244"/>
      <c r="K427" s="133"/>
    </row>
    <row r="428" spans="2:20" ht="15" hidden="1" customHeight="1" outlineLevel="1">
      <c r="B428" s="130"/>
      <c r="C428" s="241">
        <v>44505</v>
      </c>
      <c r="D428" s="242">
        <v>44.29</v>
      </c>
      <c r="E428" s="243"/>
      <c r="F428" s="242">
        <v>23.65119</v>
      </c>
      <c r="G428" s="242">
        <v>44.29</v>
      </c>
      <c r="H428" s="242"/>
      <c r="I428" s="244"/>
      <c r="J428" s="244"/>
      <c r="K428" s="133"/>
    </row>
    <row r="429" spans="2:20" ht="15" hidden="1" customHeight="1" outlineLevel="1">
      <c r="B429" s="130"/>
      <c r="C429" s="241">
        <v>44508</v>
      </c>
      <c r="D429" s="242">
        <v>44.65</v>
      </c>
      <c r="E429" s="243"/>
      <c r="F429" s="242">
        <v>15.00665</v>
      </c>
      <c r="G429" s="242">
        <v>44.65</v>
      </c>
      <c r="H429" s="242"/>
      <c r="I429" s="244"/>
      <c r="J429" s="244"/>
      <c r="K429" s="133"/>
    </row>
    <row r="430" spans="2:20" ht="15" hidden="1" customHeight="1" outlineLevel="1">
      <c r="B430" s="130"/>
      <c r="C430" s="241">
        <v>44509</v>
      </c>
      <c r="D430" s="242">
        <v>44.53</v>
      </c>
      <c r="E430" s="243"/>
      <c r="F430" s="242">
        <v>9.3590549999999997</v>
      </c>
      <c r="G430" s="242">
        <v>44.53</v>
      </c>
      <c r="H430" s="242"/>
      <c r="I430" s="244"/>
      <c r="J430" s="244"/>
      <c r="K430" s="133"/>
    </row>
    <row r="431" spans="2:20" ht="15" hidden="1" customHeight="1" outlineLevel="1">
      <c r="B431" s="130"/>
      <c r="C431" s="241">
        <v>44510</v>
      </c>
      <c r="D431" s="242">
        <v>43.71</v>
      </c>
      <c r="E431" s="243"/>
      <c r="F431" s="242">
        <v>8.6986620000000006</v>
      </c>
      <c r="G431" s="242">
        <v>43.71</v>
      </c>
      <c r="H431" s="242"/>
      <c r="I431" s="244"/>
      <c r="J431" s="244"/>
      <c r="K431" s="133"/>
    </row>
    <row r="432" spans="2:20" ht="15" hidden="1" customHeight="1" outlineLevel="1">
      <c r="B432" s="130"/>
      <c r="C432" s="241">
        <v>44511</v>
      </c>
      <c r="D432" s="242">
        <v>43.45</v>
      </c>
      <c r="E432" s="243"/>
      <c r="F432" s="242">
        <v>6.370673</v>
      </c>
      <c r="G432" s="242">
        <v>43.45</v>
      </c>
      <c r="H432" s="242"/>
      <c r="I432" s="244"/>
      <c r="J432" s="244"/>
      <c r="K432" s="133"/>
    </row>
    <row r="433" spans="2:18" ht="15" hidden="1" customHeight="1" outlineLevel="1">
      <c r="B433" s="130"/>
      <c r="C433" s="241">
        <v>44512</v>
      </c>
      <c r="D433" s="242">
        <v>42.22</v>
      </c>
      <c r="E433" s="243"/>
      <c r="F433" s="242">
        <v>10.03886</v>
      </c>
      <c r="G433" s="242">
        <v>42.22</v>
      </c>
      <c r="H433" s="242"/>
      <c r="I433" s="244"/>
      <c r="J433" s="244"/>
      <c r="K433" s="133"/>
    </row>
    <row r="434" spans="2:18" ht="15" hidden="1" customHeight="1" outlineLevel="1">
      <c r="B434" s="130"/>
      <c r="C434" s="241">
        <v>44515</v>
      </c>
      <c r="D434" s="242">
        <v>42.38</v>
      </c>
      <c r="E434" s="243"/>
      <c r="F434" s="242">
        <v>6.9384490000000003</v>
      </c>
      <c r="G434" s="242">
        <v>42.38</v>
      </c>
      <c r="H434" s="242"/>
      <c r="I434" s="244"/>
      <c r="J434" s="244"/>
      <c r="K434" s="133"/>
    </row>
    <row r="435" spans="2:18" ht="15" hidden="1" customHeight="1" outlineLevel="1">
      <c r="B435" s="130"/>
      <c r="C435" s="241">
        <v>44516</v>
      </c>
      <c r="D435" s="242">
        <v>41.04</v>
      </c>
      <c r="E435" s="243"/>
      <c r="F435" s="242">
        <v>11.055479999999999</v>
      </c>
      <c r="G435" s="242">
        <v>41.04</v>
      </c>
      <c r="H435" s="242"/>
      <c r="I435" s="244"/>
      <c r="J435" s="244"/>
      <c r="K435" s="133"/>
    </row>
    <row r="436" spans="2:18" ht="15" hidden="1" customHeight="1" outlineLevel="1">
      <c r="B436" s="130"/>
      <c r="C436" s="241">
        <v>44517</v>
      </c>
      <c r="D436" s="242">
        <v>40.71</v>
      </c>
      <c r="E436" s="243"/>
      <c r="F436" s="242">
        <v>9.0253029999999992</v>
      </c>
      <c r="G436" s="242">
        <v>40.71</v>
      </c>
      <c r="H436" s="242"/>
      <c r="I436" s="244"/>
      <c r="J436" s="244"/>
      <c r="K436" s="133"/>
    </row>
    <row r="437" spans="2:18" ht="15" hidden="1" customHeight="1" outlineLevel="1">
      <c r="B437" s="130"/>
      <c r="C437" s="241">
        <v>44518</v>
      </c>
      <c r="D437" s="242">
        <v>40.119999999999997</v>
      </c>
      <c r="E437" s="243"/>
      <c r="F437" s="242">
        <v>11.62129</v>
      </c>
      <c r="G437" s="242">
        <v>40.119999999999997</v>
      </c>
      <c r="H437" s="242"/>
      <c r="I437" s="244"/>
      <c r="J437" s="244"/>
      <c r="K437" s="133"/>
    </row>
    <row r="438" spans="2:18" ht="15" hidden="1" customHeight="1" outlineLevel="1">
      <c r="B438" s="130"/>
      <c r="C438" s="241">
        <v>44519</v>
      </c>
      <c r="D438" s="242">
        <v>39.69</v>
      </c>
      <c r="E438" s="243"/>
      <c r="F438" s="242">
        <v>15.04007</v>
      </c>
      <c r="G438" s="242">
        <v>39.69</v>
      </c>
      <c r="H438" s="242"/>
      <c r="I438" s="244"/>
      <c r="J438" s="244"/>
      <c r="K438" s="133"/>
    </row>
    <row r="439" spans="2:18" ht="15" hidden="1" customHeight="1" outlineLevel="1">
      <c r="B439" s="130"/>
      <c r="C439" s="241">
        <v>44522</v>
      </c>
      <c r="D439" s="242">
        <v>39.770000000000003</v>
      </c>
      <c r="E439" s="243"/>
      <c r="F439" s="242">
        <v>11.991400000000001</v>
      </c>
      <c r="G439" s="242">
        <v>39.770000000000003</v>
      </c>
      <c r="H439" s="242"/>
      <c r="I439" s="244"/>
      <c r="J439" s="244"/>
      <c r="K439" s="133"/>
    </row>
    <row r="440" spans="2:18" ht="15" hidden="1" customHeight="1" outlineLevel="1">
      <c r="B440" s="130"/>
      <c r="C440" s="241">
        <v>44523</v>
      </c>
      <c r="D440" s="242">
        <v>39.53</v>
      </c>
      <c r="E440" s="243"/>
      <c r="F440" s="242">
        <v>11.083930000000001</v>
      </c>
      <c r="G440" s="242">
        <v>39.53</v>
      </c>
      <c r="H440" s="242"/>
      <c r="I440" s="244"/>
      <c r="J440" s="244"/>
      <c r="K440" s="133"/>
    </row>
    <row r="441" spans="2:18" ht="15" hidden="1" customHeight="1" outlineLevel="1">
      <c r="B441" s="130"/>
      <c r="C441" s="241">
        <v>44524</v>
      </c>
      <c r="D441" s="242">
        <v>39.69</v>
      </c>
      <c r="E441" s="243"/>
      <c r="F441" s="242">
        <v>7.5804510000000001</v>
      </c>
      <c r="G441" s="242">
        <v>39.69</v>
      </c>
      <c r="H441" s="242"/>
      <c r="I441" s="244"/>
      <c r="J441" s="244"/>
      <c r="K441" s="133"/>
    </row>
    <row r="442" spans="2:18" ht="15" hidden="1" customHeight="1" outlineLevel="1">
      <c r="B442" s="130"/>
      <c r="C442" s="241">
        <v>44526</v>
      </c>
      <c r="D442" s="242">
        <v>36.380000000000003</v>
      </c>
      <c r="E442" s="243"/>
      <c r="F442" s="242">
        <v>38.022640000000003</v>
      </c>
      <c r="G442" s="242">
        <v>36.380000000000003</v>
      </c>
      <c r="H442" s="242"/>
      <c r="I442" s="244"/>
      <c r="J442" s="244"/>
      <c r="K442" s="133"/>
    </row>
    <row r="443" spans="2:18" ht="15" hidden="1" customHeight="1" outlineLevel="1">
      <c r="B443" s="130"/>
      <c r="C443" s="241"/>
      <c r="D443" s="242"/>
      <c r="E443" s="243"/>
      <c r="F443" s="242"/>
      <c r="G443" s="242"/>
      <c r="H443" s="242"/>
      <c r="I443" s="244"/>
      <c r="J443" s="244"/>
      <c r="K443" s="133"/>
    </row>
    <row r="444" spans="2:18" ht="15" hidden="1" customHeight="1" outlineLevel="1">
      <c r="B444" s="73"/>
      <c r="C444" s="241"/>
      <c r="D444" s="242"/>
      <c r="E444" s="243"/>
      <c r="F444" s="242"/>
      <c r="G444" s="242"/>
      <c r="H444" s="242"/>
      <c r="I444" s="244"/>
      <c r="J444" s="244"/>
      <c r="K444" s="113"/>
      <c r="L444" s="245"/>
      <c r="M444" s="245"/>
      <c r="N444" s="245"/>
      <c r="O444" s="245"/>
      <c r="P444" s="245"/>
      <c r="Q444" s="245"/>
      <c r="R444" s="245"/>
    </row>
    <row r="445" spans="2:18" ht="15" hidden="1" customHeight="1" outlineLevel="1">
      <c r="B445" s="73"/>
      <c r="C445" s="241"/>
      <c r="D445" s="242"/>
      <c r="E445" s="243"/>
      <c r="F445" s="242"/>
      <c r="G445" s="242"/>
      <c r="H445" s="242"/>
      <c r="I445" s="244"/>
      <c r="J445" s="244"/>
      <c r="K445" s="113"/>
      <c r="L445" s="245"/>
      <c r="M445" s="245"/>
      <c r="N445" s="245"/>
      <c r="O445" s="245"/>
      <c r="P445" s="245"/>
      <c r="Q445" s="245"/>
      <c r="R445" s="245"/>
    </row>
    <row r="446" spans="2:18" ht="15" hidden="1" customHeight="1" outlineLevel="1">
      <c r="B446" s="73"/>
      <c r="C446" s="241"/>
      <c r="D446" s="242"/>
      <c r="E446" s="243"/>
      <c r="F446" s="242"/>
      <c r="G446" s="242"/>
      <c r="H446" s="242"/>
      <c r="I446" s="244"/>
      <c r="J446" s="244"/>
      <c r="K446" s="113"/>
      <c r="L446" s="245"/>
      <c r="M446" s="245"/>
      <c r="N446" s="245"/>
      <c r="O446" s="245"/>
      <c r="P446" s="245"/>
      <c r="Q446" s="245"/>
      <c r="R446" s="245"/>
    </row>
    <row r="447" spans="2:18" ht="15" hidden="1" customHeight="1" outlineLevel="1">
      <c r="B447" s="73"/>
      <c r="C447" s="241"/>
      <c r="D447" s="242"/>
      <c r="E447" s="243"/>
      <c r="F447" s="242"/>
      <c r="G447" s="242"/>
      <c r="H447" s="242"/>
      <c r="I447" s="244"/>
      <c r="J447" s="244"/>
      <c r="K447" s="113"/>
      <c r="L447" s="245"/>
      <c r="M447" s="245"/>
      <c r="N447" s="245"/>
      <c r="O447" s="245"/>
      <c r="P447" s="245"/>
      <c r="Q447" s="245"/>
      <c r="R447" s="245"/>
    </row>
    <row r="448" spans="2:18" ht="15" hidden="1" customHeight="1" outlineLevel="1">
      <c r="B448" s="73"/>
      <c r="C448" s="241"/>
      <c r="D448" s="242"/>
      <c r="E448" s="243"/>
      <c r="F448" s="242"/>
      <c r="G448" s="242"/>
      <c r="H448" s="242"/>
      <c r="I448" s="244"/>
      <c r="J448" s="244"/>
      <c r="K448" s="113"/>
      <c r="L448" s="245"/>
      <c r="M448" s="245"/>
      <c r="N448" s="245"/>
      <c r="O448" s="245"/>
      <c r="P448" s="245"/>
      <c r="Q448" s="245"/>
      <c r="R448" s="245"/>
    </row>
    <row r="449" spans="2:18" ht="15" hidden="1" customHeight="1" outlineLevel="1">
      <c r="B449" s="73"/>
      <c r="C449" s="241"/>
      <c r="D449" s="242"/>
      <c r="E449" s="243"/>
      <c r="F449" s="242"/>
      <c r="G449" s="242"/>
      <c r="H449" s="242"/>
      <c r="I449" s="244"/>
      <c r="J449" s="244"/>
      <c r="K449" s="113"/>
      <c r="L449" s="245"/>
      <c r="M449" s="245"/>
      <c r="N449" s="245"/>
      <c r="O449" s="245"/>
      <c r="P449" s="245"/>
      <c r="Q449" s="245"/>
      <c r="R449" s="245"/>
    </row>
    <row r="450" spans="2:18" ht="15" hidden="1" customHeight="1" outlineLevel="1">
      <c r="B450" s="73"/>
      <c r="C450" s="241"/>
      <c r="D450" s="242"/>
      <c r="E450" s="243"/>
      <c r="F450" s="242"/>
      <c r="G450" s="242"/>
      <c r="H450" s="242"/>
      <c r="I450" s="244"/>
      <c r="J450" s="244"/>
      <c r="K450" s="113"/>
      <c r="L450" s="245"/>
      <c r="M450" s="245"/>
      <c r="N450" s="245"/>
      <c r="O450" s="245"/>
      <c r="P450" s="245"/>
      <c r="Q450" s="245"/>
      <c r="R450" s="245"/>
    </row>
    <row r="451" spans="2:18" ht="15" hidden="1" customHeight="1" outlineLevel="1">
      <c r="B451" s="73"/>
      <c r="C451" s="241"/>
      <c r="D451" s="242"/>
      <c r="E451" s="243"/>
      <c r="F451" s="242"/>
      <c r="G451" s="242"/>
      <c r="H451" s="242"/>
      <c r="I451" s="244"/>
      <c r="J451" s="244"/>
      <c r="K451" s="113"/>
      <c r="L451" s="245"/>
      <c r="M451" s="245"/>
      <c r="N451" s="245"/>
      <c r="O451" s="245"/>
      <c r="P451" s="245"/>
      <c r="Q451" s="245"/>
      <c r="R451" s="245"/>
    </row>
    <row r="452" spans="2:18" ht="15" hidden="1" customHeight="1" outlineLevel="1">
      <c r="B452" s="73"/>
      <c r="C452" s="246"/>
      <c r="D452" s="244"/>
      <c r="E452" s="247"/>
      <c r="F452" s="244"/>
      <c r="G452" s="244"/>
      <c r="H452" s="244"/>
      <c r="I452" s="244"/>
      <c r="J452" s="244"/>
      <c r="K452" s="113"/>
      <c r="L452" s="245"/>
      <c r="M452" s="245"/>
      <c r="N452" s="245"/>
      <c r="O452" s="245"/>
      <c r="P452" s="245"/>
      <c r="Q452" s="245"/>
      <c r="R452" s="245"/>
    </row>
    <row r="453" spans="2:18" ht="15" customHeight="1">
      <c r="B453" s="123"/>
      <c r="C453" s="248"/>
      <c r="D453" s="248"/>
      <c r="E453" s="248"/>
      <c r="F453" s="248"/>
      <c r="G453" s="248"/>
      <c r="H453" s="124"/>
      <c r="I453" s="248"/>
      <c r="J453" s="124"/>
      <c r="K453" s="126"/>
      <c r="L453" s="245"/>
      <c r="M453" s="245"/>
      <c r="N453" s="245"/>
      <c r="O453" s="245"/>
      <c r="P453" s="245"/>
      <c r="Q453" s="245"/>
      <c r="R453" s="245"/>
    </row>
    <row r="454" spans="2:18" ht="15" customHeight="1">
      <c r="C454" s="249"/>
      <c r="D454" s="249"/>
      <c r="E454" s="249"/>
      <c r="F454" s="249"/>
      <c r="G454" s="249"/>
      <c r="I454" s="249"/>
      <c r="J454" s="249"/>
      <c r="L454" s="245"/>
      <c r="M454" s="245"/>
      <c r="N454" s="245"/>
      <c r="O454" s="245"/>
      <c r="P454" s="245"/>
      <c r="Q454" s="245"/>
      <c r="R454" s="245"/>
    </row>
    <row r="455" spans="2:18" ht="15" customHeight="1">
      <c r="C455" s="249"/>
      <c r="D455" s="249"/>
      <c r="E455" s="249"/>
      <c r="F455" s="249"/>
      <c r="G455" s="249"/>
      <c r="I455" s="249"/>
      <c r="J455" s="249"/>
      <c r="L455" s="245"/>
      <c r="M455" s="245"/>
      <c r="N455" s="245"/>
      <c r="O455" s="245"/>
      <c r="P455" s="245"/>
      <c r="Q455" s="245"/>
      <c r="R455" s="245"/>
    </row>
    <row r="456" spans="2:18" ht="15" customHeight="1">
      <c r="C456" s="249"/>
      <c r="D456" s="249"/>
      <c r="E456" s="249"/>
      <c r="F456" s="249"/>
      <c r="G456" s="249"/>
      <c r="I456" s="66"/>
      <c r="J456" s="66"/>
      <c r="L456" s="66"/>
      <c r="M456" s="66"/>
      <c r="N456" s="66"/>
      <c r="O456" s="66"/>
      <c r="P456" s="66"/>
      <c r="Q456" s="66"/>
    </row>
    <row r="457" spans="2:18" ht="15" customHeight="1">
      <c r="C457" s="249"/>
      <c r="D457" s="249"/>
      <c r="E457" s="249"/>
      <c r="F457" s="249"/>
      <c r="G457" s="249"/>
    </row>
  </sheetData>
  <conditionalFormatting sqref="C60 C55:C58 C52:C53 C48:C49 C44:C46 C38:C39 C35">
    <cfRule type="expression" dxfId="38" priority="6">
      <formula>AND(LEN(#REF!)&gt;0)</formula>
    </cfRule>
  </conditionalFormatting>
  <conditionalFormatting sqref="C41:C42">
    <cfRule type="expression" dxfId="37" priority="5">
      <formula>AND(LEN(#REF!)&gt;0)</formula>
    </cfRule>
  </conditionalFormatting>
  <conditionalFormatting sqref="C60 C55:C58 C52:C53 C48:C49 C44:C46 C38:C39 C35">
    <cfRule type="expression" dxfId="36" priority="4">
      <formula>AND(LEN(#REF!)&gt;0)</formula>
    </cfRule>
  </conditionalFormatting>
  <conditionalFormatting sqref="C41:C42">
    <cfRule type="expression" dxfId="35" priority="3">
      <formula>AND(LEN(#REF!)&gt;0)</formula>
    </cfRule>
  </conditionalFormatting>
  <conditionalFormatting sqref="E35:J35">
    <cfRule type="expression" dxfId="34" priority="2">
      <formula>AND(LEN(#REF!)&gt;0)</formula>
    </cfRule>
  </conditionalFormatting>
  <conditionalFormatting sqref="E35:J35">
    <cfRule type="expression" dxfId="33" priority="1">
      <formula>AND(LEN(#REF!)&gt;0)</formula>
    </cfRule>
  </conditionalFormatting>
  <dataValidations count="2">
    <dataValidation errorStyle="information" allowBlank="1" showInputMessage="1" showErrorMessage="1" promptTitle="BETA Function" prompt="Note that FactSet's BETA function can be fully customized. See Online Assistant Page #1587." sqref="J21" xr:uid="{00000000-0002-0000-0100-000000000000}"/>
    <dataValidation errorStyle="information" allowBlank="1" showInputMessage="1" showErrorMessage="1" promptTitle="Identifier Input." prompt="Please input a valid identifier. This is the only input in this model." sqref="G2" xr:uid="{00000000-0002-0000-0100-000001000000}"/>
  </dataValidations>
  <pageMargins left="0.23622047244094491" right="0.23622047244094491" top="0.23622047244094491" bottom="0.23622047244094491" header="0.51181102362204722" footer="0.51181102362204722"/>
  <pageSetup scale="53" orientation="portrait" horizontalDpi="300" verticalDpi="300" r:id="rId1"/>
  <headerFooter alignWithMargins="0">
    <oddFooter>&amp;RPowered by FactSet</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097" r:id="rId4" name="Drop Down 1">
              <controlPr defaultSize="0" print="0" autoLine="0" autoPict="0">
                <anchor>
                  <from>
                    <xdr:col>18</xdr:col>
                    <xdr:colOff>257175</xdr:colOff>
                    <xdr:row>54</xdr:row>
                    <xdr:rowOff>142875</xdr:rowOff>
                  </from>
                  <to>
                    <xdr:col>19</xdr:col>
                    <xdr:colOff>495300</xdr:colOff>
                    <xdr:row>56</xdr:row>
                    <xdr:rowOff>0</xdr:rowOff>
                  </to>
                </anchor>
              </controlPr>
            </control>
          </mc:Choice>
        </mc:AlternateContent>
        <mc:AlternateContent xmlns:mc="http://schemas.openxmlformats.org/markup-compatibility/2006">
          <mc:Choice Requires="x14">
            <control shapeId="4098" r:id="rId5" name="Drop Down 2">
              <controlPr defaultSize="0" print="0" autoLine="0" autoPict="0">
                <anchor>
                  <from>
                    <xdr:col>15</xdr:col>
                    <xdr:colOff>352425</xdr:colOff>
                    <xdr:row>54</xdr:row>
                    <xdr:rowOff>142875</xdr:rowOff>
                  </from>
                  <to>
                    <xdr:col>17</xdr:col>
                    <xdr:colOff>47625</xdr:colOff>
                    <xdr:row>56</xdr:row>
                    <xdr:rowOff>0</xdr:rowOff>
                  </to>
                </anchor>
              </controlPr>
            </control>
          </mc:Choice>
        </mc:AlternateContent>
        <mc:AlternateContent xmlns:mc="http://schemas.openxmlformats.org/markup-compatibility/2006">
          <mc:Choice Requires="x14">
            <control shapeId="4099" r:id="rId6" name="Drop Down 3">
              <controlPr defaultSize="0" print="0" autoLine="0" autoPict="0">
                <anchor>
                  <from>
                    <xdr:col>17</xdr:col>
                    <xdr:colOff>85725</xdr:colOff>
                    <xdr:row>54</xdr:row>
                    <xdr:rowOff>142875</xdr:rowOff>
                  </from>
                  <to>
                    <xdr:col>18</xdr:col>
                    <xdr:colOff>219075</xdr:colOff>
                    <xdr:row>56</xdr:row>
                    <xdr:rowOff>0</xdr:rowOff>
                  </to>
                </anchor>
              </controlPr>
            </control>
          </mc:Choice>
        </mc:AlternateContent>
        <mc:AlternateContent xmlns:mc="http://schemas.openxmlformats.org/markup-compatibility/2006">
          <mc:Choice Requires="x14">
            <control shapeId="4100" r:id="rId7" name="Drop Down 4">
              <controlPr defaultSize="0" print="0" autoLine="0" autoPict="0">
                <anchor>
                  <from>
                    <xdr:col>17</xdr:col>
                    <xdr:colOff>85725</xdr:colOff>
                    <xdr:row>42</xdr:row>
                    <xdr:rowOff>104775</xdr:rowOff>
                  </from>
                  <to>
                    <xdr:col>18</xdr:col>
                    <xdr:colOff>219075</xdr:colOff>
                    <xdr:row>43</xdr:row>
                    <xdr:rowOff>142875</xdr:rowOff>
                  </to>
                </anchor>
              </controlPr>
            </control>
          </mc:Choice>
        </mc:AlternateContent>
        <mc:AlternateContent xmlns:mc="http://schemas.openxmlformats.org/markup-compatibility/2006">
          <mc:Choice Requires="x14">
            <control shapeId="4101" r:id="rId8" name="Drop Down 5">
              <controlPr defaultSize="0" print="0" autoLine="0" autoPict="0">
                <anchor>
                  <from>
                    <xdr:col>18</xdr:col>
                    <xdr:colOff>257175</xdr:colOff>
                    <xdr:row>42</xdr:row>
                    <xdr:rowOff>104775</xdr:rowOff>
                  </from>
                  <to>
                    <xdr:col>19</xdr:col>
                    <xdr:colOff>495300</xdr:colOff>
                    <xdr:row>43</xdr:row>
                    <xdr:rowOff>142875</xdr:rowOff>
                  </to>
                </anchor>
              </controlPr>
            </control>
          </mc:Choice>
        </mc:AlternateContent>
        <mc:AlternateContent xmlns:mc="http://schemas.openxmlformats.org/markup-compatibility/2006">
          <mc:Choice Requires="x14">
            <control shapeId="4102" r:id="rId9" name="Drop Down 6">
              <controlPr defaultSize="0" print="0" autoLine="0" autoPict="0">
                <anchor>
                  <from>
                    <xdr:col>18</xdr:col>
                    <xdr:colOff>266700</xdr:colOff>
                    <xdr:row>67</xdr:row>
                    <xdr:rowOff>142875</xdr:rowOff>
                  </from>
                  <to>
                    <xdr:col>19</xdr:col>
                    <xdr:colOff>561975</xdr:colOff>
                    <xdr:row>68</xdr:row>
                    <xdr:rowOff>104775</xdr:rowOff>
                  </to>
                </anchor>
              </controlPr>
            </control>
          </mc:Choice>
        </mc:AlternateContent>
        <mc:AlternateContent xmlns:mc="http://schemas.openxmlformats.org/markup-compatibility/2006">
          <mc:Choice Requires="x14">
            <control shapeId="4103" r:id="rId10" name="Drop Down 7">
              <controlPr defaultSize="0" print="0" autoLine="0" autoPict="0">
                <anchor moveWithCells="1">
                  <from>
                    <xdr:col>15</xdr:col>
                    <xdr:colOff>333375</xdr:colOff>
                    <xdr:row>18</xdr:row>
                    <xdr:rowOff>180975</xdr:rowOff>
                  </from>
                  <to>
                    <xdr:col>16</xdr:col>
                    <xdr:colOff>266700</xdr:colOff>
                    <xdr:row>20</xdr:row>
                    <xdr:rowOff>28575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theme="6" tint="0.59999389629810485"/>
    <outlinePr summaryBelow="0"/>
  </sheetPr>
  <dimension ref="A1:R201"/>
  <sheetViews>
    <sheetView showGridLines="0" topLeftCell="A2" zoomScaleNormal="100" workbookViewId="0">
      <pane ySplit="11" topLeftCell="A13" activePane="bottomLeft" state="frozen"/>
      <selection activeCell="E31" sqref="E31"/>
      <selection pane="bottomLeft" activeCell="D14" sqref="D14"/>
    </sheetView>
  </sheetViews>
  <sheetFormatPr defaultColWidth="9.28515625" defaultRowHeight="15" customHeight="1" outlineLevelCol="1"/>
  <cols>
    <col min="1" max="1" width="18.28515625" style="34" hidden="1" customWidth="1" outlineLevel="1"/>
    <col min="2" max="2" width="21.7109375" style="421" hidden="1" customWidth="1" outlineLevel="1"/>
    <col min="3" max="3" width="2.7109375" style="66" customWidth="1" collapsed="1"/>
    <col min="4" max="4" width="10.7109375" style="34" customWidth="1" collapsed="1"/>
    <col min="5" max="5" width="26.7109375" style="34" customWidth="1"/>
    <col min="6" max="6" width="26.28515625" style="35" customWidth="1" outlineLevel="1"/>
    <col min="7" max="7" width="13.28515625" style="34" customWidth="1" outlineLevel="1"/>
    <col min="8" max="8" width="12.28515625" style="34" customWidth="1" outlineLevel="1"/>
    <col min="9" max="9" width="17.28515625" style="34" customWidth="1" outlineLevel="1"/>
    <col min="10" max="10" width="46.28515625" style="34" customWidth="1" outlineLevel="1"/>
    <col min="11" max="11" width="25" style="34" customWidth="1" outlineLevel="1"/>
    <col min="12" max="12" width="14.7109375" style="34" customWidth="1" outlineLevel="1"/>
    <col min="13" max="13" width="14.28515625" style="34" customWidth="1" outlineLevel="1"/>
    <col min="14" max="14" width="13.7109375" style="34" customWidth="1"/>
    <col min="15" max="15" width="9.28515625" style="34"/>
    <col min="16" max="16" width="10.28515625" style="34" bestFit="1" customWidth="1"/>
    <col min="17" max="17" width="10.7109375" style="34" customWidth="1"/>
    <col min="18" max="16384" width="9.28515625" style="34"/>
  </cols>
  <sheetData>
    <row r="1" spans="1:18" ht="15" hidden="1" customHeight="1"/>
    <row r="2" spans="1:18" s="40" customFormat="1" ht="22.5" customHeight="1">
      <c r="C2" s="422"/>
      <c r="D2" s="37"/>
      <c r="E2" s="36"/>
      <c r="F2" s="36"/>
      <c r="G2" s="38" t="s">
        <v>1</v>
      </c>
      <c r="H2" s="1018" t="s">
        <v>2</v>
      </c>
      <c r="I2" s="36"/>
      <c r="J2" s="42" t="str">
        <f>IF(LEN(K2)&gt;0,"Next rpt date: ","")</f>
        <v xml:space="preserve">Next rpt date: </v>
      </c>
      <c r="K2" s="43" cm="1">
        <f t="array" ref="K2">_xll.FDSB(Identifier,"CS_EVENT_DATEJ_N(""ER"",1)")</f>
        <v>44579</v>
      </c>
      <c r="L2" s="44" t="s">
        <v>5</v>
      </c>
      <c r="M2" s="43" cm="1">
        <f t="array" ref="M2">_xll.FDSB("dummy","julian(today)")</f>
        <v>44526</v>
      </c>
      <c r="N2" s="422"/>
    </row>
    <row r="3" spans="1:18" s="46" customFormat="1" ht="24.75" customHeight="1">
      <c r="C3" s="423"/>
      <c r="D3" s="48" t="str">
        <f>"Competitors - "&amp; _xll.FDSC("-",H2,"FF_CO_NAME")&amp;" ("&amp;UPPER(H2)&amp;")"</f>
        <v>Competitors - Delta Air Lines, Inc. (DAL-US)</v>
      </c>
      <c r="F3" s="47"/>
      <c r="G3" s="49"/>
      <c r="J3" s="51"/>
      <c r="K3" s="51"/>
      <c r="L3" s="51"/>
      <c r="M3" s="52" t="str" cm="1">
        <f t="array" ref="M3">"Currency : "&amp;_xll.FDSB(Identifier,"P_CURRENCY(""ISO"")")&amp;" | Exchange : "&amp;_xll.FDSB(Identifier,"P_EXCHANGE('NAME','FS')")&amp;" | FactSet Sector : "&amp;_xll.FDSB(Identifier,"FG_FACTSET_SECTOR")&amp;""</f>
        <v>Currency : USD | Exchange : NYSE | FactSet Sector : Transportation</v>
      </c>
      <c r="N3" s="423"/>
    </row>
    <row r="4" spans="1:18" s="56" customFormat="1" ht="22.5" hidden="1" customHeight="1">
      <c r="A4" s="424" t="s">
        <v>106</v>
      </c>
      <c r="B4" s="425" t="str">
        <f>"REMOVE_DUPLICATES(CONCAT(HC_COMP_FDS_IDS(""ALL"",1,-1),FF_RELATED_COMPANY(COMPT,PUB,FEID,0,""OTHER""),FF_RELATED_COMPANY(COMPT,PUB,FEID,0,""OTHER"")))"</f>
        <v>REMOVE_DUPLICATES(CONCAT(HC_COMP_FDS_IDS("ALL",1,-1),FF_RELATED_COMPANY(COMPT,PUB,FEID,0,"OTHER"),FF_RELATED_COMPANY(COMPT,PUB,FEID,0,"OTHER")))</v>
      </c>
      <c r="F4" s="57"/>
      <c r="G4" s="57"/>
      <c r="H4" s="57"/>
      <c r="J4" s="57"/>
      <c r="K4" s="58"/>
      <c r="L4" s="59"/>
    </row>
    <row r="5" spans="1:18" s="56" customFormat="1" ht="22.5" hidden="1" customHeight="1">
      <c r="A5" s="424" t="s">
        <v>107</v>
      </c>
      <c r="B5" s="425" t="s">
        <v>108</v>
      </c>
      <c r="F5" s="57"/>
      <c r="G5" s="57"/>
      <c r="H5" s="57"/>
      <c r="J5" s="57"/>
      <c r="K5" s="58"/>
      <c r="L5" s="59"/>
    </row>
    <row r="6" spans="1:18" s="56" customFormat="1" ht="22.5" hidden="1" customHeight="1">
      <c r="A6" s="424" t="s">
        <v>109</v>
      </c>
      <c r="B6" s="425" t="str">
        <f>"FF_RELATED_COMPANY(COMPT,PUB,FEID,0,""TGT"")"</f>
        <v>FF_RELATED_COMPANY(COMPT,PUB,FEID,0,"TGT")</v>
      </c>
    </row>
    <row r="7" spans="1:18" s="56" customFormat="1" ht="22.5" hidden="1" customHeight="1">
      <c r="A7" s="424" t="s">
        <v>110</v>
      </c>
      <c r="B7" s="425" t="str">
        <f>"FF_RELATED_COMPANY(COMPT,PUB,FEID,0,""OTHER"") "</f>
        <v xml:space="preserve">FF_RELATED_COMPANY(COMPT,PUB,FEID,0,"OTHER") </v>
      </c>
    </row>
    <row r="8" spans="1:18" s="426" customFormat="1" ht="22.5" customHeight="1">
      <c r="B8" s="427"/>
      <c r="D8" s="428" t="s">
        <v>111</v>
      </c>
      <c r="E8" s="428" t="s">
        <v>112</v>
      </c>
      <c r="F8" s="426" t="s">
        <v>31</v>
      </c>
      <c r="G8" s="426" t="s">
        <v>113</v>
      </c>
      <c r="H8" s="426" t="s">
        <v>114</v>
      </c>
      <c r="I8" s="428" t="s">
        <v>115</v>
      </c>
      <c r="J8" s="428" t="s">
        <v>116</v>
      </c>
      <c r="K8" s="428" t="s">
        <v>117</v>
      </c>
      <c r="L8" s="428" t="s">
        <v>118</v>
      </c>
      <c r="M8" s="428" t="s">
        <v>119</v>
      </c>
      <c r="N8" s="426" t="s">
        <v>120</v>
      </c>
      <c r="O8" s="426" t="s">
        <v>82</v>
      </c>
      <c r="P8" s="426" t="s">
        <v>121</v>
      </c>
    </row>
    <row r="9" spans="1:18" s="440" customFormat="1" ht="17.100000000000001" customHeight="1">
      <c r="A9" s="429"/>
      <c r="B9" s="430"/>
      <c r="C9" s="431"/>
      <c r="D9" s="432" t="str" cm="1">
        <f t="array" ref="D9">_xll.FDSB(Identifier,"P_SYMBOL")</f>
        <v>DAL-US</v>
      </c>
      <c r="E9" s="433" t="str" cm="1">
        <f t="array" ref="E9">_xll.FDSB(D9,"FF_CO_NAME")</f>
        <v>Delta Air Lines, Inc.</v>
      </c>
      <c r="F9" s="434" t="str" cm="1">
        <f t="array" ref="F9">_xll.FDSB(D9,"FF_ADDRESS")&amp;" "&amp;_xll.FDSB(D9,"FF_ADDRESS2")&amp;" "&amp;_xll.FDSB(D9,"FF_CITY")&amp;" "&amp;_xll.FDSB(D9,"FF_POSTAL")&amp;" "&amp;_xll.FDSB(D9,"FF_STATE_PROVINCE")&amp;" "&amp;_xll.FDSB(D9,"FF_COUNTRY")</f>
        <v>International Airport Hartsfield-Jackson Atlanta Atlanta 30354 Georgia UNITED STATES</v>
      </c>
      <c r="G9" s="435" cm="1">
        <f t="array" ref="G9">_xll.FDSB(D9,"FF_SALES(ANN_R,0)")</f>
        <v>17095</v>
      </c>
      <c r="H9" s="436" cm="1">
        <f t="array" ref="H9">_xll.FDSB(D9,"FF_EMP_NUM(ANN,0)")</f>
        <v>74000</v>
      </c>
      <c r="I9" s="437" t="str" cm="1">
        <f t="array" ref="I9">_xll.FDSRB(D9,"OS_TOP_HLDR_ULTPRNT(1,0D,,MTD,,F,SEC)[0]")</f>
        <v>The Vanguard Group, Inc.</v>
      </c>
      <c r="J9" s="437" t="str" cm="1">
        <f t="array" ref="J9">_xll.FDSRB(D9,"FF_BUS_DESC_EXT")</f>
        <v>Delta Air Lines, Inc. engages in the provision of scheduled air transportation for passengers and cargo. It operates through the Airline and Refinery segments. The Airline segment provides scheduled air transportation for passengers and cargo. The Refinery segment consists of jet fuel and non-jet fuel products. The company was founded by Collett Everman Woolman in 1928 and is headquartered in Atlanta, GA.</v>
      </c>
      <c r="K9" s="437" t="str" cm="1">
        <f t="array" ref="K9">_xll.FDSB(D9,"HOMEPAGE")</f>
        <v>http://www.delta.com</v>
      </c>
      <c r="L9" s="437" t="str" cm="1">
        <f t="array" ref="L9">_xll.FDSB(D9,"FG_EXCHANGE")</f>
        <v>NYSE</v>
      </c>
      <c r="M9" s="438" t="str">
        <f>HYPERLINK("ec://EC/?MODEL=GENERIC&amp;ID="&amp;D9&amp;"&amp;TYPEID=FDSSYMBOL&amp;KW=CPYATGLANCEFF",E9&amp;" - Company at a glance")</f>
        <v>Delta Air Lines, Inc. - Company at a glance</v>
      </c>
      <c r="N9" s="439" cm="1">
        <f t="array" ref="N9">_xll.FDS(D9,"FF_PBK(ANN_R,0)")</f>
        <v>16.728377085326802</v>
      </c>
      <c r="O9" s="439" cm="1">
        <f t="array" ref="O9">_xll.FDS(D9,"FF_ROE(ANN_R,0)")</f>
        <v>-146.63746152024601</v>
      </c>
      <c r="P9" s="439" t="e" cm="1">
        <f t="array" ref="P9">_xll.FDS(D9,"FF_PE(ANN_R,0)")</f>
        <v>#N/A</v>
      </c>
      <c r="R9" s="441"/>
    </row>
    <row r="10" spans="1:18" s="442" customFormat="1" ht="17.100000000000001" customHeight="1">
      <c r="B10" s="443"/>
      <c r="C10" s="444"/>
      <c r="D10" s="445"/>
      <c r="E10" s="446"/>
      <c r="G10" s="447"/>
      <c r="H10" s="447"/>
      <c r="I10" s="448"/>
      <c r="J10" s="449"/>
      <c r="K10" s="449"/>
      <c r="L10" s="449"/>
      <c r="M10" s="450"/>
      <c r="N10" s="451"/>
      <c r="O10" s="451"/>
      <c r="R10" s="452"/>
    </row>
    <row r="11" spans="1:18" ht="17.100000000000001" customHeight="1">
      <c r="B11" s="453">
        <f>COUNTIF(B13:B65536,"*" &amp; "" &amp; "*")-COUNTIF(B13:B65536,"*" &amp; "--" &amp; "*")</f>
        <v>22</v>
      </c>
      <c r="F11" s="454" t="str">
        <f>B11&amp;" securities found"</f>
        <v>22 securities found</v>
      </c>
      <c r="N11" s="455"/>
      <c r="O11" s="456"/>
      <c r="Q11" s="455"/>
      <c r="R11" s="456"/>
    </row>
    <row r="12" spans="1:18" s="426" customFormat="1" ht="33" customHeight="1">
      <c r="A12" s="457">
        <v>4</v>
      </c>
      <c r="B12" s="458" t="str">
        <f>CHOOSE($A$12,A4,A5,A6,A7)</f>
        <v>Competitors named by Competitors</v>
      </c>
      <c r="D12" s="428" t="s">
        <v>111</v>
      </c>
      <c r="E12" s="428" t="s">
        <v>112</v>
      </c>
      <c r="F12" s="426" t="s">
        <v>31</v>
      </c>
      <c r="G12" s="426" t="s">
        <v>113</v>
      </c>
      <c r="H12" s="426" t="s">
        <v>114</v>
      </c>
      <c r="I12" s="428" t="s">
        <v>115</v>
      </c>
      <c r="J12" s="428" t="s">
        <v>116</v>
      </c>
      <c r="K12" s="428" t="s">
        <v>117</v>
      </c>
      <c r="L12" s="428" t="s">
        <v>118</v>
      </c>
      <c r="M12" s="428" t="s">
        <v>119</v>
      </c>
    </row>
    <row r="13" spans="1:18" s="440" customFormat="1" ht="33" customHeight="1">
      <c r="A13" s="459" t="str">
        <f>CHOOSE($A$12,B4,B5,B6,B7)</f>
        <v xml:space="preserve">FF_RELATED_COMPANY(COMPT,PUB,FEID,0,"OTHER") </v>
      </c>
      <c r="B13" s="432" t="str">
        <f t="array" ref="B13:B34">_xll.FDSC("--",Identifier,A13)</f>
        <v>0D665Z-E</v>
      </c>
      <c r="C13" s="460"/>
      <c r="D13" s="432" t="str" cm="1">
        <f t="array" ref="D13">_xll.FDSB(B13,"P_SYMBOL")</f>
        <v>AAL-US</v>
      </c>
      <c r="E13" s="433" t="str" cm="1">
        <f t="array" ref="E13">_xll.FDSB(D13,"FF_CO_NAME")</f>
        <v>American Airlines Group, Inc.</v>
      </c>
      <c r="F13" s="434" t="str" cm="1">
        <f t="array" ref="F13">_xll.FDSB(D13,"FF_ADDRESS")&amp;" "&amp;_xll.FDSB(D13,"FF_ADDRESS2")&amp;" "&amp;_xll.FDSB(D13,"FF_CITY")&amp;" "&amp;_xll.FDSB(D13,"FF_POSTAL")&amp;" "&amp;_xll.FDSB(D13,"FF_STATE_PROVINCE")&amp;" "&amp;_xll.FDSB(D13,"FF_COUNTRY")</f>
        <v xml:space="preserve"> 1 Skyview Drive Fort Worth 76155 Texas UNITED STATES</v>
      </c>
      <c r="G13" s="436" cm="1">
        <f t="array" ref="G13">_xll.FDSB(D13,"FF_SALES(ANN_R,0)")</f>
        <v>17337</v>
      </c>
      <c r="H13" s="436" cm="1">
        <f t="array" ref="H13">_xll.FDSB(D13,"FF_EMP_NUM(ANN,0)")</f>
        <v>102700</v>
      </c>
      <c r="I13" s="437" t="str" cm="1">
        <f t="array" ref="I13">_xll.FDSRB(D13,"OS_TOP_HLDR_ULTPRNT(1,0D,,MTD,,F,SEC)[0]")</f>
        <v>The Vanguard Group, Inc.</v>
      </c>
      <c r="J13" s="437" t="str" cm="1">
        <f t="array" ref="J13">_xll.FDSRB(D13,"FF_BUS_DESC_EXT")</f>
        <v>American Airlines Group, Inc. is a holding company, which engages in the operation of a network carrier through its principal wholly-owned mainline operating subsidiary, American. The firm offers air transportation for passengers and cargo. It operates through the following geographical segments: Department of Transportation Domestic; Department of Transportation Latin America; Department of Transportation Atlantic; and Department of Transportation Pacific. The company was founded on December 9, 2013 and is headquartered in Fort Worth, TX.</v>
      </c>
      <c r="K13" s="437" t="str" cm="1">
        <f t="array" ref="K13">_xll.FDSB(D13,"HOMEPAGE")</f>
        <v>http://www.aa.com</v>
      </c>
      <c r="L13" s="437" t="str" cm="1">
        <f t="array" ref="L13">_xll.FDSB(D13,"FG_EXCHANGE")</f>
        <v>NASDAQ</v>
      </c>
      <c r="M13" s="438" t="str">
        <f t="shared" ref="M13:M76" si="0">IF(LEN(E13)&gt;0,HYPERLINK("ec://EC/?MODEL=GENERIC&amp;ID="&amp;D13&amp;"&amp;TYPEID=FDSSYMBOL&amp;KW=CPYATGLANCEFF",E13&amp;" - Company at a glance"),"")</f>
        <v>American Airlines Group, Inc. - Company at a glance</v>
      </c>
      <c r="N13" s="439" t="e" cm="1">
        <f t="array" ref="N13">_xll.FDS(D13,"FF_PBK(ANN_R,0)")</f>
        <v>#N/A</v>
      </c>
      <c r="O13" s="439" t="e" cm="1">
        <f t="array" ref="O13">_xll.FDS(D13,"FF_ROE(ANN_R,0)")</f>
        <v>#N/A</v>
      </c>
      <c r="P13" s="439" t="e" cm="1">
        <f t="array" ref="P13">_xll.FDS(D13,"FF_PE(ANN_R,0)")</f>
        <v>#N/A</v>
      </c>
    </row>
    <row r="14" spans="1:18" s="440" customFormat="1" ht="17.100000000000001" customHeight="1">
      <c r="A14" s="459"/>
      <c r="B14" s="432" t="str">
        <v>000BNX-E</v>
      </c>
      <c r="C14" s="460"/>
      <c r="D14" s="432" t="str" cm="1">
        <f t="array" ref="D14">_xll.FDSB(B14,"P_SYMBOL")</f>
        <v>ALK-US</v>
      </c>
      <c r="E14" s="433" t="str" cm="1">
        <f t="array" ref="E14">_xll.FDSB(D14,"FF_CO_NAME")</f>
        <v>Alaska Air Group, Inc.</v>
      </c>
      <c r="F14" s="434" t="str" cm="1">
        <f t="array" ref="F14">_xll.FDSB(D14,"FF_ADDRESS")&amp;" "&amp;_xll.FDSB(D14,"FF_ADDRESS2")&amp;" "&amp;_xll.FDSB(D14,"FF_CITY")&amp;" "&amp;_xll.FDSB(D14,"FF_POSTAL")&amp;" "&amp;_xll.FDSB(D14,"FF_STATE_PROVINCE")&amp;" "&amp;_xll.FDSB(D14,"FF_COUNTRY")</f>
        <v xml:space="preserve"> 19300 International Boulevard Seattle 98188-5304 Washington UNITED STATES</v>
      </c>
      <c r="G14" s="436" cm="1">
        <f t="array" ref="G14">_xll.FDSB(D14,"FF_SALES(ANN_R,0)")</f>
        <v>3566</v>
      </c>
      <c r="H14" s="436" cm="1">
        <f t="array" ref="H14">_xll.FDSB(D14,"FF_EMP_NUM(ANN,0)")</f>
        <v>21997</v>
      </c>
      <c r="I14" s="437" t="str" cm="1">
        <f t="array" ref="I14">_xll.FDSRB(D14,"OS_TOP_HLDR_ULTPRNT(1,0D,,MTD,,F,SEC)[0]")</f>
        <v>The Vanguard Group, Inc.</v>
      </c>
      <c r="J14" s="437" t="str" cm="1">
        <f t="array" ref="J14">_xll.FDSRB(D14,"FF_BUS_DESC_EXT")</f>
        <v>Alaska Air Group, Inc. is a holding company, which engages in the provision of air transportation services. It operates through the following segments: Mainline, Regional and Horizon. The Mainline segment includes Alaska's Boeing or Airbus jet aircraft for passengers and cargo throughout the U.S., and in parts of Canada, Mexico, and Costa Rica. The Regional segment consists of Horizon's and other third-party carriers’ scheduled air transportation for passengers across a shorter distance network within the U.S. and Canada under capacity purchase agreements (CPAs). The Horizon segment comprises of the the capacity sold to Alaska under CPA. The company was founded in 1985 and is headquartered in Seattle, WA.</v>
      </c>
      <c r="K14" s="437" t="str" cm="1">
        <f t="array" ref="K14">_xll.FDSB(D14,"HOMEPAGE")</f>
        <v>http://www.alaskaair.com</v>
      </c>
      <c r="L14" s="437" t="str" cm="1">
        <f t="array" ref="L14">_xll.FDSB(D14,"FG_EXCHANGE")</f>
        <v>NYSE</v>
      </c>
      <c r="M14" s="438" t="str">
        <f t="shared" si="0"/>
        <v>Alaska Air Group, Inc. - Company at a glance</v>
      </c>
      <c r="N14" s="439" cm="1">
        <f t="array" ref="N14">_xll.FDS(D14,"FF_PBK(ANN_R,0)")</f>
        <v>2.1617522831429898</v>
      </c>
      <c r="O14" s="439" cm="1">
        <f t="array" ref="O14">_xll.FDS(D14,"FF_ROE(ANN_R,0)")</f>
        <v>-36.1798059844241</v>
      </c>
      <c r="P14" s="439" t="e" cm="1">
        <f t="array" ref="P14">_xll.FDS(D14,"FF_PE(ANN_R,0)")</f>
        <v>#N/A</v>
      </c>
    </row>
    <row r="15" spans="1:18" s="440" customFormat="1" ht="17.100000000000001" customHeight="1">
      <c r="A15" s="459"/>
      <c r="B15" s="432" t="str">
        <v>05HXPW-E</v>
      </c>
      <c r="C15" s="460"/>
      <c r="D15" s="432" t="str" cm="1">
        <f t="array" ref="D15">_xll.FDSB(B15,"P_SYMBOL")</f>
        <v>2610-TW</v>
      </c>
      <c r="E15" s="433" t="str" cm="1">
        <f t="array" ref="E15">_xll.FDSB(D15,"FF_CO_NAME")</f>
        <v>China Airlines Ltd.</v>
      </c>
      <c r="F15" s="434" t="str" cm="1">
        <f t="array" ref="F15">_xll.FDSB(D15,"FF_ADDRESS")&amp;" "&amp;_xll.FDSB(D15,"FF_ADDRESS2")&amp;" "&amp;_xll.FDSB(D15,"FF_CITY")&amp;" "&amp;_xll.FDSB(D15,"FF_POSTAL")&amp;" "&amp;_xll.FDSB(D15,"FF_STATE_PROVINCE")&amp;" "&amp;_xll.FDSB(D15,"FF_COUNTRY")</f>
        <v>Dayuan District No. 1 Hangzhan South Road Taoyuan 337 58 Taipei City TAIWAN</v>
      </c>
      <c r="G15" s="436" cm="1">
        <f t="array" ref="G15">_xll.FDSB(D15,"FF_SALES(ANN_R,0)")</f>
        <v>115250.55</v>
      </c>
      <c r="H15" s="436" t="str" cm="1">
        <f t="array" ref="H15">_xll.FDSB(D15,"FF_EMP_NUM(ANN,0)")</f>
        <v/>
      </c>
      <c r="I15" s="437" t="str" cm="1">
        <f t="array" ref="I15">_xll.FDSRB(D15,"OS_TOP_HLDR_ULTPRNT(1,0D,,MTD,,F,SEC)[0]")</f>
        <v>The Vanguard Group, Inc.</v>
      </c>
      <c r="J15" s="437" t="str" cm="1">
        <f t="array" ref="J15">_xll.FDSRB(D15,"FF_BUS_DESC_EXT")</f>
        <v>China Airlines Ltd. engages in the provision of international air passenger transport and freight services. Its business includes air passenger transport in regular or occasional international charter contract; air cargo services; civil aviation international airport and transit of aircraft handling services; aircraft merchandise sales; aircraft catering; aircraft internal products such as cloth laundry washing and hospitality industry general business; in, out, and transit air cargo warehousing services; and aircraft airframe maintenance. The company was founded on September 07, 1959 and is headquartered in Taoyuan, Taiwan.</v>
      </c>
      <c r="K15" s="437" t="str" cm="1">
        <f t="array" ref="K15">_xll.FDSB(D15,"HOMEPAGE")</f>
        <v>http://china-airlines.com</v>
      </c>
      <c r="L15" s="437" t="str" cm="1">
        <f t="array" ref="L15">_xll.FDSB(D15,"FG_EXCHANGE")</f>
        <v>Taiwan</v>
      </c>
      <c r="M15" s="438" t="str">
        <f t="shared" si="0"/>
        <v>China Airlines Ltd. - Company at a glance</v>
      </c>
      <c r="N15" s="439" cm="1">
        <f t="array" ref="N15">_xll.FDS(D15,"FF_PBK(ANN_R,0)")</f>
        <v>1.13444116298577</v>
      </c>
      <c r="O15" s="439" cm="1">
        <f t="array" ref="O15">_xll.FDS(D15,"FF_ROE(ANN_R,0)")</f>
        <v>0.24537026833561101</v>
      </c>
      <c r="P15" s="439" cm="1">
        <f t="array" ref="P15">_xll.FDS(D15,"FF_PE(ANN_R,0)")</f>
        <v>467.05426356589197</v>
      </c>
    </row>
    <row r="16" spans="1:18" s="440" customFormat="1" ht="17.100000000000001" customHeight="1">
      <c r="A16" s="459"/>
      <c r="B16" s="432" t="str">
        <v>05ZC3N-E</v>
      </c>
      <c r="C16" s="460"/>
      <c r="D16" s="432" t="str" cm="1">
        <f t="array" ref="D16">_xll.FDSB(B16,"P_SYMBOL")</f>
        <v>ELAL-IL</v>
      </c>
      <c r="E16" s="433" t="str" cm="1">
        <f t="array" ref="E16">_xll.FDSB(D16,"FF_CO_NAME")</f>
        <v>El Al Israel Airlines Ltd.</v>
      </c>
      <c r="F16" s="434" t="str" cm="1">
        <f t="array" ref="F16">_xll.FDSB(D16,"FF_ADDRESS")&amp;" "&amp;_xll.FDSB(D16,"FF_ADDRESS2")&amp;" "&amp;_xll.FDSB(D16,"FF_CITY")&amp;" "&amp;_xll.FDSB(D16,"FF_POSTAL")&amp;" "&amp;_xll.FDSB(D16,"FF_STATE_PROVINCE")&amp;" "&amp;_xll.FDSB(D16,"FF_COUNTRY")</f>
        <v xml:space="preserve"> Ben Guron Airport Lod 7015001 HaMerkaz ISRAEL</v>
      </c>
      <c r="G16" s="436" cm="1">
        <f t="array" ref="G16">_xll.FDSB(D16,"FF_SALES(ANN_R,0)")</f>
        <v>2142.7733285725499</v>
      </c>
      <c r="H16" s="436" cm="1">
        <f t="array" ref="H16">_xll.FDSB(D16,"FF_EMP_NUM(ANN,0)")</f>
        <v>1472</v>
      </c>
      <c r="I16" s="437" t="str" cm="1">
        <f t="array" ref="I16">_xll.FDSRB(D16,"OS_TOP_HLDR_ULTPRNT(1,0D,,MTD,,F,SEC)[0]")</f>
        <v>The Charles Schwab Corp.</v>
      </c>
      <c r="J16" s="437" t="str" cm="1">
        <f t="array" ref="J16">_xll.FDSRB(D16,"FF_BUS_DESC_EXT")</f>
        <v>El Al Israel Airlines Ltd. engages in the provision of commercial flights and air cargo services. The company was founded in 1948 and is headquartered in Lod, Israel.</v>
      </c>
      <c r="K16" s="437" t="str" cm="1">
        <f t="array" ref="K16">_xll.FDSB(D16,"HOMEPAGE")</f>
        <v>http://elal.com</v>
      </c>
      <c r="L16" s="437" t="str" cm="1">
        <f t="array" ref="L16">_xll.FDSB(D16,"FG_EXCHANGE")</f>
        <v>Tel Aviv</v>
      </c>
      <c r="M16" s="438" t="str">
        <f t="shared" si="0"/>
        <v>El Al Israel Airlines Ltd. - Company at a glance</v>
      </c>
      <c r="N16" s="439" t="e" cm="1">
        <f t="array" ref="N16">_xll.FDS(D16,"FF_PBK(ANN_R,0)")</f>
        <v>#N/A</v>
      </c>
      <c r="O16" s="439" t="e" cm="1">
        <f t="array" ref="O16">_xll.FDS(D16,"FF_ROE(ANN_R,0)")</f>
        <v>#N/A</v>
      </c>
      <c r="P16" s="439" t="e" cm="1">
        <f t="array" ref="P16">_xll.FDS(D16,"FF_PE(ANN_R,0)")</f>
        <v>#N/A</v>
      </c>
    </row>
    <row r="17" spans="1:16" s="440" customFormat="1" ht="17.100000000000001" customHeight="1">
      <c r="A17" s="459"/>
      <c r="B17" s="432" t="str">
        <v>002GBQ-E</v>
      </c>
      <c r="C17" s="460"/>
      <c r="D17" s="432" t="str" cm="1">
        <f t="array" ref="D17">_xll.FDSB(B17,"P_SYMBOL")</f>
        <v>1055-HK</v>
      </c>
      <c r="E17" s="433" t="str" cm="1">
        <f t="array" ref="E17">_xll.FDSB(D17,"FF_CO_NAME")</f>
        <v>China Southern Airlines Co. Ltd.</v>
      </c>
      <c r="F17" s="434" t="str" cm="1">
        <f t="array" ref="F17">_xll.FDSB(D17,"FF_ADDRESS")&amp;" "&amp;_xll.FDSB(D17,"FF_ADDRESS2")&amp;" "&amp;_xll.FDSB(D17,"FF_CITY")&amp;" "&amp;_xll.FDSB(D17,"FF_POSTAL")&amp;" "&amp;_xll.FDSB(D17,"FF_STATE_PROVINCE")&amp;" "&amp;_xll.FDSB(D17,"FF_COUNTRY")</f>
        <v>68 Qixin Road China Southern Airlines Building Guangzhou 510403 Guangdong CHINA</v>
      </c>
      <c r="G17" s="436" cm="1">
        <f t="array" ref="G17">_xll.FDSB(D17,"FF_SALES(ANN_R,0)")</f>
        <v>104010.18187226</v>
      </c>
      <c r="H17" s="436" cm="1">
        <f t="array" ref="H17">_xll.FDSB(D17,"FF_EMP_NUM(ANN,0)")</f>
        <v>100431</v>
      </c>
      <c r="I17" s="437" t="str" cm="1">
        <f t="array" ref="I17">_xll.FDSRB(D17,"OS_TOP_HLDR_ULTPRNT(1,0D,,MTD,,F,SEC)[0]")</f>
        <v>GF Securities Co., Ltd.</v>
      </c>
      <c r="J17" s="437" t="str" cm="1">
        <f t="array" ref="J17">_xll.FDSRB(D17,"FF_BUS_DESC_EXT")</f>
        <v>China Southern Airlines Co. Ltd. engages in the provision of domestic, international, and regional scheduled and unscheduled air transportation of passenger, cargo, mail and baggage, general aviation, and aircraft maintenance. The company operates through the following segments: Airline Transportation Operations and Other segments. The Airline Transportation Operations segment engages in the passenger and cargo and mail operations. The other segment includes hotel and tour operation, ground services, cargo handling and other miscellaneous services. The company was founded on March 25, 1995 and is headquartered in Guangzhou, China.</v>
      </c>
      <c r="K17" s="437" t="str" cm="1">
        <f t="array" ref="K17">_xll.FDSB(D17,"HOMEPAGE")</f>
        <v>http://www.csair.com</v>
      </c>
      <c r="L17" s="437" t="str" cm="1">
        <f t="array" ref="L17">_xll.FDSB(D17,"FG_EXCHANGE")</f>
        <v>Hong Kong</v>
      </c>
      <c r="M17" s="438" t="str">
        <f t="shared" si="0"/>
        <v>China Southern Airlines Co. Ltd. - Company at a glance</v>
      </c>
      <c r="N17" s="439" cm="1">
        <f t="array" ref="N17">_xll.FDS(D17,"FF_PBK(ANN_R,0)")</f>
        <v>0.72401806036845395</v>
      </c>
      <c r="O17" s="439" cm="1">
        <f t="array" ref="O17">_xll.FDS(D17,"FF_ROE(ANN_R,0)")</f>
        <v>-15.8078994468866</v>
      </c>
      <c r="P17" s="439" t="e" cm="1">
        <f t="array" ref="P17">_xll.FDS(D17,"FF_PE(ANN_R,0)")</f>
        <v>#N/A</v>
      </c>
    </row>
    <row r="18" spans="1:16" s="440" customFormat="1" ht="17.100000000000001" customHeight="1">
      <c r="A18" s="459"/>
      <c r="B18" s="432" t="str">
        <v>0BNHW2-E</v>
      </c>
      <c r="C18" s="460"/>
      <c r="D18" s="432" t="str" cm="1">
        <f t="array" ref="D18">_xll.FDSB(B18,"P_SYMBOL")</f>
        <v>PFAVH-CO</v>
      </c>
      <c r="E18" s="433" t="str" cm="1">
        <f t="array" ref="E18">_xll.FDSB(D18,"FF_CO_NAME")</f>
        <v>Avianca Holdings SA</v>
      </c>
      <c r="F18" s="434" t="str" cm="1">
        <f t="array" ref="F18">_xll.FDSB(D18,"FF_ADDRESS")&amp;" "&amp;_xll.FDSB(D18,"FF_ADDRESS2")&amp;" "&amp;_xll.FDSB(D18,"FF_CITY")&amp;" "&amp;_xll.FDSB(D18,"FF_POSTAL")&amp;" "&amp;_xll.FDSB(D18,"FF_STATE_PROVINCE")&amp;" "&amp;_xll.FDSB(D18,"FF_COUNTRY")</f>
        <v>Santa María Business District West Boulevard Panama City  Panama PANAMA</v>
      </c>
      <c r="G18" s="436" cm="1">
        <f t="array" ref="G18">_xll.FDSB(D18,"FF_SALES(ANN_R,0)")</f>
        <v>6326017.7634938303</v>
      </c>
      <c r="H18" s="436" t="str" cm="1">
        <f t="array" ref="H18">_xll.FDSB(D18,"FF_EMP_NUM(ANN,0)")</f>
        <v/>
      </c>
      <c r="I18" s="437" t="str" cm="1">
        <f t="array" ref="I18">_xll.FDSRB(D18,"OS_TOP_HLDR_ULTPRNT(1,0D,,MTD,,F,SEC)[0]")</f>
        <v>GFH HFEVA LLC</v>
      </c>
      <c r="J18" s="437" t="str" cm="1">
        <f t="array" ref="J18">_xll.FDSRB(D18,"FF_BUS_DESC_EXT")</f>
        <v>Avianca Holdings SA engages in the provision of air transport services. The company offers passenger airlines, cargo airlines, loyalty program, as well as related activities including tourism, engineering, and specialized maintenance services. It operates through the Air Transportation and Loyalty segments. The Air Transportation segment corresponds to passenger and cargo operating revenues on scheduled flights and freight transport, including flights operated by other airlines under code-sharing agreements. The Loyalty segment refers to the traveler program for the firm's frequent passengers. The company was founded on October 5, 2009 and is headquartered in Panama City, Panama.</v>
      </c>
      <c r="K18" s="437" t="str" cm="1">
        <f t="array" ref="K18">_xll.FDSB(D18,"HOMEPAGE")</f>
        <v>http://www.aviancaholdings.com</v>
      </c>
      <c r="L18" s="437" t="str" cm="1">
        <f t="array" ref="L18">_xll.FDSB(D18,"FG_EXCHANGE")</f>
        <v>Colombia</v>
      </c>
      <c r="M18" s="438" t="str">
        <f t="shared" si="0"/>
        <v>Avianca Holdings SA - Company at a glance</v>
      </c>
      <c r="N18" s="439" t="e" cm="1">
        <f t="array" ref="N18">_xll.FDS(D18,"FF_PBK(ANN_R,0)")</f>
        <v>#N/A</v>
      </c>
      <c r="O18" s="439" t="e" cm="1">
        <f t="array" ref="O18">_xll.FDS(D18,"FF_ROE(ANN_R,0)")</f>
        <v>#N/A</v>
      </c>
      <c r="P18" s="439" t="e" cm="1">
        <f t="array" ref="P18">_xll.FDS(D18,"FF_PE(ANN_R,0)")</f>
        <v>#N/A</v>
      </c>
    </row>
    <row r="19" spans="1:16" s="440" customFormat="1" ht="17.100000000000001" customHeight="1">
      <c r="A19" s="459"/>
      <c r="B19" s="432" t="str">
        <v>05HWHC-E</v>
      </c>
      <c r="C19" s="460"/>
      <c r="D19" s="432" t="str" cm="1">
        <f t="array" ref="D19">_xll.FDSB(B19,"P_SYMBOL")</f>
        <v>QAN-AU</v>
      </c>
      <c r="E19" s="433" t="str" cm="1">
        <f t="array" ref="E19">_xll.FDSB(D19,"FF_CO_NAME")</f>
        <v>Qantas Airways Ltd.</v>
      </c>
      <c r="F19" s="434" t="str" cm="1">
        <f t="array" ref="F19">_xll.FDSB(D19,"FF_ADDRESS")&amp;" "&amp;_xll.FDSB(D19,"FF_ADDRESS2")&amp;" "&amp;_xll.FDSB(D19,"FF_CITY")&amp;" "&amp;_xll.FDSB(D19,"FF_POSTAL")&amp;" "&amp;_xll.FDSB(D19,"FF_STATE_PROVINCE")&amp;" "&amp;_xll.FDSB(D19,"FF_COUNTRY")</f>
        <v xml:space="preserve"> 10 Bourke Road Mascot 2020 New South Wales (NSW) AUSTRALIA</v>
      </c>
      <c r="G19" s="436" cm="1">
        <f t="array" ref="G19">_xll.FDSB(D19,"FF_SALES(ANN_R,0)")</f>
        <v>5385</v>
      </c>
      <c r="H19" s="436" cm="1">
        <f t="array" ref="H19">_xll.FDSB(D19,"FF_EMP_NUM(ANN,0)")</f>
        <v>25000</v>
      </c>
      <c r="I19" s="437" t="str" cm="1">
        <f t="array" ref="I19">_xll.FDSRB(D19,"OS_TOP_HLDR_ULTPRNT(1,0D,,MTD,,F,SEC)[0]")</f>
        <v>Mitsubishi UFJ Financial Group, Inc.</v>
      </c>
      <c r="J19" s="437" t="str" cm="1">
        <f t="array" ref="J19">_xll.FDSRB(D19,"FF_BUS_DESC_EXT")</f>
        <v>Qantas Airways Ltd. provides air transportation services. The firm engages in the international and domestic air transportation services; sale of worldwide and domestic holiday tours; and associated support activities including catering, information technology, ground handling, and engineering and maintenance. It operates its business through the following segments: Qantas Domestic, Qantas International, Jetstar Group, Qantas Loyalty, and Corporate. The Qantas Domestic segment engages in the Australian domestic passenger flying business of Qantas brands. The Qantas International segment includes international passenger flying business of Qantas brands. The Jetstar Group deals with the Jetstar passenger flying business. The Qantas Loyalty segment operates the Qantas customer loyalty program for Qantas brands. The Corporate segment is a centralised management and governance of the Qantas Group. The company was founded on November 16, 1920 and is headquartered in Mascot, Australia.</v>
      </c>
      <c r="K19" s="437" t="str" cm="1">
        <f t="array" ref="K19">_xll.FDSB(D19,"HOMEPAGE")</f>
        <v>http://qantas.com</v>
      </c>
      <c r="L19" s="437" t="str" cm="1">
        <f t="array" ref="L19">_xll.FDSB(D19,"FG_EXCHANGE")</f>
        <v>ASX</v>
      </c>
      <c r="M19" s="438" t="str">
        <f t="shared" si="0"/>
        <v>Qantas Airways Ltd. - Company at a glance</v>
      </c>
      <c r="N19" s="439" cm="1">
        <f t="array" ref="N19">_xll.FDS(D19,"FF_PBK(ANN_R,0)")</f>
        <v>17.104055790053199</v>
      </c>
      <c r="O19" s="439" cm="1">
        <f t="array" ref="O19">_xll.FDS(D19,"FF_ROE(ANN_R,0)")</f>
        <v>-169.74459724950901</v>
      </c>
      <c r="P19" s="439" t="e" cm="1">
        <f t="array" ref="P19">_xll.FDS(D19,"FF_PE(ANN_R,0)")</f>
        <v>#N/A</v>
      </c>
    </row>
    <row r="20" spans="1:16" s="440" customFormat="1" ht="17.100000000000001" customHeight="1">
      <c r="A20" s="459"/>
      <c r="B20" s="432" t="str">
        <v>000PVJ-E</v>
      </c>
      <c r="C20" s="460"/>
      <c r="D20" s="432" t="str" cm="1">
        <f t="array" ref="D20">_xll.FDSB(B20,"P_SYMBOL")</f>
        <v>MESA-US</v>
      </c>
      <c r="E20" s="433" t="str" cm="1">
        <f t="array" ref="E20">_xll.FDSB(D20,"FF_CO_NAME")</f>
        <v>Mesa Air Group, Inc.</v>
      </c>
      <c r="F20" s="434" t="str" cm="1">
        <f t="array" ref="F20">_xll.FDSB(D20,"FF_ADDRESS")&amp;" "&amp;_xll.FDSB(D20,"FF_ADDRESS2")&amp;" "&amp;_xll.FDSB(D20,"FF_CITY")&amp;" "&amp;_xll.FDSB(D20,"FF_POSTAL")&amp;" "&amp;_xll.FDSB(D20,"FF_STATE_PROVINCE")&amp;" "&amp;_xll.FDSB(D20,"FF_COUNTRY")</f>
        <v>Suite 700 410 North 44th Street Phoenix 85008 Arizona UNITED STATES</v>
      </c>
      <c r="G20" s="436" cm="1">
        <f t="array" ref="G20">_xll.FDSB(D20,"FF_SALES(ANN_R,0)")</f>
        <v>545.07000000000005</v>
      </c>
      <c r="H20" s="436" cm="1">
        <f t="array" ref="H20">_xll.FDSB(D20,"FF_EMP_NUM(ANN,0)")</f>
        <v>3200</v>
      </c>
      <c r="I20" s="437" t="str" cm="1">
        <f t="array" ref="I20">_xll.FDSRB(D20,"OS_TOP_HLDR_ULTPRNT(1,0D,,MTD,,F,SEC)[0]")</f>
        <v>BlackRock, Inc.</v>
      </c>
      <c r="J20" s="437" t="str" cm="1">
        <f t="array" ref="J20">_xll.FDSRB(D20,"FF_BUS_DESC_EXT")</f>
        <v>Mesa Air Group, Inc. operates as a holding company. The firm engages in the provision of regional air carrier and passenger transportation services. Its fleet includes American Eagle and United Express flights. The company was founded in 1982 and is headquartered in Phoenix, AZ.</v>
      </c>
      <c r="K20" s="437" t="str" cm="1">
        <f t="array" ref="K20">_xll.FDSB(D20,"HOMEPAGE")</f>
        <v>http://www.mesa-air.com</v>
      </c>
      <c r="L20" s="437" t="str" cm="1">
        <f t="array" ref="L20">_xll.FDSB(D20,"FG_EXCHANGE")</f>
        <v>NASDAQ</v>
      </c>
      <c r="M20" s="438" t="str">
        <f t="shared" si="0"/>
        <v>Mesa Air Group, Inc. - Company at a glance</v>
      </c>
      <c r="N20" s="439" cm="1">
        <f t="array" ref="N20">_xll.FDS(D20,"FF_PBK(ANN_R,0)")</f>
        <v>0.22890113488406699</v>
      </c>
      <c r="O20" s="439" cm="1">
        <f t="array" ref="O20">_xll.FDS(D20,"FF_ROE(ANN_R,0)")</f>
        <v>6.2154941514743802</v>
      </c>
      <c r="P20" s="439" cm="1">
        <f t="array" ref="P20">_xll.FDS(D20,"FF_PE(ANN_R,0)")</f>
        <v>3.7927487786063301</v>
      </c>
    </row>
    <row r="21" spans="1:16" s="440" customFormat="1" ht="41.25" customHeight="1">
      <c r="A21" s="459"/>
      <c r="B21" s="432" t="str">
        <v>07BR90-E</v>
      </c>
      <c r="C21" s="460"/>
      <c r="D21" s="432" t="str" cm="1">
        <f t="array" ref="D21">_xll.FDSB(B21,"P_SYMBOL")</f>
        <v>VOLARA-MX</v>
      </c>
      <c r="E21" s="433" t="str" cm="1">
        <f t="array" ref="E21">_xll.FDSB(D21,"FF_CO_NAME")</f>
        <v>Controladora Vuela Compañía de Aviación SAB de CV</v>
      </c>
      <c r="F21" s="434" t="str" cm="1">
        <f t="array" ref="F21">_xll.FDSB(D21,"FF_ADDRESS")&amp;" "&amp;_xll.FDSB(D21,"FF_ADDRESS2")&amp;" "&amp;_xll.FDSB(D21,"FF_CITY")&amp;" "&amp;_xll.FDSB(D21,"FF_POSTAL")&amp;" "&amp;_xll.FDSB(D21,"FF_STATE_PROVINCE")&amp;" "&amp;_xll.FDSB(D21,"FF_COUNTRY")</f>
        <v>Colonia Zedec Santa Fe Av. Antonio Dovalí Jaime No. 70 Mexico City 01210 Distrito Federal MEXICO</v>
      </c>
      <c r="G21" s="436" cm="1">
        <f t="array" ref="G21">_xll.FDSB(D21,"FF_SALES(ANN_R,0)")</f>
        <v>22570.812999999998</v>
      </c>
      <c r="H21" s="436" cm="1">
        <f t="array" ref="H21">_xll.FDSB(D21,"FF_EMP_NUM(ANN,0)")</f>
        <v>4846</v>
      </c>
      <c r="I21" s="437" t="str" cm="1">
        <f t="array" ref="I21">_xll.FDSRB(D21,"OS_TOP_HLDR_ULTPRNT(1,0D,,MTD,,F,SEC)[0]")</f>
        <v>BPCE SA</v>
      </c>
      <c r="J21" s="437" t="str" cm="1">
        <f t="array" ref="J21">_xll.FDSRB(D21,"FF_BUS_DESC_EXT")</f>
        <v>Controladora Vuela Compañía de Aviación SAB de CV is a holding company, which engages in the provision of air transportation and related services. It also offers cargo services. The company was founded by Roberto Jose Kriete Avila and Carlos Mendoza Valencia on October 27, 2005 and is headquartered in Mexico City.</v>
      </c>
      <c r="K21" s="437" t="str" cm="1">
        <f t="array" ref="K21">_xll.FDSB(D21,"HOMEPAGE")</f>
        <v>http://www.volaris.com</v>
      </c>
      <c r="L21" s="437" t="str" cm="1">
        <f t="array" ref="L21">_xll.FDSB(D21,"FG_EXCHANGE")</f>
        <v>Mexico</v>
      </c>
      <c r="M21" s="438" t="str">
        <f t="shared" si="0"/>
        <v>Controladora Vuela Compañía de Aviación SAB de CV - Company at a glance</v>
      </c>
      <c r="N21" s="439" cm="1">
        <f t="array" ref="N21">_xll.FDS(D21,"FF_PBK(ANN_R,0)")</f>
        <v>10.1602172325816</v>
      </c>
      <c r="O21" s="439" cm="1">
        <f t="array" ref="O21">_xll.FDS(D21,"FF_ROE(ANN_R,0)")</f>
        <v>-103.143383969095</v>
      </c>
      <c r="P21" s="439" t="e" cm="1">
        <f t="array" ref="P21">_xll.FDS(D21,"FF_PE(ANN_R,0)")</f>
        <v>#N/A</v>
      </c>
    </row>
    <row r="22" spans="1:16" s="440" customFormat="1" ht="17.100000000000001" customHeight="1">
      <c r="A22" s="459"/>
      <c r="B22" s="432" t="str">
        <v>09CV3L-E</v>
      </c>
      <c r="C22" s="460"/>
      <c r="D22" s="432" t="str" cm="1">
        <f t="array" ref="D22">_xll.FDSB(B22,"P_SYMBOL")</f>
        <v>AEROMEX-MX</v>
      </c>
      <c r="E22" s="433" t="str" cm="1">
        <f t="array" ref="E22">_xll.FDSB(D22,"FF_CO_NAME")</f>
        <v>Grupo Aeroméxico SAB de CV</v>
      </c>
      <c r="F22" s="434" t="str" cm="1">
        <f t="array" ref="F22">_xll.FDSB(D22,"FF_ADDRESS")&amp;" "&amp;_xll.FDSB(D22,"FF_ADDRESS2")&amp;" "&amp;_xll.FDSB(D22,"FF_CITY")&amp;" "&amp;_xll.FDSB(D22,"FF_POSTAL")&amp;" "&amp;_xll.FDSB(D22,"FF_STATE_PROVINCE")&amp;" "&amp;_xll.FDSB(D22,"FF_COUNTRY")</f>
        <v>piso 25 Cuauhtemoc Av. Paseo de la Reforma 243 Mexico City 06500 Distrito Federal MEXICO</v>
      </c>
      <c r="G22" s="436" cm="1">
        <f t="array" ref="G22">_xll.FDSB(D22,"FF_SALES(ANN_R,0)")</f>
        <v>28522.134999999998</v>
      </c>
      <c r="H22" s="436" t="str" cm="1">
        <f t="array" ref="H22">_xll.FDSB(D22,"FF_EMP_NUM(ANN,0)")</f>
        <v/>
      </c>
      <c r="I22" s="437" t="str" cm="1">
        <f t="array" ref="I22">_xll.FDSRB(D22,"OS_TOP_HLDR_ULTPRNT(1,0D,,MTD,,F,SEC)[0]")</f>
        <v>Corporativo GBM SAB de CV</v>
      </c>
      <c r="J22" s="437" t="str" cm="1">
        <f t="array" ref="J22">_xll.FDSRB(D22,"FF_BUS_DESC_EXT")</f>
        <v>Grupo Aeroméxico SAB de CV engages in the provision of air transportation services. It operates through the following geographical segments: Mexico; North, Central and South America; and Europe and Asia. It offers flight schedules, ticket sales, vacation packages, in-flight dining and entertainment and cargo handling. The company was founded on March 19, 2002 and is headquartered in Mexico City, Mexico.</v>
      </c>
      <c r="K22" s="437" t="str" cm="1">
        <f t="array" ref="K22">_xll.FDSB(D22,"HOMEPAGE")</f>
        <v>http://www.aeromexico.com</v>
      </c>
      <c r="L22" s="437" t="str" cm="1">
        <f t="array" ref="L22">_xll.FDSB(D22,"FG_EXCHANGE")</f>
        <v>Mexico</v>
      </c>
      <c r="M22" s="438" t="str">
        <f t="shared" si="0"/>
        <v>Grupo Aeroméxico SAB de CV - Company at a glance</v>
      </c>
      <c r="N22" s="439" t="e" cm="1">
        <f t="array" ref="N22">_xll.FDS(D22,"FF_PBK(ANN_R,0)")</f>
        <v>#N/A</v>
      </c>
      <c r="O22" s="439" t="e" cm="1">
        <f t="array" ref="O22">_xll.FDS(D22,"FF_ROE(ANN_R,0)")</f>
        <v>#N/A</v>
      </c>
      <c r="P22" s="439" t="e" cm="1">
        <f t="array" ref="P22">_xll.FDS(D22,"FF_PE(ANN_R,0)")</f>
        <v>#N/A</v>
      </c>
    </row>
    <row r="23" spans="1:16" s="440" customFormat="1" ht="17.100000000000001" customHeight="1">
      <c r="A23" s="459"/>
      <c r="B23" s="432" t="str">
        <v>003XC8-E</v>
      </c>
      <c r="C23" s="460"/>
      <c r="D23" s="432" t="str" cm="1">
        <f t="array" ref="D23">_xll.FDSB(B23,"P_SYMBOL")</f>
        <v>HA-US</v>
      </c>
      <c r="E23" s="433" t="str" cm="1">
        <f t="array" ref="E23">_xll.FDSB(D23,"FF_CO_NAME")</f>
        <v>Hawaiian Holdings, Inc.</v>
      </c>
      <c r="F23" s="434" t="str" cm="1">
        <f t="array" ref="F23">_xll.FDSB(D23,"FF_ADDRESS")&amp;" "&amp;_xll.FDSB(D23,"FF_ADDRESS2")&amp;" "&amp;_xll.FDSB(D23,"FF_CITY")&amp;" "&amp;_xll.FDSB(D23,"FF_POSTAL")&amp;" "&amp;_xll.FDSB(D23,"FF_STATE_PROVINCE")&amp;" "&amp;_xll.FDSB(D23,"FF_COUNTRY")</f>
        <v>Suite G-350 3375 Koapaka Street Honolulu 96819-1804 Hawaii UNITED STATES</v>
      </c>
      <c r="G23" s="436" cm="1">
        <f t="array" ref="G23">_xll.FDSB(D23,"FF_SALES(ANN_R,0)")</f>
        <v>841.73800000000006</v>
      </c>
      <c r="H23" s="436" cm="1">
        <f t="array" ref="H23">_xll.FDSB(D23,"FF_EMP_NUM(ANN,0)")</f>
        <v>5278</v>
      </c>
      <c r="I23" s="437" t="str" cm="1">
        <f t="array" ref="I23">_xll.FDSRB(D23,"OS_TOP_HLDR_ULTPRNT(1,0D,,MTD,,F,SEC)[0]")</f>
        <v>BlackRock, Inc.</v>
      </c>
      <c r="J23" s="437" t="str" cm="1">
        <f t="array" ref="J23">_xll.FDSRB(D23,"FF_BUS_DESC_EXT")</f>
        <v>Hawaiian Holdings, Inc. is a holding company, which engages in the provision of air transportation services. It offers cargo handling and passenger flights between the Hawaiian Islands and its neighbor island routes through its subsidiary, Hawaiian Airlines, Inc. The company was founded on January 30, 1929 and is headquartered in Honolulu, HI.</v>
      </c>
      <c r="K23" s="437" t="str" cm="1">
        <f t="array" ref="K23">_xll.FDSB(D23,"HOMEPAGE")</f>
        <v>http://www.hawaiianairlines.com</v>
      </c>
      <c r="L23" s="437" t="str" cm="1">
        <f t="array" ref="L23">_xll.FDSB(D23,"FG_EXCHANGE")</f>
        <v>NASDAQ</v>
      </c>
      <c r="M23" s="438" t="str">
        <f t="shared" si="0"/>
        <v>Hawaiian Holdings, Inc. - Company at a glance</v>
      </c>
      <c r="N23" s="439" cm="1">
        <f t="array" ref="N23">_xll.FDS(D23,"FF_PBK(ANN_R,0)")</f>
        <v>1.41990872473746</v>
      </c>
      <c r="O23" s="439" cm="1">
        <f t="array" ref="O23">_xll.FDS(D23,"FF_ROE(ANN_R,0)")</f>
        <v>-60.7549675882739</v>
      </c>
      <c r="P23" s="439" t="e" cm="1">
        <f t="array" ref="P23">_xll.FDS(D23,"FF_PE(ANN_R,0)")</f>
        <v>#N/A</v>
      </c>
    </row>
    <row r="24" spans="1:16" s="440" customFormat="1" ht="17.100000000000001" customHeight="1">
      <c r="A24" s="459"/>
      <c r="B24" s="432" t="str">
        <v>09ZKC0-E</v>
      </c>
      <c r="C24" s="460"/>
      <c r="D24" s="432" t="str" cm="1">
        <f t="array" ref="D24">_xll.FDSB(B24,"P_SYMBOL")</f>
        <v>LTM-CL</v>
      </c>
      <c r="E24" s="433" t="str" cm="1">
        <f t="array" ref="E24">_xll.FDSB(D24,"FF_CO_NAME")</f>
        <v>LATAM Airlines Group SA</v>
      </c>
      <c r="F24" s="434" t="str" cm="1">
        <f t="array" ref="F24">_xll.FDSB(D24,"FF_ADDRESS")&amp;" "&amp;_xll.FDSB(D24,"FF_ADDRESS2")&amp;" "&amp;_xll.FDSB(D24,"FF_CITY")&amp;" "&amp;_xll.FDSB(D24,"FF_POSTAL")&amp;" "&amp;_xll.FDSB(D24,"FF_STATE_PROVINCE")&amp;" "&amp;_xll.FDSB(D24,"FF_COUNTRY")</f>
        <v>20th Floor Avenida Presidente Riesco 5711 Las Condes 7550000 Santiago (Metropolitana) CHILE</v>
      </c>
      <c r="G24" s="436" cm="1">
        <f t="array" ref="G24">_xll.FDSB(D24,"FF_SALES(ANN_R,0)")</f>
        <v>3106055.8459199099</v>
      </c>
      <c r="H24" s="436" cm="1">
        <f t="array" ref="H24">_xll.FDSB(D24,"FF_EMP_NUM(ANN,0)")</f>
        <v>29115</v>
      </c>
      <c r="I24" s="437" t="str" cm="1">
        <f t="array" ref="I24">_xll.FDSRB(D24,"OS_TOP_HLDR_ULTPRNT(1,0D,,MTD,,F,SEC)[0]")</f>
        <v>The Vanguard Group, Inc.</v>
      </c>
      <c r="J24" s="437" t="str" cm="1">
        <f t="array" ref="J24">_xll.FDSRB(D24,"FF_BUS_DESC_EXT")</f>
        <v>LATAM Airlines Group SA is holding company, which engages in the provision of passenger air transportation and cargo services. The Air Transportation segment corresponds to the route network for air transport. The Multiplus Coalition and Loyalty Program segment offers a coalition system, interrelated among its members, along with being a government entity with a separately business and not directly related to air transport. The company was founded in 1929 and is headquartered in Las Condes, Chile.</v>
      </c>
      <c r="K24" s="437" t="str" cm="1">
        <f t="array" ref="K24">_xll.FDSB(D24,"HOMEPAGE")</f>
        <v>http://www.latamairlinesgroup.net</v>
      </c>
      <c r="L24" s="437" t="str" cm="1">
        <f t="array" ref="L24">_xll.FDSB(D24,"FG_EXCHANGE")</f>
        <v>Santiago</v>
      </c>
      <c r="M24" s="438" t="str">
        <f t="shared" si="0"/>
        <v>LATAM Airlines Group SA - Company at a glance</v>
      </c>
      <c r="N24" s="439" t="e" cm="1">
        <f t="array" ref="N24">_xll.FDS(D24,"FF_PBK(ANN_R,0)")</f>
        <v>#N/A</v>
      </c>
      <c r="O24" s="439" cm="1">
        <f t="array" ref="O24">_xll.FDS(D24,"FF_ROE(ANN_R,0)")</f>
        <v>-1154.1107830338301</v>
      </c>
      <c r="P24" s="439" t="e" cm="1">
        <f t="array" ref="P24">_xll.FDS(D24,"FF_PE(ANN_R,0)")</f>
        <v>#N/A</v>
      </c>
    </row>
    <row r="25" spans="1:16" s="440" customFormat="1" ht="17.100000000000001" customHeight="1">
      <c r="A25" s="459"/>
      <c r="B25" s="432" t="str">
        <v>000WJH-E</v>
      </c>
      <c r="C25" s="460"/>
      <c r="D25" s="432" t="str" cm="1">
        <f t="array" ref="D25">_xll.FDSB(B25,"P_SYMBOL")</f>
        <v>SKYW-US</v>
      </c>
      <c r="E25" s="433" t="str" cm="1">
        <f t="array" ref="E25">_xll.FDSB(D25,"FF_CO_NAME")</f>
        <v>Sky West, Inc.</v>
      </c>
      <c r="F25" s="434" t="str" cm="1">
        <f t="array" ref="F25">_xll.FDSB(D25,"FF_ADDRESS")&amp;" "&amp;_xll.FDSB(D25,"FF_ADDRESS2")&amp;" "&amp;_xll.FDSB(D25,"FF_CITY")&amp;" "&amp;_xll.FDSB(D25,"FF_POSTAL")&amp;" "&amp;_xll.FDSB(D25,"FF_STATE_PROVINCE")&amp;" "&amp;_xll.FDSB(D25,"FF_COUNTRY")</f>
        <v xml:space="preserve"> 444 South River Road St. George 84790 Utah UNITED STATES</v>
      </c>
      <c r="G25" s="436" cm="1">
        <f t="array" ref="G25">_xll.FDSB(D25,"FF_SALES(ANN_R,0)")</f>
        <v>2127.1060000000002</v>
      </c>
      <c r="H25" s="436" cm="1">
        <f t="array" ref="H25">_xll.FDSB(D25,"FF_EMP_NUM(ANN,0)")</f>
        <v>12502</v>
      </c>
      <c r="I25" s="437" t="str" cm="1">
        <f t="array" ref="I25">_xll.FDSRB(D25,"OS_TOP_HLDR_ULTPRNT(1,0D,,MTD,,F,SEC)[0]")</f>
        <v>BlackRock, Inc.</v>
      </c>
      <c r="J25" s="437" t="str" cm="1">
        <f t="array" ref="J25">_xll.FDSRB(D25,"FF_BUS_DESC_EXT")</f>
        <v>Sky West, Inc. is a holding company, which engages in the provision of scheduled passenger services in the United States of America, Canada, Mexico and the Caribbean. It operates through the following three segments: SkyWest Airlines and SkyWest Leasing. The SkyWest Airlines segment provides as well as Mexico and Canada. The SkyWest Leasing segment includes revenue attributed from ownership cost earned under the applicable cost and fixed-fee flying contracts. The company was founded in 1972 and is headquartered in St. George, UT.</v>
      </c>
      <c r="K25" s="437" t="str" cm="1">
        <f t="array" ref="K25">_xll.FDSB(D25,"HOMEPAGE")</f>
        <v>http://www.skywest.com</v>
      </c>
      <c r="L25" s="437" t="str" cm="1">
        <f t="array" ref="L25">_xll.FDSB(D25,"FG_EXCHANGE")</f>
        <v>NASDAQ</v>
      </c>
      <c r="M25" s="438" t="str">
        <f t="shared" si="0"/>
        <v>Sky West, Inc. - Company at a glance</v>
      </c>
      <c r="N25" s="439" cm="1">
        <f t="array" ref="N25">_xll.FDS(D25,"FF_PBK(ANN_R,0)")</f>
        <v>0.94543939829619195</v>
      </c>
      <c r="O25" s="439" cm="1">
        <f t="array" ref="O25">_xll.FDS(D25,"FF_ROE(ANN_R,0)")</f>
        <v>-0.39471009667500201</v>
      </c>
      <c r="P25" s="439" t="e" cm="1">
        <f t="array" ref="P25">_xll.FDS(D25,"FF_PE(ANN_R,0)")</f>
        <v>#N/A</v>
      </c>
    </row>
    <row r="26" spans="1:16" s="440" customFormat="1" ht="17.100000000000001" customHeight="1">
      <c r="A26" s="459"/>
      <c r="B26" s="432" t="str">
        <v>0019S0-E</v>
      </c>
      <c r="C26" s="460"/>
      <c r="D26" s="432" t="str" cm="1">
        <f t="array" ref="D26">_xll.FDSB(B26,"P_SYMBOL")</f>
        <v>AC-CA</v>
      </c>
      <c r="E26" s="433" t="str" cm="1">
        <f t="array" ref="E26">_xll.FDSB(D26,"FF_CO_NAME")</f>
        <v>Air Canada</v>
      </c>
      <c r="F26" s="434" t="str" cm="1">
        <f t="array" ref="F26">_xll.FDSB(D26,"FF_ADDRESS")&amp;" "&amp;_xll.FDSB(D26,"FF_ADDRESS2")&amp;" "&amp;_xll.FDSB(D26,"FF_CITY")&amp;" "&amp;_xll.FDSB(D26,"FF_POSTAL")&amp;" "&amp;_xll.FDSB(D26,"FF_STATE_PROVINCE")&amp;" "&amp;_xll.FDSB(D26,"FF_COUNTRY")</f>
        <v>7373 Côte-Vertu Boulevard West Air Canada Centre Saint-Laurent H4S 1Z3 Québec CANADA</v>
      </c>
      <c r="G26" s="436" cm="1">
        <f t="array" ref="G26">_xll.FDSB(D26,"FF_SALES(ANN_R,0)")</f>
        <v>5833</v>
      </c>
      <c r="H26" s="436" t="str" cm="1">
        <f t="array" ref="H26">_xll.FDSB(D26,"FF_EMP_NUM(ANN,0)")</f>
        <v/>
      </c>
      <c r="I26" s="437" t="str" cm="1">
        <f t="array" ref="I26">_xll.FDSRB(D26,"OS_TOP_HLDR_ULTPRNT(1,0D,,MTD,,F,SEC)[0]")</f>
        <v>FMR LLC</v>
      </c>
      <c r="J26" s="437" t="str" cm="1">
        <f t="array" ref="J26">_xll.FDSRB(D26,"FF_BUS_DESC_EXT")</f>
        <v>Air Canada provides airline transportation services. It engages in full-service airline, scheduled passenger and cargo services, serving more than two hundred airports on six continents. It operates through the following geographical segments: Canada, U.S. Transborder, Atlantic, Pacific, and Other. The company was founded on April 11, 1936 and is headquartered in Saint-Laurent, Canada.</v>
      </c>
      <c r="K26" s="437" t="str" cm="1">
        <f t="array" ref="K26">_xll.FDSB(D26,"HOMEPAGE")</f>
        <v>http://aircanada.com</v>
      </c>
      <c r="L26" s="437" t="str" cm="1">
        <f t="array" ref="L26">_xll.FDSB(D26,"FG_EXCHANGE")</f>
        <v>Toronto</v>
      </c>
      <c r="M26" s="438" t="str">
        <f t="shared" si="0"/>
        <v>Air Canada - Company at a glance</v>
      </c>
      <c r="N26" s="439" cm="1">
        <f t="array" ref="N26">_xll.FDS(D26,"FF_PBK(ANN_R,0)")</f>
        <v>4.4102436964698697</v>
      </c>
      <c r="O26" s="439" cm="1">
        <f t="array" ref="O26">_xll.FDS(D26,"FF_ROE(ANN_R,0)")</f>
        <v>-151.98691741619001</v>
      </c>
      <c r="P26" s="439" t="e" cm="1">
        <f t="array" ref="P26">_xll.FDS(D26,"FF_PE(ANN_R,0)")</f>
        <v>#N/A</v>
      </c>
    </row>
    <row r="27" spans="1:16" s="440" customFormat="1" ht="17.100000000000001" customHeight="1">
      <c r="A27" s="459"/>
      <c r="B27" s="432" t="str">
        <v>0BCBB7-E</v>
      </c>
      <c r="C27" s="460"/>
      <c r="D27" s="432" t="str" cm="1">
        <f t="array" ref="D27">_xll.FDSB(B27,"P_SYMBOL")</f>
        <v>CHR-CA</v>
      </c>
      <c r="E27" s="433" t="str" cm="1">
        <f t="array" ref="E27">_xll.FDSB(D27,"FF_CO_NAME")</f>
        <v>Chorus Aviation, Inc.</v>
      </c>
      <c r="F27" s="434" t="str" cm="1">
        <f t="array" ref="F27">_xll.FDSB(D27,"FF_ADDRESS")&amp;" "&amp;_xll.FDSB(D27,"FF_ADDRESS2")&amp;" "&amp;_xll.FDSB(D27,"FF_CITY")&amp;" "&amp;_xll.FDSB(D27,"FF_POSTAL")&amp;" "&amp;_xll.FDSB(D27,"FF_STATE_PROVINCE")&amp;" "&amp;_xll.FDSB(D27,"FF_COUNTRY")</f>
        <v>Suite 380 3 Spectacle Lake Drive Dartmouth B3B 1W8 Nova Scotia CANADA</v>
      </c>
      <c r="G27" s="436" cm="1">
        <f t="array" ref="G27">_xll.FDSB(D27,"FF_SALES(ANN_R,0)")</f>
        <v>948.721</v>
      </c>
      <c r="H27" s="436" cm="1">
        <f t="array" ref="H27">_xll.FDSB(D27,"FF_EMP_NUM(ANN,0)")</f>
        <v>2875</v>
      </c>
      <c r="I27" s="437" t="str" cm="1">
        <f t="array" ref="I27">_xll.FDSRB(D27,"OS_TOP_HLDR_ULTPRNT(1,0D,,MTD,,F,SEC)[0]")</f>
        <v>Connor, Clark &amp; Lunn Financial Group Ltd.</v>
      </c>
      <c r="J27" s="437" t="str" cm="1">
        <f t="array" ref="J27">_xll.FDSRB(D27,"FF_BUS_DESC_EXT")</f>
        <v>Chorus Aviation, Inc. is a holding company, which engages in the provision of aviation services. It operates through the Regional Aviation Services and Regional Aircraft Leasing segments. The Regional Aviation Services segment includes contract flying operations; aircraft leasing under the capacity purchase agreement; and maintenance, repair, overhaul, part sales, and technical services. The Regional Aircraft Leasing segment provides aircraft leasing to third-party air operators through its subsidiary Chorus Aviation Capital. The company was founded on November 25, 2005 and is headquartered in Dartmouth, Canada.</v>
      </c>
      <c r="K27" s="437" t="str" cm="1">
        <f t="array" ref="K27">_xll.FDSB(D27,"HOMEPAGE")</f>
        <v>http://www.chorusaviation.com</v>
      </c>
      <c r="L27" s="437" t="str" cm="1">
        <f t="array" ref="L27">_xll.FDSB(D27,"FG_EXCHANGE")</f>
        <v>Toronto</v>
      </c>
      <c r="M27" s="438" t="str">
        <f t="shared" si="0"/>
        <v>Chorus Aviation, Inc. - Company at a glance</v>
      </c>
      <c r="N27" s="439" cm="1">
        <f t="array" ref="N27">_xll.FDS(D27,"FF_PBK(ANN_R,0)")</f>
        <v>0.93383642719230697</v>
      </c>
      <c r="O27" s="439" cm="1">
        <f t="array" ref="O27">_xll.FDS(D27,"FF_ROE(ANN_R,0)")</f>
        <v>6.65727380096539</v>
      </c>
      <c r="P27" s="439" cm="1">
        <f t="array" ref="P27">_xll.FDS(D27,"FF_PE(ANN_R,0)")</f>
        <v>14.413712504869499</v>
      </c>
    </row>
    <row r="28" spans="1:16" s="440" customFormat="1" ht="17.100000000000001" customHeight="1">
      <c r="A28" s="459"/>
      <c r="B28" s="432" t="str">
        <v>06D8MS-E</v>
      </c>
      <c r="C28" s="460"/>
      <c r="D28" s="432" t="str" cm="1">
        <f t="array" ref="D28">_xll.FDSB(B28,"P_SYMBOL")</f>
        <v>CPA-US</v>
      </c>
      <c r="E28" s="433" t="str" cm="1">
        <f t="array" ref="E28">_xll.FDSB(D28,"FF_CO_NAME")</f>
        <v>Copa Holdings SA</v>
      </c>
      <c r="F28" s="434" t="str" cm="1">
        <f t="array" ref="F28">_xll.FDSB(D28,"FF_ADDRESS")&amp;" "&amp;_xll.FDSB(D28,"FF_ADDRESS2")&amp;" "&amp;_xll.FDSB(D28,"FF_CITY")&amp;" "&amp;_xll.FDSB(D28,"FF_POSTAL")&amp;" "&amp;_xll.FDSB(D28,"FF_STATE_PROVINCE")&amp;" "&amp;_xll.FDSB(D28,"FF_COUNTRY")</f>
        <v>Costa del Este, Complejo Business Av. Principal y Av. de la Rotonda Panama City 0831-0206 Panama PANAMA</v>
      </c>
      <c r="G28" s="436" cm="1">
        <f t="array" ref="G28">_xll.FDSB(D28,"FF_SALES(ANN_R,0)")</f>
        <v>801.00300000000004</v>
      </c>
      <c r="H28" s="436" cm="1">
        <f t="array" ref="H28">_xll.FDSB(D28,"FF_EMP_NUM(ANN,0)")</f>
        <v>5667</v>
      </c>
      <c r="I28" s="437" t="str" cm="1">
        <f t="array" ref="I28">_xll.FDSRB(D28,"OS_TOP_HLDR_ULTPRNT(1,0D,,MTD,,F,SEC)[0]")</f>
        <v>Baillie Gifford &amp; Co.</v>
      </c>
      <c r="J28" s="437" t="str" cm="1">
        <f t="array" ref="J28">_xll.FDSRB(D28,"FF_BUS_DESC_EXT")</f>
        <v>Copa Holdings SA engages in the provision of air transportation. It involves in an airline operation which provides passenger and cargo services through the Copa Airlines and Copa Colombia principal operating subsidiaries. The firm offers international flights to Costa Rica, Jamaica, Colombia and other cities. The company was founded on May 6, 1998 and is headquartered in Panama.</v>
      </c>
      <c r="K28" s="437" t="str" cm="1">
        <f t="array" ref="K28">_xll.FDSB(D28,"HOMEPAGE")</f>
        <v>http://www.copaair.com</v>
      </c>
      <c r="L28" s="437" t="str" cm="1">
        <f t="array" ref="L28">_xll.FDSB(D28,"FG_EXCHANGE")</f>
        <v>NYSE</v>
      </c>
      <c r="M28" s="438" t="str">
        <f t="shared" si="0"/>
        <v>Copa Holdings SA - Company at a glance</v>
      </c>
      <c r="N28" s="439" cm="1">
        <f t="array" ref="N28">_xll.FDS(D28,"FF_PBK(ANN_R,0)")</f>
        <v>2.5487086168990301</v>
      </c>
      <c r="O28" s="439" cm="1">
        <f t="array" ref="O28">_xll.FDS(D28,"FF_ROE(ANN_R,0)")</f>
        <v>-37.723709197928002</v>
      </c>
      <c r="P28" s="439" t="e" cm="1">
        <f t="array" ref="P28">_xll.FDS(D28,"FF_PE(ANN_R,0)")</f>
        <v>#N/A</v>
      </c>
    </row>
    <row r="29" spans="1:16" s="440" customFormat="1" ht="66.75" customHeight="1">
      <c r="A29" s="459"/>
      <c r="B29" s="432" t="str">
        <v>06NMC4-E</v>
      </c>
      <c r="C29" s="460"/>
      <c r="D29" s="432" t="str" cm="1">
        <f t="array" ref="D29">_xll.FDSB(B29,"P_SYMBOL")</f>
        <v>PAL-PH</v>
      </c>
      <c r="E29" s="433" t="str" cm="1">
        <f t="array" ref="E29">_xll.FDSB(D29,"FF_CO_NAME")</f>
        <v>PAL Holdings, Inc.</v>
      </c>
      <c r="F29" s="434" t="str" cm="1">
        <f t="array" ref="F29">_xll.FDSB(D29,"FF_ADDRESS")&amp;" "&amp;_xll.FDSB(D29,"FF_ADDRESS2")&amp;" "&amp;_xll.FDSB(D29,"FF_CITY")&amp;" "&amp;_xll.FDSB(D29,"FF_POSTAL")&amp;" "&amp;_xll.FDSB(D29,"FF_STATE_PROVINCE")&amp;" "&amp;_xll.FDSB(D29,"FF_COUNTRY")</f>
        <v>President Diosdado Macapagal Avenue PNB Financial Center, CCP Complex Pasay City 1307 Metropolitan Manila PHILIPPINES</v>
      </c>
      <c r="G29" s="436" cm="1">
        <f t="array" ref="G29">_xll.FDSB(D29,"FF_SALES(ANN_R,0)")</f>
        <v>55263.966</v>
      </c>
      <c r="H29" s="436" cm="1">
        <f t="array" ref="H29">_xll.FDSB(D29,"FF_EMP_NUM(ANN,0)")</f>
        <v>6238</v>
      </c>
      <c r="I29" s="437" t="str" cm="1">
        <f t="array" ref="I29">_xll.FDSRB(D29,"OS_TOP_HLDR_ULTPRNT(1,0D,,MTD,,F,SEC)[0]")</f>
        <v/>
      </c>
      <c r="J29" s="437" t="str" cm="1">
        <f t="array" ref="J29">_xll.FDSRB(D29,"FF_BUS_DESC_EXT")</f>
        <v>PAL Holdings, Inc. engages in the provision of airline business services. Its services include group booking, charter, transfer, corporate sales, general sales agent, travel insurance, and cargo. The company was founded on May 10, 1930 and is headquartered in Pasay City, Philippines.</v>
      </c>
      <c r="K29" s="437" t="str" cm="1">
        <f t="array" ref="K29">_xll.FDSB(D29,"HOMEPAGE")</f>
        <v>http://www.philippineairlines.com</v>
      </c>
      <c r="L29" s="437" t="str" cm="1">
        <f t="array" ref="L29">_xll.FDSB(D29,"FG_EXCHANGE")</f>
        <v>Philippines</v>
      </c>
      <c r="M29" s="438" t="str">
        <f t="shared" si="0"/>
        <v>PAL Holdings, Inc. - Company at a glance</v>
      </c>
      <c r="N29" s="461"/>
      <c r="O29" s="462"/>
    </row>
    <row r="30" spans="1:16" s="440" customFormat="1" ht="66.75" customHeight="1">
      <c r="A30" s="459"/>
      <c r="B30" s="432" t="str">
        <v>003Q64-E</v>
      </c>
      <c r="C30" s="460"/>
      <c r="D30" s="432" t="str" cm="1">
        <f t="array" ref="D30">_xll.FDSB(B30,"P_SYMBOL")</f>
        <v>TRZ-CA</v>
      </c>
      <c r="E30" s="433" t="str" cm="1">
        <f t="array" ref="E30">_xll.FDSB(D30,"FF_CO_NAME")</f>
        <v>Transat A.T., Inc.</v>
      </c>
      <c r="F30" s="434" t="str" cm="1">
        <f t="array" ref="F30">_xll.FDSB(D30,"FF_ADDRESS")&amp;" "&amp;_xll.FDSB(D30,"FF_ADDRESS2")&amp;" "&amp;_xll.FDSB(D30,"FF_CITY")&amp;" "&amp;_xll.FDSB(D30,"FF_POSTAL")&amp;" "&amp;_xll.FDSB(D30,"FF_STATE_PROVINCE")&amp;" "&amp;_xll.FDSB(D30,"FF_COUNTRY")</f>
        <v>300 Léo-Pariseau Street Place du Parc Montréal H2X 4C2 Québec CANADA</v>
      </c>
      <c r="G30" s="436" cm="1">
        <f t="array" ref="G30">_xll.FDSB(D30,"FF_SALES(ANN_R,0)")</f>
        <v>1302.069</v>
      </c>
      <c r="H30" s="436" cm="1">
        <f t="array" ref="H30">_xll.FDSB(D30,"FF_EMP_NUM(ANN,0)")</f>
        <v>1785</v>
      </c>
      <c r="I30" s="437" t="str" cm="1">
        <f t="array" ref="I30">_xll.FDSRB(D30,"OS_TOP_HLDR_ULTPRNT(1,0D,,MTD,,F,SEC)[0]")</f>
        <v>Letko, Brosseau &amp; Associates Inc.</v>
      </c>
      <c r="J30" s="437" t="str" cm="1">
        <f t="array" ref="J30">_xll.FDSRB(D30,"FF_BUS_DESC_EXT")</f>
        <v>Transat A.T., Inc. develops and markets holiday travel services in packages, including air travel and hotel stays, and air-only formats. The firm operates through Holiday Travel segment, which develops and markets holiday travel services in packages, including air travel and hotel stays, and air-only formats. It operates under the Transat and Air Transat brands. The company was founded by Jean-Marc Eustache, Lina De Cesare and Philippe Sureau on February 13, 1987 and is headquartered in Montreal, Canada.</v>
      </c>
      <c r="K30" s="437" t="str" cm="1">
        <f t="array" ref="K30">_xll.FDSB(D30,"HOMEPAGE")</f>
        <v>http://www.transat.com</v>
      </c>
      <c r="L30" s="437" t="str" cm="1">
        <f t="array" ref="L30">_xll.FDSB(D30,"FG_EXCHANGE")</f>
        <v>Toronto</v>
      </c>
      <c r="M30" s="438" t="str">
        <f t="shared" si="0"/>
        <v>Transat A.T., Inc. - Company at a glance</v>
      </c>
      <c r="N30" s="461"/>
      <c r="O30" s="461"/>
    </row>
    <row r="31" spans="1:16" s="440" customFormat="1" ht="66.75" customHeight="1">
      <c r="A31" s="459"/>
      <c r="B31" s="432" t="str">
        <v>000WR8-E</v>
      </c>
      <c r="C31" s="460"/>
      <c r="D31" s="432" t="str" cm="1">
        <f t="array" ref="D31">_xll.FDSB(B31,"P_SYMBOL")</f>
        <v>LUV-US</v>
      </c>
      <c r="E31" s="433" t="str" cm="1">
        <f t="array" ref="E31">_xll.FDSB(D31,"FF_CO_NAME")</f>
        <v>Southwest Airlines Co.</v>
      </c>
      <c r="F31" s="434" t="str" cm="1">
        <f t="array" ref="F31">_xll.FDSB(D31,"FF_ADDRESS")&amp;" "&amp;_xll.FDSB(D31,"FF_ADDRESS2")&amp;" "&amp;_xll.FDSB(D31,"FF_CITY")&amp;" "&amp;_xll.FDSB(D31,"FF_POSTAL")&amp;" "&amp;_xll.FDSB(D31,"FF_STATE_PROVINCE")&amp;" "&amp;_xll.FDSB(D31,"FF_COUNTRY")</f>
        <v>Suite 400 2702 Love Field Drive Dallas 75235-1611 Texas UNITED STATES</v>
      </c>
      <c r="G31" s="436" cm="1">
        <f t="array" ref="G31">_xll.FDSB(D31,"FF_SALES(ANN_R,0)")</f>
        <v>9048</v>
      </c>
      <c r="H31" s="436" cm="1">
        <f t="array" ref="H31">_xll.FDSB(D31,"FF_EMP_NUM(ANN,0)")</f>
        <v>56500</v>
      </c>
      <c r="I31" s="437" t="str" cm="1">
        <f t="array" ref="I31">_xll.FDSRB(D31,"OS_TOP_HLDR_ULTPRNT(1,0D,,MTD,,F,SEC)[0]")</f>
        <v>PRIMECAP Management Co.</v>
      </c>
      <c r="J31" s="437" t="str" cm="1">
        <f t="array" ref="J31">_xll.FDSRB(D31,"FF_BUS_DESC_EXT")</f>
        <v>Southwest Airlines Co. engages in the management of a passenger airline. It offers ancillary services such as earlybird check-in, upgraded boarding, and transportation of pets and unaccompanied minors. The firm operates in U.S. states, District of Columbia, the Commonwealth of Puerto Rico, Mexico, Jamaica, The Bahamas, Aruba, Dominican Republic, Costa Rica, Belize, Cuba, the Cayman Islands, and Turks and Caicos. The company was founded by Rollin W. King and Herbert D. Kelleher on March 15, 1967 and is headquartered in Dallas, TX.</v>
      </c>
      <c r="K31" s="437" t="str" cm="1">
        <f t="array" ref="K31">_xll.FDSB(D31,"HOMEPAGE")</f>
        <v>http://www.southwest.com</v>
      </c>
      <c r="L31" s="437" t="str" cm="1">
        <f t="array" ref="L31">_xll.FDSB(D31,"FG_EXCHANGE")</f>
        <v>NYSE</v>
      </c>
      <c r="M31" s="438" t="str">
        <f t="shared" si="0"/>
        <v>Southwest Airlines Co. - Company at a glance</v>
      </c>
      <c r="N31" s="461"/>
      <c r="O31" s="462"/>
    </row>
    <row r="32" spans="1:16" s="440" customFormat="1" ht="66.75" customHeight="1">
      <c r="A32" s="459"/>
      <c r="B32" s="432" t="str">
        <v>0088V7-E</v>
      </c>
      <c r="C32" s="460"/>
      <c r="D32" s="432" t="str" cm="1">
        <f t="array" ref="D32">_xll.FDSB(B32,"P_SYMBOL")</f>
        <v>ALGT-US</v>
      </c>
      <c r="E32" s="433" t="str" cm="1">
        <f t="array" ref="E32">_xll.FDSB(D32,"FF_CO_NAME")</f>
        <v>Allegiant Travel Co.</v>
      </c>
      <c r="F32" s="434" t="str" cm="1">
        <f t="array" ref="F32">_xll.FDSB(D32,"FF_ADDRESS")&amp;" "&amp;_xll.FDSB(D32,"FF_ADDRESS2")&amp;" "&amp;_xll.FDSB(D32,"FF_CITY")&amp;" "&amp;_xll.FDSB(D32,"FF_POSTAL")&amp;" "&amp;_xll.FDSB(D32,"FF_STATE_PROVINCE")&amp;" "&amp;_xll.FDSB(D32,"FF_COUNTRY")</f>
        <v xml:space="preserve"> 1201 North Town Center Drive Las Vegas 89144 Nevada UNITED STATES</v>
      </c>
      <c r="G32" s="436" cm="1">
        <f t="array" ref="G32">_xll.FDSB(D32,"FF_SALES(ANN_R,0)")</f>
        <v>990.07299999999998</v>
      </c>
      <c r="H32" s="436" cm="1">
        <f t="array" ref="H32">_xll.FDSB(D32,"FF_EMP_NUM(ANN,0)")</f>
        <v>3863</v>
      </c>
      <c r="I32" s="437" t="str" cm="1">
        <f t="array" ref="I32">_xll.FDSRB(D32,"OS_TOP_HLDR_ULTPRNT(1,0D,,MTD,,F,SEC)[0]")</f>
        <v>BlackRock, Inc.</v>
      </c>
      <c r="J32" s="437" t="str" cm="1">
        <f t="array" ref="J32">_xll.FDSRB(D32,"FF_BUS_DESC_EXT")</f>
        <v>Allegiant Travel Co. engages in the provision of travel services. It includes scheduled service air transportation, air-related travel services and product, third party travel products, and fixed fee contract air transportation. It operates through the following segments: Airline, Sunseeker Resort, and Other non-Airline.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represents activity related to the development and construction of Sunseeker Resort in Southwest Florida, as well as the operation of Kingsway Golf Course. The Other non-Airline segment includes the Teesnap golf course management solution and Allegiant Nonstop family entertainment centers. The company was founded in January 1997 and is headquartered in Las Vegas, NV.</v>
      </c>
      <c r="K32" s="437" t="str" cm="1">
        <f t="array" ref="K32">_xll.FDSB(D32,"HOMEPAGE")</f>
        <v>http://www.allegiantair.com</v>
      </c>
      <c r="L32" s="437" t="str" cm="1">
        <f t="array" ref="L32">_xll.FDSB(D32,"FG_EXCHANGE")</f>
        <v>NASDAQ</v>
      </c>
      <c r="M32" s="438" t="str">
        <f t="shared" si="0"/>
        <v>Allegiant Travel Co. - Company at a glance</v>
      </c>
      <c r="N32" s="461"/>
      <c r="O32" s="461"/>
    </row>
    <row r="33" spans="1:15" s="440" customFormat="1" ht="66.75" customHeight="1">
      <c r="A33" s="459"/>
      <c r="B33" s="432" t="str">
        <v>0GYD8Q-E</v>
      </c>
      <c r="C33" s="460"/>
      <c r="D33" s="432" t="str" cm="1">
        <f t="array" ref="D33">_xll.FDSB(B33,"P_SYMBOL")</f>
        <v>ULCC-US</v>
      </c>
      <c r="E33" s="433" t="str" cm="1">
        <f t="array" ref="E33">_xll.FDSB(D33,"FF_CO_NAME")</f>
        <v>Frontier Group Holdings, Inc.</v>
      </c>
      <c r="F33" s="434" t="str" cm="1">
        <f t="array" ref="F33">_xll.FDSB(D33,"FF_ADDRESS")&amp;" "&amp;_xll.FDSB(D33,"FF_ADDRESS2")&amp;" "&amp;_xll.FDSB(D33,"FF_CITY")&amp;" "&amp;_xll.FDSB(D33,"FF_POSTAL")&amp;" "&amp;_xll.FDSB(D33,"FF_STATE_PROVINCE")&amp;" "&amp;_xll.FDSB(D33,"FF_COUNTRY")</f>
        <v xml:space="preserve"> 4545 Airport Way Denver 80239 Colorado UNITED STATES</v>
      </c>
      <c r="G33" s="436" cm="1">
        <f t="array" ref="G33">_xll.FDSB(D33,"FF_SALES(ANN_R,0)")</f>
        <v>1250</v>
      </c>
      <c r="H33" s="436" cm="1">
        <f t="array" ref="H33">_xll.FDSB(D33,"FF_EMP_NUM(ANN,0)")</f>
        <v>5005</v>
      </c>
      <c r="I33" s="437" t="str" cm="1">
        <f t="array" ref="I33">_xll.FDSRB(D33,"OS_TOP_HLDR_ULTPRNT(1,0D,,MTD,,F,SEC)[0]")</f>
        <v>JPMorgan Chase &amp; Co.</v>
      </c>
      <c r="J33" s="437" t="str" cm="1">
        <f t="array" ref="J33">_xll.FDSRB(D33,"FF_BUS_DESC_EXT")</f>
        <v>Frontier Group Holdings, Inc. engages in the operation of passenger airline. It offers flights throughout the United States and selected international Mexico, and the Caribbean. The company was founded on September 2013 and is headquartered in Denver, CO.</v>
      </c>
      <c r="K33" s="437" t="str" cm="1">
        <f t="array" ref="K33">_xll.FDSB(D33,"HOMEPAGE")</f>
        <v>http://ir.flyfrontier.com</v>
      </c>
      <c r="L33" s="437" t="str" cm="1">
        <f t="array" ref="L33">_xll.FDSB(D33,"FG_EXCHANGE")</f>
        <v>NASDAQ</v>
      </c>
      <c r="M33" s="438" t="str">
        <f t="shared" si="0"/>
        <v>Frontier Group Holdings, Inc. - Company at a glance</v>
      </c>
      <c r="N33" s="461"/>
      <c r="O33" s="462"/>
    </row>
    <row r="34" spans="1:15" s="440" customFormat="1" ht="66.75" customHeight="1">
      <c r="A34" s="459"/>
      <c r="B34" s="432" t="str">
        <v>05RYHC-E</v>
      </c>
      <c r="C34" s="460"/>
      <c r="D34" s="432" t="str" cm="1">
        <f t="array" ref="D34">_xll.FDSB(B34,"P_SYMBOL")</f>
        <v>SAVE-US</v>
      </c>
      <c r="E34" s="433" t="str" cm="1">
        <f t="array" ref="E34">_xll.FDSB(D34,"FF_CO_NAME")</f>
        <v>Spirit Airlines, Inc.</v>
      </c>
      <c r="F34" s="434" t="str" cm="1">
        <f t="array" ref="F34">_xll.FDSB(D34,"FF_ADDRESS")&amp;" "&amp;_xll.FDSB(D34,"FF_ADDRESS2")&amp;" "&amp;_xll.FDSB(D34,"FF_CITY")&amp;" "&amp;_xll.FDSB(D34,"FF_POSTAL")&amp;" "&amp;_xll.FDSB(D34,"FF_STATE_PROVINCE")&amp;" "&amp;_xll.FDSB(D34,"FF_COUNTRY")</f>
        <v xml:space="preserve"> 2800 Executive Way Miramar 33025 Florida UNITED STATES</v>
      </c>
      <c r="G34" s="436" cm="1">
        <f t="array" ref="G34">_xll.FDSB(D34,"FF_SALES(ANN_R,0)")</f>
        <v>1810.0219999999999</v>
      </c>
      <c r="H34" s="436" cm="1">
        <f t="array" ref="H34">_xll.FDSB(D34,"FF_EMP_NUM(ANN,0)")</f>
        <v>8692</v>
      </c>
      <c r="I34" s="437" t="str" cm="1">
        <f t="array" ref="I34">_xll.FDSRB(D34,"OS_TOP_HLDR_ULTPRNT(1,0D,,MTD,,F,SEC)[0]")</f>
        <v>The Vanguard Group, Inc.</v>
      </c>
      <c r="J34" s="437" t="str" cm="1">
        <f t="array" ref="J34">_xll.FDSRB(D34,"FF_BUS_DESC_EXT")</f>
        <v>Spirit Airlines, Inc. is an airline that offers travel to price-conscious customers. Its customers start with an unbundled base fares that remove components included in the price of an airline ticket. The company was founded by Ned Homfeld in 1964 and is headquartered in Miramar, FL.</v>
      </c>
      <c r="K34" s="437" t="str" cm="1">
        <f t="array" ref="K34">_xll.FDSB(D34,"HOMEPAGE")</f>
        <v>http://www.spirit.com</v>
      </c>
      <c r="L34" s="437" t="str" cm="1">
        <f t="array" ref="L34">_xll.FDSB(D34,"FG_EXCHANGE")</f>
        <v>NYSE</v>
      </c>
      <c r="M34" s="438" t="str">
        <f t="shared" si="0"/>
        <v>Spirit Airlines, Inc. - Company at a glance</v>
      </c>
      <c r="N34" s="461"/>
      <c r="O34" s="461"/>
    </row>
    <row r="35" spans="1:15" s="440" customFormat="1" ht="66.75" customHeight="1">
      <c r="A35" s="459"/>
      <c r="B35" s="432"/>
      <c r="C35" s="460"/>
      <c r="D35" s="432" t="str" cm="1">
        <f t="array" ref="D35">_xll.FDSB(B35,"P_SYMBOL")</f>
        <v/>
      </c>
      <c r="E35" s="433" t="str" cm="1">
        <f t="array" ref="E35">_xll.FDSB(D35,"FF_CO_NAME")</f>
        <v/>
      </c>
      <c r="F35" s="434" t="str" cm="1">
        <f t="array" ref="F35">_xll.FDSB(D35,"FF_ADDRESS")&amp;" "&amp;_xll.FDSB(D35,"FF_ADDRESS2")&amp;" "&amp;_xll.FDSB(D35,"FF_CITY")&amp;" "&amp;_xll.FDSB(D35,"FF_POSTAL")&amp;" "&amp;_xll.FDSB(D35,"FF_STATE_PROVINCE")&amp;" "&amp;_xll.FDSB(D35,"FF_COUNTRY")</f>
        <v xml:space="preserve">     </v>
      </c>
      <c r="G35" s="436" t="str" cm="1">
        <f t="array" ref="G35">_xll.FDSB(D35,"FF_SALES(ANN_R,0)")</f>
        <v/>
      </c>
      <c r="H35" s="436" t="str" cm="1">
        <f t="array" ref="H35">_xll.FDSB(D35,"FF_EMP_NUM(ANN,0)")</f>
        <v/>
      </c>
      <c r="I35" s="437" t="str" cm="1">
        <f t="array" ref="I35">_xll.FDSRB(D35,"OS_TOP_HLDR_ULTPRNT(1,0D,,MTD,,F,SEC)[0]")</f>
        <v/>
      </c>
      <c r="J35" s="437" t="str" cm="1">
        <f t="array" ref="J35">_xll.FDSRB(D35,"FF_BUS_DESC_EXT")</f>
        <v/>
      </c>
      <c r="K35" s="437" t="str" cm="1">
        <f t="array" ref="K35">_xll.FDSB(D35,"HOMEPAGE")</f>
        <v/>
      </c>
      <c r="L35" s="437" t="str" cm="1">
        <f t="array" ref="L35">_xll.FDSB(D35,"FG_EXCHANGE")</f>
        <v/>
      </c>
      <c r="M35" s="438" t="str">
        <f t="shared" si="0"/>
        <v/>
      </c>
      <c r="N35" s="461"/>
      <c r="O35" s="462"/>
    </row>
    <row r="36" spans="1:15" s="440" customFormat="1" ht="66.75" customHeight="1">
      <c r="A36" s="459"/>
      <c r="B36" s="432"/>
      <c r="C36" s="460"/>
      <c r="D36" s="432" t="str" cm="1">
        <f t="array" ref="D36">_xll.FDSB(B36,"P_SYMBOL")</f>
        <v/>
      </c>
      <c r="E36" s="433" t="str" cm="1">
        <f t="array" ref="E36">_xll.FDSB(D36,"FF_CO_NAME")</f>
        <v/>
      </c>
      <c r="F36" s="434" t="str" cm="1">
        <f t="array" ref="F36">_xll.FDSB(D36,"FF_ADDRESS")&amp;" "&amp;_xll.FDSB(D36,"FF_ADDRESS2")&amp;" "&amp;_xll.FDSB(D36,"FF_CITY")&amp;" "&amp;_xll.FDSB(D36,"FF_POSTAL")&amp;" "&amp;_xll.FDSB(D36,"FF_STATE_PROVINCE")&amp;" "&amp;_xll.FDSB(D36,"FF_COUNTRY")</f>
        <v xml:space="preserve">     </v>
      </c>
      <c r="G36" s="436" t="str" cm="1">
        <f t="array" ref="G36">_xll.FDSB(D36,"FF_SALES(ANN_R,0)")</f>
        <v/>
      </c>
      <c r="H36" s="436" t="str" cm="1">
        <f t="array" ref="H36">_xll.FDSB(D36,"FF_EMP_NUM(ANN,0)")</f>
        <v/>
      </c>
      <c r="I36" s="437" t="str" cm="1">
        <f t="array" ref="I36">_xll.FDSRB(D36,"OS_TOP_HLDR_ULTPRNT(1,0D,,MTD,,F,SEC)[0]")</f>
        <v/>
      </c>
      <c r="J36" s="437" t="str" cm="1">
        <f t="array" ref="J36">_xll.FDSRB(D36,"FF_BUS_DESC_EXT")</f>
        <v/>
      </c>
      <c r="K36" s="437" t="str" cm="1">
        <f t="array" ref="K36">_xll.FDSB(D36,"HOMEPAGE")</f>
        <v/>
      </c>
      <c r="L36" s="437" t="str" cm="1">
        <f t="array" ref="L36">_xll.FDSB(D36,"FG_EXCHANGE")</f>
        <v/>
      </c>
      <c r="M36" s="438" t="str">
        <f t="shared" si="0"/>
        <v/>
      </c>
      <c r="N36" s="461"/>
      <c r="O36" s="461"/>
    </row>
    <row r="37" spans="1:15" s="440" customFormat="1" ht="66.75" customHeight="1">
      <c r="A37" s="459"/>
      <c r="B37" s="432"/>
      <c r="C37" s="460"/>
      <c r="D37" s="432" t="str" cm="1">
        <f t="array" ref="D37">_xll.FDSB(B37,"P_SYMBOL")</f>
        <v/>
      </c>
      <c r="E37" s="433" t="str" cm="1">
        <f t="array" ref="E37">_xll.FDSB(D37,"FF_CO_NAME")</f>
        <v/>
      </c>
      <c r="F37" s="434" t="str" cm="1">
        <f t="array" ref="F37">_xll.FDSB(D37,"FF_ADDRESS")&amp;" "&amp;_xll.FDSB(D37,"FF_ADDRESS2")&amp;" "&amp;_xll.FDSB(D37,"FF_CITY")&amp;" "&amp;_xll.FDSB(D37,"FF_POSTAL")&amp;" "&amp;_xll.FDSB(D37,"FF_STATE_PROVINCE")&amp;" "&amp;_xll.FDSB(D37,"FF_COUNTRY")</f>
        <v xml:space="preserve">     </v>
      </c>
      <c r="G37" s="436" t="str" cm="1">
        <f t="array" ref="G37">_xll.FDSB(D37,"FF_SALES(ANN_R,0)")</f>
        <v/>
      </c>
      <c r="H37" s="436" t="str" cm="1">
        <f t="array" ref="H37">_xll.FDSB(D37,"FF_EMP_NUM(ANN,0)")</f>
        <v/>
      </c>
      <c r="I37" s="437" t="str" cm="1">
        <f t="array" ref="I37">_xll.FDSRB(D37,"OS_TOP_HLDR_ULTPRNT(1,0D,,MTD,,F,SEC)[0]")</f>
        <v/>
      </c>
      <c r="J37" s="437" t="str" cm="1">
        <f t="array" ref="J37">_xll.FDSRB(D37,"FF_BUS_DESC_EXT")</f>
        <v/>
      </c>
      <c r="K37" s="437" t="str" cm="1">
        <f t="array" ref="K37">_xll.FDSB(D37,"HOMEPAGE")</f>
        <v/>
      </c>
      <c r="L37" s="437" t="str" cm="1">
        <f t="array" ref="L37">_xll.FDSB(D37,"FG_EXCHANGE")</f>
        <v/>
      </c>
      <c r="M37" s="438" t="str">
        <f t="shared" si="0"/>
        <v/>
      </c>
      <c r="N37" s="461"/>
      <c r="O37" s="462"/>
    </row>
    <row r="38" spans="1:15" s="440" customFormat="1" ht="66.75" customHeight="1">
      <c r="A38" s="459"/>
      <c r="B38" s="432"/>
      <c r="C38" s="460"/>
      <c r="D38" s="432" t="str" cm="1">
        <f t="array" ref="D38">_xll.FDSB(B38,"P_SYMBOL")</f>
        <v/>
      </c>
      <c r="E38" s="433" t="str" cm="1">
        <f t="array" ref="E38">_xll.FDSB(D38,"FF_CO_NAME")</f>
        <v/>
      </c>
      <c r="F38" s="434" t="str" cm="1">
        <f t="array" ref="F38">_xll.FDSB(D38,"FF_ADDRESS")&amp;" "&amp;_xll.FDSB(D38,"FF_ADDRESS2")&amp;" "&amp;_xll.FDSB(D38,"FF_CITY")&amp;" "&amp;_xll.FDSB(D38,"FF_POSTAL")&amp;" "&amp;_xll.FDSB(D38,"FF_STATE_PROVINCE")&amp;" "&amp;_xll.FDSB(D38,"FF_COUNTRY")</f>
        <v xml:space="preserve">     </v>
      </c>
      <c r="G38" s="436" t="str" cm="1">
        <f t="array" ref="G38">_xll.FDSB(D38,"FF_SALES(ANN_R,0)")</f>
        <v/>
      </c>
      <c r="H38" s="436" t="str" cm="1">
        <f t="array" ref="H38">_xll.FDSB(D38,"FF_EMP_NUM(ANN,0)")</f>
        <v/>
      </c>
      <c r="I38" s="437" t="str" cm="1">
        <f t="array" ref="I38">_xll.FDSRB(D38,"OS_TOP_HLDR_ULTPRNT(1,0D,,MTD,,F,SEC)[0]")</f>
        <v/>
      </c>
      <c r="J38" s="437" t="str" cm="1">
        <f t="array" ref="J38">_xll.FDSRB(D38,"FF_BUS_DESC_EXT")</f>
        <v/>
      </c>
      <c r="K38" s="437" t="str" cm="1">
        <f t="array" ref="K38">_xll.FDSB(D38,"HOMEPAGE")</f>
        <v/>
      </c>
      <c r="L38" s="437" t="str" cm="1">
        <f t="array" ref="L38">_xll.FDSB(D38,"FG_EXCHANGE")</f>
        <v/>
      </c>
      <c r="M38" s="438" t="str">
        <f t="shared" si="0"/>
        <v/>
      </c>
      <c r="N38" s="461"/>
      <c r="O38" s="461"/>
    </row>
    <row r="39" spans="1:15" s="440" customFormat="1" ht="66.75" customHeight="1">
      <c r="A39" s="459"/>
      <c r="B39" s="432"/>
      <c r="C39" s="460"/>
      <c r="D39" s="432" t="str" cm="1">
        <f t="array" ref="D39">_xll.FDSB(B39,"P_SYMBOL")</f>
        <v/>
      </c>
      <c r="E39" s="433" t="str" cm="1">
        <f t="array" ref="E39">_xll.FDSB(D39,"FF_CO_NAME")</f>
        <v/>
      </c>
      <c r="F39" s="434" t="str" cm="1">
        <f t="array" ref="F39">_xll.FDSB(D39,"FF_ADDRESS")&amp;" "&amp;_xll.FDSB(D39,"FF_ADDRESS2")&amp;" "&amp;_xll.FDSB(D39,"FF_CITY")&amp;" "&amp;_xll.FDSB(D39,"FF_POSTAL")&amp;" "&amp;_xll.FDSB(D39,"FF_STATE_PROVINCE")&amp;" "&amp;_xll.FDSB(D39,"FF_COUNTRY")</f>
        <v xml:space="preserve">     </v>
      </c>
      <c r="G39" s="436" t="str" cm="1">
        <f t="array" ref="G39">_xll.FDSB(D39,"FF_SALES(ANN_R,0)")</f>
        <v/>
      </c>
      <c r="H39" s="436" t="str" cm="1">
        <f t="array" ref="H39">_xll.FDSB(D39,"FF_EMP_NUM(ANN,0)")</f>
        <v/>
      </c>
      <c r="I39" s="437" t="str" cm="1">
        <f t="array" ref="I39">_xll.FDSRB(D39,"OS_TOP_HLDR_ULTPRNT(1,0D,,MTD,,F,SEC)[0]")</f>
        <v/>
      </c>
      <c r="J39" s="437" t="str" cm="1">
        <f t="array" ref="J39">_xll.FDSRB(D39,"FF_BUS_DESC_EXT")</f>
        <v/>
      </c>
      <c r="K39" s="437" t="str" cm="1">
        <f t="array" ref="K39">_xll.FDSB(D39,"HOMEPAGE")</f>
        <v/>
      </c>
      <c r="L39" s="437" t="str" cm="1">
        <f t="array" ref="L39">_xll.FDSB(D39,"FG_EXCHANGE")</f>
        <v/>
      </c>
      <c r="M39" s="438" t="str">
        <f t="shared" si="0"/>
        <v/>
      </c>
      <c r="N39" s="461"/>
      <c r="O39" s="462"/>
    </row>
    <row r="40" spans="1:15" s="440" customFormat="1" ht="66.75" customHeight="1">
      <c r="A40" s="459"/>
      <c r="B40" s="432"/>
      <c r="C40" s="460"/>
      <c r="D40" s="432" t="str" cm="1">
        <f t="array" ref="D40">_xll.FDSB(B40,"P_SYMBOL")</f>
        <v/>
      </c>
      <c r="E40" s="433" t="str" cm="1">
        <f t="array" ref="E40">_xll.FDSB(D40,"FF_CO_NAME")</f>
        <v/>
      </c>
      <c r="F40" s="434" t="str" cm="1">
        <f t="array" ref="F40">_xll.FDSB(D40,"FF_ADDRESS")&amp;" "&amp;_xll.FDSB(D40,"FF_ADDRESS2")&amp;" "&amp;_xll.FDSB(D40,"FF_CITY")&amp;" "&amp;_xll.FDSB(D40,"FF_POSTAL")&amp;" "&amp;_xll.FDSB(D40,"FF_STATE_PROVINCE")&amp;" "&amp;_xll.FDSB(D40,"FF_COUNTRY")</f>
        <v xml:space="preserve">     </v>
      </c>
      <c r="G40" s="436" t="str" cm="1">
        <f t="array" ref="G40">_xll.FDSB(D40,"FF_SALES(ANN_R,0)")</f>
        <v/>
      </c>
      <c r="H40" s="436" t="str" cm="1">
        <f t="array" ref="H40">_xll.FDSB(D40,"FF_EMP_NUM(ANN,0)")</f>
        <v/>
      </c>
      <c r="I40" s="437" t="str" cm="1">
        <f t="array" ref="I40">_xll.FDSRB(D40,"OS_TOP_HLDR_ULTPRNT(1,0D,,MTD,,F,SEC)[0]")</f>
        <v/>
      </c>
      <c r="J40" s="437" t="str" cm="1">
        <f t="array" ref="J40">_xll.FDSRB(D40,"FF_BUS_DESC_EXT")</f>
        <v/>
      </c>
      <c r="K40" s="437" t="str" cm="1">
        <f t="array" ref="K40">_xll.FDSB(D40,"HOMEPAGE")</f>
        <v/>
      </c>
      <c r="L40" s="437" t="str" cm="1">
        <f t="array" ref="L40">_xll.FDSB(D40,"FG_EXCHANGE")</f>
        <v/>
      </c>
      <c r="M40" s="438" t="str">
        <f t="shared" si="0"/>
        <v/>
      </c>
      <c r="N40" s="461"/>
      <c r="O40" s="461"/>
    </row>
    <row r="41" spans="1:15" s="440" customFormat="1" ht="66.75" customHeight="1">
      <c r="A41" s="459"/>
      <c r="B41" s="432"/>
      <c r="C41" s="460"/>
      <c r="D41" s="432" t="str" cm="1">
        <f t="array" ref="D41">_xll.FDSB(B41,"P_SYMBOL")</f>
        <v/>
      </c>
      <c r="E41" s="433" t="str" cm="1">
        <f t="array" ref="E41">_xll.FDSB(D41,"FF_CO_NAME")</f>
        <v/>
      </c>
      <c r="F41" s="434" t="str" cm="1">
        <f t="array" ref="F41">_xll.FDSB(D41,"FF_ADDRESS")&amp;" "&amp;_xll.FDSB(D41,"FF_ADDRESS2")&amp;" "&amp;_xll.FDSB(D41,"FF_CITY")&amp;" "&amp;_xll.FDSB(D41,"FF_POSTAL")&amp;" "&amp;_xll.FDSB(D41,"FF_STATE_PROVINCE")&amp;" "&amp;_xll.FDSB(D41,"FF_COUNTRY")</f>
        <v xml:space="preserve">     </v>
      </c>
      <c r="G41" s="436" t="str" cm="1">
        <f t="array" ref="G41">_xll.FDSB(D41,"FF_SALES(ANN_R,0)")</f>
        <v/>
      </c>
      <c r="H41" s="436" t="str" cm="1">
        <f t="array" ref="H41">_xll.FDSB(D41,"FF_EMP_NUM(ANN,0)")</f>
        <v/>
      </c>
      <c r="I41" s="437" t="str" cm="1">
        <f t="array" ref="I41">_xll.FDSRB(D41,"OS_TOP_HLDR_ULTPRNT(1,0D,,MTD,,F,SEC)[0]")</f>
        <v/>
      </c>
      <c r="J41" s="437" t="str" cm="1">
        <f t="array" ref="J41">_xll.FDSRB(D41,"FF_BUS_DESC_EXT")</f>
        <v/>
      </c>
      <c r="K41" s="437" t="str" cm="1">
        <f t="array" ref="K41">_xll.FDSB(D41,"HOMEPAGE")</f>
        <v/>
      </c>
      <c r="L41" s="437" t="str" cm="1">
        <f t="array" ref="L41">_xll.FDSB(D41,"FG_EXCHANGE")</f>
        <v/>
      </c>
      <c r="M41" s="438" t="str">
        <f t="shared" si="0"/>
        <v/>
      </c>
      <c r="N41" s="461"/>
      <c r="O41" s="462"/>
    </row>
    <row r="42" spans="1:15" s="440" customFormat="1" ht="66.75" customHeight="1">
      <c r="A42" s="459"/>
      <c r="B42" s="432"/>
      <c r="C42" s="460"/>
      <c r="D42" s="432" t="str" cm="1">
        <f t="array" ref="D42">_xll.FDSB(B42,"P_SYMBOL")</f>
        <v/>
      </c>
      <c r="E42" s="433" t="str" cm="1">
        <f t="array" ref="E42">_xll.FDSB(D42,"FF_CO_NAME")</f>
        <v/>
      </c>
      <c r="F42" s="434" t="str" cm="1">
        <f t="array" ref="F42">_xll.FDSB(D42,"FF_ADDRESS")&amp;" "&amp;_xll.FDSB(D42,"FF_ADDRESS2")&amp;" "&amp;_xll.FDSB(D42,"FF_CITY")&amp;" "&amp;_xll.FDSB(D42,"FF_POSTAL")&amp;" "&amp;_xll.FDSB(D42,"FF_STATE_PROVINCE")&amp;" "&amp;_xll.FDSB(D42,"FF_COUNTRY")</f>
        <v xml:space="preserve">     </v>
      </c>
      <c r="G42" s="436" t="str" cm="1">
        <f t="array" ref="G42">_xll.FDSB(D42,"FF_SALES(ANN_R,0)")</f>
        <v/>
      </c>
      <c r="H42" s="436" t="str" cm="1">
        <f t="array" ref="H42">_xll.FDSB(D42,"FF_EMP_NUM(ANN,0)")</f>
        <v/>
      </c>
      <c r="I42" s="437" t="str" cm="1">
        <f t="array" ref="I42">_xll.FDSRB(D42,"OS_TOP_HLDR_ULTPRNT(1,0D,,MTD,,F,SEC)[0]")</f>
        <v/>
      </c>
      <c r="J42" s="437" t="str" cm="1">
        <f t="array" ref="J42">_xll.FDSRB(D42,"FF_BUS_DESC_EXT")</f>
        <v/>
      </c>
      <c r="K42" s="437" t="str" cm="1">
        <f t="array" ref="K42">_xll.FDSB(D42,"HOMEPAGE")</f>
        <v/>
      </c>
      <c r="L42" s="437" t="str" cm="1">
        <f t="array" ref="L42">_xll.FDSB(D42,"FG_EXCHANGE")</f>
        <v/>
      </c>
      <c r="M42" s="438" t="str">
        <f t="shared" si="0"/>
        <v/>
      </c>
      <c r="N42" s="461"/>
      <c r="O42" s="461"/>
    </row>
    <row r="43" spans="1:15" s="440" customFormat="1" ht="66.75" customHeight="1">
      <c r="A43" s="459"/>
      <c r="B43" s="432"/>
      <c r="C43" s="460"/>
      <c r="D43" s="432" t="str" cm="1">
        <f t="array" ref="D43">_xll.FDSB(B43,"P_SYMBOL")</f>
        <v/>
      </c>
      <c r="E43" s="433" t="str" cm="1">
        <f t="array" ref="E43">_xll.FDSB(D43,"FF_CO_NAME")</f>
        <v/>
      </c>
      <c r="F43" s="434" t="str" cm="1">
        <f t="array" ref="F43">_xll.FDSB(D43,"FF_ADDRESS")&amp;" "&amp;_xll.FDSB(D43,"FF_ADDRESS2")&amp;" "&amp;_xll.FDSB(D43,"FF_CITY")&amp;" "&amp;_xll.FDSB(D43,"FF_POSTAL")&amp;" "&amp;_xll.FDSB(D43,"FF_STATE_PROVINCE")&amp;" "&amp;_xll.FDSB(D43,"FF_COUNTRY")</f>
        <v xml:space="preserve">     </v>
      </c>
      <c r="G43" s="436" t="str" cm="1">
        <f t="array" ref="G43">_xll.FDSB(D43,"FF_SALES(ANN_R,0)")</f>
        <v/>
      </c>
      <c r="H43" s="436" t="str" cm="1">
        <f t="array" ref="H43">_xll.FDSB(D43,"FF_EMP_NUM(ANN,0)")</f>
        <v/>
      </c>
      <c r="I43" s="437" t="str" cm="1">
        <f t="array" ref="I43">_xll.FDSRB(D43,"OS_TOP_HLDR_ULTPRNT(1,0D,,MTD,,F,SEC)[0]")</f>
        <v/>
      </c>
      <c r="J43" s="437" t="str" cm="1">
        <f t="array" ref="J43">_xll.FDSRB(D43,"FF_BUS_DESC_EXT")</f>
        <v/>
      </c>
      <c r="K43" s="437" t="str" cm="1">
        <f t="array" ref="K43">_xll.FDSB(D43,"HOMEPAGE")</f>
        <v/>
      </c>
      <c r="L43" s="437" t="str" cm="1">
        <f t="array" ref="L43">_xll.FDSB(D43,"FG_EXCHANGE")</f>
        <v/>
      </c>
      <c r="M43" s="438" t="str">
        <f t="shared" si="0"/>
        <v/>
      </c>
      <c r="N43" s="461"/>
      <c r="O43" s="462"/>
    </row>
    <row r="44" spans="1:15" s="440" customFormat="1" ht="66.75" customHeight="1">
      <c r="A44" s="459"/>
      <c r="B44" s="432"/>
      <c r="C44" s="460"/>
      <c r="D44" s="432" t="str" cm="1">
        <f t="array" ref="D44">_xll.FDSB(B44,"P_SYMBOL")</f>
        <v/>
      </c>
      <c r="E44" s="433" t="str" cm="1">
        <f t="array" ref="E44">_xll.FDSB(D44,"FF_CO_NAME")</f>
        <v/>
      </c>
      <c r="F44" s="434" t="str" cm="1">
        <f t="array" ref="F44">_xll.FDSB(D44,"FF_ADDRESS")&amp;" "&amp;_xll.FDSB(D44,"FF_ADDRESS2")&amp;" "&amp;_xll.FDSB(D44,"FF_CITY")&amp;" "&amp;_xll.FDSB(D44,"FF_POSTAL")&amp;" "&amp;_xll.FDSB(D44,"FF_STATE_PROVINCE")&amp;" "&amp;_xll.FDSB(D44,"FF_COUNTRY")</f>
        <v xml:space="preserve">     </v>
      </c>
      <c r="G44" s="436" t="str" cm="1">
        <f t="array" ref="G44">_xll.FDSB(D44,"FF_SALES(ANN_R,0)")</f>
        <v/>
      </c>
      <c r="H44" s="436" t="str" cm="1">
        <f t="array" ref="H44">_xll.FDSB(D44,"FF_EMP_NUM(ANN,0)")</f>
        <v/>
      </c>
      <c r="I44" s="437" t="str" cm="1">
        <f t="array" ref="I44">_xll.FDSRB(D44,"OS_TOP_HLDR_ULTPRNT(1,0D,,MTD,,F,SEC)[0]")</f>
        <v/>
      </c>
      <c r="J44" s="437" t="str" cm="1">
        <f t="array" ref="J44">_xll.FDSRB(D44,"FF_BUS_DESC_EXT")</f>
        <v/>
      </c>
      <c r="K44" s="437" t="str" cm="1">
        <f t="array" ref="K44">_xll.FDSB(D44,"HOMEPAGE")</f>
        <v/>
      </c>
      <c r="L44" s="437" t="str" cm="1">
        <f t="array" ref="L44">_xll.FDSB(D44,"FG_EXCHANGE")</f>
        <v/>
      </c>
      <c r="M44" s="438" t="str">
        <f t="shared" si="0"/>
        <v/>
      </c>
      <c r="N44" s="461"/>
      <c r="O44" s="461"/>
    </row>
    <row r="45" spans="1:15" s="440" customFormat="1" ht="66.75" customHeight="1">
      <c r="A45" s="459"/>
      <c r="B45" s="432"/>
      <c r="C45" s="460"/>
      <c r="D45" s="432" t="str" cm="1">
        <f t="array" ref="D45">_xll.FDSB(B45,"P_SYMBOL")</f>
        <v/>
      </c>
      <c r="E45" s="433" t="str" cm="1">
        <f t="array" ref="E45">_xll.FDSB(D45,"FF_CO_NAME")</f>
        <v/>
      </c>
      <c r="F45" s="434" t="str" cm="1">
        <f t="array" ref="F45">_xll.FDSB(D45,"FF_ADDRESS")&amp;" "&amp;_xll.FDSB(D45,"FF_ADDRESS2")&amp;" "&amp;_xll.FDSB(D45,"FF_CITY")&amp;" "&amp;_xll.FDSB(D45,"FF_POSTAL")&amp;" "&amp;_xll.FDSB(D45,"FF_STATE_PROVINCE")&amp;" "&amp;_xll.FDSB(D45,"FF_COUNTRY")</f>
        <v xml:space="preserve">     </v>
      </c>
      <c r="G45" s="436" t="str" cm="1">
        <f t="array" ref="G45">_xll.FDSB(D45,"FF_SALES(ANN_R,0)")</f>
        <v/>
      </c>
      <c r="H45" s="436" t="str" cm="1">
        <f t="array" ref="H45">_xll.FDSB(D45,"FF_EMP_NUM(ANN,0)")</f>
        <v/>
      </c>
      <c r="I45" s="437" t="str" cm="1">
        <f t="array" ref="I45">_xll.FDSRB(D45,"OS_TOP_HLDR_ULTPRNT(1,0D,,MTD,,F,SEC)[0]")</f>
        <v/>
      </c>
      <c r="J45" s="437" t="str" cm="1">
        <f t="array" ref="J45">_xll.FDSRB(D45,"FF_BUS_DESC_EXT")</f>
        <v/>
      </c>
      <c r="K45" s="437" t="str" cm="1">
        <f t="array" ref="K45">_xll.FDSB(D45,"HOMEPAGE")</f>
        <v/>
      </c>
      <c r="L45" s="437" t="str" cm="1">
        <f t="array" ref="L45">_xll.FDSB(D45,"FG_EXCHANGE")</f>
        <v/>
      </c>
      <c r="M45" s="438" t="str">
        <f t="shared" si="0"/>
        <v/>
      </c>
      <c r="N45" s="461"/>
      <c r="O45" s="462"/>
    </row>
    <row r="46" spans="1:15" s="440" customFormat="1" ht="66.75" customHeight="1">
      <c r="A46" s="459"/>
      <c r="B46" s="432"/>
      <c r="C46" s="460"/>
      <c r="D46" s="432" t="str" cm="1">
        <f t="array" ref="D46">_xll.FDSB(B46,"P_SYMBOL")</f>
        <v/>
      </c>
      <c r="E46" s="433" t="str" cm="1">
        <f t="array" ref="E46">_xll.FDSB(D46,"FF_CO_NAME")</f>
        <v/>
      </c>
      <c r="F46" s="434" t="str" cm="1">
        <f t="array" ref="F46">_xll.FDSB(D46,"FF_ADDRESS")&amp;" "&amp;_xll.FDSB(D46,"FF_ADDRESS2")&amp;" "&amp;_xll.FDSB(D46,"FF_CITY")&amp;" "&amp;_xll.FDSB(D46,"FF_POSTAL")&amp;" "&amp;_xll.FDSB(D46,"FF_STATE_PROVINCE")&amp;" "&amp;_xll.FDSB(D46,"FF_COUNTRY")</f>
        <v xml:space="preserve">     </v>
      </c>
      <c r="G46" s="436" t="str" cm="1">
        <f t="array" ref="G46">_xll.FDSB(D46,"FF_SALES(ANN_R,0)")</f>
        <v/>
      </c>
      <c r="H46" s="436" t="str" cm="1">
        <f t="array" ref="H46">_xll.FDSB(D46,"FF_EMP_NUM(ANN,0)")</f>
        <v/>
      </c>
      <c r="I46" s="437" t="str" cm="1">
        <f t="array" ref="I46">_xll.FDSRB(D46,"OS_TOP_HLDR_ULTPRNT(1,0D,,MTD,,F,SEC)[0]")</f>
        <v/>
      </c>
      <c r="J46" s="437" t="str" cm="1">
        <f t="array" ref="J46">_xll.FDSRB(D46,"FF_BUS_DESC_EXT")</f>
        <v/>
      </c>
      <c r="K46" s="437" t="str" cm="1">
        <f t="array" ref="K46">_xll.FDSB(D46,"HOMEPAGE")</f>
        <v/>
      </c>
      <c r="L46" s="437" t="str" cm="1">
        <f t="array" ref="L46">_xll.FDSB(D46,"FG_EXCHANGE")</f>
        <v/>
      </c>
      <c r="M46" s="438" t="str">
        <f t="shared" si="0"/>
        <v/>
      </c>
      <c r="N46" s="461"/>
      <c r="O46" s="461"/>
    </row>
    <row r="47" spans="1:15" s="440" customFormat="1" ht="66.75" customHeight="1">
      <c r="A47" s="459"/>
      <c r="B47" s="432"/>
      <c r="C47" s="460"/>
      <c r="D47" s="432" t="str" cm="1">
        <f t="array" ref="D47">_xll.FDSB(B47,"P_SYMBOL")</f>
        <v/>
      </c>
      <c r="E47" s="433" t="str" cm="1">
        <f t="array" ref="E47">_xll.FDSB(D47,"FF_CO_NAME")</f>
        <v/>
      </c>
      <c r="F47" s="434" t="str" cm="1">
        <f t="array" ref="F47">_xll.FDSB(D47,"FF_ADDRESS")&amp;" "&amp;_xll.FDSB(D47,"FF_ADDRESS2")&amp;" "&amp;_xll.FDSB(D47,"FF_CITY")&amp;" "&amp;_xll.FDSB(D47,"FF_POSTAL")&amp;" "&amp;_xll.FDSB(D47,"FF_STATE_PROVINCE")&amp;" "&amp;_xll.FDSB(D47,"FF_COUNTRY")</f>
        <v xml:space="preserve">     </v>
      </c>
      <c r="G47" s="436" t="str" cm="1">
        <f t="array" ref="G47">_xll.FDSB(D47,"FF_SALES(ANN_R,0)")</f>
        <v/>
      </c>
      <c r="H47" s="436" t="str" cm="1">
        <f t="array" ref="H47">_xll.FDSB(D47,"FF_EMP_NUM(ANN,0)")</f>
        <v/>
      </c>
      <c r="I47" s="437" t="str" cm="1">
        <f t="array" ref="I47">_xll.FDSRB(D47,"OS_TOP_HLDR_ULTPRNT(1,0D,,MTD,,F,SEC)[0]")</f>
        <v/>
      </c>
      <c r="J47" s="437" t="str" cm="1">
        <f t="array" ref="J47">_xll.FDSRB(D47,"FF_BUS_DESC_EXT")</f>
        <v/>
      </c>
      <c r="K47" s="437" t="str" cm="1">
        <f t="array" ref="K47">_xll.FDSB(D47,"HOMEPAGE")</f>
        <v/>
      </c>
      <c r="L47" s="437" t="str" cm="1">
        <f t="array" ref="L47">_xll.FDSB(D47,"FG_EXCHANGE")</f>
        <v/>
      </c>
      <c r="M47" s="438" t="str">
        <f t="shared" si="0"/>
        <v/>
      </c>
      <c r="N47" s="461"/>
      <c r="O47" s="462"/>
    </row>
    <row r="48" spans="1:15" s="440" customFormat="1" ht="66.75" customHeight="1">
      <c r="A48" s="459"/>
      <c r="B48" s="432"/>
      <c r="C48" s="460"/>
      <c r="D48" s="432" t="str" cm="1">
        <f t="array" ref="D48">_xll.FDSB(B48,"P_SYMBOL")</f>
        <v/>
      </c>
      <c r="E48" s="433" t="str" cm="1">
        <f t="array" ref="E48">_xll.FDSB(D48,"FF_CO_NAME")</f>
        <v/>
      </c>
      <c r="F48" s="434" t="str" cm="1">
        <f t="array" ref="F48">_xll.FDSB(D48,"FF_ADDRESS")&amp;" "&amp;_xll.FDSB(D48,"FF_ADDRESS2")&amp;" "&amp;_xll.FDSB(D48,"FF_CITY")&amp;" "&amp;_xll.FDSB(D48,"FF_POSTAL")&amp;" "&amp;_xll.FDSB(D48,"FF_STATE_PROVINCE")&amp;" "&amp;_xll.FDSB(D48,"FF_COUNTRY")</f>
        <v xml:space="preserve">     </v>
      </c>
      <c r="G48" s="436" t="str" cm="1">
        <f t="array" ref="G48">_xll.FDSB(D48,"FF_SALES(ANN_R,0)")</f>
        <v/>
      </c>
      <c r="H48" s="436" t="str" cm="1">
        <f t="array" ref="H48">_xll.FDSB(D48,"FF_EMP_NUM(ANN,0)")</f>
        <v/>
      </c>
      <c r="I48" s="437" t="str" cm="1">
        <f t="array" ref="I48">_xll.FDSRB(D48,"OS_TOP_HLDR_ULTPRNT(1,0D,,MTD,,F,SEC)[0]")</f>
        <v/>
      </c>
      <c r="J48" s="437" t="str" cm="1">
        <f t="array" ref="J48">_xll.FDSRB(D48,"FF_BUS_DESC_EXT")</f>
        <v/>
      </c>
      <c r="K48" s="437" t="str" cm="1">
        <f t="array" ref="K48">_xll.FDSB(D48,"HOMEPAGE")</f>
        <v/>
      </c>
      <c r="L48" s="437" t="str" cm="1">
        <f t="array" ref="L48">_xll.FDSB(D48,"FG_EXCHANGE")</f>
        <v/>
      </c>
      <c r="M48" s="438" t="str">
        <f t="shared" si="0"/>
        <v/>
      </c>
      <c r="N48" s="461"/>
      <c r="O48" s="461"/>
    </row>
    <row r="49" spans="1:15" s="440" customFormat="1" ht="66.75" customHeight="1">
      <c r="A49" s="459"/>
      <c r="B49" s="432"/>
      <c r="C49" s="460"/>
      <c r="D49" s="432" t="str" cm="1">
        <f t="array" ref="D49">_xll.FDSB(B49,"P_SYMBOL")</f>
        <v/>
      </c>
      <c r="E49" s="433" t="str" cm="1">
        <f t="array" ref="E49">_xll.FDSB(D49,"FF_CO_NAME")</f>
        <v/>
      </c>
      <c r="F49" s="434" t="str" cm="1">
        <f t="array" ref="F49">_xll.FDSB(D49,"FF_ADDRESS")&amp;" "&amp;_xll.FDSB(D49,"FF_ADDRESS2")&amp;" "&amp;_xll.FDSB(D49,"FF_CITY")&amp;" "&amp;_xll.FDSB(D49,"FF_POSTAL")&amp;" "&amp;_xll.FDSB(D49,"FF_STATE_PROVINCE")&amp;" "&amp;_xll.FDSB(D49,"FF_COUNTRY")</f>
        <v xml:space="preserve">     </v>
      </c>
      <c r="G49" s="436" t="str" cm="1">
        <f t="array" ref="G49">_xll.FDSB(D49,"FF_SALES(ANN_R,0)")</f>
        <v/>
      </c>
      <c r="H49" s="436" t="str" cm="1">
        <f t="array" ref="H49">_xll.FDSB(D49,"FF_EMP_NUM(ANN,0)")</f>
        <v/>
      </c>
      <c r="I49" s="437" t="str" cm="1">
        <f t="array" ref="I49">_xll.FDSRB(D49,"OS_TOP_HLDR_ULTPRNT(1,0D,,MTD,,F,SEC)[0]")</f>
        <v/>
      </c>
      <c r="J49" s="437" t="str" cm="1">
        <f t="array" ref="J49">_xll.FDSRB(D49,"FF_BUS_DESC_EXT")</f>
        <v/>
      </c>
      <c r="K49" s="437" t="str" cm="1">
        <f t="array" ref="K49">_xll.FDSB(D49,"HOMEPAGE")</f>
        <v/>
      </c>
      <c r="L49" s="437" t="str" cm="1">
        <f t="array" ref="L49">_xll.FDSB(D49,"FG_EXCHANGE")</f>
        <v/>
      </c>
      <c r="M49" s="438" t="str">
        <f t="shared" si="0"/>
        <v/>
      </c>
      <c r="N49" s="461"/>
      <c r="O49" s="462"/>
    </row>
    <row r="50" spans="1:15" s="440" customFormat="1" ht="66.75" customHeight="1">
      <c r="A50" s="459"/>
      <c r="B50" s="432"/>
      <c r="C50" s="460"/>
      <c r="D50" s="432" t="str" cm="1">
        <f t="array" ref="D50">_xll.FDSB(B50,"P_SYMBOL")</f>
        <v/>
      </c>
      <c r="E50" s="433" t="str" cm="1">
        <f t="array" ref="E50">_xll.FDSB(D50,"FF_CO_NAME")</f>
        <v/>
      </c>
      <c r="F50" s="434" t="str" cm="1">
        <f t="array" ref="F50">_xll.FDSB(D50,"FF_ADDRESS")&amp;" "&amp;_xll.FDSB(D50,"FF_ADDRESS2")&amp;" "&amp;_xll.FDSB(D50,"FF_CITY")&amp;" "&amp;_xll.FDSB(D50,"FF_POSTAL")&amp;" "&amp;_xll.FDSB(D50,"FF_STATE_PROVINCE")&amp;" "&amp;_xll.FDSB(D50,"FF_COUNTRY")</f>
        <v xml:space="preserve">     </v>
      </c>
      <c r="G50" s="436" t="str" cm="1">
        <f t="array" ref="G50">_xll.FDSB(D50,"FF_SALES(ANN_R,0)")</f>
        <v/>
      </c>
      <c r="H50" s="436" t="str" cm="1">
        <f t="array" ref="H50">_xll.FDSB(D50,"FF_EMP_NUM(ANN,0)")</f>
        <v/>
      </c>
      <c r="I50" s="437" t="str" cm="1">
        <f t="array" ref="I50">_xll.FDSRB(D50,"OS_TOP_HLDR_ULTPRNT(1,0D,,MTD,,F,SEC)[0]")</f>
        <v/>
      </c>
      <c r="J50" s="437" t="str" cm="1">
        <f t="array" ref="J50">_xll.FDSRB(D50,"FF_BUS_DESC_EXT")</f>
        <v/>
      </c>
      <c r="K50" s="437" t="str" cm="1">
        <f t="array" ref="K50">_xll.FDSB(D50,"HOMEPAGE")</f>
        <v/>
      </c>
      <c r="L50" s="437" t="str" cm="1">
        <f t="array" ref="L50">_xll.FDSB(D50,"FG_EXCHANGE")</f>
        <v/>
      </c>
      <c r="M50" s="438" t="str">
        <f t="shared" si="0"/>
        <v/>
      </c>
      <c r="N50" s="461"/>
      <c r="O50" s="461"/>
    </row>
    <row r="51" spans="1:15" s="440" customFormat="1" ht="66.75" customHeight="1">
      <c r="A51" s="459"/>
      <c r="B51" s="432"/>
      <c r="C51" s="460"/>
      <c r="D51" s="432" t="str" cm="1">
        <f t="array" ref="D51">_xll.FDSB(B51,"P_SYMBOL")</f>
        <v/>
      </c>
      <c r="E51" s="433" t="str" cm="1">
        <f t="array" ref="E51">_xll.FDSB(D51,"FF_CO_NAME")</f>
        <v/>
      </c>
      <c r="F51" s="434" t="str" cm="1">
        <f t="array" ref="F51">_xll.FDSB(D51,"FF_ADDRESS")&amp;" "&amp;_xll.FDSB(D51,"FF_ADDRESS2")&amp;" "&amp;_xll.FDSB(D51,"FF_CITY")&amp;" "&amp;_xll.FDSB(D51,"FF_POSTAL")&amp;" "&amp;_xll.FDSB(D51,"FF_STATE_PROVINCE")&amp;" "&amp;_xll.FDSB(D51,"FF_COUNTRY")</f>
        <v xml:space="preserve">     </v>
      </c>
      <c r="G51" s="436" t="str" cm="1">
        <f t="array" ref="G51">_xll.FDSB(D51,"FF_SALES(ANN_R,0)")</f>
        <v/>
      </c>
      <c r="H51" s="436" t="str" cm="1">
        <f t="array" ref="H51">_xll.FDSB(D51,"FF_EMP_NUM(ANN,0)")</f>
        <v/>
      </c>
      <c r="I51" s="437" t="str" cm="1">
        <f t="array" ref="I51">_xll.FDSRB(D51,"OS_TOP_HLDR_ULTPRNT(1,0D,,MTD,,F,SEC)[0]")</f>
        <v/>
      </c>
      <c r="J51" s="437" t="str" cm="1">
        <f t="array" ref="J51">_xll.FDSRB(D51,"FF_BUS_DESC_EXT")</f>
        <v/>
      </c>
      <c r="K51" s="437" t="str" cm="1">
        <f t="array" ref="K51">_xll.FDSB(D51,"HOMEPAGE")</f>
        <v/>
      </c>
      <c r="L51" s="437" t="str" cm="1">
        <f t="array" ref="L51">_xll.FDSB(D51,"FG_EXCHANGE")</f>
        <v/>
      </c>
      <c r="M51" s="438" t="str">
        <f t="shared" si="0"/>
        <v/>
      </c>
      <c r="N51" s="461"/>
      <c r="O51" s="462"/>
    </row>
    <row r="52" spans="1:15" s="440" customFormat="1" ht="66.75" customHeight="1">
      <c r="A52" s="459"/>
      <c r="B52" s="432"/>
      <c r="C52" s="460"/>
      <c r="D52" s="432" t="str" cm="1">
        <f t="array" ref="D52">_xll.FDSB(B52,"P_SYMBOL")</f>
        <v/>
      </c>
      <c r="E52" s="433" t="str" cm="1">
        <f t="array" ref="E52">_xll.FDSB(D52,"FF_CO_NAME")</f>
        <v/>
      </c>
      <c r="F52" s="434" t="str" cm="1">
        <f t="array" ref="F52">_xll.FDSB(D52,"FF_ADDRESS")&amp;" "&amp;_xll.FDSB(D52,"FF_ADDRESS2")&amp;" "&amp;_xll.FDSB(D52,"FF_CITY")&amp;" "&amp;_xll.FDSB(D52,"FF_POSTAL")&amp;" "&amp;_xll.FDSB(D52,"FF_STATE_PROVINCE")&amp;" "&amp;_xll.FDSB(D52,"FF_COUNTRY")</f>
        <v xml:space="preserve">     </v>
      </c>
      <c r="G52" s="436" t="str" cm="1">
        <f t="array" ref="G52">_xll.FDSB(D52,"FF_SALES(ANN_R,0)")</f>
        <v/>
      </c>
      <c r="H52" s="436" t="str" cm="1">
        <f t="array" ref="H52">_xll.FDSB(D52,"FF_EMP_NUM(ANN,0)")</f>
        <v/>
      </c>
      <c r="I52" s="437" t="str" cm="1">
        <f t="array" ref="I52">_xll.FDSRB(D52,"OS_TOP_HLDR_ULTPRNT(1,0D,,MTD,,F,SEC)[0]")</f>
        <v/>
      </c>
      <c r="J52" s="437" t="str" cm="1">
        <f t="array" ref="J52">_xll.FDSRB(D52,"FF_BUS_DESC_EXT")</f>
        <v/>
      </c>
      <c r="K52" s="437" t="str" cm="1">
        <f t="array" ref="K52">_xll.FDSB(D52,"HOMEPAGE")</f>
        <v/>
      </c>
      <c r="L52" s="437" t="str" cm="1">
        <f t="array" ref="L52">_xll.FDSB(D52,"FG_EXCHANGE")</f>
        <v/>
      </c>
      <c r="M52" s="438" t="str">
        <f t="shared" si="0"/>
        <v/>
      </c>
      <c r="N52" s="461"/>
      <c r="O52" s="461"/>
    </row>
    <row r="53" spans="1:15" s="440" customFormat="1" ht="66.75" customHeight="1">
      <c r="A53" s="459"/>
      <c r="B53" s="432"/>
      <c r="C53" s="460"/>
      <c r="D53" s="432" t="str" cm="1">
        <f t="array" ref="D53">_xll.FDSB(B53,"P_SYMBOL")</f>
        <v/>
      </c>
      <c r="E53" s="433" t="str" cm="1">
        <f t="array" ref="E53">_xll.FDSB(D53,"FF_CO_NAME")</f>
        <v/>
      </c>
      <c r="F53" s="434" t="str" cm="1">
        <f t="array" ref="F53">_xll.FDSB(D53,"FF_ADDRESS")&amp;" "&amp;_xll.FDSB(D53,"FF_ADDRESS2")&amp;" "&amp;_xll.FDSB(D53,"FF_CITY")&amp;" "&amp;_xll.FDSB(D53,"FF_POSTAL")&amp;" "&amp;_xll.FDSB(D53,"FF_STATE_PROVINCE")&amp;" "&amp;_xll.FDSB(D53,"FF_COUNTRY")</f>
        <v xml:space="preserve">     </v>
      </c>
      <c r="G53" s="436" t="str" cm="1">
        <f t="array" ref="G53">_xll.FDSB(D53,"FF_SALES(ANN_R,0)")</f>
        <v/>
      </c>
      <c r="H53" s="436" t="str" cm="1">
        <f t="array" ref="H53">_xll.FDSB(D53,"FF_EMP_NUM(ANN,0)")</f>
        <v/>
      </c>
      <c r="I53" s="437" t="str" cm="1">
        <f t="array" ref="I53">_xll.FDSRB(D53,"OS_TOP_HLDR_ULTPRNT(1,0D,,MTD,,F,SEC)[0]")</f>
        <v/>
      </c>
      <c r="J53" s="437" t="str" cm="1">
        <f t="array" ref="J53">_xll.FDSRB(D53,"FF_BUS_DESC_EXT")</f>
        <v/>
      </c>
      <c r="K53" s="437" t="str" cm="1">
        <f t="array" ref="K53">_xll.FDSB(D53,"HOMEPAGE")</f>
        <v/>
      </c>
      <c r="L53" s="437" t="str" cm="1">
        <f t="array" ref="L53">_xll.FDSB(D53,"FG_EXCHANGE")</f>
        <v/>
      </c>
      <c r="M53" s="438" t="str">
        <f t="shared" si="0"/>
        <v/>
      </c>
      <c r="N53" s="461"/>
      <c r="O53" s="462"/>
    </row>
    <row r="54" spans="1:15" s="440" customFormat="1" ht="66.75" customHeight="1">
      <c r="A54" s="459"/>
      <c r="B54" s="432"/>
      <c r="C54" s="460"/>
      <c r="D54" s="432" t="str" cm="1">
        <f t="array" ref="D54">_xll.FDSB(B54,"P_SYMBOL")</f>
        <v/>
      </c>
      <c r="E54" s="433" t="str" cm="1">
        <f t="array" ref="E54">_xll.FDSB(D54,"FF_CO_NAME")</f>
        <v/>
      </c>
      <c r="F54" s="434" t="str" cm="1">
        <f t="array" ref="F54">_xll.FDSB(D54,"FF_ADDRESS")&amp;" "&amp;_xll.FDSB(D54,"FF_ADDRESS2")&amp;" "&amp;_xll.FDSB(D54,"FF_CITY")&amp;" "&amp;_xll.FDSB(D54,"FF_POSTAL")&amp;" "&amp;_xll.FDSB(D54,"FF_STATE_PROVINCE")&amp;" "&amp;_xll.FDSB(D54,"FF_COUNTRY")</f>
        <v xml:space="preserve">     </v>
      </c>
      <c r="G54" s="436" t="str" cm="1">
        <f t="array" ref="G54">_xll.FDSB(D54,"FF_SALES(ANN_R,0)")</f>
        <v/>
      </c>
      <c r="H54" s="436" t="str" cm="1">
        <f t="array" ref="H54">_xll.FDSB(D54,"FF_EMP_NUM(ANN,0)")</f>
        <v/>
      </c>
      <c r="I54" s="437" t="str" cm="1">
        <f t="array" ref="I54">_xll.FDSRB(D54,"OS_TOP_HLDR_ULTPRNT(1,0D,,MTD,,F,SEC)[0]")</f>
        <v/>
      </c>
      <c r="J54" s="437" t="str" cm="1">
        <f t="array" ref="J54">_xll.FDSRB(D54,"FF_BUS_DESC_EXT")</f>
        <v/>
      </c>
      <c r="K54" s="437" t="str" cm="1">
        <f t="array" ref="K54">_xll.FDSB(D54,"HOMEPAGE")</f>
        <v/>
      </c>
      <c r="L54" s="437" t="str" cm="1">
        <f t="array" ref="L54">_xll.FDSB(D54,"FG_EXCHANGE")</f>
        <v/>
      </c>
      <c r="M54" s="438" t="str">
        <f t="shared" si="0"/>
        <v/>
      </c>
      <c r="N54" s="461"/>
      <c r="O54" s="461"/>
    </row>
    <row r="55" spans="1:15" s="440" customFormat="1" ht="66.75" customHeight="1">
      <c r="A55" s="459"/>
      <c r="B55" s="432"/>
      <c r="C55" s="460"/>
      <c r="D55" s="432" t="str" cm="1">
        <f t="array" ref="D55">_xll.FDSB(B55,"P_SYMBOL")</f>
        <v/>
      </c>
      <c r="E55" s="433" t="str" cm="1">
        <f t="array" ref="E55">_xll.FDSB(D55,"FF_CO_NAME")</f>
        <v/>
      </c>
      <c r="F55" s="434" t="str" cm="1">
        <f t="array" ref="F55">_xll.FDSB(D55,"FF_ADDRESS")&amp;" "&amp;_xll.FDSB(D55,"FF_ADDRESS2")&amp;" "&amp;_xll.FDSB(D55,"FF_CITY")&amp;" "&amp;_xll.FDSB(D55,"FF_POSTAL")&amp;" "&amp;_xll.FDSB(D55,"FF_STATE_PROVINCE")&amp;" "&amp;_xll.FDSB(D55,"FF_COUNTRY")</f>
        <v xml:space="preserve">     </v>
      </c>
      <c r="G55" s="436" t="str" cm="1">
        <f t="array" ref="G55">_xll.FDSB(D55,"FF_SALES(ANN_R,0)")</f>
        <v/>
      </c>
      <c r="H55" s="436" t="str" cm="1">
        <f t="array" ref="H55">_xll.FDSB(D55,"FF_EMP_NUM(ANN,0)")</f>
        <v/>
      </c>
      <c r="I55" s="437" t="str" cm="1">
        <f t="array" ref="I55">_xll.FDSRB(D55,"OS_TOP_HLDR_ULTPRNT(1,0D,,MTD,,F,SEC)[0]")</f>
        <v/>
      </c>
      <c r="J55" s="437" t="str" cm="1">
        <f t="array" ref="J55">_xll.FDSRB(D55,"FF_BUS_DESC_EXT")</f>
        <v/>
      </c>
      <c r="K55" s="437" t="str" cm="1">
        <f t="array" ref="K55">_xll.FDSB(D55,"HOMEPAGE")</f>
        <v/>
      </c>
      <c r="L55" s="437" t="str" cm="1">
        <f t="array" ref="L55">_xll.FDSB(D55,"FG_EXCHANGE")</f>
        <v/>
      </c>
      <c r="M55" s="438" t="str">
        <f t="shared" si="0"/>
        <v/>
      </c>
      <c r="N55" s="461"/>
      <c r="O55" s="462"/>
    </row>
    <row r="56" spans="1:15" s="440" customFormat="1" ht="66.75" customHeight="1">
      <c r="A56" s="459"/>
      <c r="B56" s="432"/>
      <c r="C56" s="460"/>
      <c r="D56" s="432" t="str" cm="1">
        <f t="array" ref="D56">_xll.FDSB(B56,"P_SYMBOL")</f>
        <v/>
      </c>
      <c r="E56" s="433" t="str" cm="1">
        <f t="array" ref="E56">_xll.FDSB(D56,"FF_CO_NAME")</f>
        <v/>
      </c>
      <c r="F56" s="434" t="str" cm="1">
        <f t="array" ref="F56">_xll.FDSB(D56,"FF_ADDRESS")&amp;" "&amp;_xll.FDSB(D56,"FF_ADDRESS2")&amp;" "&amp;_xll.FDSB(D56,"FF_CITY")&amp;" "&amp;_xll.FDSB(D56,"FF_POSTAL")&amp;" "&amp;_xll.FDSB(D56,"FF_STATE_PROVINCE")&amp;" "&amp;_xll.FDSB(D56,"FF_COUNTRY")</f>
        <v xml:space="preserve">     </v>
      </c>
      <c r="G56" s="436" t="str" cm="1">
        <f t="array" ref="G56">_xll.FDSB(D56,"FF_SALES(ANN_R,0)")</f>
        <v/>
      </c>
      <c r="H56" s="436" t="str" cm="1">
        <f t="array" ref="H56">_xll.FDSB(D56,"FF_EMP_NUM(ANN,0)")</f>
        <v/>
      </c>
      <c r="I56" s="437" t="str" cm="1">
        <f t="array" ref="I56">_xll.FDSRB(D56,"OS_TOP_HLDR_ULTPRNT(1,0D,,MTD,,F,SEC)[0]")</f>
        <v/>
      </c>
      <c r="J56" s="437" t="str" cm="1">
        <f t="array" ref="J56">_xll.FDSRB(D56,"FF_BUS_DESC_EXT")</f>
        <v/>
      </c>
      <c r="K56" s="437" t="str" cm="1">
        <f t="array" ref="K56">_xll.FDSB(D56,"HOMEPAGE")</f>
        <v/>
      </c>
      <c r="L56" s="437" t="str" cm="1">
        <f t="array" ref="L56">_xll.FDSB(D56,"FG_EXCHANGE")</f>
        <v/>
      </c>
      <c r="M56" s="438" t="str">
        <f t="shared" si="0"/>
        <v/>
      </c>
      <c r="N56" s="461"/>
      <c r="O56" s="461"/>
    </row>
    <row r="57" spans="1:15" s="440" customFormat="1" ht="66.75" customHeight="1">
      <c r="A57" s="459"/>
      <c r="B57" s="432"/>
      <c r="C57" s="460"/>
      <c r="D57" s="432" t="str" cm="1">
        <f t="array" ref="D57">_xll.FDSB(B57,"P_SYMBOL")</f>
        <v/>
      </c>
      <c r="E57" s="433" t="str" cm="1">
        <f t="array" ref="E57">_xll.FDSB(D57,"FF_CO_NAME")</f>
        <v/>
      </c>
      <c r="F57" s="434" t="str" cm="1">
        <f t="array" ref="F57">_xll.FDSB(D57,"FF_ADDRESS")&amp;" "&amp;_xll.FDSB(D57,"FF_ADDRESS2")&amp;" "&amp;_xll.FDSB(D57,"FF_CITY")&amp;" "&amp;_xll.FDSB(D57,"FF_POSTAL")&amp;" "&amp;_xll.FDSB(D57,"FF_STATE_PROVINCE")&amp;" "&amp;_xll.FDSB(D57,"FF_COUNTRY")</f>
        <v xml:space="preserve">     </v>
      </c>
      <c r="G57" s="436" t="str" cm="1">
        <f t="array" ref="G57">_xll.FDSB(D57,"FF_SALES(ANN_R,0)")</f>
        <v/>
      </c>
      <c r="H57" s="436" t="str" cm="1">
        <f t="array" ref="H57">_xll.FDSB(D57,"FF_EMP_NUM(ANN,0)")</f>
        <v/>
      </c>
      <c r="I57" s="437" t="str" cm="1">
        <f t="array" ref="I57">_xll.FDSRB(D57,"OS_TOP_HLDR_ULTPRNT(1,0D,,MTD,,F,SEC)[0]")</f>
        <v/>
      </c>
      <c r="J57" s="437" t="str" cm="1">
        <f t="array" ref="J57">_xll.FDSRB(D57,"FF_BUS_DESC_EXT")</f>
        <v/>
      </c>
      <c r="K57" s="437" t="str" cm="1">
        <f t="array" ref="K57">_xll.FDSB(D57,"HOMEPAGE")</f>
        <v/>
      </c>
      <c r="L57" s="437" t="str" cm="1">
        <f t="array" ref="L57">_xll.FDSB(D57,"FG_EXCHANGE")</f>
        <v/>
      </c>
      <c r="M57" s="438" t="str">
        <f t="shared" si="0"/>
        <v/>
      </c>
      <c r="N57" s="461"/>
      <c r="O57" s="462"/>
    </row>
    <row r="58" spans="1:15" s="440" customFormat="1" ht="66.75" customHeight="1">
      <c r="A58" s="459"/>
      <c r="B58" s="432"/>
      <c r="C58" s="460"/>
      <c r="D58" s="432" t="str" cm="1">
        <f t="array" ref="D58">_xll.FDSB(B58,"P_SYMBOL")</f>
        <v/>
      </c>
      <c r="E58" s="433" t="str" cm="1">
        <f t="array" ref="E58">_xll.FDSB(D58,"FF_CO_NAME")</f>
        <v/>
      </c>
      <c r="F58" s="434" t="str" cm="1">
        <f t="array" ref="F58">_xll.FDSB(D58,"FF_ADDRESS")&amp;" "&amp;_xll.FDSB(D58,"FF_ADDRESS2")&amp;" "&amp;_xll.FDSB(D58,"FF_CITY")&amp;" "&amp;_xll.FDSB(D58,"FF_POSTAL")&amp;" "&amp;_xll.FDSB(D58,"FF_STATE_PROVINCE")&amp;" "&amp;_xll.FDSB(D58,"FF_COUNTRY")</f>
        <v xml:space="preserve">     </v>
      </c>
      <c r="G58" s="436" t="str" cm="1">
        <f t="array" ref="G58">_xll.FDSB(D58,"FF_SALES(ANN_R,0)")</f>
        <v/>
      </c>
      <c r="H58" s="436" t="str" cm="1">
        <f t="array" ref="H58">_xll.FDSB(D58,"FF_EMP_NUM(ANN,0)")</f>
        <v/>
      </c>
      <c r="I58" s="437" t="str" cm="1">
        <f t="array" ref="I58">_xll.FDSRB(D58,"OS_TOP_HLDR_ULTPRNT(1,0D,,MTD,,F,SEC)[0]")</f>
        <v/>
      </c>
      <c r="J58" s="437" t="str" cm="1">
        <f t="array" ref="J58">_xll.FDSRB(D58,"FF_BUS_DESC_EXT")</f>
        <v/>
      </c>
      <c r="K58" s="437" t="str" cm="1">
        <f t="array" ref="K58">_xll.FDSB(D58,"HOMEPAGE")</f>
        <v/>
      </c>
      <c r="L58" s="437" t="str" cm="1">
        <f t="array" ref="L58">_xll.FDSB(D58,"FG_EXCHANGE")</f>
        <v/>
      </c>
      <c r="M58" s="438" t="str">
        <f t="shared" si="0"/>
        <v/>
      </c>
      <c r="N58" s="461"/>
      <c r="O58" s="461"/>
    </row>
    <row r="59" spans="1:15" s="440" customFormat="1" ht="66.75" customHeight="1">
      <c r="A59" s="459"/>
      <c r="B59" s="432"/>
      <c r="C59" s="460"/>
      <c r="D59" s="432" t="str" cm="1">
        <f t="array" ref="D59">_xll.FDSB(B59,"P_SYMBOL")</f>
        <v/>
      </c>
      <c r="E59" s="433" t="str" cm="1">
        <f t="array" ref="E59">_xll.FDSB(D59,"FF_CO_NAME")</f>
        <v/>
      </c>
      <c r="F59" s="434" t="str" cm="1">
        <f t="array" ref="F59">_xll.FDSB(D59,"FF_ADDRESS")&amp;" "&amp;_xll.FDSB(D59,"FF_ADDRESS2")&amp;" "&amp;_xll.FDSB(D59,"FF_CITY")&amp;" "&amp;_xll.FDSB(D59,"FF_POSTAL")&amp;" "&amp;_xll.FDSB(D59,"FF_STATE_PROVINCE")&amp;" "&amp;_xll.FDSB(D59,"FF_COUNTRY")</f>
        <v xml:space="preserve">     </v>
      </c>
      <c r="G59" s="436" t="str" cm="1">
        <f t="array" ref="G59">_xll.FDSB(D59,"FF_SALES(ANN_R,0)")</f>
        <v/>
      </c>
      <c r="H59" s="436" t="str" cm="1">
        <f t="array" ref="H59">_xll.FDSB(D59,"FF_EMP_NUM(ANN,0)")</f>
        <v/>
      </c>
      <c r="I59" s="437" t="str" cm="1">
        <f t="array" ref="I59">_xll.FDSRB(D59,"OS_TOP_HLDR_ULTPRNT(1,0D,,MTD,,F,SEC)[0]")</f>
        <v/>
      </c>
      <c r="J59" s="437" t="str" cm="1">
        <f t="array" ref="J59">_xll.FDSRB(D59,"FF_BUS_DESC_EXT")</f>
        <v/>
      </c>
      <c r="K59" s="437" t="str" cm="1">
        <f t="array" ref="K59">_xll.FDSB(D59,"HOMEPAGE")</f>
        <v/>
      </c>
      <c r="L59" s="437" t="str" cm="1">
        <f t="array" ref="L59">_xll.FDSB(D59,"FG_EXCHANGE")</f>
        <v/>
      </c>
      <c r="M59" s="438" t="str">
        <f t="shared" si="0"/>
        <v/>
      </c>
      <c r="N59" s="461"/>
      <c r="O59" s="462"/>
    </row>
    <row r="60" spans="1:15" s="440" customFormat="1" ht="66.75" customHeight="1">
      <c r="A60" s="459"/>
      <c r="B60" s="432"/>
      <c r="C60" s="460"/>
      <c r="D60" s="432" t="str" cm="1">
        <f t="array" ref="D60">_xll.FDSB(B60,"P_SYMBOL")</f>
        <v/>
      </c>
      <c r="E60" s="433" t="str" cm="1">
        <f t="array" ref="E60">_xll.FDSB(D60,"FF_CO_NAME")</f>
        <v/>
      </c>
      <c r="F60" s="434" t="str" cm="1">
        <f t="array" ref="F60">_xll.FDSB(D60,"FF_ADDRESS")&amp;" "&amp;_xll.FDSB(D60,"FF_ADDRESS2")&amp;" "&amp;_xll.FDSB(D60,"FF_CITY")&amp;" "&amp;_xll.FDSB(D60,"FF_POSTAL")&amp;" "&amp;_xll.FDSB(D60,"FF_STATE_PROVINCE")&amp;" "&amp;_xll.FDSB(D60,"FF_COUNTRY")</f>
        <v xml:space="preserve">     </v>
      </c>
      <c r="G60" s="436" t="str" cm="1">
        <f t="array" ref="G60">_xll.FDSB(D60,"FF_SALES(ANN_R,0)")</f>
        <v/>
      </c>
      <c r="H60" s="436" t="str" cm="1">
        <f t="array" ref="H60">_xll.FDSB(D60,"FF_EMP_NUM(ANN,0)")</f>
        <v/>
      </c>
      <c r="I60" s="437" t="str" cm="1">
        <f t="array" ref="I60">_xll.FDSRB(D60,"OS_TOP_HLDR_ULTPRNT(1,0D,,MTD,,F,SEC)[0]")</f>
        <v/>
      </c>
      <c r="J60" s="437" t="str" cm="1">
        <f t="array" ref="J60">_xll.FDSRB(D60,"FF_BUS_DESC_EXT")</f>
        <v/>
      </c>
      <c r="K60" s="437" t="str" cm="1">
        <f t="array" ref="K60">_xll.FDSB(D60,"HOMEPAGE")</f>
        <v/>
      </c>
      <c r="L60" s="437" t="str" cm="1">
        <f t="array" ref="L60">_xll.FDSB(D60,"FG_EXCHANGE")</f>
        <v/>
      </c>
      <c r="M60" s="438" t="str">
        <f t="shared" si="0"/>
        <v/>
      </c>
      <c r="N60" s="461"/>
      <c r="O60" s="461"/>
    </row>
    <row r="61" spans="1:15" s="440" customFormat="1" ht="66.75" customHeight="1">
      <c r="A61" s="459"/>
      <c r="B61" s="432"/>
      <c r="C61" s="460"/>
      <c r="D61" s="432" t="str" cm="1">
        <f t="array" ref="D61">_xll.FDSB(B61,"P_SYMBOL")</f>
        <v/>
      </c>
      <c r="E61" s="433" t="str" cm="1">
        <f t="array" ref="E61">_xll.FDSB(D61,"FF_CO_NAME")</f>
        <v/>
      </c>
      <c r="F61" s="434" t="str" cm="1">
        <f t="array" ref="F61">_xll.FDSB(D61,"FF_ADDRESS")&amp;" "&amp;_xll.FDSB(D61,"FF_ADDRESS2")&amp;" "&amp;_xll.FDSB(D61,"FF_CITY")&amp;" "&amp;_xll.FDSB(D61,"FF_POSTAL")&amp;" "&amp;_xll.FDSB(D61,"FF_STATE_PROVINCE")&amp;" "&amp;_xll.FDSB(D61,"FF_COUNTRY")</f>
        <v xml:space="preserve">     </v>
      </c>
      <c r="G61" s="436" t="str" cm="1">
        <f t="array" ref="G61">_xll.FDSB(D61,"FF_SALES(ANN_R,0)")</f>
        <v/>
      </c>
      <c r="H61" s="436" t="str" cm="1">
        <f t="array" ref="H61">_xll.FDSB(D61,"FF_EMP_NUM(ANN,0)")</f>
        <v/>
      </c>
      <c r="I61" s="437" t="str" cm="1">
        <f t="array" ref="I61">_xll.FDSRB(D61,"OS_TOP_HLDR_ULTPRNT(1,0D,,MTD,,F,SEC)[0]")</f>
        <v/>
      </c>
      <c r="J61" s="437" t="str" cm="1">
        <f t="array" ref="J61">_xll.FDSRB(D61,"FF_BUS_DESC_EXT")</f>
        <v/>
      </c>
      <c r="K61" s="437" t="str" cm="1">
        <f t="array" ref="K61">_xll.FDSB(D61,"HOMEPAGE")</f>
        <v/>
      </c>
      <c r="L61" s="437" t="str" cm="1">
        <f t="array" ref="L61">_xll.FDSB(D61,"FG_EXCHANGE")</f>
        <v/>
      </c>
      <c r="M61" s="438" t="str">
        <f t="shared" si="0"/>
        <v/>
      </c>
      <c r="N61" s="461"/>
      <c r="O61" s="462"/>
    </row>
    <row r="62" spans="1:15" s="440" customFormat="1" ht="66.75" customHeight="1">
      <c r="A62" s="459"/>
      <c r="B62" s="432"/>
      <c r="C62" s="460"/>
      <c r="D62" s="432" t="str" cm="1">
        <f t="array" ref="D62">_xll.FDSB(B62,"P_SYMBOL")</f>
        <v/>
      </c>
      <c r="E62" s="433" t="str" cm="1">
        <f t="array" ref="E62">_xll.FDSB(D62,"FF_CO_NAME")</f>
        <v/>
      </c>
      <c r="F62" s="434" t="str" cm="1">
        <f t="array" ref="F62">_xll.FDSB(D62,"FF_ADDRESS")&amp;" "&amp;_xll.FDSB(D62,"FF_ADDRESS2")&amp;" "&amp;_xll.FDSB(D62,"FF_CITY")&amp;" "&amp;_xll.FDSB(D62,"FF_POSTAL")&amp;" "&amp;_xll.FDSB(D62,"FF_STATE_PROVINCE")&amp;" "&amp;_xll.FDSB(D62,"FF_COUNTRY")</f>
        <v xml:space="preserve">     </v>
      </c>
      <c r="G62" s="436" t="str" cm="1">
        <f t="array" ref="G62">_xll.FDSB(D62,"FF_SALES(ANN_R,0)")</f>
        <v/>
      </c>
      <c r="H62" s="436" t="str" cm="1">
        <f t="array" ref="H62">_xll.FDSB(D62,"FF_EMP_NUM(ANN,0)")</f>
        <v/>
      </c>
      <c r="I62" s="437" t="str" cm="1">
        <f t="array" ref="I62">_xll.FDSRB(D62,"OS_TOP_HLDR_ULTPRNT(1,0D,,MTD,,F,SEC)[0]")</f>
        <v/>
      </c>
      <c r="J62" s="437" t="str" cm="1">
        <f t="array" ref="J62">_xll.FDSRB(D62,"FF_BUS_DESC_EXT")</f>
        <v/>
      </c>
      <c r="K62" s="437" t="str" cm="1">
        <f t="array" ref="K62">_xll.FDSB(D62,"HOMEPAGE")</f>
        <v/>
      </c>
      <c r="L62" s="437" t="str" cm="1">
        <f t="array" ref="L62">_xll.FDSB(D62,"FG_EXCHANGE")</f>
        <v/>
      </c>
      <c r="M62" s="438" t="str">
        <f t="shared" si="0"/>
        <v/>
      </c>
      <c r="N62" s="461"/>
      <c r="O62" s="461"/>
    </row>
    <row r="63" spans="1:15" s="440" customFormat="1" ht="66.75" customHeight="1">
      <c r="A63" s="459"/>
      <c r="B63" s="432"/>
      <c r="C63" s="460"/>
      <c r="D63" s="432" t="str" cm="1">
        <f t="array" ref="D63">_xll.FDSB(B63,"P_SYMBOL")</f>
        <v/>
      </c>
      <c r="E63" s="433" t="str" cm="1">
        <f t="array" ref="E63">_xll.FDSB(D63,"FF_CO_NAME")</f>
        <v/>
      </c>
      <c r="F63" s="434" t="str" cm="1">
        <f t="array" ref="F63">_xll.FDSB(D63,"FF_ADDRESS")&amp;" "&amp;_xll.FDSB(D63,"FF_ADDRESS2")&amp;" "&amp;_xll.FDSB(D63,"FF_CITY")&amp;" "&amp;_xll.FDSB(D63,"FF_POSTAL")&amp;" "&amp;_xll.FDSB(D63,"FF_STATE_PROVINCE")&amp;" "&amp;_xll.FDSB(D63,"FF_COUNTRY")</f>
        <v xml:space="preserve">     </v>
      </c>
      <c r="G63" s="436" t="str" cm="1">
        <f t="array" ref="G63">_xll.FDSB(D63,"FF_SALES(ANN_R,0)")</f>
        <v/>
      </c>
      <c r="H63" s="436" t="str" cm="1">
        <f t="array" ref="H63">_xll.FDSB(D63,"FF_EMP_NUM(ANN,0)")</f>
        <v/>
      </c>
      <c r="I63" s="437" t="str" cm="1">
        <f t="array" ref="I63">_xll.FDSRB(D63,"OS_TOP_HLDR_ULTPRNT(1,0D,,MTD,,F,SEC)[0]")</f>
        <v/>
      </c>
      <c r="J63" s="437" t="str" cm="1">
        <f t="array" ref="J63">_xll.FDSRB(D63,"FF_BUS_DESC_EXT")</f>
        <v/>
      </c>
      <c r="K63" s="437" t="str" cm="1">
        <f t="array" ref="K63">_xll.FDSB(D63,"HOMEPAGE")</f>
        <v/>
      </c>
      <c r="L63" s="437" t="str" cm="1">
        <f t="array" ref="L63">_xll.FDSB(D63,"FG_EXCHANGE")</f>
        <v/>
      </c>
      <c r="M63" s="438" t="str">
        <f t="shared" si="0"/>
        <v/>
      </c>
      <c r="N63" s="461"/>
      <c r="O63" s="462"/>
    </row>
    <row r="64" spans="1:15" s="440" customFormat="1" ht="66.75" customHeight="1">
      <c r="A64" s="459"/>
      <c r="B64" s="432"/>
      <c r="C64" s="460"/>
      <c r="D64" s="432" t="str" cm="1">
        <f t="array" ref="D64">_xll.FDSB(B64,"P_SYMBOL")</f>
        <v/>
      </c>
      <c r="E64" s="433" t="str" cm="1">
        <f t="array" ref="E64">_xll.FDSB(D64,"FF_CO_NAME")</f>
        <v/>
      </c>
      <c r="F64" s="434" t="str" cm="1">
        <f t="array" ref="F64">_xll.FDSB(D64,"FF_ADDRESS")&amp;" "&amp;_xll.FDSB(D64,"FF_ADDRESS2")&amp;" "&amp;_xll.FDSB(D64,"FF_CITY")&amp;" "&amp;_xll.FDSB(D64,"FF_POSTAL")&amp;" "&amp;_xll.FDSB(D64,"FF_STATE_PROVINCE")&amp;" "&amp;_xll.FDSB(D64,"FF_COUNTRY")</f>
        <v xml:space="preserve">     </v>
      </c>
      <c r="G64" s="436" t="str" cm="1">
        <f t="array" ref="G64">_xll.FDSB(D64,"FF_SALES(ANN_R,0)")</f>
        <v/>
      </c>
      <c r="H64" s="436" t="str" cm="1">
        <f t="array" ref="H64">_xll.FDSB(D64,"FF_EMP_NUM(ANN,0)")</f>
        <v/>
      </c>
      <c r="I64" s="437" t="str" cm="1">
        <f t="array" ref="I64">_xll.FDSRB(D64,"OS_TOP_HLDR_ULTPRNT(1,0D,,MTD,,F,SEC)[0]")</f>
        <v/>
      </c>
      <c r="J64" s="437" t="str" cm="1">
        <f t="array" ref="J64">_xll.FDSRB(D64,"FF_BUS_DESC_EXT")</f>
        <v/>
      </c>
      <c r="K64" s="437" t="str" cm="1">
        <f t="array" ref="K64">_xll.FDSB(D64,"HOMEPAGE")</f>
        <v/>
      </c>
      <c r="L64" s="437" t="str" cm="1">
        <f t="array" ref="L64">_xll.FDSB(D64,"FG_EXCHANGE")</f>
        <v/>
      </c>
      <c r="M64" s="438" t="str">
        <f t="shared" si="0"/>
        <v/>
      </c>
      <c r="N64" s="461"/>
      <c r="O64" s="461"/>
    </row>
    <row r="65" spans="1:15" s="440" customFormat="1" ht="66.75" customHeight="1">
      <c r="A65" s="459"/>
      <c r="B65" s="432"/>
      <c r="C65" s="460"/>
      <c r="D65" s="432" t="str" cm="1">
        <f t="array" ref="D65">_xll.FDSB(B65,"P_SYMBOL")</f>
        <v/>
      </c>
      <c r="E65" s="433" t="str" cm="1">
        <f t="array" ref="E65">_xll.FDSB(D65,"FF_CO_NAME")</f>
        <v/>
      </c>
      <c r="F65" s="434" t="str" cm="1">
        <f t="array" ref="F65">_xll.FDSB(D65,"FF_ADDRESS")&amp;" "&amp;_xll.FDSB(D65,"FF_ADDRESS2")&amp;" "&amp;_xll.FDSB(D65,"FF_CITY")&amp;" "&amp;_xll.FDSB(D65,"FF_POSTAL")&amp;" "&amp;_xll.FDSB(D65,"FF_STATE_PROVINCE")&amp;" "&amp;_xll.FDSB(D65,"FF_COUNTRY")</f>
        <v xml:space="preserve">     </v>
      </c>
      <c r="G65" s="436" t="str" cm="1">
        <f t="array" ref="G65">_xll.FDSB(D65,"FF_SALES(ANN_R,0)")</f>
        <v/>
      </c>
      <c r="H65" s="436" t="str" cm="1">
        <f t="array" ref="H65">_xll.FDSB(D65,"FF_EMP_NUM(ANN,0)")</f>
        <v/>
      </c>
      <c r="I65" s="437" t="str" cm="1">
        <f t="array" ref="I65">_xll.FDSRB(D65,"OS_TOP_HLDR_ULTPRNT(1,0D,,MTD,,F,SEC)[0]")</f>
        <v/>
      </c>
      <c r="J65" s="437" t="str" cm="1">
        <f t="array" ref="J65">_xll.FDSRB(D65,"FF_BUS_DESC_EXT")</f>
        <v/>
      </c>
      <c r="K65" s="437" t="str" cm="1">
        <f t="array" ref="K65">_xll.FDSB(D65,"HOMEPAGE")</f>
        <v/>
      </c>
      <c r="L65" s="437" t="str" cm="1">
        <f t="array" ref="L65">_xll.FDSB(D65,"FG_EXCHANGE")</f>
        <v/>
      </c>
      <c r="M65" s="438" t="str">
        <f t="shared" si="0"/>
        <v/>
      </c>
      <c r="N65" s="461"/>
      <c r="O65" s="462"/>
    </row>
    <row r="66" spans="1:15" s="440" customFormat="1" ht="66.75" customHeight="1">
      <c r="A66" s="459"/>
      <c r="B66" s="432"/>
      <c r="C66" s="460"/>
      <c r="D66" s="432" t="str" cm="1">
        <f t="array" ref="D66">_xll.FDSB(B66,"P_SYMBOL")</f>
        <v/>
      </c>
      <c r="E66" s="433" t="str" cm="1">
        <f t="array" ref="E66">_xll.FDSB(D66,"FF_CO_NAME")</f>
        <v/>
      </c>
      <c r="F66" s="434" t="str" cm="1">
        <f t="array" ref="F66">_xll.FDSB(D66,"FF_ADDRESS")&amp;" "&amp;_xll.FDSB(D66,"FF_ADDRESS2")&amp;" "&amp;_xll.FDSB(D66,"FF_CITY")&amp;" "&amp;_xll.FDSB(D66,"FF_POSTAL")&amp;" "&amp;_xll.FDSB(D66,"FF_STATE_PROVINCE")&amp;" "&amp;_xll.FDSB(D66,"FF_COUNTRY")</f>
        <v xml:space="preserve">     </v>
      </c>
      <c r="G66" s="436" t="str" cm="1">
        <f t="array" ref="G66">_xll.FDSB(D66,"FF_SALES(ANN_R,0)")</f>
        <v/>
      </c>
      <c r="H66" s="436" t="str" cm="1">
        <f t="array" ref="H66">_xll.FDSB(D66,"FF_EMP_NUM(ANN,0)")</f>
        <v/>
      </c>
      <c r="I66" s="437" t="str" cm="1">
        <f t="array" ref="I66">_xll.FDSRB(D66,"OS_TOP_HLDR_ULTPRNT(1,0D,,MTD,,F,SEC)[0]")</f>
        <v/>
      </c>
      <c r="J66" s="437" t="str" cm="1">
        <f t="array" ref="J66">_xll.FDSRB(D66,"FF_BUS_DESC_EXT")</f>
        <v/>
      </c>
      <c r="K66" s="437" t="str" cm="1">
        <f t="array" ref="K66">_xll.FDSB(D66,"HOMEPAGE")</f>
        <v/>
      </c>
      <c r="L66" s="437" t="str" cm="1">
        <f t="array" ref="L66">_xll.FDSB(D66,"FG_EXCHANGE")</f>
        <v/>
      </c>
      <c r="M66" s="438" t="str">
        <f t="shared" si="0"/>
        <v/>
      </c>
      <c r="N66" s="461"/>
      <c r="O66" s="461"/>
    </row>
    <row r="67" spans="1:15" s="440" customFormat="1" ht="66.75" customHeight="1">
      <c r="A67" s="459"/>
      <c r="B67" s="432"/>
      <c r="C67" s="460"/>
      <c r="D67" s="432" t="str" cm="1">
        <f t="array" ref="D67">_xll.FDSB(B67,"P_SYMBOL")</f>
        <v/>
      </c>
      <c r="E67" s="433" t="str" cm="1">
        <f t="array" ref="E67">_xll.FDSB(D67,"FF_CO_NAME")</f>
        <v/>
      </c>
      <c r="F67" s="434" t="str" cm="1">
        <f t="array" ref="F67">_xll.FDSB(D67,"FF_ADDRESS")&amp;" "&amp;_xll.FDSB(D67,"FF_ADDRESS2")&amp;" "&amp;_xll.FDSB(D67,"FF_CITY")&amp;" "&amp;_xll.FDSB(D67,"FF_POSTAL")&amp;" "&amp;_xll.FDSB(D67,"FF_STATE_PROVINCE")&amp;" "&amp;_xll.FDSB(D67,"FF_COUNTRY")</f>
        <v xml:space="preserve">     </v>
      </c>
      <c r="G67" s="436" t="str" cm="1">
        <f t="array" ref="G67">_xll.FDSB(D67,"FF_SALES(ANN_R,0)")</f>
        <v/>
      </c>
      <c r="H67" s="436" t="str" cm="1">
        <f t="array" ref="H67">_xll.FDSB(D67,"FF_EMP_NUM(ANN,0)")</f>
        <v/>
      </c>
      <c r="I67" s="437" t="str" cm="1">
        <f t="array" ref="I67">_xll.FDSRB(D67,"OS_TOP_HLDR_ULTPRNT(1,0D,,MTD,,F,SEC)[0]")</f>
        <v/>
      </c>
      <c r="J67" s="437" t="str" cm="1">
        <f t="array" ref="J67">_xll.FDSRB(D67,"FF_BUS_DESC_EXT")</f>
        <v/>
      </c>
      <c r="K67" s="437" t="str" cm="1">
        <f t="array" ref="K67">_xll.FDSB(D67,"HOMEPAGE")</f>
        <v/>
      </c>
      <c r="L67" s="437" t="str" cm="1">
        <f t="array" ref="L67">_xll.FDSB(D67,"FG_EXCHANGE")</f>
        <v/>
      </c>
      <c r="M67" s="438" t="str">
        <f t="shared" si="0"/>
        <v/>
      </c>
      <c r="N67" s="461"/>
      <c r="O67" s="462"/>
    </row>
    <row r="68" spans="1:15" s="440" customFormat="1" ht="66.75" customHeight="1">
      <c r="A68" s="459"/>
      <c r="B68" s="432"/>
      <c r="C68" s="460"/>
      <c r="D68" s="432" t="str" cm="1">
        <f t="array" ref="D68">_xll.FDSB(B68,"P_SYMBOL")</f>
        <v/>
      </c>
      <c r="E68" s="433" t="str" cm="1">
        <f t="array" ref="E68">_xll.FDSB(D68,"FF_CO_NAME")</f>
        <v/>
      </c>
      <c r="F68" s="434" t="str" cm="1">
        <f t="array" ref="F68">_xll.FDSB(D68,"FF_ADDRESS")&amp;" "&amp;_xll.FDSB(D68,"FF_ADDRESS2")&amp;" "&amp;_xll.FDSB(D68,"FF_CITY")&amp;" "&amp;_xll.FDSB(D68,"FF_POSTAL")&amp;" "&amp;_xll.FDSB(D68,"FF_STATE_PROVINCE")&amp;" "&amp;_xll.FDSB(D68,"FF_COUNTRY")</f>
        <v xml:space="preserve">     </v>
      </c>
      <c r="G68" s="436" t="str" cm="1">
        <f t="array" ref="G68">_xll.FDSB(D68,"FF_SALES(ANN_R,0)")</f>
        <v/>
      </c>
      <c r="H68" s="436" t="str" cm="1">
        <f t="array" ref="H68">_xll.FDSB(D68,"FF_EMP_NUM(ANN,0)")</f>
        <v/>
      </c>
      <c r="I68" s="437" t="str" cm="1">
        <f t="array" ref="I68">_xll.FDSRB(D68,"OS_TOP_HLDR_ULTPRNT(1,0D,,MTD,,F,SEC)[0]")</f>
        <v/>
      </c>
      <c r="J68" s="437" t="str" cm="1">
        <f t="array" ref="J68">_xll.FDSRB(D68,"FF_BUS_DESC_EXT")</f>
        <v/>
      </c>
      <c r="K68" s="437" t="str" cm="1">
        <f t="array" ref="K68">_xll.FDSB(D68,"HOMEPAGE")</f>
        <v/>
      </c>
      <c r="L68" s="437" t="str" cm="1">
        <f t="array" ref="L68">_xll.FDSB(D68,"FG_EXCHANGE")</f>
        <v/>
      </c>
      <c r="M68" s="438" t="str">
        <f t="shared" si="0"/>
        <v/>
      </c>
      <c r="N68" s="461"/>
      <c r="O68" s="461"/>
    </row>
    <row r="69" spans="1:15" s="440" customFormat="1" ht="66.75" customHeight="1">
      <c r="A69" s="459"/>
      <c r="B69" s="432"/>
      <c r="C69" s="460"/>
      <c r="D69" s="432" t="str" cm="1">
        <f t="array" ref="D69">_xll.FDSB(B69,"P_SYMBOL")</f>
        <v/>
      </c>
      <c r="E69" s="433" t="str" cm="1">
        <f t="array" ref="E69">_xll.FDSB(D69,"FF_CO_NAME")</f>
        <v/>
      </c>
      <c r="F69" s="434" t="str" cm="1">
        <f t="array" ref="F69">_xll.FDSB(D69,"FF_ADDRESS")&amp;" "&amp;_xll.FDSB(D69,"FF_ADDRESS2")&amp;" "&amp;_xll.FDSB(D69,"FF_CITY")&amp;" "&amp;_xll.FDSB(D69,"FF_POSTAL")&amp;" "&amp;_xll.FDSB(D69,"FF_STATE_PROVINCE")&amp;" "&amp;_xll.FDSB(D69,"FF_COUNTRY")</f>
        <v xml:space="preserve">     </v>
      </c>
      <c r="G69" s="436" t="str" cm="1">
        <f t="array" ref="G69">_xll.FDSB(D69,"FF_SALES(ANN_R,0)")</f>
        <v/>
      </c>
      <c r="H69" s="436" t="str" cm="1">
        <f t="array" ref="H69">_xll.FDSB(D69,"FF_EMP_NUM(ANN,0)")</f>
        <v/>
      </c>
      <c r="I69" s="437" t="str" cm="1">
        <f t="array" ref="I69">_xll.FDSRB(D69,"OS_TOP_HLDR_ULTPRNT(1,0D,,MTD,,F,SEC)[0]")</f>
        <v/>
      </c>
      <c r="J69" s="437" t="str" cm="1">
        <f t="array" ref="J69">_xll.FDSRB(D69,"FF_BUS_DESC_EXT")</f>
        <v/>
      </c>
      <c r="K69" s="437" t="str" cm="1">
        <f t="array" ref="K69">_xll.FDSB(D69,"HOMEPAGE")</f>
        <v/>
      </c>
      <c r="L69" s="437" t="str" cm="1">
        <f t="array" ref="L69">_xll.FDSB(D69,"FG_EXCHANGE")</f>
        <v/>
      </c>
      <c r="M69" s="438" t="str">
        <f t="shared" si="0"/>
        <v/>
      </c>
      <c r="N69" s="461"/>
      <c r="O69" s="462"/>
    </row>
    <row r="70" spans="1:15" s="440" customFormat="1" ht="66.75" customHeight="1">
      <c r="A70" s="459"/>
      <c r="B70" s="432"/>
      <c r="C70" s="460"/>
      <c r="D70" s="432" t="str" cm="1">
        <f t="array" ref="D70">_xll.FDSB(B70,"P_SYMBOL")</f>
        <v/>
      </c>
      <c r="E70" s="433" t="str" cm="1">
        <f t="array" ref="E70">_xll.FDSB(D70,"FF_CO_NAME")</f>
        <v/>
      </c>
      <c r="F70" s="434" t="str" cm="1">
        <f t="array" ref="F70">_xll.FDSB(D70,"FF_ADDRESS")&amp;" "&amp;_xll.FDSB(D70,"FF_ADDRESS2")&amp;" "&amp;_xll.FDSB(D70,"FF_CITY")&amp;" "&amp;_xll.FDSB(D70,"FF_POSTAL")&amp;" "&amp;_xll.FDSB(D70,"FF_STATE_PROVINCE")&amp;" "&amp;_xll.FDSB(D70,"FF_COUNTRY")</f>
        <v xml:space="preserve">     </v>
      </c>
      <c r="G70" s="436" t="str" cm="1">
        <f t="array" ref="G70">_xll.FDSB(D70,"FF_SALES(ANN_R,0)")</f>
        <v/>
      </c>
      <c r="H70" s="436" t="str" cm="1">
        <f t="array" ref="H70">_xll.FDSB(D70,"FF_EMP_NUM(ANN,0)")</f>
        <v/>
      </c>
      <c r="I70" s="437" t="str" cm="1">
        <f t="array" ref="I70">_xll.FDSRB(D70,"OS_TOP_HLDR_ULTPRNT(1,0D,,MTD,,F,SEC)[0]")</f>
        <v/>
      </c>
      <c r="J70" s="437" t="str" cm="1">
        <f t="array" ref="J70">_xll.FDSRB(D70,"FF_BUS_DESC_EXT")</f>
        <v/>
      </c>
      <c r="K70" s="437" t="str" cm="1">
        <f t="array" ref="K70">_xll.FDSB(D70,"HOMEPAGE")</f>
        <v/>
      </c>
      <c r="L70" s="437" t="str" cm="1">
        <f t="array" ref="L70">_xll.FDSB(D70,"FG_EXCHANGE")</f>
        <v/>
      </c>
      <c r="M70" s="438" t="str">
        <f t="shared" si="0"/>
        <v/>
      </c>
      <c r="N70" s="461"/>
      <c r="O70" s="461"/>
    </row>
    <row r="71" spans="1:15" s="440" customFormat="1" ht="66.75" customHeight="1">
      <c r="A71" s="459"/>
      <c r="B71" s="432"/>
      <c r="C71" s="460"/>
      <c r="D71" s="432" t="str" cm="1">
        <f t="array" ref="D71">_xll.FDSB(B71,"P_SYMBOL")</f>
        <v/>
      </c>
      <c r="E71" s="433" t="str" cm="1">
        <f t="array" ref="E71">_xll.FDSB(D71,"FF_CO_NAME")</f>
        <v/>
      </c>
      <c r="F71" s="434" t="str" cm="1">
        <f t="array" ref="F71">_xll.FDSB(D71,"FF_ADDRESS")&amp;" "&amp;_xll.FDSB(D71,"FF_ADDRESS2")&amp;" "&amp;_xll.FDSB(D71,"FF_CITY")&amp;" "&amp;_xll.FDSB(D71,"FF_POSTAL")&amp;" "&amp;_xll.FDSB(D71,"FF_STATE_PROVINCE")&amp;" "&amp;_xll.FDSB(D71,"FF_COUNTRY")</f>
        <v xml:space="preserve">     </v>
      </c>
      <c r="G71" s="436" t="str" cm="1">
        <f t="array" ref="G71">_xll.FDSB(D71,"FF_SALES(ANN_R,0)")</f>
        <v/>
      </c>
      <c r="H71" s="436" t="str" cm="1">
        <f t="array" ref="H71">_xll.FDSB(D71,"FF_EMP_NUM(ANN,0)")</f>
        <v/>
      </c>
      <c r="I71" s="437" t="str" cm="1">
        <f t="array" ref="I71">_xll.FDSRB(D71,"OS_TOP_HLDR_ULTPRNT(1,0D,,MTD,,F,SEC)[0]")</f>
        <v/>
      </c>
      <c r="J71" s="437" t="str" cm="1">
        <f t="array" ref="J71">_xll.FDSRB(D71,"FF_BUS_DESC_EXT")</f>
        <v/>
      </c>
      <c r="K71" s="437" t="str" cm="1">
        <f t="array" ref="K71">_xll.FDSB(D71,"HOMEPAGE")</f>
        <v/>
      </c>
      <c r="L71" s="437" t="str" cm="1">
        <f t="array" ref="L71">_xll.FDSB(D71,"FG_EXCHANGE")</f>
        <v/>
      </c>
      <c r="M71" s="438" t="str">
        <f t="shared" si="0"/>
        <v/>
      </c>
      <c r="N71" s="461"/>
      <c r="O71" s="462"/>
    </row>
    <row r="72" spans="1:15" s="440" customFormat="1" ht="66.75" customHeight="1">
      <c r="A72" s="459"/>
      <c r="B72" s="432"/>
      <c r="C72" s="460"/>
      <c r="D72" s="432" t="str" cm="1">
        <f t="array" ref="D72">_xll.FDSB(B72,"P_SYMBOL")</f>
        <v/>
      </c>
      <c r="E72" s="433" t="str" cm="1">
        <f t="array" ref="E72">_xll.FDSB(D72,"FF_CO_NAME")</f>
        <v/>
      </c>
      <c r="F72" s="434" t="str" cm="1">
        <f t="array" ref="F72">_xll.FDSB(D72,"FF_ADDRESS")&amp;" "&amp;_xll.FDSB(D72,"FF_ADDRESS2")&amp;" "&amp;_xll.FDSB(D72,"FF_CITY")&amp;" "&amp;_xll.FDSB(D72,"FF_POSTAL")&amp;" "&amp;_xll.FDSB(D72,"FF_STATE_PROVINCE")&amp;" "&amp;_xll.FDSB(D72,"FF_COUNTRY")</f>
        <v xml:space="preserve">     </v>
      </c>
      <c r="G72" s="436" t="str" cm="1">
        <f t="array" ref="G72">_xll.FDSB(D72,"FF_SALES(ANN_R,0)")</f>
        <v/>
      </c>
      <c r="H72" s="436" t="str" cm="1">
        <f t="array" ref="H72">_xll.FDSB(D72,"FF_EMP_NUM(ANN,0)")</f>
        <v/>
      </c>
      <c r="I72" s="437" t="str" cm="1">
        <f t="array" ref="I72">_xll.FDSRB(D72,"OS_TOP_HLDR_ULTPRNT(1,0D,,MTD,,F,SEC)[0]")</f>
        <v/>
      </c>
      <c r="J72" s="437" t="str" cm="1">
        <f t="array" ref="J72">_xll.FDSRB(D72,"FF_BUS_DESC_EXT")</f>
        <v/>
      </c>
      <c r="K72" s="437" t="str" cm="1">
        <f t="array" ref="K72">_xll.FDSB(D72,"HOMEPAGE")</f>
        <v/>
      </c>
      <c r="L72" s="437" t="str" cm="1">
        <f t="array" ref="L72">_xll.FDSB(D72,"FG_EXCHANGE")</f>
        <v/>
      </c>
      <c r="M72" s="438" t="str">
        <f t="shared" si="0"/>
        <v/>
      </c>
      <c r="N72" s="461"/>
      <c r="O72" s="461"/>
    </row>
    <row r="73" spans="1:15" s="440" customFormat="1" ht="66.75" customHeight="1">
      <c r="A73" s="459"/>
      <c r="B73" s="432"/>
      <c r="C73" s="460"/>
      <c r="D73" s="432" t="str" cm="1">
        <f t="array" ref="D73">_xll.FDSB(B73,"P_SYMBOL")</f>
        <v/>
      </c>
      <c r="E73" s="433" t="str" cm="1">
        <f t="array" ref="E73">_xll.FDSB(D73,"FF_CO_NAME")</f>
        <v/>
      </c>
      <c r="F73" s="434" t="str" cm="1">
        <f t="array" ref="F73">_xll.FDSB(D73,"FF_ADDRESS")&amp;" "&amp;_xll.FDSB(D73,"FF_ADDRESS2")&amp;" "&amp;_xll.FDSB(D73,"FF_CITY")&amp;" "&amp;_xll.FDSB(D73,"FF_POSTAL")&amp;" "&amp;_xll.FDSB(D73,"FF_STATE_PROVINCE")&amp;" "&amp;_xll.FDSB(D73,"FF_COUNTRY")</f>
        <v xml:space="preserve">     </v>
      </c>
      <c r="G73" s="436" t="str" cm="1">
        <f t="array" ref="G73">_xll.FDSB(D73,"FF_SALES(ANN_R,0)")</f>
        <v/>
      </c>
      <c r="H73" s="436" t="str" cm="1">
        <f t="array" ref="H73">_xll.FDSB(D73,"FF_EMP_NUM(ANN,0)")</f>
        <v/>
      </c>
      <c r="I73" s="437" t="str" cm="1">
        <f t="array" ref="I73">_xll.FDSRB(D73,"OS_TOP_HLDR_ULTPRNT(1,0D,,MTD,,F,SEC)[0]")</f>
        <v/>
      </c>
      <c r="J73" s="437" t="str" cm="1">
        <f t="array" ref="J73">_xll.FDSRB(D73,"FF_BUS_DESC_EXT")</f>
        <v/>
      </c>
      <c r="K73" s="437" t="str" cm="1">
        <f t="array" ref="K73">_xll.FDSB(D73,"HOMEPAGE")</f>
        <v/>
      </c>
      <c r="L73" s="437" t="str" cm="1">
        <f t="array" ref="L73">_xll.FDSB(D73,"FG_EXCHANGE")</f>
        <v/>
      </c>
      <c r="M73" s="438" t="str">
        <f t="shared" si="0"/>
        <v/>
      </c>
      <c r="N73" s="461"/>
      <c r="O73" s="462"/>
    </row>
    <row r="74" spans="1:15" s="440" customFormat="1" ht="66.75" customHeight="1">
      <c r="A74" s="459"/>
      <c r="B74" s="432"/>
      <c r="C74" s="460"/>
      <c r="D74" s="432" t="str" cm="1">
        <f t="array" ref="D74">_xll.FDSB(B74,"P_SYMBOL")</f>
        <v/>
      </c>
      <c r="E74" s="433" t="str" cm="1">
        <f t="array" ref="E74">_xll.FDSB(D74,"FF_CO_NAME")</f>
        <v/>
      </c>
      <c r="F74" s="434" t="str" cm="1">
        <f t="array" ref="F74">_xll.FDSB(D74,"FF_ADDRESS")&amp;" "&amp;_xll.FDSB(D74,"FF_ADDRESS2")&amp;" "&amp;_xll.FDSB(D74,"FF_CITY")&amp;" "&amp;_xll.FDSB(D74,"FF_POSTAL")&amp;" "&amp;_xll.FDSB(D74,"FF_STATE_PROVINCE")&amp;" "&amp;_xll.FDSB(D74,"FF_COUNTRY")</f>
        <v xml:space="preserve">     </v>
      </c>
      <c r="G74" s="436" t="str" cm="1">
        <f t="array" ref="G74">_xll.FDSB(D74,"FF_SALES(ANN_R,0)")</f>
        <v/>
      </c>
      <c r="H74" s="436" t="str" cm="1">
        <f t="array" ref="H74">_xll.FDSB(D74,"FF_EMP_NUM(ANN,0)")</f>
        <v/>
      </c>
      <c r="I74" s="437" t="str" cm="1">
        <f t="array" ref="I74">_xll.FDSRB(D74,"OS_TOP_HLDR_ULTPRNT(1,0D,,MTD,,F,SEC)[0]")</f>
        <v/>
      </c>
      <c r="J74" s="437" t="str" cm="1">
        <f t="array" ref="J74">_xll.FDSRB(D74,"FF_BUS_DESC_EXT")</f>
        <v/>
      </c>
      <c r="K74" s="437" t="str" cm="1">
        <f t="array" ref="K74">_xll.FDSB(D74,"HOMEPAGE")</f>
        <v/>
      </c>
      <c r="L74" s="437" t="str" cm="1">
        <f t="array" ref="L74">_xll.FDSB(D74,"FG_EXCHANGE")</f>
        <v/>
      </c>
      <c r="M74" s="438" t="str">
        <f t="shared" si="0"/>
        <v/>
      </c>
      <c r="N74" s="461"/>
      <c r="O74" s="461"/>
    </row>
    <row r="75" spans="1:15" s="440" customFormat="1" ht="66.75" customHeight="1">
      <c r="A75" s="459"/>
      <c r="B75" s="432"/>
      <c r="C75" s="460"/>
      <c r="D75" s="432" t="str" cm="1">
        <f t="array" ref="D75">_xll.FDSB(B75,"P_SYMBOL")</f>
        <v/>
      </c>
      <c r="E75" s="433" t="str" cm="1">
        <f t="array" ref="E75">_xll.FDSB(D75,"FF_CO_NAME")</f>
        <v/>
      </c>
      <c r="F75" s="434" t="str" cm="1">
        <f t="array" ref="F75">_xll.FDSB(D75,"FF_ADDRESS")&amp;" "&amp;_xll.FDSB(D75,"FF_ADDRESS2")&amp;" "&amp;_xll.FDSB(D75,"FF_CITY")&amp;" "&amp;_xll.FDSB(D75,"FF_POSTAL")&amp;" "&amp;_xll.FDSB(D75,"FF_STATE_PROVINCE")&amp;" "&amp;_xll.FDSB(D75,"FF_COUNTRY")</f>
        <v xml:space="preserve">     </v>
      </c>
      <c r="G75" s="436" t="str" cm="1">
        <f t="array" ref="G75">_xll.FDSB(D75,"FF_SALES(ANN_R,0)")</f>
        <v/>
      </c>
      <c r="H75" s="436" t="str" cm="1">
        <f t="array" ref="H75">_xll.FDSB(D75,"FF_EMP_NUM(ANN,0)")</f>
        <v/>
      </c>
      <c r="I75" s="437" t="str" cm="1">
        <f t="array" ref="I75">_xll.FDSRB(D75,"OS_TOP_HLDR_ULTPRNT(1,0D,,MTD,,F,SEC)[0]")</f>
        <v/>
      </c>
      <c r="J75" s="437" t="str" cm="1">
        <f t="array" ref="J75">_xll.FDSRB(D75,"FF_BUS_DESC_EXT")</f>
        <v/>
      </c>
      <c r="K75" s="437" t="str" cm="1">
        <f t="array" ref="K75">_xll.FDSB(D75,"HOMEPAGE")</f>
        <v/>
      </c>
      <c r="L75" s="437" t="str" cm="1">
        <f t="array" ref="L75">_xll.FDSB(D75,"FG_EXCHANGE")</f>
        <v/>
      </c>
      <c r="M75" s="438" t="str">
        <f t="shared" si="0"/>
        <v/>
      </c>
      <c r="N75" s="461"/>
      <c r="O75" s="462"/>
    </row>
    <row r="76" spans="1:15" s="440" customFormat="1" ht="66.75" customHeight="1">
      <c r="A76" s="459"/>
      <c r="B76" s="432"/>
      <c r="C76" s="460"/>
      <c r="D76" s="432" t="str" cm="1">
        <f t="array" ref="D76">_xll.FDSB(B76,"P_SYMBOL")</f>
        <v/>
      </c>
      <c r="E76" s="433" t="str" cm="1">
        <f t="array" ref="E76">_xll.FDSB(D76,"FF_CO_NAME")</f>
        <v/>
      </c>
      <c r="F76" s="434" t="str" cm="1">
        <f t="array" ref="F76">_xll.FDSB(D76,"FF_ADDRESS")&amp;" "&amp;_xll.FDSB(D76,"FF_ADDRESS2")&amp;" "&amp;_xll.FDSB(D76,"FF_CITY")&amp;" "&amp;_xll.FDSB(D76,"FF_POSTAL")&amp;" "&amp;_xll.FDSB(D76,"FF_STATE_PROVINCE")&amp;" "&amp;_xll.FDSB(D76,"FF_COUNTRY")</f>
        <v xml:space="preserve">     </v>
      </c>
      <c r="G76" s="436" t="str" cm="1">
        <f t="array" ref="G76">_xll.FDSB(D76,"FF_SALES(ANN_R,0)")</f>
        <v/>
      </c>
      <c r="H76" s="436" t="str" cm="1">
        <f t="array" ref="H76">_xll.FDSB(D76,"FF_EMP_NUM(ANN,0)")</f>
        <v/>
      </c>
      <c r="I76" s="437" t="str" cm="1">
        <f t="array" ref="I76">_xll.FDSRB(D76,"OS_TOP_HLDR_ULTPRNT(1,0D,,MTD,,F,SEC)[0]")</f>
        <v/>
      </c>
      <c r="J76" s="437" t="str" cm="1">
        <f t="array" ref="J76">_xll.FDSRB(D76,"FF_BUS_DESC_EXT")</f>
        <v/>
      </c>
      <c r="K76" s="437" t="str" cm="1">
        <f t="array" ref="K76">_xll.FDSB(D76,"HOMEPAGE")</f>
        <v/>
      </c>
      <c r="L76" s="437" t="str" cm="1">
        <f t="array" ref="L76">_xll.FDSB(D76,"FG_EXCHANGE")</f>
        <v/>
      </c>
      <c r="M76" s="438" t="str">
        <f t="shared" si="0"/>
        <v/>
      </c>
      <c r="N76" s="461"/>
      <c r="O76" s="461"/>
    </row>
    <row r="77" spans="1:15" s="440" customFormat="1" ht="66.75" customHeight="1">
      <c r="A77" s="459"/>
      <c r="B77" s="432"/>
      <c r="C77" s="460"/>
      <c r="D77" s="432" t="str" cm="1">
        <f t="array" ref="D77">_xll.FDSB(B77,"P_SYMBOL")</f>
        <v/>
      </c>
      <c r="E77" s="433" t="str" cm="1">
        <f t="array" ref="E77">_xll.FDSB(D77,"FF_CO_NAME")</f>
        <v/>
      </c>
      <c r="F77" s="434" t="str" cm="1">
        <f t="array" ref="F77">_xll.FDSB(D77,"FF_ADDRESS")&amp;" "&amp;_xll.FDSB(D77,"FF_ADDRESS2")&amp;" "&amp;_xll.FDSB(D77,"FF_CITY")&amp;" "&amp;_xll.FDSB(D77,"FF_POSTAL")&amp;" "&amp;_xll.FDSB(D77,"FF_STATE_PROVINCE")&amp;" "&amp;_xll.FDSB(D77,"FF_COUNTRY")</f>
        <v xml:space="preserve">     </v>
      </c>
      <c r="G77" s="436" t="str" cm="1">
        <f t="array" ref="G77">_xll.FDSB(D77,"FF_SALES(ANN_R,0)")</f>
        <v/>
      </c>
      <c r="H77" s="436" t="str" cm="1">
        <f t="array" ref="H77">_xll.FDSB(D77,"FF_EMP_NUM(ANN,0)")</f>
        <v/>
      </c>
      <c r="I77" s="437" t="str" cm="1">
        <f t="array" ref="I77">_xll.FDSRB(D77,"OS_TOP_HLDR_ULTPRNT(1,0D,,MTD,,F,SEC)[0]")</f>
        <v/>
      </c>
      <c r="J77" s="437" t="str" cm="1">
        <f t="array" ref="J77">_xll.FDSRB(D77,"FF_BUS_DESC_EXT")</f>
        <v/>
      </c>
      <c r="K77" s="437" t="str" cm="1">
        <f t="array" ref="K77">_xll.FDSB(D77,"HOMEPAGE")</f>
        <v/>
      </c>
      <c r="L77" s="437" t="str" cm="1">
        <f t="array" ref="L77">_xll.FDSB(D77,"FG_EXCHANGE")</f>
        <v/>
      </c>
      <c r="M77" s="438" t="str">
        <f t="shared" ref="M77:M140" si="1">IF(LEN(E77)&gt;0,HYPERLINK("ec://EC/?MODEL=GENERIC&amp;ID="&amp;D77&amp;"&amp;TYPEID=FDSSYMBOL&amp;KW=CPYATGLANCEFF",E77&amp;" - Company at a glance"),"")</f>
        <v/>
      </c>
      <c r="N77" s="461"/>
      <c r="O77" s="462"/>
    </row>
    <row r="78" spans="1:15" s="440" customFormat="1" ht="66.75" customHeight="1">
      <c r="A78" s="459"/>
      <c r="B78" s="432"/>
      <c r="C78" s="460"/>
      <c r="D78" s="432" t="str" cm="1">
        <f t="array" ref="D78">_xll.FDSB(B78,"P_SYMBOL")</f>
        <v/>
      </c>
      <c r="E78" s="433" t="str" cm="1">
        <f t="array" ref="E78">_xll.FDSB(D78,"FF_CO_NAME")</f>
        <v/>
      </c>
      <c r="F78" s="434" t="str" cm="1">
        <f t="array" ref="F78">_xll.FDSB(D78,"FF_ADDRESS")&amp;" "&amp;_xll.FDSB(D78,"FF_ADDRESS2")&amp;" "&amp;_xll.FDSB(D78,"FF_CITY")&amp;" "&amp;_xll.FDSB(D78,"FF_POSTAL")&amp;" "&amp;_xll.FDSB(D78,"FF_STATE_PROVINCE")&amp;" "&amp;_xll.FDSB(D78,"FF_COUNTRY")</f>
        <v xml:space="preserve">     </v>
      </c>
      <c r="G78" s="436" t="str" cm="1">
        <f t="array" ref="G78">_xll.FDSB(D78,"FF_SALES(ANN_R,0)")</f>
        <v/>
      </c>
      <c r="H78" s="436" t="str" cm="1">
        <f t="array" ref="H78">_xll.FDSB(D78,"FF_EMP_NUM(ANN,0)")</f>
        <v/>
      </c>
      <c r="I78" s="437" t="str" cm="1">
        <f t="array" ref="I78">_xll.FDSRB(D78,"OS_TOP_HLDR_ULTPRNT(1,0D,,MTD,,F,SEC)[0]")</f>
        <v/>
      </c>
      <c r="J78" s="437" t="str" cm="1">
        <f t="array" ref="J78">_xll.FDSRB(D78,"FF_BUS_DESC_EXT")</f>
        <v/>
      </c>
      <c r="K78" s="437" t="str" cm="1">
        <f t="array" ref="K78">_xll.FDSB(D78,"HOMEPAGE")</f>
        <v/>
      </c>
      <c r="L78" s="437" t="str" cm="1">
        <f t="array" ref="L78">_xll.FDSB(D78,"FG_EXCHANGE")</f>
        <v/>
      </c>
      <c r="M78" s="438" t="str">
        <f t="shared" si="1"/>
        <v/>
      </c>
      <c r="N78" s="461"/>
      <c r="O78" s="461"/>
    </row>
    <row r="79" spans="1:15" s="440" customFormat="1" ht="66.75" customHeight="1">
      <c r="A79" s="459"/>
      <c r="B79" s="432"/>
      <c r="C79" s="460"/>
      <c r="D79" s="432" t="str" cm="1">
        <f t="array" ref="D79">_xll.FDSB(B79,"P_SYMBOL")</f>
        <v/>
      </c>
      <c r="E79" s="433" t="str" cm="1">
        <f t="array" ref="E79">_xll.FDSB(D79,"FF_CO_NAME")</f>
        <v/>
      </c>
      <c r="F79" s="434" t="str" cm="1">
        <f t="array" ref="F79">_xll.FDSB(D79,"FF_ADDRESS")&amp;" "&amp;_xll.FDSB(D79,"FF_ADDRESS2")&amp;" "&amp;_xll.FDSB(D79,"FF_CITY")&amp;" "&amp;_xll.FDSB(D79,"FF_POSTAL")&amp;" "&amp;_xll.FDSB(D79,"FF_STATE_PROVINCE")&amp;" "&amp;_xll.FDSB(D79,"FF_COUNTRY")</f>
        <v xml:space="preserve">     </v>
      </c>
      <c r="G79" s="436" t="str" cm="1">
        <f t="array" ref="G79">_xll.FDSB(D79,"FF_SALES(ANN_R,0)")</f>
        <v/>
      </c>
      <c r="H79" s="436" t="str" cm="1">
        <f t="array" ref="H79">_xll.FDSB(D79,"FF_EMP_NUM(ANN,0)")</f>
        <v/>
      </c>
      <c r="I79" s="437" t="str" cm="1">
        <f t="array" ref="I79">_xll.FDSRB(D79,"OS_TOP_HLDR_ULTPRNT(1,0D,,MTD,,F,SEC)[0]")</f>
        <v/>
      </c>
      <c r="J79" s="437" t="str" cm="1">
        <f t="array" ref="J79">_xll.FDSRB(D79,"FF_BUS_DESC_EXT")</f>
        <v/>
      </c>
      <c r="K79" s="437" t="str" cm="1">
        <f t="array" ref="K79">_xll.FDSB(D79,"HOMEPAGE")</f>
        <v/>
      </c>
      <c r="L79" s="437" t="str" cm="1">
        <f t="array" ref="L79">_xll.FDSB(D79,"FG_EXCHANGE")</f>
        <v/>
      </c>
      <c r="M79" s="438" t="str">
        <f t="shared" si="1"/>
        <v/>
      </c>
      <c r="N79" s="461"/>
      <c r="O79" s="462"/>
    </row>
    <row r="80" spans="1:15" s="440" customFormat="1" ht="66.75" customHeight="1">
      <c r="A80" s="459"/>
      <c r="B80" s="432"/>
      <c r="C80" s="460"/>
      <c r="D80" s="432" t="str" cm="1">
        <f t="array" ref="D80">_xll.FDSB(B80,"P_SYMBOL")</f>
        <v/>
      </c>
      <c r="E80" s="433" t="str" cm="1">
        <f t="array" ref="E80">_xll.FDSB(D80,"FF_CO_NAME")</f>
        <v/>
      </c>
      <c r="F80" s="434" t="str" cm="1">
        <f t="array" ref="F80">_xll.FDSB(D80,"FF_ADDRESS")&amp;" "&amp;_xll.FDSB(D80,"FF_ADDRESS2")&amp;" "&amp;_xll.FDSB(D80,"FF_CITY")&amp;" "&amp;_xll.FDSB(D80,"FF_POSTAL")&amp;" "&amp;_xll.FDSB(D80,"FF_STATE_PROVINCE")&amp;" "&amp;_xll.FDSB(D80,"FF_COUNTRY")</f>
        <v xml:space="preserve">     </v>
      </c>
      <c r="G80" s="436" t="str" cm="1">
        <f t="array" ref="G80">_xll.FDSB(D80,"FF_SALES(ANN_R,0)")</f>
        <v/>
      </c>
      <c r="H80" s="436" t="str" cm="1">
        <f t="array" ref="H80">_xll.FDSB(D80,"FF_EMP_NUM(ANN,0)")</f>
        <v/>
      </c>
      <c r="I80" s="437" t="str" cm="1">
        <f t="array" ref="I80">_xll.FDSRB(D80,"OS_TOP_HLDR_ULTPRNT(1,0D,,MTD,,F,SEC)[0]")</f>
        <v/>
      </c>
      <c r="J80" s="437" t="str" cm="1">
        <f t="array" ref="J80">_xll.FDSRB(D80,"FF_BUS_DESC_EXT")</f>
        <v/>
      </c>
      <c r="K80" s="437" t="str" cm="1">
        <f t="array" ref="K80">_xll.FDSB(D80,"HOMEPAGE")</f>
        <v/>
      </c>
      <c r="L80" s="437" t="str" cm="1">
        <f t="array" ref="L80">_xll.FDSB(D80,"FG_EXCHANGE")</f>
        <v/>
      </c>
      <c r="M80" s="438" t="str">
        <f t="shared" si="1"/>
        <v/>
      </c>
      <c r="N80" s="461"/>
      <c r="O80" s="461"/>
    </row>
    <row r="81" spans="1:15" s="440" customFormat="1" ht="66.75" customHeight="1">
      <c r="A81" s="459"/>
      <c r="B81" s="432"/>
      <c r="C81" s="460"/>
      <c r="D81" s="432" t="str" cm="1">
        <f t="array" ref="D81">_xll.FDSB(B81,"P_SYMBOL")</f>
        <v/>
      </c>
      <c r="E81" s="433" t="str" cm="1">
        <f t="array" ref="E81">_xll.FDSB(D81,"FF_CO_NAME")</f>
        <v/>
      </c>
      <c r="F81" s="434" t="str" cm="1">
        <f t="array" ref="F81">_xll.FDSB(D81,"FF_ADDRESS")&amp;" "&amp;_xll.FDSB(D81,"FF_ADDRESS2")&amp;" "&amp;_xll.FDSB(D81,"FF_CITY")&amp;" "&amp;_xll.FDSB(D81,"FF_POSTAL")&amp;" "&amp;_xll.FDSB(D81,"FF_STATE_PROVINCE")&amp;" "&amp;_xll.FDSB(D81,"FF_COUNTRY")</f>
        <v xml:space="preserve">     </v>
      </c>
      <c r="G81" s="436" t="str" cm="1">
        <f t="array" ref="G81">_xll.FDSB(D81,"FF_SALES(ANN_R,0)")</f>
        <v/>
      </c>
      <c r="H81" s="436" t="str" cm="1">
        <f t="array" ref="H81">_xll.FDSB(D81,"FF_EMP_NUM(ANN,0)")</f>
        <v/>
      </c>
      <c r="I81" s="437" t="str" cm="1">
        <f t="array" ref="I81">_xll.FDSRB(D81,"OS_TOP_HLDR_ULTPRNT(1,0D,,MTD,,F,SEC)[0]")</f>
        <v/>
      </c>
      <c r="J81" s="437" t="str" cm="1">
        <f t="array" ref="J81">_xll.FDSRB(D81,"FF_BUS_DESC_EXT")</f>
        <v/>
      </c>
      <c r="K81" s="437" t="str" cm="1">
        <f t="array" ref="K81">_xll.FDSB(D81,"HOMEPAGE")</f>
        <v/>
      </c>
      <c r="L81" s="437" t="str" cm="1">
        <f t="array" ref="L81">_xll.FDSB(D81,"FG_EXCHANGE")</f>
        <v/>
      </c>
      <c r="M81" s="438" t="str">
        <f t="shared" si="1"/>
        <v/>
      </c>
      <c r="N81" s="461"/>
      <c r="O81" s="462"/>
    </row>
    <row r="82" spans="1:15" s="440" customFormat="1" ht="66.75" customHeight="1">
      <c r="A82" s="459"/>
      <c r="B82" s="432"/>
      <c r="C82" s="460"/>
      <c r="D82" s="432" t="str" cm="1">
        <f t="array" ref="D82">_xll.FDSB(B82,"P_SYMBOL")</f>
        <v/>
      </c>
      <c r="E82" s="433" t="str" cm="1">
        <f t="array" ref="E82">_xll.FDSB(D82,"FF_CO_NAME")</f>
        <v/>
      </c>
      <c r="F82" s="434" t="str" cm="1">
        <f t="array" ref="F82">_xll.FDSB(D82,"FF_ADDRESS")&amp;" "&amp;_xll.FDSB(D82,"FF_ADDRESS2")&amp;" "&amp;_xll.FDSB(D82,"FF_CITY")&amp;" "&amp;_xll.FDSB(D82,"FF_POSTAL")&amp;" "&amp;_xll.FDSB(D82,"FF_STATE_PROVINCE")&amp;" "&amp;_xll.FDSB(D82,"FF_COUNTRY")</f>
        <v xml:space="preserve">     </v>
      </c>
      <c r="G82" s="436" t="str" cm="1">
        <f t="array" ref="G82">_xll.FDSB(D82,"FF_SALES(ANN_R,0)")</f>
        <v/>
      </c>
      <c r="H82" s="436" t="str" cm="1">
        <f t="array" ref="H82">_xll.FDSB(D82,"FF_EMP_NUM(ANN,0)")</f>
        <v/>
      </c>
      <c r="I82" s="437" t="str" cm="1">
        <f t="array" ref="I82">_xll.FDSRB(D82,"OS_TOP_HLDR_ULTPRNT(1,0D,,MTD,,F,SEC)[0]")</f>
        <v/>
      </c>
      <c r="J82" s="437" t="str" cm="1">
        <f t="array" ref="J82">_xll.FDSRB(D82,"FF_BUS_DESC_EXT")</f>
        <v/>
      </c>
      <c r="K82" s="437" t="str" cm="1">
        <f t="array" ref="K82">_xll.FDSB(D82,"HOMEPAGE")</f>
        <v/>
      </c>
      <c r="L82" s="437" t="str" cm="1">
        <f t="array" ref="L82">_xll.FDSB(D82,"FG_EXCHANGE")</f>
        <v/>
      </c>
      <c r="M82" s="438" t="str">
        <f t="shared" si="1"/>
        <v/>
      </c>
      <c r="N82" s="461"/>
      <c r="O82" s="461"/>
    </row>
    <row r="83" spans="1:15" s="440" customFormat="1" ht="66.75" customHeight="1">
      <c r="A83" s="459"/>
      <c r="B83" s="432"/>
      <c r="C83" s="460"/>
      <c r="D83" s="432" t="str" cm="1">
        <f t="array" ref="D83">_xll.FDSB(B83,"P_SYMBOL")</f>
        <v/>
      </c>
      <c r="E83" s="433" t="str" cm="1">
        <f t="array" ref="E83">_xll.FDSB(D83,"FF_CO_NAME")</f>
        <v/>
      </c>
      <c r="F83" s="434" t="str" cm="1">
        <f t="array" ref="F83">_xll.FDSB(D83,"FF_ADDRESS")&amp;" "&amp;_xll.FDSB(D83,"FF_ADDRESS2")&amp;" "&amp;_xll.FDSB(D83,"FF_CITY")&amp;" "&amp;_xll.FDSB(D83,"FF_POSTAL")&amp;" "&amp;_xll.FDSB(D83,"FF_STATE_PROVINCE")&amp;" "&amp;_xll.FDSB(D83,"FF_COUNTRY")</f>
        <v xml:space="preserve">     </v>
      </c>
      <c r="G83" s="436" t="str" cm="1">
        <f t="array" ref="G83">_xll.FDSB(D83,"FF_SALES(ANN_R,0)")</f>
        <v/>
      </c>
      <c r="H83" s="436" t="str" cm="1">
        <f t="array" ref="H83">_xll.FDSB(D83,"FF_EMP_NUM(ANN,0)")</f>
        <v/>
      </c>
      <c r="I83" s="437" t="str" cm="1">
        <f t="array" ref="I83">_xll.FDSRB(D83,"OS_TOP_HLDR_ULTPRNT(1,0D,,MTD,,F,SEC)[0]")</f>
        <v/>
      </c>
      <c r="J83" s="437" t="str" cm="1">
        <f t="array" ref="J83">_xll.FDSRB(D83,"FF_BUS_DESC_EXT")</f>
        <v/>
      </c>
      <c r="K83" s="437" t="str" cm="1">
        <f t="array" ref="K83">_xll.FDSB(D83,"HOMEPAGE")</f>
        <v/>
      </c>
      <c r="L83" s="437" t="str" cm="1">
        <f t="array" ref="L83">_xll.FDSB(D83,"FG_EXCHANGE")</f>
        <v/>
      </c>
      <c r="M83" s="438" t="str">
        <f t="shared" si="1"/>
        <v/>
      </c>
      <c r="N83" s="461"/>
      <c r="O83" s="462"/>
    </row>
    <row r="84" spans="1:15" s="440" customFormat="1" ht="66.75" customHeight="1">
      <c r="A84" s="459"/>
      <c r="B84" s="432"/>
      <c r="C84" s="460"/>
      <c r="D84" s="432" t="str" cm="1">
        <f t="array" ref="D84">_xll.FDSB(B84,"P_SYMBOL")</f>
        <v/>
      </c>
      <c r="E84" s="433" t="str" cm="1">
        <f t="array" ref="E84">_xll.FDSB(D84,"FF_CO_NAME")</f>
        <v/>
      </c>
      <c r="F84" s="434" t="str" cm="1">
        <f t="array" ref="F84">_xll.FDSB(D84,"FF_ADDRESS")&amp;" "&amp;_xll.FDSB(D84,"FF_ADDRESS2")&amp;" "&amp;_xll.FDSB(D84,"FF_CITY")&amp;" "&amp;_xll.FDSB(D84,"FF_POSTAL")&amp;" "&amp;_xll.FDSB(D84,"FF_STATE_PROVINCE")&amp;" "&amp;_xll.FDSB(D84,"FF_COUNTRY")</f>
        <v xml:space="preserve">     </v>
      </c>
      <c r="G84" s="436" t="str" cm="1">
        <f t="array" ref="G84">_xll.FDSB(D84,"FF_SALES(ANN_R,0)")</f>
        <v/>
      </c>
      <c r="H84" s="436" t="str" cm="1">
        <f t="array" ref="H84">_xll.FDSB(D84,"FF_EMP_NUM(ANN,0)")</f>
        <v/>
      </c>
      <c r="I84" s="437" t="str" cm="1">
        <f t="array" ref="I84">_xll.FDSRB(D84,"OS_TOP_HLDR_ULTPRNT(1,0D,,MTD,,F,SEC)[0]")</f>
        <v/>
      </c>
      <c r="J84" s="437" t="str" cm="1">
        <f t="array" ref="J84">_xll.FDSRB(D84,"FF_BUS_DESC_EXT")</f>
        <v/>
      </c>
      <c r="K84" s="437" t="str" cm="1">
        <f t="array" ref="K84">_xll.FDSB(D84,"HOMEPAGE")</f>
        <v/>
      </c>
      <c r="L84" s="437" t="str" cm="1">
        <f t="array" ref="L84">_xll.FDSB(D84,"FG_EXCHANGE")</f>
        <v/>
      </c>
      <c r="M84" s="438" t="str">
        <f t="shared" si="1"/>
        <v/>
      </c>
      <c r="N84" s="461"/>
      <c r="O84" s="461"/>
    </row>
    <row r="85" spans="1:15" s="440" customFormat="1" ht="66.75" customHeight="1">
      <c r="A85" s="459"/>
      <c r="B85" s="432"/>
      <c r="C85" s="460"/>
      <c r="D85" s="432" t="str" cm="1">
        <f t="array" ref="D85">_xll.FDSB(B85,"P_SYMBOL")</f>
        <v/>
      </c>
      <c r="E85" s="433" t="str" cm="1">
        <f t="array" ref="E85">_xll.FDSB(D85,"FF_CO_NAME")</f>
        <v/>
      </c>
      <c r="F85" s="434" t="str" cm="1">
        <f t="array" ref="F85">_xll.FDSB(D85,"FF_ADDRESS")&amp;" "&amp;_xll.FDSB(D85,"FF_ADDRESS2")&amp;" "&amp;_xll.FDSB(D85,"FF_CITY")&amp;" "&amp;_xll.FDSB(D85,"FF_POSTAL")&amp;" "&amp;_xll.FDSB(D85,"FF_STATE_PROVINCE")&amp;" "&amp;_xll.FDSB(D85,"FF_COUNTRY")</f>
        <v xml:space="preserve">     </v>
      </c>
      <c r="G85" s="436" t="str" cm="1">
        <f t="array" ref="G85">_xll.FDSB(D85,"FF_SALES(ANN_R,0)")</f>
        <v/>
      </c>
      <c r="H85" s="436" t="str" cm="1">
        <f t="array" ref="H85">_xll.FDSB(D85,"FF_EMP_NUM(ANN,0)")</f>
        <v/>
      </c>
      <c r="I85" s="437" t="str" cm="1">
        <f t="array" ref="I85">_xll.FDSRB(D85,"OS_TOP_HLDR_ULTPRNT(1,0D,,MTD,,F,SEC)[0]")</f>
        <v/>
      </c>
      <c r="J85" s="437" t="str" cm="1">
        <f t="array" ref="J85">_xll.FDSRB(D85,"FF_BUS_DESC_EXT")</f>
        <v/>
      </c>
      <c r="K85" s="437" t="str" cm="1">
        <f t="array" ref="K85">_xll.FDSB(D85,"HOMEPAGE")</f>
        <v/>
      </c>
      <c r="L85" s="437" t="str" cm="1">
        <f t="array" ref="L85">_xll.FDSB(D85,"FG_EXCHANGE")</f>
        <v/>
      </c>
      <c r="M85" s="438" t="str">
        <f t="shared" si="1"/>
        <v/>
      </c>
      <c r="N85" s="461"/>
      <c r="O85" s="462"/>
    </row>
    <row r="86" spans="1:15" s="440" customFormat="1" ht="66.75" customHeight="1">
      <c r="A86" s="459"/>
      <c r="B86" s="432"/>
      <c r="C86" s="460"/>
      <c r="D86" s="432" t="str" cm="1">
        <f t="array" ref="D86">_xll.FDSB(B86,"P_SYMBOL")</f>
        <v/>
      </c>
      <c r="E86" s="433" t="str" cm="1">
        <f t="array" ref="E86">_xll.FDSB(D86,"FF_CO_NAME")</f>
        <v/>
      </c>
      <c r="F86" s="434" t="str" cm="1">
        <f t="array" ref="F86">_xll.FDSB(D86,"FF_ADDRESS")&amp;" "&amp;_xll.FDSB(D86,"FF_ADDRESS2")&amp;" "&amp;_xll.FDSB(D86,"FF_CITY")&amp;" "&amp;_xll.FDSB(D86,"FF_POSTAL")&amp;" "&amp;_xll.FDSB(D86,"FF_STATE_PROVINCE")&amp;" "&amp;_xll.FDSB(D86,"FF_COUNTRY")</f>
        <v xml:space="preserve">     </v>
      </c>
      <c r="G86" s="436" t="str" cm="1">
        <f t="array" ref="G86">_xll.FDSB(D86,"FF_SALES(ANN_R,0)")</f>
        <v/>
      </c>
      <c r="H86" s="436" t="str" cm="1">
        <f t="array" ref="H86">_xll.FDSB(D86,"FF_EMP_NUM(ANN,0)")</f>
        <v/>
      </c>
      <c r="I86" s="437" t="str" cm="1">
        <f t="array" ref="I86">_xll.FDSRB(D86,"OS_TOP_HLDR_ULTPRNT(1,0D,,MTD,,F,SEC)[0]")</f>
        <v/>
      </c>
      <c r="J86" s="437" t="str" cm="1">
        <f t="array" ref="J86">_xll.FDSRB(D86,"FF_BUS_DESC_EXT")</f>
        <v/>
      </c>
      <c r="K86" s="437" t="str" cm="1">
        <f t="array" ref="K86">_xll.FDSB(D86,"HOMEPAGE")</f>
        <v/>
      </c>
      <c r="L86" s="437" t="str" cm="1">
        <f t="array" ref="L86">_xll.FDSB(D86,"FG_EXCHANGE")</f>
        <v/>
      </c>
      <c r="M86" s="438" t="str">
        <f t="shared" si="1"/>
        <v/>
      </c>
      <c r="N86" s="461"/>
      <c r="O86" s="461"/>
    </row>
    <row r="87" spans="1:15" s="440" customFormat="1" ht="66.75" customHeight="1">
      <c r="A87" s="459"/>
      <c r="B87" s="432"/>
      <c r="C87" s="460"/>
      <c r="D87" s="432" t="str" cm="1">
        <f t="array" ref="D87">_xll.FDSB(B87,"P_SYMBOL")</f>
        <v/>
      </c>
      <c r="E87" s="433" t="str" cm="1">
        <f t="array" ref="E87">_xll.FDSB(D87,"FF_CO_NAME")</f>
        <v/>
      </c>
      <c r="F87" s="434" t="str" cm="1">
        <f t="array" ref="F87">_xll.FDSB(D87,"FF_ADDRESS")&amp;" "&amp;_xll.FDSB(D87,"FF_ADDRESS2")&amp;" "&amp;_xll.FDSB(D87,"FF_CITY")&amp;" "&amp;_xll.FDSB(D87,"FF_POSTAL")&amp;" "&amp;_xll.FDSB(D87,"FF_STATE_PROVINCE")&amp;" "&amp;_xll.FDSB(D87,"FF_COUNTRY")</f>
        <v xml:space="preserve">     </v>
      </c>
      <c r="G87" s="436" t="str" cm="1">
        <f t="array" ref="G87">_xll.FDSB(D87,"FF_SALES(ANN_R,0)")</f>
        <v/>
      </c>
      <c r="H87" s="436" t="str" cm="1">
        <f t="array" ref="H87">_xll.FDSB(D87,"FF_EMP_NUM(ANN,0)")</f>
        <v/>
      </c>
      <c r="I87" s="437" t="str" cm="1">
        <f t="array" ref="I87">_xll.FDSRB(D87,"OS_TOP_HLDR_ULTPRNT(1,0D,,MTD,,F,SEC)[0]")</f>
        <v/>
      </c>
      <c r="J87" s="437" t="str" cm="1">
        <f t="array" ref="J87">_xll.FDSRB(D87,"FF_BUS_DESC_EXT")</f>
        <v/>
      </c>
      <c r="K87" s="437" t="str" cm="1">
        <f t="array" ref="K87">_xll.FDSB(D87,"HOMEPAGE")</f>
        <v/>
      </c>
      <c r="L87" s="437" t="str" cm="1">
        <f t="array" ref="L87">_xll.FDSB(D87,"FG_EXCHANGE")</f>
        <v/>
      </c>
      <c r="M87" s="438" t="str">
        <f t="shared" si="1"/>
        <v/>
      </c>
      <c r="N87" s="461"/>
      <c r="O87" s="462"/>
    </row>
    <row r="88" spans="1:15" s="440" customFormat="1" ht="66.75" customHeight="1">
      <c r="A88" s="459"/>
      <c r="B88" s="432"/>
      <c r="C88" s="460"/>
      <c r="D88" s="432" t="str" cm="1">
        <f t="array" ref="D88">_xll.FDSB(B88,"P_SYMBOL")</f>
        <v/>
      </c>
      <c r="E88" s="433" t="str" cm="1">
        <f t="array" ref="E88">_xll.FDSB(D88,"FF_CO_NAME")</f>
        <v/>
      </c>
      <c r="F88" s="434" t="str" cm="1">
        <f t="array" ref="F88">_xll.FDSB(D88,"FF_ADDRESS")&amp;" "&amp;_xll.FDSB(D88,"FF_ADDRESS2")&amp;" "&amp;_xll.FDSB(D88,"FF_CITY")&amp;" "&amp;_xll.FDSB(D88,"FF_POSTAL")&amp;" "&amp;_xll.FDSB(D88,"FF_STATE_PROVINCE")&amp;" "&amp;_xll.FDSB(D88,"FF_COUNTRY")</f>
        <v xml:space="preserve">     </v>
      </c>
      <c r="G88" s="436" t="str" cm="1">
        <f t="array" ref="G88">_xll.FDSB(D88,"FF_SALES(ANN_R,0)")</f>
        <v/>
      </c>
      <c r="H88" s="436" t="str" cm="1">
        <f t="array" ref="H88">_xll.FDSB(D88,"FF_EMP_NUM(ANN,0)")</f>
        <v/>
      </c>
      <c r="I88" s="437" t="str" cm="1">
        <f t="array" ref="I88">_xll.FDSRB(D88,"OS_TOP_HLDR_ULTPRNT(1,0D,,MTD,,F,SEC)[0]")</f>
        <v/>
      </c>
      <c r="J88" s="437" t="str" cm="1">
        <f t="array" ref="J88">_xll.FDSRB(D88,"FF_BUS_DESC_EXT")</f>
        <v/>
      </c>
      <c r="K88" s="437" t="str" cm="1">
        <f t="array" ref="K88">_xll.FDSB(D88,"HOMEPAGE")</f>
        <v/>
      </c>
      <c r="L88" s="437" t="str" cm="1">
        <f t="array" ref="L88">_xll.FDSB(D88,"FG_EXCHANGE")</f>
        <v/>
      </c>
      <c r="M88" s="438" t="str">
        <f t="shared" si="1"/>
        <v/>
      </c>
      <c r="N88" s="461"/>
      <c r="O88" s="461"/>
    </row>
    <row r="89" spans="1:15" s="440" customFormat="1" ht="66.75" customHeight="1">
      <c r="A89" s="459"/>
      <c r="B89" s="432"/>
      <c r="C89" s="460"/>
      <c r="D89" s="432" t="str" cm="1">
        <f t="array" ref="D89">_xll.FDSB(B89,"P_SYMBOL")</f>
        <v/>
      </c>
      <c r="E89" s="433" t="str" cm="1">
        <f t="array" ref="E89">_xll.FDSB(D89,"FF_CO_NAME")</f>
        <v/>
      </c>
      <c r="F89" s="434" t="str" cm="1">
        <f t="array" ref="F89">_xll.FDSB(D89,"FF_ADDRESS")&amp;" "&amp;_xll.FDSB(D89,"FF_ADDRESS2")&amp;" "&amp;_xll.FDSB(D89,"FF_CITY")&amp;" "&amp;_xll.FDSB(D89,"FF_POSTAL")&amp;" "&amp;_xll.FDSB(D89,"FF_STATE_PROVINCE")&amp;" "&amp;_xll.FDSB(D89,"FF_COUNTRY")</f>
        <v xml:space="preserve">     </v>
      </c>
      <c r="G89" s="436" t="str" cm="1">
        <f t="array" ref="G89">_xll.FDSB(D89,"FF_SALES(ANN_R,0)")</f>
        <v/>
      </c>
      <c r="H89" s="436" t="str" cm="1">
        <f t="array" ref="H89">_xll.FDSB(D89,"FF_EMP_NUM(ANN,0)")</f>
        <v/>
      </c>
      <c r="I89" s="437" t="str" cm="1">
        <f t="array" ref="I89">_xll.FDSRB(D89,"OS_TOP_HLDR_ULTPRNT(1,0D,,MTD,,F,SEC)[0]")</f>
        <v/>
      </c>
      <c r="J89" s="437" t="str" cm="1">
        <f t="array" ref="J89">_xll.FDSRB(D89,"FF_BUS_DESC_EXT")</f>
        <v/>
      </c>
      <c r="K89" s="437" t="str" cm="1">
        <f t="array" ref="K89">_xll.FDSB(D89,"HOMEPAGE")</f>
        <v/>
      </c>
      <c r="L89" s="437" t="str" cm="1">
        <f t="array" ref="L89">_xll.FDSB(D89,"FG_EXCHANGE")</f>
        <v/>
      </c>
      <c r="M89" s="438" t="str">
        <f t="shared" si="1"/>
        <v/>
      </c>
      <c r="N89" s="461"/>
      <c r="O89" s="462"/>
    </row>
    <row r="90" spans="1:15" s="440" customFormat="1" ht="66.75" customHeight="1">
      <c r="A90" s="459"/>
      <c r="B90" s="432"/>
      <c r="C90" s="460"/>
      <c r="D90" s="432" t="str" cm="1">
        <f t="array" ref="D90">_xll.FDSB(B90,"P_SYMBOL")</f>
        <v/>
      </c>
      <c r="E90" s="433" t="str" cm="1">
        <f t="array" ref="E90">_xll.FDSB(D90,"FF_CO_NAME")</f>
        <v/>
      </c>
      <c r="F90" s="434" t="str" cm="1">
        <f t="array" ref="F90">_xll.FDSB(D90,"FF_ADDRESS")&amp;" "&amp;_xll.FDSB(D90,"FF_ADDRESS2")&amp;" "&amp;_xll.FDSB(D90,"FF_CITY")&amp;" "&amp;_xll.FDSB(D90,"FF_POSTAL")&amp;" "&amp;_xll.FDSB(D90,"FF_STATE_PROVINCE")&amp;" "&amp;_xll.FDSB(D90,"FF_COUNTRY")</f>
        <v xml:space="preserve">     </v>
      </c>
      <c r="G90" s="436" t="str" cm="1">
        <f t="array" ref="G90">_xll.FDSB(D90,"FF_SALES(ANN_R,0)")</f>
        <v/>
      </c>
      <c r="H90" s="436" t="str" cm="1">
        <f t="array" ref="H90">_xll.FDSB(D90,"FF_EMP_NUM(ANN,0)")</f>
        <v/>
      </c>
      <c r="I90" s="437" t="str" cm="1">
        <f t="array" ref="I90">_xll.FDSRB(D90,"OS_TOP_HLDR_ULTPRNT(1,0D,,MTD,,F,SEC)[0]")</f>
        <v/>
      </c>
      <c r="J90" s="437" t="str" cm="1">
        <f t="array" ref="J90">_xll.FDSRB(D90,"FF_BUS_DESC_EXT")</f>
        <v/>
      </c>
      <c r="K90" s="437" t="str" cm="1">
        <f t="array" ref="K90">_xll.FDSB(D90,"HOMEPAGE")</f>
        <v/>
      </c>
      <c r="L90" s="437" t="str" cm="1">
        <f t="array" ref="L90">_xll.FDSB(D90,"FG_EXCHANGE")</f>
        <v/>
      </c>
      <c r="M90" s="438" t="str">
        <f t="shared" si="1"/>
        <v/>
      </c>
      <c r="N90" s="461"/>
      <c r="O90" s="461"/>
    </row>
    <row r="91" spans="1:15" s="440" customFormat="1" ht="66.75" customHeight="1">
      <c r="A91" s="459"/>
      <c r="B91" s="432"/>
      <c r="C91" s="460"/>
      <c r="D91" s="432" t="str" cm="1">
        <f t="array" ref="D91">_xll.FDSB(B91,"P_SYMBOL")</f>
        <v/>
      </c>
      <c r="E91" s="433" t="str" cm="1">
        <f t="array" ref="E91">_xll.FDSB(D91,"FF_CO_NAME")</f>
        <v/>
      </c>
      <c r="F91" s="434" t="str" cm="1">
        <f t="array" ref="F91">_xll.FDSB(D91,"FF_ADDRESS")&amp;" "&amp;_xll.FDSB(D91,"FF_ADDRESS2")&amp;" "&amp;_xll.FDSB(D91,"FF_CITY")&amp;" "&amp;_xll.FDSB(D91,"FF_POSTAL")&amp;" "&amp;_xll.FDSB(D91,"FF_STATE_PROVINCE")&amp;" "&amp;_xll.FDSB(D91,"FF_COUNTRY")</f>
        <v xml:space="preserve">     </v>
      </c>
      <c r="G91" s="436" t="str" cm="1">
        <f t="array" ref="G91">_xll.FDSB(D91,"FF_SALES(ANN_R,0)")</f>
        <v/>
      </c>
      <c r="H91" s="436" t="str" cm="1">
        <f t="array" ref="H91">_xll.FDSB(D91,"FF_EMP_NUM(ANN,0)")</f>
        <v/>
      </c>
      <c r="I91" s="437" t="str" cm="1">
        <f t="array" ref="I91">_xll.FDSRB(D91,"OS_TOP_HLDR_ULTPRNT(1,0D,,MTD,,F,SEC)[0]")</f>
        <v/>
      </c>
      <c r="J91" s="437" t="str" cm="1">
        <f t="array" ref="J91">_xll.FDSRB(D91,"FF_BUS_DESC_EXT")</f>
        <v/>
      </c>
      <c r="K91" s="437" t="str" cm="1">
        <f t="array" ref="K91">_xll.FDSB(D91,"HOMEPAGE")</f>
        <v/>
      </c>
      <c r="L91" s="437" t="str" cm="1">
        <f t="array" ref="L91">_xll.FDSB(D91,"FG_EXCHANGE")</f>
        <v/>
      </c>
      <c r="M91" s="438" t="str">
        <f t="shared" si="1"/>
        <v/>
      </c>
      <c r="N91" s="461"/>
      <c r="O91" s="462"/>
    </row>
    <row r="92" spans="1:15" s="440" customFormat="1" ht="66.75" customHeight="1">
      <c r="A92" s="459"/>
      <c r="B92" s="432"/>
      <c r="C92" s="460"/>
      <c r="D92" s="432" t="str" cm="1">
        <f t="array" ref="D92">_xll.FDSB(B92,"P_SYMBOL")</f>
        <v/>
      </c>
      <c r="E92" s="433" t="str" cm="1">
        <f t="array" ref="E92">_xll.FDSB(D92,"FF_CO_NAME")</f>
        <v/>
      </c>
      <c r="F92" s="434" t="str" cm="1">
        <f t="array" ref="F92">_xll.FDSB(D92,"FF_ADDRESS")&amp;" "&amp;_xll.FDSB(D92,"FF_ADDRESS2")&amp;" "&amp;_xll.FDSB(D92,"FF_CITY")&amp;" "&amp;_xll.FDSB(D92,"FF_POSTAL")&amp;" "&amp;_xll.FDSB(D92,"FF_STATE_PROVINCE")&amp;" "&amp;_xll.FDSB(D92,"FF_COUNTRY")</f>
        <v xml:space="preserve">     </v>
      </c>
      <c r="G92" s="436" t="str" cm="1">
        <f t="array" ref="G92">_xll.FDSB(D92,"FF_SALES(ANN_R,0)")</f>
        <v/>
      </c>
      <c r="H92" s="436" t="str" cm="1">
        <f t="array" ref="H92">_xll.FDSB(D92,"FF_EMP_NUM(ANN,0)")</f>
        <v/>
      </c>
      <c r="I92" s="437" t="str" cm="1">
        <f t="array" ref="I92">_xll.FDSRB(D92,"OS_TOP_HLDR_ULTPRNT(1,0D,,MTD,,F,SEC)[0]")</f>
        <v/>
      </c>
      <c r="J92" s="437" t="str" cm="1">
        <f t="array" ref="J92">_xll.FDSRB(D92,"FF_BUS_DESC_EXT")</f>
        <v/>
      </c>
      <c r="K92" s="437" t="str" cm="1">
        <f t="array" ref="K92">_xll.FDSB(D92,"HOMEPAGE")</f>
        <v/>
      </c>
      <c r="L92" s="437" t="str" cm="1">
        <f t="array" ref="L92">_xll.FDSB(D92,"FG_EXCHANGE")</f>
        <v/>
      </c>
      <c r="M92" s="438" t="str">
        <f t="shared" si="1"/>
        <v/>
      </c>
      <c r="N92" s="461"/>
      <c r="O92" s="461"/>
    </row>
    <row r="93" spans="1:15" s="440" customFormat="1" ht="66.75" customHeight="1">
      <c r="A93" s="459"/>
      <c r="B93" s="432"/>
      <c r="C93" s="460"/>
      <c r="D93" s="432" t="str" cm="1">
        <f t="array" ref="D93">_xll.FDSB(B93,"P_SYMBOL")</f>
        <v/>
      </c>
      <c r="E93" s="433" t="str" cm="1">
        <f t="array" ref="E93">_xll.FDSB(D93,"FF_CO_NAME")</f>
        <v/>
      </c>
      <c r="F93" s="434" t="str" cm="1">
        <f t="array" ref="F93">_xll.FDSB(D93,"FF_ADDRESS")&amp;" "&amp;_xll.FDSB(D93,"FF_ADDRESS2")&amp;" "&amp;_xll.FDSB(D93,"FF_CITY")&amp;" "&amp;_xll.FDSB(D93,"FF_POSTAL")&amp;" "&amp;_xll.FDSB(D93,"FF_STATE_PROVINCE")&amp;" "&amp;_xll.FDSB(D93,"FF_COUNTRY")</f>
        <v xml:space="preserve">     </v>
      </c>
      <c r="G93" s="436" t="str" cm="1">
        <f t="array" ref="G93">_xll.FDSB(D93,"FF_SALES(ANN_R,0)")</f>
        <v/>
      </c>
      <c r="H93" s="436" t="str" cm="1">
        <f t="array" ref="H93">_xll.FDSB(D93,"FF_EMP_NUM(ANN,0)")</f>
        <v/>
      </c>
      <c r="I93" s="437" t="str" cm="1">
        <f t="array" ref="I93">_xll.FDSRB(D93,"OS_TOP_HLDR_ULTPRNT(1,0D,,MTD,,F,SEC)[0]")</f>
        <v/>
      </c>
      <c r="J93" s="437" t="str" cm="1">
        <f t="array" ref="J93">_xll.FDSRB(D93,"FF_BUS_DESC_EXT")</f>
        <v/>
      </c>
      <c r="K93" s="437" t="str" cm="1">
        <f t="array" ref="K93">_xll.FDSB(D93,"HOMEPAGE")</f>
        <v/>
      </c>
      <c r="L93" s="437" t="str" cm="1">
        <f t="array" ref="L93">_xll.FDSB(D93,"FG_EXCHANGE")</f>
        <v/>
      </c>
      <c r="M93" s="438" t="str">
        <f t="shared" si="1"/>
        <v/>
      </c>
      <c r="N93" s="461"/>
      <c r="O93" s="462"/>
    </row>
    <row r="94" spans="1:15" s="440" customFormat="1" ht="66.75" customHeight="1">
      <c r="A94" s="459"/>
      <c r="B94" s="432"/>
      <c r="C94" s="460"/>
      <c r="D94" s="432" t="str" cm="1">
        <f t="array" ref="D94">_xll.FDSB(B94,"P_SYMBOL")</f>
        <v/>
      </c>
      <c r="E94" s="433" t="str" cm="1">
        <f t="array" ref="E94">_xll.FDSB(D94,"FF_CO_NAME")</f>
        <v/>
      </c>
      <c r="F94" s="434" t="str" cm="1">
        <f t="array" ref="F94">_xll.FDSB(D94,"FF_ADDRESS")&amp;" "&amp;_xll.FDSB(D94,"FF_ADDRESS2")&amp;" "&amp;_xll.FDSB(D94,"FF_CITY")&amp;" "&amp;_xll.FDSB(D94,"FF_POSTAL")&amp;" "&amp;_xll.FDSB(D94,"FF_STATE_PROVINCE")&amp;" "&amp;_xll.FDSB(D94,"FF_COUNTRY")</f>
        <v xml:space="preserve">     </v>
      </c>
      <c r="G94" s="436" t="str" cm="1">
        <f t="array" ref="G94">_xll.FDSB(D94,"FF_SALES(ANN_R,0)")</f>
        <v/>
      </c>
      <c r="H94" s="436" t="str" cm="1">
        <f t="array" ref="H94">_xll.FDSB(D94,"FF_EMP_NUM(ANN,0)")</f>
        <v/>
      </c>
      <c r="I94" s="437" t="str" cm="1">
        <f t="array" ref="I94">_xll.FDSRB(D94,"OS_TOP_HLDR_ULTPRNT(1,0D,,MTD,,F,SEC)[0]")</f>
        <v/>
      </c>
      <c r="J94" s="437" t="str" cm="1">
        <f t="array" ref="J94">_xll.FDSRB(D94,"FF_BUS_DESC_EXT")</f>
        <v/>
      </c>
      <c r="K94" s="437" t="str" cm="1">
        <f t="array" ref="K94">_xll.FDSB(D94,"HOMEPAGE")</f>
        <v/>
      </c>
      <c r="L94" s="437" t="str" cm="1">
        <f t="array" ref="L94">_xll.FDSB(D94,"FG_EXCHANGE")</f>
        <v/>
      </c>
      <c r="M94" s="438" t="str">
        <f t="shared" si="1"/>
        <v/>
      </c>
      <c r="N94" s="461"/>
      <c r="O94" s="461"/>
    </row>
    <row r="95" spans="1:15" s="440" customFormat="1" ht="66.75" customHeight="1">
      <c r="A95" s="459"/>
      <c r="B95" s="432"/>
      <c r="C95" s="460"/>
      <c r="D95" s="432" t="str" cm="1">
        <f t="array" ref="D95">_xll.FDSB(B95,"P_SYMBOL")</f>
        <v/>
      </c>
      <c r="E95" s="433" t="str" cm="1">
        <f t="array" ref="E95">_xll.FDSB(D95,"FF_CO_NAME")</f>
        <v/>
      </c>
      <c r="F95" s="434" t="str" cm="1">
        <f t="array" ref="F95">_xll.FDSB(D95,"FF_ADDRESS")&amp;" "&amp;_xll.FDSB(D95,"FF_ADDRESS2")&amp;" "&amp;_xll.FDSB(D95,"FF_CITY")&amp;" "&amp;_xll.FDSB(D95,"FF_POSTAL")&amp;" "&amp;_xll.FDSB(D95,"FF_STATE_PROVINCE")&amp;" "&amp;_xll.FDSB(D95,"FF_COUNTRY")</f>
        <v xml:space="preserve">     </v>
      </c>
      <c r="G95" s="436" t="str" cm="1">
        <f t="array" ref="G95">_xll.FDSB(D95,"FF_SALES(ANN_R,0)")</f>
        <v/>
      </c>
      <c r="H95" s="436" t="str" cm="1">
        <f t="array" ref="H95">_xll.FDSB(D95,"FF_EMP_NUM(ANN,0)")</f>
        <v/>
      </c>
      <c r="I95" s="437" t="str" cm="1">
        <f t="array" ref="I95">_xll.FDSRB(D95,"OS_TOP_HLDR_ULTPRNT(1,0D,,MTD,,F,SEC)[0]")</f>
        <v/>
      </c>
      <c r="J95" s="437" t="str" cm="1">
        <f t="array" ref="J95">_xll.FDSRB(D95,"FF_BUS_DESC_EXT")</f>
        <v/>
      </c>
      <c r="K95" s="437" t="str" cm="1">
        <f t="array" ref="K95">_xll.FDSB(D95,"HOMEPAGE")</f>
        <v/>
      </c>
      <c r="L95" s="437" t="str" cm="1">
        <f t="array" ref="L95">_xll.FDSB(D95,"FG_EXCHANGE")</f>
        <v/>
      </c>
      <c r="M95" s="438" t="str">
        <f t="shared" si="1"/>
        <v/>
      </c>
      <c r="N95" s="461"/>
      <c r="O95" s="462"/>
    </row>
    <row r="96" spans="1:15" s="440" customFormat="1" ht="66.75" customHeight="1">
      <c r="A96" s="459"/>
      <c r="B96" s="432"/>
      <c r="C96" s="460"/>
      <c r="D96" s="432" t="str" cm="1">
        <f t="array" ref="D96">_xll.FDSB(B96,"P_SYMBOL")</f>
        <v/>
      </c>
      <c r="E96" s="433" t="str" cm="1">
        <f t="array" ref="E96">_xll.FDSB(D96,"FF_CO_NAME")</f>
        <v/>
      </c>
      <c r="F96" s="434" t="str" cm="1">
        <f t="array" ref="F96">_xll.FDSB(D96,"FF_ADDRESS")&amp;" "&amp;_xll.FDSB(D96,"FF_ADDRESS2")&amp;" "&amp;_xll.FDSB(D96,"FF_CITY")&amp;" "&amp;_xll.FDSB(D96,"FF_POSTAL")&amp;" "&amp;_xll.FDSB(D96,"FF_STATE_PROVINCE")&amp;" "&amp;_xll.FDSB(D96,"FF_COUNTRY")</f>
        <v xml:space="preserve">     </v>
      </c>
      <c r="G96" s="436" t="str" cm="1">
        <f t="array" ref="G96">_xll.FDSB(D96,"FF_SALES(ANN_R,0)")</f>
        <v/>
      </c>
      <c r="H96" s="436" t="str" cm="1">
        <f t="array" ref="H96">_xll.FDSB(D96,"FF_EMP_NUM(ANN,0)")</f>
        <v/>
      </c>
      <c r="I96" s="437" t="str" cm="1">
        <f t="array" ref="I96">_xll.FDSRB(D96,"OS_TOP_HLDR_ULTPRNT(1,0D,,MTD,,F,SEC)[0]")</f>
        <v/>
      </c>
      <c r="J96" s="437" t="str" cm="1">
        <f t="array" ref="J96">_xll.FDSRB(D96,"FF_BUS_DESC_EXT")</f>
        <v/>
      </c>
      <c r="K96" s="437" t="str" cm="1">
        <f t="array" ref="K96">_xll.FDSB(D96,"HOMEPAGE")</f>
        <v/>
      </c>
      <c r="L96" s="437" t="str" cm="1">
        <f t="array" ref="L96">_xll.FDSB(D96,"FG_EXCHANGE")</f>
        <v/>
      </c>
      <c r="M96" s="438" t="str">
        <f t="shared" si="1"/>
        <v/>
      </c>
      <c r="N96" s="461"/>
      <c r="O96" s="461"/>
    </row>
    <row r="97" spans="1:15" s="440" customFormat="1" ht="66.75" customHeight="1">
      <c r="A97" s="459"/>
      <c r="B97" s="432"/>
      <c r="C97" s="460"/>
      <c r="D97" s="432" t="str" cm="1">
        <f t="array" ref="D97">_xll.FDSB(B97,"P_SYMBOL")</f>
        <v/>
      </c>
      <c r="E97" s="433" t="str" cm="1">
        <f t="array" ref="E97">_xll.FDSB(D97,"FF_CO_NAME")</f>
        <v/>
      </c>
      <c r="F97" s="434" t="str" cm="1">
        <f t="array" ref="F97">_xll.FDSB(D97,"FF_ADDRESS")&amp;" "&amp;_xll.FDSB(D97,"FF_ADDRESS2")&amp;" "&amp;_xll.FDSB(D97,"FF_CITY")&amp;" "&amp;_xll.FDSB(D97,"FF_POSTAL")&amp;" "&amp;_xll.FDSB(D97,"FF_STATE_PROVINCE")&amp;" "&amp;_xll.FDSB(D97,"FF_COUNTRY")</f>
        <v xml:space="preserve">     </v>
      </c>
      <c r="G97" s="436" t="str" cm="1">
        <f t="array" ref="G97">_xll.FDSB(D97,"FF_SALES(ANN_R,0)")</f>
        <v/>
      </c>
      <c r="H97" s="436" t="str" cm="1">
        <f t="array" ref="H97">_xll.FDSB(D97,"FF_EMP_NUM(ANN,0)")</f>
        <v/>
      </c>
      <c r="I97" s="437" t="str" cm="1">
        <f t="array" ref="I97">_xll.FDSRB(D97,"OS_TOP_HLDR_ULTPRNT(1,0D,,MTD,,F,SEC)[0]")</f>
        <v/>
      </c>
      <c r="J97" s="437" t="str" cm="1">
        <f t="array" ref="J97">_xll.FDSRB(D97,"FF_BUS_DESC_EXT")</f>
        <v/>
      </c>
      <c r="K97" s="437" t="str" cm="1">
        <f t="array" ref="K97">_xll.FDSB(D97,"HOMEPAGE")</f>
        <v/>
      </c>
      <c r="L97" s="437" t="str" cm="1">
        <f t="array" ref="L97">_xll.FDSB(D97,"FG_EXCHANGE")</f>
        <v/>
      </c>
      <c r="M97" s="438" t="str">
        <f t="shared" si="1"/>
        <v/>
      </c>
      <c r="N97" s="461"/>
      <c r="O97" s="462"/>
    </row>
    <row r="98" spans="1:15" s="440" customFormat="1" ht="66.75" customHeight="1">
      <c r="A98" s="459"/>
      <c r="B98" s="432"/>
      <c r="C98" s="460"/>
      <c r="D98" s="432" t="str" cm="1">
        <f t="array" ref="D98">_xll.FDSB(B98,"P_SYMBOL")</f>
        <v/>
      </c>
      <c r="E98" s="433" t="str" cm="1">
        <f t="array" ref="E98">_xll.FDSB(D98,"FF_CO_NAME")</f>
        <v/>
      </c>
      <c r="F98" s="434" t="str" cm="1">
        <f t="array" ref="F98">_xll.FDSB(D98,"FF_ADDRESS")&amp;" "&amp;_xll.FDSB(D98,"FF_ADDRESS2")&amp;" "&amp;_xll.FDSB(D98,"FF_CITY")&amp;" "&amp;_xll.FDSB(D98,"FF_POSTAL")&amp;" "&amp;_xll.FDSB(D98,"FF_STATE_PROVINCE")&amp;" "&amp;_xll.FDSB(D98,"FF_COUNTRY")</f>
        <v xml:space="preserve">     </v>
      </c>
      <c r="G98" s="436" t="str" cm="1">
        <f t="array" ref="G98">_xll.FDSB(D98,"FF_SALES(ANN_R,0)")</f>
        <v/>
      </c>
      <c r="H98" s="436" t="str" cm="1">
        <f t="array" ref="H98">_xll.FDSB(D98,"FF_EMP_NUM(ANN,0)")</f>
        <v/>
      </c>
      <c r="I98" s="437" t="str" cm="1">
        <f t="array" ref="I98">_xll.FDSRB(D98,"OS_TOP_HLDR_ULTPRNT(1,0D,,MTD,,F,SEC)[0]")</f>
        <v/>
      </c>
      <c r="J98" s="437" t="str" cm="1">
        <f t="array" ref="J98">_xll.FDSRB(D98,"FF_BUS_DESC_EXT")</f>
        <v/>
      </c>
      <c r="K98" s="437" t="str" cm="1">
        <f t="array" ref="K98">_xll.FDSB(D98,"HOMEPAGE")</f>
        <v/>
      </c>
      <c r="L98" s="437" t="str" cm="1">
        <f t="array" ref="L98">_xll.FDSB(D98,"FG_EXCHANGE")</f>
        <v/>
      </c>
      <c r="M98" s="438" t="str">
        <f t="shared" si="1"/>
        <v/>
      </c>
      <c r="N98" s="461"/>
      <c r="O98" s="461"/>
    </row>
    <row r="99" spans="1:15" s="440" customFormat="1" ht="66.75" customHeight="1">
      <c r="A99" s="459"/>
      <c r="B99" s="432"/>
      <c r="C99" s="460"/>
      <c r="D99" s="432" t="str" cm="1">
        <f t="array" ref="D99">_xll.FDSB(B99,"P_SYMBOL")</f>
        <v/>
      </c>
      <c r="E99" s="433" t="str" cm="1">
        <f t="array" ref="E99">_xll.FDSB(D99,"FF_CO_NAME")</f>
        <v/>
      </c>
      <c r="F99" s="434" t="str" cm="1">
        <f t="array" ref="F99">_xll.FDSB(D99,"FF_ADDRESS")&amp;" "&amp;_xll.FDSB(D99,"FF_ADDRESS2")&amp;" "&amp;_xll.FDSB(D99,"FF_CITY")&amp;" "&amp;_xll.FDSB(D99,"FF_POSTAL")&amp;" "&amp;_xll.FDSB(D99,"FF_STATE_PROVINCE")&amp;" "&amp;_xll.FDSB(D99,"FF_COUNTRY")</f>
        <v xml:space="preserve">     </v>
      </c>
      <c r="G99" s="436" t="str" cm="1">
        <f t="array" ref="G99">_xll.FDSB(D99,"FF_SALES(ANN_R,0)")</f>
        <v/>
      </c>
      <c r="H99" s="436" t="str" cm="1">
        <f t="array" ref="H99">_xll.FDSB(D99,"FF_EMP_NUM(ANN,0)")</f>
        <v/>
      </c>
      <c r="I99" s="437" t="str" cm="1">
        <f t="array" ref="I99">_xll.FDSRB(D99,"OS_TOP_HLDR_ULTPRNT(1,0D,,MTD,,F,SEC)[0]")</f>
        <v/>
      </c>
      <c r="J99" s="437" t="str" cm="1">
        <f t="array" ref="J99">_xll.FDSRB(D99,"FF_BUS_DESC_EXT")</f>
        <v/>
      </c>
      <c r="K99" s="437" t="str" cm="1">
        <f t="array" ref="K99">_xll.FDSB(D99,"HOMEPAGE")</f>
        <v/>
      </c>
      <c r="L99" s="437" t="str" cm="1">
        <f t="array" ref="L99">_xll.FDSB(D99,"FG_EXCHANGE")</f>
        <v/>
      </c>
      <c r="M99" s="438" t="str">
        <f t="shared" si="1"/>
        <v/>
      </c>
      <c r="N99" s="461"/>
      <c r="O99" s="462"/>
    </row>
    <row r="100" spans="1:15" s="440" customFormat="1" ht="66.75" customHeight="1">
      <c r="A100" s="459"/>
      <c r="B100" s="432"/>
      <c r="C100" s="460"/>
      <c r="D100" s="432" t="str" cm="1">
        <f t="array" ref="D100">_xll.FDSB(B100,"P_SYMBOL")</f>
        <v/>
      </c>
      <c r="E100" s="433" t="str" cm="1">
        <f t="array" ref="E100">_xll.FDSB(D100,"FF_CO_NAME")</f>
        <v/>
      </c>
      <c r="F100" s="434" t="str" cm="1">
        <f t="array" ref="F100">_xll.FDSB(D100,"FF_ADDRESS")&amp;" "&amp;_xll.FDSB(D100,"FF_ADDRESS2")&amp;" "&amp;_xll.FDSB(D100,"FF_CITY")&amp;" "&amp;_xll.FDSB(D100,"FF_POSTAL")&amp;" "&amp;_xll.FDSB(D100,"FF_STATE_PROVINCE")&amp;" "&amp;_xll.FDSB(D100,"FF_COUNTRY")</f>
        <v xml:space="preserve">     </v>
      </c>
      <c r="G100" s="436" t="str" cm="1">
        <f t="array" ref="G100">_xll.FDSB(D100,"FF_SALES(ANN_R,0)")</f>
        <v/>
      </c>
      <c r="H100" s="436" t="str" cm="1">
        <f t="array" ref="H100">_xll.FDSB(D100,"FF_EMP_NUM(ANN,0)")</f>
        <v/>
      </c>
      <c r="I100" s="437" t="str" cm="1">
        <f t="array" ref="I100">_xll.FDSRB(D100,"OS_TOP_HLDR_ULTPRNT(1,0D,,MTD,,F,SEC)[0]")</f>
        <v/>
      </c>
      <c r="J100" s="437" t="str" cm="1">
        <f t="array" ref="J100">_xll.FDSRB(D100,"FF_BUS_DESC_EXT")</f>
        <v/>
      </c>
      <c r="K100" s="437" t="str" cm="1">
        <f t="array" ref="K100">_xll.FDSB(D100,"HOMEPAGE")</f>
        <v/>
      </c>
      <c r="L100" s="437" t="str" cm="1">
        <f t="array" ref="L100">_xll.FDSB(D100,"FG_EXCHANGE")</f>
        <v/>
      </c>
      <c r="M100" s="438" t="str">
        <f t="shared" si="1"/>
        <v/>
      </c>
      <c r="N100" s="461"/>
      <c r="O100" s="461"/>
    </row>
    <row r="101" spans="1:15" s="440" customFormat="1" ht="66.75" customHeight="1">
      <c r="A101" s="459"/>
      <c r="B101" s="432"/>
      <c r="C101" s="460"/>
      <c r="D101" s="432" t="str" cm="1">
        <f t="array" ref="D101">_xll.FDSB(B101,"P_SYMBOL")</f>
        <v/>
      </c>
      <c r="E101" s="433" t="str" cm="1">
        <f t="array" ref="E101">_xll.FDSB(D101,"FF_CO_NAME")</f>
        <v/>
      </c>
      <c r="F101" s="434" t="str" cm="1">
        <f t="array" ref="F101">_xll.FDSB(D101,"FF_ADDRESS")&amp;" "&amp;_xll.FDSB(D101,"FF_ADDRESS2")&amp;" "&amp;_xll.FDSB(D101,"FF_CITY")&amp;" "&amp;_xll.FDSB(D101,"FF_POSTAL")&amp;" "&amp;_xll.FDSB(D101,"FF_STATE_PROVINCE")&amp;" "&amp;_xll.FDSB(D101,"FF_COUNTRY")</f>
        <v xml:space="preserve">     </v>
      </c>
      <c r="G101" s="436" t="str" cm="1">
        <f t="array" ref="G101">_xll.FDSB(D101,"FF_SALES(ANN_R,0)")</f>
        <v/>
      </c>
      <c r="H101" s="436" t="str" cm="1">
        <f t="array" ref="H101">_xll.FDSB(D101,"FF_EMP_NUM(ANN,0)")</f>
        <v/>
      </c>
      <c r="I101" s="437" t="str" cm="1">
        <f t="array" ref="I101">_xll.FDSRB(D101,"OS_TOP_HLDR_ULTPRNT(1,0D,,MTD,,F,SEC)[0]")</f>
        <v/>
      </c>
      <c r="J101" s="437" t="str" cm="1">
        <f t="array" ref="J101">_xll.FDSRB(D101,"FF_BUS_DESC_EXT")</f>
        <v/>
      </c>
      <c r="K101" s="437" t="str" cm="1">
        <f t="array" ref="K101">_xll.FDSB(D101,"HOMEPAGE")</f>
        <v/>
      </c>
      <c r="L101" s="437" t="str" cm="1">
        <f t="array" ref="L101">_xll.FDSB(D101,"FG_EXCHANGE")</f>
        <v/>
      </c>
      <c r="M101" s="438" t="str">
        <f t="shared" si="1"/>
        <v/>
      </c>
      <c r="N101" s="461"/>
      <c r="O101" s="462"/>
    </row>
    <row r="102" spans="1:15" s="440" customFormat="1" ht="66.75" customHeight="1">
      <c r="A102" s="459"/>
      <c r="B102" s="432"/>
      <c r="C102" s="460"/>
      <c r="D102" s="432" t="str" cm="1">
        <f t="array" ref="D102">_xll.FDSB(B102,"P_SYMBOL")</f>
        <v/>
      </c>
      <c r="E102" s="433" t="str" cm="1">
        <f t="array" ref="E102">_xll.FDSB(D102,"FF_CO_NAME")</f>
        <v/>
      </c>
      <c r="F102" s="434" t="str" cm="1">
        <f t="array" ref="F102">_xll.FDSB(D102,"FF_ADDRESS")&amp;" "&amp;_xll.FDSB(D102,"FF_ADDRESS2")&amp;" "&amp;_xll.FDSB(D102,"FF_CITY")&amp;" "&amp;_xll.FDSB(D102,"FF_POSTAL")&amp;" "&amp;_xll.FDSB(D102,"FF_STATE_PROVINCE")&amp;" "&amp;_xll.FDSB(D102,"FF_COUNTRY")</f>
        <v xml:space="preserve">     </v>
      </c>
      <c r="G102" s="436" t="str" cm="1">
        <f t="array" ref="G102">_xll.FDSB(D102,"FF_SALES(ANN_R,0)")</f>
        <v/>
      </c>
      <c r="H102" s="436" t="str" cm="1">
        <f t="array" ref="H102">_xll.FDSB(D102,"FF_EMP_NUM(ANN,0)")</f>
        <v/>
      </c>
      <c r="I102" s="437" t="str" cm="1">
        <f t="array" ref="I102">_xll.FDSRB(D102,"OS_TOP_HLDR_ULTPRNT(1,0D,,MTD,,F,SEC)[0]")</f>
        <v/>
      </c>
      <c r="J102" s="437" t="str" cm="1">
        <f t="array" ref="J102">_xll.FDSRB(D102,"FF_BUS_DESC_EXT")</f>
        <v/>
      </c>
      <c r="K102" s="437" t="str" cm="1">
        <f t="array" ref="K102">_xll.FDSB(D102,"HOMEPAGE")</f>
        <v/>
      </c>
      <c r="L102" s="437" t="str" cm="1">
        <f t="array" ref="L102">_xll.FDSB(D102,"FG_EXCHANGE")</f>
        <v/>
      </c>
      <c r="M102" s="438" t="str">
        <f t="shared" si="1"/>
        <v/>
      </c>
      <c r="N102" s="461"/>
      <c r="O102" s="461"/>
    </row>
    <row r="103" spans="1:15" s="440" customFormat="1" ht="66.75" customHeight="1">
      <c r="A103" s="459"/>
      <c r="B103" s="432"/>
      <c r="C103" s="460"/>
      <c r="D103" s="432" t="str" cm="1">
        <f t="array" ref="D103">_xll.FDSB(B103,"P_SYMBOL")</f>
        <v/>
      </c>
      <c r="E103" s="433" t="str" cm="1">
        <f t="array" ref="E103">_xll.FDSB(D103,"FF_CO_NAME")</f>
        <v/>
      </c>
      <c r="F103" s="434" t="str" cm="1">
        <f t="array" ref="F103">_xll.FDSB(D103,"FF_ADDRESS")&amp;" "&amp;_xll.FDSB(D103,"FF_ADDRESS2")&amp;" "&amp;_xll.FDSB(D103,"FF_CITY")&amp;" "&amp;_xll.FDSB(D103,"FF_POSTAL")&amp;" "&amp;_xll.FDSB(D103,"FF_STATE_PROVINCE")&amp;" "&amp;_xll.FDSB(D103,"FF_COUNTRY")</f>
        <v xml:space="preserve">     </v>
      </c>
      <c r="G103" s="436" t="str" cm="1">
        <f t="array" ref="G103">_xll.FDSB(D103,"FF_SALES(ANN_R,0)")</f>
        <v/>
      </c>
      <c r="H103" s="436" t="str" cm="1">
        <f t="array" ref="H103">_xll.FDSB(D103,"FF_EMP_NUM(ANN,0)")</f>
        <v/>
      </c>
      <c r="I103" s="437" t="str" cm="1">
        <f t="array" ref="I103">_xll.FDSRB(D103,"OS_TOP_HLDR_ULTPRNT(1,0D,,MTD,,F,SEC)[0]")</f>
        <v/>
      </c>
      <c r="J103" s="437" t="str" cm="1">
        <f t="array" ref="J103">_xll.FDSRB(D103,"FF_BUS_DESC_EXT")</f>
        <v/>
      </c>
      <c r="K103" s="437" t="str" cm="1">
        <f t="array" ref="K103">_xll.FDSB(D103,"HOMEPAGE")</f>
        <v/>
      </c>
      <c r="L103" s="437" t="str" cm="1">
        <f t="array" ref="L103">_xll.FDSB(D103,"FG_EXCHANGE")</f>
        <v/>
      </c>
      <c r="M103" s="438" t="str">
        <f t="shared" si="1"/>
        <v/>
      </c>
      <c r="N103" s="461"/>
      <c r="O103" s="462"/>
    </row>
    <row r="104" spans="1:15" s="440" customFormat="1" ht="66.75" customHeight="1">
      <c r="A104" s="459"/>
      <c r="B104" s="432"/>
      <c r="C104" s="460"/>
      <c r="D104" s="432" t="str" cm="1">
        <f t="array" ref="D104">_xll.FDSB(B104,"P_SYMBOL")</f>
        <v/>
      </c>
      <c r="E104" s="433" t="str" cm="1">
        <f t="array" ref="E104">_xll.FDSB(D104,"FF_CO_NAME")</f>
        <v/>
      </c>
      <c r="F104" s="434" t="str" cm="1">
        <f t="array" ref="F104">_xll.FDSB(D104,"FF_ADDRESS")&amp;" "&amp;_xll.FDSB(D104,"FF_ADDRESS2")&amp;" "&amp;_xll.FDSB(D104,"FF_CITY")&amp;" "&amp;_xll.FDSB(D104,"FF_POSTAL")&amp;" "&amp;_xll.FDSB(D104,"FF_STATE_PROVINCE")&amp;" "&amp;_xll.FDSB(D104,"FF_COUNTRY")</f>
        <v xml:space="preserve">     </v>
      </c>
      <c r="G104" s="436" t="str" cm="1">
        <f t="array" ref="G104">_xll.FDSB(D104,"FF_SALES(ANN_R,0)")</f>
        <v/>
      </c>
      <c r="H104" s="436" t="str" cm="1">
        <f t="array" ref="H104">_xll.FDSB(D104,"FF_EMP_NUM(ANN,0)")</f>
        <v/>
      </c>
      <c r="I104" s="437" t="str" cm="1">
        <f t="array" ref="I104">_xll.FDSRB(D104,"OS_TOP_HLDR_ULTPRNT(1,0D,,MTD,,F,SEC)[0]")</f>
        <v/>
      </c>
      <c r="J104" s="437" t="str" cm="1">
        <f t="array" ref="J104">_xll.FDSRB(D104,"FF_BUS_DESC_EXT")</f>
        <v/>
      </c>
      <c r="K104" s="437" t="str" cm="1">
        <f t="array" ref="K104">_xll.FDSB(D104,"HOMEPAGE")</f>
        <v/>
      </c>
      <c r="L104" s="437" t="str" cm="1">
        <f t="array" ref="L104">_xll.FDSB(D104,"FG_EXCHANGE")</f>
        <v/>
      </c>
      <c r="M104" s="438" t="str">
        <f t="shared" si="1"/>
        <v/>
      </c>
      <c r="N104" s="461"/>
      <c r="O104" s="461"/>
    </row>
    <row r="105" spans="1:15" s="440" customFormat="1" ht="66.75" customHeight="1">
      <c r="A105" s="459"/>
      <c r="B105" s="432"/>
      <c r="C105" s="460"/>
      <c r="D105" s="432" t="str" cm="1">
        <f t="array" ref="D105">_xll.FDSB(B105,"P_SYMBOL")</f>
        <v/>
      </c>
      <c r="E105" s="433" t="str" cm="1">
        <f t="array" ref="E105">_xll.FDSB(D105,"FF_CO_NAME")</f>
        <v/>
      </c>
      <c r="F105" s="434" t="str" cm="1">
        <f t="array" ref="F105">_xll.FDSB(D105,"FF_ADDRESS")&amp;" "&amp;_xll.FDSB(D105,"FF_ADDRESS2")&amp;" "&amp;_xll.FDSB(D105,"FF_CITY")&amp;" "&amp;_xll.FDSB(D105,"FF_POSTAL")&amp;" "&amp;_xll.FDSB(D105,"FF_STATE_PROVINCE")&amp;" "&amp;_xll.FDSB(D105,"FF_COUNTRY")</f>
        <v xml:space="preserve">     </v>
      </c>
      <c r="G105" s="436" t="str" cm="1">
        <f t="array" ref="G105">_xll.FDSB(D105,"FF_SALES(ANN_R,0)")</f>
        <v/>
      </c>
      <c r="H105" s="436" t="str" cm="1">
        <f t="array" ref="H105">_xll.FDSB(D105,"FF_EMP_NUM(ANN,0)")</f>
        <v/>
      </c>
      <c r="I105" s="437" t="str" cm="1">
        <f t="array" ref="I105">_xll.FDSRB(D105,"OS_TOP_HLDR_ULTPRNT(1,0D,,MTD,,F,SEC)[0]")</f>
        <v/>
      </c>
      <c r="J105" s="437" t="str" cm="1">
        <f t="array" ref="J105">_xll.FDSRB(D105,"FF_BUS_DESC_EXT")</f>
        <v/>
      </c>
      <c r="K105" s="437" t="str" cm="1">
        <f t="array" ref="K105">_xll.FDSB(D105,"HOMEPAGE")</f>
        <v/>
      </c>
      <c r="L105" s="437" t="str" cm="1">
        <f t="array" ref="L105">_xll.FDSB(D105,"FG_EXCHANGE")</f>
        <v/>
      </c>
      <c r="M105" s="438" t="str">
        <f t="shared" si="1"/>
        <v/>
      </c>
      <c r="N105" s="461"/>
      <c r="O105" s="462"/>
    </row>
    <row r="106" spans="1:15" s="440" customFormat="1" ht="66.75" customHeight="1">
      <c r="A106" s="459"/>
      <c r="B106" s="432"/>
      <c r="C106" s="460"/>
      <c r="D106" s="432" t="str" cm="1">
        <f t="array" ref="D106">_xll.FDSB(B106,"P_SYMBOL")</f>
        <v/>
      </c>
      <c r="E106" s="433" t="str" cm="1">
        <f t="array" ref="E106">_xll.FDSB(D106,"FF_CO_NAME")</f>
        <v/>
      </c>
      <c r="F106" s="434" t="str" cm="1">
        <f t="array" ref="F106">_xll.FDSB(D106,"FF_ADDRESS")&amp;" "&amp;_xll.FDSB(D106,"FF_ADDRESS2")&amp;" "&amp;_xll.FDSB(D106,"FF_CITY")&amp;" "&amp;_xll.FDSB(D106,"FF_POSTAL")&amp;" "&amp;_xll.FDSB(D106,"FF_STATE_PROVINCE")&amp;" "&amp;_xll.FDSB(D106,"FF_COUNTRY")</f>
        <v xml:space="preserve">     </v>
      </c>
      <c r="G106" s="436" t="str" cm="1">
        <f t="array" ref="G106">_xll.FDSB(D106,"FF_SALES(ANN_R,0)")</f>
        <v/>
      </c>
      <c r="H106" s="436" t="str" cm="1">
        <f t="array" ref="H106">_xll.FDSB(D106,"FF_EMP_NUM(ANN,0)")</f>
        <v/>
      </c>
      <c r="I106" s="437" t="str" cm="1">
        <f t="array" ref="I106">_xll.FDSRB(D106,"OS_TOP_HLDR_ULTPRNT(1,0D,,MTD,,F,SEC)[0]")</f>
        <v/>
      </c>
      <c r="J106" s="437" t="str" cm="1">
        <f t="array" ref="J106">_xll.FDSRB(D106,"FF_BUS_DESC_EXT")</f>
        <v/>
      </c>
      <c r="K106" s="437" t="str" cm="1">
        <f t="array" ref="K106">_xll.FDSB(D106,"HOMEPAGE")</f>
        <v/>
      </c>
      <c r="L106" s="437" t="str" cm="1">
        <f t="array" ref="L106">_xll.FDSB(D106,"FG_EXCHANGE")</f>
        <v/>
      </c>
      <c r="M106" s="438" t="str">
        <f t="shared" si="1"/>
        <v/>
      </c>
      <c r="N106" s="461"/>
      <c r="O106" s="461"/>
    </row>
    <row r="107" spans="1:15" s="440" customFormat="1" ht="66.75" customHeight="1">
      <c r="A107" s="459"/>
      <c r="B107" s="432"/>
      <c r="C107" s="460"/>
      <c r="D107" s="432" t="str" cm="1">
        <f t="array" ref="D107">_xll.FDSB(B107,"P_SYMBOL")</f>
        <v/>
      </c>
      <c r="E107" s="433" t="str" cm="1">
        <f t="array" ref="E107">_xll.FDSB(D107,"FF_CO_NAME")</f>
        <v/>
      </c>
      <c r="F107" s="434" t="str" cm="1">
        <f t="array" ref="F107">_xll.FDSB(D107,"FF_ADDRESS")&amp;" "&amp;_xll.FDSB(D107,"FF_ADDRESS2")&amp;" "&amp;_xll.FDSB(D107,"FF_CITY")&amp;" "&amp;_xll.FDSB(D107,"FF_POSTAL")&amp;" "&amp;_xll.FDSB(D107,"FF_STATE_PROVINCE")&amp;" "&amp;_xll.FDSB(D107,"FF_COUNTRY")</f>
        <v xml:space="preserve">     </v>
      </c>
      <c r="G107" s="436" t="str" cm="1">
        <f t="array" ref="G107">_xll.FDSB(D107,"FF_SALES(ANN_R,0)")</f>
        <v/>
      </c>
      <c r="H107" s="436" t="str" cm="1">
        <f t="array" ref="H107">_xll.FDSB(D107,"FF_EMP_NUM(ANN,0)")</f>
        <v/>
      </c>
      <c r="I107" s="437" t="str" cm="1">
        <f t="array" ref="I107">_xll.FDSRB(D107,"OS_TOP_HLDR_ULTPRNT(1,0D,,MTD,,F,SEC)[0]")</f>
        <v/>
      </c>
      <c r="J107" s="437" t="str" cm="1">
        <f t="array" ref="J107">_xll.FDSRB(D107,"FF_BUS_DESC_EXT")</f>
        <v/>
      </c>
      <c r="K107" s="437" t="str" cm="1">
        <f t="array" ref="K107">_xll.FDSB(D107,"HOMEPAGE")</f>
        <v/>
      </c>
      <c r="L107" s="437" t="str" cm="1">
        <f t="array" ref="L107">_xll.FDSB(D107,"FG_EXCHANGE")</f>
        <v/>
      </c>
      <c r="M107" s="438" t="str">
        <f t="shared" si="1"/>
        <v/>
      </c>
      <c r="N107" s="461"/>
      <c r="O107" s="462"/>
    </row>
    <row r="108" spans="1:15" s="440" customFormat="1" ht="66.75" customHeight="1">
      <c r="A108" s="459"/>
      <c r="B108" s="432"/>
      <c r="C108" s="460"/>
      <c r="D108" s="432" t="str" cm="1">
        <f t="array" ref="D108">_xll.FDSB(B108,"P_SYMBOL")</f>
        <v/>
      </c>
      <c r="E108" s="433" t="str" cm="1">
        <f t="array" ref="E108">_xll.FDSB(D108,"FF_CO_NAME")</f>
        <v/>
      </c>
      <c r="F108" s="434" t="str" cm="1">
        <f t="array" ref="F108">_xll.FDSB(D108,"FF_ADDRESS")&amp;" "&amp;_xll.FDSB(D108,"FF_ADDRESS2")&amp;" "&amp;_xll.FDSB(D108,"FF_CITY")&amp;" "&amp;_xll.FDSB(D108,"FF_POSTAL")&amp;" "&amp;_xll.FDSB(D108,"FF_STATE_PROVINCE")&amp;" "&amp;_xll.FDSB(D108,"FF_COUNTRY")</f>
        <v xml:space="preserve">     </v>
      </c>
      <c r="G108" s="436" t="str" cm="1">
        <f t="array" ref="G108">_xll.FDSB(D108,"FF_SALES(ANN_R,0)")</f>
        <v/>
      </c>
      <c r="H108" s="436" t="str" cm="1">
        <f t="array" ref="H108">_xll.FDSB(D108,"FF_EMP_NUM(ANN,0)")</f>
        <v/>
      </c>
      <c r="I108" s="437" t="str" cm="1">
        <f t="array" ref="I108">_xll.FDSRB(D108,"OS_TOP_HLDR_ULTPRNT(1,0D,,MTD,,F,SEC)[0]")</f>
        <v/>
      </c>
      <c r="J108" s="437" t="str" cm="1">
        <f t="array" ref="J108">_xll.FDSRB(D108,"FF_BUS_DESC_EXT")</f>
        <v/>
      </c>
      <c r="K108" s="437" t="str" cm="1">
        <f t="array" ref="K108">_xll.FDSB(D108,"HOMEPAGE")</f>
        <v/>
      </c>
      <c r="L108" s="437" t="str" cm="1">
        <f t="array" ref="L108">_xll.FDSB(D108,"FG_EXCHANGE")</f>
        <v/>
      </c>
      <c r="M108" s="438" t="str">
        <f t="shared" si="1"/>
        <v/>
      </c>
      <c r="N108" s="461"/>
      <c r="O108" s="461"/>
    </row>
    <row r="109" spans="1:15" s="440" customFormat="1" ht="66.75" customHeight="1">
      <c r="A109" s="459"/>
      <c r="B109" s="432"/>
      <c r="C109" s="460"/>
      <c r="D109" s="432" t="str" cm="1">
        <f t="array" ref="D109">_xll.FDSB(B109,"P_SYMBOL")</f>
        <v/>
      </c>
      <c r="E109" s="433" t="str" cm="1">
        <f t="array" ref="E109">_xll.FDSB(D109,"FF_CO_NAME")</f>
        <v/>
      </c>
      <c r="F109" s="434" t="str" cm="1">
        <f t="array" ref="F109">_xll.FDSB(D109,"FF_ADDRESS")&amp;" "&amp;_xll.FDSB(D109,"FF_ADDRESS2")&amp;" "&amp;_xll.FDSB(D109,"FF_CITY")&amp;" "&amp;_xll.FDSB(D109,"FF_POSTAL")&amp;" "&amp;_xll.FDSB(D109,"FF_STATE_PROVINCE")&amp;" "&amp;_xll.FDSB(D109,"FF_COUNTRY")</f>
        <v xml:space="preserve">     </v>
      </c>
      <c r="G109" s="436" t="str" cm="1">
        <f t="array" ref="G109">_xll.FDSB(D109,"FF_SALES(ANN_R,0)")</f>
        <v/>
      </c>
      <c r="H109" s="436" t="str" cm="1">
        <f t="array" ref="H109">_xll.FDSB(D109,"FF_EMP_NUM(ANN,0)")</f>
        <v/>
      </c>
      <c r="I109" s="437" t="str" cm="1">
        <f t="array" ref="I109">_xll.FDSRB(D109,"OS_TOP_HLDR_ULTPRNT(1,0D,,MTD,,F,SEC)[0]")</f>
        <v/>
      </c>
      <c r="J109" s="437" t="str" cm="1">
        <f t="array" ref="J109">_xll.FDSRB(D109,"FF_BUS_DESC_EXT")</f>
        <v/>
      </c>
      <c r="K109" s="437" t="str" cm="1">
        <f t="array" ref="K109">_xll.FDSB(D109,"HOMEPAGE")</f>
        <v/>
      </c>
      <c r="L109" s="437" t="str" cm="1">
        <f t="array" ref="L109">_xll.FDSB(D109,"FG_EXCHANGE")</f>
        <v/>
      </c>
      <c r="M109" s="438" t="str">
        <f t="shared" si="1"/>
        <v/>
      </c>
      <c r="N109" s="461"/>
      <c r="O109" s="462"/>
    </row>
    <row r="110" spans="1:15" s="440" customFormat="1" ht="66.75" customHeight="1">
      <c r="A110" s="459"/>
      <c r="B110" s="432"/>
      <c r="C110" s="460"/>
      <c r="D110" s="432" t="str" cm="1">
        <f t="array" ref="D110">_xll.FDSB(B110,"P_SYMBOL")</f>
        <v/>
      </c>
      <c r="E110" s="433" t="str" cm="1">
        <f t="array" ref="E110">_xll.FDSB(D110,"FF_CO_NAME")</f>
        <v/>
      </c>
      <c r="F110" s="434" t="str" cm="1">
        <f t="array" ref="F110">_xll.FDSB(D110,"FF_ADDRESS")&amp;" "&amp;_xll.FDSB(D110,"FF_ADDRESS2")&amp;" "&amp;_xll.FDSB(D110,"FF_CITY")&amp;" "&amp;_xll.FDSB(D110,"FF_POSTAL")&amp;" "&amp;_xll.FDSB(D110,"FF_STATE_PROVINCE")&amp;" "&amp;_xll.FDSB(D110,"FF_COUNTRY")</f>
        <v xml:space="preserve">     </v>
      </c>
      <c r="G110" s="436" t="str" cm="1">
        <f t="array" ref="G110">_xll.FDSB(D110,"FF_SALES(ANN_R,0)")</f>
        <v/>
      </c>
      <c r="H110" s="436" t="str" cm="1">
        <f t="array" ref="H110">_xll.FDSB(D110,"FF_EMP_NUM(ANN,0)")</f>
        <v/>
      </c>
      <c r="I110" s="437" t="str" cm="1">
        <f t="array" ref="I110">_xll.FDSRB(D110,"OS_TOP_HLDR_ULTPRNT(1,0D,,MTD,,F,SEC)[0]")</f>
        <v/>
      </c>
      <c r="J110" s="437" t="str" cm="1">
        <f t="array" ref="J110">_xll.FDSRB(D110,"FF_BUS_DESC_EXT")</f>
        <v/>
      </c>
      <c r="K110" s="437" t="str" cm="1">
        <f t="array" ref="K110">_xll.FDSB(D110,"HOMEPAGE")</f>
        <v/>
      </c>
      <c r="L110" s="437" t="str" cm="1">
        <f t="array" ref="L110">_xll.FDSB(D110,"FG_EXCHANGE")</f>
        <v/>
      </c>
      <c r="M110" s="438" t="str">
        <f t="shared" si="1"/>
        <v/>
      </c>
      <c r="N110" s="461"/>
      <c r="O110" s="461"/>
    </row>
    <row r="111" spans="1:15" s="440" customFormat="1" ht="66.75" customHeight="1">
      <c r="A111" s="459"/>
      <c r="B111" s="432"/>
      <c r="C111" s="460"/>
      <c r="D111" s="432" t="str" cm="1">
        <f t="array" ref="D111">_xll.FDSB(B111,"P_SYMBOL")</f>
        <v/>
      </c>
      <c r="E111" s="433" t="str" cm="1">
        <f t="array" ref="E111">_xll.FDSB(D111,"FF_CO_NAME")</f>
        <v/>
      </c>
      <c r="F111" s="434" t="str" cm="1">
        <f t="array" ref="F111">_xll.FDSB(D111,"FF_ADDRESS")&amp;" "&amp;_xll.FDSB(D111,"FF_ADDRESS2")&amp;" "&amp;_xll.FDSB(D111,"FF_CITY")&amp;" "&amp;_xll.FDSB(D111,"FF_POSTAL")&amp;" "&amp;_xll.FDSB(D111,"FF_STATE_PROVINCE")&amp;" "&amp;_xll.FDSB(D111,"FF_COUNTRY")</f>
        <v xml:space="preserve">     </v>
      </c>
      <c r="G111" s="436" t="str" cm="1">
        <f t="array" ref="G111">_xll.FDSB(D111,"FF_SALES(ANN_R,0)")</f>
        <v/>
      </c>
      <c r="H111" s="436" t="str" cm="1">
        <f t="array" ref="H111">_xll.FDSB(D111,"FF_EMP_NUM(ANN,0)")</f>
        <v/>
      </c>
      <c r="I111" s="437" t="str" cm="1">
        <f t="array" ref="I111">_xll.FDSRB(D111,"OS_TOP_HLDR_ULTPRNT(1,0D,,MTD,,F,SEC)[0]")</f>
        <v/>
      </c>
      <c r="J111" s="437" t="str" cm="1">
        <f t="array" ref="J111">_xll.FDSRB(D111,"FF_BUS_DESC_EXT")</f>
        <v/>
      </c>
      <c r="K111" s="437" t="str" cm="1">
        <f t="array" ref="K111">_xll.FDSB(D111,"HOMEPAGE")</f>
        <v/>
      </c>
      <c r="L111" s="437" t="str" cm="1">
        <f t="array" ref="L111">_xll.FDSB(D111,"FG_EXCHANGE")</f>
        <v/>
      </c>
      <c r="M111" s="438" t="str">
        <f t="shared" si="1"/>
        <v/>
      </c>
      <c r="N111" s="461"/>
      <c r="O111" s="462"/>
    </row>
    <row r="112" spans="1:15" s="440" customFormat="1" ht="66.75" customHeight="1">
      <c r="A112" s="459"/>
      <c r="B112" s="432"/>
      <c r="C112" s="460"/>
      <c r="D112" s="432" t="str" cm="1">
        <f t="array" ref="D112">_xll.FDSB(B112,"P_SYMBOL")</f>
        <v/>
      </c>
      <c r="E112" s="433" t="str" cm="1">
        <f t="array" ref="E112">_xll.FDSB(D112,"FF_CO_NAME")</f>
        <v/>
      </c>
      <c r="F112" s="434" t="str" cm="1">
        <f t="array" ref="F112">_xll.FDSB(D112,"FF_ADDRESS")&amp;" "&amp;_xll.FDSB(D112,"FF_ADDRESS2")&amp;" "&amp;_xll.FDSB(D112,"FF_CITY")&amp;" "&amp;_xll.FDSB(D112,"FF_POSTAL")&amp;" "&amp;_xll.FDSB(D112,"FF_STATE_PROVINCE")&amp;" "&amp;_xll.FDSB(D112,"FF_COUNTRY")</f>
        <v xml:space="preserve">     </v>
      </c>
      <c r="G112" s="436" t="str" cm="1">
        <f t="array" ref="G112">_xll.FDSB(D112,"FF_SALES(ANN_R,0)")</f>
        <v/>
      </c>
      <c r="H112" s="436" t="str" cm="1">
        <f t="array" ref="H112">_xll.FDSB(D112,"FF_EMP_NUM(ANN,0)")</f>
        <v/>
      </c>
      <c r="I112" s="437" t="str" cm="1">
        <f t="array" ref="I112">_xll.FDSRB(D112,"OS_TOP_HLDR_ULTPRNT(1,0D,,MTD,,F,SEC)[0]")</f>
        <v/>
      </c>
      <c r="J112" s="437" t="str" cm="1">
        <f t="array" ref="J112">_xll.FDSRB(D112,"FF_BUS_DESC_EXT")</f>
        <v/>
      </c>
      <c r="K112" s="437" t="str" cm="1">
        <f t="array" ref="K112">_xll.FDSB(D112,"HOMEPAGE")</f>
        <v/>
      </c>
      <c r="L112" s="437" t="str" cm="1">
        <f t="array" ref="L112">_xll.FDSB(D112,"FG_EXCHANGE")</f>
        <v/>
      </c>
      <c r="M112" s="438" t="str">
        <f t="shared" si="1"/>
        <v/>
      </c>
      <c r="N112" s="461"/>
      <c r="O112" s="461"/>
    </row>
    <row r="113" spans="1:15" s="440" customFormat="1" ht="66.75" customHeight="1">
      <c r="A113" s="459"/>
      <c r="B113" s="432"/>
      <c r="C113" s="460"/>
      <c r="D113" s="432" t="str" cm="1">
        <f t="array" ref="D113">_xll.FDSB(B113,"P_SYMBOL")</f>
        <v/>
      </c>
      <c r="E113" s="433" t="str" cm="1">
        <f t="array" ref="E113">_xll.FDSB(D113,"FF_CO_NAME")</f>
        <v/>
      </c>
      <c r="F113" s="434" t="str" cm="1">
        <f t="array" ref="F113">_xll.FDSB(D113,"FF_ADDRESS")&amp;" "&amp;_xll.FDSB(D113,"FF_ADDRESS2")&amp;" "&amp;_xll.FDSB(D113,"FF_CITY")&amp;" "&amp;_xll.FDSB(D113,"FF_POSTAL")&amp;" "&amp;_xll.FDSB(D113,"FF_STATE_PROVINCE")&amp;" "&amp;_xll.FDSB(D113,"FF_COUNTRY")</f>
        <v xml:space="preserve">     </v>
      </c>
      <c r="G113" s="436" t="str" cm="1">
        <f t="array" ref="G113">_xll.FDSB(D113,"FF_SALES(ANN_R,0)")</f>
        <v/>
      </c>
      <c r="H113" s="436" t="str" cm="1">
        <f t="array" ref="H113">_xll.FDSB(D113,"FF_EMP_NUM(ANN,0)")</f>
        <v/>
      </c>
      <c r="I113" s="437" t="str" cm="1">
        <f t="array" ref="I113">_xll.FDSRB(D113,"OS_TOP_HLDR_ULTPRNT(1,0D,,MTD,,F,SEC)[0]")</f>
        <v/>
      </c>
      <c r="J113" s="437" t="str" cm="1">
        <f t="array" ref="J113">_xll.FDSRB(D113,"FF_BUS_DESC_EXT")</f>
        <v/>
      </c>
      <c r="K113" s="437" t="str" cm="1">
        <f t="array" ref="K113">_xll.FDSB(D113,"HOMEPAGE")</f>
        <v/>
      </c>
      <c r="L113" s="437" t="str" cm="1">
        <f t="array" ref="L113">_xll.FDSB(D113,"FG_EXCHANGE")</f>
        <v/>
      </c>
      <c r="M113" s="438" t="str">
        <f t="shared" si="1"/>
        <v/>
      </c>
      <c r="N113" s="461"/>
      <c r="O113" s="462"/>
    </row>
    <row r="114" spans="1:15" s="440" customFormat="1" ht="66.75" customHeight="1">
      <c r="A114" s="459"/>
      <c r="B114" s="432"/>
      <c r="C114" s="460"/>
      <c r="D114" s="432" t="str" cm="1">
        <f t="array" ref="D114">_xll.FDSB(B114,"P_SYMBOL")</f>
        <v/>
      </c>
      <c r="E114" s="433" t="str" cm="1">
        <f t="array" ref="E114">_xll.FDSB(D114,"FF_CO_NAME")</f>
        <v/>
      </c>
      <c r="F114" s="434" t="str" cm="1">
        <f t="array" ref="F114">_xll.FDSB(D114,"FF_ADDRESS")&amp;" "&amp;_xll.FDSB(D114,"FF_ADDRESS2")&amp;" "&amp;_xll.FDSB(D114,"FF_CITY")&amp;" "&amp;_xll.FDSB(D114,"FF_POSTAL")&amp;" "&amp;_xll.FDSB(D114,"FF_STATE_PROVINCE")&amp;" "&amp;_xll.FDSB(D114,"FF_COUNTRY")</f>
        <v xml:space="preserve">     </v>
      </c>
      <c r="G114" s="436" t="str" cm="1">
        <f t="array" ref="G114">_xll.FDSB(D114,"FF_SALES(ANN_R,0)")</f>
        <v/>
      </c>
      <c r="H114" s="436" t="str" cm="1">
        <f t="array" ref="H114">_xll.FDSB(D114,"FF_EMP_NUM(ANN,0)")</f>
        <v/>
      </c>
      <c r="I114" s="437" t="str" cm="1">
        <f t="array" ref="I114">_xll.FDSRB(D114,"OS_TOP_HLDR_ULTPRNT(1,0D,,MTD,,F,SEC)[0]")</f>
        <v/>
      </c>
      <c r="J114" s="437" t="str" cm="1">
        <f t="array" ref="J114">_xll.FDSRB(D114,"FF_BUS_DESC_EXT")</f>
        <v/>
      </c>
      <c r="K114" s="437" t="str" cm="1">
        <f t="array" ref="K114">_xll.FDSB(D114,"HOMEPAGE")</f>
        <v/>
      </c>
      <c r="L114" s="437" t="str" cm="1">
        <f t="array" ref="L114">_xll.FDSB(D114,"FG_EXCHANGE")</f>
        <v/>
      </c>
      <c r="M114" s="438" t="str">
        <f t="shared" si="1"/>
        <v/>
      </c>
      <c r="N114" s="461"/>
      <c r="O114" s="461"/>
    </row>
    <row r="115" spans="1:15" s="440" customFormat="1" ht="66.75" customHeight="1">
      <c r="A115" s="459"/>
      <c r="B115" s="432"/>
      <c r="C115" s="460"/>
      <c r="D115" s="432" t="str" cm="1">
        <f t="array" ref="D115">_xll.FDSB(B115,"P_SYMBOL")</f>
        <v/>
      </c>
      <c r="E115" s="433" t="str" cm="1">
        <f t="array" ref="E115">_xll.FDSB(D115,"FF_CO_NAME")</f>
        <v/>
      </c>
      <c r="F115" s="434" t="str" cm="1">
        <f t="array" ref="F115">_xll.FDSB(D115,"FF_ADDRESS")&amp;" "&amp;_xll.FDSB(D115,"FF_ADDRESS2")&amp;" "&amp;_xll.FDSB(D115,"FF_CITY")&amp;" "&amp;_xll.FDSB(D115,"FF_POSTAL")&amp;" "&amp;_xll.FDSB(D115,"FF_STATE_PROVINCE")&amp;" "&amp;_xll.FDSB(D115,"FF_COUNTRY")</f>
        <v xml:space="preserve">     </v>
      </c>
      <c r="G115" s="436" t="str" cm="1">
        <f t="array" ref="G115">_xll.FDSB(D115,"FF_SALES(ANN_R,0)")</f>
        <v/>
      </c>
      <c r="H115" s="436" t="str" cm="1">
        <f t="array" ref="H115">_xll.FDSB(D115,"FF_EMP_NUM(ANN,0)")</f>
        <v/>
      </c>
      <c r="I115" s="437" t="str" cm="1">
        <f t="array" ref="I115">_xll.FDSRB(D115,"OS_TOP_HLDR_ULTPRNT(1,0D,,MTD,,F,SEC)[0]")</f>
        <v/>
      </c>
      <c r="J115" s="437" t="str" cm="1">
        <f t="array" ref="J115">_xll.FDSRB(D115,"FF_BUS_DESC_EXT")</f>
        <v/>
      </c>
      <c r="K115" s="437" t="str" cm="1">
        <f t="array" ref="K115">_xll.FDSB(D115,"HOMEPAGE")</f>
        <v/>
      </c>
      <c r="L115" s="437" t="str" cm="1">
        <f t="array" ref="L115">_xll.FDSB(D115,"FG_EXCHANGE")</f>
        <v/>
      </c>
      <c r="M115" s="438" t="str">
        <f t="shared" si="1"/>
        <v/>
      </c>
      <c r="N115" s="461"/>
      <c r="O115" s="462"/>
    </row>
    <row r="116" spans="1:15" s="440" customFormat="1" ht="66.75" customHeight="1">
      <c r="A116" s="459"/>
      <c r="B116" s="432"/>
      <c r="C116" s="460"/>
      <c r="D116" s="432" t="str" cm="1">
        <f t="array" ref="D116">_xll.FDSB(B116,"P_SYMBOL")</f>
        <v/>
      </c>
      <c r="E116" s="433" t="str" cm="1">
        <f t="array" ref="E116">_xll.FDSB(D116,"FF_CO_NAME")</f>
        <v/>
      </c>
      <c r="F116" s="434" t="str" cm="1">
        <f t="array" ref="F116">_xll.FDSB(D116,"FF_ADDRESS")&amp;" "&amp;_xll.FDSB(D116,"FF_ADDRESS2")&amp;" "&amp;_xll.FDSB(D116,"FF_CITY")&amp;" "&amp;_xll.FDSB(D116,"FF_POSTAL")&amp;" "&amp;_xll.FDSB(D116,"FF_STATE_PROVINCE")&amp;" "&amp;_xll.FDSB(D116,"FF_COUNTRY")</f>
        <v xml:space="preserve">     </v>
      </c>
      <c r="G116" s="436" t="str" cm="1">
        <f t="array" ref="G116">_xll.FDSB(D116,"FF_SALES(ANN_R,0)")</f>
        <v/>
      </c>
      <c r="H116" s="436" t="str" cm="1">
        <f t="array" ref="H116">_xll.FDSB(D116,"FF_EMP_NUM(ANN,0)")</f>
        <v/>
      </c>
      <c r="I116" s="437" t="str" cm="1">
        <f t="array" ref="I116">_xll.FDSRB(D116,"OS_TOP_HLDR_ULTPRNT(1,0D,,MTD,,F,SEC)[0]")</f>
        <v/>
      </c>
      <c r="J116" s="437" t="str" cm="1">
        <f t="array" ref="J116">_xll.FDSRB(D116,"FF_BUS_DESC_EXT")</f>
        <v/>
      </c>
      <c r="K116" s="437" t="str" cm="1">
        <f t="array" ref="K116">_xll.FDSB(D116,"HOMEPAGE")</f>
        <v/>
      </c>
      <c r="L116" s="437" t="str" cm="1">
        <f t="array" ref="L116">_xll.FDSB(D116,"FG_EXCHANGE")</f>
        <v/>
      </c>
      <c r="M116" s="438" t="str">
        <f t="shared" si="1"/>
        <v/>
      </c>
      <c r="N116" s="461"/>
      <c r="O116" s="461"/>
    </row>
    <row r="117" spans="1:15" s="440" customFormat="1" ht="66.75" customHeight="1">
      <c r="A117" s="459"/>
      <c r="B117" s="432"/>
      <c r="C117" s="460"/>
      <c r="D117" s="432" t="str" cm="1">
        <f t="array" ref="D117">_xll.FDSB(B117,"P_SYMBOL")</f>
        <v/>
      </c>
      <c r="E117" s="433" t="str" cm="1">
        <f t="array" ref="E117">_xll.FDSB(D117,"FF_CO_NAME")</f>
        <v/>
      </c>
      <c r="F117" s="434" t="str" cm="1">
        <f t="array" ref="F117">_xll.FDSB(D117,"FF_ADDRESS")&amp;" "&amp;_xll.FDSB(D117,"FF_ADDRESS2")&amp;" "&amp;_xll.FDSB(D117,"FF_CITY")&amp;" "&amp;_xll.FDSB(D117,"FF_POSTAL")&amp;" "&amp;_xll.FDSB(D117,"FF_STATE_PROVINCE")&amp;" "&amp;_xll.FDSB(D117,"FF_COUNTRY")</f>
        <v xml:space="preserve">     </v>
      </c>
      <c r="G117" s="436" t="str" cm="1">
        <f t="array" ref="G117">_xll.FDSB(D117,"FF_SALES(ANN_R,0)")</f>
        <v/>
      </c>
      <c r="H117" s="436" t="str" cm="1">
        <f t="array" ref="H117">_xll.FDSB(D117,"FF_EMP_NUM(ANN,0)")</f>
        <v/>
      </c>
      <c r="I117" s="437" t="str" cm="1">
        <f t="array" ref="I117">_xll.FDSRB(D117,"OS_TOP_HLDR_ULTPRNT(1,0D,,MTD,,F,SEC)[0]")</f>
        <v/>
      </c>
      <c r="J117" s="437" t="str" cm="1">
        <f t="array" ref="J117">_xll.FDSRB(D117,"FF_BUS_DESC_EXT")</f>
        <v/>
      </c>
      <c r="K117" s="437" t="str" cm="1">
        <f t="array" ref="K117">_xll.FDSB(D117,"HOMEPAGE")</f>
        <v/>
      </c>
      <c r="L117" s="437" t="str" cm="1">
        <f t="array" ref="L117">_xll.FDSB(D117,"FG_EXCHANGE")</f>
        <v/>
      </c>
      <c r="M117" s="438" t="str">
        <f t="shared" si="1"/>
        <v/>
      </c>
      <c r="N117" s="461"/>
      <c r="O117" s="462"/>
    </row>
    <row r="118" spans="1:15" s="440" customFormat="1" ht="66.75" customHeight="1">
      <c r="A118" s="459"/>
      <c r="B118" s="432"/>
      <c r="C118" s="460"/>
      <c r="D118" s="432" t="str" cm="1">
        <f t="array" ref="D118">_xll.FDSB(B118,"P_SYMBOL")</f>
        <v/>
      </c>
      <c r="E118" s="433" t="str" cm="1">
        <f t="array" ref="E118">_xll.FDSB(D118,"FF_CO_NAME")</f>
        <v/>
      </c>
      <c r="F118" s="434" t="str" cm="1">
        <f t="array" ref="F118">_xll.FDSB(D118,"FF_ADDRESS")&amp;" "&amp;_xll.FDSB(D118,"FF_ADDRESS2")&amp;" "&amp;_xll.FDSB(D118,"FF_CITY")&amp;" "&amp;_xll.FDSB(D118,"FF_POSTAL")&amp;" "&amp;_xll.FDSB(D118,"FF_STATE_PROVINCE")&amp;" "&amp;_xll.FDSB(D118,"FF_COUNTRY")</f>
        <v xml:space="preserve">     </v>
      </c>
      <c r="G118" s="436" t="str" cm="1">
        <f t="array" ref="G118">_xll.FDSB(D118,"FF_SALES(ANN_R,0)")</f>
        <v/>
      </c>
      <c r="H118" s="436" t="str" cm="1">
        <f t="array" ref="H118">_xll.FDSB(D118,"FF_EMP_NUM(ANN,0)")</f>
        <v/>
      </c>
      <c r="I118" s="437" t="str" cm="1">
        <f t="array" ref="I118">_xll.FDSRB(D118,"OS_TOP_HLDR_ULTPRNT(1,0D,,MTD,,F,SEC)[0]")</f>
        <v/>
      </c>
      <c r="J118" s="437" t="str" cm="1">
        <f t="array" ref="J118">_xll.FDSRB(D118,"FF_BUS_DESC_EXT")</f>
        <v/>
      </c>
      <c r="K118" s="437" t="str" cm="1">
        <f t="array" ref="K118">_xll.FDSB(D118,"HOMEPAGE")</f>
        <v/>
      </c>
      <c r="L118" s="437" t="str" cm="1">
        <f t="array" ref="L118">_xll.FDSB(D118,"FG_EXCHANGE")</f>
        <v/>
      </c>
      <c r="M118" s="438" t="str">
        <f t="shared" si="1"/>
        <v/>
      </c>
      <c r="N118" s="461"/>
      <c r="O118" s="461"/>
    </row>
    <row r="119" spans="1:15" s="440" customFormat="1" ht="66.75" customHeight="1">
      <c r="A119" s="459"/>
      <c r="B119" s="432"/>
      <c r="C119" s="460"/>
      <c r="D119" s="432" t="str" cm="1">
        <f t="array" ref="D119">_xll.FDSB(B119,"P_SYMBOL")</f>
        <v/>
      </c>
      <c r="E119" s="433" t="str" cm="1">
        <f t="array" ref="E119">_xll.FDSB(D119,"FF_CO_NAME")</f>
        <v/>
      </c>
      <c r="F119" s="434" t="str" cm="1">
        <f t="array" ref="F119">_xll.FDSB(D119,"FF_ADDRESS")&amp;" "&amp;_xll.FDSB(D119,"FF_ADDRESS2")&amp;" "&amp;_xll.FDSB(D119,"FF_CITY")&amp;" "&amp;_xll.FDSB(D119,"FF_POSTAL")&amp;" "&amp;_xll.FDSB(D119,"FF_STATE_PROVINCE")&amp;" "&amp;_xll.FDSB(D119,"FF_COUNTRY")</f>
        <v xml:space="preserve">     </v>
      </c>
      <c r="G119" s="436" t="str" cm="1">
        <f t="array" ref="G119">_xll.FDSB(D119,"FF_SALES(ANN_R,0)")</f>
        <v/>
      </c>
      <c r="H119" s="436" t="str" cm="1">
        <f t="array" ref="H119">_xll.FDSB(D119,"FF_EMP_NUM(ANN,0)")</f>
        <v/>
      </c>
      <c r="I119" s="437" t="str" cm="1">
        <f t="array" ref="I119">_xll.FDSRB(D119,"OS_TOP_HLDR_ULTPRNT(1,0D,,MTD,,F,SEC)[0]")</f>
        <v/>
      </c>
      <c r="J119" s="437" t="str" cm="1">
        <f t="array" ref="J119">_xll.FDSRB(D119,"FF_BUS_DESC_EXT")</f>
        <v/>
      </c>
      <c r="K119" s="437" t="str" cm="1">
        <f t="array" ref="K119">_xll.FDSB(D119,"HOMEPAGE")</f>
        <v/>
      </c>
      <c r="L119" s="437" t="str" cm="1">
        <f t="array" ref="L119">_xll.FDSB(D119,"FG_EXCHANGE")</f>
        <v/>
      </c>
      <c r="M119" s="438" t="str">
        <f t="shared" si="1"/>
        <v/>
      </c>
      <c r="N119" s="461"/>
      <c r="O119" s="462"/>
    </row>
    <row r="120" spans="1:15" s="440" customFormat="1" ht="66.75" customHeight="1">
      <c r="A120" s="459"/>
      <c r="B120" s="432"/>
      <c r="C120" s="460"/>
      <c r="D120" s="432" t="str" cm="1">
        <f t="array" ref="D120">_xll.FDSB(B120,"P_SYMBOL")</f>
        <v/>
      </c>
      <c r="E120" s="433" t="str" cm="1">
        <f t="array" ref="E120">_xll.FDSB(D120,"FF_CO_NAME")</f>
        <v/>
      </c>
      <c r="F120" s="434" t="str" cm="1">
        <f t="array" ref="F120">_xll.FDSB(D120,"FF_ADDRESS")&amp;" "&amp;_xll.FDSB(D120,"FF_ADDRESS2")&amp;" "&amp;_xll.FDSB(D120,"FF_CITY")&amp;" "&amp;_xll.FDSB(D120,"FF_POSTAL")&amp;" "&amp;_xll.FDSB(D120,"FF_STATE_PROVINCE")&amp;" "&amp;_xll.FDSB(D120,"FF_COUNTRY")</f>
        <v xml:space="preserve">     </v>
      </c>
      <c r="G120" s="436" t="str" cm="1">
        <f t="array" ref="G120">_xll.FDSB(D120,"FF_SALES(ANN_R,0)")</f>
        <v/>
      </c>
      <c r="H120" s="436" t="str" cm="1">
        <f t="array" ref="H120">_xll.FDSB(D120,"FF_EMP_NUM(ANN,0)")</f>
        <v/>
      </c>
      <c r="I120" s="437" t="str" cm="1">
        <f t="array" ref="I120">_xll.FDSRB(D120,"OS_TOP_HLDR_ULTPRNT(1,0D,,MTD,,F,SEC)[0]")</f>
        <v/>
      </c>
      <c r="J120" s="437" t="str" cm="1">
        <f t="array" ref="J120">_xll.FDSRB(D120,"FF_BUS_DESC_EXT")</f>
        <v/>
      </c>
      <c r="K120" s="437" t="str" cm="1">
        <f t="array" ref="K120">_xll.FDSB(D120,"HOMEPAGE")</f>
        <v/>
      </c>
      <c r="L120" s="437" t="str" cm="1">
        <f t="array" ref="L120">_xll.FDSB(D120,"FG_EXCHANGE")</f>
        <v/>
      </c>
      <c r="M120" s="438" t="str">
        <f t="shared" si="1"/>
        <v/>
      </c>
      <c r="N120" s="461"/>
      <c r="O120" s="461"/>
    </row>
    <row r="121" spans="1:15" s="440" customFormat="1" ht="66.75" customHeight="1">
      <c r="A121" s="459"/>
      <c r="B121" s="432"/>
      <c r="C121" s="460"/>
      <c r="D121" s="432" t="str" cm="1">
        <f t="array" ref="D121">_xll.FDSB(B121,"P_SYMBOL")</f>
        <v/>
      </c>
      <c r="E121" s="433" t="str" cm="1">
        <f t="array" ref="E121">_xll.FDSB(D121,"FF_CO_NAME")</f>
        <v/>
      </c>
      <c r="F121" s="434" t="str" cm="1">
        <f t="array" ref="F121">_xll.FDSB(D121,"FF_ADDRESS")&amp;" "&amp;_xll.FDSB(D121,"FF_ADDRESS2")&amp;" "&amp;_xll.FDSB(D121,"FF_CITY")&amp;" "&amp;_xll.FDSB(D121,"FF_POSTAL")&amp;" "&amp;_xll.FDSB(D121,"FF_STATE_PROVINCE")&amp;" "&amp;_xll.FDSB(D121,"FF_COUNTRY")</f>
        <v xml:space="preserve">     </v>
      </c>
      <c r="G121" s="436" t="str" cm="1">
        <f t="array" ref="G121">_xll.FDSB(D121,"FF_SALES(ANN_R,0)")</f>
        <v/>
      </c>
      <c r="H121" s="436" t="str" cm="1">
        <f t="array" ref="H121">_xll.FDSB(D121,"FF_EMP_NUM(ANN,0)")</f>
        <v/>
      </c>
      <c r="I121" s="437" t="str" cm="1">
        <f t="array" ref="I121">_xll.FDSRB(D121,"OS_TOP_HLDR_ULTPRNT(1,0D,,MTD,,F,SEC)[0]")</f>
        <v/>
      </c>
      <c r="J121" s="437" t="str" cm="1">
        <f t="array" ref="J121">_xll.FDSRB(D121,"FF_BUS_DESC_EXT")</f>
        <v/>
      </c>
      <c r="K121" s="437" t="str" cm="1">
        <f t="array" ref="K121">_xll.FDSB(D121,"HOMEPAGE")</f>
        <v/>
      </c>
      <c r="L121" s="437" t="str" cm="1">
        <f t="array" ref="L121">_xll.FDSB(D121,"FG_EXCHANGE")</f>
        <v/>
      </c>
      <c r="M121" s="438" t="str">
        <f t="shared" si="1"/>
        <v/>
      </c>
      <c r="N121" s="461"/>
      <c r="O121" s="462"/>
    </row>
    <row r="122" spans="1:15" s="440" customFormat="1" ht="66.75" customHeight="1">
      <c r="A122" s="459"/>
      <c r="B122" s="432"/>
      <c r="C122" s="460"/>
      <c r="D122" s="432" t="str" cm="1">
        <f t="array" ref="D122">_xll.FDSB(B122,"P_SYMBOL")</f>
        <v/>
      </c>
      <c r="E122" s="433" t="str" cm="1">
        <f t="array" ref="E122">_xll.FDSB(D122,"FF_CO_NAME")</f>
        <v/>
      </c>
      <c r="F122" s="434" t="str" cm="1">
        <f t="array" ref="F122">_xll.FDSB(D122,"FF_ADDRESS")&amp;" "&amp;_xll.FDSB(D122,"FF_ADDRESS2")&amp;" "&amp;_xll.FDSB(D122,"FF_CITY")&amp;" "&amp;_xll.FDSB(D122,"FF_POSTAL")&amp;" "&amp;_xll.FDSB(D122,"FF_STATE_PROVINCE")&amp;" "&amp;_xll.FDSB(D122,"FF_COUNTRY")</f>
        <v xml:space="preserve">     </v>
      </c>
      <c r="G122" s="436" t="str" cm="1">
        <f t="array" ref="G122">_xll.FDSB(D122,"FF_SALES(ANN_R,0)")</f>
        <v/>
      </c>
      <c r="H122" s="436" t="str" cm="1">
        <f t="array" ref="H122">_xll.FDSB(D122,"FF_EMP_NUM(ANN,0)")</f>
        <v/>
      </c>
      <c r="I122" s="437" t="str" cm="1">
        <f t="array" ref="I122">_xll.FDSRB(D122,"OS_TOP_HLDR_ULTPRNT(1,0D,,MTD,,F,SEC)[0]")</f>
        <v/>
      </c>
      <c r="J122" s="437" t="str" cm="1">
        <f t="array" ref="J122">_xll.FDSRB(D122,"FF_BUS_DESC_EXT")</f>
        <v/>
      </c>
      <c r="K122" s="437" t="str" cm="1">
        <f t="array" ref="K122">_xll.FDSB(D122,"HOMEPAGE")</f>
        <v/>
      </c>
      <c r="L122" s="437" t="str" cm="1">
        <f t="array" ref="L122">_xll.FDSB(D122,"FG_EXCHANGE")</f>
        <v/>
      </c>
      <c r="M122" s="438" t="str">
        <f t="shared" si="1"/>
        <v/>
      </c>
      <c r="N122" s="461"/>
      <c r="O122" s="461"/>
    </row>
    <row r="123" spans="1:15" s="440" customFormat="1" ht="66.75" customHeight="1">
      <c r="A123" s="459"/>
      <c r="B123" s="432"/>
      <c r="C123" s="460"/>
      <c r="D123" s="432" t="str" cm="1">
        <f t="array" ref="D123">_xll.FDSB(B123,"P_SYMBOL")</f>
        <v/>
      </c>
      <c r="E123" s="433" t="str" cm="1">
        <f t="array" ref="E123">_xll.FDSB(D123,"FF_CO_NAME")</f>
        <v/>
      </c>
      <c r="F123" s="434" t="str" cm="1">
        <f t="array" ref="F123">_xll.FDSB(D123,"FF_ADDRESS")&amp;" "&amp;_xll.FDSB(D123,"FF_ADDRESS2")&amp;" "&amp;_xll.FDSB(D123,"FF_CITY")&amp;" "&amp;_xll.FDSB(D123,"FF_POSTAL")&amp;" "&amp;_xll.FDSB(D123,"FF_STATE_PROVINCE")&amp;" "&amp;_xll.FDSB(D123,"FF_COUNTRY")</f>
        <v xml:space="preserve">     </v>
      </c>
      <c r="G123" s="436" t="str" cm="1">
        <f t="array" ref="G123">_xll.FDSB(D123,"FF_SALES(ANN_R,0)")</f>
        <v/>
      </c>
      <c r="H123" s="436" t="str" cm="1">
        <f t="array" ref="H123">_xll.FDSB(D123,"FF_EMP_NUM(ANN,0)")</f>
        <v/>
      </c>
      <c r="I123" s="437" t="str" cm="1">
        <f t="array" ref="I123">_xll.FDSRB(D123,"OS_TOP_HLDR_ULTPRNT(1,0D,,MTD,,F,SEC)[0]")</f>
        <v/>
      </c>
      <c r="J123" s="437" t="str" cm="1">
        <f t="array" ref="J123">_xll.FDSRB(D123,"FF_BUS_DESC_EXT")</f>
        <v/>
      </c>
      <c r="K123" s="437" t="str" cm="1">
        <f t="array" ref="K123">_xll.FDSB(D123,"HOMEPAGE")</f>
        <v/>
      </c>
      <c r="L123" s="437" t="str" cm="1">
        <f t="array" ref="L123">_xll.FDSB(D123,"FG_EXCHANGE")</f>
        <v/>
      </c>
      <c r="M123" s="438" t="str">
        <f t="shared" si="1"/>
        <v/>
      </c>
      <c r="N123" s="461"/>
      <c r="O123" s="462"/>
    </row>
    <row r="124" spans="1:15" s="440" customFormat="1" ht="66.75" customHeight="1">
      <c r="A124" s="459"/>
      <c r="B124" s="432"/>
      <c r="C124" s="460"/>
      <c r="D124" s="432" t="str" cm="1">
        <f t="array" ref="D124">_xll.FDSB(B124,"P_SYMBOL")</f>
        <v/>
      </c>
      <c r="E124" s="433" t="str" cm="1">
        <f t="array" ref="E124">_xll.FDSB(D124,"FF_CO_NAME")</f>
        <v/>
      </c>
      <c r="F124" s="434" t="str" cm="1">
        <f t="array" ref="F124">_xll.FDSB(D124,"FF_ADDRESS")&amp;" "&amp;_xll.FDSB(D124,"FF_ADDRESS2")&amp;" "&amp;_xll.FDSB(D124,"FF_CITY")&amp;" "&amp;_xll.FDSB(D124,"FF_POSTAL")&amp;" "&amp;_xll.FDSB(D124,"FF_STATE_PROVINCE")&amp;" "&amp;_xll.FDSB(D124,"FF_COUNTRY")</f>
        <v xml:space="preserve">     </v>
      </c>
      <c r="G124" s="436" t="str" cm="1">
        <f t="array" ref="G124">_xll.FDSB(D124,"FF_SALES(ANN_R,0)")</f>
        <v/>
      </c>
      <c r="H124" s="436" t="str" cm="1">
        <f t="array" ref="H124">_xll.FDSB(D124,"FF_EMP_NUM(ANN,0)")</f>
        <v/>
      </c>
      <c r="I124" s="437" t="str" cm="1">
        <f t="array" ref="I124">_xll.FDSRB(D124,"OS_TOP_HLDR_ULTPRNT(1,0D,,MTD,,F,SEC)[0]")</f>
        <v/>
      </c>
      <c r="J124" s="437" t="str" cm="1">
        <f t="array" ref="J124">_xll.FDSRB(D124,"FF_BUS_DESC_EXT")</f>
        <v/>
      </c>
      <c r="K124" s="437" t="str" cm="1">
        <f t="array" ref="K124">_xll.FDSB(D124,"HOMEPAGE")</f>
        <v/>
      </c>
      <c r="L124" s="437" t="str" cm="1">
        <f t="array" ref="L124">_xll.FDSB(D124,"FG_EXCHANGE")</f>
        <v/>
      </c>
      <c r="M124" s="438" t="str">
        <f t="shared" si="1"/>
        <v/>
      </c>
      <c r="N124" s="461"/>
      <c r="O124" s="461"/>
    </row>
    <row r="125" spans="1:15" s="440" customFormat="1" ht="66.75" customHeight="1">
      <c r="A125" s="459"/>
      <c r="B125" s="432"/>
      <c r="C125" s="460"/>
      <c r="D125" s="432" t="str" cm="1">
        <f t="array" ref="D125">_xll.FDSB(B125,"P_SYMBOL")</f>
        <v/>
      </c>
      <c r="E125" s="433" t="str" cm="1">
        <f t="array" ref="E125">_xll.FDSB(D125,"FF_CO_NAME")</f>
        <v/>
      </c>
      <c r="F125" s="434" t="str" cm="1">
        <f t="array" ref="F125">_xll.FDSB(D125,"FF_ADDRESS")&amp;" "&amp;_xll.FDSB(D125,"FF_ADDRESS2")&amp;" "&amp;_xll.FDSB(D125,"FF_CITY")&amp;" "&amp;_xll.FDSB(D125,"FF_POSTAL")&amp;" "&amp;_xll.FDSB(D125,"FF_STATE_PROVINCE")&amp;" "&amp;_xll.FDSB(D125,"FF_COUNTRY")</f>
        <v xml:space="preserve">     </v>
      </c>
      <c r="G125" s="436" t="str" cm="1">
        <f t="array" ref="G125">_xll.FDSB(D125,"FF_SALES(ANN_R,0)")</f>
        <v/>
      </c>
      <c r="H125" s="436" t="str" cm="1">
        <f t="array" ref="H125">_xll.FDSB(D125,"FF_EMP_NUM(ANN,0)")</f>
        <v/>
      </c>
      <c r="I125" s="437" t="str" cm="1">
        <f t="array" ref="I125">_xll.FDSRB(D125,"OS_TOP_HLDR_ULTPRNT(1,0D,,MTD,,F,SEC)[0]")</f>
        <v/>
      </c>
      <c r="J125" s="437" t="str" cm="1">
        <f t="array" ref="J125">_xll.FDSRB(D125,"FF_BUS_DESC_EXT")</f>
        <v/>
      </c>
      <c r="K125" s="437" t="str" cm="1">
        <f t="array" ref="K125">_xll.FDSB(D125,"HOMEPAGE")</f>
        <v/>
      </c>
      <c r="L125" s="437" t="str" cm="1">
        <f t="array" ref="L125">_xll.FDSB(D125,"FG_EXCHANGE")</f>
        <v/>
      </c>
      <c r="M125" s="438" t="str">
        <f t="shared" si="1"/>
        <v/>
      </c>
      <c r="N125" s="461"/>
      <c r="O125" s="462"/>
    </row>
    <row r="126" spans="1:15" s="440" customFormat="1" ht="66.75" customHeight="1">
      <c r="A126" s="459"/>
      <c r="B126" s="432"/>
      <c r="C126" s="460"/>
      <c r="D126" s="432" t="str" cm="1">
        <f t="array" ref="D126">_xll.FDSB(B126,"P_SYMBOL")</f>
        <v/>
      </c>
      <c r="E126" s="433" t="str" cm="1">
        <f t="array" ref="E126">_xll.FDSB(D126,"FF_CO_NAME")</f>
        <v/>
      </c>
      <c r="F126" s="434" t="str" cm="1">
        <f t="array" ref="F126">_xll.FDSB(D126,"FF_ADDRESS")&amp;" "&amp;_xll.FDSB(D126,"FF_ADDRESS2")&amp;" "&amp;_xll.FDSB(D126,"FF_CITY")&amp;" "&amp;_xll.FDSB(D126,"FF_POSTAL")&amp;" "&amp;_xll.FDSB(D126,"FF_STATE_PROVINCE")&amp;" "&amp;_xll.FDSB(D126,"FF_COUNTRY")</f>
        <v xml:space="preserve">     </v>
      </c>
      <c r="G126" s="436" t="str" cm="1">
        <f t="array" ref="G126">_xll.FDSB(D126,"FF_SALES(ANN_R,0)")</f>
        <v/>
      </c>
      <c r="H126" s="436" t="str" cm="1">
        <f t="array" ref="H126">_xll.FDSB(D126,"FF_EMP_NUM(ANN,0)")</f>
        <v/>
      </c>
      <c r="I126" s="437" t="str" cm="1">
        <f t="array" ref="I126">_xll.FDSRB(D126,"OS_TOP_HLDR_ULTPRNT(1,0D,,MTD,,F,SEC)[0]")</f>
        <v/>
      </c>
      <c r="J126" s="437" t="str" cm="1">
        <f t="array" ref="J126">_xll.FDSRB(D126,"FF_BUS_DESC_EXT")</f>
        <v/>
      </c>
      <c r="K126" s="437" t="str" cm="1">
        <f t="array" ref="K126">_xll.FDSB(D126,"HOMEPAGE")</f>
        <v/>
      </c>
      <c r="L126" s="437" t="str" cm="1">
        <f t="array" ref="L126">_xll.FDSB(D126,"FG_EXCHANGE")</f>
        <v/>
      </c>
      <c r="M126" s="438" t="str">
        <f t="shared" si="1"/>
        <v/>
      </c>
      <c r="N126" s="461"/>
      <c r="O126" s="461"/>
    </row>
    <row r="127" spans="1:15" s="440" customFormat="1" ht="66.75" customHeight="1">
      <c r="A127" s="459"/>
      <c r="B127" s="432"/>
      <c r="C127" s="460"/>
      <c r="D127" s="432" t="str" cm="1">
        <f t="array" ref="D127">_xll.FDSB(B127,"P_SYMBOL")</f>
        <v/>
      </c>
      <c r="E127" s="433" t="str" cm="1">
        <f t="array" ref="E127">_xll.FDSB(D127,"FF_CO_NAME")</f>
        <v/>
      </c>
      <c r="F127" s="434" t="str" cm="1">
        <f t="array" ref="F127">_xll.FDSB(D127,"FF_ADDRESS")&amp;" "&amp;_xll.FDSB(D127,"FF_ADDRESS2")&amp;" "&amp;_xll.FDSB(D127,"FF_CITY")&amp;" "&amp;_xll.FDSB(D127,"FF_POSTAL")&amp;" "&amp;_xll.FDSB(D127,"FF_STATE_PROVINCE")&amp;" "&amp;_xll.FDSB(D127,"FF_COUNTRY")</f>
        <v xml:space="preserve">     </v>
      </c>
      <c r="G127" s="436" t="str" cm="1">
        <f t="array" ref="G127">_xll.FDSB(D127,"FF_SALES(ANN_R,0)")</f>
        <v/>
      </c>
      <c r="H127" s="436" t="str" cm="1">
        <f t="array" ref="H127">_xll.FDSB(D127,"FF_EMP_NUM(ANN,0)")</f>
        <v/>
      </c>
      <c r="I127" s="437" t="str" cm="1">
        <f t="array" ref="I127">_xll.FDSRB(D127,"OS_TOP_HLDR_ULTPRNT(1,0D,,MTD,,F,SEC)[0]")</f>
        <v/>
      </c>
      <c r="J127" s="437" t="str" cm="1">
        <f t="array" ref="J127">_xll.FDSRB(D127,"FF_BUS_DESC_EXT")</f>
        <v/>
      </c>
      <c r="K127" s="437" t="str" cm="1">
        <f t="array" ref="K127">_xll.FDSB(D127,"HOMEPAGE")</f>
        <v/>
      </c>
      <c r="L127" s="437" t="str" cm="1">
        <f t="array" ref="L127">_xll.FDSB(D127,"FG_EXCHANGE")</f>
        <v/>
      </c>
      <c r="M127" s="438" t="str">
        <f t="shared" si="1"/>
        <v/>
      </c>
      <c r="N127" s="461"/>
      <c r="O127" s="462"/>
    </row>
    <row r="128" spans="1:15" s="440" customFormat="1" ht="66.75" customHeight="1">
      <c r="A128" s="459"/>
      <c r="B128" s="432"/>
      <c r="C128" s="460"/>
      <c r="D128" s="432" t="str" cm="1">
        <f t="array" ref="D128">_xll.FDSB(B128,"P_SYMBOL")</f>
        <v/>
      </c>
      <c r="E128" s="433" t="str" cm="1">
        <f t="array" ref="E128">_xll.FDSB(D128,"FF_CO_NAME")</f>
        <v/>
      </c>
      <c r="F128" s="434" t="str" cm="1">
        <f t="array" ref="F128">_xll.FDSB(D128,"FF_ADDRESS")&amp;" "&amp;_xll.FDSB(D128,"FF_ADDRESS2")&amp;" "&amp;_xll.FDSB(D128,"FF_CITY")&amp;" "&amp;_xll.FDSB(D128,"FF_POSTAL")&amp;" "&amp;_xll.FDSB(D128,"FF_STATE_PROVINCE")&amp;" "&amp;_xll.FDSB(D128,"FF_COUNTRY")</f>
        <v xml:space="preserve">     </v>
      </c>
      <c r="G128" s="436" t="str" cm="1">
        <f t="array" ref="G128">_xll.FDSB(D128,"FF_SALES(ANN_R,0)")</f>
        <v/>
      </c>
      <c r="H128" s="436" t="str" cm="1">
        <f t="array" ref="H128">_xll.FDSB(D128,"FF_EMP_NUM(ANN,0)")</f>
        <v/>
      </c>
      <c r="I128" s="437" t="str" cm="1">
        <f t="array" ref="I128">_xll.FDSRB(D128,"OS_TOP_HLDR_ULTPRNT(1,0D,,MTD,,F,SEC)[0]")</f>
        <v/>
      </c>
      <c r="J128" s="437" t="str" cm="1">
        <f t="array" ref="J128">_xll.FDSRB(D128,"FF_BUS_DESC_EXT")</f>
        <v/>
      </c>
      <c r="K128" s="437" t="str" cm="1">
        <f t="array" ref="K128">_xll.FDSB(D128,"HOMEPAGE")</f>
        <v/>
      </c>
      <c r="L128" s="437" t="str" cm="1">
        <f t="array" ref="L128">_xll.FDSB(D128,"FG_EXCHANGE")</f>
        <v/>
      </c>
      <c r="M128" s="438" t="str">
        <f t="shared" si="1"/>
        <v/>
      </c>
      <c r="N128" s="461"/>
      <c r="O128" s="461"/>
    </row>
    <row r="129" spans="1:15" s="440" customFormat="1" ht="66.75" customHeight="1">
      <c r="A129" s="459"/>
      <c r="B129" s="432"/>
      <c r="C129" s="460"/>
      <c r="D129" s="432" t="str" cm="1">
        <f t="array" ref="D129">_xll.FDSB(B129,"P_SYMBOL")</f>
        <v/>
      </c>
      <c r="E129" s="433" t="str" cm="1">
        <f t="array" ref="E129">_xll.FDSB(D129,"FF_CO_NAME")</f>
        <v/>
      </c>
      <c r="F129" s="434" t="str" cm="1">
        <f t="array" ref="F129">_xll.FDSB(D129,"FF_ADDRESS")&amp;" "&amp;_xll.FDSB(D129,"FF_ADDRESS2")&amp;" "&amp;_xll.FDSB(D129,"FF_CITY")&amp;" "&amp;_xll.FDSB(D129,"FF_POSTAL")&amp;" "&amp;_xll.FDSB(D129,"FF_STATE_PROVINCE")&amp;" "&amp;_xll.FDSB(D129,"FF_COUNTRY")</f>
        <v xml:space="preserve">     </v>
      </c>
      <c r="G129" s="436" t="str" cm="1">
        <f t="array" ref="G129">_xll.FDSB(D129,"FF_SALES(ANN_R,0)")</f>
        <v/>
      </c>
      <c r="H129" s="436" t="str" cm="1">
        <f t="array" ref="H129">_xll.FDSB(D129,"FF_EMP_NUM(ANN,0)")</f>
        <v/>
      </c>
      <c r="I129" s="437" t="str" cm="1">
        <f t="array" ref="I129">_xll.FDSRB(D129,"OS_TOP_HLDR_ULTPRNT(1,0D,,MTD,,F,SEC)[0]")</f>
        <v/>
      </c>
      <c r="J129" s="437" t="str" cm="1">
        <f t="array" ref="J129">_xll.FDSRB(D129,"FF_BUS_DESC_EXT")</f>
        <v/>
      </c>
      <c r="K129" s="437" t="str" cm="1">
        <f t="array" ref="K129">_xll.FDSB(D129,"HOMEPAGE")</f>
        <v/>
      </c>
      <c r="L129" s="437" t="str" cm="1">
        <f t="array" ref="L129">_xll.FDSB(D129,"FG_EXCHANGE")</f>
        <v/>
      </c>
      <c r="M129" s="438" t="str">
        <f t="shared" si="1"/>
        <v/>
      </c>
      <c r="N129" s="461"/>
      <c r="O129" s="462"/>
    </row>
    <row r="130" spans="1:15" s="440" customFormat="1" ht="66.75" customHeight="1">
      <c r="A130" s="459"/>
      <c r="B130" s="432"/>
      <c r="C130" s="460"/>
      <c r="D130" s="432" t="str" cm="1">
        <f t="array" ref="D130">_xll.FDSB(B130,"P_SYMBOL")</f>
        <v/>
      </c>
      <c r="E130" s="433" t="str" cm="1">
        <f t="array" ref="E130">_xll.FDSB(D130,"FF_CO_NAME")</f>
        <v/>
      </c>
      <c r="F130" s="434" t="str" cm="1">
        <f t="array" ref="F130">_xll.FDSB(D130,"FF_ADDRESS")&amp;" "&amp;_xll.FDSB(D130,"FF_ADDRESS2")&amp;" "&amp;_xll.FDSB(D130,"FF_CITY")&amp;" "&amp;_xll.FDSB(D130,"FF_POSTAL")&amp;" "&amp;_xll.FDSB(D130,"FF_STATE_PROVINCE")&amp;" "&amp;_xll.FDSB(D130,"FF_COUNTRY")</f>
        <v xml:space="preserve">     </v>
      </c>
      <c r="G130" s="436" t="str" cm="1">
        <f t="array" ref="G130">_xll.FDSB(D130,"FF_SALES(ANN_R,0)")</f>
        <v/>
      </c>
      <c r="H130" s="436" t="str" cm="1">
        <f t="array" ref="H130">_xll.FDSB(D130,"FF_EMP_NUM(ANN,0)")</f>
        <v/>
      </c>
      <c r="I130" s="437" t="str" cm="1">
        <f t="array" ref="I130">_xll.FDSRB(D130,"OS_TOP_HLDR_ULTPRNT(1,0D,,MTD,,F,SEC)[0]")</f>
        <v/>
      </c>
      <c r="J130" s="437" t="str" cm="1">
        <f t="array" ref="J130">_xll.FDSRB(D130,"FF_BUS_DESC_EXT")</f>
        <v/>
      </c>
      <c r="K130" s="437" t="str" cm="1">
        <f t="array" ref="K130">_xll.FDSB(D130,"HOMEPAGE")</f>
        <v/>
      </c>
      <c r="L130" s="437" t="str" cm="1">
        <f t="array" ref="L130">_xll.FDSB(D130,"FG_EXCHANGE")</f>
        <v/>
      </c>
      <c r="M130" s="438" t="str">
        <f t="shared" si="1"/>
        <v/>
      </c>
      <c r="N130" s="461"/>
      <c r="O130" s="461"/>
    </row>
    <row r="131" spans="1:15" s="440" customFormat="1" ht="66.75" customHeight="1">
      <c r="A131" s="459"/>
      <c r="B131" s="432"/>
      <c r="C131" s="460"/>
      <c r="D131" s="432" t="str" cm="1">
        <f t="array" ref="D131">_xll.FDSB(B131,"P_SYMBOL")</f>
        <v/>
      </c>
      <c r="E131" s="433" t="str" cm="1">
        <f t="array" ref="E131">_xll.FDSB(D131,"FF_CO_NAME")</f>
        <v/>
      </c>
      <c r="F131" s="434" t="str" cm="1">
        <f t="array" ref="F131">_xll.FDSB(D131,"FF_ADDRESS")&amp;" "&amp;_xll.FDSB(D131,"FF_ADDRESS2")&amp;" "&amp;_xll.FDSB(D131,"FF_CITY")&amp;" "&amp;_xll.FDSB(D131,"FF_POSTAL")&amp;" "&amp;_xll.FDSB(D131,"FF_STATE_PROVINCE")&amp;" "&amp;_xll.FDSB(D131,"FF_COUNTRY")</f>
        <v xml:space="preserve">     </v>
      </c>
      <c r="G131" s="436" t="str" cm="1">
        <f t="array" ref="G131">_xll.FDSB(D131,"FF_SALES(ANN_R,0)")</f>
        <v/>
      </c>
      <c r="H131" s="436" t="str" cm="1">
        <f t="array" ref="H131">_xll.FDSB(D131,"FF_EMP_NUM(ANN,0)")</f>
        <v/>
      </c>
      <c r="I131" s="437" t="str" cm="1">
        <f t="array" ref="I131">_xll.FDSRB(D131,"OS_TOP_HLDR_ULTPRNT(1,0D,,MTD,,F,SEC)[0]")</f>
        <v/>
      </c>
      <c r="J131" s="437" t="str" cm="1">
        <f t="array" ref="J131">_xll.FDSRB(D131,"FF_BUS_DESC_EXT")</f>
        <v/>
      </c>
      <c r="K131" s="437" t="str" cm="1">
        <f t="array" ref="K131">_xll.FDSB(D131,"HOMEPAGE")</f>
        <v/>
      </c>
      <c r="L131" s="437" t="str" cm="1">
        <f t="array" ref="L131">_xll.FDSB(D131,"FG_EXCHANGE")</f>
        <v/>
      </c>
      <c r="M131" s="438" t="str">
        <f t="shared" si="1"/>
        <v/>
      </c>
      <c r="N131" s="461"/>
      <c r="O131" s="462"/>
    </row>
    <row r="132" spans="1:15" s="440" customFormat="1" ht="66.75" customHeight="1">
      <c r="A132" s="459"/>
      <c r="B132" s="432"/>
      <c r="C132" s="460"/>
      <c r="D132" s="432" t="str" cm="1">
        <f t="array" ref="D132">_xll.FDSB(B132,"P_SYMBOL")</f>
        <v/>
      </c>
      <c r="E132" s="433" t="str" cm="1">
        <f t="array" ref="E132">_xll.FDSB(D132,"FF_CO_NAME")</f>
        <v/>
      </c>
      <c r="F132" s="434" t="str" cm="1">
        <f t="array" ref="F132">_xll.FDSB(D132,"FF_ADDRESS")&amp;" "&amp;_xll.FDSB(D132,"FF_ADDRESS2")&amp;" "&amp;_xll.FDSB(D132,"FF_CITY")&amp;" "&amp;_xll.FDSB(D132,"FF_POSTAL")&amp;" "&amp;_xll.FDSB(D132,"FF_STATE_PROVINCE")&amp;" "&amp;_xll.FDSB(D132,"FF_COUNTRY")</f>
        <v xml:space="preserve">     </v>
      </c>
      <c r="G132" s="436" t="str" cm="1">
        <f t="array" ref="G132">_xll.FDSB(D132,"FF_SALES(ANN_R,0)")</f>
        <v/>
      </c>
      <c r="H132" s="436" t="str" cm="1">
        <f t="array" ref="H132">_xll.FDSB(D132,"FF_EMP_NUM(ANN,0)")</f>
        <v/>
      </c>
      <c r="I132" s="437" t="str" cm="1">
        <f t="array" ref="I132">_xll.FDSRB(D132,"OS_TOP_HLDR_ULTPRNT(1,0D,,MTD,,F,SEC)[0]")</f>
        <v/>
      </c>
      <c r="J132" s="437" t="str" cm="1">
        <f t="array" ref="J132">_xll.FDSRB(D132,"FF_BUS_DESC_EXT")</f>
        <v/>
      </c>
      <c r="K132" s="437" t="str" cm="1">
        <f t="array" ref="K132">_xll.FDSB(D132,"HOMEPAGE")</f>
        <v/>
      </c>
      <c r="L132" s="437" t="str" cm="1">
        <f t="array" ref="L132">_xll.FDSB(D132,"FG_EXCHANGE")</f>
        <v/>
      </c>
      <c r="M132" s="438" t="str">
        <f t="shared" si="1"/>
        <v/>
      </c>
      <c r="N132" s="461"/>
      <c r="O132" s="461"/>
    </row>
    <row r="133" spans="1:15" s="440" customFormat="1" ht="66.75" customHeight="1">
      <c r="A133" s="459"/>
      <c r="B133" s="432"/>
      <c r="C133" s="460"/>
      <c r="D133" s="432" t="str" cm="1">
        <f t="array" ref="D133">_xll.FDSB(B133,"P_SYMBOL")</f>
        <v/>
      </c>
      <c r="E133" s="433" t="str" cm="1">
        <f t="array" ref="E133">_xll.FDSB(D133,"FF_CO_NAME")</f>
        <v/>
      </c>
      <c r="F133" s="434" t="str" cm="1">
        <f t="array" ref="F133">_xll.FDSB(D133,"FF_ADDRESS")&amp;" "&amp;_xll.FDSB(D133,"FF_ADDRESS2")&amp;" "&amp;_xll.FDSB(D133,"FF_CITY")&amp;" "&amp;_xll.FDSB(D133,"FF_POSTAL")&amp;" "&amp;_xll.FDSB(D133,"FF_STATE_PROVINCE")&amp;" "&amp;_xll.FDSB(D133,"FF_COUNTRY")</f>
        <v xml:space="preserve">     </v>
      </c>
      <c r="G133" s="436" t="str" cm="1">
        <f t="array" ref="G133">_xll.FDSB(D133,"FF_SALES(ANN_R,0)")</f>
        <v/>
      </c>
      <c r="H133" s="436" t="str" cm="1">
        <f t="array" ref="H133">_xll.FDSB(D133,"FF_EMP_NUM(ANN,0)")</f>
        <v/>
      </c>
      <c r="I133" s="437" t="str" cm="1">
        <f t="array" ref="I133">_xll.FDSRB(D133,"OS_TOP_HLDR_ULTPRNT(1,0D,,MTD,,F,SEC)[0]")</f>
        <v/>
      </c>
      <c r="J133" s="437" t="str" cm="1">
        <f t="array" ref="J133">_xll.FDSRB(D133,"FF_BUS_DESC_EXT")</f>
        <v/>
      </c>
      <c r="K133" s="437" t="str" cm="1">
        <f t="array" ref="K133">_xll.FDSB(D133,"HOMEPAGE")</f>
        <v/>
      </c>
      <c r="L133" s="437" t="str" cm="1">
        <f t="array" ref="L133">_xll.FDSB(D133,"FG_EXCHANGE")</f>
        <v/>
      </c>
      <c r="M133" s="438" t="str">
        <f t="shared" si="1"/>
        <v/>
      </c>
      <c r="N133" s="461"/>
      <c r="O133" s="462"/>
    </row>
    <row r="134" spans="1:15" s="440" customFormat="1" ht="66.75" customHeight="1">
      <c r="A134" s="459"/>
      <c r="B134" s="432"/>
      <c r="C134" s="460"/>
      <c r="D134" s="432" t="str" cm="1">
        <f t="array" ref="D134">_xll.FDSB(B134,"P_SYMBOL")</f>
        <v/>
      </c>
      <c r="E134" s="433" t="str" cm="1">
        <f t="array" ref="E134">_xll.FDSB(D134,"FF_CO_NAME")</f>
        <v/>
      </c>
      <c r="F134" s="434" t="str" cm="1">
        <f t="array" ref="F134">_xll.FDSB(D134,"FF_ADDRESS")&amp;" "&amp;_xll.FDSB(D134,"FF_ADDRESS2")&amp;" "&amp;_xll.FDSB(D134,"FF_CITY")&amp;" "&amp;_xll.FDSB(D134,"FF_POSTAL")&amp;" "&amp;_xll.FDSB(D134,"FF_STATE_PROVINCE")&amp;" "&amp;_xll.FDSB(D134,"FF_COUNTRY")</f>
        <v xml:space="preserve">     </v>
      </c>
      <c r="G134" s="436" t="str" cm="1">
        <f t="array" ref="G134">_xll.FDSB(D134,"FF_SALES(ANN_R,0)")</f>
        <v/>
      </c>
      <c r="H134" s="436" t="str" cm="1">
        <f t="array" ref="H134">_xll.FDSB(D134,"FF_EMP_NUM(ANN,0)")</f>
        <v/>
      </c>
      <c r="I134" s="437" t="str" cm="1">
        <f t="array" ref="I134">_xll.FDSRB(D134,"OS_TOP_HLDR_ULTPRNT(1,0D,,MTD,,F,SEC)[0]")</f>
        <v/>
      </c>
      <c r="J134" s="437" t="str" cm="1">
        <f t="array" ref="J134">_xll.FDSRB(D134,"FF_BUS_DESC_EXT")</f>
        <v/>
      </c>
      <c r="K134" s="437" t="str" cm="1">
        <f t="array" ref="K134">_xll.FDSB(D134,"HOMEPAGE")</f>
        <v/>
      </c>
      <c r="L134" s="437" t="str" cm="1">
        <f t="array" ref="L134">_xll.FDSB(D134,"FG_EXCHANGE")</f>
        <v/>
      </c>
      <c r="M134" s="438" t="str">
        <f t="shared" si="1"/>
        <v/>
      </c>
      <c r="N134" s="461"/>
      <c r="O134" s="461"/>
    </row>
    <row r="135" spans="1:15" s="440" customFormat="1" ht="66.75" customHeight="1">
      <c r="A135" s="459"/>
      <c r="B135" s="432"/>
      <c r="C135" s="460"/>
      <c r="D135" s="432" t="str" cm="1">
        <f t="array" ref="D135">_xll.FDSB(B135,"P_SYMBOL")</f>
        <v/>
      </c>
      <c r="E135" s="433" t="str" cm="1">
        <f t="array" ref="E135">_xll.FDSB(D135,"FF_CO_NAME")</f>
        <v/>
      </c>
      <c r="F135" s="434" t="str" cm="1">
        <f t="array" ref="F135">_xll.FDSB(D135,"FF_ADDRESS")&amp;" "&amp;_xll.FDSB(D135,"FF_ADDRESS2")&amp;" "&amp;_xll.FDSB(D135,"FF_CITY")&amp;" "&amp;_xll.FDSB(D135,"FF_POSTAL")&amp;" "&amp;_xll.FDSB(D135,"FF_STATE_PROVINCE")&amp;" "&amp;_xll.FDSB(D135,"FF_COUNTRY")</f>
        <v xml:space="preserve">     </v>
      </c>
      <c r="G135" s="436" t="str" cm="1">
        <f t="array" ref="G135">_xll.FDSB(D135,"FF_SALES(ANN_R,0)")</f>
        <v/>
      </c>
      <c r="H135" s="436" t="str" cm="1">
        <f t="array" ref="H135">_xll.FDSB(D135,"FF_EMP_NUM(ANN,0)")</f>
        <v/>
      </c>
      <c r="I135" s="437" t="str" cm="1">
        <f t="array" ref="I135">_xll.FDSRB(D135,"OS_TOP_HLDR_ULTPRNT(1,0D,,MTD,,F,SEC)[0]")</f>
        <v/>
      </c>
      <c r="J135" s="437" t="str" cm="1">
        <f t="array" ref="J135">_xll.FDSRB(D135,"FF_BUS_DESC_EXT")</f>
        <v/>
      </c>
      <c r="K135" s="437" t="str" cm="1">
        <f t="array" ref="K135">_xll.FDSB(D135,"HOMEPAGE")</f>
        <v/>
      </c>
      <c r="L135" s="437" t="str" cm="1">
        <f t="array" ref="L135">_xll.FDSB(D135,"FG_EXCHANGE")</f>
        <v/>
      </c>
      <c r="M135" s="438" t="str">
        <f t="shared" si="1"/>
        <v/>
      </c>
      <c r="N135" s="461"/>
      <c r="O135" s="462"/>
    </row>
    <row r="136" spans="1:15" s="440" customFormat="1" ht="66.75" customHeight="1">
      <c r="A136" s="459"/>
      <c r="B136" s="432"/>
      <c r="C136" s="460"/>
      <c r="D136" s="432" t="str" cm="1">
        <f t="array" ref="D136">_xll.FDSB(B136,"P_SYMBOL")</f>
        <v/>
      </c>
      <c r="E136" s="433" t="str" cm="1">
        <f t="array" ref="E136">_xll.FDSB(D136,"FF_CO_NAME")</f>
        <v/>
      </c>
      <c r="F136" s="434" t="str" cm="1">
        <f t="array" ref="F136">_xll.FDSB(D136,"FF_ADDRESS")&amp;" "&amp;_xll.FDSB(D136,"FF_ADDRESS2")&amp;" "&amp;_xll.FDSB(D136,"FF_CITY")&amp;" "&amp;_xll.FDSB(D136,"FF_POSTAL")&amp;" "&amp;_xll.FDSB(D136,"FF_STATE_PROVINCE")&amp;" "&amp;_xll.FDSB(D136,"FF_COUNTRY")</f>
        <v xml:space="preserve">     </v>
      </c>
      <c r="G136" s="436" t="str" cm="1">
        <f t="array" ref="G136">_xll.FDSB(D136,"FF_SALES(ANN_R,0)")</f>
        <v/>
      </c>
      <c r="H136" s="436" t="str" cm="1">
        <f t="array" ref="H136">_xll.FDSB(D136,"FF_EMP_NUM(ANN,0)")</f>
        <v/>
      </c>
      <c r="I136" s="437" t="str" cm="1">
        <f t="array" ref="I136">_xll.FDSRB(D136,"OS_TOP_HLDR_ULTPRNT(1,0D,,MTD,,F,SEC)[0]")</f>
        <v/>
      </c>
      <c r="J136" s="437" t="str" cm="1">
        <f t="array" ref="J136">_xll.FDSRB(D136,"FF_BUS_DESC_EXT")</f>
        <v/>
      </c>
      <c r="K136" s="437" t="str" cm="1">
        <f t="array" ref="K136">_xll.FDSB(D136,"HOMEPAGE")</f>
        <v/>
      </c>
      <c r="L136" s="437" t="str" cm="1">
        <f t="array" ref="L136">_xll.FDSB(D136,"FG_EXCHANGE")</f>
        <v/>
      </c>
      <c r="M136" s="438" t="str">
        <f t="shared" si="1"/>
        <v/>
      </c>
      <c r="N136" s="461"/>
      <c r="O136" s="461"/>
    </row>
    <row r="137" spans="1:15" s="440" customFormat="1" ht="66.75" customHeight="1">
      <c r="A137" s="459"/>
      <c r="B137" s="432"/>
      <c r="C137" s="460"/>
      <c r="D137" s="432" t="str" cm="1">
        <f t="array" ref="D137">_xll.FDSB(B137,"P_SYMBOL")</f>
        <v/>
      </c>
      <c r="E137" s="433" t="str" cm="1">
        <f t="array" ref="E137">_xll.FDSB(D137,"FF_CO_NAME")</f>
        <v/>
      </c>
      <c r="F137" s="434" t="str" cm="1">
        <f t="array" ref="F137">_xll.FDSB(D137,"FF_ADDRESS")&amp;" "&amp;_xll.FDSB(D137,"FF_ADDRESS2")&amp;" "&amp;_xll.FDSB(D137,"FF_CITY")&amp;" "&amp;_xll.FDSB(D137,"FF_POSTAL")&amp;" "&amp;_xll.FDSB(D137,"FF_STATE_PROVINCE")&amp;" "&amp;_xll.FDSB(D137,"FF_COUNTRY")</f>
        <v xml:space="preserve">     </v>
      </c>
      <c r="G137" s="436" t="str" cm="1">
        <f t="array" ref="G137">_xll.FDSB(D137,"FF_SALES(ANN_R,0)")</f>
        <v/>
      </c>
      <c r="H137" s="436" t="str" cm="1">
        <f t="array" ref="H137">_xll.FDSB(D137,"FF_EMP_NUM(ANN,0)")</f>
        <v/>
      </c>
      <c r="I137" s="437" t="str" cm="1">
        <f t="array" ref="I137">_xll.FDSRB(D137,"OS_TOP_HLDR_ULTPRNT(1,0D,,MTD,,F,SEC)[0]")</f>
        <v/>
      </c>
      <c r="J137" s="437" t="str" cm="1">
        <f t="array" ref="J137">_xll.FDSRB(D137,"FF_BUS_DESC_EXT")</f>
        <v/>
      </c>
      <c r="K137" s="437" t="str" cm="1">
        <f t="array" ref="K137">_xll.FDSB(D137,"HOMEPAGE")</f>
        <v/>
      </c>
      <c r="L137" s="437" t="str" cm="1">
        <f t="array" ref="L137">_xll.FDSB(D137,"FG_EXCHANGE")</f>
        <v/>
      </c>
      <c r="M137" s="438" t="str">
        <f t="shared" si="1"/>
        <v/>
      </c>
      <c r="N137" s="461"/>
      <c r="O137" s="462"/>
    </row>
    <row r="138" spans="1:15" s="440" customFormat="1" ht="66.75" customHeight="1">
      <c r="A138" s="459"/>
      <c r="B138" s="432"/>
      <c r="C138" s="460"/>
      <c r="D138" s="432" t="str" cm="1">
        <f t="array" ref="D138">_xll.FDSB(B138,"P_SYMBOL")</f>
        <v/>
      </c>
      <c r="E138" s="433" t="str" cm="1">
        <f t="array" ref="E138">_xll.FDSB(D138,"FF_CO_NAME")</f>
        <v/>
      </c>
      <c r="F138" s="434" t="str" cm="1">
        <f t="array" ref="F138">_xll.FDSB(D138,"FF_ADDRESS")&amp;" "&amp;_xll.FDSB(D138,"FF_ADDRESS2")&amp;" "&amp;_xll.FDSB(D138,"FF_CITY")&amp;" "&amp;_xll.FDSB(D138,"FF_POSTAL")&amp;" "&amp;_xll.FDSB(D138,"FF_STATE_PROVINCE")&amp;" "&amp;_xll.FDSB(D138,"FF_COUNTRY")</f>
        <v xml:space="preserve">     </v>
      </c>
      <c r="G138" s="436" t="str" cm="1">
        <f t="array" ref="G138">_xll.FDSB(D138,"FF_SALES(ANN_R,0)")</f>
        <v/>
      </c>
      <c r="H138" s="436" t="str" cm="1">
        <f t="array" ref="H138">_xll.FDSB(D138,"FF_EMP_NUM(ANN,0)")</f>
        <v/>
      </c>
      <c r="I138" s="437" t="str" cm="1">
        <f t="array" ref="I138">_xll.FDSRB(D138,"OS_TOP_HLDR_ULTPRNT(1,0D,,MTD,,F,SEC)[0]")</f>
        <v/>
      </c>
      <c r="J138" s="437" t="str" cm="1">
        <f t="array" ref="J138">_xll.FDSRB(D138,"FF_BUS_DESC_EXT")</f>
        <v/>
      </c>
      <c r="K138" s="437" t="str" cm="1">
        <f t="array" ref="K138">_xll.FDSB(D138,"HOMEPAGE")</f>
        <v/>
      </c>
      <c r="L138" s="437" t="str" cm="1">
        <f t="array" ref="L138">_xll.FDSB(D138,"FG_EXCHANGE")</f>
        <v/>
      </c>
      <c r="M138" s="438" t="str">
        <f t="shared" si="1"/>
        <v/>
      </c>
      <c r="N138" s="461"/>
      <c r="O138" s="461"/>
    </row>
    <row r="139" spans="1:15" s="440" customFormat="1" ht="66.75" customHeight="1">
      <c r="A139" s="459"/>
      <c r="B139" s="432"/>
      <c r="C139" s="460"/>
      <c r="D139" s="432" t="str" cm="1">
        <f t="array" ref="D139">_xll.FDSB(B139,"P_SYMBOL")</f>
        <v/>
      </c>
      <c r="E139" s="433" t="str" cm="1">
        <f t="array" ref="E139">_xll.FDSB(D139,"FF_CO_NAME")</f>
        <v/>
      </c>
      <c r="F139" s="434" t="str" cm="1">
        <f t="array" ref="F139">_xll.FDSB(D139,"FF_ADDRESS")&amp;" "&amp;_xll.FDSB(D139,"FF_ADDRESS2")&amp;" "&amp;_xll.FDSB(D139,"FF_CITY")&amp;" "&amp;_xll.FDSB(D139,"FF_POSTAL")&amp;" "&amp;_xll.FDSB(D139,"FF_STATE_PROVINCE")&amp;" "&amp;_xll.FDSB(D139,"FF_COUNTRY")</f>
        <v xml:space="preserve">     </v>
      </c>
      <c r="G139" s="436" t="str" cm="1">
        <f t="array" ref="G139">_xll.FDSB(D139,"FF_SALES(ANN_R,0)")</f>
        <v/>
      </c>
      <c r="H139" s="436" t="str" cm="1">
        <f t="array" ref="H139">_xll.FDSB(D139,"FF_EMP_NUM(ANN,0)")</f>
        <v/>
      </c>
      <c r="I139" s="437" t="str" cm="1">
        <f t="array" ref="I139">_xll.FDSRB(D139,"OS_TOP_HLDR_ULTPRNT(1,0D,,MTD,,F,SEC)[0]")</f>
        <v/>
      </c>
      <c r="J139" s="437" t="str" cm="1">
        <f t="array" ref="J139">_xll.FDSRB(D139,"FF_BUS_DESC_EXT")</f>
        <v/>
      </c>
      <c r="K139" s="437" t="str" cm="1">
        <f t="array" ref="K139">_xll.FDSB(D139,"HOMEPAGE")</f>
        <v/>
      </c>
      <c r="L139" s="437" t="str" cm="1">
        <f t="array" ref="L139">_xll.FDSB(D139,"FG_EXCHANGE")</f>
        <v/>
      </c>
      <c r="M139" s="438" t="str">
        <f t="shared" si="1"/>
        <v/>
      </c>
      <c r="N139" s="461"/>
      <c r="O139" s="462"/>
    </row>
    <row r="140" spans="1:15" s="440" customFormat="1" ht="66.75" customHeight="1">
      <c r="A140" s="459"/>
      <c r="B140" s="432"/>
      <c r="C140" s="460"/>
      <c r="D140" s="432" t="str" cm="1">
        <f t="array" ref="D140">_xll.FDSB(B140,"P_SYMBOL")</f>
        <v/>
      </c>
      <c r="E140" s="433" t="str" cm="1">
        <f t="array" ref="E140">_xll.FDSB(D140,"FF_CO_NAME")</f>
        <v/>
      </c>
      <c r="F140" s="434" t="str" cm="1">
        <f t="array" ref="F140">_xll.FDSB(D140,"FF_ADDRESS")&amp;" "&amp;_xll.FDSB(D140,"FF_ADDRESS2")&amp;" "&amp;_xll.FDSB(D140,"FF_CITY")&amp;" "&amp;_xll.FDSB(D140,"FF_POSTAL")&amp;" "&amp;_xll.FDSB(D140,"FF_STATE_PROVINCE")&amp;" "&amp;_xll.FDSB(D140,"FF_COUNTRY")</f>
        <v xml:space="preserve">     </v>
      </c>
      <c r="G140" s="436" t="str" cm="1">
        <f t="array" ref="G140">_xll.FDSB(D140,"FF_SALES(ANN_R,0)")</f>
        <v/>
      </c>
      <c r="H140" s="436" t="str" cm="1">
        <f t="array" ref="H140">_xll.FDSB(D140,"FF_EMP_NUM(ANN,0)")</f>
        <v/>
      </c>
      <c r="I140" s="437" t="str" cm="1">
        <f t="array" ref="I140">_xll.FDSRB(D140,"OS_TOP_HLDR_ULTPRNT(1,0D,,MTD,,F,SEC)[0]")</f>
        <v/>
      </c>
      <c r="J140" s="437" t="str" cm="1">
        <f t="array" ref="J140">_xll.FDSRB(D140,"FF_BUS_DESC_EXT")</f>
        <v/>
      </c>
      <c r="K140" s="437" t="str" cm="1">
        <f t="array" ref="K140">_xll.FDSB(D140,"HOMEPAGE")</f>
        <v/>
      </c>
      <c r="L140" s="437" t="str" cm="1">
        <f t="array" ref="L140">_xll.FDSB(D140,"FG_EXCHANGE")</f>
        <v/>
      </c>
      <c r="M140" s="438" t="str">
        <f t="shared" si="1"/>
        <v/>
      </c>
      <c r="N140" s="461"/>
      <c r="O140" s="461"/>
    </row>
    <row r="141" spans="1:15" s="440" customFormat="1" ht="66.75" customHeight="1">
      <c r="A141" s="459"/>
      <c r="B141" s="432"/>
      <c r="C141" s="460"/>
      <c r="D141" s="432" t="str" cm="1">
        <f t="array" ref="D141">_xll.FDSB(B141,"P_SYMBOL")</f>
        <v/>
      </c>
      <c r="E141" s="433" t="str" cm="1">
        <f t="array" ref="E141">_xll.FDSB(D141,"FF_CO_NAME")</f>
        <v/>
      </c>
      <c r="F141" s="434" t="str" cm="1">
        <f t="array" ref="F141">_xll.FDSB(D141,"FF_ADDRESS")&amp;" "&amp;_xll.FDSB(D141,"FF_ADDRESS2")&amp;" "&amp;_xll.FDSB(D141,"FF_CITY")&amp;" "&amp;_xll.FDSB(D141,"FF_POSTAL")&amp;" "&amp;_xll.FDSB(D141,"FF_STATE_PROVINCE")&amp;" "&amp;_xll.FDSB(D141,"FF_COUNTRY")</f>
        <v xml:space="preserve">     </v>
      </c>
      <c r="G141" s="436" t="str" cm="1">
        <f t="array" ref="G141">_xll.FDSB(D141,"FF_SALES(ANN_R,0)")</f>
        <v/>
      </c>
      <c r="H141" s="436" t="str" cm="1">
        <f t="array" ref="H141">_xll.FDSB(D141,"FF_EMP_NUM(ANN,0)")</f>
        <v/>
      </c>
      <c r="I141" s="437" t="str" cm="1">
        <f t="array" ref="I141">_xll.FDSRB(D141,"OS_TOP_HLDR_ULTPRNT(1,0D,,MTD,,F,SEC)[0]")</f>
        <v/>
      </c>
      <c r="J141" s="437" t="str" cm="1">
        <f t="array" ref="J141">_xll.FDSRB(D141,"FF_BUS_DESC_EXT")</f>
        <v/>
      </c>
      <c r="K141" s="437" t="str" cm="1">
        <f t="array" ref="K141">_xll.FDSB(D141,"HOMEPAGE")</f>
        <v/>
      </c>
      <c r="L141" s="437" t="str" cm="1">
        <f t="array" ref="L141">_xll.FDSB(D141,"FG_EXCHANGE")</f>
        <v/>
      </c>
      <c r="M141" s="438" t="str">
        <f t="shared" ref="M141:M200" si="2">IF(LEN(E141)&gt;0,HYPERLINK("ec://EC/?MODEL=GENERIC&amp;ID="&amp;D141&amp;"&amp;TYPEID=FDSSYMBOL&amp;KW=CPYATGLANCEFF",E141&amp;" - Company at a glance"),"")</f>
        <v/>
      </c>
      <c r="N141" s="461"/>
      <c r="O141" s="462"/>
    </row>
    <row r="142" spans="1:15" s="440" customFormat="1" ht="66.75" customHeight="1">
      <c r="A142" s="459"/>
      <c r="B142" s="432"/>
      <c r="C142" s="460"/>
      <c r="D142" s="432" t="str" cm="1">
        <f t="array" ref="D142">_xll.FDSB(B142,"P_SYMBOL")</f>
        <v/>
      </c>
      <c r="E142" s="433" t="str" cm="1">
        <f t="array" ref="E142">_xll.FDSB(D142,"FF_CO_NAME")</f>
        <v/>
      </c>
      <c r="F142" s="434" t="str" cm="1">
        <f t="array" ref="F142">_xll.FDSB(D142,"FF_ADDRESS")&amp;" "&amp;_xll.FDSB(D142,"FF_ADDRESS2")&amp;" "&amp;_xll.FDSB(D142,"FF_CITY")&amp;" "&amp;_xll.FDSB(D142,"FF_POSTAL")&amp;" "&amp;_xll.FDSB(D142,"FF_STATE_PROVINCE")&amp;" "&amp;_xll.FDSB(D142,"FF_COUNTRY")</f>
        <v xml:space="preserve">     </v>
      </c>
      <c r="G142" s="436" t="str" cm="1">
        <f t="array" ref="G142">_xll.FDSB(D142,"FF_SALES(ANN_R,0)")</f>
        <v/>
      </c>
      <c r="H142" s="436" t="str" cm="1">
        <f t="array" ref="H142">_xll.FDSB(D142,"FF_EMP_NUM(ANN,0)")</f>
        <v/>
      </c>
      <c r="I142" s="437" t="str" cm="1">
        <f t="array" ref="I142">_xll.FDSRB(D142,"OS_TOP_HLDR_ULTPRNT(1,0D,,MTD,,F,SEC)[0]")</f>
        <v/>
      </c>
      <c r="J142" s="437" t="str" cm="1">
        <f t="array" ref="J142">_xll.FDSRB(D142,"FF_BUS_DESC_EXT")</f>
        <v/>
      </c>
      <c r="K142" s="437" t="str" cm="1">
        <f t="array" ref="K142">_xll.FDSB(D142,"HOMEPAGE")</f>
        <v/>
      </c>
      <c r="L142" s="437" t="str" cm="1">
        <f t="array" ref="L142">_xll.FDSB(D142,"FG_EXCHANGE")</f>
        <v/>
      </c>
      <c r="M142" s="438" t="str">
        <f t="shared" si="2"/>
        <v/>
      </c>
      <c r="N142" s="461"/>
      <c r="O142" s="461"/>
    </row>
    <row r="143" spans="1:15" s="440" customFormat="1" ht="66.75" customHeight="1">
      <c r="A143" s="459"/>
      <c r="B143" s="432"/>
      <c r="C143" s="460"/>
      <c r="D143" s="432" t="str" cm="1">
        <f t="array" ref="D143">_xll.FDSB(B143,"P_SYMBOL")</f>
        <v/>
      </c>
      <c r="E143" s="433" t="str" cm="1">
        <f t="array" ref="E143">_xll.FDSB(D143,"FF_CO_NAME")</f>
        <v/>
      </c>
      <c r="F143" s="434" t="str" cm="1">
        <f t="array" ref="F143">_xll.FDSB(D143,"FF_ADDRESS")&amp;" "&amp;_xll.FDSB(D143,"FF_ADDRESS2")&amp;" "&amp;_xll.FDSB(D143,"FF_CITY")&amp;" "&amp;_xll.FDSB(D143,"FF_POSTAL")&amp;" "&amp;_xll.FDSB(D143,"FF_STATE_PROVINCE")&amp;" "&amp;_xll.FDSB(D143,"FF_COUNTRY")</f>
        <v xml:space="preserve">     </v>
      </c>
      <c r="G143" s="436" t="str" cm="1">
        <f t="array" ref="G143">_xll.FDSB(D143,"FF_SALES(ANN_R,0)")</f>
        <v/>
      </c>
      <c r="H143" s="436" t="str" cm="1">
        <f t="array" ref="H143">_xll.FDSB(D143,"FF_EMP_NUM(ANN,0)")</f>
        <v/>
      </c>
      <c r="I143" s="437" t="str" cm="1">
        <f t="array" ref="I143">_xll.FDSRB(D143,"OS_TOP_HLDR_ULTPRNT(1,0D,,MTD,,F,SEC)[0]")</f>
        <v/>
      </c>
      <c r="J143" s="437" t="str" cm="1">
        <f t="array" ref="J143">_xll.FDSRB(D143,"FF_BUS_DESC_EXT")</f>
        <v/>
      </c>
      <c r="K143" s="437" t="str" cm="1">
        <f t="array" ref="K143">_xll.FDSB(D143,"HOMEPAGE")</f>
        <v/>
      </c>
      <c r="L143" s="437" t="str" cm="1">
        <f t="array" ref="L143">_xll.FDSB(D143,"FG_EXCHANGE")</f>
        <v/>
      </c>
      <c r="M143" s="438" t="str">
        <f t="shared" si="2"/>
        <v/>
      </c>
      <c r="N143" s="461"/>
      <c r="O143" s="462"/>
    </row>
    <row r="144" spans="1:15" s="440" customFormat="1" ht="66.75" customHeight="1">
      <c r="A144" s="459"/>
      <c r="B144" s="432"/>
      <c r="C144" s="460"/>
      <c r="D144" s="432" t="str" cm="1">
        <f t="array" ref="D144">_xll.FDSB(B144,"P_SYMBOL")</f>
        <v/>
      </c>
      <c r="E144" s="433" t="str" cm="1">
        <f t="array" ref="E144">_xll.FDSB(D144,"FF_CO_NAME")</f>
        <v/>
      </c>
      <c r="F144" s="434" t="str" cm="1">
        <f t="array" ref="F144">_xll.FDSB(D144,"FF_ADDRESS")&amp;" "&amp;_xll.FDSB(D144,"FF_ADDRESS2")&amp;" "&amp;_xll.FDSB(D144,"FF_CITY")&amp;" "&amp;_xll.FDSB(D144,"FF_POSTAL")&amp;" "&amp;_xll.FDSB(D144,"FF_STATE_PROVINCE")&amp;" "&amp;_xll.FDSB(D144,"FF_COUNTRY")</f>
        <v xml:space="preserve">     </v>
      </c>
      <c r="G144" s="436" t="str" cm="1">
        <f t="array" ref="G144">_xll.FDSB(D144,"FF_SALES(ANN_R,0)")</f>
        <v/>
      </c>
      <c r="H144" s="436" t="str" cm="1">
        <f t="array" ref="H144">_xll.FDSB(D144,"FF_EMP_NUM(ANN,0)")</f>
        <v/>
      </c>
      <c r="I144" s="437" t="str" cm="1">
        <f t="array" ref="I144">_xll.FDSRB(D144,"OS_TOP_HLDR_ULTPRNT(1,0D,,MTD,,F,SEC)[0]")</f>
        <v/>
      </c>
      <c r="J144" s="437" t="str" cm="1">
        <f t="array" ref="J144">_xll.FDSRB(D144,"FF_BUS_DESC_EXT")</f>
        <v/>
      </c>
      <c r="K144" s="437" t="str" cm="1">
        <f t="array" ref="K144">_xll.FDSB(D144,"HOMEPAGE")</f>
        <v/>
      </c>
      <c r="L144" s="437" t="str" cm="1">
        <f t="array" ref="L144">_xll.FDSB(D144,"FG_EXCHANGE")</f>
        <v/>
      </c>
      <c r="M144" s="438" t="str">
        <f t="shared" si="2"/>
        <v/>
      </c>
      <c r="N144" s="461"/>
      <c r="O144" s="461"/>
    </row>
    <row r="145" spans="1:15" s="440" customFormat="1" ht="66.75" customHeight="1">
      <c r="A145" s="459"/>
      <c r="B145" s="432"/>
      <c r="C145" s="460"/>
      <c r="D145" s="432" t="str" cm="1">
        <f t="array" ref="D145">_xll.FDSB(B145,"P_SYMBOL")</f>
        <v/>
      </c>
      <c r="E145" s="433" t="str" cm="1">
        <f t="array" ref="E145">_xll.FDSB(D145,"FF_CO_NAME")</f>
        <v/>
      </c>
      <c r="F145" s="434" t="str" cm="1">
        <f t="array" ref="F145">_xll.FDSB(D145,"FF_ADDRESS")&amp;" "&amp;_xll.FDSB(D145,"FF_ADDRESS2")&amp;" "&amp;_xll.FDSB(D145,"FF_CITY")&amp;" "&amp;_xll.FDSB(D145,"FF_POSTAL")&amp;" "&amp;_xll.FDSB(D145,"FF_STATE_PROVINCE")&amp;" "&amp;_xll.FDSB(D145,"FF_COUNTRY")</f>
        <v xml:space="preserve">     </v>
      </c>
      <c r="G145" s="436" t="str" cm="1">
        <f t="array" ref="G145">_xll.FDSB(D145,"FF_SALES(ANN_R,0)")</f>
        <v/>
      </c>
      <c r="H145" s="436" t="str" cm="1">
        <f t="array" ref="H145">_xll.FDSB(D145,"FF_EMP_NUM(ANN,0)")</f>
        <v/>
      </c>
      <c r="I145" s="437" t="str" cm="1">
        <f t="array" ref="I145">_xll.FDSRB(D145,"OS_TOP_HLDR_ULTPRNT(1,0D,,MTD,,F,SEC)[0]")</f>
        <v/>
      </c>
      <c r="J145" s="437" t="str" cm="1">
        <f t="array" ref="J145">_xll.FDSRB(D145,"FF_BUS_DESC_EXT")</f>
        <v/>
      </c>
      <c r="K145" s="437" t="str" cm="1">
        <f t="array" ref="K145">_xll.FDSB(D145,"HOMEPAGE")</f>
        <v/>
      </c>
      <c r="L145" s="437" t="str" cm="1">
        <f t="array" ref="L145">_xll.FDSB(D145,"FG_EXCHANGE")</f>
        <v/>
      </c>
      <c r="M145" s="438" t="str">
        <f t="shared" si="2"/>
        <v/>
      </c>
      <c r="N145" s="461"/>
      <c r="O145" s="462"/>
    </row>
    <row r="146" spans="1:15" s="440" customFormat="1" ht="66.75" customHeight="1">
      <c r="A146" s="459"/>
      <c r="B146" s="432"/>
      <c r="C146" s="460"/>
      <c r="D146" s="432" t="str" cm="1">
        <f t="array" ref="D146">_xll.FDSB(B146,"P_SYMBOL")</f>
        <v/>
      </c>
      <c r="E146" s="433" t="str" cm="1">
        <f t="array" ref="E146">_xll.FDSB(D146,"FF_CO_NAME")</f>
        <v/>
      </c>
      <c r="F146" s="434" t="str" cm="1">
        <f t="array" ref="F146">_xll.FDSB(D146,"FF_ADDRESS")&amp;" "&amp;_xll.FDSB(D146,"FF_ADDRESS2")&amp;" "&amp;_xll.FDSB(D146,"FF_CITY")&amp;" "&amp;_xll.FDSB(D146,"FF_POSTAL")&amp;" "&amp;_xll.FDSB(D146,"FF_STATE_PROVINCE")&amp;" "&amp;_xll.FDSB(D146,"FF_COUNTRY")</f>
        <v xml:space="preserve">     </v>
      </c>
      <c r="G146" s="436" t="str" cm="1">
        <f t="array" ref="G146">_xll.FDSB(D146,"FF_SALES(ANN_R,0)")</f>
        <v/>
      </c>
      <c r="H146" s="436" t="str" cm="1">
        <f t="array" ref="H146">_xll.FDSB(D146,"FF_EMP_NUM(ANN,0)")</f>
        <v/>
      </c>
      <c r="I146" s="437" t="str" cm="1">
        <f t="array" ref="I146">_xll.FDSRB(D146,"OS_TOP_HLDR_ULTPRNT(1,0D,,MTD,,F,SEC)[0]")</f>
        <v/>
      </c>
      <c r="J146" s="437" t="str" cm="1">
        <f t="array" ref="J146">_xll.FDSRB(D146,"FF_BUS_DESC_EXT")</f>
        <v/>
      </c>
      <c r="K146" s="437" t="str" cm="1">
        <f t="array" ref="K146">_xll.FDSB(D146,"HOMEPAGE")</f>
        <v/>
      </c>
      <c r="L146" s="437" t="str" cm="1">
        <f t="array" ref="L146">_xll.FDSB(D146,"FG_EXCHANGE")</f>
        <v/>
      </c>
      <c r="M146" s="438" t="str">
        <f t="shared" si="2"/>
        <v/>
      </c>
      <c r="N146" s="461"/>
      <c r="O146" s="461"/>
    </row>
    <row r="147" spans="1:15" s="440" customFormat="1" ht="66.75" customHeight="1">
      <c r="A147" s="459"/>
      <c r="B147" s="432"/>
      <c r="C147" s="460"/>
      <c r="D147" s="432" t="str" cm="1">
        <f t="array" ref="D147">_xll.FDSB(B147,"P_SYMBOL")</f>
        <v/>
      </c>
      <c r="E147" s="433" t="str" cm="1">
        <f t="array" ref="E147">_xll.FDSB(D147,"FF_CO_NAME")</f>
        <v/>
      </c>
      <c r="F147" s="434" t="str" cm="1">
        <f t="array" ref="F147">_xll.FDSB(D147,"FF_ADDRESS")&amp;" "&amp;_xll.FDSB(D147,"FF_ADDRESS2")&amp;" "&amp;_xll.FDSB(D147,"FF_CITY")&amp;" "&amp;_xll.FDSB(D147,"FF_POSTAL")&amp;" "&amp;_xll.FDSB(D147,"FF_STATE_PROVINCE")&amp;" "&amp;_xll.FDSB(D147,"FF_COUNTRY")</f>
        <v xml:space="preserve">     </v>
      </c>
      <c r="G147" s="436" t="str" cm="1">
        <f t="array" ref="G147">_xll.FDSB(D147,"FF_SALES(ANN_R,0)")</f>
        <v/>
      </c>
      <c r="H147" s="436" t="str" cm="1">
        <f t="array" ref="H147">_xll.FDSB(D147,"FF_EMP_NUM(ANN,0)")</f>
        <v/>
      </c>
      <c r="I147" s="437" t="str" cm="1">
        <f t="array" ref="I147">_xll.FDSRB(D147,"OS_TOP_HLDR_ULTPRNT(1,0D,,MTD,,F,SEC)[0]")</f>
        <v/>
      </c>
      <c r="J147" s="437" t="str" cm="1">
        <f t="array" ref="J147">_xll.FDSRB(D147,"FF_BUS_DESC_EXT")</f>
        <v/>
      </c>
      <c r="K147" s="437" t="str" cm="1">
        <f t="array" ref="K147">_xll.FDSB(D147,"HOMEPAGE")</f>
        <v/>
      </c>
      <c r="L147" s="437" t="str" cm="1">
        <f t="array" ref="L147">_xll.FDSB(D147,"FG_EXCHANGE")</f>
        <v/>
      </c>
      <c r="M147" s="438" t="str">
        <f t="shared" si="2"/>
        <v/>
      </c>
      <c r="N147" s="461"/>
      <c r="O147" s="462"/>
    </row>
    <row r="148" spans="1:15" s="440" customFormat="1" ht="66.75" customHeight="1">
      <c r="A148" s="459"/>
      <c r="B148" s="432"/>
      <c r="C148" s="460"/>
      <c r="D148" s="432" t="str" cm="1">
        <f t="array" ref="D148">_xll.FDSB(B148,"P_SYMBOL")</f>
        <v/>
      </c>
      <c r="E148" s="433" t="str" cm="1">
        <f t="array" ref="E148">_xll.FDSB(D148,"FF_CO_NAME")</f>
        <v/>
      </c>
      <c r="F148" s="434" t="str" cm="1">
        <f t="array" ref="F148">_xll.FDSB(D148,"FF_ADDRESS")&amp;" "&amp;_xll.FDSB(D148,"FF_ADDRESS2")&amp;" "&amp;_xll.FDSB(D148,"FF_CITY")&amp;" "&amp;_xll.FDSB(D148,"FF_POSTAL")&amp;" "&amp;_xll.FDSB(D148,"FF_STATE_PROVINCE")&amp;" "&amp;_xll.FDSB(D148,"FF_COUNTRY")</f>
        <v xml:space="preserve">     </v>
      </c>
      <c r="G148" s="436" t="str" cm="1">
        <f t="array" ref="G148">_xll.FDSB(D148,"FF_SALES(ANN_R,0)")</f>
        <v/>
      </c>
      <c r="H148" s="436" t="str" cm="1">
        <f t="array" ref="H148">_xll.FDSB(D148,"FF_EMP_NUM(ANN,0)")</f>
        <v/>
      </c>
      <c r="I148" s="437" t="str" cm="1">
        <f t="array" ref="I148">_xll.FDSRB(D148,"OS_TOP_HLDR_ULTPRNT(1,0D,,MTD,,F,SEC)[0]")</f>
        <v/>
      </c>
      <c r="J148" s="437" t="str" cm="1">
        <f t="array" ref="J148">_xll.FDSRB(D148,"FF_BUS_DESC_EXT")</f>
        <v/>
      </c>
      <c r="K148" s="437" t="str" cm="1">
        <f t="array" ref="K148">_xll.FDSB(D148,"HOMEPAGE")</f>
        <v/>
      </c>
      <c r="L148" s="437" t="str" cm="1">
        <f t="array" ref="L148">_xll.FDSB(D148,"FG_EXCHANGE")</f>
        <v/>
      </c>
      <c r="M148" s="438" t="str">
        <f t="shared" si="2"/>
        <v/>
      </c>
      <c r="N148" s="461"/>
      <c r="O148" s="461"/>
    </row>
    <row r="149" spans="1:15" s="440" customFormat="1" ht="66.75" customHeight="1">
      <c r="A149" s="459"/>
      <c r="B149" s="432"/>
      <c r="C149" s="460"/>
      <c r="D149" s="432" t="str" cm="1">
        <f t="array" ref="D149">_xll.FDSB(B149,"P_SYMBOL")</f>
        <v/>
      </c>
      <c r="E149" s="433" t="str" cm="1">
        <f t="array" ref="E149">_xll.FDSB(D149,"FF_CO_NAME")</f>
        <v/>
      </c>
      <c r="F149" s="434" t="str" cm="1">
        <f t="array" ref="F149">_xll.FDSB(D149,"FF_ADDRESS")&amp;" "&amp;_xll.FDSB(D149,"FF_ADDRESS2")&amp;" "&amp;_xll.FDSB(D149,"FF_CITY")&amp;" "&amp;_xll.FDSB(D149,"FF_POSTAL")&amp;" "&amp;_xll.FDSB(D149,"FF_STATE_PROVINCE")&amp;" "&amp;_xll.FDSB(D149,"FF_COUNTRY")</f>
        <v xml:space="preserve">     </v>
      </c>
      <c r="G149" s="436" t="str" cm="1">
        <f t="array" ref="G149">_xll.FDSB(D149,"FF_SALES(ANN_R,0)")</f>
        <v/>
      </c>
      <c r="H149" s="436" t="str" cm="1">
        <f t="array" ref="H149">_xll.FDSB(D149,"FF_EMP_NUM(ANN,0)")</f>
        <v/>
      </c>
      <c r="I149" s="437" t="str" cm="1">
        <f t="array" ref="I149">_xll.FDSRB(D149,"OS_TOP_HLDR_ULTPRNT(1,0D,,MTD,,F,SEC)[0]")</f>
        <v/>
      </c>
      <c r="J149" s="437" t="str" cm="1">
        <f t="array" ref="J149">_xll.FDSRB(D149,"FF_BUS_DESC_EXT")</f>
        <v/>
      </c>
      <c r="K149" s="437" t="str" cm="1">
        <f t="array" ref="K149">_xll.FDSB(D149,"HOMEPAGE")</f>
        <v/>
      </c>
      <c r="L149" s="437" t="str" cm="1">
        <f t="array" ref="L149">_xll.FDSB(D149,"FG_EXCHANGE")</f>
        <v/>
      </c>
      <c r="M149" s="438" t="str">
        <f t="shared" si="2"/>
        <v/>
      </c>
      <c r="N149" s="461"/>
      <c r="O149" s="462"/>
    </row>
    <row r="150" spans="1:15" s="440" customFormat="1" ht="66.75" customHeight="1">
      <c r="A150" s="459"/>
      <c r="B150" s="432"/>
      <c r="C150" s="460"/>
      <c r="D150" s="432" t="str" cm="1">
        <f t="array" ref="D150">_xll.FDSB(B150,"P_SYMBOL")</f>
        <v/>
      </c>
      <c r="E150" s="433" t="str" cm="1">
        <f t="array" ref="E150">_xll.FDSB(D150,"FF_CO_NAME")</f>
        <v/>
      </c>
      <c r="F150" s="434" t="str" cm="1">
        <f t="array" ref="F150">_xll.FDSB(D150,"FF_ADDRESS")&amp;" "&amp;_xll.FDSB(D150,"FF_ADDRESS2")&amp;" "&amp;_xll.FDSB(D150,"FF_CITY")&amp;" "&amp;_xll.FDSB(D150,"FF_POSTAL")&amp;" "&amp;_xll.FDSB(D150,"FF_STATE_PROVINCE")&amp;" "&amp;_xll.FDSB(D150,"FF_COUNTRY")</f>
        <v xml:space="preserve">     </v>
      </c>
      <c r="G150" s="436" t="str" cm="1">
        <f t="array" ref="G150">_xll.FDSB(D150,"FF_SALES(ANN_R,0)")</f>
        <v/>
      </c>
      <c r="H150" s="436" t="str" cm="1">
        <f t="array" ref="H150">_xll.FDSB(D150,"FF_EMP_NUM(ANN,0)")</f>
        <v/>
      </c>
      <c r="I150" s="437" t="str" cm="1">
        <f t="array" ref="I150">_xll.FDSRB(D150,"OS_TOP_HLDR_ULTPRNT(1,0D,,MTD,,F,SEC)[0]")</f>
        <v/>
      </c>
      <c r="J150" s="437" t="str" cm="1">
        <f t="array" ref="J150">_xll.FDSRB(D150,"FF_BUS_DESC_EXT")</f>
        <v/>
      </c>
      <c r="K150" s="437" t="str" cm="1">
        <f t="array" ref="K150">_xll.FDSB(D150,"HOMEPAGE")</f>
        <v/>
      </c>
      <c r="L150" s="437" t="str" cm="1">
        <f t="array" ref="L150">_xll.FDSB(D150,"FG_EXCHANGE")</f>
        <v/>
      </c>
      <c r="M150" s="438" t="str">
        <f t="shared" si="2"/>
        <v/>
      </c>
      <c r="N150" s="461"/>
      <c r="O150" s="461"/>
    </row>
    <row r="151" spans="1:15" s="440" customFormat="1" ht="66.75" customHeight="1">
      <c r="A151" s="459"/>
      <c r="B151" s="432"/>
      <c r="C151" s="460"/>
      <c r="D151" s="432" t="str" cm="1">
        <f t="array" ref="D151">_xll.FDSB(B151,"P_SYMBOL")</f>
        <v/>
      </c>
      <c r="E151" s="433" t="str" cm="1">
        <f t="array" ref="E151">_xll.FDSB(D151,"FF_CO_NAME")</f>
        <v/>
      </c>
      <c r="F151" s="434" t="str" cm="1">
        <f t="array" ref="F151">_xll.FDSB(D151,"FF_ADDRESS")&amp;" "&amp;_xll.FDSB(D151,"FF_ADDRESS2")&amp;" "&amp;_xll.FDSB(D151,"FF_CITY")&amp;" "&amp;_xll.FDSB(D151,"FF_POSTAL")&amp;" "&amp;_xll.FDSB(D151,"FF_STATE_PROVINCE")&amp;" "&amp;_xll.FDSB(D151,"FF_COUNTRY")</f>
        <v xml:space="preserve">     </v>
      </c>
      <c r="G151" s="436" t="str" cm="1">
        <f t="array" ref="G151">_xll.FDSB(D151,"FF_SALES(ANN_R,0)")</f>
        <v/>
      </c>
      <c r="H151" s="436" t="str" cm="1">
        <f t="array" ref="H151">_xll.FDSB(D151,"FF_EMP_NUM(ANN,0)")</f>
        <v/>
      </c>
      <c r="I151" s="437" t="str" cm="1">
        <f t="array" ref="I151">_xll.FDSRB(D151,"OS_TOP_HLDR_ULTPRNT(1,0D,,MTD,,F,SEC)[0]")</f>
        <v/>
      </c>
      <c r="J151" s="437" t="str" cm="1">
        <f t="array" ref="J151">_xll.FDSRB(D151,"FF_BUS_DESC_EXT")</f>
        <v/>
      </c>
      <c r="K151" s="437" t="str" cm="1">
        <f t="array" ref="K151">_xll.FDSB(D151,"HOMEPAGE")</f>
        <v/>
      </c>
      <c r="L151" s="437" t="str" cm="1">
        <f t="array" ref="L151">_xll.FDSB(D151,"FG_EXCHANGE")</f>
        <v/>
      </c>
      <c r="M151" s="438" t="str">
        <f t="shared" si="2"/>
        <v/>
      </c>
      <c r="N151" s="461"/>
      <c r="O151" s="462"/>
    </row>
    <row r="152" spans="1:15" s="440" customFormat="1" ht="66.75" customHeight="1">
      <c r="A152" s="459"/>
      <c r="B152" s="432"/>
      <c r="C152" s="460"/>
      <c r="D152" s="432" t="str" cm="1">
        <f t="array" ref="D152">_xll.FDSB(B152,"P_SYMBOL")</f>
        <v/>
      </c>
      <c r="E152" s="433" t="str" cm="1">
        <f t="array" ref="E152">_xll.FDSB(D152,"FF_CO_NAME")</f>
        <v/>
      </c>
      <c r="F152" s="434" t="str" cm="1">
        <f t="array" ref="F152">_xll.FDSB(D152,"FF_ADDRESS")&amp;" "&amp;_xll.FDSB(D152,"FF_ADDRESS2")&amp;" "&amp;_xll.FDSB(D152,"FF_CITY")&amp;" "&amp;_xll.FDSB(D152,"FF_POSTAL")&amp;" "&amp;_xll.FDSB(D152,"FF_STATE_PROVINCE")&amp;" "&amp;_xll.FDSB(D152,"FF_COUNTRY")</f>
        <v xml:space="preserve">     </v>
      </c>
      <c r="G152" s="436" t="str" cm="1">
        <f t="array" ref="G152">_xll.FDSB(D152,"FF_SALES(ANN_R,0)")</f>
        <v/>
      </c>
      <c r="H152" s="436" t="str" cm="1">
        <f t="array" ref="H152">_xll.FDSB(D152,"FF_EMP_NUM(ANN,0)")</f>
        <v/>
      </c>
      <c r="I152" s="437" t="str" cm="1">
        <f t="array" ref="I152">_xll.FDSRB(D152,"OS_TOP_HLDR_ULTPRNT(1,0D,,MTD,,F,SEC)[0]")</f>
        <v/>
      </c>
      <c r="J152" s="437" t="str" cm="1">
        <f t="array" ref="J152">_xll.FDSRB(D152,"FF_BUS_DESC_EXT")</f>
        <v/>
      </c>
      <c r="K152" s="437" t="str" cm="1">
        <f t="array" ref="K152">_xll.FDSB(D152,"HOMEPAGE")</f>
        <v/>
      </c>
      <c r="L152" s="437" t="str" cm="1">
        <f t="array" ref="L152">_xll.FDSB(D152,"FG_EXCHANGE")</f>
        <v/>
      </c>
      <c r="M152" s="438" t="str">
        <f t="shared" si="2"/>
        <v/>
      </c>
      <c r="N152" s="461"/>
      <c r="O152" s="461"/>
    </row>
    <row r="153" spans="1:15" s="440" customFormat="1" ht="66.75" customHeight="1">
      <c r="A153" s="459"/>
      <c r="B153" s="432"/>
      <c r="C153" s="460"/>
      <c r="D153" s="432" t="str" cm="1">
        <f t="array" ref="D153">_xll.FDSB(B153,"P_SYMBOL")</f>
        <v/>
      </c>
      <c r="E153" s="433" t="str" cm="1">
        <f t="array" ref="E153">_xll.FDSB(D153,"FF_CO_NAME")</f>
        <v/>
      </c>
      <c r="F153" s="434" t="str" cm="1">
        <f t="array" ref="F153">_xll.FDSB(D153,"FF_ADDRESS")&amp;" "&amp;_xll.FDSB(D153,"FF_ADDRESS2")&amp;" "&amp;_xll.FDSB(D153,"FF_CITY")&amp;" "&amp;_xll.FDSB(D153,"FF_POSTAL")&amp;" "&amp;_xll.FDSB(D153,"FF_STATE_PROVINCE")&amp;" "&amp;_xll.FDSB(D153,"FF_COUNTRY")</f>
        <v xml:space="preserve">     </v>
      </c>
      <c r="G153" s="436" t="str" cm="1">
        <f t="array" ref="G153">_xll.FDSB(D153,"FF_SALES(ANN_R,0)")</f>
        <v/>
      </c>
      <c r="H153" s="436" t="str" cm="1">
        <f t="array" ref="H153">_xll.FDSB(D153,"FF_EMP_NUM(ANN,0)")</f>
        <v/>
      </c>
      <c r="I153" s="437" t="str" cm="1">
        <f t="array" ref="I153">_xll.FDSRB(D153,"OS_TOP_HLDR_ULTPRNT(1,0D,,MTD,,F,SEC)[0]")</f>
        <v/>
      </c>
      <c r="J153" s="437" t="str" cm="1">
        <f t="array" ref="J153">_xll.FDSRB(D153,"FF_BUS_DESC_EXT")</f>
        <v/>
      </c>
      <c r="K153" s="437" t="str" cm="1">
        <f t="array" ref="K153">_xll.FDSB(D153,"HOMEPAGE")</f>
        <v/>
      </c>
      <c r="L153" s="437" t="str" cm="1">
        <f t="array" ref="L153">_xll.FDSB(D153,"FG_EXCHANGE")</f>
        <v/>
      </c>
      <c r="M153" s="438" t="str">
        <f t="shared" si="2"/>
        <v/>
      </c>
      <c r="N153" s="461"/>
      <c r="O153" s="462"/>
    </row>
    <row r="154" spans="1:15" s="440" customFormat="1" ht="66.75" customHeight="1">
      <c r="A154" s="459"/>
      <c r="B154" s="432"/>
      <c r="C154" s="460"/>
      <c r="D154" s="432" t="str" cm="1">
        <f t="array" ref="D154">_xll.FDSB(B154,"P_SYMBOL")</f>
        <v/>
      </c>
      <c r="E154" s="433" t="str" cm="1">
        <f t="array" ref="E154">_xll.FDSB(D154,"FF_CO_NAME")</f>
        <v/>
      </c>
      <c r="F154" s="434" t="str" cm="1">
        <f t="array" ref="F154">_xll.FDSB(D154,"FF_ADDRESS")&amp;" "&amp;_xll.FDSB(D154,"FF_ADDRESS2")&amp;" "&amp;_xll.FDSB(D154,"FF_CITY")&amp;" "&amp;_xll.FDSB(D154,"FF_POSTAL")&amp;" "&amp;_xll.FDSB(D154,"FF_STATE_PROVINCE")&amp;" "&amp;_xll.FDSB(D154,"FF_COUNTRY")</f>
        <v xml:space="preserve">     </v>
      </c>
      <c r="G154" s="436" t="str" cm="1">
        <f t="array" ref="G154">_xll.FDSB(D154,"FF_SALES(ANN_R,0)")</f>
        <v/>
      </c>
      <c r="H154" s="436" t="str" cm="1">
        <f t="array" ref="H154">_xll.FDSB(D154,"FF_EMP_NUM(ANN,0)")</f>
        <v/>
      </c>
      <c r="I154" s="437" t="str" cm="1">
        <f t="array" ref="I154">_xll.FDSRB(D154,"OS_TOP_HLDR_ULTPRNT(1,0D,,MTD,,F,SEC)[0]")</f>
        <v/>
      </c>
      <c r="J154" s="437" t="str" cm="1">
        <f t="array" ref="J154">_xll.FDSRB(D154,"FF_BUS_DESC_EXT")</f>
        <v/>
      </c>
      <c r="K154" s="437" t="str" cm="1">
        <f t="array" ref="K154">_xll.FDSB(D154,"HOMEPAGE")</f>
        <v/>
      </c>
      <c r="L154" s="437" t="str" cm="1">
        <f t="array" ref="L154">_xll.FDSB(D154,"FG_EXCHANGE")</f>
        <v/>
      </c>
      <c r="M154" s="438" t="str">
        <f t="shared" si="2"/>
        <v/>
      </c>
      <c r="N154" s="461"/>
      <c r="O154" s="461"/>
    </row>
    <row r="155" spans="1:15" s="440" customFormat="1" ht="66.75" customHeight="1">
      <c r="A155" s="459"/>
      <c r="B155" s="432"/>
      <c r="C155" s="460"/>
      <c r="D155" s="432" t="str" cm="1">
        <f t="array" ref="D155">_xll.FDSB(B155,"P_SYMBOL")</f>
        <v/>
      </c>
      <c r="E155" s="433" t="str" cm="1">
        <f t="array" ref="E155">_xll.FDSB(D155,"FF_CO_NAME")</f>
        <v/>
      </c>
      <c r="F155" s="434" t="str" cm="1">
        <f t="array" ref="F155">_xll.FDSB(D155,"FF_ADDRESS")&amp;" "&amp;_xll.FDSB(D155,"FF_ADDRESS2")&amp;" "&amp;_xll.FDSB(D155,"FF_CITY")&amp;" "&amp;_xll.FDSB(D155,"FF_POSTAL")&amp;" "&amp;_xll.FDSB(D155,"FF_STATE_PROVINCE")&amp;" "&amp;_xll.FDSB(D155,"FF_COUNTRY")</f>
        <v xml:space="preserve">     </v>
      </c>
      <c r="G155" s="436" t="str" cm="1">
        <f t="array" ref="G155">_xll.FDSB(D155,"FF_SALES(ANN_R,0)")</f>
        <v/>
      </c>
      <c r="H155" s="436" t="str" cm="1">
        <f t="array" ref="H155">_xll.FDSB(D155,"FF_EMP_NUM(ANN,0)")</f>
        <v/>
      </c>
      <c r="I155" s="437" t="str" cm="1">
        <f t="array" ref="I155">_xll.FDSRB(D155,"OS_TOP_HLDR_ULTPRNT(1,0D,,MTD,,F,SEC)[0]")</f>
        <v/>
      </c>
      <c r="J155" s="437" t="str" cm="1">
        <f t="array" ref="J155">_xll.FDSRB(D155,"FF_BUS_DESC_EXT")</f>
        <v/>
      </c>
      <c r="K155" s="437" t="str" cm="1">
        <f t="array" ref="K155">_xll.FDSB(D155,"HOMEPAGE")</f>
        <v/>
      </c>
      <c r="L155" s="437" t="str" cm="1">
        <f t="array" ref="L155">_xll.FDSB(D155,"FG_EXCHANGE")</f>
        <v/>
      </c>
      <c r="M155" s="438" t="str">
        <f t="shared" si="2"/>
        <v/>
      </c>
      <c r="N155" s="461"/>
      <c r="O155" s="462"/>
    </row>
    <row r="156" spans="1:15" s="440" customFormat="1" ht="66.75" customHeight="1">
      <c r="A156" s="459"/>
      <c r="B156" s="432"/>
      <c r="C156" s="460"/>
      <c r="D156" s="432" t="str" cm="1">
        <f t="array" ref="D156">_xll.FDSB(B156,"P_SYMBOL")</f>
        <v/>
      </c>
      <c r="E156" s="433" t="str" cm="1">
        <f t="array" ref="E156">_xll.FDSB(D156,"FF_CO_NAME")</f>
        <v/>
      </c>
      <c r="F156" s="434" t="str" cm="1">
        <f t="array" ref="F156">_xll.FDSB(D156,"FF_ADDRESS")&amp;" "&amp;_xll.FDSB(D156,"FF_ADDRESS2")&amp;" "&amp;_xll.FDSB(D156,"FF_CITY")&amp;" "&amp;_xll.FDSB(D156,"FF_POSTAL")&amp;" "&amp;_xll.FDSB(D156,"FF_STATE_PROVINCE")&amp;" "&amp;_xll.FDSB(D156,"FF_COUNTRY")</f>
        <v xml:space="preserve">     </v>
      </c>
      <c r="G156" s="436" t="str" cm="1">
        <f t="array" ref="G156">_xll.FDSB(D156,"FF_SALES(ANN_R,0)")</f>
        <v/>
      </c>
      <c r="H156" s="436" t="str" cm="1">
        <f t="array" ref="H156">_xll.FDSB(D156,"FF_EMP_NUM(ANN,0)")</f>
        <v/>
      </c>
      <c r="I156" s="437" t="str" cm="1">
        <f t="array" ref="I156">_xll.FDSRB(D156,"OS_TOP_HLDR_ULTPRNT(1,0D,,MTD,,F,SEC)[0]")</f>
        <v/>
      </c>
      <c r="J156" s="437" t="str" cm="1">
        <f t="array" ref="J156">_xll.FDSRB(D156,"FF_BUS_DESC_EXT")</f>
        <v/>
      </c>
      <c r="K156" s="437" t="str" cm="1">
        <f t="array" ref="K156">_xll.FDSB(D156,"HOMEPAGE")</f>
        <v/>
      </c>
      <c r="L156" s="437" t="str" cm="1">
        <f t="array" ref="L156">_xll.FDSB(D156,"FG_EXCHANGE")</f>
        <v/>
      </c>
      <c r="M156" s="438" t="str">
        <f t="shared" si="2"/>
        <v/>
      </c>
      <c r="N156" s="461"/>
      <c r="O156" s="461"/>
    </row>
    <row r="157" spans="1:15" s="440" customFormat="1" ht="66.75" customHeight="1">
      <c r="A157" s="459"/>
      <c r="B157" s="432"/>
      <c r="C157" s="460"/>
      <c r="D157" s="432" t="str" cm="1">
        <f t="array" ref="D157">_xll.FDSB(B157,"P_SYMBOL")</f>
        <v/>
      </c>
      <c r="E157" s="433" t="str" cm="1">
        <f t="array" ref="E157">_xll.FDSB(D157,"FF_CO_NAME")</f>
        <v/>
      </c>
      <c r="F157" s="434" t="str" cm="1">
        <f t="array" ref="F157">_xll.FDSB(D157,"FF_ADDRESS")&amp;" "&amp;_xll.FDSB(D157,"FF_ADDRESS2")&amp;" "&amp;_xll.FDSB(D157,"FF_CITY")&amp;" "&amp;_xll.FDSB(D157,"FF_POSTAL")&amp;" "&amp;_xll.FDSB(D157,"FF_STATE_PROVINCE")&amp;" "&amp;_xll.FDSB(D157,"FF_COUNTRY")</f>
        <v xml:space="preserve">     </v>
      </c>
      <c r="G157" s="436" t="str" cm="1">
        <f t="array" ref="G157">_xll.FDSB(D157,"FF_SALES(ANN_R,0)")</f>
        <v/>
      </c>
      <c r="H157" s="436" t="str" cm="1">
        <f t="array" ref="H157">_xll.FDSB(D157,"FF_EMP_NUM(ANN,0)")</f>
        <v/>
      </c>
      <c r="I157" s="437" t="str" cm="1">
        <f t="array" ref="I157">_xll.FDSRB(D157,"OS_TOP_HLDR_ULTPRNT(1,0D,,MTD,,F,SEC)[0]")</f>
        <v/>
      </c>
      <c r="J157" s="437" t="str" cm="1">
        <f t="array" ref="J157">_xll.FDSRB(D157,"FF_BUS_DESC_EXT")</f>
        <v/>
      </c>
      <c r="K157" s="437" t="str" cm="1">
        <f t="array" ref="K157">_xll.FDSB(D157,"HOMEPAGE")</f>
        <v/>
      </c>
      <c r="L157" s="437" t="str" cm="1">
        <f t="array" ref="L157">_xll.FDSB(D157,"FG_EXCHANGE")</f>
        <v/>
      </c>
      <c r="M157" s="438" t="str">
        <f t="shared" si="2"/>
        <v/>
      </c>
      <c r="N157" s="461"/>
      <c r="O157" s="462"/>
    </row>
    <row r="158" spans="1:15" s="440" customFormat="1" ht="66.75" customHeight="1">
      <c r="A158" s="459"/>
      <c r="B158" s="432"/>
      <c r="C158" s="460"/>
      <c r="D158" s="432" t="str" cm="1">
        <f t="array" ref="D158">_xll.FDSB(B158,"P_SYMBOL")</f>
        <v/>
      </c>
      <c r="E158" s="433" t="str" cm="1">
        <f t="array" ref="E158">_xll.FDSB(D158,"FF_CO_NAME")</f>
        <v/>
      </c>
      <c r="F158" s="434" t="str" cm="1">
        <f t="array" ref="F158">_xll.FDSB(D158,"FF_ADDRESS")&amp;" "&amp;_xll.FDSB(D158,"FF_ADDRESS2")&amp;" "&amp;_xll.FDSB(D158,"FF_CITY")&amp;" "&amp;_xll.FDSB(D158,"FF_POSTAL")&amp;" "&amp;_xll.FDSB(D158,"FF_STATE_PROVINCE")&amp;" "&amp;_xll.FDSB(D158,"FF_COUNTRY")</f>
        <v xml:space="preserve">     </v>
      </c>
      <c r="G158" s="436" t="str" cm="1">
        <f t="array" ref="G158">_xll.FDSB(D158,"FF_SALES(ANN_R,0)")</f>
        <v/>
      </c>
      <c r="H158" s="436" t="str" cm="1">
        <f t="array" ref="H158">_xll.FDSB(D158,"FF_EMP_NUM(ANN,0)")</f>
        <v/>
      </c>
      <c r="I158" s="437" t="str" cm="1">
        <f t="array" ref="I158">_xll.FDSRB(D158,"OS_TOP_HLDR_ULTPRNT(1,0D,,MTD,,F,SEC)[0]")</f>
        <v/>
      </c>
      <c r="J158" s="437" t="str" cm="1">
        <f t="array" ref="J158">_xll.FDSRB(D158,"FF_BUS_DESC_EXT")</f>
        <v/>
      </c>
      <c r="K158" s="437" t="str" cm="1">
        <f t="array" ref="K158">_xll.FDSB(D158,"HOMEPAGE")</f>
        <v/>
      </c>
      <c r="L158" s="437" t="str" cm="1">
        <f t="array" ref="L158">_xll.FDSB(D158,"FG_EXCHANGE")</f>
        <v/>
      </c>
      <c r="M158" s="438" t="str">
        <f t="shared" si="2"/>
        <v/>
      </c>
      <c r="N158" s="461"/>
      <c r="O158" s="461"/>
    </row>
    <row r="159" spans="1:15" s="440" customFormat="1" ht="66.75" customHeight="1">
      <c r="A159" s="459"/>
      <c r="B159" s="432"/>
      <c r="C159" s="460"/>
      <c r="D159" s="432" t="str" cm="1">
        <f t="array" ref="D159">_xll.FDSB(B159,"P_SYMBOL")</f>
        <v/>
      </c>
      <c r="E159" s="433" t="str" cm="1">
        <f t="array" ref="E159">_xll.FDSB(D159,"FF_CO_NAME")</f>
        <v/>
      </c>
      <c r="F159" s="434" t="str" cm="1">
        <f t="array" ref="F159">_xll.FDSB(D159,"FF_ADDRESS")&amp;" "&amp;_xll.FDSB(D159,"FF_ADDRESS2")&amp;" "&amp;_xll.FDSB(D159,"FF_CITY")&amp;" "&amp;_xll.FDSB(D159,"FF_POSTAL")&amp;" "&amp;_xll.FDSB(D159,"FF_STATE_PROVINCE")&amp;" "&amp;_xll.FDSB(D159,"FF_COUNTRY")</f>
        <v xml:space="preserve">     </v>
      </c>
      <c r="G159" s="436" t="str" cm="1">
        <f t="array" ref="G159">_xll.FDSB(D159,"FF_SALES(ANN_R,0)")</f>
        <v/>
      </c>
      <c r="H159" s="436" t="str" cm="1">
        <f t="array" ref="H159">_xll.FDSB(D159,"FF_EMP_NUM(ANN,0)")</f>
        <v/>
      </c>
      <c r="I159" s="437" t="str" cm="1">
        <f t="array" ref="I159">_xll.FDSRB(D159,"OS_TOP_HLDR_ULTPRNT(1,0D,,MTD,,F,SEC)[0]")</f>
        <v/>
      </c>
      <c r="J159" s="437" t="str" cm="1">
        <f t="array" ref="J159">_xll.FDSRB(D159,"FF_BUS_DESC_EXT")</f>
        <v/>
      </c>
      <c r="K159" s="437" t="str" cm="1">
        <f t="array" ref="K159">_xll.FDSB(D159,"HOMEPAGE")</f>
        <v/>
      </c>
      <c r="L159" s="437" t="str" cm="1">
        <f t="array" ref="L159">_xll.FDSB(D159,"FG_EXCHANGE")</f>
        <v/>
      </c>
      <c r="M159" s="438" t="str">
        <f t="shared" si="2"/>
        <v/>
      </c>
      <c r="N159" s="461"/>
      <c r="O159" s="462"/>
    </row>
    <row r="160" spans="1:15" s="440" customFormat="1" ht="66.75" customHeight="1">
      <c r="A160" s="459"/>
      <c r="B160" s="432"/>
      <c r="C160" s="460"/>
      <c r="D160" s="432" t="str" cm="1">
        <f t="array" ref="D160">_xll.FDSB(B160,"P_SYMBOL")</f>
        <v/>
      </c>
      <c r="E160" s="433" t="str" cm="1">
        <f t="array" ref="E160">_xll.FDSB(D160,"FF_CO_NAME")</f>
        <v/>
      </c>
      <c r="F160" s="434" t="str" cm="1">
        <f t="array" ref="F160">_xll.FDSB(D160,"FF_ADDRESS")&amp;" "&amp;_xll.FDSB(D160,"FF_ADDRESS2")&amp;" "&amp;_xll.FDSB(D160,"FF_CITY")&amp;" "&amp;_xll.FDSB(D160,"FF_POSTAL")&amp;" "&amp;_xll.FDSB(D160,"FF_STATE_PROVINCE")&amp;" "&amp;_xll.FDSB(D160,"FF_COUNTRY")</f>
        <v xml:space="preserve">     </v>
      </c>
      <c r="G160" s="436" t="str" cm="1">
        <f t="array" ref="G160">_xll.FDSB(D160,"FF_SALES(ANN_R,0)")</f>
        <v/>
      </c>
      <c r="H160" s="436" t="str" cm="1">
        <f t="array" ref="H160">_xll.FDSB(D160,"FF_EMP_NUM(ANN,0)")</f>
        <v/>
      </c>
      <c r="I160" s="437" t="str" cm="1">
        <f t="array" ref="I160">_xll.FDSRB(D160,"OS_TOP_HLDR_ULTPRNT(1,0D,,MTD,,F,SEC)[0]")</f>
        <v/>
      </c>
      <c r="J160" s="437" t="str" cm="1">
        <f t="array" ref="J160">_xll.FDSRB(D160,"FF_BUS_DESC_EXT")</f>
        <v/>
      </c>
      <c r="K160" s="437" t="str" cm="1">
        <f t="array" ref="K160">_xll.FDSB(D160,"HOMEPAGE")</f>
        <v/>
      </c>
      <c r="L160" s="437" t="str" cm="1">
        <f t="array" ref="L160">_xll.FDSB(D160,"FG_EXCHANGE")</f>
        <v/>
      </c>
      <c r="M160" s="438" t="str">
        <f t="shared" si="2"/>
        <v/>
      </c>
      <c r="N160" s="461"/>
      <c r="O160" s="461"/>
    </row>
    <row r="161" spans="1:15" s="440" customFormat="1" ht="66.75" customHeight="1">
      <c r="A161" s="459"/>
      <c r="B161" s="432"/>
      <c r="C161" s="460"/>
      <c r="D161" s="432" t="str" cm="1">
        <f t="array" ref="D161">_xll.FDSB(B161,"P_SYMBOL")</f>
        <v/>
      </c>
      <c r="E161" s="433" t="str" cm="1">
        <f t="array" ref="E161">_xll.FDSB(D161,"FF_CO_NAME")</f>
        <v/>
      </c>
      <c r="F161" s="434" t="str" cm="1">
        <f t="array" ref="F161">_xll.FDSB(D161,"FF_ADDRESS")&amp;" "&amp;_xll.FDSB(D161,"FF_ADDRESS2")&amp;" "&amp;_xll.FDSB(D161,"FF_CITY")&amp;" "&amp;_xll.FDSB(D161,"FF_POSTAL")&amp;" "&amp;_xll.FDSB(D161,"FF_STATE_PROVINCE")&amp;" "&amp;_xll.FDSB(D161,"FF_COUNTRY")</f>
        <v xml:space="preserve">     </v>
      </c>
      <c r="G161" s="436" t="str" cm="1">
        <f t="array" ref="G161">_xll.FDSB(D161,"FF_SALES(ANN_R,0)")</f>
        <v/>
      </c>
      <c r="H161" s="436" t="str" cm="1">
        <f t="array" ref="H161">_xll.FDSB(D161,"FF_EMP_NUM(ANN,0)")</f>
        <v/>
      </c>
      <c r="I161" s="437" t="str" cm="1">
        <f t="array" ref="I161">_xll.FDSRB(D161,"OS_TOP_HLDR_ULTPRNT(1,0D,,MTD,,F,SEC)[0]")</f>
        <v/>
      </c>
      <c r="J161" s="437" t="str" cm="1">
        <f t="array" ref="J161">_xll.FDSRB(D161,"FF_BUS_DESC_EXT")</f>
        <v/>
      </c>
      <c r="K161" s="437" t="str" cm="1">
        <f t="array" ref="K161">_xll.FDSB(D161,"HOMEPAGE")</f>
        <v/>
      </c>
      <c r="L161" s="437" t="str" cm="1">
        <f t="array" ref="L161">_xll.FDSB(D161,"FG_EXCHANGE")</f>
        <v/>
      </c>
      <c r="M161" s="438" t="str">
        <f t="shared" si="2"/>
        <v/>
      </c>
      <c r="N161" s="461"/>
      <c r="O161" s="462"/>
    </row>
    <row r="162" spans="1:15" s="440" customFormat="1" ht="66.75" customHeight="1">
      <c r="A162" s="459"/>
      <c r="B162" s="432"/>
      <c r="C162" s="460"/>
      <c r="D162" s="432" t="str" cm="1">
        <f t="array" ref="D162">_xll.FDSB(B162,"P_SYMBOL")</f>
        <v/>
      </c>
      <c r="E162" s="433" t="str" cm="1">
        <f t="array" ref="E162">_xll.FDSB(D162,"FF_CO_NAME")</f>
        <v/>
      </c>
      <c r="F162" s="434" t="str" cm="1">
        <f t="array" ref="F162">_xll.FDSB(D162,"FF_ADDRESS")&amp;" "&amp;_xll.FDSB(D162,"FF_ADDRESS2")&amp;" "&amp;_xll.FDSB(D162,"FF_CITY")&amp;" "&amp;_xll.FDSB(D162,"FF_POSTAL")&amp;" "&amp;_xll.FDSB(D162,"FF_STATE_PROVINCE")&amp;" "&amp;_xll.FDSB(D162,"FF_COUNTRY")</f>
        <v xml:space="preserve">     </v>
      </c>
      <c r="G162" s="436" t="str" cm="1">
        <f t="array" ref="G162">_xll.FDSB(D162,"FF_SALES(ANN_R,0)")</f>
        <v/>
      </c>
      <c r="H162" s="436" t="str" cm="1">
        <f t="array" ref="H162">_xll.FDSB(D162,"FF_EMP_NUM(ANN,0)")</f>
        <v/>
      </c>
      <c r="I162" s="437" t="str" cm="1">
        <f t="array" ref="I162">_xll.FDSRB(D162,"OS_TOP_HLDR_ULTPRNT(1,0D,,MTD,,F,SEC)[0]")</f>
        <v/>
      </c>
      <c r="J162" s="437" t="str" cm="1">
        <f t="array" ref="J162">_xll.FDSRB(D162,"FF_BUS_DESC_EXT")</f>
        <v/>
      </c>
      <c r="K162" s="437" t="str" cm="1">
        <f t="array" ref="K162">_xll.FDSB(D162,"HOMEPAGE")</f>
        <v/>
      </c>
      <c r="L162" s="437" t="str" cm="1">
        <f t="array" ref="L162">_xll.FDSB(D162,"FG_EXCHANGE")</f>
        <v/>
      </c>
      <c r="M162" s="438" t="str">
        <f t="shared" si="2"/>
        <v/>
      </c>
      <c r="N162" s="461"/>
      <c r="O162" s="461"/>
    </row>
    <row r="163" spans="1:15" s="440" customFormat="1" ht="66.75" customHeight="1">
      <c r="A163" s="459"/>
      <c r="B163" s="432"/>
      <c r="C163" s="460"/>
      <c r="D163" s="432" t="str" cm="1">
        <f t="array" ref="D163">_xll.FDSB(B163,"P_SYMBOL")</f>
        <v/>
      </c>
      <c r="E163" s="433" t="str" cm="1">
        <f t="array" ref="E163">_xll.FDSB(D163,"FF_CO_NAME")</f>
        <v/>
      </c>
      <c r="F163" s="434" t="str" cm="1">
        <f t="array" ref="F163">_xll.FDSB(D163,"FF_ADDRESS")&amp;" "&amp;_xll.FDSB(D163,"FF_ADDRESS2")&amp;" "&amp;_xll.FDSB(D163,"FF_CITY")&amp;" "&amp;_xll.FDSB(D163,"FF_POSTAL")&amp;" "&amp;_xll.FDSB(D163,"FF_STATE_PROVINCE")&amp;" "&amp;_xll.FDSB(D163,"FF_COUNTRY")</f>
        <v xml:space="preserve">     </v>
      </c>
      <c r="G163" s="436" t="str" cm="1">
        <f t="array" ref="G163">_xll.FDSB(D163,"FF_SALES(ANN_R,0)")</f>
        <v/>
      </c>
      <c r="H163" s="436" t="str" cm="1">
        <f t="array" ref="H163">_xll.FDSB(D163,"FF_EMP_NUM(ANN,0)")</f>
        <v/>
      </c>
      <c r="I163" s="437" t="str" cm="1">
        <f t="array" ref="I163">_xll.FDSRB(D163,"OS_TOP_HLDR_ULTPRNT(1,0D,,MTD,,F,SEC)[0]")</f>
        <v/>
      </c>
      <c r="J163" s="437" t="str" cm="1">
        <f t="array" ref="J163">_xll.FDSRB(D163,"FF_BUS_DESC_EXT")</f>
        <v/>
      </c>
      <c r="K163" s="437" t="str" cm="1">
        <f t="array" ref="K163">_xll.FDSB(D163,"HOMEPAGE")</f>
        <v/>
      </c>
      <c r="L163" s="437" t="str" cm="1">
        <f t="array" ref="L163">_xll.FDSB(D163,"FG_EXCHANGE")</f>
        <v/>
      </c>
      <c r="M163" s="438" t="str">
        <f t="shared" si="2"/>
        <v/>
      </c>
      <c r="N163" s="461"/>
      <c r="O163" s="462"/>
    </row>
    <row r="164" spans="1:15" s="440" customFormat="1" ht="66.75" customHeight="1">
      <c r="A164" s="459"/>
      <c r="B164" s="432"/>
      <c r="C164" s="460"/>
      <c r="D164" s="432" t="str" cm="1">
        <f t="array" ref="D164">_xll.FDSB(B164,"P_SYMBOL")</f>
        <v/>
      </c>
      <c r="E164" s="433" t="str" cm="1">
        <f t="array" ref="E164">_xll.FDSB(D164,"FF_CO_NAME")</f>
        <v/>
      </c>
      <c r="F164" s="434" t="str" cm="1">
        <f t="array" ref="F164">_xll.FDSB(D164,"FF_ADDRESS")&amp;" "&amp;_xll.FDSB(D164,"FF_ADDRESS2")&amp;" "&amp;_xll.FDSB(D164,"FF_CITY")&amp;" "&amp;_xll.FDSB(D164,"FF_POSTAL")&amp;" "&amp;_xll.FDSB(D164,"FF_STATE_PROVINCE")&amp;" "&amp;_xll.FDSB(D164,"FF_COUNTRY")</f>
        <v xml:space="preserve">     </v>
      </c>
      <c r="G164" s="436" t="str" cm="1">
        <f t="array" ref="G164">_xll.FDSB(D164,"FF_SALES(ANN_R,0)")</f>
        <v/>
      </c>
      <c r="H164" s="436" t="str" cm="1">
        <f t="array" ref="H164">_xll.FDSB(D164,"FF_EMP_NUM(ANN,0)")</f>
        <v/>
      </c>
      <c r="I164" s="437" t="str" cm="1">
        <f t="array" ref="I164">_xll.FDSRB(D164,"OS_TOP_HLDR_ULTPRNT(1,0D,,MTD,,F,SEC)[0]")</f>
        <v/>
      </c>
      <c r="J164" s="437" t="str" cm="1">
        <f t="array" ref="J164">_xll.FDSRB(D164,"FF_BUS_DESC_EXT")</f>
        <v/>
      </c>
      <c r="K164" s="437" t="str" cm="1">
        <f t="array" ref="K164">_xll.FDSB(D164,"HOMEPAGE")</f>
        <v/>
      </c>
      <c r="L164" s="437" t="str" cm="1">
        <f t="array" ref="L164">_xll.FDSB(D164,"FG_EXCHANGE")</f>
        <v/>
      </c>
      <c r="M164" s="438" t="str">
        <f t="shared" si="2"/>
        <v/>
      </c>
      <c r="N164" s="461"/>
      <c r="O164" s="461"/>
    </row>
    <row r="165" spans="1:15" s="440" customFormat="1" ht="66.75" customHeight="1">
      <c r="A165" s="459"/>
      <c r="B165" s="432"/>
      <c r="C165" s="460"/>
      <c r="D165" s="432" t="str" cm="1">
        <f t="array" ref="D165">_xll.FDSB(B165,"P_SYMBOL")</f>
        <v/>
      </c>
      <c r="E165" s="433" t="str" cm="1">
        <f t="array" ref="E165">_xll.FDSB(D165,"FF_CO_NAME")</f>
        <v/>
      </c>
      <c r="F165" s="434" t="str" cm="1">
        <f t="array" ref="F165">_xll.FDSB(D165,"FF_ADDRESS")&amp;" "&amp;_xll.FDSB(D165,"FF_ADDRESS2")&amp;" "&amp;_xll.FDSB(D165,"FF_CITY")&amp;" "&amp;_xll.FDSB(D165,"FF_POSTAL")&amp;" "&amp;_xll.FDSB(D165,"FF_STATE_PROVINCE")&amp;" "&amp;_xll.FDSB(D165,"FF_COUNTRY")</f>
        <v xml:space="preserve">     </v>
      </c>
      <c r="G165" s="436" t="str" cm="1">
        <f t="array" ref="G165">_xll.FDSB(D165,"FF_SALES(ANN_R,0)")</f>
        <v/>
      </c>
      <c r="H165" s="436" t="str" cm="1">
        <f t="array" ref="H165">_xll.FDSB(D165,"FF_EMP_NUM(ANN,0)")</f>
        <v/>
      </c>
      <c r="I165" s="437" t="str" cm="1">
        <f t="array" ref="I165">_xll.FDSRB(D165,"OS_TOP_HLDR_ULTPRNT(1,0D,,MTD,,F,SEC)[0]")</f>
        <v/>
      </c>
      <c r="J165" s="437" t="str" cm="1">
        <f t="array" ref="J165">_xll.FDSRB(D165,"FF_BUS_DESC_EXT")</f>
        <v/>
      </c>
      <c r="K165" s="437" t="str" cm="1">
        <f t="array" ref="K165">_xll.FDSB(D165,"HOMEPAGE")</f>
        <v/>
      </c>
      <c r="L165" s="437" t="str" cm="1">
        <f t="array" ref="L165">_xll.FDSB(D165,"FG_EXCHANGE")</f>
        <v/>
      </c>
      <c r="M165" s="438" t="str">
        <f t="shared" si="2"/>
        <v/>
      </c>
      <c r="N165" s="461"/>
      <c r="O165" s="462"/>
    </row>
    <row r="166" spans="1:15" s="440" customFormat="1" ht="66.75" customHeight="1">
      <c r="A166" s="459"/>
      <c r="B166" s="432"/>
      <c r="C166" s="460"/>
      <c r="D166" s="432" t="str" cm="1">
        <f t="array" ref="D166">_xll.FDSB(B166,"P_SYMBOL")</f>
        <v/>
      </c>
      <c r="E166" s="433" t="str" cm="1">
        <f t="array" ref="E166">_xll.FDSB(D166,"FF_CO_NAME")</f>
        <v/>
      </c>
      <c r="F166" s="434" t="str" cm="1">
        <f t="array" ref="F166">_xll.FDSB(D166,"FF_ADDRESS")&amp;" "&amp;_xll.FDSB(D166,"FF_ADDRESS2")&amp;" "&amp;_xll.FDSB(D166,"FF_CITY")&amp;" "&amp;_xll.FDSB(D166,"FF_POSTAL")&amp;" "&amp;_xll.FDSB(D166,"FF_STATE_PROVINCE")&amp;" "&amp;_xll.FDSB(D166,"FF_COUNTRY")</f>
        <v xml:space="preserve">     </v>
      </c>
      <c r="G166" s="436" t="str" cm="1">
        <f t="array" ref="G166">_xll.FDSB(D166,"FF_SALES(ANN_R,0)")</f>
        <v/>
      </c>
      <c r="H166" s="436" t="str" cm="1">
        <f t="array" ref="H166">_xll.FDSB(D166,"FF_EMP_NUM(ANN,0)")</f>
        <v/>
      </c>
      <c r="I166" s="437" t="str" cm="1">
        <f t="array" ref="I166">_xll.FDSRB(D166,"OS_TOP_HLDR_ULTPRNT(1,0D,,MTD,,F,SEC)[0]")</f>
        <v/>
      </c>
      <c r="J166" s="437" t="str" cm="1">
        <f t="array" ref="J166">_xll.FDSRB(D166,"FF_BUS_DESC_EXT")</f>
        <v/>
      </c>
      <c r="K166" s="437" t="str" cm="1">
        <f t="array" ref="K166">_xll.FDSB(D166,"HOMEPAGE")</f>
        <v/>
      </c>
      <c r="L166" s="437" t="str" cm="1">
        <f t="array" ref="L166">_xll.FDSB(D166,"FG_EXCHANGE")</f>
        <v/>
      </c>
      <c r="M166" s="438" t="str">
        <f t="shared" si="2"/>
        <v/>
      </c>
      <c r="N166" s="461"/>
      <c r="O166" s="461"/>
    </row>
    <row r="167" spans="1:15" s="440" customFormat="1" ht="66.75" customHeight="1">
      <c r="A167" s="459"/>
      <c r="B167" s="432"/>
      <c r="C167" s="460"/>
      <c r="D167" s="432" t="str" cm="1">
        <f t="array" ref="D167">_xll.FDSB(B167,"P_SYMBOL")</f>
        <v/>
      </c>
      <c r="E167" s="433" t="str" cm="1">
        <f t="array" ref="E167">_xll.FDSB(D167,"FF_CO_NAME")</f>
        <v/>
      </c>
      <c r="F167" s="434" t="str" cm="1">
        <f t="array" ref="F167">_xll.FDSB(D167,"FF_ADDRESS")&amp;" "&amp;_xll.FDSB(D167,"FF_ADDRESS2")&amp;" "&amp;_xll.FDSB(D167,"FF_CITY")&amp;" "&amp;_xll.FDSB(D167,"FF_POSTAL")&amp;" "&amp;_xll.FDSB(D167,"FF_STATE_PROVINCE")&amp;" "&amp;_xll.FDSB(D167,"FF_COUNTRY")</f>
        <v xml:space="preserve">     </v>
      </c>
      <c r="G167" s="436" t="str" cm="1">
        <f t="array" ref="G167">_xll.FDSB(D167,"FF_SALES(ANN_R,0)")</f>
        <v/>
      </c>
      <c r="H167" s="436" t="str" cm="1">
        <f t="array" ref="H167">_xll.FDSB(D167,"FF_EMP_NUM(ANN,0)")</f>
        <v/>
      </c>
      <c r="I167" s="437" t="str" cm="1">
        <f t="array" ref="I167">_xll.FDSRB(D167,"OS_TOP_HLDR_ULTPRNT(1,0D,,MTD,,F,SEC)[0]")</f>
        <v/>
      </c>
      <c r="J167" s="437" t="str" cm="1">
        <f t="array" ref="J167">_xll.FDSRB(D167,"FF_BUS_DESC_EXT")</f>
        <v/>
      </c>
      <c r="K167" s="437" t="str" cm="1">
        <f t="array" ref="K167">_xll.FDSB(D167,"HOMEPAGE")</f>
        <v/>
      </c>
      <c r="L167" s="437" t="str" cm="1">
        <f t="array" ref="L167">_xll.FDSB(D167,"FG_EXCHANGE")</f>
        <v/>
      </c>
      <c r="M167" s="438" t="str">
        <f t="shared" si="2"/>
        <v/>
      </c>
      <c r="N167" s="461"/>
      <c r="O167" s="462"/>
    </row>
    <row r="168" spans="1:15" s="440" customFormat="1" ht="66.75" customHeight="1">
      <c r="A168" s="459"/>
      <c r="B168" s="432"/>
      <c r="C168" s="460"/>
      <c r="D168" s="432" t="str" cm="1">
        <f t="array" ref="D168">_xll.FDSB(B168,"P_SYMBOL")</f>
        <v/>
      </c>
      <c r="E168" s="433" t="str" cm="1">
        <f t="array" ref="E168">_xll.FDSB(D168,"FF_CO_NAME")</f>
        <v/>
      </c>
      <c r="F168" s="434" t="str" cm="1">
        <f t="array" ref="F168">_xll.FDSB(D168,"FF_ADDRESS")&amp;" "&amp;_xll.FDSB(D168,"FF_ADDRESS2")&amp;" "&amp;_xll.FDSB(D168,"FF_CITY")&amp;" "&amp;_xll.FDSB(D168,"FF_POSTAL")&amp;" "&amp;_xll.FDSB(D168,"FF_STATE_PROVINCE")&amp;" "&amp;_xll.FDSB(D168,"FF_COUNTRY")</f>
        <v xml:space="preserve">     </v>
      </c>
      <c r="G168" s="436" t="str" cm="1">
        <f t="array" ref="G168">_xll.FDSB(D168,"FF_SALES(ANN_R,0)")</f>
        <v/>
      </c>
      <c r="H168" s="436" t="str" cm="1">
        <f t="array" ref="H168">_xll.FDSB(D168,"FF_EMP_NUM(ANN,0)")</f>
        <v/>
      </c>
      <c r="I168" s="437" t="str" cm="1">
        <f t="array" ref="I168">_xll.FDSRB(D168,"OS_TOP_HLDR_ULTPRNT(1,0D,,MTD,,F,SEC)[0]")</f>
        <v/>
      </c>
      <c r="J168" s="437" t="str" cm="1">
        <f t="array" ref="J168">_xll.FDSRB(D168,"FF_BUS_DESC_EXT")</f>
        <v/>
      </c>
      <c r="K168" s="437" t="str" cm="1">
        <f t="array" ref="K168">_xll.FDSB(D168,"HOMEPAGE")</f>
        <v/>
      </c>
      <c r="L168" s="437" t="str" cm="1">
        <f t="array" ref="L168">_xll.FDSB(D168,"FG_EXCHANGE")</f>
        <v/>
      </c>
      <c r="M168" s="438" t="str">
        <f t="shared" si="2"/>
        <v/>
      </c>
      <c r="N168" s="461"/>
      <c r="O168" s="461"/>
    </row>
    <row r="169" spans="1:15" s="440" customFormat="1" ht="66.75" customHeight="1">
      <c r="A169" s="459"/>
      <c r="B169" s="432"/>
      <c r="C169" s="460"/>
      <c r="D169" s="432" t="str" cm="1">
        <f t="array" ref="D169">_xll.FDSB(B169,"P_SYMBOL")</f>
        <v/>
      </c>
      <c r="E169" s="433" t="str" cm="1">
        <f t="array" ref="E169">_xll.FDSB(D169,"FF_CO_NAME")</f>
        <v/>
      </c>
      <c r="F169" s="434" t="str" cm="1">
        <f t="array" ref="F169">_xll.FDSB(D169,"FF_ADDRESS")&amp;" "&amp;_xll.FDSB(D169,"FF_ADDRESS2")&amp;" "&amp;_xll.FDSB(D169,"FF_CITY")&amp;" "&amp;_xll.FDSB(D169,"FF_POSTAL")&amp;" "&amp;_xll.FDSB(D169,"FF_STATE_PROVINCE")&amp;" "&amp;_xll.FDSB(D169,"FF_COUNTRY")</f>
        <v xml:space="preserve">     </v>
      </c>
      <c r="G169" s="436" t="str" cm="1">
        <f t="array" ref="G169">_xll.FDSB(D169,"FF_SALES(ANN_R,0)")</f>
        <v/>
      </c>
      <c r="H169" s="436" t="str" cm="1">
        <f t="array" ref="H169">_xll.FDSB(D169,"FF_EMP_NUM(ANN,0)")</f>
        <v/>
      </c>
      <c r="I169" s="437" t="str" cm="1">
        <f t="array" ref="I169">_xll.FDSRB(D169,"OS_TOP_HLDR_ULTPRNT(1,0D,,MTD,,F,SEC)[0]")</f>
        <v/>
      </c>
      <c r="J169" s="437" t="str" cm="1">
        <f t="array" ref="J169">_xll.FDSRB(D169,"FF_BUS_DESC_EXT")</f>
        <v/>
      </c>
      <c r="K169" s="437" t="str" cm="1">
        <f t="array" ref="K169">_xll.FDSB(D169,"HOMEPAGE")</f>
        <v/>
      </c>
      <c r="L169" s="437" t="str" cm="1">
        <f t="array" ref="L169">_xll.FDSB(D169,"FG_EXCHANGE")</f>
        <v/>
      </c>
      <c r="M169" s="438" t="str">
        <f t="shared" si="2"/>
        <v/>
      </c>
      <c r="N169" s="461"/>
      <c r="O169" s="462"/>
    </row>
    <row r="170" spans="1:15" s="440" customFormat="1" ht="66.75" customHeight="1">
      <c r="A170" s="459"/>
      <c r="B170" s="432"/>
      <c r="C170" s="460"/>
      <c r="D170" s="432" t="str" cm="1">
        <f t="array" ref="D170">_xll.FDSB(B170,"P_SYMBOL")</f>
        <v/>
      </c>
      <c r="E170" s="433" t="str" cm="1">
        <f t="array" ref="E170">_xll.FDSB(D170,"FF_CO_NAME")</f>
        <v/>
      </c>
      <c r="F170" s="434" t="str" cm="1">
        <f t="array" ref="F170">_xll.FDSB(D170,"FF_ADDRESS")&amp;" "&amp;_xll.FDSB(D170,"FF_ADDRESS2")&amp;" "&amp;_xll.FDSB(D170,"FF_CITY")&amp;" "&amp;_xll.FDSB(D170,"FF_POSTAL")&amp;" "&amp;_xll.FDSB(D170,"FF_STATE_PROVINCE")&amp;" "&amp;_xll.FDSB(D170,"FF_COUNTRY")</f>
        <v xml:space="preserve">     </v>
      </c>
      <c r="G170" s="436" t="str" cm="1">
        <f t="array" ref="G170">_xll.FDSB(D170,"FF_SALES(ANN_R,0)")</f>
        <v/>
      </c>
      <c r="H170" s="436" t="str" cm="1">
        <f t="array" ref="H170">_xll.FDSB(D170,"FF_EMP_NUM(ANN,0)")</f>
        <v/>
      </c>
      <c r="I170" s="437" t="str" cm="1">
        <f t="array" ref="I170">_xll.FDSRB(D170,"OS_TOP_HLDR_ULTPRNT(1,0D,,MTD,,F,SEC)[0]")</f>
        <v/>
      </c>
      <c r="J170" s="437" t="str" cm="1">
        <f t="array" ref="J170">_xll.FDSRB(D170,"FF_BUS_DESC_EXT")</f>
        <v/>
      </c>
      <c r="K170" s="437" t="str" cm="1">
        <f t="array" ref="K170">_xll.FDSB(D170,"HOMEPAGE")</f>
        <v/>
      </c>
      <c r="L170" s="437" t="str" cm="1">
        <f t="array" ref="L170">_xll.FDSB(D170,"FG_EXCHANGE")</f>
        <v/>
      </c>
      <c r="M170" s="438" t="str">
        <f t="shared" si="2"/>
        <v/>
      </c>
      <c r="N170" s="461"/>
      <c r="O170" s="461"/>
    </row>
    <row r="171" spans="1:15" s="440" customFormat="1" ht="66.75" customHeight="1">
      <c r="A171" s="459"/>
      <c r="B171" s="432"/>
      <c r="C171" s="460"/>
      <c r="D171" s="432" t="str" cm="1">
        <f t="array" ref="D171">_xll.FDSB(B171,"P_SYMBOL")</f>
        <v/>
      </c>
      <c r="E171" s="433" t="str" cm="1">
        <f t="array" ref="E171">_xll.FDSB(D171,"FF_CO_NAME")</f>
        <v/>
      </c>
      <c r="F171" s="434" t="str" cm="1">
        <f t="array" ref="F171">_xll.FDSB(D171,"FF_ADDRESS")&amp;" "&amp;_xll.FDSB(D171,"FF_ADDRESS2")&amp;" "&amp;_xll.FDSB(D171,"FF_CITY")&amp;" "&amp;_xll.FDSB(D171,"FF_POSTAL")&amp;" "&amp;_xll.FDSB(D171,"FF_STATE_PROVINCE")&amp;" "&amp;_xll.FDSB(D171,"FF_COUNTRY")</f>
        <v xml:space="preserve">     </v>
      </c>
      <c r="G171" s="436" t="str" cm="1">
        <f t="array" ref="G171">_xll.FDSB(D171,"FF_SALES(ANN_R,0)")</f>
        <v/>
      </c>
      <c r="H171" s="436" t="str" cm="1">
        <f t="array" ref="H171">_xll.FDSB(D171,"FF_EMP_NUM(ANN,0)")</f>
        <v/>
      </c>
      <c r="I171" s="437" t="str" cm="1">
        <f t="array" ref="I171">_xll.FDSRB(D171,"OS_TOP_HLDR_ULTPRNT(1,0D,,MTD,,F,SEC)[0]")</f>
        <v/>
      </c>
      <c r="J171" s="437" t="str" cm="1">
        <f t="array" ref="J171">_xll.FDSRB(D171,"FF_BUS_DESC_EXT")</f>
        <v/>
      </c>
      <c r="K171" s="437" t="str" cm="1">
        <f t="array" ref="K171">_xll.FDSB(D171,"HOMEPAGE")</f>
        <v/>
      </c>
      <c r="L171" s="437" t="str" cm="1">
        <f t="array" ref="L171">_xll.FDSB(D171,"FG_EXCHANGE")</f>
        <v/>
      </c>
      <c r="M171" s="438" t="str">
        <f t="shared" si="2"/>
        <v/>
      </c>
      <c r="N171" s="461"/>
      <c r="O171" s="462"/>
    </row>
    <row r="172" spans="1:15" s="440" customFormat="1" ht="66.75" customHeight="1">
      <c r="A172" s="459"/>
      <c r="B172" s="432"/>
      <c r="C172" s="460"/>
      <c r="D172" s="432" t="str" cm="1">
        <f t="array" ref="D172">_xll.FDSB(B172,"P_SYMBOL")</f>
        <v/>
      </c>
      <c r="E172" s="433" t="str" cm="1">
        <f t="array" ref="E172">_xll.FDSB(D172,"FF_CO_NAME")</f>
        <v/>
      </c>
      <c r="F172" s="434" t="str" cm="1">
        <f t="array" ref="F172">_xll.FDSB(D172,"FF_ADDRESS")&amp;" "&amp;_xll.FDSB(D172,"FF_ADDRESS2")&amp;" "&amp;_xll.FDSB(D172,"FF_CITY")&amp;" "&amp;_xll.FDSB(D172,"FF_POSTAL")&amp;" "&amp;_xll.FDSB(D172,"FF_STATE_PROVINCE")&amp;" "&amp;_xll.FDSB(D172,"FF_COUNTRY")</f>
        <v xml:space="preserve">     </v>
      </c>
      <c r="G172" s="436" t="str" cm="1">
        <f t="array" ref="G172">_xll.FDSB(D172,"FF_SALES(ANN_R,0)")</f>
        <v/>
      </c>
      <c r="H172" s="436" t="str" cm="1">
        <f t="array" ref="H172">_xll.FDSB(D172,"FF_EMP_NUM(ANN,0)")</f>
        <v/>
      </c>
      <c r="I172" s="437" t="str" cm="1">
        <f t="array" ref="I172">_xll.FDSRB(D172,"OS_TOP_HLDR_ULTPRNT(1,0D,,MTD,,F,SEC)[0]")</f>
        <v/>
      </c>
      <c r="J172" s="437" t="str" cm="1">
        <f t="array" ref="J172">_xll.FDSRB(D172,"FF_BUS_DESC_EXT")</f>
        <v/>
      </c>
      <c r="K172" s="437" t="str" cm="1">
        <f t="array" ref="K172">_xll.FDSB(D172,"HOMEPAGE")</f>
        <v/>
      </c>
      <c r="L172" s="437" t="str" cm="1">
        <f t="array" ref="L172">_xll.FDSB(D172,"FG_EXCHANGE")</f>
        <v/>
      </c>
      <c r="M172" s="438" t="str">
        <f t="shared" si="2"/>
        <v/>
      </c>
      <c r="N172" s="461"/>
      <c r="O172" s="461"/>
    </row>
    <row r="173" spans="1:15" s="440" customFormat="1" ht="66.75" customHeight="1">
      <c r="A173" s="459"/>
      <c r="B173" s="432"/>
      <c r="C173" s="460"/>
      <c r="D173" s="432" t="str" cm="1">
        <f t="array" ref="D173">_xll.FDSB(B173,"P_SYMBOL")</f>
        <v/>
      </c>
      <c r="E173" s="433" t="str" cm="1">
        <f t="array" ref="E173">_xll.FDSB(D173,"FF_CO_NAME")</f>
        <v/>
      </c>
      <c r="F173" s="434" t="str" cm="1">
        <f t="array" ref="F173">_xll.FDSB(D173,"FF_ADDRESS")&amp;" "&amp;_xll.FDSB(D173,"FF_ADDRESS2")&amp;" "&amp;_xll.FDSB(D173,"FF_CITY")&amp;" "&amp;_xll.FDSB(D173,"FF_POSTAL")&amp;" "&amp;_xll.FDSB(D173,"FF_STATE_PROVINCE")&amp;" "&amp;_xll.FDSB(D173,"FF_COUNTRY")</f>
        <v xml:space="preserve">     </v>
      </c>
      <c r="G173" s="436" t="str" cm="1">
        <f t="array" ref="G173">_xll.FDSB(D173,"FF_SALES(ANN_R,0)")</f>
        <v/>
      </c>
      <c r="H173" s="436" t="str" cm="1">
        <f t="array" ref="H173">_xll.FDSB(D173,"FF_EMP_NUM(ANN,0)")</f>
        <v/>
      </c>
      <c r="I173" s="437" t="str" cm="1">
        <f t="array" ref="I173">_xll.FDSRB(D173,"OS_TOP_HLDR_ULTPRNT(1,0D,,MTD,,F,SEC)[0]")</f>
        <v/>
      </c>
      <c r="J173" s="437" t="str" cm="1">
        <f t="array" ref="J173">_xll.FDSRB(D173,"FF_BUS_DESC_EXT")</f>
        <v/>
      </c>
      <c r="K173" s="437" t="str" cm="1">
        <f t="array" ref="K173">_xll.FDSB(D173,"HOMEPAGE")</f>
        <v/>
      </c>
      <c r="L173" s="437" t="str" cm="1">
        <f t="array" ref="L173">_xll.FDSB(D173,"FG_EXCHANGE")</f>
        <v/>
      </c>
      <c r="M173" s="438" t="str">
        <f t="shared" si="2"/>
        <v/>
      </c>
      <c r="N173" s="461"/>
      <c r="O173" s="462"/>
    </row>
    <row r="174" spans="1:15" s="440" customFormat="1" ht="66.75" customHeight="1">
      <c r="A174" s="459"/>
      <c r="B174" s="432"/>
      <c r="C174" s="460"/>
      <c r="D174" s="432" t="str" cm="1">
        <f t="array" ref="D174">_xll.FDSB(B174,"P_SYMBOL")</f>
        <v/>
      </c>
      <c r="E174" s="433" t="str" cm="1">
        <f t="array" ref="E174">_xll.FDSB(D174,"FF_CO_NAME")</f>
        <v/>
      </c>
      <c r="F174" s="434" t="str" cm="1">
        <f t="array" ref="F174">_xll.FDSB(D174,"FF_ADDRESS")&amp;" "&amp;_xll.FDSB(D174,"FF_ADDRESS2")&amp;" "&amp;_xll.FDSB(D174,"FF_CITY")&amp;" "&amp;_xll.FDSB(D174,"FF_POSTAL")&amp;" "&amp;_xll.FDSB(D174,"FF_STATE_PROVINCE")&amp;" "&amp;_xll.FDSB(D174,"FF_COUNTRY")</f>
        <v xml:space="preserve">     </v>
      </c>
      <c r="G174" s="436" t="str" cm="1">
        <f t="array" ref="G174">_xll.FDSB(D174,"FF_SALES(ANN_R,0)")</f>
        <v/>
      </c>
      <c r="H174" s="436" t="str" cm="1">
        <f t="array" ref="H174">_xll.FDSB(D174,"FF_EMP_NUM(ANN,0)")</f>
        <v/>
      </c>
      <c r="I174" s="437" t="str" cm="1">
        <f t="array" ref="I174">_xll.FDSRB(D174,"OS_TOP_HLDR_ULTPRNT(1,0D,,MTD,,F,SEC)[0]")</f>
        <v/>
      </c>
      <c r="J174" s="437" t="str" cm="1">
        <f t="array" ref="J174">_xll.FDSRB(D174,"FF_BUS_DESC_EXT")</f>
        <v/>
      </c>
      <c r="K174" s="437" t="str" cm="1">
        <f t="array" ref="K174">_xll.FDSB(D174,"HOMEPAGE")</f>
        <v/>
      </c>
      <c r="L174" s="437" t="str" cm="1">
        <f t="array" ref="L174">_xll.FDSB(D174,"FG_EXCHANGE")</f>
        <v/>
      </c>
      <c r="M174" s="438" t="str">
        <f t="shared" si="2"/>
        <v/>
      </c>
      <c r="N174" s="461"/>
      <c r="O174" s="461"/>
    </row>
    <row r="175" spans="1:15" s="440" customFormat="1" ht="66.75" customHeight="1">
      <c r="A175" s="459"/>
      <c r="B175" s="432"/>
      <c r="C175" s="460"/>
      <c r="D175" s="432" t="str" cm="1">
        <f t="array" ref="D175">_xll.FDSB(B175,"P_SYMBOL")</f>
        <v/>
      </c>
      <c r="E175" s="433" t="str" cm="1">
        <f t="array" ref="E175">_xll.FDSB(D175,"FF_CO_NAME")</f>
        <v/>
      </c>
      <c r="F175" s="434" t="str" cm="1">
        <f t="array" ref="F175">_xll.FDSB(D175,"FF_ADDRESS")&amp;" "&amp;_xll.FDSB(D175,"FF_ADDRESS2")&amp;" "&amp;_xll.FDSB(D175,"FF_CITY")&amp;" "&amp;_xll.FDSB(D175,"FF_POSTAL")&amp;" "&amp;_xll.FDSB(D175,"FF_STATE_PROVINCE")&amp;" "&amp;_xll.FDSB(D175,"FF_COUNTRY")</f>
        <v xml:space="preserve">     </v>
      </c>
      <c r="G175" s="436" t="str" cm="1">
        <f t="array" ref="G175">_xll.FDSB(D175,"FF_SALES(ANN_R,0)")</f>
        <v/>
      </c>
      <c r="H175" s="436" t="str" cm="1">
        <f t="array" ref="H175">_xll.FDSB(D175,"FF_EMP_NUM(ANN,0)")</f>
        <v/>
      </c>
      <c r="I175" s="437" t="str" cm="1">
        <f t="array" ref="I175">_xll.FDSRB(D175,"OS_TOP_HLDR_ULTPRNT(1,0D,,MTD,,F,SEC)[0]")</f>
        <v/>
      </c>
      <c r="J175" s="437" t="str" cm="1">
        <f t="array" ref="J175">_xll.FDSRB(D175,"FF_BUS_DESC_EXT")</f>
        <v/>
      </c>
      <c r="K175" s="437" t="str" cm="1">
        <f t="array" ref="K175">_xll.FDSB(D175,"HOMEPAGE")</f>
        <v/>
      </c>
      <c r="L175" s="437" t="str" cm="1">
        <f t="array" ref="L175">_xll.FDSB(D175,"FG_EXCHANGE")</f>
        <v/>
      </c>
      <c r="M175" s="438" t="str">
        <f t="shared" si="2"/>
        <v/>
      </c>
      <c r="N175" s="461"/>
      <c r="O175" s="462"/>
    </row>
    <row r="176" spans="1:15" s="440" customFormat="1" ht="66.75" customHeight="1">
      <c r="A176" s="459"/>
      <c r="B176" s="432"/>
      <c r="C176" s="460"/>
      <c r="D176" s="432" t="str" cm="1">
        <f t="array" ref="D176">_xll.FDSB(B176,"P_SYMBOL")</f>
        <v/>
      </c>
      <c r="E176" s="433" t="str" cm="1">
        <f t="array" ref="E176">_xll.FDSB(D176,"FF_CO_NAME")</f>
        <v/>
      </c>
      <c r="F176" s="434" t="str" cm="1">
        <f t="array" ref="F176">_xll.FDSB(D176,"FF_ADDRESS")&amp;" "&amp;_xll.FDSB(D176,"FF_ADDRESS2")&amp;" "&amp;_xll.FDSB(D176,"FF_CITY")&amp;" "&amp;_xll.FDSB(D176,"FF_POSTAL")&amp;" "&amp;_xll.FDSB(D176,"FF_STATE_PROVINCE")&amp;" "&amp;_xll.FDSB(D176,"FF_COUNTRY")</f>
        <v xml:space="preserve">     </v>
      </c>
      <c r="G176" s="436" t="str" cm="1">
        <f t="array" ref="G176">_xll.FDSB(D176,"FF_SALES(ANN_R,0)")</f>
        <v/>
      </c>
      <c r="H176" s="436" t="str" cm="1">
        <f t="array" ref="H176">_xll.FDSB(D176,"FF_EMP_NUM(ANN,0)")</f>
        <v/>
      </c>
      <c r="I176" s="437" t="str" cm="1">
        <f t="array" ref="I176">_xll.FDSRB(D176,"OS_TOP_HLDR_ULTPRNT(1,0D,,MTD,,F,SEC)[0]")</f>
        <v/>
      </c>
      <c r="J176" s="437" t="str" cm="1">
        <f t="array" ref="J176">_xll.FDSRB(D176,"FF_BUS_DESC_EXT")</f>
        <v/>
      </c>
      <c r="K176" s="437" t="str" cm="1">
        <f t="array" ref="K176">_xll.FDSB(D176,"HOMEPAGE")</f>
        <v/>
      </c>
      <c r="L176" s="437" t="str" cm="1">
        <f t="array" ref="L176">_xll.FDSB(D176,"FG_EXCHANGE")</f>
        <v/>
      </c>
      <c r="M176" s="438" t="str">
        <f t="shared" si="2"/>
        <v/>
      </c>
      <c r="N176" s="461"/>
      <c r="O176" s="461"/>
    </row>
    <row r="177" spans="1:15" s="440" customFormat="1" ht="66.75" customHeight="1">
      <c r="A177" s="459"/>
      <c r="B177" s="432"/>
      <c r="C177" s="460"/>
      <c r="D177" s="432" t="str" cm="1">
        <f t="array" ref="D177">_xll.FDSB(B177,"P_SYMBOL")</f>
        <v/>
      </c>
      <c r="E177" s="433" t="str" cm="1">
        <f t="array" ref="E177">_xll.FDSB(D177,"FF_CO_NAME")</f>
        <v/>
      </c>
      <c r="F177" s="434" t="str" cm="1">
        <f t="array" ref="F177">_xll.FDSB(D177,"FF_ADDRESS")&amp;" "&amp;_xll.FDSB(D177,"FF_ADDRESS2")&amp;" "&amp;_xll.FDSB(D177,"FF_CITY")&amp;" "&amp;_xll.FDSB(D177,"FF_POSTAL")&amp;" "&amp;_xll.FDSB(D177,"FF_STATE_PROVINCE")&amp;" "&amp;_xll.FDSB(D177,"FF_COUNTRY")</f>
        <v xml:space="preserve">     </v>
      </c>
      <c r="G177" s="436" t="str" cm="1">
        <f t="array" ref="G177">_xll.FDSB(D177,"FF_SALES(ANN_R,0)")</f>
        <v/>
      </c>
      <c r="H177" s="436" t="str" cm="1">
        <f t="array" ref="H177">_xll.FDSB(D177,"FF_EMP_NUM(ANN,0)")</f>
        <v/>
      </c>
      <c r="I177" s="437" t="str" cm="1">
        <f t="array" ref="I177">_xll.FDSRB(D177,"OS_TOP_HLDR_ULTPRNT(1,0D,,MTD,,F,SEC)[0]")</f>
        <v/>
      </c>
      <c r="J177" s="437" t="str" cm="1">
        <f t="array" ref="J177">_xll.FDSRB(D177,"FF_BUS_DESC_EXT")</f>
        <v/>
      </c>
      <c r="K177" s="437" t="str" cm="1">
        <f t="array" ref="K177">_xll.FDSB(D177,"HOMEPAGE")</f>
        <v/>
      </c>
      <c r="L177" s="437" t="str" cm="1">
        <f t="array" ref="L177">_xll.FDSB(D177,"FG_EXCHANGE")</f>
        <v/>
      </c>
      <c r="M177" s="438" t="str">
        <f t="shared" si="2"/>
        <v/>
      </c>
      <c r="N177" s="461"/>
      <c r="O177" s="462"/>
    </row>
    <row r="178" spans="1:15" s="440" customFormat="1" ht="66.75" customHeight="1">
      <c r="A178" s="459"/>
      <c r="B178" s="432"/>
      <c r="C178" s="460"/>
      <c r="D178" s="432" t="str" cm="1">
        <f t="array" ref="D178">_xll.FDSB(B178,"P_SYMBOL")</f>
        <v/>
      </c>
      <c r="E178" s="433" t="str" cm="1">
        <f t="array" ref="E178">_xll.FDSB(D178,"FF_CO_NAME")</f>
        <v/>
      </c>
      <c r="F178" s="434" t="str" cm="1">
        <f t="array" ref="F178">_xll.FDSB(D178,"FF_ADDRESS")&amp;" "&amp;_xll.FDSB(D178,"FF_ADDRESS2")&amp;" "&amp;_xll.FDSB(D178,"FF_CITY")&amp;" "&amp;_xll.FDSB(D178,"FF_POSTAL")&amp;" "&amp;_xll.FDSB(D178,"FF_STATE_PROVINCE")&amp;" "&amp;_xll.FDSB(D178,"FF_COUNTRY")</f>
        <v xml:space="preserve">     </v>
      </c>
      <c r="G178" s="436" t="str" cm="1">
        <f t="array" ref="G178">_xll.FDSB(D178,"FF_SALES(ANN_R,0)")</f>
        <v/>
      </c>
      <c r="H178" s="436" t="str" cm="1">
        <f t="array" ref="H178">_xll.FDSB(D178,"FF_EMP_NUM(ANN,0)")</f>
        <v/>
      </c>
      <c r="I178" s="437" t="str" cm="1">
        <f t="array" ref="I178">_xll.FDSRB(D178,"OS_TOP_HLDR_ULTPRNT(1,0D,,MTD,,F,SEC)[0]")</f>
        <v/>
      </c>
      <c r="J178" s="437" t="str" cm="1">
        <f t="array" ref="J178">_xll.FDSRB(D178,"FF_BUS_DESC_EXT")</f>
        <v/>
      </c>
      <c r="K178" s="437" t="str" cm="1">
        <f t="array" ref="K178">_xll.FDSB(D178,"HOMEPAGE")</f>
        <v/>
      </c>
      <c r="L178" s="437" t="str" cm="1">
        <f t="array" ref="L178">_xll.FDSB(D178,"FG_EXCHANGE")</f>
        <v/>
      </c>
      <c r="M178" s="438" t="str">
        <f t="shared" si="2"/>
        <v/>
      </c>
      <c r="N178" s="461"/>
      <c r="O178" s="461"/>
    </row>
    <row r="179" spans="1:15" s="440" customFormat="1" ht="66.75" customHeight="1">
      <c r="A179" s="459"/>
      <c r="B179" s="432"/>
      <c r="C179" s="460"/>
      <c r="D179" s="432" t="str" cm="1">
        <f t="array" ref="D179">_xll.FDSB(B179,"P_SYMBOL")</f>
        <v/>
      </c>
      <c r="E179" s="433" t="str" cm="1">
        <f t="array" ref="E179">_xll.FDSB(D179,"FF_CO_NAME")</f>
        <v/>
      </c>
      <c r="F179" s="434" t="str" cm="1">
        <f t="array" ref="F179">_xll.FDSB(D179,"FF_ADDRESS")&amp;" "&amp;_xll.FDSB(D179,"FF_ADDRESS2")&amp;" "&amp;_xll.FDSB(D179,"FF_CITY")&amp;" "&amp;_xll.FDSB(D179,"FF_POSTAL")&amp;" "&amp;_xll.FDSB(D179,"FF_STATE_PROVINCE")&amp;" "&amp;_xll.FDSB(D179,"FF_COUNTRY")</f>
        <v xml:space="preserve">     </v>
      </c>
      <c r="G179" s="436" t="str" cm="1">
        <f t="array" ref="G179">_xll.FDSB(D179,"FF_SALES(ANN_R,0)")</f>
        <v/>
      </c>
      <c r="H179" s="436" t="str" cm="1">
        <f t="array" ref="H179">_xll.FDSB(D179,"FF_EMP_NUM(ANN,0)")</f>
        <v/>
      </c>
      <c r="I179" s="437" t="str" cm="1">
        <f t="array" ref="I179">_xll.FDSRB(D179,"OS_TOP_HLDR_ULTPRNT(1,0D,,MTD,,F,SEC)[0]")</f>
        <v/>
      </c>
      <c r="J179" s="437" t="str" cm="1">
        <f t="array" ref="J179">_xll.FDSRB(D179,"FF_BUS_DESC_EXT")</f>
        <v/>
      </c>
      <c r="K179" s="437" t="str" cm="1">
        <f t="array" ref="K179">_xll.FDSB(D179,"HOMEPAGE")</f>
        <v/>
      </c>
      <c r="L179" s="437" t="str" cm="1">
        <f t="array" ref="L179">_xll.FDSB(D179,"FG_EXCHANGE")</f>
        <v/>
      </c>
      <c r="M179" s="438" t="str">
        <f t="shared" si="2"/>
        <v/>
      </c>
      <c r="N179" s="461"/>
      <c r="O179" s="462"/>
    </row>
    <row r="180" spans="1:15" s="440" customFormat="1" ht="66.75" customHeight="1">
      <c r="A180" s="459"/>
      <c r="B180" s="432"/>
      <c r="C180" s="460"/>
      <c r="D180" s="432" t="str" cm="1">
        <f t="array" ref="D180">_xll.FDSB(B180,"P_SYMBOL")</f>
        <v/>
      </c>
      <c r="E180" s="433" t="str" cm="1">
        <f t="array" ref="E180">_xll.FDSB(D180,"FF_CO_NAME")</f>
        <v/>
      </c>
      <c r="F180" s="434" t="str" cm="1">
        <f t="array" ref="F180">_xll.FDSB(D180,"FF_ADDRESS")&amp;" "&amp;_xll.FDSB(D180,"FF_ADDRESS2")&amp;" "&amp;_xll.FDSB(D180,"FF_CITY")&amp;" "&amp;_xll.FDSB(D180,"FF_POSTAL")&amp;" "&amp;_xll.FDSB(D180,"FF_STATE_PROVINCE")&amp;" "&amp;_xll.FDSB(D180,"FF_COUNTRY")</f>
        <v xml:space="preserve">     </v>
      </c>
      <c r="G180" s="436" t="str" cm="1">
        <f t="array" ref="G180">_xll.FDSB(D180,"FF_SALES(ANN_R,0)")</f>
        <v/>
      </c>
      <c r="H180" s="436" t="str" cm="1">
        <f t="array" ref="H180">_xll.FDSB(D180,"FF_EMP_NUM(ANN,0)")</f>
        <v/>
      </c>
      <c r="I180" s="437" t="str" cm="1">
        <f t="array" ref="I180">_xll.FDSRB(D180,"OS_TOP_HLDR_ULTPRNT(1,0D,,MTD,,F,SEC)[0]")</f>
        <v/>
      </c>
      <c r="J180" s="437" t="str" cm="1">
        <f t="array" ref="J180">_xll.FDSRB(D180,"FF_BUS_DESC_EXT")</f>
        <v/>
      </c>
      <c r="K180" s="437" t="str" cm="1">
        <f t="array" ref="K180">_xll.FDSB(D180,"HOMEPAGE")</f>
        <v/>
      </c>
      <c r="L180" s="437" t="str" cm="1">
        <f t="array" ref="L180">_xll.FDSB(D180,"FG_EXCHANGE")</f>
        <v/>
      </c>
      <c r="M180" s="438" t="str">
        <f t="shared" si="2"/>
        <v/>
      </c>
      <c r="N180" s="461"/>
      <c r="O180" s="461"/>
    </row>
    <row r="181" spans="1:15" s="440" customFormat="1" ht="66.75" customHeight="1">
      <c r="A181" s="459"/>
      <c r="B181" s="432"/>
      <c r="C181" s="460"/>
      <c r="D181" s="432" t="str" cm="1">
        <f t="array" ref="D181">_xll.FDSB(B181,"P_SYMBOL")</f>
        <v/>
      </c>
      <c r="E181" s="433" t="str" cm="1">
        <f t="array" ref="E181">_xll.FDSB(D181,"FF_CO_NAME")</f>
        <v/>
      </c>
      <c r="F181" s="434" t="str" cm="1">
        <f t="array" ref="F181">_xll.FDSB(D181,"FF_ADDRESS")&amp;" "&amp;_xll.FDSB(D181,"FF_ADDRESS2")&amp;" "&amp;_xll.FDSB(D181,"FF_CITY")&amp;" "&amp;_xll.FDSB(D181,"FF_POSTAL")&amp;" "&amp;_xll.FDSB(D181,"FF_STATE_PROVINCE")&amp;" "&amp;_xll.FDSB(D181,"FF_COUNTRY")</f>
        <v xml:space="preserve">     </v>
      </c>
      <c r="G181" s="436" t="str" cm="1">
        <f t="array" ref="G181">_xll.FDSB(D181,"FF_SALES(ANN_R,0)")</f>
        <v/>
      </c>
      <c r="H181" s="436" t="str" cm="1">
        <f t="array" ref="H181">_xll.FDSB(D181,"FF_EMP_NUM(ANN,0)")</f>
        <v/>
      </c>
      <c r="I181" s="437" t="str" cm="1">
        <f t="array" ref="I181">_xll.FDSRB(D181,"OS_TOP_HLDR_ULTPRNT(1,0D,,MTD,,F,SEC)[0]")</f>
        <v/>
      </c>
      <c r="J181" s="437" t="str" cm="1">
        <f t="array" ref="J181">_xll.FDSRB(D181,"FF_BUS_DESC_EXT")</f>
        <v/>
      </c>
      <c r="K181" s="437" t="str" cm="1">
        <f t="array" ref="K181">_xll.FDSB(D181,"HOMEPAGE")</f>
        <v/>
      </c>
      <c r="L181" s="437" t="str" cm="1">
        <f t="array" ref="L181">_xll.FDSB(D181,"FG_EXCHANGE")</f>
        <v/>
      </c>
      <c r="M181" s="438" t="str">
        <f t="shared" si="2"/>
        <v/>
      </c>
      <c r="N181" s="461"/>
      <c r="O181" s="462"/>
    </row>
    <row r="182" spans="1:15" s="440" customFormat="1" ht="66.75" customHeight="1">
      <c r="A182" s="459"/>
      <c r="B182" s="432"/>
      <c r="C182" s="460"/>
      <c r="D182" s="432" t="str" cm="1">
        <f t="array" ref="D182">_xll.FDSB(B182,"P_SYMBOL")</f>
        <v/>
      </c>
      <c r="E182" s="433" t="str" cm="1">
        <f t="array" ref="E182">_xll.FDSB(D182,"FF_CO_NAME")</f>
        <v/>
      </c>
      <c r="F182" s="434" t="str" cm="1">
        <f t="array" ref="F182">_xll.FDSB(D182,"FF_ADDRESS")&amp;" "&amp;_xll.FDSB(D182,"FF_ADDRESS2")&amp;" "&amp;_xll.FDSB(D182,"FF_CITY")&amp;" "&amp;_xll.FDSB(D182,"FF_POSTAL")&amp;" "&amp;_xll.FDSB(D182,"FF_STATE_PROVINCE")&amp;" "&amp;_xll.FDSB(D182,"FF_COUNTRY")</f>
        <v xml:space="preserve">     </v>
      </c>
      <c r="G182" s="436" t="str" cm="1">
        <f t="array" ref="G182">_xll.FDSB(D182,"FF_SALES(ANN_R,0)")</f>
        <v/>
      </c>
      <c r="H182" s="436" t="str" cm="1">
        <f t="array" ref="H182">_xll.FDSB(D182,"FF_EMP_NUM(ANN,0)")</f>
        <v/>
      </c>
      <c r="I182" s="437" t="str" cm="1">
        <f t="array" ref="I182">_xll.FDSRB(D182,"OS_TOP_HLDR_ULTPRNT(1,0D,,MTD,,F,SEC)[0]")</f>
        <v/>
      </c>
      <c r="J182" s="437" t="str" cm="1">
        <f t="array" ref="J182">_xll.FDSRB(D182,"FF_BUS_DESC_EXT")</f>
        <v/>
      </c>
      <c r="K182" s="437" t="str" cm="1">
        <f t="array" ref="K182">_xll.FDSB(D182,"HOMEPAGE")</f>
        <v/>
      </c>
      <c r="L182" s="437" t="str" cm="1">
        <f t="array" ref="L182">_xll.FDSB(D182,"FG_EXCHANGE")</f>
        <v/>
      </c>
      <c r="M182" s="438" t="str">
        <f t="shared" si="2"/>
        <v/>
      </c>
      <c r="N182" s="461"/>
      <c r="O182" s="461"/>
    </row>
    <row r="183" spans="1:15" s="440" customFormat="1" ht="66.75" customHeight="1">
      <c r="A183" s="459"/>
      <c r="B183" s="432"/>
      <c r="C183" s="460"/>
      <c r="D183" s="432" t="str" cm="1">
        <f t="array" ref="D183">_xll.FDSB(B183,"P_SYMBOL")</f>
        <v/>
      </c>
      <c r="E183" s="433" t="str" cm="1">
        <f t="array" ref="E183">_xll.FDSB(D183,"FF_CO_NAME")</f>
        <v/>
      </c>
      <c r="F183" s="434" t="str" cm="1">
        <f t="array" ref="F183">_xll.FDSB(D183,"FF_ADDRESS")&amp;" "&amp;_xll.FDSB(D183,"FF_ADDRESS2")&amp;" "&amp;_xll.FDSB(D183,"FF_CITY")&amp;" "&amp;_xll.FDSB(D183,"FF_POSTAL")&amp;" "&amp;_xll.FDSB(D183,"FF_STATE_PROVINCE")&amp;" "&amp;_xll.FDSB(D183,"FF_COUNTRY")</f>
        <v xml:space="preserve">     </v>
      </c>
      <c r="G183" s="436" t="str" cm="1">
        <f t="array" ref="G183">_xll.FDSB(D183,"FF_SALES(ANN_R,0)")</f>
        <v/>
      </c>
      <c r="H183" s="436" t="str" cm="1">
        <f t="array" ref="H183">_xll.FDSB(D183,"FF_EMP_NUM(ANN,0)")</f>
        <v/>
      </c>
      <c r="I183" s="437" t="str" cm="1">
        <f t="array" ref="I183">_xll.FDSRB(D183,"OS_TOP_HLDR_ULTPRNT(1,0D,,MTD,,F,SEC)[0]")</f>
        <v/>
      </c>
      <c r="J183" s="437" t="str" cm="1">
        <f t="array" ref="J183">_xll.FDSRB(D183,"FF_BUS_DESC_EXT")</f>
        <v/>
      </c>
      <c r="K183" s="437" t="str" cm="1">
        <f t="array" ref="K183">_xll.FDSB(D183,"HOMEPAGE")</f>
        <v/>
      </c>
      <c r="L183" s="437" t="str" cm="1">
        <f t="array" ref="L183">_xll.FDSB(D183,"FG_EXCHANGE")</f>
        <v/>
      </c>
      <c r="M183" s="438" t="str">
        <f t="shared" si="2"/>
        <v/>
      </c>
      <c r="N183" s="461"/>
      <c r="O183" s="462"/>
    </row>
    <row r="184" spans="1:15" s="440" customFormat="1" ht="66.75" customHeight="1">
      <c r="A184" s="459"/>
      <c r="B184" s="432"/>
      <c r="C184" s="460"/>
      <c r="D184" s="432" t="str" cm="1">
        <f t="array" ref="D184">_xll.FDSB(B184,"P_SYMBOL")</f>
        <v/>
      </c>
      <c r="E184" s="433" t="str" cm="1">
        <f t="array" ref="E184">_xll.FDSB(D184,"FF_CO_NAME")</f>
        <v/>
      </c>
      <c r="F184" s="434" t="str" cm="1">
        <f t="array" ref="F184">_xll.FDSB(D184,"FF_ADDRESS")&amp;" "&amp;_xll.FDSB(D184,"FF_ADDRESS2")&amp;" "&amp;_xll.FDSB(D184,"FF_CITY")&amp;" "&amp;_xll.FDSB(D184,"FF_POSTAL")&amp;" "&amp;_xll.FDSB(D184,"FF_STATE_PROVINCE")&amp;" "&amp;_xll.FDSB(D184,"FF_COUNTRY")</f>
        <v xml:space="preserve">     </v>
      </c>
      <c r="G184" s="436" t="str" cm="1">
        <f t="array" ref="G184">_xll.FDSB(D184,"FF_SALES(ANN_R,0)")</f>
        <v/>
      </c>
      <c r="H184" s="436" t="str" cm="1">
        <f t="array" ref="H184">_xll.FDSB(D184,"FF_EMP_NUM(ANN,0)")</f>
        <v/>
      </c>
      <c r="I184" s="437" t="str" cm="1">
        <f t="array" ref="I184">_xll.FDSRB(D184,"OS_TOP_HLDR_ULTPRNT(1,0D,,MTD,,F,SEC)[0]")</f>
        <v/>
      </c>
      <c r="J184" s="437" t="str" cm="1">
        <f t="array" ref="J184">_xll.FDSRB(D184,"FF_BUS_DESC_EXT")</f>
        <v/>
      </c>
      <c r="K184" s="437" t="str" cm="1">
        <f t="array" ref="K184">_xll.FDSB(D184,"HOMEPAGE")</f>
        <v/>
      </c>
      <c r="L184" s="437" t="str" cm="1">
        <f t="array" ref="L184">_xll.FDSB(D184,"FG_EXCHANGE")</f>
        <v/>
      </c>
      <c r="M184" s="438" t="str">
        <f t="shared" si="2"/>
        <v/>
      </c>
      <c r="N184" s="461"/>
      <c r="O184" s="461"/>
    </row>
    <row r="185" spans="1:15" s="440" customFormat="1" ht="66.75" customHeight="1">
      <c r="A185" s="459"/>
      <c r="B185" s="432"/>
      <c r="C185" s="460"/>
      <c r="D185" s="432" t="str" cm="1">
        <f t="array" ref="D185">_xll.FDSB(B185,"P_SYMBOL")</f>
        <v/>
      </c>
      <c r="E185" s="433" t="str" cm="1">
        <f t="array" ref="E185">_xll.FDSB(D185,"FF_CO_NAME")</f>
        <v/>
      </c>
      <c r="F185" s="434" t="str" cm="1">
        <f t="array" ref="F185">_xll.FDSB(D185,"FF_ADDRESS")&amp;" "&amp;_xll.FDSB(D185,"FF_ADDRESS2")&amp;" "&amp;_xll.FDSB(D185,"FF_CITY")&amp;" "&amp;_xll.FDSB(D185,"FF_POSTAL")&amp;" "&amp;_xll.FDSB(D185,"FF_STATE_PROVINCE")&amp;" "&amp;_xll.FDSB(D185,"FF_COUNTRY")</f>
        <v xml:space="preserve">     </v>
      </c>
      <c r="G185" s="436" t="str" cm="1">
        <f t="array" ref="G185">_xll.FDSB(D185,"FF_SALES(ANN_R,0)")</f>
        <v/>
      </c>
      <c r="H185" s="436" t="str" cm="1">
        <f t="array" ref="H185">_xll.FDSB(D185,"FF_EMP_NUM(ANN,0)")</f>
        <v/>
      </c>
      <c r="I185" s="437" t="str" cm="1">
        <f t="array" ref="I185">_xll.FDSRB(D185,"OS_TOP_HLDR_ULTPRNT(1,0D,,MTD,,F,SEC)[0]")</f>
        <v/>
      </c>
      <c r="J185" s="437" t="str" cm="1">
        <f t="array" ref="J185">_xll.FDSRB(D185,"FF_BUS_DESC_EXT")</f>
        <v/>
      </c>
      <c r="K185" s="437" t="str" cm="1">
        <f t="array" ref="K185">_xll.FDSB(D185,"HOMEPAGE")</f>
        <v/>
      </c>
      <c r="L185" s="437" t="str" cm="1">
        <f t="array" ref="L185">_xll.FDSB(D185,"FG_EXCHANGE")</f>
        <v/>
      </c>
      <c r="M185" s="438" t="str">
        <f t="shared" si="2"/>
        <v/>
      </c>
      <c r="N185" s="461"/>
      <c r="O185" s="462"/>
    </row>
    <row r="186" spans="1:15" s="440" customFormat="1" ht="66.75" customHeight="1">
      <c r="A186" s="459"/>
      <c r="B186" s="432"/>
      <c r="C186" s="460"/>
      <c r="D186" s="432" t="str" cm="1">
        <f t="array" ref="D186">_xll.FDSB(B186,"P_SYMBOL")</f>
        <v/>
      </c>
      <c r="E186" s="433" t="str" cm="1">
        <f t="array" ref="E186">_xll.FDSB(D186,"FF_CO_NAME")</f>
        <v/>
      </c>
      <c r="F186" s="434" t="str" cm="1">
        <f t="array" ref="F186">_xll.FDSB(D186,"FF_ADDRESS")&amp;" "&amp;_xll.FDSB(D186,"FF_ADDRESS2")&amp;" "&amp;_xll.FDSB(D186,"FF_CITY")&amp;" "&amp;_xll.FDSB(D186,"FF_POSTAL")&amp;" "&amp;_xll.FDSB(D186,"FF_STATE_PROVINCE")&amp;" "&amp;_xll.FDSB(D186,"FF_COUNTRY")</f>
        <v xml:space="preserve">     </v>
      </c>
      <c r="G186" s="436" t="str" cm="1">
        <f t="array" ref="G186">_xll.FDSB(D186,"FF_SALES(ANN_R,0)")</f>
        <v/>
      </c>
      <c r="H186" s="436" t="str" cm="1">
        <f t="array" ref="H186">_xll.FDSB(D186,"FF_EMP_NUM(ANN,0)")</f>
        <v/>
      </c>
      <c r="I186" s="437" t="str" cm="1">
        <f t="array" ref="I186">_xll.FDSRB(D186,"OS_TOP_HLDR_ULTPRNT(1,0D,,MTD,,F,SEC)[0]")</f>
        <v/>
      </c>
      <c r="J186" s="437" t="str" cm="1">
        <f t="array" ref="J186">_xll.FDSRB(D186,"FF_BUS_DESC_EXT")</f>
        <v/>
      </c>
      <c r="K186" s="437" t="str" cm="1">
        <f t="array" ref="K186">_xll.FDSB(D186,"HOMEPAGE")</f>
        <v/>
      </c>
      <c r="L186" s="437" t="str" cm="1">
        <f t="array" ref="L186">_xll.FDSB(D186,"FG_EXCHANGE")</f>
        <v/>
      </c>
      <c r="M186" s="438" t="str">
        <f t="shared" si="2"/>
        <v/>
      </c>
      <c r="N186" s="461"/>
      <c r="O186" s="461"/>
    </row>
    <row r="187" spans="1:15" s="440" customFormat="1" ht="66.75" customHeight="1">
      <c r="A187" s="459"/>
      <c r="B187" s="432"/>
      <c r="C187" s="460"/>
      <c r="D187" s="432" t="str" cm="1">
        <f t="array" ref="D187">_xll.FDSB(B187,"P_SYMBOL")</f>
        <v/>
      </c>
      <c r="E187" s="433" t="str" cm="1">
        <f t="array" ref="E187">_xll.FDSB(D187,"FF_CO_NAME")</f>
        <v/>
      </c>
      <c r="F187" s="434" t="str" cm="1">
        <f t="array" ref="F187">_xll.FDSB(D187,"FF_ADDRESS")&amp;" "&amp;_xll.FDSB(D187,"FF_ADDRESS2")&amp;" "&amp;_xll.FDSB(D187,"FF_CITY")&amp;" "&amp;_xll.FDSB(D187,"FF_POSTAL")&amp;" "&amp;_xll.FDSB(D187,"FF_STATE_PROVINCE")&amp;" "&amp;_xll.FDSB(D187,"FF_COUNTRY")</f>
        <v xml:space="preserve">     </v>
      </c>
      <c r="G187" s="436" t="str" cm="1">
        <f t="array" ref="G187">_xll.FDSB(D187,"FF_SALES(ANN_R,0)")</f>
        <v/>
      </c>
      <c r="H187" s="436" t="str" cm="1">
        <f t="array" ref="H187">_xll.FDSB(D187,"FF_EMP_NUM(ANN,0)")</f>
        <v/>
      </c>
      <c r="I187" s="437" t="str" cm="1">
        <f t="array" ref="I187">_xll.FDSRB(D187,"OS_TOP_HLDR_ULTPRNT(1,0D,,MTD,,F,SEC)[0]")</f>
        <v/>
      </c>
      <c r="J187" s="437" t="str" cm="1">
        <f t="array" ref="J187">_xll.FDSRB(D187,"FF_BUS_DESC_EXT")</f>
        <v/>
      </c>
      <c r="K187" s="437" t="str" cm="1">
        <f t="array" ref="K187">_xll.FDSB(D187,"HOMEPAGE")</f>
        <v/>
      </c>
      <c r="L187" s="437" t="str" cm="1">
        <f t="array" ref="L187">_xll.FDSB(D187,"FG_EXCHANGE")</f>
        <v/>
      </c>
      <c r="M187" s="438" t="str">
        <f t="shared" si="2"/>
        <v/>
      </c>
      <c r="N187" s="461"/>
      <c r="O187" s="462"/>
    </row>
    <row r="188" spans="1:15" s="440" customFormat="1" ht="66.75" customHeight="1">
      <c r="A188" s="459"/>
      <c r="B188" s="432"/>
      <c r="C188" s="460"/>
      <c r="D188" s="432" t="str" cm="1">
        <f t="array" ref="D188">_xll.FDSB(B188,"P_SYMBOL")</f>
        <v/>
      </c>
      <c r="E188" s="433" t="str" cm="1">
        <f t="array" ref="E188">_xll.FDSB(D188,"FF_CO_NAME")</f>
        <v/>
      </c>
      <c r="F188" s="434" t="str" cm="1">
        <f t="array" ref="F188">_xll.FDSB(D188,"FF_ADDRESS")&amp;" "&amp;_xll.FDSB(D188,"FF_ADDRESS2")&amp;" "&amp;_xll.FDSB(D188,"FF_CITY")&amp;" "&amp;_xll.FDSB(D188,"FF_POSTAL")&amp;" "&amp;_xll.FDSB(D188,"FF_STATE_PROVINCE")&amp;" "&amp;_xll.FDSB(D188,"FF_COUNTRY")</f>
        <v xml:space="preserve">     </v>
      </c>
      <c r="G188" s="436" t="str" cm="1">
        <f t="array" ref="G188">_xll.FDSB(D188,"FF_SALES(ANN_R,0)")</f>
        <v/>
      </c>
      <c r="H188" s="436" t="str" cm="1">
        <f t="array" ref="H188">_xll.FDSB(D188,"FF_EMP_NUM(ANN,0)")</f>
        <v/>
      </c>
      <c r="I188" s="437" t="str" cm="1">
        <f t="array" ref="I188">_xll.FDSRB(D188,"OS_TOP_HLDR_ULTPRNT(1,0D,,MTD,,F,SEC)[0]")</f>
        <v/>
      </c>
      <c r="J188" s="437" t="str" cm="1">
        <f t="array" ref="J188">_xll.FDSRB(D188,"FF_BUS_DESC_EXT")</f>
        <v/>
      </c>
      <c r="K188" s="437" t="str" cm="1">
        <f t="array" ref="K188">_xll.FDSB(D188,"HOMEPAGE")</f>
        <v/>
      </c>
      <c r="L188" s="437" t="str" cm="1">
        <f t="array" ref="L188">_xll.FDSB(D188,"FG_EXCHANGE")</f>
        <v/>
      </c>
      <c r="M188" s="438" t="str">
        <f t="shared" si="2"/>
        <v/>
      </c>
      <c r="N188" s="461"/>
      <c r="O188" s="461"/>
    </row>
    <row r="189" spans="1:15" s="440" customFormat="1" ht="66.75" customHeight="1">
      <c r="A189" s="459"/>
      <c r="B189" s="432"/>
      <c r="C189" s="460"/>
      <c r="D189" s="432" t="str" cm="1">
        <f t="array" ref="D189">_xll.FDSB(B189,"P_SYMBOL")</f>
        <v/>
      </c>
      <c r="E189" s="433" t="str" cm="1">
        <f t="array" ref="E189">_xll.FDSB(D189,"FF_CO_NAME")</f>
        <v/>
      </c>
      <c r="F189" s="434" t="str" cm="1">
        <f t="array" ref="F189">_xll.FDSB(D189,"FF_ADDRESS")&amp;" "&amp;_xll.FDSB(D189,"FF_ADDRESS2")&amp;" "&amp;_xll.FDSB(D189,"FF_CITY")&amp;" "&amp;_xll.FDSB(D189,"FF_POSTAL")&amp;" "&amp;_xll.FDSB(D189,"FF_STATE_PROVINCE")&amp;" "&amp;_xll.FDSB(D189,"FF_COUNTRY")</f>
        <v xml:space="preserve">     </v>
      </c>
      <c r="G189" s="436" t="str" cm="1">
        <f t="array" ref="G189">_xll.FDSB(D189,"FF_SALES(ANN_R,0)")</f>
        <v/>
      </c>
      <c r="H189" s="436" t="str" cm="1">
        <f t="array" ref="H189">_xll.FDSB(D189,"FF_EMP_NUM(ANN,0)")</f>
        <v/>
      </c>
      <c r="I189" s="437" t="str" cm="1">
        <f t="array" ref="I189">_xll.FDSRB(D189,"OS_TOP_HLDR_ULTPRNT(1,0D,,MTD,,F,SEC)[0]")</f>
        <v/>
      </c>
      <c r="J189" s="437" t="str" cm="1">
        <f t="array" ref="J189">_xll.FDSRB(D189,"FF_BUS_DESC_EXT")</f>
        <v/>
      </c>
      <c r="K189" s="437" t="str" cm="1">
        <f t="array" ref="K189">_xll.FDSB(D189,"HOMEPAGE")</f>
        <v/>
      </c>
      <c r="L189" s="437" t="str" cm="1">
        <f t="array" ref="L189">_xll.FDSB(D189,"FG_EXCHANGE")</f>
        <v/>
      </c>
      <c r="M189" s="438" t="str">
        <f t="shared" si="2"/>
        <v/>
      </c>
      <c r="N189" s="461"/>
      <c r="O189" s="462"/>
    </row>
    <row r="190" spans="1:15" s="440" customFormat="1" ht="66.75" customHeight="1">
      <c r="A190" s="459"/>
      <c r="B190" s="432"/>
      <c r="C190" s="460"/>
      <c r="D190" s="432" t="str" cm="1">
        <f t="array" ref="D190">_xll.FDSB(B190,"P_SYMBOL")</f>
        <v/>
      </c>
      <c r="E190" s="433" t="str" cm="1">
        <f t="array" ref="E190">_xll.FDSB(D190,"FF_CO_NAME")</f>
        <v/>
      </c>
      <c r="F190" s="434" t="str" cm="1">
        <f t="array" ref="F190">_xll.FDSB(D190,"FF_ADDRESS")&amp;" "&amp;_xll.FDSB(D190,"FF_ADDRESS2")&amp;" "&amp;_xll.FDSB(D190,"FF_CITY")&amp;" "&amp;_xll.FDSB(D190,"FF_POSTAL")&amp;" "&amp;_xll.FDSB(D190,"FF_STATE_PROVINCE")&amp;" "&amp;_xll.FDSB(D190,"FF_COUNTRY")</f>
        <v xml:space="preserve">     </v>
      </c>
      <c r="G190" s="436" t="str" cm="1">
        <f t="array" ref="G190">_xll.FDSB(D190,"FF_SALES(ANN_R,0)")</f>
        <v/>
      </c>
      <c r="H190" s="436" t="str" cm="1">
        <f t="array" ref="H190">_xll.FDSB(D190,"FF_EMP_NUM(ANN,0)")</f>
        <v/>
      </c>
      <c r="I190" s="437" t="str" cm="1">
        <f t="array" ref="I190">_xll.FDSRB(D190,"OS_TOP_HLDR_ULTPRNT(1,0D,,MTD,,F,SEC)[0]")</f>
        <v/>
      </c>
      <c r="J190" s="437" t="str" cm="1">
        <f t="array" ref="J190">_xll.FDSRB(D190,"FF_BUS_DESC_EXT")</f>
        <v/>
      </c>
      <c r="K190" s="437" t="str" cm="1">
        <f t="array" ref="K190">_xll.FDSB(D190,"HOMEPAGE")</f>
        <v/>
      </c>
      <c r="L190" s="437" t="str" cm="1">
        <f t="array" ref="L190">_xll.FDSB(D190,"FG_EXCHANGE")</f>
        <v/>
      </c>
      <c r="M190" s="438" t="str">
        <f t="shared" si="2"/>
        <v/>
      </c>
      <c r="N190" s="461"/>
      <c r="O190" s="461"/>
    </row>
    <row r="191" spans="1:15" s="440" customFormat="1" ht="66.75" customHeight="1">
      <c r="A191" s="459"/>
      <c r="B191" s="432"/>
      <c r="C191" s="460"/>
      <c r="D191" s="432" t="str" cm="1">
        <f t="array" ref="D191">_xll.FDSB(B191,"P_SYMBOL")</f>
        <v/>
      </c>
      <c r="E191" s="433" t="str" cm="1">
        <f t="array" ref="E191">_xll.FDSB(D191,"FF_CO_NAME")</f>
        <v/>
      </c>
      <c r="F191" s="434" t="str" cm="1">
        <f t="array" ref="F191">_xll.FDSB(D191,"FF_ADDRESS")&amp;" "&amp;_xll.FDSB(D191,"FF_ADDRESS2")&amp;" "&amp;_xll.FDSB(D191,"FF_CITY")&amp;" "&amp;_xll.FDSB(D191,"FF_POSTAL")&amp;" "&amp;_xll.FDSB(D191,"FF_STATE_PROVINCE")&amp;" "&amp;_xll.FDSB(D191,"FF_COUNTRY")</f>
        <v xml:space="preserve">     </v>
      </c>
      <c r="G191" s="436" t="str" cm="1">
        <f t="array" ref="G191">_xll.FDSB(D191,"FF_SALES(ANN_R,0)")</f>
        <v/>
      </c>
      <c r="H191" s="436" t="str" cm="1">
        <f t="array" ref="H191">_xll.FDSB(D191,"FF_EMP_NUM(ANN,0)")</f>
        <v/>
      </c>
      <c r="I191" s="437" t="str" cm="1">
        <f t="array" ref="I191">_xll.FDSRB(D191,"OS_TOP_HLDR_ULTPRNT(1,0D,,MTD,,F,SEC)[0]")</f>
        <v/>
      </c>
      <c r="J191" s="437" t="str" cm="1">
        <f t="array" ref="J191">_xll.FDSRB(D191,"FF_BUS_DESC_EXT")</f>
        <v/>
      </c>
      <c r="K191" s="437" t="str" cm="1">
        <f t="array" ref="K191">_xll.FDSB(D191,"HOMEPAGE")</f>
        <v/>
      </c>
      <c r="L191" s="437" t="str" cm="1">
        <f t="array" ref="L191">_xll.FDSB(D191,"FG_EXCHANGE")</f>
        <v/>
      </c>
      <c r="M191" s="438" t="str">
        <f t="shared" si="2"/>
        <v/>
      </c>
      <c r="N191" s="461"/>
      <c r="O191" s="462"/>
    </row>
    <row r="192" spans="1:15" s="440" customFormat="1" ht="66.75" customHeight="1">
      <c r="A192" s="459"/>
      <c r="B192" s="432"/>
      <c r="C192" s="460"/>
      <c r="D192" s="432" t="str" cm="1">
        <f t="array" ref="D192">_xll.FDSB(B192,"P_SYMBOL")</f>
        <v/>
      </c>
      <c r="E192" s="433" t="str" cm="1">
        <f t="array" ref="E192">_xll.FDSB(D192,"FF_CO_NAME")</f>
        <v/>
      </c>
      <c r="F192" s="434" t="str" cm="1">
        <f t="array" ref="F192">_xll.FDSB(D192,"FF_ADDRESS")&amp;" "&amp;_xll.FDSB(D192,"FF_ADDRESS2")&amp;" "&amp;_xll.FDSB(D192,"FF_CITY")&amp;" "&amp;_xll.FDSB(D192,"FF_POSTAL")&amp;" "&amp;_xll.FDSB(D192,"FF_STATE_PROVINCE")&amp;" "&amp;_xll.FDSB(D192,"FF_COUNTRY")</f>
        <v xml:space="preserve">     </v>
      </c>
      <c r="G192" s="436" t="str" cm="1">
        <f t="array" ref="G192">_xll.FDSB(D192,"FF_SALES(ANN_R,0)")</f>
        <v/>
      </c>
      <c r="H192" s="436" t="str" cm="1">
        <f t="array" ref="H192">_xll.FDSB(D192,"FF_EMP_NUM(ANN,0)")</f>
        <v/>
      </c>
      <c r="I192" s="437" t="str" cm="1">
        <f t="array" ref="I192">_xll.FDSRB(D192,"OS_TOP_HLDR_ULTPRNT(1,0D,,MTD,,F,SEC)[0]")</f>
        <v/>
      </c>
      <c r="J192" s="437" t="str" cm="1">
        <f t="array" ref="J192">_xll.FDSRB(D192,"FF_BUS_DESC_EXT")</f>
        <v/>
      </c>
      <c r="K192" s="437" t="str" cm="1">
        <f t="array" ref="K192">_xll.FDSB(D192,"HOMEPAGE")</f>
        <v/>
      </c>
      <c r="L192" s="437" t="str" cm="1">
        <f t="array" ref="L192">_xll.FDSB(D192,"FG_EXCHANGE")</f>
        <v/>
      </c>
      <c r="M192" s="438" t="str">
        <f t="shared" si="2"/>
        <v/>
      </c>
      <c r="N192" s="461"/>
      <c r="O192" s="461"/>
    </row>
    <row r="193" spans="1:15" s="440" customFormat="1" ht="66.75" customHeight="1">
      <c r="A193" s="459"/>
      <c r="B193" s="432"/>
      <c r="C193" s="460"/>
      <c r="D193" s="432" t="str" cm="1">
        <f t="array" ref="D193">_xll.FDSB(B193,"P_SYMBOL")</f>
        <v/>
      </c>
      <c r="E193" s="433" t="str" cm="1">
        <f t="array" ref="E193">_xll.FDSB(D193,"FF_CO_NAME")</f>
        <v/>
      </c>
      <c r="F193" s="434" t="str" cm="1">
        <f t="array" ref="F193">_xll.FDSB(D193,"FF_ADDRESS")&amp;" "&amp;_xll.FDSB(D193,"FF_ADDRESS2")&amp;" "&amp;_xll.FDSB(D193,"FF_CITY")&amp;" "&amp;_xll.FDSB(D193,"FF_POSTAL")&amp;" "&amp;_xll.FDSB(D193,"FF_STATE_PROVINCE")&amp;" "&amp;_xll.FDSB(D193,"FF_COUNTRY")</f>
        <v xml:space="preserve">     </v>
      </c>
      <c r="G193" s="436" t="str" cm="1">
        <f t="array" ref="G193">_xll.FDSB(D193,"FF_SALES(ANN_R,0)")</f>
        <v/>
      </c>
      <c r="H193" s="436" t="str" cm="1">
        <f t="array" ref="H193">_xll.FDSB(D193,"FF_EMP_NUM(ANN,0)")</f>
        <v/>
      </c>
      <c r="I193" s="437" t="str" cm="1">
        <f t="array" ref="I193">_xll.FDSRB(D193,"OS_TOP_HLDR_ULTPRNT(1,0D,,MTD,,F,SEC)[0]")</f>
        <v/>
      </c>
      <c r="J193" s="437" t="str" cm="1">
        <f t="array" ref="J193">_xll.FDSRB(D193,"FF_BUS_DESC_EXT")</f>
        <v/>
      </c>
      <c r="K193" s="437" t="str" cm="1">
        <f t="array" ref="K193">_xll.FDSB(D193,"HOMEPAGE")</f>
        <v/>
      </c>
      <c r="L193" s="437" t="str" cm="1">
        <f t="array" ref="L193">_xll.FDSB(D193,"FG_EXCHANGE")</f>
        <v/>
      </c>
      <c r="M193" s="438" t="str">
        <f t="shared" si="2"/>
        <v/>
      </c>
      <c r="N193" s="461"/>
      <c r="O193" s="462"/>
    </row>
    <row r="194" spans="1:15" s="440" customFormat="1" ht="66.75" customHeight="1">
      <c r="A194" s="459"/>
      <c r="B194" s="432"/>
      <c r="C194" s="460"/>
      <c r="D194" s="432" t="str" cm="1">
        <f t="array" ref="D194">_xll.FDSB(B194,"P_SYMBOL")</f>
        <v/>
      </c>
      <c r="E194" s="433" t="str" cm="1">
        <f t="array" ref="E194">_xll.FDSB(D194,"FF_CO_NAME")</f>
        <v/>
      </c>
      <c r="F194" s="434" t="str" cm="1">
        <f t="array" ref="F194">_xll.FDSB(D194,"FF_ADDRESS")&amp;" "&amp;_xll.FDSB(D194,"FF_ADDRESS2")&amp;" "&amp;_xll.FDSB(D194,"FF_CITY")&amp;" "&amp;_xll.FDSB(D194,"FF_POSTAL")&amp;" "&amp;_xll.FDSB(D194,"FF_STATE_PROVINCE")&amp;" "&amp;_xll.FDSB(D194,"FF_COUNTRY")</f>
        <v xml:space="preserve">     </v>
      </c>
      <c r="G194" s="436" t="str" cm="1">
        <f t="array" ref="G194">_xll.FDSB(D194,"FF_SALES(ANN_R,0)")</f>
        <v/>
      </c>
      <c r="H194" s="436" t="str" cm="1">
        <f t="array" ref="H194">_xll.FDSB(D194,"FF_EMP_NUM(ANN,0)")</f>
        <v/>
      </c>
      <c r="I194" s="437" t="str" cm="1">
        <f t="array" ref="I194">_xll.FDSRB(D194,"OS_TOP_HLDR_ULTPRNT(1,0D,,MTD,,F,SEC)[0]")</f>
        <v/>
      </c>
      <c r="J194" s="437" t="str" cm="1">
        <f t="array" ref="J194">_xll.FDSRB(D194,"FF_BUS_DESC_EXT")</f>
        <v/>
      </c>
      <c r="K194" s="437" t="str" cm="1">
        <f t="array" ref="K194">_xll.FDSB(D194,"HOMEPAGE")</f>
        <v/>
      </c>
      <c r="L194" s="437" t="str" cm="1">
        <f t="array" ref="L194">_xll.FDSB(D194,"FG_EXCHANGE")</f>
        <v/>
      </c>
      <c r="M194" s="438" t="str">
        <f t="shared" si="2"/>
        <v/>
      </c>
      <c r="N194" s="461"/>
      <c r="O194" s="461"/>
    </row>
    <row r="195" spans="1:15" s="440" customFormat="1" ht="66.75" customHeight="1">
      <c r="A195" s="459"/>
      <c r="B195" s="432"/>
      <c r="C195" s="460"/>
      <c r="D195" s="432" t="str" cm="1">
        <f t="array" ref="D195">_xll.FDSB(B195,"P_SYMBOL")</f>
        <v/>
      </c>
      <c r="E195" s="433" t="str" cm="1">
        <f t="array" ref="E195">_xll.FDSB(D195,"FF_CO_NAME")</f>
        <v/>
      </c>
      <c r="F195" s="434" t="str" cm="1">
        <f t="array" ref="F195">_xll.FDSB(D195,"FF_ADDRESS")&amp;" "&amp;_xll.FDSB(D195,"FF_ADDRESS2")&amp;" "&amp;_xll.FDSB(D195,"FF_CITY")&amp;" "&amp;_xll.FDSB(D195,"FF_POSTAL")&amp;" "&amp;_xll.FDSB(D195,"FF_STATE_PROVINCE")&amp;" "&amp;_xll.FDSB(D195,"FF_COUNTRY")</f>
        <v xml:space="preserve">     </v>
      </c>
      <c r="G195" s="436" t="str" cm="1">
        <f t="array" ref="G195">_xll.FDSB(D195,"FF_SALES(ANN_R,0)")</f>
        <v/>
      </c>
      <c r="H195" s="436" t="str" cm="1">
        <f t="array" ref="H195">_xll.FDSB(D195,"FF_EMP_NUM(ANN,0)")</f>
        <v/>
      </c>
      <c r="I195" s="437" t="str" cm="1">
        <f t="array" ref="I195">_xll.FDSRB(D195,"OS_TOP_HLDR_ULTPRNT(1,0D,,MTD,,F,SEC)[0]")</f>
        <v/>
      </c>
      <c r="J195" s="437" t="str" cm="1">
        <f t="array" ref="J195">_xll.FDSRB(D195,"FF_BUS_DESC_EXT")</f>
        <v/>
      </c>
      <c r="K195" s="437" t="str" cm="1">
        <f t="array" ref="K195">_xll.FDSB(D195,"HOMEPAGE")</f>
        <v/>
      </c>
      <c r="L195" s="437" t="str" cm="1">
        <f t="array" ref="L195">_xll.FDSB(D195,"FG_EXCHANGE")</f>
        <v/>
      </c>
      <c r="M195" s="438" t="str">
        <f t="shared" si="2"/>
        <v/>
      </c>
      <c r="N195" s="461"/>
      <c r="O195" s="462"/>
    </row>
    <row r="196" spans="1:15" s="440" customFormat="1" ht="66.75" customHeight="1">
      <c r="A196" s="459"/>
      <c r="B196" s="432"/>
      <c r="C196" s="460"/>
      <c r="D196" s="432" t="str" cm="1">
        <f t="array" ref="D196">_xll.FDSB(B196,"P_SYMBOL")</f>
        <v/>
      </c>
      <c r="E196" s="433" t="str" cm="1">
        <f t="array" ref="E196">_xll.FDSB(D196,"FF_CO_NAME")</f>
        <v/>
      </c>
      <c r="F196" s="434" t="str" cm="1">
        <f t="array" ref="F196">_xll.FDSB(D196,"FF_ADDRESS")&amp;" "&amp;_xll.FDSB(D196,"FF_ADDRESS2")&amp;" "&amp;_xll.FDSB(D196,"FF_CITY")&amp;" "&amp;_xll.FDSB(D196,"FF_POSTAL")&amp;" "&amp;_xll.FDSB(D196,"FF_STATE_PROVINCE")&amp;" "&amp;_xll.FDSB(D196,"FF_COUNTRY")</f>
        <v xml:space="preserve">     </v>
      </c>
      <c r="G196" s="436" t="str" cm="1">
        <f t="array" ref="G196">_xll.FDSB(D196,"FF_SALES(ANN_R,0)")</f>
        <v/>
      </c>
      <c r="H196" s="436" t="str" cm="1">
        <f t="array" ref="H196">_xll.FDSB(D196,"FF_EMP_NUM(ANN,0)")</f>
        <v/>
      </c>
      <c r="I196" s="437" t="str" cm="1">
        <f t="array" ref="I196">_xll.FDSRB(D196,"OS_TOP_HLDR_ULTPRNT(1,0D,,MTD,,F,SEC)[0]")</f>
        <v/>
      </c>
      <c r="J196" s="437" t="str" cm="1">
        <f t="array" ref="J196">_xll.FDSRB(D196,"FF_BUS_DESC_EXT")</f>
        <v/>
      </c>
      <c r="K196" s="437" t="str" cm="1">
        <f t="array" ref="K196">_xll.FDSB(D196,"HOMEPAGE")</f>
        <v/>
      </c>
      <c r="L196" s="437" t="str" cm="1">
        <f t="array" ref="L196">_xll.FDSB(D196,"FG_EXCHANGE")</f>
        <v/>
      </c>
      <c r="M196" s="438" t="str">
        <f t="shared" si="2"/>
        <v/>
      </c>
      <c r="N196" s="461"/>
      <c r="O196" s="461"/>
    </row>
    <row r="197" spans="1:15" s="440" customFormat="1" ht="66.75" customHeight="1">
      <c r="A197" s="459"/>
      <c r="B197" s="432"/>
      <c r="C197" s="460"/>
      <c r="D197" s="432" t="str" cm="1">
        <f t="array" ref="D197">_xll.FDSB(B197,"P_SYMBOL")</f>
        <v/>
      </c>
      <c r="E197" s="433" t="str" cm="1">
        <f t="array" ref="E197">_xll.FDSB(D197,"FF_CO_NAME")</f>
        <v/>
      </c>
      <c r="F197" s="434" t="str" cm="1">
        <f t="array" ref="F197">_xll.FDSB(D197,"FF_ADDRESS")&amp;" "&amp;_xll.FDSB(D197,"FF_ADDRESS2")&amp;" "&amp;_xll.FDSB(D197,"FF_CITY")&amp;" "&amp;_xll.FDSB(D197,"FF_POSTAL")&amp;" "&amp;_xll.FDSB(D197,"FF_STATE_PROVINCE")&amp;" "&amp;_xll.FDSB(D197,"FF_COUNTRY")</f>
        <v xml:space="preserve">     </v>
      </c>
      <c r="G197" s="436" t="str" cm="1">
        <f t="array" ref="G197">_xll.FDSB(D197,"FF_SALES(ANN_R,0)")</f>
        <v/>
      </c>
      <c r="H197" s="436" t="str" cm="1">
        <f t="array" ref="H197">_xll.FDSB(D197,"FF_EMP_NUM(ANN,0)")</f>
        <v/>
      </c>
      <c r="I197" s="437" t="str" cm="1">
        <f t="array" ref="I197">_xll.FDSRB(D197,"OS_TOP_HLDR_ULTPRNT(1,0D,,MTD,,F,SEC)[0]")</f>
        <v/>
      </c>
      <c r="J197" s="437" t="str" cm="1">
        <f t="array" ref="J197">_xll.FDSRB(D197,"FF_BUS_DESC_EXT")</f>
        <v/>
      </c>
      <c r="K197" s="437" t="str" cm="1">
        <f t="array" ref="K197">_xll.FDSB(D197,"HOMEPAGE")</f>
        <v/>
      </c>
      <c r="L197" s="437" t="str" cm="1">
        <f t="array" ref="L197">_xll.FDSB(D197,"FG_EXCHANGE")</f>
        <v/>
      </c>
      <c r="M197" s="438" t="str">
        <f t="shared" si="2"/>
        <v/>
      </c>
      <c r="N197" s="461"/>
      <c r="O197" s="462"/>
    </row>
    <row r="198" spans="1:15" s="440" customFormat="1" ht="66.75" customHeight="1">
      <c r="A198" s="459"/>
      <c r="B198" s="432"/>
      <c r="C198" s="460"/>
      <c r="D198" s="432" t="str" cm="1">
        <f t="array" ref="D198">_xll.FDSB(B198,"P_SYMBOL")</f>
        <v/>
      </c>
      <c r="E198" s="433" t="str" cm="1">
        <f t="array" ref="E198">_xll.FDSB(D198,"FF_CO_NAME")</f>
        <v/>
      </c>
      <c r="F198" s="434" t="str" cm="1">
        <f t="array" ref="F198">_xll.FDSB(D198,"FF_ADDRESS")&amp;" "&amp;_xll.FDSB(D198,"FF_ADDRESS2")&amp;" "&amp;_xll.FDSB(D198,"FF_CITY")&amp;" "&amp;_xll.FDSB(D198,"FF_POSTAL")&amp;" "&amp;_xll.FDSB(D198,"FF_STATE_PROVINCE")&amp;" "&amp;_xll.FDSB(D198,"FF_COUNTRY")</f>
        <v xml:space="preserve">     </v>
      </c>
      <c r="G198" s="436" t="str" cm="1">
        <f t="array" ref="G198">_xll.FDSB(D198,"FF_SALES(ANN_R,0)")</f>
        <v/>
      </c>
      <c r="H198" s="436" t="str" cm="1">
        <f t="array" ref="H198">_xll.FDSB(D198,"FF_EMP_NUM(ANN,0)")</f>
        <v/>
      </c>
      <c r="I198" s="437" t="str" cm="1">
        <f t="array" ref="I198">_xll.FDSRB(D198,"OS_TOP_HLDR_ULTPRNT(1,0D,,MTD,,F,SEC)[0]")</f>
        <v/>
      </c>
      <c r="J198" s="437" t="str" cm="1">
        <f t="array" ref="J198">_xll.FDSRB(D198,"FF_BUS_DESC_EXT")</f>
        <v/>
      </c>
      <c r="K198" s="437" t="str" cm="1">
        <f t="array" ref="K198">_xll.FDSB(D198,"HOMEPAGE")</f>
        <v/>
      </c>
      <c r="L198" s="437" t="str" cm="1">
        <f t="array" ref="L198">_xll.FDSB(D198,"FG_EXCHANGE")</f>
        <v/>
      </c>
      <c r="M198" s="438" t="str">
        <f t="shared" si="2"/>
        <v/>
      </c>
      <c r="N198" s="461"/>
      <c r="O198" s="461"/>
    </row>
    <row r="199" spans="1:15" s="440" customFormat="1" ht="66.75" customHeight="1">
      <c r="A199" s="459"/>
      <c r="B199" s="432"/>
      <c r="C199" s="460"/>
      <c r="D199" s="432"/>
      <c r="E199" s="433" t="str" cm="1">
        <f t="array" ref="E199">_xll.FDSB(D199,"FF_CO_NAME")</f>
        <v/>
      </c>
      <c r="F199" s="434" t="str" cm="1">
        <f t="array" ref="F199">_xll.FDSB(D199,"FF_ADDRESS")&amp;" "&amp;_xll.FDSB(D199,"FF_ADDRESS2")&amp;" "&amp;_xll.FDSB(D199,"FF_CITY")&amp;" "&amp;_xll.FDSB(D199,"FF_POSTAL")&amp;" "&amp;_xll.FDSB(D199,"FF_STATE_PROVINCE")&amp;" "&amp;_xll.FDSB(D199,"FF_COUNTRY")</f>
        <v xml:space="preserve">     </v>
      </c>
      <c r="G199" s="436" t="str" cm="1">
        <f t="array" ref="G199">_xll.FDSB(D199,"FF_SALES(ANN_R,0)")</f>
        <v/>
      </c>
      <c r="H199" s="436" t="str" cm="1">
        <f t="array" ref="H199">_xll.FDSB(D199,"FF_EMP_NUM(ANN,0)")</f>
        <v/>
      </c>
      <c r="I199" s="437" t="str" cm="1">
        <f t="array" ref="I199">_xll.FDSRB(D199,"OS_TOP_HLDR_ULTPRNT(1,0D,,MTD,,F,SEC)[0]")</f>
        <v/>
      </c>
      <c r="J199" s="437" t="str" cm="1">
        <f t="array" ref="J199">_xll.FDSRB(D199,"FF_BUS_DESC_EXT")</f>
        <v/>
      </c>
      <c r="K199" s="437" t="str" cm="1">
        <f t="array" ref="K199">_xll.FDSB(D199,"HOMEPAGE")</f>
        <v/>
      </c>
      <c r="L199" s="437" t="str" cm="1">
        <f t="array" ref="L199">_xll.FDSB(D199,"FG_EXCHANGE")</f>
        <v/>
      </c>
      <c r="M199" s="438" t="str">
        <f t="shared" si="2"/>
        <v/>
      </c>
      <c r="N199" s="461"/>
      <c r="O199" s="462"/>
    </row>
    <row r="200" spans="1:15" s="440" customFormat="1" ht="66.75" customHeight="1">
      <c r="A200" s="459"/>
      <c r="B200" s="432"/>
      <c r="C200" s="460"/>
      <c r="D200" s="432" t="str" cm="1">
        <f t="array" ref="D200">_xll.FDSB(B200,"P_SYMBOL")</f>
        <v/>
      </c>
      <c r="E200" s="433" t="str" cm="1">
        <f t="array" ref="E200">_xll.FDSB(D200,"FF_CO_NAME")</f>
        <v/>
      </c>
      <c r="F200" s="434" t="str" cm="1">
        <f t="array" ref="F200">_xll.FDSB(D200,"FF_ADDRESS")&amp;" "&amp;_xll.FDSB(D200,"FF_ADDRESS2")&amp;" "&amp;_xll.FDSB(D200,"FF_CITY")&amp;" "&amp;_xll.FDSB(D200,"FF_POSTAL")&amp;" "&amp;_xll.FDSB(D200,"FF_STATE_PROVINCE")&amp;" "&amp;_xll.FDSB(D200,"FF_COUNTRY")</f>
        <v xml:space="preserve">     </v>
      </c>
      <c r="G200" s="436" t="str" cm="1">
        <f t="array" ref="G200">_xll.FDSB(D200,"FF_SALES(ANN_R,0)")</f>
        <v/>
      </c>
      <c r="H200" s="436" t="str" cm="1">
        <f t="array" ref="H200">_xll.FDSB(D200,"FF_EMP_NUM(ANN,0)")</f>
        <v/>
      </c>
      <c r="I200" s="437" t="str" cm="1">
        <f t="array" ref="I200">_xll.FDSRB(D200,"OS_TOP_HLDR_ULTPRNT(1,0D,,MTD,,F,SEC)[0]")</f>
        <v/>
      </c>
      <c r="J200" s="437" t="str" cm="1">
        <f t="array" ref="J200">_xll.FDSRB(D200,"FF_BUS_DESC_EXT")</f>
        <v/>
      </c>
      <c r="K200" s="437" t="str" cm="1">
        <f t="array" ref="K200">_xll.FDSB(D200,"HOMEPAGE")</f>
        <v/>
      </c>
      <c r="L200" s="437" t="str" cm="1">
        <f t="array" ref="L200">_xll.FDSB(D200,"FG_EXCHANGE")</f>
        <v/>
      </c>
      <c r="M200" s="438" t="str">
        <f t="shared" si="2"/>
        <v/>
      </c>
      <c r="N200" s="461"/>
      <c r="O200" s="461"/>
    </row>
    <row r="201" spans="1:15" s="440" customFormat="1" ht="66.75" customHeight="1">
      <c r="A201" s="459"/>
      <c r="B201" s="459"/>
      <c r="C201" s="460"/>
      <c r="D201" s="459"/>
      <c r="E201" s="463"/>
      <c r="F201" s="464"/>
      <c r="G201" s="465"/>
      <c r="H201" s="465"/>
      <c r="I201" s="464"/>
      <c r="J201" s="464"/>
      <c r="K201" s="464"/>
      <c r="L201" s="464"/>
      <c r="M201" s="466"/>
      <c r="N201" s="461"/>
      <c r="O201" s="462"/>
    </row>
  </sheetData>
  <conditionalFormatting sqref="A13:E200 A201:XFD1048576 G29:XFD200 G13:M28 Q13:XFD28">
    <cfRule type="expression" dxfId="32" priority="5">
      <formula>AND(MOD(ROW(),2)=1,LEN($D13)&gt;0)</formula>
    </cfRule>
  </conditionalFormatting>
  <conditionalFormatting sqref="A13:B13">
    <cfRule type="expression" dxfId="31" priority="4">
      <formula>AND(MOD(ROW(),2)=1,LEN($D13)&gt;0)</formula>
    </cfRule>
  </conditionalFormatting>
  <conditionalFormatting sqref="A14:C14">
    <cfRule type="expression" dxfId="30" priority="3">
      <formula>AND(MOD(ROW(),2)=1,LEN($D14)&gt;0)</formula>
    </cfRule>
  </conditionalFormatting>
  <conditionalFormatting sqref="A15:B15 A17:B17 A19:B19 A21:B21 A23:B23 A25:B25 A27:B27 A29:B29 A31:B31 A33:B33 A35:B35 A37:B37 A39:B39 A41:B41 A43:B43 A45:B45 A47:B47 A49:B49 A51:B51 A53:B53 A55:B55 A57:B57 A59:B59 A61:B61 A63:B63 A65:B65 A67:B67 A69:B69 A71:B71 A73:B73 A75:B75 A77:B77 A79:B79 A81:B81 A83:B83 A85:B85 A87:B87 A89:B89 A91:B91 A93:B93 A95:B95 A97:B97 A99:B99 A101:B101 A103:B103 A105:B105 A107:B107 A109:B109 A111:B111 A113:B113 A115:B115 A117:B117 A119:B119 A121:B121 A123:B123 A125:B125 A127:B127 A129:B129 A131:B131 A133:B133 A135:B135 A137:B137 A139:B139 A141:B141 A143:B143 A145:B145 A147:B147 A149:B149 A151:B151 A153:B153 A155:B155 A157:B157 A159:B159 A161:B161 A163:B163 A165:B165 A167:B167 A169:B169 A171:B171 A173:B173 A175:B175 A177:B177 A179:B179 A181:B181 A183:B183 A185:B185 A187:B187 A189:B189 A191:B191 A193:B193 A195:B195 A197:B197 A199:B199 A201:B201">
    <cfRule type="expression" dxfId="29" priority="2">
      <formula>AND(MOD(ROW(),2)=1,LEN($D15)&gt;0)</formula>
    </cfRule>
  </conditionalFormatting>
  <conditionalFormatting sqref="A16:C16 A18:C18 A20:C20 A22:C22 A24:C24 A26:C26 A28:C28 A30:C30 A32:C32 A34:C34 A36:C36 A38:C38 A40:C40 A42:C42 A44:C44 A46:C46 A48:C48 A50:C50 A52:C52 A54:C54 A56:C56 A58:C58 A60:C60 A62:C62 A64:C64 A66:C66 A68:C68 A70:C70 A72:C72 A74:C74 A76:C76 A78:C78 A80:C80 A82:C82 A84:C84 A86:C86 A88:C88 A90:C90 A92:C92 A94:C94 A96:C96 A98:C98 A100:C100 A102:C102 A104:C104 A106:C106 A108:C108 A110:C110 A112:C112 A114:C114 A116:C116 A118:C118 A120:C120 A122:C122 A124:C124 A126:C126 A128:C128 A130:C130 A132:C132 A134:C134 A136:C136 A138:C138 A140:C140 A142:C142 A144:C144 A146:C146 A148:C148 A150:C150 A152:C152 A154:C154 A156:C156 A158:C158 A160:C160 A162:C162 A164:C164 A166:C166 A168:C168 A170:C170 A172:C172 A174:C174 A176:C176 A178:C178 A180:C180 A182:C182 A184:C184 A186:C186 A188:C188 A190:C190 A192:C192 A194:C194 A196:C196 A198:C198 A200:C200">
    <cfRule type="expression" dxfId="28" priority="1">
      <formula>AND(MOD(ROW(),2)=1,LEN($D16)&gt;0)</formula>
    </cfRule>
  </conditionalFormatting>
  <dataValidations count="1">
    <dataValidation errorStyle="information" allowBlank="1" showInputMessage="1" showErrorMessage="1" promptTitle="Identifier Input." prompt="Please input a valid identifier. This is the only input in this model." sqref="H2" xr:uid="{00000000-0002-0000-0200-000000000000}"/>
  </dataValidations>
  <pageMargins left="0.23622047244094499" right="0.23622047244094499" top="0.23622047244094499" bottom="0.23622047244094499" header="0.511811023622047" footer="0.511811023622047"/>
  <pageSetup scale="60" orientation="landscape" horizontalDpi="300" verticalDpi="300" r:id="rId1"/>
  <headerFooter alignWithMargins="0">
    <oddFooter>&amp;RPowered by FactSet</oddFooter>
  </headerFooter>
  <rowBreaks count="1" manualBreakCount="1">
    <brk id="21" min="1" max="14" man="1"/>
  </rowBreaks>
  <drawing r:id="rId2"/>
  <legacyDrawing r:id="rId3"/>
  <mc:AlternateContent xmlns:mc="http://schemas.openxmlformats.org/markup-compatibility/2006">
    <mc:Choice Requires="x14">
      <controls>
        <mc:AlternateContent xmlns:mc="http://schemas.openxmlformats.org/markup-compatibility/2006">
          <mc:Choice Requires="x14">
            <control shapeId="12289" r:id="rId4" name="Drop Down 1">
              <controlPr defaultSize="0" print="0" autoLine="0" autoPict="0">
                <anchor moveWithCells="1" sizeWithCells="1">
                  <from>
                    <xdr:col>2</xdr:col>
                    <xdr:colOff>104775</xdr:colOff>
                    <xdr:row>9</xdr:row>
                    <xdr:rowOff>152400</xdr:rowOff>
                  </from>
                  <to>
                    <xdr:col>4</xdr:col>
                    <xdr:colOff>1247775</xdr:colOff>
                    <xdr:row>10</xdr:row>
                    <xdr:rowOff>76200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24">
    <tabColor theme="6" tint="0.59999389629810485"/>
  </sheetPr>
  <dimension ref="A1:N1003"/>
  <sheetViews>
    <sheetView zoomScaleNormal="100" workbookViewId="0">
      <pane ySplit="5" topLeftCell="A6" activePane="bottomLeft" state="frozen"/>
      <selection activeCell="E31" sqref="E31"/>
      <selection pane="bottomLeft" activeCell="I40" sqref="I40"/>
    </sheetView>
  </sheetViews>
  <sheetFormatPr defaultColWidth="9.28515625" defaultRowHeight="12.75"/>
  <cols>
    <col min="1" max="1" width="7.28515625" style="558" customWidth="1"/>
    <col min="2" max="2" width="29.7109375" style="558" customWidth="1"/>
    <col min="3" max="3" width="9.28515625" style="558"/>
    <col min="4" max="4" width="1.28515625" style="558" customWidth="1"/>
    <col min="5" max="13" width="11.28515625" style="558" customWidth="1"/>
    <col min="14" max="16384" width="9.28515625" style="558"/>
  </cols>
  <sheetData>
    <row r="1" spans="1:14" s="599" customFormat="1" ht="27" customHeight="1"/>
    <row r="2" spans="1:14" s="602" customFormat="1" ht="24.75" customHeight="1">
      <c r="B2" s="603" t="str">
        <f>"Consensus Estimates - "&amp; _xll.FDSC("-",BS!B8,"FG_COMPANY_NAME")&amp;" ("&amp;UPPER(BS!B8)&amp;")"</f>
        <v>Consensus Estimates - Delta Air Lines, Inc. (DAL-US)</v>
      </c>
    </row>
    <row r="3" spans="1:14" ht="18.75" customHeight="1">
      <c r="A3" s="604"/>
      <c r="B3" s="605" t="s">
        <v>122</v>
      </c>
    </row>
    <row r="4" spans="1:14" ht="27">
      <c r="A4" s="600"/>
      <c r="B4" s="606" t="str">
        <f>CHOOSE(B5,C4,C5)</f>
        <v>MEDIAN</v>
      </c>
      <c r="C4" s="606" t="s">
        <v>123</v>
      </c>
      <c r="I4" s="606"/>
      <c r="K4" s="607" t="str" cm="1">
        <f t="array" ref="K4">_xll.FDSB("VOLV.B-SE","FE_ESTIMATE_DATE(FISCALPERIODEND,,ANNUAL,+1,'YYYY',NOW,,,'')")</f>
        <v>2021</v>
      </c>
      <c r="L4" s="607" t="str" cm="1">
        <f t="array" ref="L4">_xll.FDSB("VOLV.B-SE","FE_ESTIMATE_DATE(FISCALPERIODEND,,ANNUAL,+1,'YYYY',NOW,,,'')")</f>
        <v>2021</v>
      </c>
      <c r="M4" s="607" t="str" cm="1">
        <f t="array" ref="M4">_xll.FDSB("VOLV.B-SE","FE_ESTIMATE_DATE(FISCALPERIODEND,,ANNUAL,+1,'YYYY',NOW,,,'')")</f>
        <v>2021</v>
      </c>
      <c r="N4" s="601"/>
    </row>
    <row r="5" spans="1:14" ht="15.75" customHeight="1">
      <c r="B5" s="606">
        <v>2</v>
      </c>
      <c r="C5" s="606" t="s">
        <v>124</v>
      </c>
      <c r="E5" s="608" t="s">
        <v>125</v>
      </c>
      <c r="F5" s="608" t="s">
        <v>126</v>
      </c>
      <c r="G5" s="609" t="str" cm="1">
        <f t="array" ref="G5">_xll.FDSB(BS!B8,"FE_ESTIMATE_DATE(FISCALPERIODEND,EPS,ANNUAL,-1,'YYYY',NOW)")&amp;"A"</f>
        <v>2019A</v>
      </c>
      <c r="H5" s="609" t="str" cm="1">
        <f t="array" ref="H5">_xll.FDSB(BS!B8,"FE_ESTIMATE_DATE(FISCALPERIODEND,EPS,ANNUAL,0,'YYYY',NOW)")&amp;"A"</f>
        <v>2020A</v>
      </c>
      <c r="I5" s="609" t="str" cm="1">
        <f t="array" ref="I5">_xll.FDSB(BS!B8,"FE_ESTIMATE_DATE(FISCALPERIODEND,EPS,ANNUAL,+1,'YYYY',NOW)")&amp;"E"</f>
        <v>2021E</v>
      </c>
      <c r="J5" s="609" t="str" cm="1">
        <f t="array" ref="J5">_xll.FDSB(BS!B8,"FE_ESTIMATE_DATE(FISCALPERIODEND,EPS,ANNUAL,+2,'YYYY',NOW)")&amp;"E"</f>
        <v>2022E</v>
      </c>
      <c r="K5" s="609" t="str" cm="1">
        <f t="array" ref="K5">_xll.FDSB(BS!B8,"FE_ESTIMATE_DATE(FISCALPERIODEND,EPS,ANNUAL,+3,'YYYY',NOW)")&amp;"E"</f>
        <v>2023E</v>
      </c>
      <c r="L5" s="609" t="str" cm="1">
        <f t="array" ref="L5">_xll.FDSB(BS!B8,"FE_ESTIMATE_DATE(FISCALPERIODEND,EPS,ANNUAL,+4,'YYYY',NOW)")&amp;"E"</f>
        <v>2024E</v>
      </c>
      <c r="M5" s="609" t="str" cm="1">
        <f t="array" ref="M5">_xll.FDSB(BS!B8,"FE_ESTIMATE_DATE(FISCALPERIODEND,EPS,ANNUAL,+5,'YYYY',NOW)")&amp;"E"</f>
        <v>2025E</v>
      </c>
    </row>
    <row r="6" spans="1:14" ht="15">
      <c r="B6" s="610" t="s">
        <v>127</v>
      </c>
      <c r="C6" s="611"/>
      <c r="D6" s="611"/>
      <c r="E6" s="611"/>
      <c r="F6" s="611"/>
      <c r="G6" s="625" t="s">
        <v>128</v>
      </c>
      <c r="H6" s="625" t="s">
        <v>129</v>
      </c>
      <c r="I6" s="625" t="s">
        <v>130</v>
      </c>
      <c r="J6" s="625" t="s">
        <v>131</v>
      </c>
      <c r="K6" s="625" t="s">
        <v>132</v>
      </c>
      <c r="L6" s="625" t="s">
        <v>133</v>
      </c>
      <c r="M6" s="625" t="s">
        <v>134</v>
      </c>
    </row>
    <row r="8" spans="1:14" ht="15">
      <c r="B8" s="612" t="s">
        <v>135</v>
      </c>
      <c r="E8" s="613">
        <v>367375.6</v>
      </c>
      <c r="F8" s="613">
        <v>380817.47</v>
      </c>
      <c r="G8" s="613">
        <v>260174</v>
      </c>
      <c r="H8" s="614">
        <v>274515</v>
      </c>
      <c r="I8" s="613">
        <v>366689</v>
      </c>
      <c r="J8" s="613">
        <v>379879</v>
      </c>
      <c r="K8" s="613">
        <v>397907.47</v>
      </c>
      <c r="L8" s="613">
        <v>424478.5</v>
      </c>
      <c r="M8" s="613">
        <v>446934</v>
      </c>
    </row>
    <row r="9" spans="1:14" ht="15">
      <c r="B9" s="612" t="s">
        <v>43</v>
      </c>
      <c r="E9" s="613">
        <v>119990.53</v>
      </c>
      <c r="F9" s="613">
        <v>118558.266</v>
      </c>
      <c r="G9" s="613">
        <v>76477</v>
      </c>
      <c r="H9" s="613">
        <v>77344</v>
      </c>
      <c r="I9" s="613">
        <v>120077.26</v>
      </c>
      <c r="J9" s="613">
        <v>118411.11</v>
      </c>
      <c r="K9" s="613">
        <v>121238</v>
      </c>
      <c r="L9" s="613">
        <v>130299</v>
      </c>
      <c r="M9" s="613">
        <v>138683.5</v>
      </c>
    </row>
    <row r="10" spans="1:14" ht="15">
      <c r="B10" s="612" t="s">
        <v>44</v>
      </c>
      <c r="E10" s="613">
        <v>108929.016</v>
      </c>
      <c r="F10" s="613">
        <v>109669.15</v>
      </c>
      <c r="G10" s="614">
        <v>63930</v>
      </c>
      <c r="H10" s="613">
        <v>66288</v>
      </c>
      <c r="I10" s="613">
        <v>108897.5</v>
      </c>
      <c r="J10" s="613">
        <v>109503</v>
      </c>
      <c r="K10" s="613">
        <v>112694.83</v>
      </c>
      <c r="L10" s="613">
        <v>120696</v>
      </c>
      <c r="M10" s="613">
        <v>128693.5</v>
      </c>
    </row>
    <row r="11" spans="1:14" ht="15">
      <c r="B11" s="612" t="s">
        <v>46</v>
      </c>
      <c r="E11" s="613">
        <v>109831.82</v>
      </c>
      <c r="F11" s="613">
        <v>110457.2</v>
      </c>
      <c r="G11" s="613">
        <v>65737</v>
      </c>
      <c r="H11" s="613">
        <v>67091</v>
      </c>
      <c r="I11" s="613">
        <v>109806</v>
      </c>
      <c r="J11" s="613">
        <v>110302</v>
      </c>
      <c r="K11" s="613">
        <v>113283.46</v>
      </c>
      <c r="L11" s="613">
        <v>120931</v>
      </c>
      <c r="M11" s="613">
        <v>129031</v>
      </c>
    </row>
    <row r="12" spans="1:14" ht="15">
      <c r="B12" s="612" t="s">
        <v>136</v>
      </c>
      <c r="E12" s="613">
        <v>110116.71</v>
      </c>
      <c r="F12" s="613">
        <v>109454.88</v>
      </c>
      <c r="G12" s="613">
        <v>65737</v>
      </c>
      <c r="H12" s="613">
        <v>67091</v>
      </c>
      <c r="I12" s="613">
        <v>110152</v>
      </c>
      <c r="J12" s="613">
        <v>109474.15</v>
      </c>
      <c r="K12" s="613">
        <v>109104</v>
      </c>
      <c r="L12" s="613" t="s">
        <v>137</v>
      </c>
      <c r="M12" s="613" t="s">
        <v>137</v>
      </c>
    </row>
    <row r="13" spans="1:14" ht="15">
      <c r="B13" s="612" t="s">
        <v>138</v>
      </c>
      <c r="E13" s="613">
        <v>93968.835999999996</v>
      </c>
      <c r="F13" s="613">
        <v>92292.75</v>
      </c>
      <c r="G13" s="613">
        <v>55256</v>
      </c>
      <c r="H13" s="614">
        <v>57411</v>
      </c>
      <c r="I13" s="613">
        <v>94068</v>
      </c>
      <c r="J13" s="613">
        <v>92163</v>
      </c>
      <c r="K13" s="613">
        <v>94655.5</v>
      </c>
      <c r="L13" s="613">
        <v>99198.5</v>
      </c>
      <c r="M13" s="613">
        <v>105975.5</v>
      </c>
    </row>
    <row r="14" spans="1:14" ht="15">
      <c r="B14" s="612" t="s">
        <v>139</v>
      </c>
      <c r="E14" s="613">
        <v>93967.8</v>
      </c>
      <c r="F14" s="613">
        <v>92365.22</v>
      </c>
      <c r="G14" s="613">
        <v>55256</v>
      </c>
      <c r="H14" s="613">
        <v>57411</v>
      </c>
      <c r="I14" s="613">
        <v>94068</v>
      </c>
      <c r="J14" s="613">
        <v>92143</v>
      </c>
      <c r="K14" s="613">
        <v>96412</v>
      </c>
      <c r="L14" s="613">
        <v>102791.5</v>
      </c>
      <c r="M14" s="613">
        <v>109676.5</v>
      </c>
    </row>
    <row r="15" spans="1:14" ht="15">
      <c r="B15" s="612" t="s">
        <v>59</v>
      </c>
      <c r="E15" s="613">
        <v>339841.53</v>
      </c>
      <c r="F15" s="613">
        <v>364317.16</v>
      </c>
      <c r="G15" s="613">
        <v>338516</v>
      </c>
      <c r="H15" s="613">
        <v>323888</v>
      </c>
      <c r="I15" s="613">
        <v>338637</v>
      </c>
      <c r="J15" s="613">
        <v>361776.5</v>
      </c>
      <c r="K15" s="613">
        <v>410584</v>
      </c>
      <c r="L15" s="613">
        <v>637330</v>
      </c>
      <c r="M15" s="613">
        <v>766994</v>
      </c>
    </row>
    <row r="16" spans="1:14" ht="15">
      <c r="B16" s="612" t="s">
        <v>140</v>
      </c>
      <c r="E16" s="613">
        <v>5889</v>
      </c>
      <c r="F16" s="613">
        <v>5889</v>
      </c>
      <c r="G16" s="613">
        <v>0</v>
      </c>
      <c r="H16" s="613">
        <v>2944.5</v>
      </c>
      <c r="I16" s="613">
        <v>5889</v>
      </c>
      <c r="J16" s="613">
        <v>5889</v>
      </c>
      <c r="K16" s="613">
        <v>5889</v>
      </c>
      <c r="L16" s="613">
        <v>0</v>
      </c>
      <c r="M16" s="613">
        <v>0</v>
      </c>
    </row>
    <row r="17" spans="2:13" ht="15">
      <c r="B17" s="612" t="s">
        <v>141</v>
      </c>
      <c r="E17" s="613">
        <v>-78165.84</v>
      </c>
      <c r="F17" s="613">
        <v>-80433.41</v>
      </c>
      <c r="G17" s="614">
        <v>-97851</v>
      </c>
      <c r="H17" s="613">
        <v>-79394</v>
      </c>
      <c r="I17" s="613">
        <v>-78021.5</v>
      </c>
      <c r="J17" s="613">
        <v>-80794.41</v>
      </c>
      <c r="K17" s="613">
        <v>-73859.5</v>
      </c>
      <c r="L17" s="613">
        <v>-237659.5</v>
      </c>
      <c r="M17" s="613">
        <v>-341101.5</v>
      </c>
    </row>
    <row r="18" spans="2:13" ht="15">
      <c r="B18" s="612" t="s">
        <v>142</v>
      </c>
      <c r="E18" s="613">
        <v>64599.402000000002</v>
      </c>
      <c r="F18" s="613">
        <v>74645.766000000003</v>
      </c>
      <c r="G18" s="614">
        <v>90488</v>
      </c>
      <c r="H18" s="613">
        <v>65339</v>
      </c>
      <c r="I18" s="613">
        <v>64048.08</v>
      </c>
      <c r="J18" s="613">
        <v>74639.33</v>
      </c>
      <c r="K18" s="613">
        <v>74763</v>
      </c>
      <c r="L18" s="613">
        <v>278878.5</v>
      </c>
      <c r="M18" s="613">
        <v>377864</v>
      </c>
    </row>
    <row r="19" spans="2:13" ht="15">
      <c r="B19" s="612" t="s">
        <v>50</v>
      </c>
      <c r="E19" s="613">
        <v>10204.374</v>
      </c>
      <c r="F19" s="613">
        <v>10517.5625</v>
      </c>
      <c r="G19" s="613">
        <v>10495</v>
      </c>
      <c r="H19" s="613">
        <v>7309</v>
      </c>
      <c r="I19" s="613">
        <v>10189</v>
      </c>
      <c r="J19" s="613">
        <v>10484.352000000001</v>
      </c>
      <c r="K19" s="613">
        <v>11122.366</v>
      </c>
      <c r="L19" s="613">
        <v>12756</v>
      </c>
      <c r="M19" s="613">
        <v>13138</v>
      </c>
    </row>
    <row r="20" spans="2:13" ht="15">
      <c r="B20" s="612" t="s">
        <v>143</v>
      </c>
      <c r="E20" s="613">
        <v>101313.31</v>
      </c>
      <c r="F20" s="613">
        <v>100572.57</v>
      </c>
      <c r="G20" s="613">
        <v>58896</v>
      </c>
      <c r="H20" s="613">
        <v>73365</v>
      </c>
      <c r="I20" s="613">
        <v>101341.5</v>
      </c>
      <c r="J20" s="613">
        <v>100800</v>
      </c>
      <c r="K20" s="613">
        <v>96431</v>
      </c>
      <c r="L20" s="613">
        <v>111145</v>
      </c>
      <c r="M20" s="613">
        <v>118706</v>
      </c>
    </row>
    <row r="21" spans="2:13" ht="15">
      <c r="B21" s="612" t="s">
        <v>144</v>
      </c>
      <c r="E21" s="613">
        <v>-12774.905000000001</v>
      </c>
      <c r="F21" s="613">
        <v>-9685.2759999999998</v>
      </c>
      <c r="G21" s="614">
        <v>45896</v>
      </c>
      <c r="H21" s="613">
        <v>-4289</v>
      </c>
      <c r="I21" s="613">
        <v>-12944.5</v>
      </c>
      <c r="J21" s="613">
        <v>-9686.5</v>
      </c>
      <c r="K21" s="613">
        <v>-9663</v>
      </c>
      <c r="L21" s="613">
        <v>-9957</v>
      </c>
      <c r="M21" s="613">
        <v>-10056</v>
      </c>
    </row>
    <row r="22" spans="2:13" ht="15">
      <c r="B22" s="612" t="s">
        <v>145</v>
      </c>
      <c r="E22" s="613">
        <v>-94706.72</v>
      </c>
      <c r="F22" s="613">
        <v>-92851.09</v>
      </c>
      <c r="G22" s="613">
        <v>-90976</v>
      </c>
      <c r="H22" s="613">
        <v>-86820</v>
      </c>
      <c r="I22" s="613">
        <v>-94762</v>
      </c>
      <c r="J22" s="613">
        <v>-93700</v>
      </c>
      <c r="K22" s="613">
        <v>-77392</v>
      </c>
      <c r="L22" s="613">
        <v>-14949</v>
      </c>
      <c r="M22" s="613">
        <v>-15459</v>
      </c>
    </row>
    <row r="23" spans="2:13" ht="15">
      <c r="B23" s="612" t="s">
        <v>146</v>
      </c>
      <c r="E23" s="613">
        <v>113142.84</v>
      </c>
      <c r="F23" s="613">
        <v>116241.86</v>
      </c>
      <c r="G23" s="613">
        <v>69391</v>
      </c>
      <c r="H23" s="613">
        <v>80674</v>
      </c>
      <c r="I23" s="613">
        <v>112977</v>
      </c>
      <c r="J23" s="613">
        <v>116162.89</v>
      </c>
      <c r="K23" s="613">
        <v>117680</v>
      </c>
      <c r="L23" s="613">
        <v>131290.5</v>
      </c>
      <c r="M23" s="613">
        <v>139442</v>
      </c>
    </row>
    <row r="24" spans="2:13" ht="15">
      <c r="B24" s="612" t="s">
        <v>147</v>
      </c>
      <c r="E24" s="613">
        <v>22075.23</v>
      </c>
      <c r="F24" s="613">
        <v>23716.967000000001</v>
      </c>
      <c r="G24" s="613">
        <v>18245</v>
      </c>
      <c r="H24" s="613">
        <v>19916</v>
      </c>
      <c r="I24" s="613">
        <v>21991.5</v>
      </c>
      <c r="J24" s="613">
        <v>23600</v>
      </c>
      <c r="K24" s="613">
        <v>25847</v>
      </c>
      <c r="L24" s="613">
        <v>28564</v>
      </c>
      <c r="M24" s="613">
        <v>30079</v>
      </c>
    </row>
    <row r="25" spans="2:13" ht="15">
      <c r="B25" s="612" t="s">
        <v>148</v>
      </c>
      <c r="E25" s="613">
        <v>153266.34</v>
      </c>
      <c r="F25" s="613">
        <v>159434.97</v>
      </c>
      <c r="G25" s="613">
        <v>98392</v>
      </c>
      <c r="H25" s="614">
        <v>104956</v>
      </c>
      <c r="I25" s="613">
        <v>152947.10999999999</v>
      </c>
      <c r="J25" s="613">
        <v>159080</v>
      </c>
      <c r="K25" s="613">
        <v>165899</v>
      </c>
      <c r="L25" s="613">
        <v>196035</v>
      </c>
      <c r="M25" s="613">
        <v>209809</v>
      </c>
    </row>
    <row r="26" spans="2:13" ht="15">
      <c r="B26" s="612" t="s">
        <v>149</v>
      </c>
      <c r="E26" s="613" t="s">
        <v>137</v>
      </c>
      <c r="F26" s="613" t="s">
        <v>137</v>
      </c>
      <c r="G26" s="613" t="s">
        <v>137</v>
      </c>
      <c r="H26" s="613" t="s">
        <v>137</v>
      </c>
      <c r="I26" s="613" t="s">
        <v>137</v>
      </c>
      <c r="J26" s="613" t="s">
        <v>137</v>
      </c>
      <c r="K26" s="613" t="s">
        <v>137</v>
      </c>
      <c r="L26" s="613" t="s">
        <v>137</v>
      </c>
      <c r="M26" s="613" t="s">
        <v>137</v>
      </c>
    </row>
    <row r="27" spans="2:13" ht="15">
      <c r="B27" s="615"/>
      <c r="E27" s="616"/>
      <c r="F27" s="616"/>
      <c r="G27" s="616"/>
      <c r="H27" s="616"/>
      <c r="I27" s="616"/>
      <c r="J27" s="616"/>
      <c r="K27" s="616"/>
      <c r="L27" s="616"/>
      <c r="M27" s="616"/>
    </row>
    <row r="28" spans="2:13" ht="15">
      <c r="B28" s="610" t="s">
        <v>150</v>
      </c>
      <c r="C28" s="611"/>
      <c r="D28" s="611"/>
      <c r="E28" s="617"/>
      <c r="F28" s="617"/>
      <c r="G28" s="617"/>
      <c r="H28" s="617"/>
      <c r="I28" s="617"/>
      <c r="J28" s="617"/>
      <c r="K28" s="617"/>
      <c r="L28" s="617"/>
      <c r="M28" s="617"/>
    </row>
    <row r="29" spans="2:13" ht="15">
      <c r="B29" s="615"/>
      <c r="E29" s="616"/>
      <c r="F29" s="616"/>
      <c r="G29" s="616"/>
      <c r="H29" s="616"/>
      <c r="I29" s="616"/>
      <c r="J29" s="616"/>
      <c r="K29" s="616"/>
      <c r="L29" s="616"/>
      <c r="M29" s="616"/>
    </row>
    <row r="30" spans="2:13" ht="15">
      <c r="B30" s="612" t="s">
        <v>151</v>
      </c>
      <c r="E30" s="618">
        <v>5.6089039999999999</v>
      </c>
      <c r="F30" s="618">
        <v>5.691452</v>
      </c>
      <c r="G30" s="618">
        <v>2.9725000000000001</v>
      </c>
      <c r="H30" s="619">
        <v>3.28</v>
      </c>
      <c r="I30" s="618">
        <v>5.6050000000000004</v>
      </c>
      <c r="J30" s="618">
        <v>5.68</v>
      </c>
      <c r="K30" s="618">
        <v>5.9</v>
      </c>
      <c r="L30" s="618">
        <v>6.25</v>
      </c>
      <c r="M30" s="618">
        <v>6.6550000000000002</v>
      </c>
    </row>
    <row r="31" spans="2:13" ht="15">
      <c r="B31" s="612" t="s">
        <v>152</v>
      </c>
      <c r="E31" s="618">
        <v>5.7873425000000003</v>
      </c>
      <c r="F31" s="618">
        <v>5.8505615999999998</v>
      </c>
      <c r="G31" s="618">
        <v>3.2895017000000002</v>
      </c>
      <c r="H31" s="619">
        <v>3.6</v>
      </c>
      <c r="I31" s="618">
        <v>5.7850000000000001</v>
      </c>
      <c r="J31" s="618">
        <v>5.83</v>
      </c>
      <c r="K31" s="618">
        <v>6.2249999999999996</v>
      </c>
      <c r="L31" s="618">
        <v>5.66</v>
      </c>
      <c r="M31" s="618">
        <v>5.89</v>
      </c>
    </row>
    <row r="32" spans="2:13" ht="15">
      <c r="B32" s="612" t="s">
        <v>153</v>
      </c>
      <c r="E32" s="618">
        <v>5.6041645999999998</v>
      </c>
      <c r="F32" s="618">
        <v>5.691452</v>
      </c>
      <c r="G32" s="618">
        <v>2.9725000000000001</v>
      </c>
      <c r="H32" s="619">
        <v>3.28</v>
      </c>
      <c r="I32" s="618">
        <v>5.6</v>
      </c>
      <c r="J32" s="618">
        <v>5.68</v>
      </c>
      <c r="K32" s="618">
        <v>5.9</v>
      </c>
      <c r="L32" s="618">
        <v>6.25</v>
      </c>
      <c r="M32" s="618">
        <v>6.6550000000000002</v>
      </c>
    </row>
    <row r="33" spans="2:13" ht="15">
      <c r="B33" s="620" t="s">
        <v>154</v>
      </c>
      <c r="E33" s="618">
        <v>6.1775479999999998</v>
      </c>
      <c r="F33" s="618">
        <v>6.3277535</v>
      </c>
      <c r="G33" s="618">
        <v>3.1675</v>
      </c>
      <c r="H33" s="618">
        <v>4.1900000000000004</v>
      </c>
      <c r="I33" s="618">
        <v>6.17</v>
      </c>
      <c r="J33" s="618">
        <v>6.3150000000000004</v>
      </c>
      <c r="K33" s="618">
        <v>6.56</v>
      </c>
      <c r="L33" s="618">
        <v>7.78</v>
      </c>
      <c r="M33" s="618">
        <v>8.4</v>
      </c>
    </row>
    <row r="34" spans="2:13" ht="15">
      <c r="B34" s="612" t="s">
        <v>155</v>
      </c>
      <c r="E34" s="618">
        <v>6.400315</v>
      </c>
      <c r="F34" s="618">
        <v>6.6132179999999998</v>
      </c>
      <c r="G34" s="618">
        <v>3.7212499999999999</v>
      </c>
      <c r="H34" s="618">
        <v>4.601261</v>
      </c>
      <c r="I34" s="618">
        <v>6.3902999999999999</v>
      </c>
      <c r="J34" s="618">
        <v>6.5826950000000002</v>
      </c>
      <c r="K34" s="618">
        <v>7.1690483</v>
      </c>
      <c r="L34" s="618">
        <v>7.19</v>
      </c>
      <c r="M34" s="618">
        <v>7.47</v>
      </c>
    </row>
    <row r="35" spans="2:13" ht="15">
      <c r="B35" s="612" t="s">
        <v>156</v>
      </c>
      <c r="E35" s="618">
        <v>0.85338354000000005</v>
      </c>
      <c r="F35" s="618">
        <v>0.920122</v>
      </c>
      <c r="G35" s="619">
        <v>0.75</v>
      </c>
      <c r="H35" s="618">
        <v>0.8</v>
      </c>
      <c r="I35" s="618">
        <v>0.85</v>
      </c>
      <c r="J35" s="618">
        <v>0.91500000000000004</v>
      </c>
      <c r="K35" s="618">
        <v>1.0133970000000001</v>
      </c>
      <c r="L35" s="618">
        <v>0.95</v>
      </c>
      <c r="M35" s="618">
        <v>0.96499999999999997</v>
      </c>
    </row>
    <row r="36" spans="2:13" ht="15">
      <c r="B36" s="612" t="s">
        <v>157</v>
      </c>
      <c r="E36" s="618">
        <v>3.7832189999999999</v>
      </c>
      <c r="F36" s="618">
        <v>4.1459726999999997</v>
      </c>
      <c r="G36" s="618">
        <v>4.9163512999999996</v>
      </c>
      <c r="H36" s="618">
        <v>3.7654779999999999</v>
      </c>
      <c r="I36" s="618">
        <v>3.7650000000000001</v>
      </c>
      <c r="J36" s="618">
        <v>4.1150000000000002</v>
      </c>
      <c r="K36" s="618">
        <v>4.71</v>
      </c>
      <c r="L36" s="618">
        <v>17.600000000000001</v>
      </c>
      <c r="M36" s="618">
        <v>23.1</v>
      </c>
    </row>
    <row r="37" spans="2:13" ht="15">
      <c r="B37" s="615" t="s">
        <v>158</v>
      </c>
      <c r="E37" s="616">
        <f>E35/E30</f>
        <v>0.15214800253311522</v>
      </c>
      <c r="F37" s="616">
        <f t="shared" ref="F37:K37" si="0">F35/F30</f>
        <v>0.16166735659019876</v>
      </c>
      <c r="G37" s="616">
        <f t="shared" si="0"/>
        <v>0.25231286795626579</v>
      </c>
      <c r="H37" s="616">
        <f t="shared" si="0"/>
        <v>0.24390243902439027</v>
      </c>
      <c r="I37" s="616">
        <f t="shared" si="0"/>
        <v>0.15165031222123102</v>
      </c>
      <c r="J37" s="616">
        <f t="shared" si="0"/>
        <v>0.16109154929577466</v>
      </c>
      <c r="K37" s="616">
        <f t="shared" si="0"/>
        <v>0.1717622033898305</v>
      </c>
      <c r="L37" s="616"/>
      <c r="M37" s="616"/>
    </row>
    <row r="38" spans="2:13" ht="15">
      <c r="B38" s="615" t="s">
        <v>159</v>
      </c>
      <c r="E38" s="616">
        <f>1-E37</f>
        <v>0.84785199746688478</v>
      </c>
      <c r="F38" s="616">
        <f t="shared" ref="F38:K38" si="1">1-F37</f>
        <v>0.83833264340980129</v>
      </c>
      <c r="G38" s="616">
        <f t="shared" si="1"/>
        <v>0.74768713204373416</v>
      </c>
      <c r="H38" s="616">
        <f t="shared" si="1"/>
        <v>0.75609756097560976</v>
      </c>
      <c r="I38" s="616">
        <f t="shared" si="1"/>
        <v>0.84834968777876896</v>
      </c>
      <c r="J38" s="616">
        <f t="shared" si="1"/>
        <v>0.83890845070422537</v>
      </c>
      <c r="K38" s="616">
        <f t="shared" si="1"/>
        <v>0.8282377966101695</v>
      </c>
      <c r="L38" s="616"/>
      <c r="M38" s="616"/>
    </row>
    <row r="39" spans="2:13" ht="15">
      <c r="B39" s="615" t="s">
        <v>82</v>
      </c>
      <c r="E39" s="626">
        <f>E30/E36</f>
        <v>1.4825744954230775</v>
      </c>
      <c r="F39" s="626">
        <f t="shared" ref="F39:K39" si="2">F30/F36</f>
        <v>1.3727663956880374</v>
      </c>
      <c r="G39" s="626">
        <f t="shared" si="2"/>
        <v>0.60461505263059623</v>
      </c>
      <c r="H39" s="626">
        <f t="shared" si="2"/>
        <v>0.87107134871057534</v>
      </c>
      <c r="I39" s="626">
        <f>I30/I36</f>
        <v>1.4887118193891102</v>
      </c>
      <c r="J39" s="626">
        <f t="shared" si="2"/>
        <v>1.3803159173754556</v>
      </c>
      <c r="K39" s="626">
        <f t="shared" si="2"/>
        <v>1.2526539278131636</v>
      </c>
      <c r="L39" s="627"/>
      <c r="M39" s="627"/>
    </row>
    <row r="40" spans="2:13" ht="15">
      <c r="B40" s="615" t="s">
        <v>70</v>
      </c>
      <c r="E40" s="626">
        <f>E38*E39</f>
        <v>1.257003747337915</v>
      </c>
      <c r="F40" s="626">
        <f t="shared" ref="F40:K40" si="3">F38*F39</f>
        <v>1.1508348812812976</v>
      </c>
      <c r="G40" s="626">
        <f t="shared" si="3"/>
        <v>0.45206289469184185</v>
      </c>
      <c r="H40" s="626">
        <f t="shared" si="3"/>
        <v>0.65861492219580087</v>
      </c>
      <c r="I40" s="626">
        <f t="shared" si="3"/>
        <v>1.2629482071713147</v>
      </c>
      <c r="J40" s="626">
        <f t="shared" si="3"/>
        <v>1.157958687727825</v>
      </c>
      <c r="K40" s="626">
        <f t="shared" si="3"/>
        <v>1.037495329087049</v>
      </c>
      <c r="L40" s="616"/>
      <c r="M40" s="616"/>
    </row>
    <row r="41" spans="2:13" ht="15">
      <c r="B41" s="615"/>
      <c r="E41" s="616"/>
      <c r="F41" s="616"/>
      <c r="G41" s="616"/>
      <c r="H41" s="616"/>
      <c r="I41" s="616"/>
      <c r="J41" s="616"/>
      <c r="K41" s="616"/>
      <c r="L41" s="616"/>
      <c r="M41" s="616"/>
    </row>
    <row r="42" spans="2:13" ht="15">
      <c r="B42" s="615"/>
      <c r="E42" s="621"/>
      <c r="F42" s="621"/>
      <c r="G42" s="621"/>
      <c r="H42" s="621"/>
      <c r="I42" s="621"/>
      <c r="J42" s="621"/>
      <c r="K42" s="621"/>
      <c r="L42" s="621"/>
      <c r="M42" s="621"/>
    </row>
    <row r="43" spans="2:13" ht="15">
      <c r="B43" s="612" t="s">
        <v>77</v>
      </c>
      <c r="E43" s="622">
        <f>IF(ISERROR(E9/$E$8),"-",(E9/$E$8))</f>
        <v>0.32661540396259309</v>
      </c>
      <c r="F43" s="622">
        <f>IF(ISERROR(F9/$F$8),"-",(F9/$F$8))</f>
        <v>0.31132570152309452</v>
      </c>
      <c r="G43" s="622">
        <f>IF(ISERROR(G9/$G$8),"-",(G9/$G$8))</f>
        <v>0.29394559025882677</v>
      </c>
      <c r="H43" s="622">
        <f>IF(ISERROR(H9/$H$8),"-",(H9/$H$8))</f>
        <v>0.2817478097736007</v>
      </c>
      <c r="I43" s="622">
        <f>IF(ISERROR(I9/$I$8),"-",(I9/$I$8))</f>
        <v>0.32746349086010212</v>
      </c>
      <c r="J43" s="622">
        <f>IF(ISERROR(J9/$J$8),"-",(J9/$J$8))</f>
        <v>0.31170743842118148</v>
      </c>
      <c r="K43" s="622">
        <f t="shared" ref="K43:M45" si="4">IF(ISERROR(K9/$K$8),"-",(K9/$K$8))</f>
        <v>0.30468892679999199</v>
      </c>
      <c r="L43" s="622">
        <f t="shared" si="4"/>
        <v>0.32746055257520046</v>
      </c>
      <c r="M43" s="622">
        <f t="shared" si="4"/>
        <v>0.34853203434456764</v>
      </c>
    </row>
    <row r="44" spans="2:13" ht="15">
      <c r="B44" s="612" t="s">
        <v>78</v>
      </c>
      <c r="E44" s="622">
        <f>IF(ISERROR(E10/$E$8),"-",(E10/$E$8))</f>
        <v>0.29650585395437262</v>
      </c>
      <c r="F44" s="622">
        <f>IF(ISERROR(F10/$F$8),"-",(F10/$F$8))</f>
        <v>0.28798350558864855</v>
      </c>
      <c r="G44" s="622">
        <f>IF(ISERROR(G10/$G$8),"-",(G10/$G$8))</f>
        <v>0.24572017188496928</v>
      </c>
      <c r="H44" s="622">
        <f>IF(ISERROR(H10/$H$8),"-",(H10/$H$8))</f>
        <v>0.24147314354406862</v>
      </c>
      <c r="I44" s="622">
        <f>IF(ISERROR(I10/$I$8),"-",(I10/$I$8))</f>
        <v>0.29697509333522415</v>
      </c>
      <c r="J44" s="622">
        <f>IF(ISERROR(J10/$J$8),"-",(J10/$J$8))</f>
        <v>0.28825757675470348</v>
      </c>
      <c r="K44" s="622">
        <f t="shared" si="4"/>
        <v>0.28321868398198208</v>
      </c>
      <c r="L44" s="622">
        <f t="shared" si="4"/>
        <v>0.30332680107764753</v>
      </c>
      <c r="M44" s="622">
        <f t="shared" si="4"/>
        <v>0.32342569492349565</v>
      </c>
    </row>
    <row r="45" spans="2:13" ht="15">
      <c r="B45" s="612" t="s">
        <v>160</v>
      </c>
      <c r="E45" s="622">
        <f>IF(ISERROR(E11/$E$8),"-",(E11/$E$8))</f>
        <v>0.29896329533044658</v>
      </c>
      <c r="F45" s="622">
        <f>IF(ISERROR(F11/$F$8),"-",(F11/$F$8))</f>
        <v>0.29005286968583666</v>
      </c>
      <c r="G45" s="622">
        <f>IF(ISERROR(G11/$G$8),"-",(G11/$G$8))</f>
        <v>0.25266552384173668</v>
      </c>
      <c r="H45" s="622">
        <f>IF(ISERROR(H11/$H$8),"-",(H11/$H$8))</f>
        <v>0.24439830246070343</v>
      </c>
      <c r="I45" s="622">
        <f>IF(ISERROR(I11/$I$8),"-",(I11/$I$8))</f>
        <v>0.2994526697010273</v>
      </c>
      <c r="J45" s="622">
        <f>IF(ISERROR(J11/$J$8),"-",(J11/$J$8))</f>
        <v>0.29036087806906935</v>
      </c>
      <c r="K45" s="622">
        <f t="shared" si="4"/>
        <v>0.28469799775309573</v>
      </c>
      <c r="L45" s="622">
        <f t="shared" si="4"/>
        <v>0.30391739064360868</v>
      </c>
      <c r="M45" s="622">
        <f t="shared" si="4"/>
        <v>0.32427388206609947</v>
      </c>
    </row>
    <row r="46" spans="2:13" ht="15">
      <c r="B46" s="612" t="s">
        <v>80</v>
      </c>
      <c r="E46" s="622">
        <f>IF(ISERROR(E13/$E$8),"-",(E13/$E$8))</f>
        <v>0.25578409671192098</v>
      </c>
      <c r="F46" s="622">
        <f>IF(ISERROR(F13/$F$8),"-",(F13/$F$8))</f>
        <v>0.24235429640347123</v>
      </c>
      <c r="G46" s="622">
        <f>IF(ISERROR(G13/$G$8),"-",(G13/$G$8))</f>
        <v>0.21238094505984456</v>
      </c>
      <c r="H46" s="622">
        <f>IF(ISERROR(H13/$H$8),"-",(H13/$H$8))</f>
        <v>0.20913611278072236</v>
      </c>
      <c r="I46" s="622">
        <f>IF(ISERROR(I13/$I$8),"-",(I13/$I$8))</f>
        <v>0.25653346568890806</v>
      </c>
      <c r="J46" s="622">
        <f>IF(ISERROR(J13/$J$8),"-",(J13/$J$8))</f>
        <v>0.24261146312378415</v>
      </c>
      <c r="K46" s="622">
        <f>IF(ISERROR(K13/$K$8),"-",(K13/$K$8))</f>
        <v>0.23788319430142893</v>
      </c>
      <c r="L46" s="622">
        <f>IF(ISERROR(L13/$K$8),"-",(L13/$K$8))</f>
        <v>0.24930042152764814</v>
      </c>
      <c r="M46" s="622">
        <f>IF(ISERROR(M13/$K$8),"-",(M13/$K$8))</f>
        <v>0.2663320193511321</v>
      </c>
    </row>
    <row r="47" spans="2:13" ht="15">
      <c r="B47" s="612" t="s">
        <v>82</v>
      </c>
      <c r="E47" s="623">
        <v>1.4825745000000001</v>
      </c>
      <c r="F47" s="623">
        <v>1.3727663999999999</v>
      </c>
      <c r="G47" s="623">
        <v>1.4837529</v>
      </c>
      <c r="H47" s="623">
        <v>1.4825745000000001</v>
      </c>
      <c r="I47" s="623">
        <v>1.4825745000000001</v>
      </c>
      <c r="J47" s="623">
        <v>1.4822531000000001</v>
      </c>
      <c r="K47" s="623">
        <v>1.4819318000000001</v>
      </c>
      <c r="L47" s="623">
        <v>1.4816107000000001</v>
      </c>
      <c r="M47" s="623">
        <v>1.4806487000000002</v>
      </c>
    </row>
    <row r="48" spans="2:13" ht="15">
      <c r="B48" s="612" t="s">
        <v>81</v>
      </c>
      <c r="E48" s="623">
        <v>0.27650780000000003</v>
      </c>
      <c r="F48" s="623">
        <v>0.25333076999999998</v>
      </c>
      <c r="G48" s="623">
        <v>0.16323008999999999</v>
      </c>
      <c r="H48" s="623">
        <v>0.17725572000000001</v>
      </c>
      <c r="I48" s="623">
        <v>0.27778417</v>
      </c>
      <c r="J48" s="623">
        <v>0.25475120000000001</v>
      </c>
      <c r="K48" s="623">
        <v>0.23053870000000001</v>
      </c>
      <c r="L48" s="623">
        <v>0.15564700000000001</v>
      </c>
      <c r="M48" s="623">
        <v>0.13816991000000001</v>
      </c>
    </row>
    <row r="49" spans="2:13" ht="15">
      <c r="B49" s="612" t="s">
        <v>161</v>
      </c>
      <c r="E49" s="624">
        <v>26.218133999999999</v>
      </c>
      <c r="F49" s="624">
        <v>25.837869999999999</v>
      </c>
      <c r="G49" s="624">
        <v>49.471820000000001</v>
      </c>
      <c r="H49" s="624">
        <v>44.833840000000002</v>
      </c>
      <c r="I49" s="624">
        <v>26.236395000000002</v>
      </c>
      <c r="J49" s="624">
        <v>25.889965</v>
      </c>
      <c r="K49" s="624">
        <v>24.924574</v>
      </c>
      <c r="L49" s="624">
        <v>23.5288</v>
      </c>
      <c r="M49" s="624">
        <v>22.096917999999999</v>
      </c>
    </row>
    <row r="50" spans="2:13" ht="15">
      <c r="B50" s="612" t="s">
        <v>162</v>
      </c>
      <c r="E50" s="624">
        <v>22.976212</v>
      </c>
      <c r="F50" s="624">
        <v>22.236526000000001</v>
      </c>
      <c r="G50" s="624">
        <v>39.517629999999997</v>
      </c>
      <c r="H50" s="624">
        <v>31.959714999999999</v>
      </c>
      <c r="I50" s="624">
        <v>23.012219999999999</v>
      </c>
      <c r="J50" s="624">
        <v>22.339634</v>
      </c>
      <c r="K50" s="624">
        <v>20.512484000000001</v>
      </c>
      <c r="L50" s="624">
        <v>20.452711000000001</v>
      </c>
      <c r="M50" s="624">
        <v>19.686077000000001</v>
      </c>
    </row>
    <row r="51" spans="2:13" ht="15">
      <c r="B51" s="612" t="s">
        <v>25</v>
      </c>
      <c r="E51" s="624">
        <v>0.58031595000000002</v>
      </c>
      <c r="F51" s="624">
        <v>0.62569929999999996</v>
      </c>
      <c r="G51" s="624">
        <v>0.5100133</v>
      </c>
      <c r="H51" s="624">
        <v>0.54401416000000002</v>
      </c>
      <c r="I51" s="624">
        <v>0.57801499999999995</v>
      </c>
      <c r="J51" s="624">
        <v>0.6222162</v>
      </c>
      <c r="K51" s="624">
        <v>0.68912790000000002</v>
      </c>
      <c r="L51" s="624">
        <v>0.64601684000000004</v>
      </c>
      <c r="M51" s="624">
        <v>0.6562171</v>
      </c>
    </row>
    <row r="52" spans="2:13" ht="15">
      <c r="B52" s="612" t="s">
        <v>163</v>
      </c>
      <c r="E52" s="624">
        <v>38.870334999999997</v>
      </c>
      <c r="F52" s="624">
        <v>35.469357000000002</v>
      </c>
      <c r="G52" s="624">
        <v>29.91141</v>
      </c>
      <c r="H52" s="624">
        <v>39.053474000000001</v>
      </c>
      <c r="I52" s="624">
        <v>39.058430000000001</v>
      </c>
      <c r="J52" s="624">
        <v>35.736331999999997</v>
      </c>
      <c r="K52" s="624">
        <v>31.221867</v>
      </c>
      <c r="L52" s="624">
        <v>8.355397</v>
      </c>
      <c r="M52" s="624">
        <v>6.3660170000000003</v>
      </c>
    </row>
    <row r="53" spans="2:13" ht="15">
      <c r="B53" s="612" t="s">
        <v>164</v>
      </c>
      <c r="E53" s="624">
        <v>6.4040135999999999</v>
      </c>
      <c r="F53" s="624">
        <v>6.1720132999999997</v>
      </c>
      <c r="G53" s="624">
        <v>8.9670489999999994</v>
      </c>
      <c r="H53" s="624">
        <v>8.5658340000000006</v>
      </c>
      <c r="I53" s="624">
        <v>6.416398</v>
      </c>
      <c r="J53" s="624">
        <v>6.1863109999999999</v>
      </c>
      <c r="K53" s="624">
        <v>5.9234486000000004</v>
      </c>
      <c r="L53" s="624">
        <v>5.1667743000000002</v>
      </c>
      <c r="M53" s="624">
        <v>4.6757298</v>
      </c>
    </row>
    <row r="54" spans="2:13" ht="15">
      <c r="B54" s="612" t="s">
        <v>165</v>
      </c>
      <c r="E54" s="624">
        <v>19.607199000000001</v>
      </c>
      <c r="F54" s="624">
        <v>19.824940000000002</v>
      </c>
      <c r="G54" s="624">
        <v>30.505811999999999</v>
      </c>
      <c r="H54" s="624">
        <v>30.402487000000001</v>
      </c>
      <c r="I54" s="624">
        <v>19.594238000000001</v>
      </c>
      <c r="J54" s="624">
        <v>19.846529</v>
      </c>
      <c r="K54" s="624">
        <v>19.440971000000001</v>
      </c>
      <c r="L54" s="624">
        <v>16.831935999999999</v>
      </c>
      <c r="M54" s="624">
        <v>15.068429</v>
      </c>
    </row>
    <row r="55" spans="2:13" ht="15">
      <c r="B55" s="612" t="s">
        <v>166</v>
      </c>
      <c r="E55" s="624">
        <v>21.598269999999999</v>
      </c>
      <c r="F55" s="624">
        <v>21.431830000000001</v>
      </c>
      <c r="G55" s="624">
        <v>36.492930000000001</v>
      </c>
      <c r="H55" s="624">
        <v>35.473239999999997</v>
      </c>
      <c r="I55" s="624">
        <v>21.605844000000001</v>
      </c>
      <c r="J55" s="624">
        <v>21.461051999999999</v>
      </c>
      <c r="K55" s="624">
        <v>20.914753000000001</v>
      </c>
      <c r="L55" s="624">
        <v>18.171144000000002</v>
      </c>
      <c r="M55" s="624">
        <v>16.238136000000001</v>
      </c>
    </row>
    <row r="56" spans="2:13" ht="15">
      <c r="B56" s="612" t="s">
        <v>167</v>
      </c>
      <c r="E56" s="624">
        <v>6.6167809999999996</v>
      </c>
      <c r="F56" s="624">
        <v>6.3832259999999996</v>
      </c>
      <c r="G56" s="624">
        <v>9.3431470000000001</v>
      </c>
      <c r="H56" s="624">
        <v>8.8550500000000003</v>
      </c>
      <c r="I56" s="624">
        <v>6.6291710000000004</v>
      </c>
      <c r="J56" s="624">
        <v>6.3989954000000004</v>
      </c>
      <c r="K56" s="624">
        <v>6.1090684</v>
      </c>
      <c r="L56" s="624">
        <v>5.7266599999999999</v>
      </c>
      <c r="M56" s="624">
        <v>5.4389329999999996</v>
      </c>
    </row>
    <row r="57" spans="2:13" ht="15">
      <c r="B57" s="615"/>
      <c r="E57" s="624"/>
      <c r="F57" s="624"/>
      <c r="G57" s="624"/>
      <c r="H57" s="624"/>
      <c r="I57" s="624"/>
      <c r="J57" s="624"/>
      <c r="K57" s="624"/>
      <c r="L57" s="624"/>
      <c r="M57" s="624"/>
    </row>
    <row r="58" spans="2:13" ht="15">
      <c r="B58" s="615"/>
      <c r="E58" s="624"/>
      <c r="F58" s="624"/>
      <c r="G58" s="624"/>
      <c r="H58" s="624"/>
      <c r="I58" s="624"/>
      <c r="J58" s="624"/>
      <c r="K58" s="624"/>
      <c r="L58" s="624"/>
      <c r="M58" s="624"/>
    </row>
    <row r="59" spans="2:13" ht="15">
      <c r="B59" s="615"/>
      <c r="E59" s="624"/>
      <c r="F59" s="624"/>
      <c r="G59" s="624"/>
      <c r="H59" s="624"/>
      <c r="I59" s="624"/>
      <c r="J59" s="624"/>
      <c r="K59" s="624"/>
      <c r="L59" s="624"/>
      <c r="M59" s="624"/>
    </row>
    <row r="60" spans="2:13" ht="15">
      <c r="B60" s="629" t="s">
        <v>70</v>
      </c>
      <c r="C60" s="630" t="s">
        <v>168</v>
      </c>
      <c r="E60" s="624"/>
      <c r="F60" s="624"/>
      <c r="G60" s="624"/>
      <c r="H60" s="624"/>
      <c r="I60" s="624"/>
      <c r="J60" s="624"/>
      <c r="K60" s="624"/>
      <c r="L60" s="624"/>
      <c r="M60" s="624"/>
    </row>
    <row r="61" spans="2:13" ht="15">
      <c r="B61" s="628">
        <v>0</v>
      </c>
      <c r="C61" s="631">
        <f>$I$35/(6.67%-B61)</f>
        <v>12.743628185907047</v>
      </c>
      <c r="E61" s="624"/>
      <c r="F61" s="624"/>
      <c r="G61" s="624"/>
      <c r="H61" s="624"/>
      <c r="I61" s="624"/>
      <c r="J61" s="624"/>
      <c r="K61" s="624"/>
      <c r="L61" s="624"/>
      <c r="M61" s="624"/>
    </row>
    <row r="62" spans="2:13" ht="15">
      <c r="B62" s="628">
        <f>B61+0.5%</f>
        <v>5.0000000000000001E-3</v>
      </c>
      <c r="C62" s="631">
        <f t="shared" ref="C62:C73" si="5">$I$35/(6.67%-B62)</f>
        <v>13.776337115072934</v>
      </c>
      <c r="E62" s="624"/>
      <c r="F62" s="624"/>
      <c r="G62" s="624"/>
      <c r="H62" s="624"/>
      <c r="I62" s="624"/>
      <c r="J62" s="624"/>
      <c r="K62" s="624"/>
      <c r="L62" s="624"/>
      <c r="M62" s="624"/>
    </row>
    <row r="63" spans="2:13" ht="15">
      <c r="B63" s="628">
        <f t="shared" ref="B63:B73" si="6">B62+0.5%</f>
        <v>0.01</v>
      </c>
      <c r="C63" s="631">
        <f t="shared" si="5"/>
        <v>14.991181657848326</v>
      </c>
      <c r="E63" s="624"/>
      <c r="F63" s="624"/>
      <c r="G63" s="624"/>
      <c r="H63" s="624"/>
      <c r="I63" s="624"/>
      <c r="J63" s="624"/>
      <c r="K63" s="624"/>
      <c r="L63" s="624"/>
      <c r="M63" s="624"/>
    </row>
    <row r="64" spans="2:13" ht="15">
      <c r="B64" s="628">
        <f t="shared" si="6"/>
        <v>1.4999999999999999E-2</v>
      </c>
      <c r="C64" s="631">
        <f t="shared" si="5"/>
        <v>16.441005802707931</v>
      </c>
      <c r="E64" s="624"/>
      <c r="F64" s="624"/>
      <c r="G64" s="624"/>
      <c r="H64" s="624"/>
      <c r="I64" s="624"/>
      <c r="J64" s="624"/>
      <c r="K64" s="624"/>
      <c r="L64" s="624"/>
      <c r="M64" s="624"/>
    </row>
    <row r="65" spans="2:13" ht="15">
      <c r="B65" s="628">
        <f t="shared" si="6"/>
        <v>0.02</v>
      </c>
      <c r="C65" s="631">
        <f t="shared" si="5"/>
        <v>18.20128479657388</v>
      </c>
      <c r="E65" s="624"/>
      <c r="F65" s="624"/>
      <c r="G65" s="624"/>
      <c r="H65" s="624"/>
      <c r="I65" s="624"/>
      <c r="J65" s="624"/>
      <c r="K65" s="624"/>
      <c r="L65" s="624"/>
      <c r="M65" s="624"/>
    </row>
    <row r="66" spans="2:13" ht="15">
      <c r="B66" s="628">
        <f t="shared" si="6"/>
        <v>2.5000000000000001E-2</v>
      </c>
      <c r="C66" s="631">
        <f t="shared" si="5"/>
        <v>20.38369304556355</v>
      </c>
      <c r="E66" s="624"/>
      <c r="F66" s="624"/>
      <c r="G66" s="624"/>
      <c r="H66" s="624"/>
      <c r="I66" s="624"/>
      <c r="J66" s="624"/>
      <c r="K66" s="624"/>
      <c r="L66" s="624"/>
      <c r="M66" s="624"/>
    </row>
    <row r="67" spans="2:13" ht="15">
      <c r="B67" s="628">
        <f t="shared" si="6"/>
        <v>3.0000000000000002E-2</v>
      </c>
      <c r="C67" s="631">
        <f t="shared" si="5"/>
        <v>23.160762942779293</v>
      </c>
      <c r="E67" s="624"/>
      <c r="F67" s="624"/>
      <c r="G67" s="624"/>
      <c r="H67" s="624"/>
      <c r="I67" s="624"/>
      <c r="J67" s="624"/>
      <c r="K67" s="624"/>
      <c r="L67" s="624"/>
      <c r="M67" s="624"/>
    </row>
    <row r="68" spans="2:13" ht="15">
      <c r="B68" s="628">
        <f t="shared" si="6"/>
        <v>3.5000000000000003E-2</v>
      </c>
      <c r="C68" s="631">
        <f t="shared" si="5"/>
        <v>26.813880126182973</v>
      </c>
      <c r="E68" s="624"/>
      <c r="F68" s="624"/>
      <c r="G68" s="624"/>
      <c r="H68" s="624"/>
      <c r="I68" s="624"/>
      <c r="J68" s="624"/>
      <c r="K68" s="624"/>
      <c r="L68" s="624"/>
      <c r="M68" s="624"/>
    </row>
    <row r="69" spans="2:13" ht="15">
      <c r="B69" s="628">
        <f t="shared" si="6"/>
        <v>0.04</v>
      </c>
      <c r="C69" s="631">
        <f t="shared" si="5"/>
        <v>31.835205992509369</v>
      </c>
      <c r="E69" s="624"/>
      <c r="F69" s="624"/>
      <c r="G69" s="624"/>
      <c r="H69" s="624"/>
      <c r="I69" s="624"/>
      <c r="J69" s="624"/>
      <c r="K69" s="624"/>
      <c r="L69" s="624"/>
      <c r="M69" s="624"/>
    </row>
    <row r="70" spans="2:13" ht="15">
      <c r="B70" s="628">
        <f t="shared" si="6"/>
        <v>4.4999999999999998E-2</v>
      </c>
      <c r="C70" s="631">
        <f t="shared" si="5"/>
        <v>39.170506912442399</v>
      </c>
      <c r="E70" s="624"/>
      <c r="F70" s="624"/>
      <c r="G70" s="624"/>
      <c r="H70" s="624"/>
      <c r="I70" s="624"/>
      <c r="J70" s="624"/>
      <c r="K70" s="624"/>
      <c r="L70" s="624"/>
      <c r="M70" s="624"/>
    </row>
    <row r="71" spans="2:13" ht="15">
      <c r="B71" s="628">
        <f t="shared" si="6"/>
        <v>4.9999999999999996E-2</v>
      </c>
      <c r="C71" s="631">
        <f t="shared" si="5"/>
        <v>50.898203592814369</v>
      </c>
      <c r="E71" s="624"/>
      <c r="F71" s="624"/>
      <c r="G71" s="624"/>
      <c r="H71" s="624"/>
      <c r="I71" s="624"/>
      <c r="J71" s="624"/>
      <c r="K71" s="624"/>
      <c r="L71" s="624"/>
      <c r="M71" s="624"/>
    </row>
    <row r="72" spans="2:13" ht="15">
      <c r="B72" s="628">
        <f t="shared" si="6"/>
        <v>5.4999999999999993E-2</v>
      </c>
      <c r="C72" s="631">
        <f t="shared" si="5"/>
        <v>72.649572649572633</v>
      </c>
      <c r="E72" s="624"/>
      <c r="F72" s="624"/>
      <c r="G72" s="624"/>
      <c r="H72" s="624"/>
      <c r="I72" s="624"/>
      <c r="J72" s="624"/>
      <c r="K72" s="624"/>
      <c r="L72" s="624"/>
      <c r="M72" s="624"/>
    </row>
    <row r="73" spans="2:13" ht="15">
      <c r="B73" s="628">
        <f t="shared" si="6"/>
        <v>5.9999999999999991E-2</v>
      </c>
      <c r="C73" s="631">
        <f t="shared" si="5"/>
        <v>126.86567164179095</v>
      </c>
      <c r="E73" s="624"/>
      <c r="F73" s="624"/>
      <c r="G73" s="624"/>
      <c r="H73" s="624"/>
      <c r="I73" s="624"/>
      <c r="J73" s="624"/>
      <c r="K73" s="624"/>
      <c r="L73" s="624"/>
      <c r="M73" s="624"/>
    </row>
    <row r="74" spans="2:13" ht="15">
      <c r="B74" s="628"/>
      <c r="E74" s="624"/>
      <c r="F74" s="624"/>
      <c r="G74" s="624"/>
      <c r="H74" s="624"/>
      <c r="I74" s="624"/>
      <c r="J74" s="624"/>
      <c r="K74" s="624"/>
      <c r="L74" s="624"/>
      <c r="M74" s="624"/>
    </row>
    <row r="75" spans="2:13" ht="15">
      <c r="B75" s="628"/>
      <c r="E75" s="624"/>
      <c r="F75" s="624"/>
      <c r="G75" s="624"/>
      <c r="H75" s="624"/>
      <c r="I75" s="624"/>
      <c r="J75" s="624"/>
      <c r="K75" s="624"/>
      <c r="L75" s="624"/>
      <c r="M75" s="624"/>
    </row>
    <row r="76" spans="2:13" ht="15">
      <c r="B76" s="612"/>
      <c r="E76" s="624"/>
      <c r="F76" s="624"/>
      <c r="G76" s="624"/>
      <c r="H76" s="624"/>
      <c r="I76" s="624"/>
      <c r="J76" s="624"/>
      <c r="K76" s="624"/>
      <c r="L76" s="624"/>
      <c r="M76" s="624"/>
    </row>
    <row r="77" spans="2:13" ht="15">
      <c r="B77" s="612"/>
      <c r="E77" s="624"/>
      <c r="F77" s="624"/>
      <c r="G77" s="624"/>
      <c r="H77" s="624"/>
      <c r="I77" s="624"/>
      <c r="J77" s="624"/>
      <c r="K77" s="624"/>
      <c r="L77" s="624"/>
      <c r="M77" s="624"/>
    </row>
    <row r="78" spans="2:13" ht="15">
      <c r="B78" s="612"/>
      <c r="E78" s="624"/>
      <c r="F78" s="624"/>
      <c r="G78" s="624"/>
      <c r="H78" s="624"/>
      <c r="I78" s="624"/>
      <c r="J78" s="624"/>
      <c r="K78" s="624"/>
      <c r="L78" s="624"/>
      <c r="M78" s="624"/>
    </row>
    <row r="79" spans="2:13" ht="15">
      <c r="E79" s="624"/>
      <c r="F79" s="624"/>
      <c r="G79" s="624"/>
      <c r="H79" s="624"/>
      <c r="I79" s="624"/>
      <c r="J79" s="624"/>
      <c r="K79" s="624"/>
      <c r="L79" s="624"/>
      <c r="M79" s="624"/>
    </row>
    <row r="80" spans="2:13" ht="15">
      <c r="E80" s="624"/>
      <c r="F80" s="624"/>
      <c r="G80" s="624"/>
      <c r="H80" s="624"/>
      <c r="I80" s="624"/>
      <c r="J80" s="624"/>
      <c r="K80" s="624"/>
      <c r="L80" s="624"/>
      <c r="M80" s="624"/>
    </row>
    <row r="81" spans="5:13" ht="15">
      <c r="E81" s="624"/>
      <c r="F81" s="624"/>
      <c r="G81" s="624"/>
      <c r="H81" s="624"/>
      <c r="I81" s="624"/>
      <c r="J81" s="624"/>
      <c r="K81" s="624"/>
      <c r="L81" s="624"/>
      <c r="M81" s="624"/>
    </row>
    <row r="82" spans="5:13" ht="15">
      <c r="E82" s="624"/>
      <c r="F82" s="624"/>
      <c r="G82" s="624"/>
      <c r="H82" s="624"/>
      <c r="I82" s="624"/>
      <c r="J82" s="624"/>
      <c r="K82" s="624"/>
      <c r="L82" s="624"/>
      <c r="M82" s="624"/>
    </row>
    <row r="83" spans="5:13" ht="15">
      <c r="E83" s="624"/>
      <c r="F83" s="624"/>
      <c r="G83" s="624"/>
      <c r="H83" s="624"/>
      <c r="I83" s="624"/>
      <c r="J83" s="624"/>
      <c r="K83" s="624"/>
      <c r="L83" s="624"/>
      <c r="M83" s="624"/>
    </row>
    <row r="84" spans="5:13" ht="15">
      <c r="E84" s="624"/>
      <c r="F84" s="624"/>
      <c r="G84" s="624"/>
      <c r="H84" s="624"/>
      <c r="I84" s="624"/>
      <c r="J84" s="624"/>
      <c r="K84" s="624"/>
      <c r="L84" s="624"/>
      <c r="M84" s="624"/>
    </row>
    <row r="85" spans="5:13" ht="15">
      <c r="E85" s="624"/>
      <c r="F85" s="624"/>
      <c r="G85" s="624"/>
      <c r="H85" s="624"/>
      <c r="I85" s="624"/>
      <c r="J85" s="624"/>
      <c r="K85" s="624"/>
      <c r="L85" s="624"/>
      <c r="M85" s="624"/>
    </row>
    <row r="86" spans="5:13" ht="15">
      <c r="E86" s="624"/>
      <c r="F86" s="624"/>
      <c r="G86" s="624"/>
      <c r="H86" s="624"/>
      <c r="I86" s="624"/>
      <c r="J86" s="624"/>
      <c r="K86" s="624"/>
      <c r="L86" s="624"/>
      <c r="M86" s="624"/>
    </row>
    <row r="87" spans="5:13" ht="15">
      <c r="E87" s="624"/>
      <c r="F87" s="624"/>
      <c r="G87" s="624"/>
      <c r="H87" s="624"/>
      <c r="I87" s="624"/>
      <c r="J87" s="624"/>
      <c r="K87" s="624"/>
      <c r="L87" s="624"/>
      <c r="M87" s="624"/>
    </row>
    <row r="88" spans="5:13" ht="15">
      <c r="E88" s="624"/>
      <c r="F88" s="624"/>
      <c r="G88" s="624"/>
      <c r="H88" s="624"/>
      <c r="I88" s="624"/>
      <c r="J88" s="624"/>
      <c r="K88" s="624"/>
      <c r="L88" s="624"/>
      <c r="M88" s="624"/>
    </row>
    <row r="89" spans="5:13" ht="15">
      <c r="E89" s="624"/>
      <c r="F89" s="624"/>
      <c r="G89" s="624"/>
      <c r="H89" s="624"/>
      <c r="I89" s="624"/>
      <c r="J89" s="624"/>
      <c r="K89" s="624"/>
      <c r="L89" s="624"/>
      <c r="M89" s="624"/>
    </row>
    <row r="90" spans="5:13" ht="15">
      <c r="E90" s="624"/>
      <c r="F90" s="624"/>
      <c r="G90" s="624"/>
      <c r="H90" s="624"/>
      <c r="I90" s="624"/>
      <c r="J90" s="624"/>
      <c r="K90" s="624"/>
      <c r="L90" s="624"/>
      <c r="M90" s="624"/>
    </row>
    <row r="91" spans="5:13" ht="15">
      <c r="E91" s="624"/>
      <c r="F91" s="624"/>
      <c r="G91" s="624"/>
      <c r="H91" s="624"/>
      <c r="I91" s="624"/>
      <c r="J91" s="624"/>
      <c r="K91" s="624"/>
      <c r="L91" s="624"/>
      <c r="M91" s="624"/>
    </row>
    <row r="92" spans="5:13" ht="15">
      <c r="E92" s="624"/>
      <c r="F92" s="624"/>
      <c r="G92" s="624"/>
      <c r="H92" s="624"/>
      <c r="I92" s="624"/>
      <c r="J92" s="624"/>
      <c r="K92" s="624"/>
      <c r="L92" s="624"/>
      <c r="M92" s="624"/>
    </row>
    <row r="93" spans="5:13" ht="15">
      <c r="E93" s="624"/>
      <c r="F93" s="624"/>
      <c r="G93" s="624"/>
      <c r="H93" s="624"/>
      <c r="I93" s="624"/>
      <c r="J93" s="624"/>
      <c r="K93" s="624"/>
      <c r="L93" s="624"/>
      <c r="M93" s="624"/>
    </row>
    <row r="94" spans="5:13" ht="15">
      <c r="E94" s="624"/>
      <c r="F94" s="624"/>
      <c r="G94" s="624"/>
      <c r="H94" s="624"/>
      <c r="I94" s="624"/>
      <c r="J94" s="624"/>
      <c r="K94" s="624"/>
      <c r="L94" s="624"/>
      <c r="M94" s="624"/>
    </row>
    <row r="95" spans="5:13" ht="15">
      <c r="E95" s="624"/>
      <c r="F95" s="624"/>
      <c r="G95" s="624"/>
      <c r="H95" s="624"/>
      <c r="I95" s="624"/>
      <c r="J95" s="624"/>
      <c r="K95" s="624"/>
      <c r="L95" s="624"/>
      <c r="M95" s="624"/>
    </row>
    <row r="96" spans="5:13" ht="15">
      <c r="E96" s="624"/>
      <c r="F96" s="624"/>
      <c r="G96" s="624"/>
      <c r="H96" s="624"/>
      <c r="I96" s="624"/>
      <c r="J96" s="624"/>
      <c r="K96" s="624"/>
      <c r="L96" s="624"/>
      <c r="M96" s="624"/>
    </row>
    <row r="97" spans="5:13" ht="15">
      <c r="E97" s="624"/>
      <c r="F97" s="624"/>
      <c r="G97" s="624"/>
      <c r="H97" s="624"/>
      <c r="I97" s="624"/>
      <c r="J97" s="624"/>
      <c r="K97" s="624"/>
      <c r="L97" s="624"/>
      <c r="M97" s="624"/>
    </row>
    <row r="98" spans="5:13" ht="15">
      <c r="E98" s="624"/>
      <c r="F98" s="624"/>
      <c r="G98" s="624"/>
      <c r="H98" s="624"/>
      <c r="I98" s="624"/>
      <c r="J98" s="624"/>
      <c r="K98" s="624"/>
      <c r="L98" s="624"/>
      <c r="M98" s="624"/>
    </row>
    <row r="99" spans="5:13" ht="15">
      <c r="E99" s="624"/>
      <c r="F99" s="624"/>
      <c r="G99" s="624"/>
      <c r="H99" s="624"/>
      <c r="I99" s="624"/>
      <c r="J99" s="624"/>
      <c r="K99" s="624"/>
      <c r="L99" s="624"/>
      <c r="M99" s="624"/>
    </row>
    <row r="100" spans="5:13" ht="15">
      <c r="E100" s="624"/>
      <c r="F100" s="624"/>
      <c r="G100" s="624"/>
      <c r="H100" s="624"/>
      <c r="I100" s="624"/>
      <c r="J100" s="624"/>
      <c r="K100" s="624"/>
      <c r="L100" s="624"/>
      <c r="M100" s="624"/>
    </row>
    <row r="101" spans="5:13" ht="15">
      <c r="E101" s="624"/>
      <c r="F101" s="624"/>
      <c r="G101" s="624"/>
      <c r="H101" s="624"/>
      <c r="I101" s="624"/>
      <c r="J101" s="624"/>
      <c r="K101" s="624"/>
      <c r="L101" s="624"/>
      <c r="M101" s="624"/>
    </row>
    <row r="102" spans="5:13" ht="15">
      <c r="E102" s="624"/>
      <c r="F102" s="624"/>
      <c r="G102" s="624"/>
      <c r="H102" s="624"/>
      <c r="I102" s="624"/>
      <c r="J102" s="624"/>
      <c r="K102" s="624"/>
      <c r="L102" s="624"/>
      <c r="M102" s="624"/>
    </row>
    <row r="103" spans="5:13" ht="15">
      <c r="E103" s="624"/>
      <c r="F103" s="624"/>
      <c r="G103" s="624"/>
      <c r="H103" s="624"/>
      <c r="I103" s="624"/>
      <c r="J103" s="624"/>
      <c r="K103" s="624"/>
      <c r="L103" s="624"/>
      <c r="M103" s="624"/>
    </row>
    <row r="104" spans="5:13" ht="15">
      <c r="E104" s="624"/>
      <c r="F104" s="624"/>
      <c r="G104" s="624"/>
      <c r="H104" s="624"/>
      <c r="I104" s="624"/>
      <c r="J104" s="624"/>
      <c r="K104" s="624"/>
      <c r="L104" s="624"/>
      <c r="M104" s="624"/>
    </row>
    <row r="105" spans="5:13" ht="15">
      <c r="E105" s="624"/>
      <c r="F105" s="624"/>
      <c r="G105" s="624"/>
      <c r="H105" s="624"/>
      <c r="I105" s="624"/>
      <c r="J105" s="624"/>
      <c r="K105" s="624"/>
      <c r="L105" s="624"/>
      <c r="M105" s="624"/>
    </row>
    <row r="106" spans="5:13" ht="15">
      <c r="E106" s="624"/>
      <c r="F106" s="624"/>
      <c r="G106" s="624"/>
      <c r="H106" s="624"/>
      <c r="I106" s="624"/>
      <c r="J106" s="624"/>
      <c r="K106" s="624"/>
      <c r="L106" s="624"/>
      <c r="M106" s="624"/>
    </row>
    <row r="107" spans="5:13" ht="15">
      <c r="E107" s="624"/>
      <c r="F107" s="624"/>
      <c r="G107" s="624"/>
      <c r="H107" s="624"/>
      <c r="I107" s="624"/>
      <c r="J107" s="624"/>
      <c r="K107" s="624"/>
      <c r="L107" s="624"/>
      <c r="M107" s="624"/>
    </row>
    <row r="108" spans="5:13" ht="15">
      <c r="E108" s="624"/>
      <c r="F108" s="624"/>
      <c r="G108" s="624"/>
      <c r="H108" s="624"/>
      <c r="I108" s="624"/>
      <c r="J108" s="624"/>
      <c r="K108" s="624"/>
      <c r="L108" s="624"/>
      <c r="M108" s="624"/>
    </row>
    <row r="109" spans="5:13" ht="15">
      <c r="E109" s="624"/>
      <c r="F109" s="624"/>
      <c r="G109" s="624"/>
      <c r="H109" s="624"/>
      <c r="I109" s="624"/>
      <c r="J109" s="624"/>
      <c r="K109" s="624"/>
      <c r="L109" s="624"/>
      <c r="M109" s="624"/>
    </row>
    <row r="110" spans="5:13" ht="15">
      <c r="E110" s="624"/>
      <c r="F110" s="624"/>
      <c r="G110" s="624"/>
      <c r="H110" s="624"/>
      <c r="I110" s="624"/>
      <c r="J110" s="624"/>
      <c r="K110" s="624"/>
      <c r="L110" s="624"/>
      <c r="M110" s="624"/>
    </row>
    <row r="111" spans="5:13" ht="15">
      <c r="E111" s="624"/>
      <c r="F111" s="624"/>
      <c r="G111" s="624"/>
      <c r="H111" s="624"/>
      <c r="I111" s="624"/>
      <c r="J111" s="624"/>
      <c r="K111" s="624"/>
      <c r="L111" s="624"/>
      <c r="M111" s="624"/>
    </row>
    <row r="112" spans="5:13" ht="15">
      <c r="E112" s="624"/>
      <c r="F112" s="624"/>
      <c r="G112" s="624"/>
      <c r="H112" s="624"/>
      <c r="I112" s="624"/>
      <c r="J112" s="624"/>
      <c r="K112" s="624"/>
      <c r="L112" s="624"/>
      <c r="M112" s="624"/>
    </row>
    <row r="113" spans="5:13" ht="15">
      <c r="E113" s="624"/>
      <c r="F113" s="624"/>
      <c r="G113" s="624"/>
      <c r="H113" s="624"/>
      <c r="I113" s="624"/>
      <c r="J113" s="624"/>
      <c r="K113" s="624"/>
      <c r="L113" s="624"/>
      <c r="M113" s="624"/>
    </row>
    <row r="114" spans="5:13" ht="15">
      <c r="E114" s="624"/>
      <c r="F114" s="624"/>
      <c r="G114" s="624"/>
      <c r="H114" s="624"/>
      <c r="I114" s="624"/>
      <c r="J114" s="624"/>
      <c r="K114" s="624"/>
      <c r="L114" s="624"/>
      <c r="M114" s="624"/>
    </row>
    <row r="115" spans="5:13" ht="15">
      <c r="E115" s="624"/>
      <c r="F115" s="624"/>
      <c r="G115" s="624"/>
      <c r="H115" s="624"/>
      <c r="I115" s="624"/>
      <c r="J115" s="624"/>
      <c r="K115" s="624"/>
      <c r="L115" s="624"/>
      <c r="M115" s="624"/>
    </row>
    <row r="116" spans="5:13" ht="15">
      <c r="E116" s="624"/>
      <c r="F116" s="624"/>
      <c r="G116" s="624"/>
      <c r="H116" s="624"/>
      <c r="I116" s="624"/>
      <c r="J116" s="624"/>
      <c r="K116" s="624"/>
      <c r="L116" s="624"/>
      <c r="M116" s="624"/>
    </row>
    <row r="117" spans="5:13" ht="15">
      <c r="E117" s="624"/>
      <c r="F117" s="624"/>
      <c r="G117" s="624"/>
      <c r="H117" s="624"/>
      <c r="I117" s="624"/>
      <c r="J117" s="624"/>
      <c r="K117" s="624"/>
      <c r="L117" s="624"/>
      <c r="M117" s="624"/>
    </row>
    <row r="118" spans="5:13" ht="15">
      <c r="E118" s="624"/>
      <c r="F118" s="624"/>
      <c r="G118" s="624"/>
      <c r="H118" s="624"/>
      <c r="I118" s="624"/>
      <c r="J118" s="624"/>
      <c r="K118" s="624"/>
      <c r="L118" s="624"/>
      <c r="M118" s="624"/>
    </row>
    <row r="119" spans="5:13" ht="15">
      <c r="E119" s="624"/>
      <c r="F119" s="624"/>
      <c r="G119" s="624"/>
      <c r="H119" s="624"/>
      <c r="I119" s="624"/>
      <c r="J119" s="624"/>
      <c r="K119" s="624"/>
      <c r="L119" s="624"/>
      <c r="M119" s="624"/>
    </row>
    <row r="120" spans="5:13" ht="15">
      <c r="E120" s="624"/>
      <c r="F120" s="624"/>
      <c r="G120" s="624"/>
      <c r="H120" s="624"/>
      <c r="I120" s="624"/>
      <c r="J120" s="624"/>
      <c r="K120" s="624"/>
      <c r="L120" s="624"/>
      <c r="M120" s="624"/>
    </row>
    <row r="121" spans="5:13" ht="15">
      <c r="E121" s="624"/>
      <c r="F121" s="624"/>
      <c r="G121" s="624"/>
      <c r="H121" s="624"/>
      <c r="I121" s="624"/>
      <c r="J121" s="624"/>
      <c r="K121" s="624"/>
      <c r="L121" s="624"/>
      <c r="M121" s="624"/>
    </row>
    <row r="122" spans="5:13" ht="15">
      <c r="E122" s="624"/>
      <c r="F122" s="624"/>
      <c r="G122" s="624"/>
      <c r="H122" s="624"/>
      <c r="I122" s="624"/>
      <c r="J122" s="624"/>
      <c r="K122" s="624"/>
      <c r="L122" s="624"/>
      <c r="M122" s="624"/>
    </row>
    <row r="123" spans="5:13" ht="15">
      <c r="E123" s="624"/>
      <c r="F123" s="624"/>
      <c r="G123" s="624"/>
      <c r="H123" s="624"/>
      <c r="I123" s="624"/>
      <c r="J123" s="624"/>
      <c r="K123" s="624"/>
      <c r="L123" s="624"/>
      <c r="M123" s="624"/>
    </row>
    <row r="124" spans="5:13" ht="15">
      <c r="E124" s="624"/>
      <c r="F124" s="624"/>
      <c r="G124" s="624"/>
      <c r="H124" s="624"/>
      <c r="I124" s="624"/>
      <c r="J124" s="624"/>
      <c r="K124" s="624"/>
      <c r="L124" s="624"/>
      <c r="M124" s="624"/>
    </row>
    <row r="125" spans="5:13" ht="15">
      <c r="E125" s="624"/>
      <c r="F125" s="624"/>
      <c r="G125" s="624"/>
      <c r="H125" s="624"/>
      <c r="I125" s="624"/>
      <c r="J125" s="624"/>
      <c r="K125" s="624"/>
      <c r="L125" s="624"/>
      <c r="M125" s="624"/>
    </row>
    <row r="126" spans="5:13" ht="15">
      <c r="E126" s="624"/>
      <c r="F126" s="624"/>
      <c r="G126" s="624"/>
      <c r="H126" s="624"/>
      <c r="I126" s="624"/>
      <c r="J126" s="624"/>
      <c r="K126" s="624"/>
      <c r="L126" s="624"/>
      <c r="M126" s="624"/>
    </row>
    <row r="127" spans="5:13" ht="15">
      <c r="E127" s="624"/>
      <c r="F127" s="624"/>
      <c r="G127" s="624"/>
      <c r="H127" s="624"/>
      <c r="I127" s="624"/>
      <c r="J127" s="624"/>
      <c r="K127" s="624"/>
      <c r="L127" s="624"/>
      <c r="M127" s="624"/>
    </row>
    <row r="128" spans="5:13" ht="15">
      <c r="E128" s="624"/>
      <c r="F128" s="624"/>
      <c r="G128" s="624"/>
      <c r="H128" s="624"/>
      <c r="I128" s="624"/>
      <c r="J128" s="624"/>
      <c r="K128" s="624"/>
      <c r="L128" s="624"/>
      <c r="M128" s="624"/>
    </row>
    <row r="129" spans="5:13" ht="15">
      <c r="E129" s="624"/>
      <c r="F129" s="624"/>
      <c r="G129" s="624"/>
      <c r="H129" s="624"/>
      <c r="I129" s="624"/>
      <c r="J129" s="624"/>
      <c r="K129" s="624"/>
      <c r="L129" s="624"/>
      <c r="M129" s="624"/>
    </row>
    <row r="130" spans="5:13" ht="15">
      <c r="E130" s="624"/>
      <c r="F130" s="624"/>
      <c r="G130" s="624"/>
      <c r="H130" s="624"/>
      <c r="I130" s="624"/>
      <c r="J130" s="624"/>
      <c r="K130" s="624"/>
      <c r="L130" s="624"/>
      <c r="M130" s="624"/>
    </row>
    <row r="131" spans="5:13" ht="15">
      <c r="E131" s="624"/>
      <c r="F131" s="624"/>
      <c r="G131" s="624"/>
      <c r="H131" s="624"/>
      <c r="I131" s="624"/>
      <c r="J131" s="624"/>
      <c r="K131" s="624"/>
      <c r="L131" s="624"/>
      <c r="M131" s="624"/>
    </row>
    <row r="132" spans="5:13" ht="15">
      <c r="E132" s="624"/>
      <c r="F132" s="624"/>
      <c r="G132" s="624"/>
      <c r="H132" s="624"/>
      <c r="I132" s="624"/>
      <c r="J132" s="624"/>
      <c r="K132" s="624"/>
      <c r="L132" s="624"/>
      <c r="M132" s="624"/>
    </row>
    <row r="133" spans="5:13" ht="15">
      <c r="E133" s="624"/>
      <c r="F133" s="624"/>
      <c r="G133" s="624"/>
      <c r="H133" s="624"/>
      <c r="I133" s="624"/>
      <c r="J133" s="624"/>
      <c r="K133" s="624"/>
      <c r="L133" s="624"/>
      <c r="M133" s="624"/>
    </row>
    <row r="134" spans="5:13" ht="15">
      <c r="E134" s="624"/>
      <c r="F134" s="624"/>
      <c r="G134" s="624"/>
      <c r="H134" s="624"/>
      <c r="I134" s="624"/>
      <c r="J134" s="624"/>
      <c r="K134" s="624"/>
      <c r="L134" s="624"/>
      <c r="M134" s="624"/>
    </row>
    <row r="135" spans="5:13" ht="15">
      <c r="E135" s="624"/>
      <c r="F135" s="624"/>
      <c r="G135" s="624"/>
      <c r="H135" s="624"/>
      <c r="I135" s="624"/>
      <c r="J135" s="624"/>
      <c r="K135" s="624"/>
      <c r="L135" s="624"/>
      <c r="M135" s="624"/>
    </row>
    <row r="136" spans="5:13" ht="15">
      <c r="E136" s="624"/>
      <c r="F136" s="624"/>
      <c r="G136" s="624"/>
      <c r="H136" s="624"/>
      <c r="I136" s="624"/>
      <c r="J136" s="624"/>
      <c r="K136" s="624"/>
      <c r="L136" s="624"/>
      <c r="M136" s="624"/>
    </row>
    <row r="137" spans="5:13" ht="15">
      <c r="E137" s="624"/>
      <c r="F137" s="624"/>
      <c r="G137" s="624"/>
      <c r="H137" s="624"/>
      <c r="I137" s="624"/>
      <c r="J137" s="624"/>
      <c r="K137" s="624"/>
      <c r="L137" s="624"/>
      <c r="M137" s="624"/>
    </row>
    <row r="138" spans="5:13" ht="15">
      <c r="E138" s="624"/>
      <c r="F138" s="624"/>
      <c r="G138" s="624"/>
      <c r="H138" s="624"/>
      <c r="I138" s="624"/>
      <c r="J138" s="624"/>
      <c r="K138" s="624"/>
      <c r="L138" s="624"/>
      <c r="M138" s="624"/>
    </row>
    <row r="139" spans="5:13" ht="15">
      <c r="E139" s="624"/>
      <c r="F139" s="624"/>
      <c r="G139" s="624"/>
      <c r="H139" s="624"/>
      <c r="I139" s="624"/>
      <c r="J139" s="624"/>
      <c r="K139" s="624"/>
      <c r="L139" s="624"/>
      <c r="M139" s="624"/>
    </row>
    <row r="140" spans="5:13" ht="15">
      <c r="E140" s="624"/>
      <c r="F140" s="624"/>
      <c r="G140" s="624"/>
      <c r="H140" s="624"/>
      <c r="I140" s="624"/>
      <c r="J140" s="624"/>
      <c r="K140" s="624"/>
      <c r="L140" s="624"/>
      <c r="M140" s="624"/>
    </row>
    <row r="141" spans="5:13" ht="15">
      <c r="E141" s="624"/>
      <c r="F141" s="624"/>
      <c r="G141" s="624"/>
      <c r="H141" s="624"/>
      <c r="I141" s="624"/>
      <c r="J141" s="624"/>
      <c r="K141" s="624"/>
      <c r="L141" s="624"/>
      <c r="M141" s="624"/>
    </row>
    <row r="142" spans="5:13" ht="15">
      <c r="E142" s="624"/>
      <c r="F142" s="624"/>
      <c r="G142" s="624"/>
      <c r="H142" s="624"/>
      <c r="I142" s="624"/>
      <c r="J142" s="624"/>
      <c r="K142" s="624"/>
      <c r="L142" s="624"/>
      <c r="M142" s="624"/>
    </row>
    <row r="143" spans="5:13" ht="15">
      <c r="E143" s="624"/>
      <c r="F143" s="624"/>
      <c r="G143" s="624"/>
      <c r="H143" s="624"/>
      <c r="I143" s="624"/>
      <c r="J143" s="624"/>
      <c r="K143" s="624"/>
      <c r="L143" s="624"/>
      <c r="M143" s="624"/>
    </row>
    <row r="144" spans="5:13" ht="15">
      <c r="E144" s="624"/>
      <c r="F144" s="624"/>
      <c r="G144" s="624"/>
      <c r="H144" s="624"/>
      <c r="I144" s="624"/>
      <c r="J144" s="624"/>
      <c r="K144" s="624"/>
      <c r="L144" s="624"/>
      <c r="M144" s="624"/>
    </row>
    <row r="145" spans="5:13" ht="15">
      <c r="E145" s="624"/>
      <c r="F145" s="624"/>
      <c r="G145" s="624"/>
      <c r="H145" s="624"/>
      <c r="I145" s="624"/>
      <c r="J145" s="624"/>
      <c r="K145" s="624"/>
      <c r="L145" s="624"/>
      <c r="M145" s="624"/>
    </row>
    <row r="146" spans="5:13" ht="15">
      <c r="E146" s="624"/>
      <c r="F146" s="624"/>
      <c r="G146" s="624"/>
      <c r="H146" s="624"/>
      <c r="I146" s="624"/>
      <c r="J146" s="624"/>
      <c r="K146" s="624"/>
      <c r="L146" s="624"/>
      <c r="M146" s="624"/>
    </row>
    <row r="147" spans="5:13" ht="15">
      <c r="E147" s="624"/>
      <c r="F147" s="624"/>
      <c r="G147" s="624"/>
      <c r="H147" s="624"/>
      <c r="I147" s="624"/>
      <c r="J147" s="624"/>
      <c r="K147" s="624"/>
      <c r="L147" s="624"/>
      <c r="M147" s="624"/>
    </row>
    <row r="148" spans="5:13" ht="15">
      <c r="E148" s="624"/>
      <c r="F148" s="624"/>
      <c r="G148" s="624"/>
      <c r="H148" s="624"/>
      <c r="I148" s="624"/>
      <c r="J148" s="624"/>
      <c r="K148" s="624"/>
      <c r="L148" s="624"/>
      <c r="M148" s="624"/>
    </row>
    <row r="149" spans="5:13" ht="15">
      <c r="E149" s="624"/>
      <c r="F149" s="624"/>
      <c r="G149" s="624"/>
      <c r="H149" s="624"/>
      <c r="I149" s="624"/>
      <c r="J149" s="624"/>
      <c r="K149" s="624"/>
      <c r="L149" s="624"/>
      <c r="M149" s="624"/>
    </row>
    <row r="150" spans="5:13" ht="15">
      <c r="E150" s="624"/>
      <c r="F150" s="624"/>
      <c r="G150" s="624"/>
      <c r="H150" s="624"/>
      <c r="I150" s="624"/>
      <c r="J150" s="624"/>
      <c r="K150" s="624"/>
      <c r="L150" s="624"/>
      <c r="M150" s="624"/>
    </row>
    <row r="151" spans="5:13" ht="15">
      <c r="E151" s="624"/>
      <c r="F151" s="624"/>
      <c r="G151" s="624"/>
      <c r="H151" s="624"/>
      <c r="I151" s="624"/>
      <c r="J151" s="624"/>
      <c r="K151" s="624"/>
      <c r="L151" s="624"/>
      <c r="M151" s="624"/>
    </row>
    <row r="152" spans="5:13" ht="15">
      <c r="E152" s="624"/>
      <c r="F152" s="624"/>
      <c r="G152" s="624"/>
      <c r="H152" s="624"/>
      <c r="I152" s="624"/>
      <c r="J152" s="624"/>
      <c r="K152" s="624"/>
      <c r="L152" s="624"/>
      <c r="M152" s="624"/>
    </row>
    <row r="153" spans="5:13" ht="15">
      <c r="E153" s="624"/>
      <c r="F153" s="624"/>
      <c r="G153" s="624"/>
      <c r="H153" s="624"/>
      <c r="I153" s="624"/>
      <c r="J153" s="624"/>
      <c r="K153" s="624"/>
      <c r="L153" s="624"/>
      <c r="M153" s="624"/>
    </row>
    <row r="154" spans="5:13" ht="15">
      <c r="E154" s="624"/>
      <c r="F154" s="624"/>
      <c r="G154" s="624"/>
      <c r="H154" s="624"/>
      <c r="I154" s="624"/>
      <c r="J154" s="624"/>
      <c r="K154" s="624"/>
      <c r="L154" s="624"/>
      <c r="M154" s="624"/>
    </row>
    <row r="155" spans="5:13" ht="15">
      <c r="E155" s="624"/>
      <c r="F155" s="624"/>
      <c r="G155" s="624"/>
      <c r="H155" s="624"/>
      <c r="I155" s="624"/>
      <c r="J155" s="624"/>
      <c r="K155" s="624"/>
      <c r="L155" s="624"/>
      <c r="M155" s="624"/>
    </row>
    <row r="156" spans="5:13" ht="15">
      <c r="E156" s="624"/>
      <c r="F156" s="624"/>
      <c r="G156" s="624"/>
      <c r="H156" s="624"/>
      <c r="I156" s="624"/>
      <c r="J156" s="624"/>
      <c r="K156" s="624"/>
      <c r="L156" s="624"/>
      <c r="M156" s="624"/>
    </row>
    <row r="157" spans="5:13" ht="15">
      <c r="E157" s="624"/>
      <c r="F157" s="624"/>
      <c r="G157" s="624"/>
      <c r="H157" s="624"/>
      <c r="I157" s="624"/>
      <c r="J157" s="624"/>
      <c r="K157" s="624"/>
      <c r="L157" s="624"/>
      <c r="M157" s="624"/>
    </row>
    <row r="158" spans="5:13" ht="15">
      <c r="E158" s="624"/>
      <c r="F158" s="624"/>
      <c r="G158" s="624"/>
      <c r="H158" s="624"/>
      <c r="I158" s="624"/>
      <c r="J158" s="624"/>
      <c r="K158" s="624"/>
      <c r="L158" s="624"/>
      <c r="M158" s="624"/>
    </row>
    <row r="159" spans="5:13" ht="15">
      <c r="E159" s="624"/>
      <c r="F159" s="624"/>
      <c r="G159" s="624"/>
      <c r="H159" s="624"/>
      <c r="I159" s="624"/>
      <c r="J159" s="624"/>
      <c r="K159" s="624"/>
      <c r="L159" s="624"/>
      <c r="M159" s="624"/>
    </row>
    <row r="160" spans="5:13" ht="15">
      <c r="E160" s="624"/>
      <c r="F160" s="624"/>
      <c r="G160" s="624"/>
      <c r="H160" s="624"/>
      <c r="I160" s="624"/>
      <c r="J160" s="624"/>
      <c r="K160" s="624"/>
      <c r="L160" s="624"/>
      <c r="M160" s="624"/>
    </row>
    <row r="161" spans="5:13" ht="15">
      <c r="E161" s="624"/>
      <c r="F161" s="624"/>
      <c r="G161" s="624"/>
      <c r="H161" s="624"/>
      <c r="I161" s="624"/>
      <c r="J161" s="624"/>
      <c r="K161" s="624"/>
      <c r="L161" s="624"/>
      <c r="M161" s="624"/>
    </row>
    <row r="162" spans="5:13" ht="15">
      <c r="E162" s="624"/>
      <c r="F162" s="624"/>
      <c r="G162" s="624"/>
      <c r="H162" s="624"/>
      <c r="I162" s="624"/>
      <c r="J162" s="624"/>
      <c r="K162" s="624"/>
      <c r="L162" s="624"/>
      <c r="M162" s="624"/>
    </row>
    <row r="163" spans="5:13" ht="15">
      <c r="E163" s="624"/>
      <c r="F163" s="624"/>
      <c r="G163" s="624"/>
      <c r="H163" s="624"/>
      <c r="I163" s="624"/>
      <c r="J163" s="624"/>
      <c r="K163" s="624"/>
      <c r="L163" s="624"/>
      <c r="M163" s="624"/>
    </row>
    <row r="164" spans="5:13" ht="15">
      <c r="E164" s="624"/>
      <c r="F164" s="624"/>
      <c r="G164" s="624"/>
      <c r="H164" s="624"/>
      <c r="I164" s="624"/>
      <c r="J164" s="624"/>
      <c r="K164" s="624"/>
      <c r="L164" s="624"/>
      <c r="M164" s="624"/>
    </row>
    <row r="165" spans="5:13" ht="15">
      <c r="E165" s="624"/>
      <c r="F165" s="624"/>
      <c r="G165" s="624"/>
      <c r="H165" s="624"/>
      <c r="I165" s="624"/>
      <c r="J165" s="624"/>
      <c r="K165" s="624"/>
      <c r="L165" s="624"/>
      <c r="M165" s="624"/>
    </row>
    <row r="166" spans="5:13" ht="15">
      <c r="E166" s="624"/>
      <c r="F166" s="624"/>
      <c r="G166" s="624"/>
      <c r="H166" s="624"/>
      <c r="I166" s="624"/>
      <c r="J166" s="624"/>
      <c r="K166" s="624"/>
      <c r="L166" s="624"/>
      <c r="M166" s="624"/>
    </row>
    <row r="167" spans="5:13" ht="15">
      <c r="E167" s="624"/>
      <c r="F167" s="624"/>
      <c r="G167" s="624"/>
      <c r="H167" s="624"/>
      <c r="I167" s="624"/>
      <c r="J167" s="624"/>
      <c r="K167" s="624"/>
      <c r="L167" s="624"/>
      <c r="M167" s="624"/>
    </row>
    <row r="168" spans="5:13" ht="15">
      <c r="E168" s="624"/>
      <c r="F168" s="624"/>
      <c r="G168" s="624"/>
      <c r="H168" s="624"/>
      <c r="I168" s="624"/>
      <c r="J168" s="624"/>
      <c r="K168" s="624"/>
      <c r="L168" s="624"/>
      <c r="M168" s="624"/>
    </row>
    <row r="169" spans="5:13" ht="15">
      <c r="E169" s="624"/>
      <c r="F169" s="624"/>
      <c r="G169" s="624"/>
      <c r="H169" s="624"/>
      <c r="I169" s="624"/>
      <c r="J169" s="624"/>
      <c r="K169" s="624"/>
      <c r="L169" s="624"/>
      <c r="M169" s="624"/>
    </row>
    <row r="170" spans="5:13" ht="15">
      <c r="E170" s="624"/>
      <c r="F170" s="624"/>
      <c r="G170" s="624"/>
      <c r="H170" s="624"/>
      <c r="I170" s="624"/>
      <c r="J170" s="624"/>
      <c r="K170" s="624"/>
      <c r="L170" s="624"/>
      <c r="M170" s="624"/>
    </row>
    <row r="171" spans="5:13" ht="15">
      <c r="E171" s="624"/>
      <c r="F171" s="624"/>
      <c r="G171" s="624"/>
      <c r="H171" s="624"/>
      <c r="I171" s="624"/>
      <c r="J171" s="624"/>
      <c r="K171" s="624"/>
      <c r="L171" s="624"/>
      <c r="M171" s="624"/>
    </row>
    <row r="172" spans="5:13" ht="15">
      <c r="E172" s="624"/>
      <c r="F172" s="624"/>
      <c r="G172" s="624"/>
      <c r="H172" s="624"/>
      <c r="I172" s="624"/>
      <c r="J172" s="624"/>
      <c r="K172" s="624"/>
      <c r="L172" s="624"/>
      <c r="M172" s="624"/>
    </row>
    <row r="173" spans="5:13" ht="15">
      <c r="E173" s="624"/>
      <c r="F173" s="624"/>
      <c r="G173" s="624"/>
      <c r="H173" s="624"/>
      <c r="I173" s="624"/>
      <c r="J173" s="624"/>
      <c r="K173" s="624"/>
      <c r="L173" s="624"/>
      <c r="M173" s="624"/>
    </row>
    <row r="174" spans="5:13" ht="15">
      <c r="E174" s="624"/>
      <c r="F174" s="624"/>
      <c r="G174" s="624"/>
      <c r="H174" s="624"/>
      <c r="I174" s="624"/>
      <c r="J174" s="624"/>
      <c r="K174" s="624"/>
      <c r="L174" s="624"/>
      <c r="M174" s="624"/>
    </row>
    <row r="175" spans="5:13" ht="15">
      <c r="E175" s="624"/>
      <c r="F175" s="624"/>
      <c r="G175" s="624"/>
      <c r="H175" s="624"/>
      <c r="I175" s="624"/>
      <c r="J175" s="624"/>
      <c r="K175" s="624"/>
      <c r="L175" s="624"/>
      <c r="M175" s="624"/>
    </row>
    <row r="176" spans="5:13" ht="15">
      <c r="E176" s="624"/>
      <c r="F176" s="624"/>
      <c r="G176" s="624"/>
      <c r="H176" s="624"/>
      <c r="I176" s="624"/>
      <c r="J176" s="624"/>
      <c r="K176" s="624"/>
      <c r="L176" s="624"/>
      <c r="M176" s="624"/>
    </row>
    <row r="177" spans="5:13" ht="15">
      <c r="E177" s="624"/>
      <c r="F177" s="624"/>
      <c r="G177" s="624"/>
      <c r="H177" s="624"/>
      <c r="I177" s="624"/>
      <c r="J177" s="624"/>
      <c r="K177" s="624"/>
      <c r="L177" s="624"/>
      <c r="M177" s="624"/>
    </row>
    <row r="178" spans="5:13" ht="15">
      <c r="E178" s="624"/>
      <c r="F178" s="624"/>
      <c r="G178" s="624"/>
      <c r="H178" s="624"/>
      <c r="I178" s="624"/>
      <c r="J178" s="624"/>
      <c r="K178" s="624"/>
      <c r="L178" s="624"/>
      <c r="M178" s="624"/>
    </row>
    <row r="179" spans="5:13" ht="15">
      <c r="E179" s="624"/>
      <c r="F179" s="624"/>
      <c r="G179" s="624"/>
      <c r="H179" s="624"/>
      <c r="I179" s="624"/>
      <c r="J179" s="624"/>
      <c r="K179" s="624"/>
      <c r="L179" s="624"/>
      <c r="M179" s="624"/>
    </row>
    <row r="180" spans="5:13" ht="15">
      <c r="E180" s="624"/>
      <c r="F180" s="624"/>
      <c r="G180" s="624"/>
      <c r="H180" s="624"/>
      <c r="I180" s="624"/>
      <c r="J180" s="624"/>
      <c r="K180" s="624"/>
      <c r="L180" s="624"/>
      <c r="M180" s="624"/>
    </row>
    <row r="181" spans="5:13" ht="15">
      <c r="E181" s="624"/>
      <c r="F181" s="624"/>
      <c r="G181" s="624"/>
      <c r="H181" s="624"/>
      <c r="I181" s="624"/>
      <c r="J181" s="624"/>
      <c r="K181" s="624"/>
      <c r="L181" s="624"/>
      <c r="M181" s="624"/>
    </row>
    <row r="182" spans="5:13" ht="15">
      <c r="E182" s="624"/>
      <c r="F182" s="624"/>
      <c r="G182" s="624"/>
      <c r="H182" s="624"/>
      <c r="I182" s="624"/>
      <c r="J182" s="624"/>
      <c r="K182" s="624"/>
      <c r="L182" s="624"/>
      <c r="M182" s="624"/>
    </row>
    <row r="183" spans="5:13" ht="15">
      <c r="E183" s="624"/>
      <c r="F183" s="624"/>
      <c r="G183" s="624"/>
      <c r="H183" s="624"/>
      <c r="I183" s="624"/>
      <c r="J183" s="624"/>
      <c r="K183" s="624"/>
      <c r="L183" s="624"/>
      <c r="M183" s="624"/>
    </row>
    <row r="184" spans="5:13" ht="15">
      <c r="E184" s="624"/>
      <c r="F184" s="624"/>
      <c r="G184" s="624"/>
      <c r="H184" s="624"/>
      <c r="I184" s="624"/>
      <c r="J184" s="624"/>
      <c r="K184" s="624"/>
      <c r="L184" s="624"/>
      <c r="M184" s="624"/>
    </row>
    <row r="185" spans="5:13" ht="15">
      <c r="E185" s="624"/>
      <c r="F185" s="624"/>
      <c r="G185" s="624"/>
      <c r="H185" s="624"/>
      <c r="I185" s="624"/>
      <c r="J185" s="624"/>
      <c r="K185" s="624"/>
      <c r="L185" s="624"/>
      <c r="M185" s="624"/>
    </row>
    <row r="186" spans="5:13" ht="15">
      <c r="E186" s="624"/>
      <c r="F186" s="624"/>
      <c r="G186" s="624"/>
      <c r="H186" s="624"/>
      <c r="I186" s="624"/>
      <c r="J186" s="624"/>
      <c r="K186" s="624"/>
      <c r="L186" s="624"/>
      <c r="M186" s="624"/>
    </row>
    <row r="187" spans="5:13" ht="15">
      <c r="E187" s="624"/>
      <c r="F187" s="624"/>
      <c r="G187" s="624"/>
      <c r="H187" s="624"/>
      <c r="I187" s="624"/>
      <c r="J187" s="624"/>
      <c r="K187" s="624"/>
      <c r="L187" s="624"/>
      <c r="M187" s="624"/>
    </row>
    <row r="188" spans="5:13" ht="15">
      <c r="E188" s="624"/>
      <c r="F188" s="624"/>
      <c r="G188" s="624"/>
      <c r="H188" s="624"/>
      <c r="I188" s="624"/>
      <c r="J188" s="624"/>
      <c r="K188" s="624"/>
      <c r="L188" s="624"/>
      <c r="M188" s="624"/>
    </row>
    <row r="189" spans="5:13" ht="15">
      <c r="E189" s="624"/>
      <c r="F189" s="624"/>
      <c r="G189" s="624"/>
      <c r="H189" s="624"/>
      <c r="I189" s="624"/>
      <c r="J189" s="624"/>
      <c r="K189" s="624"/>
      <c r="L189" s="624"/>
      <c r="M189" s="624"/>
    </row>
    <row r="190" spans="5:13" ht="15">
      <c r="E190" s="624"/>
      <c r="F190" s="624"/>
      <c r="G190" s="624"/>
      <c r="H190" s="624"/>
      <c r="I190" s="624"/>
      <c r="J190" s="624"/>
      <c r="K190" s="624"/>
      <c r="L190" s="624"/>
      <c r="M190" s="624"/>
    </row>
    <row r="191" spans="5:13" ht="15">
      <c r="E191" s="624"/>
      <c r="F191" s="624"/>
      <c r="G191" s="624"/>
      <c r="H191" s="624"/>
      <c r="I191" s="624"/>
      <c r="J191" s="624"/>
      <c r="K191" s="624"/>
      <c r="L191" s="624"/>
      <c r="M191" s="624"/>
    </row>
    <row r="192" spans="5:13" ht="15">
      <c r="E192" s="624"/>
      <c r="F192" s="624"/>
      <c r="G192" s="624"/>
      <c r="H192" s="624"/>
      <c r="I192" s="624"/>
      <c r="J192" s="624"/>
      <c r="K192" s="624"/>
      <c r="L192" s="624"/>
      <c r="M192" s="624"/>
    </row>
    <row r="193" spans="5:13" ht="15">
      <c r="E193" s="624"/>
      <c r="F193" s="624"/>
      <c r="G193" s="624"/>
      <c r="H193" s="624"/>
      <c r="I193" s="624"/>
      <c r="J193" s="624"/>
      <c r="K193" s="624"/>
      <c r="L193" s="624"/>
      <c r="M193" s="624"/>
    </row>
    <row r="194" spans="5:13" ht="15">
      <c r="E194" s="624"/>
      <c r="F194" s="624"/>
      <c r="G194" s="624"/>
      <c r="H194" s="624"/>
      <c r="I194" s="624"/>
      <c r="J194" s="624"/>
      <c r="K194" s="624"/>
      <c r="L194" s="624"/>
      <c r="M194" s="624"/>
    </row>
    <row r="195" spans="5:13" ht="15">
      <c r="E195" s="624"/>
      <c r="F195" s="624"/>
      <c r="G195" s="624"/>
      <c r="H195" s="624"/>
      <c r="I195" s="624"/>
      <c r="J195" s="624"/>
      <c r="K195" s="624"/>
      <c r="L195" s="624"/>
      <c r="M195" s="624"/>
    </row>
    <row r="196" spans="5:13" ht="15">
      <c r="E196" s="624"/>
      <c r="F196" s="624"/>
      <c r="G196" s="624"/>
      <c r="H196" s="624"/>
      <c r="I196" s="624"/>
      <c r="J196" s="624"/>
      <c r="K196" s="624"/>
      <c r="L196" s="624"/>
      <c r="M196" s="624"/>
    </row>
    <row r="197" spans="5:13" ht="15">
      <c r="E197" s="624"/>
      <c r="F197" s="624"/>
      <c r="G197" s="624"/>
      <c r="H197" s="624"/>
      <c r="I197" s="624"/>
      <c r="J197" s="624"/>
      <c r="K197" s="624"/>
      <c r="L197" s="624"/>
      <c r="M197" s="624"/>
    </row>
    <row r="198" spans="5:13" ht="15">
      <c r="E198" s="624"/>
      <c r="F198" s="624"/>
      <c r="G198" s="624"/>
      <c r="H198" s="624"/>
      <c r="I198" s="624"/>
      <c r="J198" s="624"/>
      <c r="K198" s="624"/>
      <c r="L198" s="624"/>
      <c r="M198" s="624"/>
    </row>
    <row r="199" spans="5:13" ht="15">
      <c r="E199" s="624"/>
      <c r="F199" s="624"/>
      <c r="G199" s="624"/>
      <c r="H199" s="624"/>
      <c r="I199" s="624"/>
      <c r="J199" s="624"/>
      <c r="K199" s="624"/>
      <c r="L199" s="624"/>
      <c r="M199" s="624"/>
    </row>
    <row r="200" spans="5:13" ht="15">
      <c r="E200" s="624"/>
      <c r="F200" s="624"/>
      <c r="G200" s="624"/>
      <c r="H200" s="624"/>
      <c r="I200" s="624"/>
      <c r="J200" s="624"/>
      <c r="K200" s="624"/>
      <c r="L200" s="624"/>
      <c r="M200" s="624"/>
    </row>
    <row r="201" spans="5:13" ht="15">
      <c r="E201" s="624"/>
      <c r="F201" s="624"/>
      <c r="G201" s="624"/>
      <c r="H201" s="624"/>
      <c r="I201" s="624"/>
      <c r="J201" s="624"/>
      <c r="K201" s="624"/>
      <c r="L201" s="624"/>
      <c r="M201" s="624"/>
    </row>
    <row r="202" spans="5:13" ht="15">
      <c r="E202" s="624"/>
      <c r="F202" s="624"/>
      <c r="G202" s="624"/>
      <c r="H202" s="624"/>
      <c r="I202" s="624"/>
      <c r="J202" s="624"/>
      <c r="K202" s="624"/>
      <c r="L202" s="624"/>
      <c r="M202" s="624"/>
    </row>
    <row r="203" spans="5:13" ht="15">
      <c r="E203" s="624"/>
      <c r="F203" s="624"/>
      <c r="G203" s="624"/>
      <c r="H203" s="624"/>
      <c r="I203" s="624"/>
      <c r="J203" s="624"/>
      <c r="K203" s="624"/>
      <c r="L203" s="624"/>
      <c r="M203" s="624"/>
    </row>
    <row r="204" spans="5:13" ht="15">
      <c r="E204" s="624"/>
      <c r="F204" s="624"/>
      <c r="G204" s="624"/>
      <c r="H204" s="624"/>
      <c r="I204" s="624"/>
      <c r="J204" s="624"/>
      <c r="K204" s="624"/>
      <c r="L204" s="624"/>
      <c r="M204" s="624"/>
    </row>
    <row r="205" spans="5:13" ht="15">
      <c r="E205" s="624"/>
      <c r="F205" s="624"/>
      <c r="G205" s="624"/>
      <c r="H205" s="624"/>
      <c r="I205" s="624"/>
      <c r="J205" s="624"/>
      <c r="K205" s="624"/>
      <c r="L205" s="624"/>
      <c r="M205" s="624"/>
    </row>
    <row r="206" spans="5:13" ht="15">
      <c r="E206" s="624"/>
      <c r="F206" s="624"/>
      <c r="G206" s="624"/>
      <c r="H206" s="624"/>
      <c r="I206" s="624"/>
      <c r="J206" s="624"/>
      <c r="K206" s="624"/>
      <c r="L206" s="624"/>
      <c r="M206" s="624"/>
    </row>
    <row r="207" spans="5:13" ht="15">
      <c r="E207" s="624"/>
      <c r="F207" s="624"/>
      <c r="G207" s="624"/>
      <c r="H207" s="624"/>
      <c r="I207" s="624"/>
      <c r="J207" s="624"/>
      <c r="K207" s="624"/>
      <c r="L207" s="624"/>
      <c r="M207" s="624"/>
    </row>
    <row r="208" spans="5:13" ht="15">
      <c r="E208" s="624"/>
      <c r="F208" s="624"/>
      <c r="G208" s="624"/>
      <c r="H208" s="624"/>
      <c r="I208" s="624"/>
      <c r="J208" s="624"/>
      <c r="K208" s="624"/>
      <c r="L208" s="624"/>
      <c r="M208" s="624"/>
    </row>
    <row r="209" spans="5:13" ht="15">
      <c r="E209" s="624"/>
      <c r="F209" s="624"/>
      <c r="G209" s="624"/>
      <c r="H209" s="624"/>
      <c r="I209" s="624"/>
      <c r="J209" s="624"/>
      <c r="K209" s="624"/>
      <c r="L209" s="624"/>
      <c r="M209" s="624"/>
    </row>
    <row r="210" spans="5:13" ht="15">
      <c r="E210" s="624"/>
      <c r="F210" s="624"/>
      <c r="G210" s="624"/>
      <c r="H210" s="624"/>
      <c r="I210" s="624"/>
      <c r="J210" s="624"/>
      <c r="K210" s="624"/>
      <c r="L210" s="624"/>
      <c r="M210" s="624"/>
    </row>
    <row r="211" spans="5:13" ht="15">
      <c r="E211" s="624"/>
      <c r="F211" s="624"/>
      <c r="G211" s="624"/>
      <c r="H211" s="624"/>
      <c r="I211" s="624"/>
      <c r="J211" s="624"/>
      <c r="K211" s="624"/>
      <c r="L211" s="624"/>
      <c r="M211" s="624"/>
    </row>
    <row r="212" spans="5:13" ht="15">
      <c r="E212" s="624"/>
      <c r="F212" s="624"/>
      <c r="G212" s="624"/>
      <c r="H212" s="624"/>
      <c r="I212" s="624"/>
      <c r="J212" s="624"/>
      <c r="K212" s="624"/>
      <c r="L212" s="624"/>
      <c r="M212" s="624"/>
    </row>
    <row r="213" spans="5:13" ht="15">
      <c r="E213" s="624"/>
      <c r="F213" s="624"/>
      <c r="G213" s="624"/>
      <c r="H213" s="624"/>
      <c r="I213" s="624"/>
      <c r="J213" s="624"/>
      <c r="K213" s="624"/>
      <c r="L213" s="624"/>
      <c r="M213" s="624"/>
    </row>
    <row r="214" spans="5:13" ht="15">
      <c r="E214" s="624"/>
      <c r="F214" s="624"/>
      <c r="G214" s="624"/>
      <c r="H214" s="624"/>
      <c r="I214" s="624"/>
      <c r="J214" s="624"/>
      <c r="K214" s="624"/>
      <c r="L214" s="624"/>
      <c r="M214" s="624"/>
    </row>
    <row r="215" spans="5:13" ht="15">
      <c r="E215" s="624"/>
      <c r="F215" s="624"/>
      <c r="G215" s="624"/>
      <c r="H215" s="624"/>
      <c r="I215" s="624"/>
      <c r="J215" s="624"/>
      <c r="K215" s="624"/>
      <c r="L215" s="624"/>
      <c r="M215" s="624"/>
    </row>
    <row r="216" spans="5:13" ht="15">
      <c r="E216" s="624"/>
      <c r="F216" s="624"/>
      <c r="G216" s="624"/>
      <c r="H216" s="624"/>
      <c r="I216" s="624"/>
      <c r="J216" s="624"/>
      <c r="K216" s="624"/>
      <c r="L216" s="624"/>
      <c r="M216" s="624"/>
    </row>
    <row r="217" spans="5:13" ht="15">
      <c r="E217" s="624"/>
      <c r="F217" s="624"/>
      <c r="G217" s="624"/>
      <c r="H217" s="624"/>
      <c r="I217" s="624"/>
      <c r="J217" s="624"/>
      <c r="K217" s="624"/>
      <c r="L217" s="624"/>
      <c r="M217" s="624"/>
    </row>
    <row r="218" spans="5:13" ht="15">
      <c r="E218" s="624"/>
      <c r="F218" s="624"/>
      <c r="G218" s="624"/>
      <c r="H218" s="624"/>
      <c r="I218" s="624"/>
      <c r="J218" s="624"/>
      <c r="K218" s="624"/>
      <c r="L218" s="624"/>
      <c r="M218" s="624"/>
    </row>
    <row r="219" spans="5:13" ht="15">
      <c r="E219" s="624"/>
      <c r="F219" s="624"/>
      <c r="G219" s="624"/>
      <c r="H219" s="624"/>
      <c r="I219" s="624"/>
      <c r="J219" s="624"/>
      <c r="K219" s="624"/>
      <c r="L219" s="624"/>
      <c r="M219" s="624"/>
    </row>
    <row r="220" spans="5:13" ht="15">
      <c r="E220" s="624"/>
      <c r="F220" s="624"/>
      <c r="G220" s="624"/>
      <c r="H220" s="624"/>
      <c r="I220" s="624"/>
      <c r="J220" s="624"/>
      <c r="K220" s="624"/>
      <c r="L220" s="624"/>
      <c r="M220" s="624"/>
    </row>
    <row r="221" spans="5:13" ht="15">
      <c r="E221" s="624"/>
      <c r="F221" s="624"/>
      <c r="G221" s="624"/>
      <c r="H221" s="624"/>
      <c r="I221" s="624"/>
      <c r="J221" s="624"/>
      <c r="K221" s="624"/>
      <c r="L221" s="624"/>
      <c r="M221" s="624"/>
    </row>
    <row r="222" spans="5:13" ht="15">
      <c r="E222" s="624"/>
      <c r="F222" s="624"/>
      <c r="G222" s="624"/>
      <c r="H222" s="624"/>
      <c r="I222" s="624"/>
      <c r="J222" s="624"/>
      <c r="K222" s="624"/>
      <c r="L222" s="624"/>
      <c r="M222" s="624"/>
    </row>
    <row r="223" spans="5:13" ht="15">
      <c r="E223" s="624"/>
      <c r="F223" s="624"/>
      <c r="G223" s="624"/>
      <c r="H223" s="624"/>
      <c r="I223" s="624"/>
      <c r="J223" s="624"/>
      <c r="K223" s="624"/>
      <c r="L223" s="624"/>
      <c r="M223" s="624"/>
    </row>
    <row r="224" spans="5:13" ht="15">
      <c r="E224" s="624"/>
      <c r="F224" s="624"/>
      <c r="G224" s="624"/>
      <c r="H224" s="624"/>
      <c r="I224" s="624"/>
      <c r="J224" s="624"/>
      <c r="K224" s="624"/>
      <c r="L224" s="624"/>
      <c r="M224" s="624"/>
    </row>
    <row r="225" spans="5:13" ht="15">
      <c r="E225" s="624"/>
      <c r="F225" s="624"/>
      <c r="G225" s="624"/>
      <c r="H225" s="624"/>
      <c r="I225" s="624"/>
      <c r="J225" s="624"/>
      <c r="K225" s="624"/>
      <c r="L225" s="624"/>
      <c r="M225" s="624"/>
    </row>
    <row r="226" spans="5:13" ht="15">
      <c r="E226" s="624"/>
      <c r="F226" s="624"/>
      <c r="G226" s="624"/>
      <c r="H226" s="624"/>
      <c r="I226" s="624"/>
      <c r="J226" s="624"/>
      <c r="K226" s="624"/>
      <c r="L226" s="624"/>
      <c r="M226" s="624"/>
    </row>
    <row r="227" spans="5:13" ht="15">
      <c r="E227" s="624"/>
      <c r="F227" s="624"/>
      <c r="G227" s="624"/>
      <c r="H227" s="624"/>
      <c r="I227" s="624"/>
      <c r="J227" s="624"/>
      <c r="K227" s="624"/>
      <c r="L227" s="624"/>
      <c r="M227" s="624"/>
    </row>
    <row r="228" spans="5:13" ht="15">
      <c r="E228" s="624"/>
      <c r="F228" s="624"/>
      <c r="G228" s="624"/>
      <c r="H228" s="624"/>
      <c r="I228" s="624"/>
      <c r="J228" s="624"/>
      <c r="K228" s="624"/>
      <c r="L228" s="624"/>
      <c r="M228" s="624"/>
    </row>
    <row r="229" spans="5:13" ht="15">
      <c r="E229" s="624"/>
      <c r="F229" s="624"/>
      <c r="G229" s="624"/>
      <c r="H229" s="624"/>
      <c r="I229" s="624"/>
      <c r="J229" s="624"/>
      <c r="K229" s="624"/>
      <c r="L229" s="624"/>
      <c r="M229" s="624"/>
    </row>
    <row r="230" spans="5:13" ht="15">
      <c r="E230" s="624"/>
      <c r="F230" s="624"/>
      <c r="G230" s="624"/>
      <c r="H230" s="624"/>
      <c r="I230" s="624"/>
      <c r="J230" s="624"/>
      <c r="K230" s="624"/>
      <c r="L230" s="624"/>
      <c r="M230" s="624"/>
    </row>
    <row r="231" spans="5:13" ht="15">
      <c r="E231" s="624"/>
      <c r="F231" s="624"/>
      <c r="G231" s="624"/>
      <c r="H231" s="624"/>
      <c r="I231" s="624"/>
      <c r="J231" s="624"/>
      <c r="K231" s="624"/>
      <c r="L231" s="624"/>
      <c r="M231" s="624"/>
    </row>
    <row r="232" spans="5:13" ht="15">
      <c r="E232" s="624"/>
      <c r="F232" s="624"/>
      <c r="G232" s="624"/>
      <c r="H232" s="624"/>
      <c r="I232" s="624"/>
      <c r="J232" s="624"/>
      <c r="K232" s="624"/>
      <c r="L232" s="624"/>
      <c r="M232" s="624"/>
    </row>
    <row r="233" spans="5:13" ht="15">
      <c r="E233" s="624"/>
      <c r="F233" s="624"/>
      <c r="G233" s="624"/>
      <c r="H233" s="624"/>
      <c r="I233" s="624"/>
      <c r="J233" s="624"/>
      <c r="K233" s="624"/>
      <c r="L233" s="624"/>
      <c r="M233" s="624"/>
    </row>
    <row r="234" spans="5:13" ht="15">
      <c r="E234" s="624"/>
      <c r="F234" s="624"/>
      <c r="G234" s="624"/>
      <c r="H234" s="624"/>
      <c r="I234" s="624"/>
      <c r="J234" s="624"/>
      <c r="K234" s="624"/>
      <c r="L234" s="624"/>
      <c r="M234" s="624"/>
    </row>
    <row r="235" spans="5:13" ht="15">
      <c r="E235" s="624"/>
      <c r="F235" s="624"/>
      <c r="G235" s="624"/>
      <c r="H235" s="624"/>
      <c r="I235" s="624"/>
      <c r="J235" s="624"/>
      <c r="K235" s="624"/>
      <c r="L235" s="624"/>
      <c r="M235" s="624"/>
    </row>
    <row r="236" spans="5:13" ht="15">
      <c r="E236" s="624"/>
      <c r="F236" s="624"/>
      <c r="G236" s="624"/>
      <c r="H236" s="624"/>
      <c r="I236" s="624"/>
      <c r="J236" s="624"/>
      <c r="K236" s="624"/>
      <c r="L236" s="624"/>
      <c r="M236" s="624"/>
    </row>
    <row r="237" spans="5:13" ht="15">
      <c r="E237" s="624"/>
      <c r="F237" s="624"/>
      <c r="G237" s="624"/>
      <c r="H237" s="624"/>
      <c r="I237" s="624"/>
      <c r="J237" s="624"/>
      <c r="K237" s="624"/>
      <c r="L237" s="624"/>
      <c r="M237" s="624"/>
    </row>
    <row r="238" spans="5:13" ht="15">
      <c r="E238" s="624"/>
      <c r="F238" s="624"/>
      <c r="G238" s="624"/>
      <c r="H238" s="624"/>
      <c r="I238" s="624"/>
      <c r="J238" s="624"/>
      <c r="K238" s="624"/>
      <c r="L238" s="624"/>
      <c r="M238" s="624"/>
    </row>
    <row r="239" spans="5:13" ht="15">
      <c r="E239" s="624"/>
      <c r="F239" s="624"/>
      <c r="G239" s="624"/>
      <c r="H239" s="624"/>
      <c r="I239" s="624"/>
      <c r="J239" s="624"/>
      <c r="K239" s="624"/>
      <c r="L239" s="624"/>
      <c r="M239" s="624"/>
    </row>
    <row r="240" spans="5:13" ht="15">
      <c r="E240" s="624"/>
      <c r="F240" s="624"/>
      <c r="G240" s="624"/>
      <c r="H240" s="624"/>
      <c r="I240" s="624"/>
      <c r="J240" s="624"/>
      <c r="K240" s="624"/>
      <c r="L240" s="624"/>
      <c r="M240" s="624"/>
    </row>
    <row r="241" spans="5:13" ht="15">
      <c r="E241" s="624"/>
      <c r="F241" s="624"/>
      <c r="G241" s="624"/>
      <c r="H241" s="624"/>
      <c r="I241" s="624"/>
      <c r="J241" s="624"/>
      <c r="K241" s="624"/>
      <c r="L241" s="624"/>
      <c r="M241" s="624"/>
    </row>
    <row r="242" spans="5:13" ht="15">
      <c r="E242" s="624"/>
      <c r="F242" s="624"/>
      <c r="G242" s="624"/>
      <c r="H242" s="624"/>
      <c r="I242" s="624"/>
      <c r="J242" s="624"/>
      <c r="K242" s="624"/>
      <c r="L242" s="624"/>
      <c r="M242" s="624"/>
    </row>
    <row r="243" spans="5:13" ht="15">
      <c r="E243" s="624"/>
      <c r="F243" s="624"/>
      <c r="G243" s="624"/>
      <c r="H243" s="624"/>
      <c r="I243" s="624"/>
      <c r="J243" s="624"/>
      <c r="K243" s="624"/>
      <c r="L243" s="624"/>
      <c r="M243" s="624"/>
    </row>
    <row r="244" spans="5:13" ht="15">
      <c r="E244" s="624"/>
      <c r="F244" s="624"/>
      <c r="G244" s="624"/>
      <c r="H244" s="624"/>
      <c r="I244" s="624"/>
      <c r="J244" s="624"/>
      <c r="K244" s="624"/>
      <c r="L244" s="624"/>
      <c r="M244" s="624"/>
    </row>
    <row r="245" spans="5:13" ht="15">
      <c r="E245" s="624"/>
      <c r="F245" s="624"/>
      <c r="G245" s="624"/>
      <c r="H245" s="624"/>
      <c r="I245" s="624"/>
      <c r="J245" s="624"/>
      <c r="K245" s="624"/>
      <c r="L245" s="624"/>
      <c r="M245" s="624"/>
    </row>
    <row r="246" spans="5:13" ht="15">
      <c r="E246" s="624"/>
      <c r="F246" s="624"/>
      <c r="G246" s="624"/>
      <c r="H246" s="624"/>
      <c r="I246" s="624"/>
      <c r="J246" s="624"/>
      <c r="K246" s="624"/>
      <c r="L246" s="624"/>
      <c r="M246" s="624"/>
    </row>
    <row r="247" spans="5:13" ht="15">
      <c r="E247" s="624"/>
      <c r="F247" s="624"/>
      <c r="G247" s="624"/>
      <c r="H247" s="624"/>
      <c r="I247" s="624"/>
      <c r="J247" s="624"/>
      <c r="K247" s="624"/>
      <c r="L247" s="624"/>
      <c r="M247" s="624"/>
    </row>
    <row r="248" spans="5:13" ht="15">
      <c r="E248" s="624"/>
      <c r="F248" s="624"/>
      <c r="G248" s="624"/>
      <c r="H248" s="624"/>
      <c r="I248" s="624"/>
      <c r="J248" s="624"/>
      <c r="K248" s="624"/>
      <c r="L248" s="624"/>
      <c r="M248" s="624"/>
    </row>
    <row r="249" spans="5:13" ht="15">
      <c r="E249" s="624"/>
      <c r="F249" s="624"/>
      <c r="G249" s="624"/>
      <c r="H249" s="624"/>
      <c r="I249" s="624"/>
      <c r="J249" s="624"/>
      <c r="K249" s="624"/>
      <c r="L249" s="624"/>
      <c r="M249" s="624"/>
    </row>
    <row r="250" spans="5:13" ht="15">
      <c r="E250" s="624"/>
      <c r="F250" s="624"/>
      <c r="G250" s="624"/>
      <c r="H250" s="624"/>
      <c r="I250" s="624"/>
      <c r="J250" s="624"/>
      <c r="K250" s="624"/>
      <c r="L250" s="624"/>
      <c r="M250" s="624"/>
    </row>
    <row r="251" spans="5:13" ht="15">
      <c r="E251" s="624"/>
      <c r="F251" s="624"/>
      <c r="G251" s="624"/>
      <c r="H251" s="624"/>
      <c r="I251" s="624"/>
      <c r="J251" s="624"/>
      <c r="K251" s="624"/>
      <c r="L251" s="624"/>
      <c r="M251" s="624"/>
    </row>
    <row r="252" spans="5:13" ht="15">
      <c r="E252" s="624"/>
      <c r="F252" s="624"/>
      <c r="G252" s="624"/>
      <c r="H252" s="624"/>
      <c r="I252" s="624"/>
      <c r="J252" s="624"/>
      <c r="K252" s="624"/>
      <c r="L252" s="624"/>
      <c r="M252" s="624"/>
    </row>
    <row r="253" spans="5:13" ht="15">
      <c r="E253" s="624"/>
      <c r="F253" s="624"/>
      <c r="G253" s="624"/>
      <c r="H253" s="624"/>
      <c r="I253" s="624"/>
      <c r="J253" s="624"/>
      <c r="K253" s="624"/>
      <c r="L253" s="624"/>
      <c r="M253" s="624"/>
    </row>
    <row r="254" spans="5:13" ht="15">
      <c r="E254" s="624"/>
      <c r="F254" s="624"/>
      <c r="G254" s="624"/>
      <c r="H254" s="624"/>
      <c r="I254" s="624"/>
      <c r="J254" s="624"/>
      <c r="K254" s="624"/>
      <c r="L254" s="624"/>
      <c r="M254" s="624"/>
    </row>
    <row r="255" spans="5:13" ht="15">
      <c r="E255" s="624"/>
      <c r="F255" s="624"/>
      <c r="G255" s="624"/>
      <c r="H255" s="624"/>
      <c r="I255" s="624"/>
      <c r="J255" s="624"/>
      <c r="K255" s="624"/>
      <c r="L255" s="624"/>
      <c r="M255" s="624"/>
    </row>
    <row r="256" spans="5:13" ht="15">
      <c r="E256" s="624"/>
      <c r="F256" s="624"/>
      <c r="G256" s="624"/>
      <c r="H256" s="624"/>
      <c r="I256" s="624"/>
      <c r="J256" s="624"/>
      <c r="K256" s="624"/>
      <c r="L256" s="624"/>
      <c r="M256" s="624"/>
    </row>
    <row r="257" spans="5:13" ht="15">
      <c r="E257" s="624"/>
      <c r="F257" s="624"/>
      <c r="G257" s="624"/>
      <c r="H257" s="624"/>
      <c r="I257" s="624"/>
      <c r="J257" s="624"/>
      <c r="K257" s="624"/>
      <c r="L257" s="624"/>
      <c r="M257" s="624"/>
    </row>
    <row r="258" spans="5:13" ht="15">
      <c r="E258" s="624"/>
      <c r="F258" s="624"/>
      <c r="G258" s="624"/>
      <c r="H258" s="624"/>
      <c r="I258" s="624"/>
      <c r="J258" s="624"/>
      <c r="K258" s="624"/>
      <c r="L258" s="624"/>
      <c r="M258" s="624"/>
    </row>
    <row r="259" spans="5:13" ht="15">
      <c r="E259" s="624"/>
      <c r="F259" s="624"/>
      <c r="G259" s="624"/>
      <c r="H259" s="624"/>
      <c r="I259" s="624"/>
      <c r="J259" s="624"/>
      <c r="K259" s="624"/>
      <c r="L259" s="624"/>
      <c r="M259" s="624"/>
    </row>
    <row r="260" spans="5:13" ht="15">
      <c r="E260" s="624"/>
      <c r="F260" s="624"/>
      <c r="G260" s="624"/>
      <c r="H260" s="624"/>
      <c r="I260" s="624"/>
      <c r="J260" s="624"/>
      <c r="K260" s="624"/>
      <c r="L260" s="624"/>
      <c r="M260" s="624"/>
    </row>
    <row r="261" spans="5:13" ht="15">
      <c r="E261" s="624"/>
      <c r="F261" s="624"/>
      <c r="G261" s="624"/>
      <c r="H261" s="624"/>
      <c r="I261" s="624"/>
      <c r="J261" s="624"/>
      <c r="K261" s="624"/>
      <c r="L261" s="624"/>
      <c r="M261" s="624"/>
    </row>
    <row r="262" spans="5:13" ht="15">
      <c r="E262" s="624"/>
      <c r="F262" s="624"/>
      <c r="G262" s="624"/>
      <c r="H262" s="624"/>
      <c r="I262" s="624"/>
      <c r="J262" s="624"/>
      <c r="K262" s="624"/>
      <c r="L262" s="624"/>
      <c r="M262" s="624"/>
    </row>
    <row r="263" spans="5:13" ht="15">
      <c r="E263" s="624"/>
      <c r="F263" s="624"/>
      <c r="G263" s="624"/>
      <c r="H263" s="624"/>
      <c r="I263" s="624"/>
      <c r="J263" s="624"/>
      <c r="K263" s="624"/>
      <c r="L263" s="624"/>
      <c r="M263" s="624"/>
    </row>
    <row r="264" spans="5:13" ht="15">
      <c r="E264" s="624"/>
      <c r="F264" s="624"/>
      <c r="G264" s="624"/>
      <c r="H264" s="624"/>
      <c r="I264" s="624"/>
      <c r="J264" s="624"/>
      <c r="K264" s="624"/>
      <c r="L264" s="624"/>
      <c r="M264" s="624"/>
    </row>
    <row r="265" spans="5:13" ht="15">
      <c r="E265" s="624"/>
      <c r="F265" s="624"/>
      <c r="G265" s="624"/>
      <c r="H265" s="624"/>
      <c r="I265" s="624"/>
      <c r="J265" s="624"/>
      <c r="K265" s="624"/>
      <c r="L265" s="624"/>
      <c r="M265" s="624"/>
    </row>
    <row r="266" spans="5:13" ht="15">
      <c r="E266" s="624"/>
      <c r="F266" s="624"/>
      <c r="G266" s="624"/>
      <c r="H266" s="624"/>
      <c r="I266" s="624"/>
      <c r="J266" s="624"/>
      <c r="K266" s="624"/>
      <c r="L266" s="624"/>
      <c r="M266" s="624"/>
    </row>
    <row r="267" spans="5:13" ht="15">
      <c r="E267" s="624"/>
      <c r="F267" s="624"/>
      <c r="G267" s="624"/>
      <c r="H267" s="624"/>
      <c r="I267" s="624"/>
      <c r="J267" s="624"/>
      <c r="K267" s="624"/>
      <c r="L267" s="624"/>
      <c r="M267" s="624"/>
    </row>
    <row r="268" spans="5:13" ht="15">
      <c r="E268" s="624"/>
      <c r="F268" s="624"/>
      <c r="G268" s="624"/>
      <c r="H268" s="624"/>
      <c r="I268" s="624"/>
      <c r="J268" s="624"/>
      <c r="K268" s="624"/>
      <c r="L268" s="624"/>
      <c r="M268" s="624"/>
    </row>
    <row r="269" spans="5:13" ht="15">
      <c r="E269" s="624"/>
      <c r="F269" s="624"/>
      <c r="G269" s="624"/>
      <c r="H269" s="624"/>
      <c r="I269" s="624"/>
      <c r="J269" s="624"/>
      <c r="K269" s="624"/>
      <c r="L269" s="624"/>
      <c r="M269" s="624"/>
    </row>
    <row r="270" spans="5:13" ht="15">
      <c r="E270" s="624"/>
      <c r="F270" s="624"/>
      <c r="G270" s="624"/>
      <c r="H270" s="624"/>
      <c r="I270" s="624"/>
      <c r="J270" s="624"/>
      <c r="K270" s="624"/>
      <c r="L270" s="624"/>
      <c r="M270" s="624"/>
    </row>
    <row r="271" spans="5:13" ht="15">
      <c r="E271" s="624"/>
      <c r="F271" s="624"/>
      <c r="G271" s="624"/>
      <c r="H271" s="624"/>
      <c r="I271" s="624"/>
      <c r="J271" s="624"/>
      <c r="K271" s="624"/>
      <c r="L271" s="624"/>
      <c r="M271" s="624"/>
    </row>
    <row r="272" spans="5:13" ht="15">
      <c r="E272" s="624"/>
      <c r="F272" s="624"/>
      <c r="G272" s="624"/>
      <c r="H272" s="624"/>
      <c r="I272" s="624"/>
      <c r="J272" s="624"/>
      <c r="K272" s="624"/>
      <c r="L272" s="624"/>
      <c r="M272" s="624"/>
    </row>
    <row r="273" spans="5:13" ht="15">
      <c r="E273" s="624"/>
      <c r="F273" s="624"/>
      <c r="G273" s="624"/>
      <c r="H273" s="624"/>
      <c r="I273" s="624"/>
      <c r="J273" s="624"/>
      <c r="K273" s="624"/>
      <c r="L273" s="624"/>
      <c r="M273" s="624"/>
    </row>
    <row r="274" spans="5:13" ht="15">
      <c r="E274" s="624"/>
      <c r="F274" s="624"/>
      <c r="G274" s="624"/>
      <c r="H274" s="624"/>
      <c r="I274" s="624"/>
      <c r="J274" s="624"/>
      <c r="K274" s="624"/>
      <c r="L274" s="624"/>
      <c r="M274" s="624"/>
    </row>
    <row r="275" spans="5:13" ht="15">
      <c r="E275" s="624"/>
      <c r="F275" s="624"/>
      <c r="G275" s="624"/>
      <c r="H275" s="624"/>
      <c r="I275" s="624"/>
      <c r="J275" s="624"/>
      <c r="K275" s="624"/>
      <c r="L275" s="624"/>
      <c r="M275" s="624"/>
    </row>
    <row r="276" spans="5:13" ht="15">
      <c r="E276" s="624"/>
      <c r="F276" s="624"/>
      <c r="G276" s="624"/>
      <c r="H276" s="624"/>
      <c r="I276" s="624"/>
      <c r="J276" s="624"/>
      <c r="K276" s="624"/>
      <c r="L276" s="624"/>
      <c r="M276" s="624"/>
    </row>
    <row r="277" spans="5:13" ht="15">
      <c r="E277" s="624"/>
      <c r="F277" s="624"/>
      <c r="G277" s="624"/>
      <c r="H277" s="624"/>
      <c r="I277" s="624"/>
      <c r="J277" s="624"/>
      <c r="K277" s="624"/>
      <c r="L277" s="624"/>
      <c r="M277" s="624"/>
    </row>
    <row r="278" spans="5:13" ht="15">
      <c r="E278" s="624"/>
      <c r="F278" s="624"/>
      <c r="G278" s="624"/>
      <c r="H278" s="624"/>
      <c r="I278" s="624"/>
      <c r="J278" s="624"/>
      <c r="K278" s="624"/>
      <c r="L278" s="624"/>
      <c r="M278" s="624"/>
    </row>
    <row r="279" spans="5:13" ht="15">
      <c r="E279" s="624"/>
      <c r="F279" s="624"/>
      <c r="G279" s="624"/>
      <c r="H279" s="624"/>
      <c r="I279" s="624"/>
      <c r="J279" s="624"/>
      <c r="K279" s="624"/>
      <c r="L279" s="624"/>
      <c r="M279" s="624"/>
    </row>
    <row r="280" spans="5:13" ht="15">
      <c r="E280" s="624"/>
      <c r="F280" s="624"/>
      <c r="G280" s="624"/>
      <c r="H280" s="624"/>
      <c r="I280" s="624"/>
      <c r="J280" s="624"/>
      <c r="K280" s="624"/>
      <c r="L280" s="624"/>
      <c r="M280" s="624"/>
    </row>
    <row r="281" spans="5:13" ht="15">
      <c r="E281" s="624"/>
      <c r="F281" s="624"/>
      <c r="G281" s="624"/>
      <c r="H281" s="624"/>
      <c r="I281" s="624"/>
      <c r="J281" s="624"/>
      <c r="K281" s="624"/>
      <c r="L281" s="624"/>
      <c r="M281" s="624"/>
    </row>
    <row r="282" spans="5:13" ht="15">
      <c r="E282" s="624"/>
      <c r="F282" s="624"/>
      <c r="G282" s="624"/>
      <c r="H282" s="624"/>
      <c r="I282" s="624"/>
      <c r="J282" s="624"/>
      <c r="K282" s="624"/>
      <c r="L282" s="624"/>
      <c r="M282" s="624"/>
    </row>
    <row r="283" spans="5:13" ht="15">
      <c r="E283" s="624"/>
      <c r="F283" s="624"/>
      <c r="G283" s="624"/>
      <c r="H283" s="624"/>
      <c r="I283" s="624"/>
      <c r="J283" s="624"/>
      <c r="K283" s="624"/>
      <c r="L283" s="624"/>
      <c r="M283" s="624"/>
    </row>
    <row r="284" spans="5:13" ht="15">
      <c r="E284" s="624"/>
      <c r="F284" s="624"/>
      <c r="G284" s="624"/>
      <c r="H284" s="624"/>
      <c r="I284" s="624"/>
      <c r="J284" s="624"/>
      <c r="K284" s="624"/>
      <c r="L284" s="624"/>
      <c r="M284" s="624"/>
    </row>
    <row r="285" spans="5:13" ht="15">
      <c r="E285" s="624"/>
      <c r="F285" s="624"/>
      <c r="G285" s="624"/>
      <c r="H285" s="624"/>
      <c r="I285" s="624"/>
      <c r="J285" s="624"/>
      <c r="K285" s="624"/>
      <c r="L285" s="624"/>
      <c r="M285" s="624"/>
    </row>
    <row r="286" spans="5:13" ht="15">
      <c r="E286" s="624"/>
      <c r="F286" s="624"/>
      <c r="G286" s="624"/>
      <c r="H286" s="624"/>
      <c r="I286" s="624"/>
      <c r="J286" s="624"/>
      <c r="K286" s="624"/>
      <c r="L286" s="624"/>
      <c r="M286" s="624"/>
    </row>
    <row r="287" spans="5:13" ht="15">
      <c r="E287" s="624"/>
      <c r="F287" s="624"/>
      <c r="G287" s="624"/>
      <c r="H287" s="624"/>
      <c r="I287" s="624"/>
      <c r="J287" s="624"/>
      <c r="K287" s="624"/>
      <c r="L287" s="624"/>
      <c r="M287" s="624"/>
    </row>
    <row r="288" spans="5:13" ht="15">
      <c r="E288" s="624"/>
      <c r="F288" s="624"/>
      <c r="G288" s="624"/>
      <c r="H288" s="624"/>
      <c r="I288" s="624"/>
      <c r="J288" s="624"/>
      <c r="K288" s="624"/>
      <c r="L288" s="624"/>
      <c r="M288" s="624"/>
    </row>
    <row r="289" spans="5:13" ht="15">
      <c r="E289" s="624"/>
      <c r="F289" s="624"/>
      <c r="G289" s="624"/>
      <c r="H289" s="624"/>
      <c r="I289" s="624"/>
      <c r="J289" s="624"/>
      <c r="K289" s="624"/>
      <c r="L289" s="624"/>
      <c r="M289" s="624"/>
    </row>
    <row r="290" spans="5:13" ht="15">
      <c r="E290" s="624"/>
      <c r="F290" s="624"/>
      <c r="G290" s="624"/>
      <c r="H290" s="624"/>
      <c r="I290" s="624"/>
      <c r="J290" s="624"/>
      <c r="K290" s="624"/>
      <c r="L290" s="624"/>
      <c r="M290" s="624"/>
    </row>
    <row r="291" spans="5:13" ht="15">
      <c r="E291" s="624"/>
      <c r="F291" s="624"/>
      <c r="G291" s="624"/>
      <c r="H291" s="624"/>
      <c r="I291" s="624"/>
      <c r="J291" s="624"/>
      <c r="K291" s="624"/>
      <c r="L291" s="624"/>
      <c r="M291" s="624"/>
    </row>
    <row r="292" spans="5:13" ht="15">
      <c r="E292" s="624"/>
      <c r="F292" s="624"/>
      <c r="G292" s="624"/>
      <c r="H292" s="624"/>
      <c r="I292" s="624"/>
      <c r="J292" s="624"/>
      <c r="K292" s="624"/>
      <c r="L292" s="624"/>
      <c r="M292" s="624"/>
    </row>
    <row r="293" spans="5:13" ht="15">
      <c r="E293" s="624"/>
      <c r="F293" s="624"/>
      <c r="G293" s="624"/>
      <c r="H293" s="624"/>
      <c r="I293" s="624"/>
      <c r="J293" s="624"/>
      <c r="K293" s="624"/>
      <c r="L293" s="624"/>
      <c r="M293" s="624"/>
    </row>
    <row r="294" spans="5:13" ht="15">
      <c r="E294" s="624"/>
      <c r="F294" s="624"/>
      <c r="G294" s="624"/>
      <c r="H294" s="624"/>
      <c r="I294" s="624"/>
      <c r="J294" s="624"/>
      <c r="K294" s="624"/>
      <c r="L294" s="624"/>
      <c r="M294" s="624"/>
    </row>
    <row r="295" spans="5:13" ht="15">
      <c r="E295" s="624"/>
      <c r="F295" s="624"/>
      <c r="G295" s="624"/>
      <c r="H295" s="624"/>
      <c r="I295" s="624"/>
      <c r="J295" s="624"/>
      <c r="K295" s="624"/>
      <c r="L295" s="624"/>
      <c r="M295" s="624"/>
    </row>
    <row r="296" spans="5:13" ht="15">
      <c r="E296" s="624"/>
      <c r="F296" s="624"/>
      <c r="G296" s="624"/>
      <c r="H296" s="624"/>
      <c r="I296" s="624"/>
      <c r="J296" s="624"/>
      <c r="K296" s="624"/>
      <c r="L296" s="624"/>
      <c r="M296" s="624"/>
    </row>
    <row r="297" spans="5:13" ht="15">
      <c r="E297" s="624"/>
      <c r="F297" s="624"/>
      <c r="G297" s="624"/>
      <c r="H297" s="624"/>
      <c r="I297" s="624"/>
      <c r="J297" s="624"/>
      <c r="K297" s="624"/>
      <c r="L297" s="624"/>
      <c r="M297" s="624"/>
    </row>
    <row r="298" spans="5:13" ht="15">
      <c r="E298" s="624"/>
      <c r="F298" s="624"/>
      <c r="G298" s="624"/>
      <c r="H298" s="624"/>
      <c r="I298" s="624"/>
      <c r="J298" s="624"/>
      <c r="K298" s="624"/>
      <c r="L298" s="624"/>
      <c r="M298" s="624"/>
    </row>
    <row r="299" spans="5:13" ht="15">
      <c r="E299" s="624"/>
      <c r="F299" s="624"/>
      <c r="G299" s="624"/>
      <c r="H299" s="624"/>
      <c r="I299" s="624"/>
      <c r="J299" s="624"/>
      <c r="K299" s="624"/>
      <c r="L299" s="624"/>
      <c r="M299" s="624"/>
    </row>
    <row r="300" spans="5:13" ht="15">
      <c r="E300" s="624"/>
      <c r="F300" s="624"/>
      <c r="G300" s="624"/>
      <c r="H300" s="624"/>
      <c r="I300" s="624"/>
      <c r="J300" s="624"/>
      <c r="K300" s="624"/>
      <c r="L300" s="624"/>
      <c r="M300" s="624"/>
    </row>
    <row r="301" spans="5:13" ht="15">
      <c r="E301" s="624"/>
      <c r="F301" s="624"/>
      <c r="G301" s="624"/>
      <c r="H301" s="624"/>
      <c r="I301" s="624"/>
      <c r="J301" s="624"/>
      <c r="K301" s="624"/>
      <c r="L301" s="624"/>
      <c r="M301" s="624"/>
    </row>
    <row r="302" spans="5:13" ht="15">
      <c r="E302" s="624"/>
      <c r="F302" s="624"/>
      <c r="G302" s="624"/>
      <c r="H302" s="624"/>
      <c r="I302" s="624"/>
      <c r="J302" s="624"/>
      <c r="K302" s="624"/>
      <c r="L302" s="624"/>
      <c r="M302" s="624"/>
    </row>
    <row r="303" spans="5:13" ht="15">
      <c r="E303" s="624"/>
      <c r="F303" s="624"/>
      <c r="G303" s="624"/>
      <c r="H303" s="624"/>
      <c r="I303" s="624"/>
      <c r="J303" s="624"/>
      <c r="K303" s="624"/>
      <c r="L303" s="624"/>
      <c r="M303" s="624"/>
    </row>
    <row r="304" spans="5:13" ht="15">
      <c r="E304" s="624"/>
      <c r="F304" s="624"/>
      <c r="G304" s="624"/>
      <c r="H304" s="624"/>
      <c r="I304" s="624"/>
      <c r="J304" s="624"/>
      <c r="K304" s="624"/>
      <c r="L304" s="624"/>
      <c r="M304" s="624"/>
    </row>
    <row r="305" spans="5:13" ht="15">
      <c r="E305" s="624"/>
      <c r="F305" s="624"/>
      <c r="G305" s="624"/>
      <c r="H305" s="624"/>
      <c r="I305" s="624"/>
      <c r="J305" s="624"/>
      <c r="K305" s="624"/>
      <c r="L305" s="624"/>
      <c r="M305" s="624"/>
    </row>
    <row r="306" spans="5:13" ht="15">
      <c r="E306" s="624"/>
      <c r="F306" s="624"/>
      <c r="G306" s="624"/>
      <c r="H306" s="624"/>
      <c r="I306" s="624"/>
      <c r="J306" s="624"/>
      <c r="K306" s="624"/>
      <c r="L306" s="624"/>
      <c r="M306" s="624"/>
    </row>
    <row r="307" spans="5:13" ht="15">
      <c r="E307" s="624"/>
      <c r="F307" s="624"/>
      <c r="G307" s="624"/>
      <c r="H307" s="624"/>
      <c r="I307" s="624"/>
      <c r="J307" s="624"/>
      <c r="K307" s="624"/>
      <c r="L307" s="624"/>
      <c r="M307" s="624"/>
    </row>
    <row r="308" spans="5:13" ht="15">
      <c r="E308" s="624"/>
      <c r="F308" s="624"/>
      <c r="G308" s="624"/>
      <c r="H308" s="624"/>
      <c r="I308" s="624"/>
      <c r="J308" s="624"/>
      <c r="K308" s="624"/>
      <c r="L308" s="624"/>
      <c r="M308" s="624"/>
    </row>
    <row r="309" spans="5:13" ht="15">
      <c r="E309" s="624"/>
      <c r="F309" s="624"/>
      <c r="G309" s="624"/>
      <c r="H309" s="624"/>
      <c r="I309" s="624"/>
      <c r="J309" s="624"/>
      <c r="K309" s="624"/>
      <c r="L309" s="624"/>
      <c r="M309" s="624"/>
    </row>
    <row r="310" spans="5:13" ht="15">
      <c r="E310" s="624"/>
      <c r="F310" s="624"/>
      <c r="G310" s="624"/>
      <c r="H310" s="624"/>
      <c r="I310" s="624"/>
      <c r="J310" s="624"/>
      <c r="K310" s="624"/>
      <c r="L310" s="624"/>
      <c r="M310" s="624"/>
    </row>
    <row r="311" spans="5:13" ht="15">
      <c r="E311" s="624"/>
      <c r="F311" s="624"/>
      <c r="G311" s="624"/>
      <c r="H311" s="624"/>
      <c r="I311" s="624"/>
      <c r="J311" s="624"/>
      <c r="K311" s="624"/>
      <c r="L311" s="624"/>
      <c r="M311" s="624"/>
    </row>
    <row r="312" spans="5:13" ht="15">
      <c r="E312" s="624"/>
      <c r="F312" s="624"/>
      <c r="G312" s="624"/>
      <c r="H312" s="624"/>
      <c r="I312" s="624"/>
      <c r="J312" s="624"/>
      <c r="K312" s="624"/>
      <c r="L312" s="624"/>
      <c r="M312" s="624"/>
    </row>
    <row r="313" spans="5:13" ht="15">
      <c r="E313" s="624"/>
      <c r="F313" s="624"/>
      <c r="G313" s="624"/>
      <c r="H313" s="624"/>
      <c r="I313" s="624"/>
      <c r="J313" s="624"/>
      <c r="K313" s="624"/>
      <c r="L313" s="624"/>
      <c r="M313" s="624"/>
    </row>
    <row r="314" spans="5:13" ht="15">
      <c r="E314" s="624"/>
      <c r="F314" s="624"/>
      <c r="G314" s="624"/>
      <c r="H314" s="624"/>
      <c r="I314" s="624"/>
      <c r="J314" s="624"/>
      <c r="K314" s="624"/>
      <c r="L314" s="624"/>
      <c r="M314" s="624"/>
    </row>
    <row r="315" spans="5:13" ht="15">
      <c r="E315" s="624"/>
      <c r="F315" s="624"/>
      <c r="G315" s="624"/>
      <c r="H315" s="624"/>
      <c r="I315" s="624"/>
      <c r="J315" s="624"/>
      <c r="K315" s="624"/>
      <c r="L315" s="624"/>
      <c r="M315" s="624"/>
    </row>
    <row r="316" spans="5:13" ht="15">
      <c r="E316" s="624"/>
      <c r="F316" s="624"/>
      <c r="G316" s="624"/>
      <c r="H316" s="624"/>
      <c r="I316" s="624"/>
      <c r="J316" s="624"/>
      <c r="K316" s="624"/>
      <c r="L316" s="624"/>
      <c r="M316" s="624"/>
    </row>
    <row r="317" spans="5:13" ht="15">
      <c r="E317" s="624"/>
      <c r="F317" s="624"/>
      <c r="G317" s="624"/>
      <c r="H317" s="624"/>
      <c r="I317" s="624"/>
      <c r="J317" s="624"/>
      <c r="K317" s="624"/>
      <c r="L317" s="624"/>
      <c r="M317" s="624"/>
    </row>
    <row r="318" spans="5:13" ht="15">
      <c r="E318" s="624"/>
      <c r="F318" s="624"/>
      <c r="G318" s="624"/>
      <c r="H318" s="624"/>
      <c r="I318" s="624"/>
      <c r="J318" s="624"/>
      <c r="K318" s="624"/>
      <c r="L318" s="624"/>
      <c r="M318" s="624"/>
    </row>
    <row r="319" spans="5:13" ht="15">
      <c r="E319" s="624"/>
      <c r="F319" s="624"/>
      <c r="G319" s="624"/>
      <c r="H319" s="624"/>
      <c r="I319" s="624"/>
      <c r="J319" s="624"/>
      <c r="K319" s="624"/>
      <c r="L319" s="624"/>
      <c r="M319" s="624"/>
    </row>
    <row r="320" spans="5:13" ht="15">
      <c r="E320" s="624"/>
      <c r="F320" s="624"/>
      <c r="G320" s="624"/>
      <c r="H320" s="624"/>
      <c r="I320" s="624"/>
      <c r="J320" s="624"/>
      <c r="K320" s="624"/>
      <c r="L320" s="624"/>
      <c r="M320" s="624"/>
    </row>
    <row r="321" spans="5:13" ht="15">
      <c r="E321" s="624"/>
      <c r="F321" s="624"/>
      <c r="G321" s="624"/>
      <c r="H321" s="624"/>
      <c r="I321" s="624"/>
      <c r="J321" s="624"/>
      <c r="K321" s="624"/>
      <c r="L321" s="624"/>
      <c r="M321" s="624"/>
    </row>
    <row r="322" spans="5:13" ht="15">
      <c r="E322" s="624"/>
      <c r="F322" s="624"/>
      <c r="G322" s="624"/>
      <c r="H322" s="624"/>
      <c r="I322" s="624"/>
      <c r="J322" s="624"/>
      <c r="K322" s="624"/>
      <c r="L322" s="624"/>
      <c r="M322" s="624"/>
    </row>
    <row r="323" spans="5:13" ht="15">
      <c r="E323" s="624"/>
      <c r="F323" s="624"/>
      <c r="G323" s="624"/>
      <c r="H323" s="624"/>
      <c r="I323" s="624"/>
      <c r="J323" s="624"/>
      <c r="K323" s="624"/>
      <c r="L323" s="624"/>
      <c r="M323" s="624"/>
    </row>
    <row r="324" spans="5:13" ht="15">
      <c r="E324" s="624"/>
      <c r="F324" s="624"/>
      <c r="G324" s="624"/>
      <c r="H324" s="624"/>
      <c r="I324" s="624"/>
      <c r="J324" s="624"/>
      <c r="K324" s="624"/>
      <c r="L324" s="624"/>
      <c r="M324" s="624"/>
    </row>
    <row r="325" spans="5:13" ht="15">
      <c r="E325" s="624"/>
      <c r="F325" s="624"/>
      <c r="G325" s="624"/>
      <c r="H325" s="624"/>
      <c r="I325" s="624"/>
      <c r="J325" s="624"/>
      <c r="K325" s="624"/>
      <c r="L325" s="624"/>
      <c r="M325" s="624"/>
    </row>
    <row r="326" spans="5:13" ht="15">
      <c r="E326" s="624"/>
      <c r="F326" s="624"/>
      <c r="G326" s="624"/>
      <c r="H326" s="624"/>
      <c r="I326" s="624"/>
      <c r="J326" s="624"/>
      <c r="K326" s="624"/>
      <c r="L326" s="624"/>
      <c r="M326" s="624"/>
    </row>
    <row r="327" spans="5:13" ht="15">
      <c r="E327" s="624"/>
      <c r="F327" s="624"/>
      <c r="G327" s="624"/>
      <c r="H327" s="624"/>
      <c r="I327" s="624"/>
      <c r="J327" s="624"/>
      <c r="K327" s="624"/>
      <c r="L327" s="624"/>
      <c r="M327" s="624"/>
    </row>
    <row r="328" spans="5:13" ht="15">
      <c r="E328" s="624"/>
      <c r="F328" s="624"/>
      <c r="G328" s="624"/>
      <c r="H328" s="624"/>
      <c r="I328" s="624"/>
      <c r="J328" s="624"/>
      <c r="K328" s="624"/>
      <c r="L328" s="624"/>
      <c r="M328" s="624"/>
    </row>
    <row r="329" spans="5:13" ht="15">
      <c r="E329" s="624"/>
      <c r="F329" s="624"/>
      <c r="G329" s="624"/>
      <c r="H329" s="624"/>
      <c r="I329" s="624"/>
      <c r="J329" s="624"/>
      <c r="K329" s="624"/>
      <c r="L329" s="624"/>
      <c r="M329" s="624"/>
    </row>
    <row r="330" spans="5:13" ht="15">
      <c r="E330" s="624"/>
      <c r="F330" s="624"/>
      <c r="G330" s="624"/>
      <c r="H330" s="624"/>
      <c r="I330" s="624"/>
      <c r="J330" s="624"/>
      <c r="K330" s="624"/>
      <c r="L330" s="624"/>
      <c r="M330" s="624"/>
    </row>
    <row r="331" spans="5:13" ht="15">
      <c r="E331" s="624"/>
      <c r="F331" s="624"/>
      <c r="G331" s="624"/>
      <c r="H331" s="624"/>
      <c r="I331" s="624"/>
      <c r="J331" s="624"/>
      <c r="K331" s="624"/>
      <c r="L331" s="624"/>
      <c r="M331" s="624"/>
    </row>
    <row r="332" spans="5:13" ht="15">
      <c r="E332" s="624"/>
      <c r="F332" s="624"/>
      <c r="G332" s="624"/>
      <c r="H332" s="624"/>
      <c r="I332" s="624"/>
      <c r="J332" s="624"/>
      <c r="K332" s="624"/>
      <c r="L332" s="624"/>
      <c r="M332" s="624"/>
    </row>
    <row r="333" spans="5:13" ht="15">
      <c r="E333" s="624"/>
      <c r="F333" s="624"/>
      <c r="G333" s="624"/>
      <c r="H333" s="624"/>
      <c r="I333" s="624"/>
      <c r="J333" s="624"/>
      <c r="K333" s="624"/>
      <c r="L333" s="624"/>
      <c r="M333" s="624"/>
    </row>
    <row r="334" spans="5:13" ht="15">
      <c r="E334" s="624"/>
      <c r="F334" s="624"/>
      <c r="G334" s="624"/>
      <c r="H334" s="624"/>
      <c r="I334" s="624"/>
      <c r="J334" s="624"/>
      <c r="K334" s="624"/>
      <c r="L334" s="624"/>
      <c r="M334" s="624"/>
    </row>
    <row r="335" spans="5:13" ht="15">
      <c r="E335" s="624"/>
      <c r="F335" s="624"/>
      <c r="G335" s="624"/>
      <c r="H335" s="624"/>
      <c r="I335" s="624"/>
      <c r="J335" s="624"/>
      <c r="K335" s="624"/>
      <c r="L335" s="624"/>
      <c r="M335" s="624"/>
    </row>
    <row r="336" spans="5:13" ht="15">
      <c r="E336" s="624"/>
      <c r="F336" s="624"/>
      <c r="G336" s="624"/>
      <c r="H336" s="624"/>
      <c r="I336" s="624"/>
      <c r="J336" s="624"/>
      <c r="K336" s="624"/>
      <c r="L336" s="624"/>
      <c r="M336" s="624"/>
    </row>
    <row r="337" spans="5:13" ht="15">
      <c r="E337" s="624"/>
      <c r="F337" s="624"/>
      <c r="G337" s="624"/>
      <c r="H337" s="624"/>
      <c r="I337" s="624"/>
      <c r="J337" s="624"/>
      <c r="K337" s="624"/>
      <c r="L337" s="624"/>
      <c r="M337" s="624"/>
    </row>
    <row r="338" spans="5:13" ht="15">
      <c r="E338" s="624"/>
      <c r="F338" s="624"/>
      <c r="G338" s="624"/>
      <c r="H338" s="624"/>
      <c r="I338" s="624"/>
      <c r="J338" s="624"/>
      <c r="K338" s="624"/>
      <c r="L338" s="624"/>
      <c r="M338" s="624"/>
    </row>
    <row r="339" spans="5:13" ht="15">
      <c r="E339" s="624"/>
      <c r="F339" s="624"/>
      <c r="G339" s="624"/>
      <c r="H339" s="624"/>
      <c r="I339" s="624"/>
      <c r="J339" s="624"/>
      <c r="K339" s="624"/>
      <c r="L339" s="624"/>
      <c r="M339" s="624"/>
    </row>
    <row r="340" spans="5:13" ht="15">
      <c r="E340" s="624"/>
      <c r="F340" s="624"/>
      <c r="G340" s="624"/>
      <c r="H340" s="624"/>
      <c r="I340" s="624"/>
      <c r="J340" s="624"/>
      <c r="K340" s="624"/>
      <c r="L340" s="624"/>
      <c r="M340" s="624"/>
    </row>
    <row r="341" spans="5:13" ht="15">
      <c r="E341" s="624"/>
      <c r="F341" s="624"/>
      <c r="G341" s="624"/>
      <c r="H341" s="624"/>
      <c r="I341" s="624"/>
      <c r="J341" s="624"/>
      <c r="K341" s="624"/>
      <c r="L341" s="624"/>
      <c r="M341" s="624"/>
    </row>
    <row r="342" spans="5:13" ht="15">
      <c r="E342" s="624"/>
      <c r="F342" s="624"/>
      <c r="G342" s="624"/>
      <c r="H342" s="624"/>
      <c r="I342" s="624"/>
      <c r="J342" s="624"/>
      <c r="K342" s="624"/>
      <c r="L342" s="624"/>
      <c r="M342" s="624"/>
    </row>
    <row r="343" spans="5:13" ht="15">
      <c r="E343" s="624"/>
      <c r="F343" s="624"/>
      <c r="G343" s="624"/>
      <c r="H343" s="624"/>
      <c r="I343" s="624"/>
      <c r="J343" s="624"/>
      <c r="K343" s="624"/>
      <c r="L343" s="624"/>
      <c r="M343" s="624"/>
    </row>
    <row r="344" spans="5:13" ht="15">
      <c r="E344" s="624"/>
      <c r="F344" s="624"/>
      <c r="G344" s="624"/>
      <c r="H344" s="624"/>
      <c r="I344" s="624"/>
      <c r="J344" s="624"/>
      <c r="K344" s="624"/>
      <c r="L344" s="624"/>
      <c r="M344" s="624"/>
    </row>
    <row r="345" spans="5:13" ht="15">
      <c r="E345" s="624"/>
      <c r="F345" s="624"/>
      <c r="G345" s="624"/>
      <c r="H345" s="624"/>
      <c r="I345" s="624"/>
      <c r="J345" s="624"/>
      <c r="K345" s="624"/>
      <c r="L345" s="624"/>
      <c r="M345" s="624"/>
    </row>
    <row r="346" spans="5:13" ht="15">
      <c r="E346" s="624"/>
      <c r="F346" s="624"/>
      <c r="G346" s="624"/>
      <c r="H346" s="624"/>
      <c r="I346" s="624"/>
      <c r="J346" s="624"/>
      <c r="K346" s="624"/>
      <c r="L346" s="624"/>
      <c r="M346" s="624"/>
    </row>
    <row r="347" spans="5:13" ht="15">
      <c r="E347" s="624"/>
      <c r="F347" s="624"/>
      <c r="G347" s="624"/>
      <c r="H347" s="624"/>
      <c r="I347" s="624"/>
      <c r="J347" s="624"/>
      <c r="K347" s="624"/>
      <c r="L347" s="624"/>
      <c r="M347" s="624"/>
    </row>
    <row r="348" spans="5:13" ht="15">
      <c r="E348" s="624"/>
      <c r="F348" s="624"/>
      <c r="G348" s="624"/>
      <c r="H348" s="624"/>
      <c r="I348" s="624"/>
      <c r="J348" s="624"/>
      <c r="K348" s="624"/>
      <c r="L348" s="624"/>
      <c r="M348" s="624"/>
    </row>
    <row r="349" spans="5:13" ht="15">
      <c r="E349" s="624"/>
      <c r="F349" s="624"/>
      <c r="G349" s="624"/>
      <c r="H349" s="624"/>
      <c r="I349" s="624"/>
      <c r="J349" s="624"/>
      <c r="K349" s="624"/>
      <c r="L349" s="624"/>
      <c r="M349" s="624"/>
    </row>
    <row r="350" spans="5:13" ht="15">
      <c r="E350" s="624"/>
      <c r="F350" s="624"/>
      <c r="G350" s="624"/>
      <c r="H350" s="624"/>
      <c r="I350" s="624"/>
      <c r="J350" s="624"/>
      <c r="K350" s="624"/>
      <c r="L350" s="624"/>
      <c r="M350" s="624"/>
    </row>
    <row r="351" spans="5:13" ht="15">
      <c r="E351" s="624"/>
      <c r="F351" s="624"/>
      <c r="G351" s="624"/>
      <c r="H351" s="624"/>
      <c r="I351" s="624"/>
      <c r="J351" s="624"/>
      <c r="K351" s="624"/>
      <c r="L351" s="624"/>
      <c r="M351" s="624"/>
    </row>
    <row r="352" spans="5:13" ht="15">
      <c r="E352" s="624"/>
      <c r="F352" s="624"/>
      <c r="G352" s="624"/>
      <c r="H352" s="624"/>
      <c r="I352" s="624"/>
      <c r="J352" s="624"/>
      <c r="K352" s="624"/>
      <c r="L352" s="624"/>
      <c r="M352" s="624"/>
    </row>
    <row r="353" spans="5:13" ht="15">
      <c r="E353" s="624"/>
      <c r="F353" s="624"/>
      <c r="G353" s="624"/>
      <c r="H353" s="624"/>
      <c r="I353" s="624"/>
      <c r="J353" s="624"/>
      <c r="K353" s="624"/>
      <c r="L353" s="624"/>
      <c r="M353" s="624"/>
    </row>
    <row r="354" spans="5:13" ht="15">
      <c r="E354" s="624"/>
      <c r="F354" s="624"/>
      <c r="G354" s="624"/>
      <c r="H354" s="624"/>
      <c r="I354" s="624"/>
      <c r="J354" s="624"/>
      <c r="K354" s="624"/>
      <c r="L354" s="624"/>
      <c r="M354" s="624"/>
    </row>
    <row r="355" spans="5:13" ht="15">
      <c r="E355" s="624"/>
      <c r="F355" s="624"/>
      <c r="G355" s="624"/>
      <c r="H355" s="624"/>
      <c r="I355" s="624"/>
      <c r="J355" s="624"/>
      <c r="K355" s="624"/>
      <c r="L355" s="624"/>
      <c r="M355" s="624"/>
    </row>
    <row r="356" spans="5:13" ht="15">
      <c r="E356" s="624"/>
      <c r="F356" s="624"/>
      <c r="G356" s="624"/>
      <c r="H356" s="624"/>
      <c r="I356" s="624"/>
      <c r="J356" s="624"/>
      <c r="K356" s="624"/>
      <c r="L356" s="624"/>
      <c r="M356" s="624"/>
    </row>
    <row r="357" spans="5:13" ht="15">
      <c r="E357" s="624"/>
      <c r="F357" s="624"/>
      <c r="G357" s="624"/>
      <c r="H357" s="624"/>
      <c r="I357" s="624"/>
      <c r="J357" s="624"/>
      <c r="K357" s="624"/>
      <c r="L357" s="624"/>
      <c r="M357" s="624"/>
    </row>
    <row r="358" spans="5:13" ht="15">
      <c r="E358" s="624"/>
      <c r="F358" s="624"/>
      <c r="G358" s="624"/>
      <c r="H358" s="624"/>
      <c r="I358" s="624"/>
      <c r="J358" s="624"/>
      <c r="K358" s="624"/>
      <c r="L358" s="624"/>
      <c r="M358" s="624"/>
    </row>
    <row r="359" spans="5:13" ht="15">
      <c r="E359" s="624"/>
      <c r="F359" s="624"/>
      <c r="G359" s="624"/>
      <c r="H359" s="624"/>
      <c r="I359" s="624"/>
      <c r="J359" s="624"/>
      <c r="K359" s="624"/>
      <c r="L359" s="624"/>
      <c r="M359" s="624"/>
    </row>
    <row r="360" spans="5:13" ht="15">
      <c r="E360" s="624"/>
      <c r="F360" s="624"/>
      <c r="G360" s="624"/>
      <c r="H360" s="624"/>
      <c r="I360" s="624"/>
      <c r="J360" s="624"/>
      <c r="K360" s="624"/>
      <c r="L360" s="624"/>
      <c r="M360" s="624"/>
    </row>
    <row r="361" spans="5:13" ht="15">
      <c r="E361" s="624"/>
      <c r="F361" s="624"/>
      <c r="G361" s="624"/>
      <c r="H361" s="624"/>
      <c r="I361" s="624"/>
      <c r="J361" s="624"/>
      <c r="K361" s="624"/>
      <c r="L361" s="624"/>
      <c r="M361" s="624"/>
    </row>
    <row r="362" spans="5:13" ht="15">
      <c r="E362" s="624"/>
      <c r="F362" s="624"/>
      <c r="G362" s="624"/>
      <c r="H362" s="624"/>
      <c r="I362" s="624"/>
      <c r="J362" s="624"/>
      <c r="K362" s="624"/>
      <c r="L362" s="624"/>
      <c r="M362" s="624"/>
    </row>
    <row r="363" spans="5:13" ht="15">
      <c r="E363" s="624"/>
      <c r="F363" s="624"/>
      <c r="G363" s="624"/>
      <c r="H363" s="624"/>
      <c r="I363" s="624"/>
      <c r="J363" s="624"/>
      <c r="K363" s="624"/>
      <c r="L363" s="624"/>
      <c r="M363" s="624"/>
    </row>
    <row r="364" spans="5:13" ht="15">
      <c r="E364" s="624"/>
      <c r="F364" s="624"/>
      <c r="G364" s="624"/>
      <c r="H364" s="624"/>
      <c r="I364" s="624"/>
      <c r="J364" s="624"/>
      <c r="K364" s="624"/>
      <c r="L364" s="624"/>
      <c r="M364" s="624"/>
    </row>
    <row r="365" spans="5:13" ht="15">
      <c r="E365" s="624"/>
      <c r="F365" s="624"/>
      <c r="G365" s="624"/>
      <c r="H365" s="624"/>
      <c r="I365" s="624"/>
      <c r="J365" s="624"/>
      <c r="K365" s="624"/>
      <c r="L365" s="624"/>
      <c r="M365" s="624"/>
    </row>
    <row r="366" spans="5:13" ht="15">
      <c r="E366" s="624"/>
      <c r="F366" s="624"/>
      <c r="G366" s="624"/>
      <c r="H366" s="624"/>
      <c r="I366" s="624"/>
      <c r="J366" s="624"/>
      <c r="K366" s="624"/>
      <c r="L366" s="624"/>
      <c r="M366" s="624"/>
    </row>
    <row r="367" spans="5:13" ht="15">
      <c r="E367" s="624"/>
      <c r="F367" s="624"/>
      <c r="G367" s="624"/>
      <c r="H367" s="624"/>
      <c r="I367" s="624"/>
      <c r="J367" s="624"/>
      <c r="K367" s="624"/>
      <c r="L367" s="624"/>
      <c r="M367" s="624"/>
    </row>
    <row r="368" spans="5:13" ht="15">
      <c r="E368" s="624"/>
      <c r="F368" s="624"/>
      <c r="G368" s="624"/>
      <c r="H368" s="624"/>
      <c r="I368" s="624"/>
      <c r="J368" s="624"/>
      <c r="K368" s="624"/>
      <c r="L368" s="624"/>
      <c r="M368" s="624"/>
    </row>
    <row r="369" spans="5:13" ht="15">
      <c r="E369" s="624"/>
      <c r="F369" s="624"/>
      <c r="G369" s="624"/>
      <c r="H369" s="624"/>
      <c r="I369" s="624"/>
      <c r="J369" s="624"/>
      <c r="K369" s="624"/>
      <c r="L369" s="624"/>
      <c r="M369" s="624"/>
    </row>
    <row r="370" spans="5:13" ht="15">
      <c r="E370" s="624"/>
      <c r="F370" s="624"/>
      <c r="G370" s="624"/>
      <c r="H370" s="624"/>
      <c r="I370" s="624"/>
      <c r="J370" s="624"/>
      <c r="K370" s="624"/>
      <c r="L370" s="624"/>
      <c r="M370" s="624"/>
    </row>
    <row r="371" spans="5:13" ht="15">
      <c r="E371" s="624"/>
      <c r="F371" s="624"/>
      <c r="G371" s="624"/>
      <c r="H371" s="624"/>
      <c r="I371" s="624"/>
      <c r="J371" s="624"/>
      <c r="K371" s="624"/>
      <c r="L371" s="624"/>
      <c r="M371" s="624"/>
    </row>
    <row r="372" spans="5:13" ht="15">
      <c r="E372" s="624"/>
      <c r="F372" s="624"/>
      <c r="G372" s="624"/>
      <c r="H372" s="624"/>
      <c r="I372" s="624"/>
      <c r="J372" s="624"/>
      <c r="K372" s="624"/>
      <c r="L372" s="624"/>
      <c r="M372" s="624"/>
    </row>
    <row r="373" spans="5:13" ht="15">
      <c r="E373" s="624"/>
      <c r="F373" s="624"/>
      <c r="G373" s="624"/>
      <c r="H373" s="624"/>
      <c r="I373" s="624"/>
      <c r="J373" s="624"/>
      <c r="K373" s="624"/>
      <c r="L373" s="624"/>
      <c r="M373" s="624"/>
    </row>
    <row r="374" spans="5:13" ht="15">
      <c r="E374" s="624"/>
      <c r="F374" s="624"/>
      <c r="G374" s="624"/>
      <c r="H374" s="624"/>
      <c r="I374" s="624"/>
      <c r="J374" s="624"/>
      <c r="K374" s="624"/>
      <c r="L374" s="624"/>
      <c r="M374" s="624"/>
    </row>
    <row r="375" spans="5:13" ht="15">
      <c r="E375" s="624"/>
      <c r="F375" s="624"/>
      <c r="G375" s="624"/>
      <c r="H375" s="624"/>
      <c r="I375" s="624"/>
      <c r="J375" s="624"/>
      <c r="K375" s="624"/>
      <c r="L375" s="624"/>
      <c r="M375" s="624"/>
    </row>
    <row r="376" spans="5:13" ht="15">
      <c r="E376" s="624"/>
      <c r="F376" s="624"/>
      <c r="G376" s="624"/>
      <c r="H376" s="624"/>
      <c r="I376" s="624"/>
      <c r="J376" s="624"/>
      <c r="K376" s="624"/>
      <c r="L376" s="624"/>
      <c r="M376" s="624"/>
    </row>
    <row r="377" spans="5:13" ht="15">
      <c r="E377" s="624"/>
      <c r="F377" s="624"/>
      <c r="G377" s="624"/>
      <c r="H377" s="624"/>
      <c r="I377" s="624"/>
      <c r="J377" s="624"/>
      <c r="K377" s="624"/>
      <c r="L377" s="624"/>
      <c r="M377" s="624"/>
    </row>
    <row r="378" spans="5:13" ht="15">
      <c r="E378" s="624"/>
      <c r="F378" s="624"/>
      <c r="G378" s="624"/>
      <c r="H378" s="624"/>
      <c r="I378" s="624"/>
      <c r="J378" s="624"/>
      <c r="K378" s="624"/>
      <c r="L378" s="624"/>
      <c r="M378" s="624"/>
    </row>
    <row r="379" spans="5:13" ht="15">
      <c r="E379" s="624"/>
      <c r="F379" s="624"/>
      <c r="G379" s="624"/>
      <c r="H379" s="624"/>
      <c r="I379" s="624"/>
      <c r="J379" s="624"/>
      <c r="K379" s="624"/>
      <c r="L379" s="624"/>
      <c r="M379" s="624"/>
    </row>
    <row r="380" spans="5:13" ht="15">
      <c r="E380" s="624"/>
      <c r="F380" s="624"/>
      <c r="G380" s="624"/>
      <c r="H380" s="624"/>
      <c r="I380" s="624"/>
      <c r="J380" s="624"/>
      <c r="K380" s="624"/>
      <c r="L380" s="624"/>
      <c r="M380" s="624"/>
    </row>
    <row r="381" spans="5:13" ht="15">
      <c r="E381" s="624"/>
      <c r="F381" s="624"/>
      <c r="G381" s="624"/>
      <c r="H381" s="624"/>
      <c r="I381" s="624"/>
      <c r="J381" s="624"/>
      <c r="K381" s="624"/>
      <c r="L381" s="624"/>
      <c r="M381" s="624"/>
    </row>
    <row r="382" spans="5:13" ht="15">
      <c r="E382" s="624"/>
      <c r="F382" s="624"/>
      <c r="G382" s="624"/>
      <c r="H382" s="624"/>
      <c r="I382" s="624"/>
      <c r="J382" s="624"/>
      <c r="K382" s="624"/>
      <c r="L382" s="624"/>
      <c r="M382" s="624"/>
    </row>
    <row r="383" spans="5:13" ht="15">
      <c r="E383" s="624"/>
      <c r="F383" s="624"/>
      <c r="G383" s="624"/>
      <c r="H383" s="624"/>
      <c r="I383" s="624"/>
      <c r="J383" s="624"/>
      <c r="K383" s="624"/>
      <c r="L383" s="624"/>
      <c r="M383" s="624"/>
    </row>
    <row r="384" spans="5:13" ht="15">
      <c r="E384" s="624"/>
      <c r="F384" s="624"/>
      <c r="G384" s="624"/>
      <c r="H384" s="624"/>
      <c r="I384" s="624"/>
      <c r="J384" s="624"/>
      <c r="K384" s="624"/>
      <c r="L384" s="624"/>
      <c r="M384" s="624"/>
    </row>
    <row r="385" spans="5:13" ht="15">
      <c r="E385" s="624"/>
      <c r="F385" s="624"/>
      <c r="G385" s="624"/>
      <c r="H385" s="624"/>
      <c r="I385" s="624"/>
      <c r="J385" s="624"/>
      <c r="K385" s="624"/>
      <c r="L385" s="624"/>
      <c r="M385" s="624"/>
    </row>
    <row r="386" spans="5:13" ht="15">
      <c r="E386" s="624"/>
      <c r="F386" s="624"/>
      <c r="G386" s="624"/>
      <c r="H386" s="624"/>
      <c r="I386" s="624"/>
      <c r="J386" s="624"/>
      <c r="K386" s="624"/>
      <c r="L386" s="624"/>
      <c r="M386" s="624"/>
    </row>
    <row r="387" spans="5:13" ht="15">
      <c r="E387" s="624"/>
      <c r="F387" s="624"/>
      <c r="G387" s="624"/>
      <c r="H387" s="624"/>
      <c r="I387" s="624"/>
      <c r="J387" s="624"/>
      <c r="K387" s="624"/>
      <c r="L387" s="624"/>
      <c r="M387" s="624"/>
    </row>
    <row r="388" spans="5:13" ht="15">
      <c r="E388" s="624"/>
      <c r="F388" s="624"/>
      <c r="G388" s="624"/>
      <c r="H388" s="624"/>
      <c r="I388" s="624"/>
      <c r="J388" s="624"/>
      <c r="K388" s="624"/>
      <c r="L388" s="624"/>
      <c r="M388" s="624"/>
    </row>
    <row r="389" spans="5:13" ht="15">
      <c r="E389" s="624"/>
      <c r="F389" s="624"/>
      <c r="G389" s="624"/>
      <c r="H389" s="624"/>
      <c r="I389" s="624"/>
      <c r="J389" s="624"/>
      <c r="K389" s="624"/>
      <c r="L389" s="624"/>
      <c r="M389" s="624"/>
    </row>
    <row r="390" spans="5:13" ht="15">
      <c r="E390" s="624"/>
      <c r="F390" s="624"/>
      <c r="G390" s="624"/>
      <c r="H390" s="624"/>
      <c r="I390" s="624"/>
      <c r="J390" s="624"/>
      <c r="K390" s="624"/>
      <c r="L390" s="624"/>
      <c r="M390" s="624"/>
    </row>
    <row r="391" spans="5:13" ht="15">
      <c r="E391" s="624"/>
      <c r="F391" s="624"/>
      <c r="G391" s="624"/>
      <c r="H391" s="624"/>
      <c r="I391" s="624"/>
      <c r="J391" s="624"/>
      <c r="K391" s="624"/>
      <c r="L391" s="624"/>
      <c r="M391" s="624"/>
    </row>
    <row r="392" spans="5:13" ht="15">
      <c r="E392" s="624"/>
      <c r="F392" s="624"/>
      <c r="G392" s="624"/>
      <c r="H392" s="624"/>
      <c r="I392" s="624"/>
      <c r="J392" s="624"/>
      <c r="K392" s="624"/>
      <c r="L392" s="624"/>
      <c r="M392" s="624"/>
    </row>
    <row r="393" spans="5:13" ht="15">
      <c r="E393" s="624"/>
      <c r="F393" s="624"/>
      <c r="G393" s="624"/>
      <c r="H393" s="624"/>
      <c r="I393" s="624"/>
      <c r="J393" s="624"/>
      <c r="K393" s="624"/>
      <c r="L393" s="624"/>
      <c r="M393" s="624"/>
    </row>
    <row r="394" spans="5:13" ht="15">
      <c r="E394" s="624"/>
      <c r="F394" s="624"/>
      <c r="G394" s="624"/>
      <c r="H394" s="624"/>
      <c r="I394" s="624"/>
      <c r="J394" s="624"/>
      <c r="K394" s="624"/>
      <c r="L394" s="624"/>
      <c r="M394" s="624"/>
    </row>
    <row r="395" spans="5:13" ht="15">
      <c r="E395" s="624"/>
      <c r="F395" s="624"/>
      <c r="G395" s="624"/>
      <c r="H395" s="624"/>
      <c r="I395" s="624"/>
      <c r="J395" s="624"/>
      <c r="K395" s="624"/>
      <c r="L395" s="624"/>
      <c r="M395" s="624"/>
    </row>
    <row r="396" spans="5:13" ht="15">
      <c r="E396" s="624"/>
      <c r="F396" s="624"/>
      <c r="G396" s="624"/>
      <c r="H396" s="624"/>
      <c r="I396" s="624"/>
      <c r="J396" s="624"/>
      <c r="K396" s="624"/>
      <c r="L396" s="624"/>
      <c r="M396" s="624"/>
    </row>
    <row r="397" spans="5:13" ht="15">
      <c r="E397" s="624"/>
      <c r="F397" s="624"/>
      <c r="G397" s="624"/>
      <c r="H397" s="624"/>
      <c r="I397" s="624"/>
      <c r="J397" s="624"/>
      <c r="K397" s="624"/>
      <c r="L397" s="624"/>
      <c r="M397" s="624"/>
    </row>
    <row r="398" spans="5:13" ht="15">
      <c r="E398" s="624"/>
      <c r="F398" s="624"/>
      <c r="G398" s="624"/>
      <c r="H398" s="624"/>
      <c r="I398" s="624"/>
      <c r="J398" s="624"/>
      <c r="K398" s="624"/>
      <c r="L398" s="624"/>
      <c r="M398" s="624"/>
    </row>
    <row r="399" spans="5:13" ht="15">
      <c r="E399" s="624"/>
      <c r="F399" s="624"/>
      <c r="G399" s="624"/>
      <c r="H399" s="624"/>
      <c r="I399" s="624"/>
      <c r="J399" s="624"/>
      <c r="K399" s="624"/>
      <c r="L399" s="624"/>
      <c r="M399" s="624"/>
    </row>
    <row r="400" spans="5:13" ht="15">
      <c r="E400" s="624"/>
      <c r="F400" s="624"/>
      <c r="G400" s="624"/>
      <c r="H400" s="624"/>
      <c r="I400" s="624"/>
      <c r="J400" s="624"/>
      <c r="K400" s="624"/>
      <c r="L400" s="624"/>
      <c r="M400" s="624"/>
    </row>
    <row r="401" spans="5:13" ht="15">
      <c r="E401" s="624"/>
      <c r="F401" s="624"/>
      <c r="G401" s="624"/>
      <c r="H401" s="624"/>
      <c r="I401" s="624"/>
      <c r="J401" s="624"/>
      <c r="K401" s="624"/>
      <c r="L401" s="624"/>
      <c r="M401" s="624"/>
    </row>
    <row r="402" spans="5:13" ht="15">
      <c r="E402" s="624"/>
      <c r="F402" s="624"/>
      <c r="G402" s="624"/>
      <c r="H402" s="624"/>
      <c r="I402" s="624"/>
      <c r="J402" s="624"/>
      <c r="K402" s="624"/>
      <c r="L402" s="624"/>
      <c r="M402" s="624"/>
    </row>
    <row r="403" spans="5:13" ht="15">
      <c r="E403" s="624"/>
      <c r="F403" s="624"/>
      <c r="G403" s="624"/>
      <c r="H403" s="624"/>
      <c r="I403" s="624"/>
      <c r="J403" s="624"/>
      <c r="K403" s="624"/>
      <c r="L403" s="624"/>
      <c r="M403" s="624"/>
    </row>
    <row r="404" spans="5:13" ht="15">
      <c r="E404" s="624"/>
      <c r="F404" s="624"/>
      <c r="G404" s="624"/>
      <c r="H404" s="624"/>
      <c r="I404" s="624"/>
      <c r="J404" s="624"/>
      <c r="K404" s="624"/>
      <c r="L404" s="624"/>
      <c r="M404" s="624"/>
    </row>
    <row r="405" spans="5:13" ht="15">
      <c r="E405" s="624"/>
      <c r="F405" s="624"/>
      <c r="G405" s="624"/>
      <c r="H405" s="624"/>
      <c r="I405" s="624"/>
      <c r="J405" s="624"/>
      <c r="K405" s="624"/>
      <c r="L405" s="624"/>
      <c r="M405" s="624"/>
    </row>
    <row r="406" spans="5:13" ht="15">
      <c r="E406" s="624"/>
      <c r="F406" s="624"/>
      <c r="G406" s="624"/>
      <c r="H406" s="624"/>
      <c r="I406" s="624"/>
      <c r="J406" s="624"/>
      <c r="K406" s="624"/>
      <c r="L406" s="624"/>
      <c r="M406" s="624"/>
    </row>
    <row r="407" spans="5:13" ht="15">
      <c r="E407" s="624"/>
      <c r="F407" s="624"/>
      <c r="G407" s="624"/>
      <c r="H407" s="624"/>
      <c r="I407" s="624"/>
      <c r="J407" s="624"/>
      <c r="K407" s="624"/>
      <c r="L407" s="624"/>
      <c r="M407" s="624"/>
    </row>
    <row r="408" spans="5:13" ht="15">
      <c r="E408" s="624"/>
      <c r="F408" s="624"/>
      <c r="G408" s="624"/>
      <c r="H408" s="624"/>
      <c r="I408" s="624"/>
      <c r="J408" s="624"/>
      <c r="K408" s="624"/>
      <c r="L408" s="624"/>
      <c r="M408" s="624"/>
    </row>
    <row r="409" spans="5:13" ht="15">
      <c r="E409" s="624"/>
      <c r="F409" s="624"/>
      <c r="G409" s="624"/>
      <c r="H409" s="624"/>
      <c r="I409" s="624"/>
      <c r="J409" s="624"/>
      <c r="K409" s="624"/>
      <c r="L409" s="624"/>
      <c r="M409" s="624"/>
    </row>
    <row r="410" spans="5:13" ht="15">
      <c r="E410" s="624"/>
      <c r="F410" s="624"/>
      <c r="G410" s="624"/>
      <c r="H410" s="624"/>
      <c r="I410" s="624"/>
      <c r="J410" s="624"/>
      <c r="K410" s="624"/>
      <c r="L410" s="624"/>
      <c r="M410" s="624"/>
    </row>
    <row r="411" spans="5:13" ht="15">
      <c r="E411" s="624"/>
      <c r="F411" s="624"/>
      <c r="G411" s="624"/>
      <c r="H411" s="624"/>
      <c r="I411" s="624"/>
      <c r="J411" s="624"/>
      <c r="K411" s="624"/>
      <c r="L411" s="624"/>
      <c r="M411" s="624"/>
    </row>
    <row r="412" spans="5:13" ht="15">
      <c r="E412" s="624"/>
      <c r="F412" s="624"/>
      <c r="G412" s="624"/>
      <c r="H412" s="624"/>
      <c r="I412" s="624"/>
      <c r="J412" s="624"/>
      <c r="K412" s="624"/>
      <c r="L412" s="624"/>
      <c r="M412" s="624"/>
    </row>
    <row r="413" spans="5:13" ht="15">
      <c r="E413" s="624"/>
      <c r="F413" s="624"/>
      <c r="G413" s="624"/>
      <c r="H413" s="624"/>
      <c r="I413" s="624"/>
      <c r="J413" s="624"/>
      <c r="K413" s="624"/>
      <c r="L413" s="624"/>
      <c r="M413" s="624"/>
    </row>
    <row r="414" spans="5:13" ht="15">
      <c r="E414" s="624"/>
      <c r="F414" s="624"/>
      <c r="G414" s="624"/>
      <c r="H414" s="624"/>
      <c r="I414" s="624"/>
      <c r="J414" s="624"/>
      <c r="K414" s="624"/>
      <c r="L414" s="624"/>
      <c r="M414" s="624"/>
    </row>
    <row r="415" spans="5:13" ht="15">
      <c r="E415" s="624"/>
      <c r="F415" s="624"/>
      <c r="G415" s="624"/>
      <c r="H415" s="624"/>
      <c r="I415" s="624"/>
      <c r="J415" s="624"/>
      <c r="K415" s="624"/>
      <c r="L415" s="624"/>
      <c r="M415" s="624"/>
    </row>
    <row r="416" spans="5:13" ht="15">
      <c r="E416" s="624"/>
      <c r="F416" s="624"/>
      <c r="G416" s="624"/>
      <c r="H416" s="624"/>
      <c r="I416" s="624"/>
      <c r="J416" s="624"/>
      <c r="K416" s="624"/>
      <c r="L416" s="624"/>
      <c r="M416" s="624"/>
    </row>
    <row r="417" spans="5:13" ht="15">
      <c r="E417" s="624"/>
      <c r="F417" s="624"/>
      <c r="G417" s="624"/>
      <c r="H417" s="624"/>
      <c r="I417" s="624"/>
      <c r="J417" s="624"/>
      <c r="K417" s="624"/>
      <c r="L417" s="624"/>
      <c r="M417" s="624"/>
    </row>
    <row r="418" spans="5:13" ht="15">
      <c r="E418" s="624"/>
      <c r="F418" s="624"/>
      <c r="G418" s="624"/>
      <c r="H418" s="624"/>
      <c r="I418" s="624"/>
      <c r="J418" s="624"/>
      <c r="K418" s="624"/>
      <c r="L418" s="624"/>
      <c r="M418" s="624"/>
    </row>
    <row r="419" spans="5:13" ht="15">
      <c r="E419" s="624"/>
      <c r="F419" s="624"/>
      <c r="G419" s="624"/>
      <c r="H419" s="624"/>
      <c r="I419" s="624"/>
      <c r="J419" s="624"/>
      <c r="K419" s="624"/>
      <c r="L419" s="624"/>
      <c r="M419" s="624"/>
    </row>
    <row r="420" spans="5:13" ht="15">
      <c r="E420" s="624"/>
      <c r="F420" s="624"/>
      <c r="G420" s="624"/>
      <c r="H420" s="624"/>
      <c r="I420" s="624"/>
      <c r="J420" s="624"/>
      <c r="K420" s="624"/>
      <c r="L420" s="624"/>
      <c r="M420" s="624"/>
    </row>
    <row r="421" spans="5:13" ht="15">
      <c r="E421" s="624"/>
      <c r="F421" s="624"/>
      <c r="G421" s="624"/>
      <c r="H421" s="624"/>
      <c r="I421" s="624"/>
      <c r="J421" s="624"/>
      <c r="K421" s="624"/>
      <c r="L421" s="624"/>
      <c r="M421" s="624"/>
    </row>
    <row r="422" spans="5:13" ht="15">
      <c r="E422" s="624"/>
      <c r="F422" s="624"/>
      <c r="G422" s="624"/>
      <c r="H422" s="624"/>
      <c r="I422" s="624"/>
      <c r="J422" s="624"/>
      <c r="K422" s="624"/>
      <c r="L422" s="624"/>
      <c r="M422" s="624"/>
    </row>
    <row r="423" spans="5:13" ht="15">
      <c r="E423" s="624"/>
      <c r="F423" s="624"/>
      <c r="G423" s="624"/>
      <c r="H423" s="624"/>
      <c r="I423" s="624"/>
      <c r="J423" s="624"/>
      <c r="K423" s="624"/>
      <c r="L423" s="624"/>
      <c r="M423" s="624"/>
    </row>
    <row r="424" spans="5:13" ht="15">
      <c r="E424" s="624"/>
      <c r="F424" s="624"/>
      <c r="G424" s="624"/>
      <c r="H424" s="624"/>
      <c r="I424" s="624"/>
      <c r="J424" s="624"/>
      <c r="K424" s="624"/>
      <c r="L424" s="624"/>
      <c r="M424" s="624"/>
    </row>
    <row r="425" spans="5:13" ht="15">
      <c r="E425" s="624"/>
      <c r="F425" s="624"/>
      <c r="G425" s="624"/>
      <c r="H425" s="624"/>
      <c r="I425" s="624"/>
      <c r="J425" s="624"/>
      <c r="K425" s="624"/>
      <c r="L425" s="624"/>
      <c r="M425" s="624"/>
    </row>
    <row r="426" spans="5:13" ht="15">
      <c r="E426" s="624"/>
      <c r="F426" s="624"/>
      <c r="G426" s="624"/>
      <c r="H426" s="624"/>
      <c r="I426" s="624"/>
      <c r="J426" s="624"/>
      <c r="K426" s="624"/>
      <c r="L426" s="624"/>
      <c r="M426" s="624"/>
    </row>
    <row r="427" spans="5:13" ht="15">
      <c r="E427" s="624"/>
      <c r="F427" s="624"/>
      <c r="G427" s="624"/>
      <c r="H427" s="624"/>
      <c r="I427" s="624"/>
      <c r="J427" s="624"/>
      <c r="K427" s="624"/>
      <c r="L427" s="624"/>
      <c r="M427" s="624"/>
    </row>
    <row r="428" spans="5:13" ht="15">
      <c r="E428" s="624"/>
      <c r="F428" s="624"/>
      <c r="G428" s="624"/>
      <c r="H428" s="624"/>
      <c r="I428" s="624"/>
      <c r="J428" s="624"/>
      <c r="K428" s="624"/>
      <c r="L428" s="624"/>
      <c r="M428" s="624"/>
    </row>
    <row r="429" spans="5:13" ht="15">
      <c r="E429" s="624"/>
      <c r="F429" s="624"/>
      <c r="G429" s="624"/>
      <c r="H429" s="624"/>
      <c r="I429" s="624"/>
      <c r="J429" s="624"/>
      <c r="K429" s="624"/>
      <c r="L429" s="624"/>
      <c r="M429" s="624"/>
    </row>
    <row r="430" spans="5:13" ht="15">
      <c r="E430" s="624"/>
      <c r="F430" s="624"/>
      <c r="G430" s="624"/>
      <c r="H430" s="624"/>
      <c r="I430" s="624"/>
      <c r="J430" s="624"/>
      <c r="K430" s="624"/>
      <c r="L430" s="624"/>
      <c r="M430" s="624"/>
    </row>
    <row r="431" spans="5:13" ht="15">
      <c r="E431" s="624"/>
      <c r="F431" s="624"/>
      <c r="G431" s="624"/>
      <c r="H431" s="624"/>
      <c r="I431" s="624"/>
      <c r="J431" s="624"/>
      <c r="K431" s="624"/>
      <c r="L431" s="624"/>
      <c r="M431" s="624"/>
    </row>
    <row r="432" spans="5:13" ht="15">
      <c r="E432" s="624"/>
      <c r="F432" s="624"/>
      <c r="G432" s="624"/>
      <c r="H432" s="624"/>
      <c r="I432" s="624"/>
      <c r="J432" s="624"/>
      <c r="K432" s="624"/>
      <c r="L432" s="624"/>
      <c r="M432" s="624"/>
    </row>
    <row r="433" spans="5:13" ht="15">
      <c r="E433" s="624"/>
      <c r="F433" s="624"/>
      <c r="G433" s="624"/>
      <c r="H433" s="624"/>
      <c r="I433" s="624"/>
      <c r="J433" s="624"/>
      <c r="K433" s="624"/>
      <c r="L433" s="624"/>
      <c r="M433" s="624"/>
    </row>
    <row r="434" spans="5:13" ht="15">
      <c r="E434" s="624"/>
      <c r="F434" s="624"/>
      <c r="G434" s="624"/>
      <c r="H434" s="624"/>
      <c r="I434" s="624"/>
      <c r="J434" s="624"/>
      <c r="K434" s="624"/>
      <c r="L434" s="624"/>
      <c r="M434" s="624"/>
    </row>
    <row r="435" spans="5:13" ht="15">
      <c r="E435" s="624"/>
      <c r="F435" s="624"/>
      <c r="G435" s="624"/>
      <c r="H435" s="624"/>
      <c r="I435" s="624"/>
      <c r="J435" s="624"/>
      <c r="K435" s="624"/>
      <c r="L435" s="624"/>
      <c r="M435" s="624"/>
    </row>
    <row r="436" spans="5:13" ht="15">
      <c r="E436" s="624"/>
      <c r="F436" s="624"/>
      <c r="G436" s="624"/>
      <c r="H436" s="624"/>
      <c r="I436" s="624"/>
      <c r="J436" s="624"/>
      <c r="K436" s="624"/>
      <c r="L436" s="624"/>
      <c r="M436" s="624"/>
    </row>
    <row r="437" spans="5:13" ht="15">
      <c r="E437" s="624"/>
      <c r="F437" s="624"/>
      <c r="G437" s="624"/>
      <c r="H437" s="624"/>
      <c r="I437" s="624"/>
      <c r="J437" s="624"/>
      <c r="K437" s="624"/>
      <c r="L437" s="624"/>
      <c r="M437" s="624"/>
    </row>
    <row r="438" spans="5:13" ht="15">
      <c r="E438" s="624"/>
      <c r="F438" s="624"/>
      <c r="G438" s="624"/>
      <c r="H438" s="624"/>
      <c r="I438" s="624"/>
      <c r="J438" s="624"/>
      <c r="K438" s="624"/>
      <c r="L438" s="624"/>
      <c r="M438" s="624"/>
    </row>
    <row r="439" spans="5:13" ht="15">
      <c r="E439" s="624"/>
      <c r="F439" s="624"/>
      <c r="G439" s="624"/>
      <c r="H439" s="624"/>
      <c r="I439" s="624"/>
      <c r="J439" s="624"/>
      <c r="K439" s="624"/>
      <c r="L439" s="624"/>
      <c r="M439" s="624"/>
    </row>
    <row r="440" spans="5:13" ht="15">
      <c r="E440" s="624"/>
      <c r="F440" s="624"/>
      <c r="G440" s="624"/>
      <c r="H440" s="624"/>
      <c r="I440" s="624"/>
      <c r="J440" s="624"/>
      <c r="K440" s="624"/>
      <c r="L440" s="624"/>
      <c r="M440" s="624"/>
    </row>
    <row r="441" spans="5:13" ht="15">
      <c r="E441" s="624"/>
      <c r="F441" s="624"/>
      <c r="G441" s="624"/>
      <c r="H441" s="624"/>
      <c r="I441" s="624"/>
      <c r="J441" s="624"/>
      <c r="K441" s="624"/>
      <c r="L441" s="624"/>
      <c r="M441" s="624"/>
    </row>
    <row r="442" spans="5:13" ht="15">
      <c r="E442" s="624"/>
      <c r="F442" s="624"/>
      <c r="G442" s="624"/>
      <c r="H442" s="624"/>
      <c r="I442" s="624"/>
      <c r="J442" s="624"/>
      <c r="K442" s="624"/>
      <c r="L442" s="624"/>
      <c r="M442" s="624"/>
    </row>
    <row r="443" spans="5:13" ht="15">
      <c r="E443" s="624"/>
      <c r="F443" s="624"/>
      <c r="G443" s="624"/>
      <c r="H443" s="624"/>
      <c r="I443" s="624"/>
      <c r="J443" s="624"/>
      <c r="K443" s="624"/>
      <c r="L443" s="624"/>
      <c r="M443" s="624"/>
    </row>
    <row r="444" spans="5:13" ht="15">
      <c r="E444" s="624"/>
      <c r="F444" s="624"/>
      <c r="G444" s="624"/>
      <c r="H444" s="624"/>
      <c r="I444" s="624"/>
      <c r="J444" s="624"/>
      <c r="K444" s="624"/>
      <c r="L444" s="624"/>
      <c r="M444" s="624"/>
    </row>
    <row r="445" spans="5:13" ht="15">
      <c r="E445" s="624"/>
      <c r="F445" s="624"/>
      <c r="G445" s="624"/>
      <c r="H445" s="624"/>
      <c r="I445" s="624"/>
      <c r="J445" s="624"/>
      <c r="K445" s="624"/>
      <c r="L445" s="624"/>
      <c r="M445" s="624"/>
    </row>
    <row r="446" spans="5:13" ht="15">
      <c r="E446" s="624"/>
      <c r="F446" s="624"/>
      <c r="G446" s="624"/>
      <c r="H446" s="624"/>
      <c r="I446" s="624"/>
      <c r="J446" s="624"/>
      <c r="K446" s="624"/>
      <c r="L446" s="624"/>
      <c r="M446" s="624"/>
    </row>
    <row r="447" spans="5:13" ht="15">
      <c r="E447" s="624"/>
      <c r="F447" s="624"/>
      <c r="G447" s="624"/>
      <c r="H447" s="624"/>
      <c r="I447" s="624"/>
      <c r="J447" s="624"/>
      <c r="K447" s="624"/>
      <c r="L447" s="624"/>
      <c r="M447" s="624"/>
    </row>
    <row r="448" spans="5:13" ht="15">
      <c r="E448" s="624"/>
      <c r="F448" s="624"/>
      <c r="G448" s="624"/>
      <c r="H448" s="624"/>
      <c r="I448" s="624"/>
      <c r="J448" s="624"/>
      <c r="K448" s="624"/>
      <c r="L448" s="624"/>
      <c r="M448" s="624"/>
    </row>
    <row r="449" spans="5:13" ht="15">
      <c r="E449" s="624"/>
      <c r="F449" s="624"/>
      <c r="G449" s="624"/>
      <c r="H449" s="624"/>
      <c r="I449" s="624"/>
      <c r="J449" s="624"/>
      <c r="K449" s="624"/>
      <c r="L449" s="624"/>
      <c r="M449" s="624"/>
    </row>
    <row r="450" spans="5:13" ht="15">
      <c r="E450" s="624"/>
      <c r="F450" s="624"/>
      <c r="G450" s="624"/>
      <c r="H450" s="624"/>
      <c r="I450" s="624"/>
      <c r="J450" s="624"/>
      <c r="K450" s="624"/>
      <c r="L450" s="624"/>
      <c r="M450" s="624"/>
    </row>
    <row r="451" spans="5:13" ht="15">
      <c r="E451" s="624"/>
      <c r="F451" s="624"/>
      <c r="G451" s="624"/>
      <c r="H451" s="624"/>
      <c r="I451" s="624"/>
      <c r="J451" s="624"/>
      <c r="K451" s="624"/>
      <c r="L451" s="624"/>
      <c r="M451" s="624"/>
    </row>
    <row r="452" spans="5:13" ht="15">
      <c r="E452" s="624"/>
      <c r="F452" s="624"/>
      <c r="G452" s="624"/>
      <c r="H452" s="624"/>
      <c r="I452" s="624"/>
      <c r="J452" s="624"/>
      <c r="K452" s="624"/>
      <c r="L452" s="624"/>
      <c r="M452" s="624"/>
    </row>
    <row r="453" spans="5:13" ht="15">
      <c r="E453" s="624"/>
      <c r="F453" s="624"/>
      <c r="G453" s="624"/>
      <c r="H453" s="624"/>
      <c r="I453" s="624"/>
      <c r="J453" s="624"/>
      <c r="K453" s="624"/>
      <c r="L453" s="624"/>
      <c r="M453" s="624"/>
    </row>
    <row r="454" spans="5:13" ht="15">
      <c r="E454" s="624"/>
      <c r="F454" s="624"/>
      <c r="G454" s="624"/>
      <c r="H454" s="624"/>
      <c r="I454" s="624"/>
      <c r="J454" s="624"/>
      <c r="K454" s="624"/>
      <c r="L454" s="624"/>
      <c r="M454" s="624"/>
    </row>
    <row r="455" spans="5:13" ht="15">
      <c r="E455" s="624"/>
      <c r="F455" s="624"/>
      <c r="G455" s="624"/>
      <c r="H455" s="624"/>
      <c r="I455" s="624"/>
      <c r="J455" s="624"/>
      <c r="K455" s="624"/>
      <c r="L455" s="624"/>
      <c r="M455" s="624"/>
    </row>
    <row r="456" spans="5:13" ht="15">
      <c r="E456" s="624"/>
      <c r="F456" s="624"/>
      <c r="G456" s="624"/>
      <c r="H456" s="624"/>
      <c r="I456" s="624"/>
      <c r="J456" s="624"/>
      <c r="K456" s="624"/>
      <c r="L456" s="624"/>
      <c r="M456" s="624"/>
    </row>
    <row r="457" spans="5:13" ht="15">
      <c r="E457" s="624"/>
      <c r="F457" s="624"/>
      <c r="G457" s="624"/>
      <c r="H457" s="624"/>
      <c r="I457" s="624"/>
      <c r="J457" s="624"/>
      <c r="K457" s="624"/>
      <c r="L457" s="624"/>
      <c r="M457" s="624"/>
    </row>
    <row r="458" spans="5:13" ht="15">
      <c r="E458" s="624"/>
      <c r="F458" s="624"/>
      <c r="G458" s="624"/>
      <c r="H458" s="624"/>
      <c r="I458" s="624"/>
      <c r="J458" s="624"/>
      <c r="K458" s="624"/>
      <c r="L458" s="624"/>
      <c r="M458" s="624"/>
    </row>
    <row r="459" spans="5:13" ht="15">
      <c r="E459" s="624"/>
      <c r="F459" s="624"/>
      <c r="G459" s="624"/>
      <c r="H459" s="624"/>
      <c r="I459" s="624"/>
      <c r="J459" s="624"/>
      <c r="K459" s="624"/>
      <c r="L459" s="624"/>
      <c r="M459" s="624"/>
    </row>
    <row r="460" spans="5:13" ht="15">
      <c r="E460" s="624"/>
      <c r="F460" s="624"/>
      <c r="G460" s="624"/>
      <c r="H460" s="624"/>
      <c r="I460" s="624"/>
      <c r="J460" s="624"/>
      <c r="K460" s="624"/>
      <c r="L460" s="624"/>
      <c r="M460" s="624"/>
    </row>
    <row r="461" spans="5:13" ht="15">
      <c r="E461" s="624"/>
      <c r="F461" s="624"/>
      <c r="G461" s="624"/>
      <c r="H461" s="624"/>
      <c r="I461" s="624"/>
      <c r="J461" s="624"/>
      <c r="K461" s="624"/>
      <c r="L461" s="624"/>
      <c r="M461" s="624"/>
    </row>
    <row r="462" spans="5:13" ht="15">
      <c r="E462" s="624"/>
      <c r="F462" s="624"/>
      <c r="G462" s="624"/>
      <c r="H462" s="624"/>
      <c r="I462" s="624"/>
      <c r="J462" s="624"/>
      <c r="K462" s="624"/>
      <c r="L462" s="624"/>
      <c r="M462" s="624"/>
    </row>
    <row r="463" spans="5:13" ht="15">
      <c r="E463" s="624"/>
      <c r="F463" s="624"/>
      <c r="G463" s="624"/>
      <c r="H463" s="624"/>
      <c r="I463" s="624"/>
      <c r="J463" s="624"/>
      <c r="K463" s="624"/>
      <c r="L463" s="624"/>
      <c r="M463" s="624"/>
    </row>
    <row r="464" spans="5:13" ht="15">
      <c r="E464" s="624"/>
      <c r="F464" s="624"/>
      <c r="G464" s="624"/>
      <c r="H464" s="624"/>
      <c r="I464" s="624"/>
      <c r="J464" s="624"/>
      <c r="K464" s="624"/>
      <c r="L464" s="624"/>
      <c r="M464" s="624"/>
    </row>
    <row r="465" spans="5:13" ht="15">
      <c r="E465" s="624"/>
      <c r="F465" s="624"/>
      <c r="G465" s="624"/>
      <c r="H465" s="624"/>
      <c r="I465" s="624"/>
      <c r="J465" s="624"/>
      <c r="K465" s="624"/>
      <c r="L465" s="624"/>
      <c r="M465" s="624"/>
    </row>
    <row r="466" spans="5:13" ht="15">
      <c r="E466" s="624"/>
      <c r="F466" s="624"/>
      <c r="G466" s="624"/>
      <c r="H466" s="624"/>
      <c r="I466" s="624"/>
      <c r="J466" s="624"/>
      <c r="K466" s="624"/>
      <c r="L466" s="624"/>
      <c r="M466" s="624"/>
    </row>
    <row r="467" spans="5:13" ht="15">
      <c r="E467" s="624"/>
      <c r="F467" s="624"/>
      <c r="G467" s="624"/>
      <c r="H467" s="624"/>
      <c r="I467" s="624"/>
      <c r="J467" s="624"/>
      <c r="K467" s="624"/>
      <c r="L467" s="624"/>
      <c r="M467" s="624"/>
    </row>
    <row r="468" spans="5:13" ht="15">
      <c r="E468" s="624"/>
      <c r="F468" s="624"/>
      <c r="G468" s="624"/>
      <c r="H468" s="624"/>
      <c r="I468" s="624"/>
      <c r="J468" s="624"/>
      <c r="K468" s="624"/>
      <c r="L468" s="624"/>
      <c r="M468" s="624"/>
    </row>
    <row r="469" spans="5:13" ht="15">
      <c r="E469" s="624"/>
      <c r="F469" s="624"/>
      <c r="G469" s="624"/>
      <c r="H469" s="624"/>
      <c r="I469" s="624"/>
      <c r="J469" s="624"/>
      <c r="K469" s="624"/>
      <c r="L469" s="624"/>
      <c r="M469" s="624"/>
    </row>
    <row r="470" spans="5:13" ht="15">
      <c r="E470" s="624"/>
      <c r="F470" s="624"/>
      <c r="G470" s="624"/>
      <c r="H470" s="624"/>
      <c r="I470" s="624"/>
      <c r="J470" s="624"/>
      <c r="K470" s="624"/>
      <c r="L470" s="624"/>
      <c r="M470" s="624"/>
    </row>
    <row r="471" spans="5:13" ht="15">
      <c r="E471" s="624"/>
      <c r="F471" s="624"/>
      <c r="G471" s="624"/>
      <c r="H471" s="624"/>
      <c r="I471" s="624"/>
      <c r="J471" s="624"/>
      <c r="K471" s="624"/>
      <c r="L471" s="624"/>
      <c r="M471" s="624"/>
    </row>
    <row r="472" spans="5:13" ht="15">
      <c r="E472" s="624"/>
      <c r="F472" s="624"/>
      <c r="G472" s="624"/>
      <c r="H472" s="624"/>
      <c r="I472" s="624"/>
      <c r="J472" s="624"/>
      <c r="K472" s="624"/>
      <c r="L472" s="624"/>
      <c r="M472" s="624"/>
    </row>
    <row r="473" spans="5:13" ht="15">
      <c r="E473" s="624"/>
      <c r="F473" s="624"/>
      <c r="G473" s="624"/>
      <c r="H473" s="624"/>
      <c r="I473" s="624"/>
      <c r="J473" s="624"/>
      <c r="K473" s="624"/>
      <c r="L473" s="624"/>
      <c r="M473" s="624"/>
    </row>
    <row r="474" spans="5:13" ht="15">
      <c r="E474" s="624"/>
      <c r="F474" s="624"/>
      <c r="G474" s="624"/>
      <c r="H474" s="624"/>
      <c r="I474" s="624"/>
      <c r="J474" s="624"/>
      <c r="K474" s="624"/>
      <c r="L474" s="624"/>
      <c r="M474" s="624"/>
    </row>
    <row r="475" spans="5:13" ht="15">
      <c r="E475" s="624"/>
      <c r="F475" s="624"/>
      <c r="G475" s="624"/>
      <c r="H475" s="624"/>
      <c r="I475" s="624"/>
      <c r="J475" s="624"/>
      <c r="K475" s="624"/>
      <c r="L475" s="624"/>
      <c r="M475" s="624"/>
    </row>
    <row r="476" spans="5:13" ht="15">
      <c r="E476" s="624"/>
      <c r="F476" s="624"/>
      <c r="G476" s="624"/>
      <c r="H476" s="624"/>
      <c r="I476" s="624"/>
      <c r="J476" s="624"/>
      <c r="K476" s="624"/>
      <c r="L476" s="624"/>
      <c r="M476" s="624"/>
    </row>
    <row r="477" spans="5:13" ht="15">
      <c r="E477" s="624"/>
      <c r="F477" s="624"/>
      <c r="G477" s="624"/>
      <c r="H477" s="624"/>
      <c r="I477" s="624"/>
      <c r="J477" s="624"/>
      <c r="K477" s="624"/>
      <c r="L477" s="624"/>
      <c r="M477" s="624"/>
    </row>
    <row r="478" spans="5:13" ht="15">
      <c r="E478" s="624"/>
      <c r="F478" s="624"/>
      <c r="G478" s="624"/>
      <c r="H478" s="624"/>
      <c r="I478" s="624"/>
      <c r="J478" s="624"/>
      <c r="K478" s="624"/>
      <c r="L478" s="624"/>
      <c r="M478" s="624"/>
    </row>
    <row r="479" spans="5:13" ht="15">
      <c r="E479" s="624"/>
      <c r="F479" s="624"/>
      <c r="G479" s="624"/>
      <c r="H479" s="624"/>
      <c r="I479" s="624"/>
      <c r="J479" s="624"/>
      <c r="K479" s="624"/>
      <c r="L479" s="624"/>
      <c r="M479" s="624"/>
    </row>
    <row r="480" spans="5:13" ht="15">
      <c r="E480" s="624"/>
      <c r="F480" s="624"/>
      <c r="G480" s="624"/>
      <c r="H480" s="624"/>
      <c r="I480" s="624"/>
      <c r="J480" s="624"/>
      <c r="K480" s="624"/>
      <c r="L480" s="624"/>
      <c r="M480" s="624"/>
    </row>
    <row r="481" spans="5:13" ht="15">
      <c r="E481" s="624"/>
      <c r="F481" s="624"/>
      <c r="G481" s="624"/>
      <c r="H481" s="624"/>
      <c r="I481" s="624"/>
      <c r="J481" s="624"/>
      <c r="K481" s="624"/>
      <c r="L481" s="624"/>
      <c r="M481" s="624"/>
    </row>
    <row r="482" spans="5:13" ht="15">
      <c r="E482" s="624"/>
      <c r="F482" s="624"/>
      <c r="G482" s="624"/>
      <c r="H482" s="624"/>
      <c r="I482" s="624"/>
      <c r="J482" s="624"/>
      <c r="K482" s="624"/>
      <c r="L482" s="624"/>
      <c r="M482" s="624"/>
    </row>
    <row r="483" spans="5:13" ht="15">
      <c r="E483" s="624"/>
      <c r="F483" s="624"/>
      <c r="G483" s="624"/>
      <c r="H483" s="624"/>
      <c r="I483" s="624"/>
      <c r="J483" s="624"/>
      <c r="K483" s="624"/>
      <c r="L483" s="624"/>
      <c r="M483" s="624"/>
    </row>
    <row r="484" spans="5:13" ht="15">
      <c r="E484" s="624"/>
      <c r="F484" s="624"/>
      <c r="G484" s="624"/>
      <c r="H484" s="624"/>
      <c r="I484" s="624"/>
      <c r="J484" s="624"/>
      <c r="K484" s="624"/>
      <c r="L484" s="624"/>
      <c r="M484" s="624"/>
    </row>
    <row r="485" spans="5:13" ht="15">
      <c r="E485" s="624"/>
      <c r="F485" s="624"/>
      <c r="G485" s="624"/>
      <c r="H485" s="624"/>
      <c r="I485" s="624"/>
      <c r="J485" s="624"/>
      <c r="K485" s="624"/>
      <c r="L485" s="624"/>
      <c r="M485" s="624"/>
    </row>
    <row r="486" spans="5:13" ht="15">
      <c r="E486" s="624"/>
      <c r="F486" s="624"/>
      <c r="G486" s="624"/>
      <c r="H486" s="624"/>
      <c r="I486" s="624"/>
      <c r="J486" s="624"/>
      <c r="K486" s="624"/>
      <c r="L486" s="624"/>
      <c r="M486" s="624"/>
    </row>
    <row r="487" spans="5:13" ht="15">
      <c r="E487" s="624"/>
      <c r="F487" s="624"/>
      <c r="G487" s="624"/>
      <c r="H487" s="624"/>
      <c r="I487" s="624"/>
      <c r="J487" s="624"/>
      <c r="K487" s="624"/>
      <c r="L487" s="624"/>
      <c r="M487" s="624"/>
    </row>
    <row r="488" spans="5:13" ht="15">
      <c r="E488" s="624"/>
      <c r="F488" s="624"/>
      <c r="G488" s="624"/>
      <c r="H488" s="624"/>
      <c r="I488" s="624"/>
      <c r="J488" s="624"/>
      <c r="K488" s="624"/>
      <c r="L488" s="624"/>
      <c r="M488" s="624"/>
    </row>
    <row r="489" spans="5:13" ht="15">
      <c r="E489" s="624"/>
      <c r="F489" s="624"/>
      <c r="G489" s="624"/>
      <c r="H489" s="624"/>
      <c r="I489" s="624"/>
      <c r="J489" s="624"/>
      <c r="K489" s="624"/>
      <c r="L489" s="624"/>
      <c r="M489" s="624"/>
    </row>
    <row r="490" spans="5:13" ht="15">
      <c r="E490" s="624"/>
      <c r="F490" s="624"/>
      <c r="G490" s="624"/>
      <c r="H490" s="624"/>
      <c r="I490" s="624"/>
      <c r="J490" s="624"/>
      <c r="K490" s="624"/>
      <c r="L490" s="624"/>
      <c r="M490" s="624"/>
    </row>
    <row r="491" spans="5:13" ht="15">
      <c r="E491" s="624"/>
      <c r="F491" s="624"/>
      <c r="G491" s="624"/>
      <c r="H491" s="624"/>
      <c r="I491" s="624"/>
      <c r="J491" s="624"/>
      <c r="K491" s="624"/>
      <c r="L491" s="624"/>
      <c r="M491" s="624"/>
    </row>
    <row r="492" spans="5:13" ht="15">
      <c r="E492" s="624"/>
      <c r="F492" s="624"/>
      <c r="G492" s="624"/>
      <c r="H492" s="624"/>
      <c r="I492" s="624"/>
      <c r="J492" s="624"/>
      <c r="K492" s="624"/>
      <c r="L492" s="624"/>
      <c r="M492" s="624"/>
    </row>
    <row r="493" spans="5:13" ht="15">
      <c r="E493" s="624"/>
      <c r="F493" s="624"/>
      <c r="G493" s="624"/>
      <c r="H493" s="624"/>
      <c r="I493" s="624"/>
      <c r="J493" s="624"/>
      <c r="K493" s="624"/>
      <c r="L493" s="624"/>
      <c r="M493" s="624"/>
    </row>
    <row r="494" spans="5:13" ht="15">
      <c r="E494" s="624"/>
      <c r="F494" s="624"/>
      <c r="G494" s="624"/>
      <c r="H494" s="624"/>
      <c r="I494" s="624"/>
      <c r="J494" s="624"/>
      <c r="K494" s="624"/>
      <c r="L494" s="624"/>
      <c r="M494" s="624"/>
    </row>
    <row r="495" spans="5:13" ht="15">
      <c r="E495" s="624"/>
      <c r="F495" s="624"/>
      <c r="G495" s="624"/>
      <c r="H495" s="624"/>
      <c r="I495" s="624"/>
      <c r="J495" s="624"/>
      <c r="K495" s="624"/>
      <c r="L495" s="624"/>
      <c r="M495" s="624"/>
    </row>
    <row r="496" spans="5:13" ht="15">
      <c r="E496" s="624"/>
      <c r="F496" s="624"/>
      <c r="G496" s="624"/>
      <c r="H496" s="624"/>
      <c r="I496" s="624"/>
      <c r="J496" s="624"/>
      <c r="K496" s="624"/>
      <c r="L496" s="624"/>
      <c r="M496" s="624"/>
    </row>
    <row r="497" spans="5:13" ht="15">
      <c r="E497" s="624"/>
      <c r="F497" s="624"/>
      <c r="G497" s="624"/>
      <c r="H497" s="624"/>
      <c r="I497" s="624"/>
      <c r="J497" s="624"/>
      <c r="K497" s="624"/>
      <c r="L497" s="624"/>
      <c r="M497" s="624"/>
    </row>
    <row r="498" spans="5:13" ht="15">
      <c r="E498" s="624"/>
      <c r="F498" s="624"/>
      <c r="G498" s="624"/>
      <c r="H498" s="624"/>
      <c r="I498" s="624"/>
      <c r="J498" s="624"/>
      <c r="K498" s="624"/>
      <c r="L498" s="624"/>
      <c r="M498" s="624"/>
    </row>
    <row r="499" spans="5:13" ht="15">
      <c r="E499" s="624"/>
      <c r="F499" s="624"/>
      <c r="G499" s="624"/>
      <c r="H499" s="624"/>
      <c r="I499" s="624"/>
      <c r="J499" s="624"/>
      <c r="K499" s="624"/>
      <c r="L499" s="624"/>
      <c r="M499" s="624"/>
    </row>
    <row r="500" spans="5:13" ht="15">
      <c r="E500" s="624"/>
      <c r="F500" s="624"/>
      <c r="G500" s="624"/>
      <c r="H500" s="624"/>
      <c r="I500" s="624"/>
      <c r="J500" s="624"/>
      <c r="K500" s="624"/>
      <c r="L500" s="624"/>
      <c r="M500" s="624"/>
    </row>
    <row r="501" spans="5:13" ht="15">
      <c r="E501" s="624"/>
      <c r="F501" s="624"/>
      <c r="G501" s="624"/>
      <c r="H501" s="624"/>
      <c r="I501" s="624"/>
      <c r="J501" s="624"/>
      <c r="K501" s="624"/>
      <c r="L501" s="624"/>
      <c r="M501" s="624"/>
    </row>
    <row r="502" spans="5:13" ht="15">
      <c r="E502" s="624"/>
      <c r="F502" s="624"/>
      <c r="G502" s="624"/>
      <c r="H502" s="624"/>
      <c r="I502" s="624"/>
      <c r="J502" s="624"/>
      <c r="K502" s="624"/>
      <c r="L502" s="624"/>
      <c r="M502" s="624"/>
    </row>
    <row r="503" spans="5:13" ht="15">
      <c r="E503" s="624"/>
      <c r="F503" s="624"/>
      <c r="G503" s="624"/>
      <c r="H503" s="624"/>
      <c r="I503" s="624"/>
      <c r="J503" s="624"/>
      <c r="K503" s="624"/>
      <c r="L503" s="624"/>
      <c r="M503" s="624"/>
    </row>
    <row r="504" spans="5:13" ht="15">
      <c r="E504" s="624"/>
      <c r="F504" s="624"/>
      <c r="G504" s="624"/>
      <c r="H504" s="624"/>
      <c r="I504" s="624"/>
      <c r="J504" s="624"/>
      <c r="K504" s="624"/>
      <c r="L504" s="624"/>
      <c r="M504" s="624"/>
    </row>
    <row r="505" spans="5:13" ht="15">
      <c r="E505" s="624"/>
      <c r="F505" s="624"/>
      <c r="G505" s="624"/>
      <c r="H505" s="624"/>
      <c r="I505" s="624"/>
      <c r="J505" s="624"/>
      <c r="K505" s="624"/>
      <c r="L505" s="624"/>
      <c r="M505" s="624"/>
    </row>
    <row r="506" spans="5:13" ht="15">
      <c r="E506" s="624"/>
      <c r="F506" s="624"/>
      <c r="G506" s="624"/>
      <c r="H506" s="624"/>
      <c r="I506" s="624"/>
      <c r="J506" s="624"/>
      <c r="K506" s="624"/>
      <c r="L506" s="624"/>
      <c r="M506" s="624"/>
    </row>
    <row r="507" spans="5:13" ht="15">
      <c r="E507" s="624"/>
      <c r="F507" s="624"/>
      <c r="G507" s="624"/>
      <c r="H507" s="624"/>
      <c r="I507" s="624"/>
      <c r="J507" s="624"/>
      <c r="K507" s="624"/>
      <c r="L507" s="624"/>
      <c r="M507" s="624"/>
    </row>
    <row r="508" spans="5:13" ht="15">
      <c r="E508" s="624"/>
      <c r="F508" s="624"/>
      <c r="G508" s="624"/>
      <c r="H508" s="624"/>
      <c r="I508" s="624"/>
      <c r="J508" s="624"/>
      <c r="K508" s="624"/>
      <c r="L508" s="624"/>
      <c r="M508" s="624"/>
    </row>
    <row r="509" spans="5:13" ht="15">
      <c r="E509" s="624"/>
      <c r="F509" s="624"/>
      <c r="G509" s="624"/>
      <c r="H509" s="624"/>
      <c r="I509" s="624"/>
      <c r="J509" s="624"/>
      <c r="K509" s="624"/>
      <c r="L509" s="624"/>
      <c r="M509" s="624"/>
    </row>
    <row r="510" spans="5:13" ht="15">
      <c r="E510" s="624"/>
      <c r="F510" s="624"/>
      <c r="G510" s="624"/>
      <c r="H510" s="624"/>
      <c r="I510" s="624"/>
      <c r="J510" s="624"/>
      <c r="K510" s="624"/>
      <c r="L510" s="624"/>
      <c r="M510" s="624"/>
    </row>
    <row r="511" spans="5:13" ht="15">
      <c r="E511" s="624"/>
      <c r="F511" s="624"/>
      <c r="G511" s="624"/>
      <c r="H511" s="624"/>
      <c r="I511" s="624"/>
      <c r="J511" s="624"/>
      <c r="K511" s="624"/>
      <c r="L511" s="624"/>
      <c r="M511" s="624"/>
    </row>
    <row r="512" spans="5:13" ht="15">
      <c r="E512" s="624"/>
      <c r="F512" s="624"/>
      <c r="G512" s="624"/>
      <c r="H512" s="624"/>
      <c r="I512" s="624"/>
      <c r="J512" s="624"/>
      <c r="K512" s="624"/>
      <c r="L512" s="624"/>
      <c r="M512" s="624"/>
    </row>
    <row r="513" spans="5:13" ht="15">
      <c r="E513" s="624"/>
      <c r="F513" s="624"/>
      <c r="G513" s="624"/>
      <c r="H513" s="624"/>
      <c r="I513" s="624"/>
      <c r="J513" s="624"/>
      <c r="K513" s="624"/>
      <c r="L513" s="624"/>
      <c r="M513" s="624"/>
    </row>
    <row r="514" spans="5:13" ht="15">
      <c r="E514" s="624"/>
      <c r="F514" s="624"/>
      <c r="G514" s="624"/>
      <c r="H514" s="624"/>
      <c r="I514" s="624"/>
      <c r="J514" s="624"/>
      <c r="K514" s="624"/>
      <c r="L514" s="624"/>
      <c r="M514" s="624"/>
    </row>
    <row r="515" spans="5:13" ht="15">
      <c r="E515" s="624"/>
      <c r="F515" s="624"/>
      <c r="G515" s="624"/>
      <c r="H515" s="624"/>
      <c r="I515" s="624"/>
      <c r="J515" s="624"/>
      <c r="K515" s="624"/>
      <c r="L515" s="624"/>
      <c r="M515" s="624"/>
    </row>
    <row r="516" spans="5:13" ht="15">
      <c r="E516" s="624"/>
      <c r="F516" s="624"/>
      <c r="G516" s="624"/>
      <c r="H516" s="624"/>
      <c r="I516" s="624"/>
      <c r="J516" s="624"/>
      <c r="K516" s="624"/>
      <c r="L516" s="624"/>
      <c r="M516" s="624"/>
    </row>
    <row r="517" spans="5:13" ht="15">
      <c r="E517" s="624"/>
      <c r="F517" s="624"/>
      <c r="G517" s="624"/>
      <c r="H517" s="624"/>
      <c r="I517" s="624"/>
      <c r="J517" s="624"/>
      <c r="K517" s="624"/>
      <c r="L517" s="624"/>
      <c r="M517" s="624"/>
    </row>
    <row r="518" spans="5:13" ht="15">
      <c r="E518" s="624"/>
      <c r="F518" s="624"/>
      <c r="G518" s="624"/>
      <c r="H518" s="624"/>
      <c r="I518" s="624"/>
      <c r="J518" s="624"/>
      <c r="K518" s="624"/>
      <c r="L518" s="624"/>
      <c r="M518" s="624"/>
    </row>
    <row r="519" spans="5:13" ht="15">
      <c r="E519" s="624"/>
      <c r="F519" s="624"/>
      <c r="G519" s="624"/>
      <c r="H519" s="624"/>
      <c r="I519" s="624"/>
      <c r="J519" s="624"/>
      <c r="K519" s="624"/>
      <c r="L519" s="624"/>
      <c r="M519" s="624"/>
    </row>
    <row r="520" spans="5:13" ht="15">
      <c r="E520" s="624"/>
      <c r="F520" s="624"/>
      <c r="G520" s="624"/>
      <c r="H520" s="624"/>
      <c r="I520" s="624"/>
      <c r="J520" s="624"/>
      <c r="K520" s="624"/>
      <c r="L520" s="624"/>
      <c r="M520" s="624"/>
    </row>
    <row r="521" spans="5:13" ht="15">
      <c r="E521" s="624"/>
      <c r="F521" s="624"/>
      <c r="G521" s="624"/>
      <c r="H521" s="624"/>
      <c r="I521" s="624"/>
      <c r="J521" s="624"/>
      <c r="K521" s="624"/>
      <c r="L521" s="624"/>
      <c r="M521" s="624"/>
    </row>
    <row r="522" spans="5:13" ht="15">
      <c r="E522" s="624"/>
      <c r="F522" s="624"/>
      <c r="G522" s="624"/>
      <c r="H522" s="624"/>
      <c r="I522" s="624"/>
      <c r="J522" s="624"/>
      <c r="K522" s="624"/>
      <c r="L522" s="624"/>
      <c r="M522" s="624"/>
    </row>
    <row r="523" spans="5:13" ht="15">
      <c r="E523" s="624"/>
      <c r="F523" s="624"/>
      <c r="G523" s="624"/>
      <c r="H523" s="624"/>
      <c r="I523" s="624"/>
      <c r="J523" s="624"/>
      <c r="K523" s="624"/>
      <c r="L523" s="624"/>
      <c r="M523" s="624"/>
    </row>
    <row r="524" spans="5:13" ht="15">
      <c r="E524" s="624"/>
      <c r="F524" s="624"/>
      <c r="G524" s="624"/>
      <c r="H524" s="624"/>
      <c r="I524" s="624"/>
      <c r="J524" s="624"/>
      <c r="K524" s="624"/>
      <c r="L524" s="624"/>
      <c r="M524" s="624"/>
    </row>
    <row r="525" spans="5:13" ht="15">
      <c r="E525" s="624"/>
      <c r="F525" s="624"/>
      <c r="G525" s="624"/>
      <c r="H525" s="624"/>
      <c r="I525" s="624"/>
      <c r="J525" s="624"/>
      <c r="K525" s="624"/>
      <c r="L525" s="624"/>
      <c r="M525" s="624"/>
    </row>
    <row r="526" spans="5:13" ht="15">
      <c r="E526" s="624"/>
      <c r="F526" s="624"/>
      <c r="G526" s="624"/>
      <c r="H526" s="624"/>
      <c r="I526" s="624"/>
      <c r="J526" s="624"/>
      <c r="K526" s="624"/>
      <c r="L526" s="624"/>
      <c r="M526" s="624"/>
    </row>
    <row r="527" spans="5:13" ht="15">
      <c r="E527" s="624"/>
      <c r="F527" s="624"/>
      <c r="G527" s="624"/>
      <c r="H527" s="624"/>
      <c r="I527" s="624"/>
      <c r="J527" s="624"/>
      <c r="K527" s="624"/>
      <c r="L527" s="624"/>
      <c r="M527" s="624"/>
    </row>
    <row r="528" spans="5:13" ht="15">
      <c r="E528" s="624"/>
      <c r="F528" s="624"/>
      <c r="G528" s="624"/>
      <c r="H528" s="624"/>
      <c r="I528" s="624"/>
      <c r="J528" s="624"/>
      <c r="K528" s="624"/>
      <c r="L528" s="624"/>
      <c r="M528" s="624"/>
    </row>
    <row r="529" spans="5:13" ht="15">
      <c r="E529" s="624"/>
      <c r="F529" s="624"/>
      <c r="G529" s="624"/>
      <c r="H529" s="624"/>
      <c r="I529" s="624"/>
      <c r="J529" s="624"/>
      <c r="K529" s="624"/>
      <c r="L529" s="624"/>
      <c r="M529" s="624"/>
    </row>
    <row r="530" spans="5:13" ht="15">
      <c r="E530" s="624"/>
      <c r="F530" s="624"/>
      <c r="G530" s="624"/>
      <c r="H530" s="624"/>
      <c r="I530" s="624"/>
      <c r="J530" s="624"/>
      <c r="K530" s="624"/>
      <c r="L530" s="624"/>
      <c r="M530" s="624"/>
    </row>
    <row r="531" spans="5:13" ht="15">
      <c r="E531" s="624"/>
      <c r="F531" s="624"/>
      <c r="G531" s="624"/>
      <c r="H531" s="624"/>
      <c r="I531" s="624"/>
      <c r="J531" s="624"/>
      <c r="K531" s="624"/>
      <c r="L531" s="624"/>
      <c r="M531" s="624"/>
    </row>
    <row r="532" spans="5:13" ht="15">
      <c r="E532" s="624"/>
      <c r="F532" s="624"/>
      <c r="G532" s="624"/>
      <c r="H532" s="624"/>
      <c r="I532" s="624"/>
      <c r="J532" s="624"/>
      <c r="K532" s="624"/>
      <c r="L532" s="624"/>
      <c r="M532" s="624"/>
    </row>
    <row r="533" spans="5:13" ht="15">
      <c r="E533" s="624"/>
      <c r="F533" s="624"/>
      <c r="G533" s="624"/>
      <c r="H533" s="624"/>
      <c r="I533" s="624"/>
      <c r="J533" s="624"/>
      <c r="K533" s="624"/>
      <c r="L533" s="624"/>
      <c r="M533" s="624"/>
    </row>
    <row r="534" spans="5:13" ht="15">
      <c r="E534" s="624"/>
      <c r="F534" s="624"/>
      <c r="G534" s="624"/>
      <c r="H534" s="624"/>
      <c r="I534" s="624"/>
      <c r="J534" s="624"/>
      <c r="K534" s="624"/>
      <c r="L534" s="624"/>
      <c r="M534" s="624"/>
    </row>
    <row r="535" spans="5:13" ht="15">
      <c r="E535" s="624"/>
      <c r="F535" s="624"/>
      <c r="G535" s="624"/>
      <c r="H535" s="624"/>
      <c r="I535" s="624"/>
      <c r="J535" s="624"/>
      <c r="K535" s="624"/>
      <c r="L535" s="624"/>
      <c r="M535" s="624"/>
    </row>
    <row r="536" spans="5:13" ht="15">
      <c r="E536" s="624"/>
      <c r="F536" s="624"/>
      <c r="G536" s="624"/>
      <c r="H536" s="624"/>
      <c r="I536" s="624"/>
      <c r="J536" s="624"/>
      <c r="K536" s="624"/>
      <c r="L536" s="624"/>
      <c r="M536" s="624"/>
    </row>
    <row r="537" spans="5:13" ht="15">
      <c r="E537" s="624"/>
      <c r="F537" s="624"/>
      <c r="G537" s="624"/>
      <c r="H537" s="624"/>
      <c r="I537" s="624"/>
      <c r="J537" s="624"/>
      <c r="K537" s="624"/>
      <c r="L537" s="624"/>
      <c r="M537" s="624"/>
    </row>
    <row r="538" spans="5:13" ht="15">
      <c r="E538" s="624"/>
      <c r="F538" s="624"/>
      <c r="G538" s="624"/>
      <c r="H538" s="624"/>
      <c r="I538" s="624"/>
      <c r="J538" s="624"/>
      <c r="K538" s="624"/>
      <c r="L538" s="624"/>
      <c r="M538" s="624"/>
    </row>
    <row r="539" spans="5:13" ht="15">
      <c r="E539" s="624"/>
      <c r="F539" s="624"/>
      <c r="G539" s="624"/>
      <c r="H539" s="624"/>
      <c r="I539" s="624"/>
      <c r="J539" s="624"/>
      <c r="K539" s="624"/>
      <c r="L539" s="624"/>
      <c r="M539" s="624"/>
    </row>
    <row r="540" spans="5:13" ht="15">
      <c r="E540" s="624"/>
      <c r="F540" s="624"/>
      <c r="G540" s="624"/>
      <c r="H540" s="624"/>
      <c r="I540" s="624"/>
      <c r="J540" s="624"/>
      <c r="K540" s="624"/>
      <c r="L540" s="624"/>
      <c r="M540" s="624"/>
    </row>
    <row r="541" spans="5:13" ht="15">
      <c r="E541" s="624"/>
      <c r="F541" s="624"/>
      <c r="G541" s="624"/>
      <c r="H541" s="624"/>
      <c r="I541" s="624"/>
      <c r="J541" s="624"/>
      <c r="K541" s="624"/>
      <c r="L541" s="624"/>
      <c r="M541" s="624"/>
    </row>
    <row r="542" spans="5:13" ht="15">
      <c r="E542" s="624"/>
      <c r="F542" s="624"/>
      <c r="G542" s="624"/>
      <c r="H542" s="624"/>
      <c r="I542" s="624"/>
      <c r="J542" s="624"/>
      <c r="K542" s="624"/>
      <c r="L542" s="624"/>
      <c r="M542" s="624"/>
    </row>
    <row r="543" spans="5:13" ht="15">
      <c r="E543" s="624"/>
      <c r="F543" s="624"/>
      <c r="G543" s="624"/>
      <c r="H543" s="624"/>
      <c r="I543" s="624"/>
      <c r="J543" s="624"/>
      <c r="K543" s="624"/>
      <c r="L543" s="624"/>
      <c r="M543" s="624"/>
    </row>
    <row r="544" spans="5:13" ht="15">
      <c r="E544" s="624"/>
      <c r="F544" s="624"/>
      <c r="G544" s="624"/>
      <c r="H544" s="624"/>
      <c r="I544" s="624"/>
      <c r="J544" s="624"/>
      <c r="K544" s="624"/>
      <c r="L544" s="624"/>
      <c r="M544" s="624"/>
    </row>
    <row r="545" spans="5:13" ht="15">
      <c r="E545" s="624"/>
      <c r="F545" s="624"/>
      <c r="G545" s="624"/>
      <c r="H545" s="624"/>
      <c r="I545" s="624"/>
      <c r="J545" s="624"/>
      <c r="K545" s="624"/>
      <c r="L545" s="624"/>
      <c r="M545" s="624"/>
    </row>
    <row r="546" spans="5:13" ht="15">
      <c r="E546" s="624"/>
      <c r="F546" s="624"/>
      <c r="G546" s="624"/>
      <c r="H546" s="624"/>
      <c r="I546" s="624"/>
      <c r="J546" s="624"/>
      <c r="K546" s="624"/>
      <c r="L546" s="624"/>
      <c r="M546" s="624"/>
    </row>
    <row r="547" spans="5:13" ht="15">
      <c r="E547" s="624"/>
      <c r="F547" s="624"/>
      <c r="G547" s="624"/>
      <c r="H547" s="624"/>
      <c r="I547" s="624"/>
      <c r="J547" s="624"/>
      <c r="K547" s="624"/>
      <c r="L547" s="624"/>
      <c r="M547" s="624"/>
    </row>
    <row r="548" spans="5:13" ht="15">
      <c r="E548" s="624"/>
      <c r="F548" s="624"/>
      <c r="G548" s="624"/>
      <c r="H548" s="624"/>
      <c r="I548" s="624"/>
      <c r="J548" s="624"/>
      <c r="K548" s="624"/>
      <c r="L548" s="624"/>
      <c r="M548" s="624"/>
    </row>
    <row r="549" spans="5:13" ht="15">
      <c r="E549" s="624"/>
      <c r="F549" s="624"/>
      <c r="G549" s="624"/>
      <c r="H549" s="624"/>
      <c r="I549" s="624"/>
      <c r="J549" s="624"/>
      <c r="K549" s="624"/>
      <c r="L549" s="624"/>
      <c r="M549" s="624"/>
    </row>
    <row r="550" spans="5:13" ht="15">
      <c r="E550" s="624"/>
      <c r="F550" s="624"/>
      <c r="G550" s="624"/>
      <c r="H550" s="624"/>
      <c r="I550" s="624"/>
      <c r="J550" s="624"/>
      <c r="K550" s="624"/>
      <c r="L550" s="624"/>
      <c r="M550" s="624"/>
    </row>
    <row r="551" spans="5:13" ht="15">
      <c r="E551" s="624"/>
      <c r="F551" s="624"/>
      <c r="G551" s="624"/>
      <c r="H551" s="624"/>
      <c r="I551" s="624"/>
      <c r="J551" s="624"/>
      <c r="K551" s="624"/>
      <c r="L551" s="624"/>
      <c r="M551" s="624"/>
    </row>
    <row r="552" spans="5:13" ht="15">
      <c r="E552" s="624"/>
      <c r="F552" s="624"/>
      <c r="G552" s="624"/>
      <c r="H552" s="624"/>
      <c r="I552" s="624"/>
      <c r="J552" s="624"/>
      <c r="K552" s="624"/>
      <c r="L552" s="624"/>
      <c r="M552" s="624"/>
    </row>
    <row r="553" spans="5:13" ht="15">
      <c r="E553" s="624"/>
      <c r="F553" s="624"/>
      <c r="G553" s="624"/>
      <c r="H553" s="624"/>
      <c r="I553" s="624"/>
      <c r="J553" s="624"/>
      <c r="K553" s="624"/>
      <c r="L553" s="624"/>
      <c r="M553" s="624"/>
    </row>
    <row r="554" spans="5:13" ht="15">
      <c r="E554" s="624"/>
      <c r="F554" s="624"/>
      <c r="G554" s="624"/>
      <c r="H554" s="624"/>
      <c r="I554" s="624"/>
      <c r="J554" s="624"/>
      <c r="K554" s="624"/>
      <c r="L554" s="624"/>
      <c r="M554" s="624"/>
    </row>
    <row r="555" spans="5:13" ht="15">
      <c r="E555" s="624"/>
      <c r="F555" s="624"/>
      <c r="G555" s="624"/>
      <c r="H555" s="624"/>
      <c r="I555" s="624"/>
      <c r="J555" s="624"/>
      <c r="K555" s="624"/>
      <c r="L555" s="624"/>
      <c r="M555" s="624"/>
    </row>
    <row r="556" spans="5:13" ht="15">
      <c r="E556" s="624"/>
      <c r="F556" s="624"/>
      <c r="G556" s="624"/>
      <c r="H556" s="624"/>
      <c r="I556" s="624"/>
      <c r="J556" s="624"/>
      <c r="K556" s="624"/>
      <c r="L556" s="624"/>
      <c r="M556" s="624"/>
    </row>
    <row r="557" spans="5:13" ht="15">
      <c r="E557" s="624"/>
      <c r="F557" s="624"/>
      <c r="G557" s="624"/>
      <c r="H557" s="624"/>
      <c r="I557" s="624"/>
      <c r="J557" s="624"/>
      <c r="K557" s="624"/>
      <c r="L557" s="624"/>
      <c r="M557" s="624"/>
    </row>
    <row r="558" spans="5:13" ht="15">
      <c r="E558" s="624"/>
      <c r="F558" s="624"/>
      <c r="G558" s="624"/>
      <c r="H558" s="624"/>
      <c r="I558" s="624"/>
      <c r="J558" s="624"/>
      <c r="K558" s="624"/>
      <c r="L558" s="624"/>
      <c r="M558" s="624"/>
    </row>
    <row r="559" spans="5:13" ht="15">
      <c r="E559" s="624"/>
      <c r="F559" s="624"/>
      <c r="G559" s="624"/>
      <c r="H559" s="624"/>
      <c r="I559" s="624"/>
      <c r="J559" s="624"/>
      <c r="K559" s="624"/>
      <c r="L559" s="624"/>
      <c r="M559" s="624"/>
    </row>
    <row r="560" spans="5:13" ht="15">
      <c r="E560" s="624"/>
      <c r="F560" s="624"/>
      <c r="G560" s="624"/>
      <c r="H560" s="624"/>
      <c r="I560" s="624"/>
      <c r="J560" s="624"/>
      <c r="K560" s="624"/>
      <c r="L560" s="624"/>
      <c r="M560" s="624"/>
    </row>
    <row r="561" spans="5:13" ht="15">
      <c r="E561" s="624"/>
      <c r="F561" s="624"/>
      <c r="G561" s="624"/>
      <c r="H561" s="624"/>
      <c r="I561" s="624"/>
      <c r="J561" s="624"/>
      <c r="K561" s="624"/>
      <c r="L561" s="624"/>
      <c r="M561" s="624"/>
    </row>
    <row r="562" spans="5:13" ht="15">
      <c r="E562" s="624"/>
      <c r="F562" s="624"/>
      <c r="G562" s="624"/>
      <c r="H562" s="624"/>
      <c r="I562" s="624"/>
      <c r="J562" s="624"/>
      <c r="K562" s="624"/>
      <c r="L562" s="624"/>
      <c r="M562" s="624"/>
    </row>
    <row r="563" spans="5:13" ht="15">
      <c r="E563" s="624"/>
      <c r="F563" s="624"/>
      <c r="G563" s="624"/>
      <c r="H563" s="624"/>
      <c r="I563" s="624"/>
      <c r="J563" s="624"/>
      <c r="K563" s="624"/>
      <c r="L563" s="624"/>
      <c r="M563" s="624"/>
    </row>
    <row r="564" spans="5:13" ht="15">
      <c r="E564" s="624"/>
      <c r="F564" s="624"/>
      <c r="G564" s="624"/>
      <c r="H564" s="624"/>
      <c r="I564" s="624"/>
      <c r="J564" s="624"/>
      <c r="K564" s="624"/>
      <c r="L564" s="624"/>
      <c r="M564" s="624"/>
    </row>
    <row r="565" spans="5:13" ht="15">
      <c r="E565" s="624"/>
      <c r="F565" s="624"/>
      <c r="G565" s="624"/>
      <c r="H565" s="624"/>
      <c r="I565" s="624"/>
      <c r="J565" s="624"/>
      <c r="K565" s="624"/>
      <c r="L565" s="624"/>
      <c r="M565" s="624"/>
    </row>
    <row r="566" spans="5:13" ht="15">
      <c r="E566" s="624"/>
      <c r="F566" s="624"/>
      <c r="G566" s="624"/>
      <c r="H566" s="624"/>
      <c r="I566" s="624"/>
      <c r="J566" s="624"/>
      <c r="K566" s="624"/>
      <c r="L566" s="624"/>
      <c r="M566" s="624"/>
    </row>
    <row r="567" spans="5:13" ht="15">
      <c r="E567" s="624"/>
      <c r="F567" s="624"/>
      <c r="G567" s="624"/>
      <c r="H567" s="624"/>
      <c r="I567" s="624"/>
      <c r="J567" s="624"/>
      <c r="K567" s="624"/>
      <c r="L567" s="624"/>
      <c r="M567" s="624"/>
    </row>
    <row r="568" spans="5:13" ht="15">
      <c r="E568" s="624"/>
      <c r="F568" s="624"/>
      <c r="G568" s="624"/>
      <c r="H568" s="624"/>
      <c r="I568" s="624"/>
      <c r="J568" s="624"/>
      <c r="K568" s="624"/>
      <c r="L568" s="624"/>
      <c r="M568" s="624"/>
    </row>
    <row r="569" spans="5:13" ht="15">
      <c r="E569" s="624"/>
      <c r="F569" s="624"/>
      <c r="G569" s="624"/>
      <c r="H569" s="624"/>
      <c r="I569" s="624"/>
      <c r="J569" s="624"/>
      <c r="K569" s="624"/>
      <c r="L569" s="624"/>
      <c r="M569" s="624"/>
    </row>
    <row r="570" spans="5:13" ht="15">
      <c r="E570" s="624"/>
      <c r="F570" s="624"/>
      <c r="G570" s="624"/>
      <c r="H570" s="624"/>
      <c r="I570" s="624"/>
      <c r="J570" s="624"/>
      <c r="K570" s="624"/>
      <c r="L570" s="624"/>
      <c r="M570" s="624"/>
    </row>
    <row r="571" spans="5:13" ht="15">
      <c r="E571" s="624"/>
      <c r="F571" s="624"/>
      <c r="G571" s="624"/>
      <c r="H571" s="624"/>
      <c r="I571" s="624"/>
      <c r="J571" s="624"/>
      <c r="K571" s="624"/>
      <c r="L571" s="624"/>
      <c r="M571" s="624"/>
    </row>
    <row r="572" spans="5:13" ht="15">
      <c r="E572" s="624"/>
      <c r="F572" s="624"/>
      <c r="G572" s="624"/>
      <c r="H572" s="624"/>
      <c r="I572" s="624"/>
      <c r="J572" s="624"/>
      <c r="K572" s="624"/>
      <c r="L572" s="624"/>
      <c r="M572" s="624"/>
    </row>
    <row r="573" spans="5:13" ht="15">
      <c r="E573" s="624"/>
      <c r="F573" s="624"/>
      <c r="G573" s="624"/>
      <c r="H573" s="624"/>
      <c r="I573" s="624"/>
      <c r="J573" s="624"/>
      <c r="K573" s="624"/>
      <c r="L573" s="624"/>
      <c r="M573" s="624"/>
    </row>
    <row r="574" spans="5:13" ht="15">
      <c r="E574" s="624"/>
      <c r="F574" s="624"/>
      <c r="G574" s="624"/>
      <c r="H574" s="624"/>
      <c r="I574" s="624"/>
      <c r="J574" s="624"/>
      <c r="K574" s="624"/>
      <c r="L574" s="624"/>
      <c r="M574" s="624"/>
    </row>
    <row r="575" spans="5:13" ht="15">
      <c r="E575" s="624"/>
      <c r="F575" s="624"/>
      <c r="G575" s="624"/>
      <c r="H575" s="624"/>
      <c r="I575" s="624"/>
      <c r="J575" s="624"/>
      <c r="K575" s="624"/>
      <c r="L575" s="624"/>
      <c r="M575" s="624"/>
    </row>
    <row r="576" spans="5:13" ht="15">
      <c r="E576" s="624"/>
      <c r="F576" s="624"/>
      <c r="G576" s="624"/>
      <c r="H576" s="624"/>
      <c r="I576" s="624"/>
      <c r="J576" s="624"/>
      <c r="K576" s="624"/>
      <c r="L576" s="624"/>
      <c r="M576" s="624"/>
    </row>
    <row r="577" spans="5:13" ht="15">
      <c r="E577" s="624"/>
      <c r="F577" s="624"/>
      <c r="G577" s="624"/>
      <c r="H577" s="624"/>
      <c r="I577" s="624"/>
      <c r="J577" s="624"/>
      <c r="K577" s="624"/>
      <c r="L577" s="624"/>
      <c r="M577" s="624"/>
    </row>
    <row r="578" spans="5:13" ht="15">
      <c r="E578" s="624"/>
      <c r="F578" s="624"/>
      <c r="G578" s="624"/>
      <c r="H578" s="624"/>
      <c r="I578" s="624"/>
      <c r="J578" s="624"/>
      <c r="K578" s="624"/>
      <c r="L578" s="624"/>
      <c r="M578" s="624"/>
    </row>
    <row r="579" spans="5:13" ht="15">
      <c r="E579" s="624"/>
      <c r="F579" s="624"/>
      <c r="G579" s="624"/>
      <c r="H579" s="624"/>
      <c r="I579" s="624"/>
      <c r="J579" s="624"/>
      <c r="K579" s="624"/>
      <c r="L579" s="624"/>
      <c r="M579" s="624"/>
    </row>
    <row r="580" spans="5:13" ht="15">
      <c r="E580" s="624"/>
      <c r="F580" s="624"/>
      <c r="G580" s="624"/>
      <c r="H580" s="624"/>
      <c r="I580" s="624"/>
      <c r="J580" s="624"/>
      <c r="K580" s="624"/>
      <c r="L580" s="624"/>
      <c r="M580" s="624"/>
    </row>
    <row r="581" spans="5:13" ht="15">
      <c r="E581" s="624"/>
      <c r="F581" s="624"/>
      <c r="G581" s="624"/>
      <c r="H581" s="624"/>
      <c r="I581" s="624"/>
      <c r="J581" s="624"/>
      <c r="K581" s="624"/>
      <c r="L581" s="624"/>
      <c r="M581" s="624"/>
    </row>
    <row r="582" spans="5:13" ht="15">
      <c r="E582" s="624"/>
      <c r="F582" s="624"/>
      <c r="G582" s="624"/>
      <c r="H582" s="624"/>
      <c r="I582" s="624"/>
      <c r="J582" s="624"/>
      <c r="K582" s="624"/>
      <c r="L582" s="624"/>
      <c r="M582" s="624"/>
    </row>
    <row r="583" spans="5:13" ht="15">
      <c r="E583" s="624"/>
      <c r="F583" s="624"/>
      <c r="G583" s="624"/>
      <c r="H583" s="624"/>
      <c r="I583" s="624"/>
      <c r="J583" s="624"/>
      <c r="K583" s="624"/>
      <c r="L583" s="624"/>
      <c r="M583" s="624"/>
    </row>
    <row r="584" spans="5:13" ht="15">
      <c r="E584" s="624"/>
      <c r="F584" s="624"/>
      <c r="G584" s="624"/>
      <c r="H584" s="624"/>
      <c r="I584" s="624"/>
      <c r="J584" s="624"/>
      <c r="K584" s="624"/>
      <c r="L584" s="624"/>
      <c r="M584" s="624"/>
    </row>
    <row r="585" spans="5:13" ht="15">
      <c r="E585" s="624"/>
      <c r="F585" s="624"/>
      <c r="G585" s="624"/>
      <c r="H585" s="624"/>
      <c r="I585" s="624"/>
      <c r="J585" s="624"/>
      <c r="K585" s="624"/>
      <c r="L585" s="624"/>
      <c r="M585" s="624"/>
    </row>
    <row r="586" spans="5:13" ht="15">
      <c r="E586" s="624"/>
      <c r="F586" s="624"/>
      <c r="G586" s="624"/>
      <c r="H586" s="624"/>
      <c r="I586" s="624"/>
      <c r="J586" s="624"/>
      <c r="K586" s="624"/>
      <c r="L586" s="624"/>
      <c r="M586" s="624"/>
    </row>
    <row r="587" spans="5:13" ht="15">
      <c r="E587" s="624"/>
      <c r="F587" s="624"/>
      <c r="G587" s="624"/>
      <c r="H587" s="624"/>
      <c r="I587" s="624"/>
      <c r="J587" s="624"/>
      <c r="K587" s="624"/>
      <c r="L587" s="624"/>
      <c r="M587" s="624"/>
    </row>
    <row r="588" spans="5:13" ht="15">
      <c r="E588" s="624"/>
      <c r="F588" s="624"/>
      <c r="G588" s="624"/>
      <c r="H588" s="624"/>
      <c r="I588" s="624"/>
      <c r="J588" s="624"/>
      <c r="K588" s="624"/>
      <c r="L588" s="624"/>
      <c r="M588" s="624"/>
    </row>
    <row r="589" spans="5:13" ht="15">
      <c r="E589" s="624"/>
      <c r="F589" s="624"/>
      <c r="G589" s="624"/>
      <c r="H589" s="624"/>
      <c r="I589" s="624"/>
      <c r="J589" s="624"/>
      <c r="K589" s="624"/>
      <c r="L589" s="624"/>
      <c r="M589" s="624"/>
    </row>
    <row r="590" spans="5:13" ht="15">
      <c r="E590" s="624"/>
      <c r="F590" s="624"/>
      <c r="G590" s="624"/>
      <c r="H590" s="624"/>
      <c r="I590" s="624"/>
      <c r="J590" s="624"/>
      <c r="K590" s="624"/>
      <c r="L590" s="624"/>
      <c r="M590" s="624"/>
    </row>
    <row r="591" spans="5:13" ht="15">
      <c r="E591" s="624"/>
      <c r="F591" s="624"/>
      <c r="G591" s="624"/>
      <c r="H591" s="624"/>
      <c r="I591" s="624"/>
      <c r="J591" s="624"/>
      <c r="K591" s="624"/>
      <c r="L591" s="624"/>
      <c r="M591" s="624"/>
    </row>
    <row r="592" spans="5:13" ht="15">
      <c r="E592" s="624"/>
      <c r="F592" s="624"/>
      <c r="G592" s="624"/>
      <c r="H592" s="624"/>
      <c r="I592" s="624"/>
      <c r="J592" s="624"/>
      <c r="K592" s="624"/>
      <c r="L592" s="624"/>
      <c r="M592" s="624"/>
    </row>
    <row r="593" spans="5:13" ht="15">
      <c r="E593" s="624"/>
      <c r="F593" s="624"/>
      <c r="G593" s="624"/>
      <c r="H593" s="624"/>
      <c r="I593" s="624"/>
      <c r="J593" s="624"/>
      <c r="K593" s="624"/>
      <c r="L593" s="624"/>
      <c r="M593" s="624"/>
    </row>
    <row r="594" spans="5:13" ht="15">
      <c r="E594" s="624"/>
      <c r="F594" s="624"/>
      <c r="G594" s="624"/>
      <c r="H594" s="624"/>
      <c r="I594" s="624"/>
      <c r="J594" s="624"/>
      <c r="K594" s="624"/>
      <c r="L594" s="624"/>
      <c r="M594" s="624"/>
    </row>
    <row r="595" spans="5:13" ht="15">
      <c r="E595" s="624"/>
      <c r="F595" s="624"/>
      <c r="G595" s="624"/>
      <c r="H595" s="624"/>
      <c r="I595" s="624"/>
      <c r="J595" s="624"/>
      <c r="K595" s="624"/>
      <c r="L595" s="624"/>
      <c r="M595" s="624"/>
    </row>
    <row r="596" spans="5:13" ht="15">
      <c r="E596" s="624"/>
      <c r="F596" s="624"/>
      <c r="G596" s="624"/>
      <c r="H596" s="624"/>
      <c r="I596" s="624"/>
      <c r="J596" s="624"/>
      <c r="K596" s="624"/>
      <c r="L596" s="624"/>
      <c r="M596" s="624"/>
    </row>
    <row r="597" spans="5:13" ht="15">
      <c r="E597" s="624"/>
      <c r="F597" s="624"/>
      <c r="G597" s="624"/>
      <c r="H597" s="624"/>
      <c r="I597" s="624"/>
      <c r="J597" s="624"/>
      <c r="K597" s="624"/>
      <c r="L597" s="624"/>
      <c r="M597" s="624"/>
    </row>
    <row r="598" spans="5:13" ht="15">
      <c r="E598" s="624"/>
      <c r="F598" s="624"/>
      <c r="G598" s="624"/>
      <c r="H598" s="624"/>
      <c r="I598" s="624"/>
      <c r="J598" s="624"/>
      <c r="K598" s="624"/>
      <c r="L598" s="624"/>
      <c r="M598" s="624"/>
    </row>
    <row r="599" spans="5:13" ht="15">
      <c r="E599" s="624"/>
      <c r="F599" s="624"/>
      <c r="G599" s="624"/>
      <c r="H599" s="624"/>
      <c r="I599" s="624"/>
      <c r="J599" s="624"/>
      <c r="K599" s="624"/>
      <c r="L599" s="624"/>
      <c r="M599" s="624"/>
    </row>
    <row r="600" spans="5:13" ht="15">
      <c r="E600" s="624"/>
      <c r="F600" s="624"/>
      <c r="G600" s="624"/>
      <c r="H600" s="624"/>
      <c r="I600" s="624"/>
      <c r="J600" s="624"/>
      <c r="K600" s="624"/>
      <c r="L600" s="624"/>
      <c r="M600" s="624"/>
    </row>
    <row r="601" spans="5:13" ht="15">
      <c r="E601" s="624"/>
      <c r="F601" s="624"/>
      <c r="G601" s="624"/>
      <c r="H601" s="624"/>
      <c r="I601" s="624"/>
      <c r="J601" s="624"/>
      <c r="K601" s="624"/>
      <c r="L601" s="624"/>
      <c r="M601" s="624"/>
    </row>
    <row r="602" spans="5:13" ht="15">
      <c r="E602" s="624"/>
      <c r="F602" s="624"/>
      <c r="G602" s="624"/>
      <c r="H602" s="624"/>
      <c r="I602" s="624"/>
      <c r="J602" s="624"/>
      <c r="K602" s="624"/>
      <c r="L602" s="624"/>
      <c r="M602" s="624"/>
    </row>
    <row r="603" spans="5:13" ht="15">
      <c r="E603" s="624"/>
      <c r="F603" s="624"/>
      <c r="G603" s="624"/>
      <c r="H603" s="624"/>
      <c r="I603" s="624"/>
      <c r="J603" s="624"/>
      <c r="K603" s="624"/>
      <c r="L603" s="624"/>
      <c r="M603" s="624"/>
    </row>
    <row r="604" spans="5:13" ht="15">
      <c r="E604" s="624"/>
      <c r="F604" s="624"/>
      <c r="G604" s="624"/>
      <c r="H604" s="624"/>
      <c r="I604" s="624"/>
      <c r="J604" s="624"/>
      <c r="K604" s="624"/>
      <c r="L604" s="624"/>
      <c r="M604" s="624"/>
    </row>
    <row r="605" spans="5:13" ht="15">
      <c r="E605" s="624"/>
      <c r="F605" s="624"/>
      <c r="G605" s="624"/>
      <c r="H605" s="624"/>
      <c r="I605" s="624"/>
      <c r="J605" s="624"/>
      <c r="K605" s="624"/>
      <c r="L605" s="624"/>
      <c r="M605" s="624"/>
    </row>
    <row r="606" spans="5:13" ht="15">
      <c r="E606" s="624"/>
      <c r="F606" s="624"/>
      <c r="G606" s="624"/>
      <c r="H606" s="624"/>
      <c r="I606" s="624"/>
      <c r="J606" s="624"/>
      <c r="K606" s="624"/>
      <c r="L606" s="624"/>
      <c r="M606" s="624"/>
    </row>
    <row r="607" spans="5:13" ht="15">
      <c r="E607" s="624"/>
      <c r="F607" s="624"/>
      <c r="G607" s="624"/>
      <c r="H607" s="624"/>
      <c r="I607" s="624"/>
      <c r="J607" s="624"/>
      <c r="K607" s="624"/>
      <c r="L607" s="624"/>
      <c r="M607" s="624"/>
    </row>
    <row r="608" spans="5:13" ht="15">
      <c r="E608" s="624"/>
      <c r="F608" s="624"/>
      <c r="G608" s="624"/>
      <c r="H608" s="624"/>
      <c r="I608" s="624"/>
      <c r="J608" s="624"/>
      <c r="K608" s="624"/>
      <c r="L608" s="624"/>
      <c r="M608" s="624"/>
    </row>
    <row r="609" spans="5:13" ht="15">
      <c r="E609" s="624"/>
      <c r="F609" s="624"/>
      <c r="G609" s="624"/>
      <c r="H609" s="624"/>
      <c r="I609" s="624"/>
      <c r="J609" s="624"/>
      <c r="K609" s="624"/>
      <c r="L609" s="624"/>
      <c r="M609" s="624"/>
    </row>
    <row r="610" spans="5:13" ht="15">
      <c r="E610" s="624"/>
      <c r="F610" s="624"/>
      <c r="G610" s="624"/>
      <c r="H610" s="624"/>
      <c r="I610" s="624"/>
      <c r="J610" s="624"/>
      <c r="K610" s="624"/>
      <c r="L610" s="624"/>
      <c r="M610" s="624"/>
    </row>
    <row r="611" spans="5:13" ht="15">
      <c r="E611" s="624"/>
      <c r="F611" s="624"/>
      <c r="G611" s="624"/>
      <c r="H611" s="624"/>
      <c r="I611" s="624"/>
      <c r="J611" s="624"/>
      <c r="K611" s="624"/>
      <c r="L611" s="624"/>
      <c r="M611" s="624"/>
    </row>
    <row r="612" spans="5:13" ht="15">
      <c r="E612" s="624"/>
      <c r="F612" s="624"/>
      <c r="G612" s="624"/>
      <c r="H612" s="624"/>
      <c r="I612" s="624"/>
      <c r="J612" s="624"/>
      <c r="K612" s="624"/>
      <c r="L612" s="624"/>
      <c r="M612" s="624"/>
    </row>
    <row r="613" spans="5:13" ht="15">
      <c r="E613" s="624"/>
      <c r="F613" s="624"/>
      <c r="G613" s="624"/>
      <c r="H613" s="624"/>
      <c r="I613" s="624"/>
      <c r="J613" s="624"/>
      <c r="K613" s="624"/>
      <c r="L613" s="624"/>
      <c r="M613" s="624"/>
    </row>
    <row r="614" spans="5:13" ht="15">
      <c r="E614" s="624"/>
      <c r="F614" s="624"/>
      <c r="G614" s="624"/>
      <c r="H614" s="624"/>
      <c r="I614" s="624"/>
      <c r="J614" s="624"/>
      <c r="K614" s="624"/>
      <c r="L614" s="624"/>
      <c r="M614" s="624"/>
    </row>
    <row r="615" spans="5:13" ht="15">
      <c r="E615" s="624"/>
      <c r="F615" s="624"/>
      <c r="G615" s="624"/>
      <c r="H615" s="624"/>
      <c r="I615" s="624"/>
      <c r="J615" s="624"/>
      <c r="K615" s="624"/>
      <c r="L615" s="624"/>
      <c r="M615" s="624"/>
    </row>
    <row r="616" spans="5:13" ht="15">
      <c r="E616" s="624"/>
      <c r="F616" s="624"/>
      <c r="G616" s="624"/>
      <c r="H616" s="624"/>
      <c r="I616" s="624"/>
      <c r="J616" s="624"/>
      <c r="K616" s="624"/>
      <c r="L616" s="624"/>
      <c r="M616" s="624"/>
    </row>
    <row r="617" spans="5:13" ht="15">
      <c r="E617" s="624"/>
      <c r="F617" s="624"/>
      <c r="G617" s="624"/>
      <c r="H617" s="624"/>
      <c r="I617" s="624"/>
      <c r="J617" s="624"/>
      <c r="K617" s="624"/>
      <c r="L617" s="624"/>
      <c r="M617" s="624"/>
    </row>
    <row r="618" spans="5:13" ht="15">
      <c r="E618" s="624"/>
      <c r="F618" s="624"/>
      <c r="G618" s="624"/>
      <c r="H618" s="624"/>
      <c r="I618" s="624"/>
      <c r="J618" s="624"/>
      <c r="K618" s="624"/>
      <c r="L618" s="624"/>
      <c r="M618" s="624"/>
    </row>
    <row r="619" spans="5:13" ht="15">
      <c r="E619" s="624"/>
      <c r="F619" s="624"/>
      <c r="G619" s="624"/>
      <c r="H619" s="624"/>
      <c r="I619" s="624"/>
      <c r="J619" s="624"/>
      <c r="K619" s="624"/>
      <c r="L619" s="624"/>
      <c r="M619" s="624"/>
    </row>
    <row r="620" spans="5:13" ht="15">
      <c r="E620" s="624"/>
      <c r="F620" s="624"/>
      <c r="G620" s="624"/>
      <c r="H620" s="624"/>
      <c r="I620" s="624"/>
      <c r="J620" s="624"/>
      <c r="K620" s="624"/>
      <c r="L620" s="624"/>
      <c r="M620" s="624"/>
    </row>
    <row r="621" spans="5:13" ht="15">
      <c r="E621" s="624"/>
      <c r="F621" s="624"/>
      <c r="G621" s="624"/>
      <c r="H621" s="624"/>
      <c r="I621" s="624"/>
      <c r="J621" s="624"/>
      <c r="K621" s="624"/>
      <c r="L621" s="624"/>
      <c r="M621" s="624"/>
    </row>
    <row r="622" spans="5:13" ht="15">
      <c r="E622" s="624"/>
      <c r="F622" s="624"/>
      <c r="G622" s="624"/>
      <c r="H622" s="624"/>
      <c r="I622" s="624"/>
      <c r="J622" s="624"/>
      <c r="K622" s="624"/>
      <c r="L622" s="624"/>
      <c r="M622" s="624"/>
    </row>
    <row r="623" spans="5:13" ht="15">
      <c r="E623" s="624"/>
      <c r="F623" s="624"/>
      <c r="G623" s="624"/>
      <c r="H623" s="624"/>
      <c r="I623" s="624"/>
      <c r="J623" s="624"/>
      <c r="K623" s="624"/>
      <c r="L623" s="624"/>
      <c r="M623" s="624"/>
    </row>
    <row r="624" spans="5:13" ht="15">
      <c r="E624" s="624"/>
      <c r="F624" s="624"/>
      <c r="G624" s="624"/>
      <c r="H624" s="624"/>
      <c r="I624" s="624"/>
      <c r="J624" s="624"/>
      <c r="K624" s="624"/>
      <c r="L624" s="624"/>
      <c r="M624" s="624"/>
    </row>
    <row r="625" spans="5:13" ht="15">
      <c r="E625" s="624"/>
      <c r="F625" s="624"/>
      <c r="G625" s="624"/>
      <c r="H625" s="624"/>
      <c r="I625" s="624"/>
      <c r="J625" s="624"/>
      <c r="K625" s="624"/>
      <c r="L625" s="624"/>
      <c r="M625" s="624"/>
    </row>
    <row r="626" spans="5:13" ht="15">
      <c r="E626" s="624"/>
      <c r="F626" s="624"/>
      <c r="G626" s="624"/>
      <c r="H626" s="624"/>
      <c r="I626" s="624"/>
      <c r="J626" s="624"/>
      <c r="K626" s="624"/>
      <c r="L626" s="624"/>
      <c r="M626" s="624"/>
    </row>
    <row r="627" spans="5:13" ht="15">
      <c r="E627" s="624"/>
      <c r="F627" s="624"/>
      <c r="G627" s="624"/>
      <c r="H627" s="624"/>
      <c r="I627" s="624"/>
      <c r="J627" s="624"/>
      <c r="K627" s="624"/>
      <c r="L627" s="624"/>
      <c r="M627" s="624"/>
    </row>
    <row r="628" spans="5:13" ht="15">
      <c r="E628" s="624"/>
      <c r="F628" s="624"/>
      <c r="G628" s="624"/>
      <c r="H628" s="624"/>
      <c r="I628" s="624"/>
      <c r="J628" s="624"/>
      <c r="K628" s="624"/>
      <c r="L628" s="624"/>
      <c r="M628" s="624"/>
    </row>
    <row r="629" spans="5:13" ht="15">
      <c r="E629" s="624"/>
      <c r="F629" s="624"/>
      <c r="G629" s="624"/>
      <c r="H629" s="624"/>
      <c r="I629" s="624"/>
      <c r="J629" s="624"/>
      <c r="K629" s="624"/>
      <c r="L629" s="624"/>
      <c r="M629" s="624"/>
    </row>
    <row r="630" spans="5:13" ht="15">
      <c r="E630" s="624"/>
      <c r="F630" s="624"/>
      <c r="G630" s="624"/>
      <c r="H630" s="624"/>
      <c r="I630" s="624"/>
      <c r="J630" s="624"/>
      <c r="K630" s="624"/>
      <c r="L630" s="624"/>
      <c r="M630" s="624"/>
    </row>
    <row r="631" spans="5:13" ht="15">
      <c r="E631" s="624"/>
      <c r="F631" s="624"/>
      <c r="G631" s="624"/>
      <c r="H631" s="624"/>
      <c r="I631" s="624"/>
      <c r="J631" s="624"/>
      <c r="K631" s="624"/>
      <c r="L631" s="624"/>
      <c r="M631" s="624"/>
    </row>
    <row r="632" spans="5:13" ht="15">
      <c r="E632" s="624"/>
      <c r="F632" s="624"/>
      <c r="G632" s="624"/>
      <c r="H632" s="624"/>
      <c r="I632" s="624"/>
      <c r="J632" s="624"/>
      <c r="K632" s="624"/>
      <c r="L632" s="624"/>
      <c r="M632" s="624"/>
    </row>
    <row r="633" spans="5:13" ht="15">
      <c r="E633" s="624"/>
      <c r="F633" s="624"/>
      <c r="G633" s="624"/>
      <c r="H633" s="624"/>
      <c r="I633" s="624"/>
      <c r="J633" s="624"/>
      <c r="K633" s="624"/>
      <c r="L633" s="624"/>
      <c r="M633" s="624"/>
    </row>
    <row r="634" spans="5:13" ht="15">
      <c r="E634" s="624"/>
      <c r="F634" s="624"/>
      <c r="G634" s="624"/>
      <c r="H634" s="624"/>
      <c r="I634" s="624"/>
      <c r="J634" s="624"/>
      <c r="K634" s="624"/>
      <c r="L634" s="624"/>
      <c r="M634" s="624"/>
    </row>
    <row r="635" spans="5:13" ht="15">
      <c r="E635" s="624"/>
      <c r="F635" s="624"/>
      <c r="G635" s="624"/>
      <c r="H635" s="624"/>
      <c r="I635" s="624"/>
      <c r="J635" s="624"/>
      <c r="K635" s="624"/>
      <c r="L635" s="624"/>
      <c r="M635" s="624"/>
    </row>
    <row r="636" spans="5:13" ht="15">
      <c r="E636" s="624"/>
      <c r="F636" s="624"/>
      <c r="G636" s="624"/>
      <c r="H636" s="624"/>
      <c r="I636" s="624"/>
      <c r="J636" s="624"/>
      <c r="K636" s="624"/>
      <c r="L636" s="624"/>
      <c r="M636" s="624"/>
    </row>
    <row r="637" spans="5:13" ht="15">
      <c r="E637" s="624"/>
      <c r="F637" s="624"/>
      <c r="G637" s="624"/>
      <c r="H637" s="624"/>
      <c r="I637" s="624"/>
      <c r="J637" s="624"/>
      <c r="K637" s="624"/>
      <c r="L637" s="624"/>
      <c r="M637" s="624"/>
    </row>
    <row r="638" spans="5:13" ht="15">
      <c r="E638" s="624"/>
      <c r="F638" s="624"/>
      <c r="G638" s="624"/>
      <c r="H638" s="624"/>
      <c r="I638" s="624"/>
      <c r="J638" s="624"/>
      <c r="K638" s="624"/>
      <c r="L638" s="624"/>
      <c r="M638" s="624"/>
    </row>
    <row r="639" spans="5:13" ht="15">
      <c r="E639" s="624"/>
      <c r="F639" s="624"/>
      <c r="G639" s="624"/>
      <c r="H639" s="624"/>
      <c r="I639" s="624"/>
      <c r="J639" s="624"/>
      <c r="K639" s="624"/>
      <c r="L639" s="624"/>
      <c r="M639" s="624"/>
    </row>
    <row r="640" spans="5:13" ht="15">
      <c r="E640" s="624"/>
      <c r="F640" s="624"/>
      <c r="G640" s="624"/>
      <c r="H640" s="624"/>
      <c r="I640" s="624"/>
      <c r="J640" s="624"/>
      <c r="K640" s="624"/>
      <c r="L640" s="624"/>
      <c r="M640" s="624"/>
    </row>
    <row r="641" spans="5:13" ht="15">
      <c r="E641" s="624"/>
      <c r="F641" s="624"/>
      <c r="G641" s="624"/>
      <c r="H641" s="624"/>
      <c r="I641" s="624"/>
      <c r="J641" s="624"/>
      <c r="K641" s="624"/>
      <c r="L641" s="624"/>
      <c r="M641" s="624"/>
    </row>
    <row r="642" spans="5:13" ht="15">
      <c r="E642" s="624"/>
      <c r="F642" s="624"/>
      <c r="G642" s="624"/>
      <c r="H642" s="624"/>
      <c r="I642" s="624"/>
      <c r="J642" s="624"/>
      <c r="K642" s="624"/>
      <c r="L642" s="624"/>
      <c r="M642" s="624"/>
    </row>
    <row r="643" spans="5:13" ht="15">
      <c r="E643" s="624"/>
      <c r="F643" s="624"/>
      <c r="G643" s="624"/>
      <c r="H643" s="624"/>
      <c r="I643" s="624"/>
      <c r="J643" s="624"/>
      <c r="K643" s="624"/>
      <c r="L643" s="624"/>
      <c r="M643" s="624"/>
    </row>
    <row r="644" spans="5:13" ht="15">
      <c r="E644" s="624"/>
      <c r="F644" s="624"/>
      <c r="G644" s="624"/>
      <c r="H644" s="624"/>
      <c r="I644" s="624"/>
      <c r="J644" s="624"/>
      <c r="K644" s="624"/>
      <c r="L644" s="624"/>
      <c r="M644" s="624"/>
    </row>
    <row r="645" spans="5:13" ht="15">
      <c r="E645" s="624"/>
      <c r="F645" s="624"/>
      <c r="G645" s="624"/>
      <c r="H645" s="624"/>
      <c r="I645" s="624"/>
      <c r="J645" s="624"/>
      <c r="K645" s="624"/>
      <c r="L645" s="624"/>
      <c r="M645" s="624"/>
    </row>
    <row r="646" spans="5:13" ht="15">
      <c r="E646" s="624"/>
      <c r="F646" s="624"/>
      <c r="G646" s="624"/>
      <c r="H646" s="624"/>
      <c r="I646" s="624"/>
      <c r="J646" s="624"/>
      <c r="K646" s="624"/>
      <c r="L646" s="624"/>
      <c r="M646" s="624"/>
    </row>
    <row r="647" spans="5:13" ht="15">
      <c r="E647" s="624"/>
      <c r="F647" s="624"/>
      <c r="G647" s="624"/>
      <c r="H647" s="624"/>
      <c r="I647" s="624"/>
      <c r="J647" s="624"/>
      <c r="K647" s="624"/>
      <c r="L647" s="624"/>
      <c r="M647" s="624"/>
    </row>
    <row r="648" spans="5:13" ht="15">
      <c r="E648" s="624"/>
      <c r="F648" s="624"/>
      <c r="G648" s="624"/>
      <c r="H648" s="624"/>
      <c r="I648" s="624"/>
      <c r="J648" s="624"/>
      <c r="K648" s="624"/>
      <c r="L648" s="624"/>
      <c r="M648" s="624"/>
    </row>
    <row r="649" spans="5:13" ht="15">
      <c r="E649" s="624"/>
      <c r="F649" s="624"/>
      <c r="G649" s="624"/>
      <c r="H649" s="624"/>
      <c r="I649" s="624"/>
      <c r="J649" s="624"/>
      <c r="K649" s="624"/>
      <c r="L649" s="624"/>
      <c r="M649" s="624"/>
    </row>
    <row r="650" spans="5:13" ht="15">
      <c r="E650" s="624"/>
      <c r="F650" s="624"/>
      <c r="G650" s="624"/>
      <c r="H650" s="624"/>
      <c r="I650" s="624"/>
      <c r="J650" s="624"/>
      <c r="K650" s="624"/>
      <c r="L650" s="624"/>
      <c r="M650" s="624"/>
    </row>
    <row r="651" spans="5:13" ht="15">
      <c r="E651" s="624"/>
      <c r="F651" s="624"/>
      <c r="G651" s="624"/>
      <c r="H651" s="624"/>
      <c r="I651" s="624"/>
      <c r="J651" s="624"/>
      <c r="K651" s="624"/>
      <c r="L651" s="624"/>
      <c r="M651" s="624"/>
    </row>
    <row r="652" spans="5:13" ht="15">
      <c r="E652" s="624"/>
      <c r="F652" s="624"/>
      <c r="G652" s="624"/>
      <c r="H652" s="624"/>
      <c r="I652" s="624"/>
      <c r="J652" s="624"/>
      <c r="K652" s="624"/>
      <c r="L652" s="624"/>
      <c r="M652" s="624"/>
    </row>
    <row r="653" spans="5:13" ht="15">
      <c r="E653" s="624"/>
      <c r="F653" s="624"/>
      <c r="G653" s="624"/>
      <c r="H653" s="624"/>
      <c r="I653" s="624"/>
      <c r="J653" s="624"/>
      <c r="K653" s="624"/>
      <c r="L653" s="624"/>
      <c r="M653" s="624"/>
    </row>
    <row r="654" spans="5:13" ht="15">
      <c r="E654" s="624"/>
      <c r="F654" s="624"/>
      <c r="G654" s="624"/>
      <c r="H654" s="624"/>
      <c r="I654" s="624"/>
      <c r="J654" s="624"/>
      <c r="K654" s="624"/>
      <c r="L654" s="624"/>
      <c r="M654" s="624"/>
    </row>
    <row r="655" spans="5:13" ht="15">
      <c r="E655" s="624"/>
      <c r="F655" s="624"/>
      <c r="G655" s="624"/>
      <c r="H655" s="624"/>
      <c r="I655" s="624"/>
      <c r="J655" s="624"/>
      <c r="K655" s="624"/>
      <c r="L655" s="624"/>
      <c r="M655" s="624"/>
    </row>
    <row r="656" spans="5:13" ht="15">
      <c r="E656" s="624"/>
      <c r="F656" s="624"/>
      <c r="G656" s="624"/>
      <c r="H656" s="624"/>
      <c r="I656" s="624"/>
      <c r="J656" s="624"/>
      <c r="K656" s="624"/>
      <c r="L656" s="624"/>
      <c r="M656" s="624"/>
    </row>
    <row r="657" spans="5:13" ht="15">
      <c r="E657" s="624"/>
      <c r="F657" s="624"/>
      <c r="G657" s="624"/>
      <c r="H657" s="624"/>
      <c r="I657" s="624"/>
      <c r="J657" s="624"/>
      <c r="K657" s="624"/>
      <c r="L657" s="624"/>
      <c r="M657" s="624"/>
    </row>
    <row r="658" spans="5:13" ht="15">
      <c r="E658" s="624"/>
      <c r="F658" s="624"/>
      <c r="G658" s="624"/>
      <c r="H658" s="624"/>
      <c r="I658" s="624"/>
      <c r="J658" s="624"/>
      <c r="K658" s="624"/>
      <c r="L658" s="624"/>
      <c r="M658" s="624"/>
    </row>
    <row r="659" spans="5:13" ht="15">
      <c r="E659" s="624"/>
      <c r="F659" s="624"/>
      <c r="G659" s="624"/>
      <c r="H659" s="624"/>
      <c r="I659" s="624"/>
      <c r="J659" s="624"/>
      <c r="K659" s="624"/>
      <c r="L659" s="624"/>
      <c r="M659" s="624"/>
    </row>
    <row r="660" spans="5:13" ht="15">
      <c r="E660" s="624"/>
      <c r="F660" s="624"/>
      <c r="G660" s="624"/>
      <c r="H660" s="624"/>
      <c r="I660" s="624"/>
      <c r="J660" s="624"/>
      <c r="K660" s="624"/>
      <c r="L660" s="624"/>
      <c r="M660" s="624"/>
    </row>
    <row r="661" spans="5:13" ht="15">
      <c r="E661" s="624"/>
      <c r="F661" s="624"/>
      <c r="G661" s="624"/>
      <c r="H661" s="624"/>
      <c r="I661" s="624"/>
      <c r="J661" s="624"/>
      <c r="K661" s="624"/>
      <c r="L661" s="624"/>
      <c r="M661" s="624"/>
    </row>
    <row r="662" spans="5:13" ht="15">
      <c r="E662" s="624"/>
      <c r="F662" s="624"/>
      <c r="G662" s="624"/>
      <c r="H662" s="624"/>
      <c r="I662" s="624"/>
      <c r="J662" s="624"/>
      <c r="K662" s="624"/>
      <c r="L662" s="624"/>
      <c r="M662" s="624"/>
    </row>
    <row r="663" spans="5:13" ht="15">
      <c r="E663" s="624"/>
      <c r="F663" s="624"/>
      <c r="G663" s="624"/>
      <c r="H663" s="624"/>
      <c r="I663" s="624"/>
      <c r="J663" s="624"/>
      <c r="K663" s="624"/>
      <c r="L663" s="624"/>
      <c r="M663" s="624"/>
    </row>
    <row r="664" spans="5:13" ht="15">
      <c r="E664" s="624"/>
      <c r="F664" s="624"/>
      <c r="G664" s="624"/>
      <c r="H664" s="624"/>
      <c r="I664" s="624"/>
      <c r="J664" s="624"/>
      <c r="K664" s="624"/>
      <c r="L664" s="624"/>
      <c r="M664" s="624"/>
    </row>
    <row r="665" spans="5:13" ht="15">
      <c r="E665" s="624"/>
      <c r="F665" s="624"/>
      <c r="G665" s="624"/>
      <c r="H665" s="624"/>
      <c r="I665" s="624"/>
      <c r="J665" s="624"/>
      <c r="K665" s="624"/>
      <c r="L665" s="624"/>
      <c r="M665" s="624"/>
    </row>
    <row r="666" spans="5:13" ht="15">
      <c r="E666" s="624"/>
      <c r="F666" s="624"/>
      <c r="G666" s="624"/>
      <c r="H666" s="624"/>
      <c r="I666" s="624"/>
      <c r="J666" s="624"/>
      <c r="K666" s="624"/>
      <c r="L666" s="624"/>
      <c r="M666" s="624"/>
    </row>
    <row r="667" spans="5:13" ht="15">
      <c r="E667" s="624"/>
      <c r="F667" s="624"/>
      <c r="G667" s="624"/>
      <c r="H667" s="624"/>
      <c r="I667" s="624"/>
      <c r="J667" s="624"/>
      <c r="K667" s="624"/>
      <c r="L667" s="624"/>
      <c r="M667" s="624"/>
    </row>
    <row r="668" spans="5:13" ht="15">
      <c r="E668" s="624"/>
      <c r="F668" s="624"/>
      <c r="G668" s="624"/>
      <c r="H668" s="624"/>
      <c r="I668" s="624"/>
      <c r="J668" s="624"/>
      <c r="K668" s="624"/>
      <c r="L668" s="624"/>
      <c r="M668" s="624"/>
    </row>
    <row r="669" spans="5:13" ht="15">
      <c r="E669" s="624"/>
      <c r="F669" s="624"/>
      <c r="G669" s="624"/>
      <c r="H669" s="624"/>
      <c r="I669" s="624"/>
      <c r="J669" s="624"/>
      <c r="K669" s="624"/>
      <c r="L669" s="624"/>
      <c r="M669" s="624"/>
    </row>
    <row r="670" spans="5:13" ht="15">
      <c r="E670" s="624"/>
      <c r="F670" s="624"/>
      <c r="G670" s="624"/>
      <c r="H670" s="624"/>
      <c r="I670" s="624"/>
      <c r="J670" s="624"/>
      <c r="K670" s="624"/>
      <c r="L670" s="624"/>
      <c r="M670" s="624"/>
    </row>
    <row r="671" spans="5:13" ht="15">
      <c r="E671" s="624"/>
      <c r="F671" s="624"/>
      <c r="G671" s="624"/>
      <c r="H671" s="624"/>
      <c r="I671" s="624"/>
      <c r="J671" s="624"/>
      <c r="K671" s="624"/>
      <c r="L671" s="624"/>
      <c r="M671" s="624"/>
    </row>
    <row r="672" spans="5:13" ht="15">
      <c r="E672" s="624"/>
      <c r="F672" s="624"/>
      <c r="G672" s="624"/>
      <c r="H672" s="624"/>
      <c r="I672" s="624"/>
      <c r="J672" s="624"/>
      <c r="K672" s="624"/>
      <c r="L672" s="624"/>
      <c r="M672" s="624"/>
    </row>
    <row r="673" spans="5:13" ht="15">
      <c r="E673" s="624"/>
      <c r="F673" s="624"/>
      <c r="G673" s="624"/>
      <c r="H673" s="624"/>
      <c r="I673" s="624"/>
      <c r="J673" s="624"/>
      <c r="K673" s="624"/>
      <c r="L673" s="624"/>
      <c r="M673" s="624"/>
    </row>
    <row r="674" spans="5:13" ht="15">
      <c r="E674" s="624"/>
      <c r="F674" s="624"/>
      <c r="G674" s="624"/>
      <c r="H674" s="624"/>
      <c r="I674" s="624"/>
      <c r="J674" s="624"/>
      <c r="K674" s="624"/>
      <c r="L674" s="624"/>
      <c r="M674" s="624"/>
    </row>
    <row r="675" spans="5:13" ht="15">
      <c r="E675" s="624"/>
      <c r="F675" s="624"/>
      <c r="G675" s="624"/>
      <c r="H675" s="624"/>
      <c r="I675" s="624"/>
      <c r="J675" s="624"/>
      <c r="K675" s="624"/>
      <c r="L675" s="624"/>
      <c r="M675" s="624"/>
    </row>
    <row r="676" spans="5:13" ht="15">
      <c r="E676" s="624"/>
      <c r="F676" s="624"/>
      <c r="G676" s="624"/>
      <c r="H676" s="624"/>
      <c r="I676" s="624"/>
      <c r="J676" s="624"/>
      <c r="K676" s="624"/>
      <c r="L676" s="624"/>
      <c r="M676" s="624"/>
    </row>
    <row r="677" spans="5:13" ht="15">
      <c r="E677" s="624"/>
      <c r="F677" s="624"/>
      <c r="G677" s="624"/>
      <c r="H677" s="624"/>
      <c r="I677" s="624"/>
      <c r="J677" s="624"/>
      <c r="K677" s="624"/>
      <c r="L677" s="624"/>
      <c r="M677" s="624"/>
    </row>
    <row r="678" spans="5:13" ht="15">
      <c r="E678" s="624"/>
      <c r="F678" s="624"/>
      <c r="G678" s="624"/>
      <c r="H678" s="624"/>
      <c r="I678" s="624"/>
      <c r="J678" s="624"/>
      <c r="K678" s="624"/>
      <c r="L678" s="624"/>
      <c r="M678" s="624"/>
    </row>
    <row r="679" spans="5:13" ht="15">
      <c r="E679" s="624"/>
      <c r="F679" s="624"/>
      <c r="G679" s="624"/>
      <c r="H679" s="624"/>
      <c r="I679" s="624"/>
      <c r="J679" s="624"/>
      <c r="K679" s="624"/>
      <c r="L679" s="624"/>
      <c r="M679" s="624"/>
    </row>
    <row r="680" spans="5:13" ht="15">
      <c r="E680" s="624"/>
      <c r="F680" s="624"/>
      <c r="G680" s="624"/>
      <c r="H680" s="624"/>
      <c r="I680" s="624"/>
      <c r="J680" s="624"/>
      <c r="K680" s="624"/>
      <c r="L680" s="624"/>
      <c r="M680" s="624"/>
    </row>
    <row r="681" spans="5:13" ht="15">
      <c r="E681" s="624"/>
      <c r="F681" s="624"/>
      <c r="G681" s="624"/>
      <c r="H681" s="624"/>
      <c r="I681" s="624"/>
      <c r="J681" s="624"/>
      <c r="K681" s="624"/>
      <c r="L681" s="624"/>
      <c r="M681" s="624"/>
    </row>
    <row r="682" spans="5:13" ht="15">
      <c r="E682" s="624"/>
      <c r="F682" s="624"/>
      <c r="G682" s="624"/>
      <c r="H682" s="624"/>
      <c r="I682" s="624"/>
      <c r="J682" s="624"/>
      <c r="K682" s="624"/>
      <c r="L682" s="624"/>
      <c r="M682" s="624"/>
    </row>
    <row r="683" spans="5:13" ht="15">
      <c r="E683" s="624"/>
      <c r="F683" s="624"/>
      <c r="G683" s="624"/>
      <c r="H683" s="624"/>
      <c r="I683" s="624"/>
      <c r="J683" s="624"/>
      <c r="K683" s="624"/>
      <c r="L683" s="624"/>
      <c r="M683" s="624"/>
    </row>
    <row r="684" spans="5:13" ht="15">
      <c r="E684" s="624"/>
      <c r="F684" s="624"/>
      <c r="G684" s="624"/>
      <c r="H684" s="624"/>
      <c r="I684" s="624"/>
      <c r="J684" s="624"/>
      <c r="K684" s="624"/>
      <c r="L684" s="624"/>
      <c r="M684" s="624"/>
    </row>
    <row r="685" spans="5:13" ht="15">
      <c r="E685" s="624"/>
      <c r="F685" s="624"/>
      <c r="G685" s="624"/>
      <c r="H685" s="624"/>
      <c r="I685" s="624"/>
      <c r="J685" s="624"/>
      <c r="K685" s="624"/>
      <c r="L685" s="624"/>
      <c r="M685" s="624"/>
    </row>
    <row r="686" spans="5:13" ht="15">
      <c r="E686" s="624"/>
      <c r="F686" s="624"/>
      <c r="G686" s="624"/>
      <c r="H686" s="624"/>
      <c r="I686" s="624"/>
      <c r="J686" s="624"/>
      <c r="K686" s="624"/>
      <c r="L686" s="624"/>
      <c r="M686" s="624"/>
    </row>
    <row r="687" spans="5:13" ht="15">
      <c r="E687" s="624"/>
      <c r="F687" s="624"/>
      <c r="G687" s="624"/>
      <c r="H687" s="624"/>
      <c r="I687" s="624"/>
      <c r="J687" s="624"/>
      <c r="K687" s="624"/>
      <c r="L687" s="624"/>
      <c r="M687" s="624"/>
    </row>
    <row r="688" spans="5:13" ht="15">
      <c r="E688" s="624"/>
      <c r="F688" s="624"/>
      <c r="G688" s="624"/>
      <c r="H688" s="624"/>
      <c r="I688" s="624"/>
      <c r="J688" s="624"/>
      <c r="K688" s="624"/>
      <c r="L688" s="624"/>
      <c r="M688" s="624"/>
    </row>
    <row r="689" spans="5:13" ht="15">
      <c r="E689" s="624"/>
      <c r="F689" s="624"/>
      <c r="G689" s="624"/>
      <c r="H689" s="624"/>
      <c r="I689" s="624"/>
      <c r="J689" s="624"/>
      <c r="K689" s="624"/>
      <c r="L689" s="624"/>
      <c r="M689" s="624"/>
    </row>
    <row r="690" spans="5:13" ht="15">
      <c r="E690" s="624"/>
      <c r="F690" s="624"/>
      <c r="G690" s="624"/>
      <c r="H690" s="624"/>
      <c r="I690" s="624"/>
      <c r="J690" s="624"/>
      <c r="K690" s="624"/>
      <c r="L690" s="624"/>
      <c r="M690" s="624"/>
    </row>
    <row r="691" spans="5:13" ht="15">
      <c r="E691" s="624"/>
      <c r="F691" s="624"/>
      <c r="G691" s="624"/>
      <c r="H691" s="624"/>
      <c r="I691" s="624"/>
      <c r="J691" s="624"/>
      <c r="K691" s="624"/>
      <c r="L691" s="624"/>
      <c r="M691" s="624"/>
    </row>
    <row r="692" spans="5:13" ht="15">
      <c r="E692" s="624"/>
      <c r="F692" s="624"/>
      <c r="G692" s="624"/>
      <c r="H692" s="624"/>
      <c r="I692" s="624"/>
      <c r="J692" s="624"/>
      <c r="K692" s="624"/>
      <c r="L692" s="624"/>
      <c r="M692" s="624"/>
    </row>
    <row r="693" spans="5:13" ht="15">
      <c r="E693" s="624"/>
      <c r="F693" s="624"/>
      <c r="G693" s="624"/>
      <c r="H693" s="624"/>
      <c r="I693" s="624"/>
      <c r="J693" s="624"/>
      <c r="K693" s="624"/>
      <c r="L693" s="624"/>
      <c r="M693" s="624"/>
    </row>
    <row r="694" spans="5:13" ht="15">
      <c r="E694" s="624"/>
      <c r="F694" s="624"/>
      <c r="G694" s="624"/>
      <c r="H694" s="624"/>
      <c r="I694" s="624"/>
      <c r="J694" s="624"/>
      <c r="K694" s="624"/>
      <c r="L694" s="624"/>
      <c r="M694" s="624"/>
    </row>
    <row r="695" spans="5:13" ht="15">
      <c r="E695" s="624"/>
      <c r="F695" s="624"/>
      <c r="G695" s="624"/>
      <c r="H695" s="624"/>
      <c r="I695" s="624"/>
      <c r="J695" s="624"/>
      <c r="K695" s="624"/>
      <c r="L695" s="624"/>
      <c r="M695" s="624"/>
    </row>
    <row r="696" spans="5:13" ht="15">
      <c r="E696" s="624"/>
      <c r="F696" s="624"/>
      <c r="G696" s="624"/>
      <c r="H696" s="624"/>
      <c r="I696" s="624"/>
      <c r="J696" s="624"/>
      <c r="K696" s="624"/>
      <c r="L696" s="624"/>
      <c r="M696" s="624"/>
    </row>
    <row r="697" spans="5:13" ht="15">
      <c r="E697" s="624"/>
      <c r="F697" s="624"/>
      <c r="G697" s="624"/>
      <c r="H697" s="624"/>
      <c r="I697" s="624"/>
      <c r="J697" s="624"/>
      <c r="K697" s="624"/>
      <c r="L697" s="624"/>
      <c r="M697" s="624"/>
    </row>
    <row r="698" spans="5:13" ht="15">
      <c r="E698" s="624"/>
      <c r="F698" s="624"/>
      <c r="G698" s="624"/>
      <c r="H698" s="624"/>
      <c r="I698" s="624"/>
      <c r="J698" s="624"/>
      <c r="K698" s="624"/>
      <c r="L698" s="624"/>
      <c r="M698" s="624"/>
    </row>
    <row r="699" spans="5:13" ht="15">
      <c r="E699" s="624"/>
      <c r="F699" s="624"/>
      <c r="G699" s="624"/>
      <c r="H699" s="624"/>
      <c r="I699" s="624"/>
      <c r="J699" s="624"/>
      <c r="K699" s="624"/>
      <c r="L699" s="624"/>
      <c r="M699" s="624"/>
    </row>
    <row r="700" spans="5:13" ht="15">
      <c r="E700" s="624"/>
      <c r="F700" s="624"/>
      <c r="G700" s="624"/>
      <c r="H700" s="624"/>
      <c r="I700" s="624"/>
      <c r="J700" s="624"/>
      <c r="K700" s="624"/>
      <c r="L700" s="624"/>
      <c r="M700" s="624"/>
    </row>
    <row r="701" spans="5:13" ht="15">
      <c r="E701" s="624"/>
      <c r="F701" s="624"/>
      <c r="G701" s="624"/>
      <c r="H701" s="624"/>
      <c r="I701" s="624"/>
      <c r="J701" s="624"/>
      <c r="K701" s="624"/>
      <c r="L701" s="624"/>
      <c r="M701" s="624"/>
    </row>
    <row r="702" spans="5:13" ht="15">
      <c r="E702" s="624"/>
      <c r="F702" s="624"/>
      <c r="G702" s="624"/>
      <c r="H702" s="624"/>
      <c r="I702" s="624"/>
      <c r="J702" s="624"/>
      <c r="K702" s="624"/>
      <c r="L702" s="624"/>
      <c r="M702" s="624"/>
    </row>
    <row r="703" spans="5:13" ht="15">
      <c r="E703" s="624"/>
      <c r="F703" s="624"/>
      <c r="G703" s="624"/>
      <c r="H703" s="624"/>
      <c r="I703" s="624"/>
      <c r="J703" s="624"/>
      <c r="K703" s="624"/>
      <c r="L703" s="624"/>
      <c r="M703" s="624"/>
    </row>
    <row r="704" spans="5:13" ht="15">
      <c r="E704" s="624"/>
      <c r="F704" s="624"/>
      <c r="G704" s="624"/>
      <c r="H704" s="624"/>
      <c r="I704" s="624"/>
      <c r="J704" s="624"/>
      <c r="K704" s="624"/>
      <c r="L704" s="624"/>
      <c r="M704" s="624"/>
    </row>
    <row r="705" spans="5:13" ht="15">
      <c r="E705" s="624"/>
      <c r="F705" s="624"/>
      <c r="G705" s="624"/>
      <c r="H705" s="624"/>
      <c r="I705" s="624"/>
      <c r="J705" s="624"/>
      <c r="K705" s="624"/>
      <c r="L705" s="624"/>
      <c r="M705" s="624"/>
    </row>
    <row r="706" spans="5:13" ht="15">
      <c r="E706" s="624"/>
      <c r="F706" s="624"/>
      <c r="G706" s="624"/>
      <c r="H706" s="624"/>
      <c r="I706" s="624"/>
      <c r="J706" s="624"/>
      <c r="K706" s="624"/>
      <c r="L706" s="624"/>
      <c r="M706" s="624"/>
    </row>
    <row r="707" spans="5:13" ht="15">
      <c r="E707" s="624"/>
      <c r="F707" s="624"/>
      <c r="G707" s="624"/>
      <c r="H707" s="624"/>
      <c r="I707" s="624"/>
      <c r="J707" s="624"/>
      <c r="K707" s="624"/>
      <c r="L707" s="624"/>
      <c r="M707" s="624"/>
    </row>
    <row r="708" spans="5:13" ht="15">
      <c r="E708" s="624"/>
      <c r="F708" s="624"/>
      <c r="G708" s="624"/>
      <c r="H708" s="624"/>
      <c r="I708" s="624"/>
      <c r="J708" s="624"/>
      <c r="K708" s="624"/>
      <c r="L708" s="624"/>
      <c r="M708" s="624"/>
    </row>
    <row r="709" spans="5:13" ht="15">
      <c r="E709" s="624"/>
      <c r="F709" s="624"/>
      <c r="G709" s="624"/>
      <c r="H709" s="624"/>
      <c r="I709" s="624"/>
      <c r="J709" s="624"/>
      <c r="K709" s="624"/>
      <c r="L709" s="624"/>
      <c r="M709" s="624"/>
    </row>
    <row r="710" spans="5:13" ht="15">
      <c r="E710" s="624"/>
      <c r="F710" s="624"/>
      <c r="G710" s="624"/>
      <c r="H710" s="624"/>
      <c r="I710" s="624"/>
      <c r="J710" s="624"/>
      <c r="K710" s="624"/>
      <c r="L710" s="624"/>
      <c r="M710" s="624"/>
    </row>
    <row r="711" spans="5:13" ht="15">
      <c r="E711" s="624"/>
      <c r="F711" s="624"/>
      <c r="G711" s="624"/>
      <c r="H711" s="624"/>
      <c r="I711" s="624"/>
      <c r="J711" s="624"/>
      <c r="K711" s="624"/>
      <c r="L711" s="624"/>
      <c r="M711" s="624"/>
    </row>
    <row r="712" spans="5:13" ht="15">
      <c r="E712" s="624"/>
      <c r="F712" s="624"/>
      <c r="G712" s="624"/>
      <c r="H712" s="624"/>
      <c r="I712" s="624"/>
      <c r="J712" s="624"/>
      <c r="K712" s="624"/>
      <c r="L712" s="624"/>
      <c r="M712" s="624"/>
    </row>
    <row r="713" spans="5:13" ht="15">
      <c r="E713" s="624"/>
      <c r="F713" s="624"/>
      <c r="G713" s="624"/>
      <c r="H713" s="624"/>
      <c r="I713" s="624"/>
      <c r="J713" s="624"/>
      <c r="K713" s="624"/>
      <c r="L713" s="624"/>
      <c r="M713" s="624"/>
    </row>
    <row r="714" spans="5:13" ht="15">
      <c r="E714" s="624"/>
      <c r="F714" s="624"/>
      <c r="G714" s="624"/>
      <c r="H714" s="624"/>
      <c r="I714" s="624"/>
      <c r="J714" s="624"/>
      <c r="K714" s="624"/>
      <c r="L714" s="624"/>
      <c r="M714" s="624"/>
    </row>
    <row r="715" spans="5:13" ht="15">
      <c r="E715" s="624"/>
      <c r="F715" s="624"/>
      <c r="G715" s="624"/>
      <c r="H715" s="624"/>
      <c r="I715" s="624"/>
      <c r="J715" s="624"/>
      <c r="K715" s="624"/>
      <c r="L715" s="624"/>
      <c r="M715" s="624"/>
    </row>
    <row r="716" spans="5:13" ht="15">
      <c r="E716" s="624"/>
      <c r="F716" s="624"/>
      <c r="G716" s="624"/>
      <c r="H716" s="624"/>
      <c r="I716" s="624"/>
      <c r="J716" s="624"/>
      <c r="K716" s="624"/>
      <c r="L716" s="624"/>
      <c r="M716" s="624"/>
    </row>
    <row r="717" spans="5:13" ht="15">
      <c r="E717" s="624"/>
      <c r="F717" s="624"/>
      <c r="G717" s="624"/>
      <c r="H717" s="624"/>
      <c r="I717" s="624"/>
      <c r="J717" s="624"/>
      <c r="K717" s="624"/>
      <c r="L717" s="624"/>
      <c r="M717" s="624"/>
    </row>
    <row r="718" spans="5:13" ht="15">
      <c r="E718" s="624"/>
      <c r="F718" s="624"/>
      <c r="G718" s="624"/>
      <c r="H718" s="624"/>
      <c r="I718" s="624"/>
      <c r="J718" s="624"/>
      <c r="K718" s="624"/>
      <c r="L718" s="624"/>
      <c r="M718" s="624"/>
    </row>
    <row r="719" spans="5:13" ht="15">
      <c r="E719" s="624"/>
      <c r="F719" s="624"/>
      <c r="G719" s="624"/>
      <c r="H719" s="624"/>
      <c r="I719" s="624"/>
      <c r="J719" s="624"/>
      <c r="K719" s="624"/>
      <c r="L719" s="624"/>
      <c r="M719" s="624"/>
    </row>
    <row r="720" spans="5:13" ht="15">
      <c r="E720" s="624"/>
      <c r="F720" s="624"/>
      <c r="G720" s="624"/>
      <c r="H720" s="624"/>
      <c r="I720" s="624"/>
      <c r="J720" s="624"/>
      <c r="K720" s="624"/>
      <c r="L720" s="624"/>
      <c r="M720" s="624"/>
    </row>
    <row r="721" spans="5:13" ht="15">
      <c r="E721" s="624"/>
      <c r="F721" s="624"/>
      <c r="G721" s="624"/>
      <c r="H721" s="624"/>
      <c r="I721" s="624"/>
      <c r="J721" s="624"/>
      <c r="K721" s="624"/>
      <c r="L721" s="624"/>
      <c r="M721" s="624"/>
    </row>
    <row r="722" spans="5:13" ht="15">
      <c r="E722" s="624"/>
      <c r="F722" s="624"/>
      <c r="G722" s="624"/>
      <c r="H722" s="624"/>
      <c r="I722" s="624"/>
      <c r="J722" s="624"/>
      <c r="K722" s="624"/>
      <c r="L722" s="624"/>
      <c r="M722" s="624"/>
    </row>
    <row r="723" spans="5:13" ht="15">
      <c r="E723" s="624"/>
      <c r="F723" s="624"/>
      <c r="G723" s="624"/>
      <c r="H723" s="624"/>
      <c r="I723" s="624"/>
      <c r="J723" s="624"/>
      <c r="K723" s="624"/>
      <c r="L723" s="624"/>
      <c r="M723" s="624"/>
    </row>
    <row r="724" spans="5:13" ht="15">
      <c r="E724" s="624"/>
      <c r="F724" s="624"/>
      <c r="G724" s="624"/>
      <c r="H724" s="624"/>
      <c r="I724" s="624"/>
      <c r="J724" s="624"/>
      <c r="K724" s="624"/>
      <c r="L724" s="624"/>
      <c r="M724" s="624"/>
    </row>
    <row r="725" spans="5:13" ht="15">
      <c r="E725" s="624"/>
      <c r="F725" s="624"/>
      <c r="G725" s="624"/>
      <c r="H725" s="624"/>
      <c r="I725" s="624"/>
      <c r="J725" s="624"/>
      <c r="K725" s="624"/>
      <c r="L725" s="624"/>
      <c r="M725" s="624"/>
    </row>
    <row r="726" spans="5:13" ht="15">
      <c r="E726" s="624"/>
      <c r="F726" s="624"/>
      <c r="G726" s="624"/>
      <c r="H726" s="624"/>
      <c r="I726" s="624"/>
      <c r="J726" s="624"/>
      <c r="K726" s="624"/>
      <c r="L726" s="624"/>
      <c r="M726" s="624"/>
    </row>
    <row r="727" spans="5:13" ht="15">
      <c r="E727" s="624"/>
      <c r="F727" s="624"/>
      <c r="G727" s="624"/>
      <c r="H727" s="624"/>
      <c r="I727" s="624"/>
      <c r="J727" s="624"/>
      <c r="K727" s="624"/>
      <c r="L727" s="624"/>
      <c r="M727" s="624"/>
    </row>
    <row r="728" spans="5:13" ht="15">
      <c r="E728" s="624"/>
      <c r="F728" s="624"/>
      <c r="G728" s="624"/>
      <c r="H728" s="624"/>
      <c r="I728" s="624"/>
      <c r="J728" s="624"/>
      <c r="K728" s="624"/>
      <c r="L728" s="624"/>
      <c r="M728" s="624"/>
    </row>
    <row r="729" spans="5:13" ht="15">
      <c r="E729" s="624"/>
      <c r="F729" s="624"/>
      <c r="G729" s="624"/>
      <c r="H729" s="624"/>
      <c r="I729" s="624"/>
      <c r="J729" s="624"/>
      <c r="K729" s="624"/>
      <c r="L729" s="624"/>
      <c r="M729" s="624"/>
    </row>
    <row r="730" spans="5:13" ht="15">
      <c r="E730" s="624"/>
      <c r="F730" s="624"/>
      <c r="G730" s="624"/>
      <c r="H730" s="624"/>
      <c r="I730" s="624"/>
      <c r="J730" s="624"/>
      <c r="K730" s="624"/>
      <c r="L730" s="624"/>
      <c r="M730" s="624"/>
    </row>
    <row r="731" spans="5:13" ht="15">
      <c r="E731" s="624"/>
      <c r="F731" s="624"/>
      <c r="G731" s="624"/>
      <c r="H731" s="624"/>
      <c r="I731" s="624"/>
      <c r="J731" s="624"/>
      <c r="K731" s="624"/>
      <c r="L731" s="624"/>
      <c r="M731" s="624"/>
    </row>
    <row r="732" spans="5:13" ht="15">
      <c r="E732" s="624"/>
      <c r="F732" s="624"/>
      <c r="G732" s="624"/>
      <c r="H732" s="624"/>
      <c r="I732" s="624"/>
      <c r="J732" s="624"/>
      <c r="K732" s="624"/>
      <c r="L732" s="624"/>
      <c r="M732" s="624"/>
    </row>
    <row r="733" spans="5:13" ht="15">
      <c r="E733" s="624"/>
      <c r="F733" s="624"/>
      <c r="G733" s="624"/>
      <c r="H733" s="624"/>
      <c r="I733" s="624"/>
      <c r="J733" s="624"/>
      <c r="K733" s="624"/>
      <c r="L733" s="624"/>
      <c r="M733" s="624"/>
    </row>
    <row r="734" spans="5:13" ht="15">
      <c r="E734" s="624"/>
      <c r="F734" s="624"/>
      <c r="G734" s="624"/>
      <c r="H734" s="624"/>
      <c r="I734" s="624"/>
      <c r="J734" s="624"/>
      <c r="K734" s="624"/>
      <c r="L734" s="624"/>
      <c r="M734" s="624"/>
    </row>
    <row r="735" spans="5:13" ht="15">
      <c r="E735" s="624"/>
      <c r="F735" s="624"/>
      <c r="G735" s="624"/>
      <c r="H735" s="624"/>
      <c r="I735" s="624"/>
      <c r="J735" s="624"/>
      <c r="K735" s="624"/>
      <c r="L735" s="624"/>
      <c r="M735" s="624"/>
    </row>
    <row r="736" spans="5:13" ht="15">
      <c r="E736" s="624"/>
      <c r="F736" s="624"/>
      <c r="G736" s="624"/>
      <c r="H736" s="624"/>
      <c r="I736" s="624"/>
      <c r="J736" s="624"/>
      <c r="K736" s="624"/>
      <c r="L736" s="624"/>
      <c r="M736" s="624"/>
    </row>
    <row r="737" spans="5:13" ht="15">
      <c r="E737" s="624"/>
      <c r="F737" s="624"/>
      <c r="G737" s="624"/>
      <c r="H737" s="624"/>
      <c r="I737" s="624"/>
      <c r="J737" s="624"/>
      <c r="K737" s="624"/>
      <c r="L737" s="624"/>
      <c r="M737" s="624"/>
    </row>
    <row r="738" spans="5:13" ht="15">
      <c r="E738" s="624"/>
      <c r="F738" s="624"/>
      <c r="G738" s="624"/>
      <c r="H738" s="624"/>
      <c r="I738" s="624"/>
      <c r="J738" s="624"/>
      <c r="K738" s="624"/>
      <c r="L738" s="624"/>
      <c r="M738" s="624"/>
    </row>
    <row r="739" spans="5:13" ht="15">
      <c r="E739" s="624"/>
      <c r="F739" s="624"/>
      <c r="G739" s="624"/>
      <c r="H739" s="624"/>
      <c r="I739" s="624"/>
      <c r="J739" s="624"/>
      <c r="K739" s="624"/>
      <c r="L739" s="624"/>
      <c r="M739" s="624"/>
    </row>
    <row r="740" spans="5:13" ht="15">
      <c r="E740" s="624"/>
      <c r="F740" s="624"/>
      <c r="G740" s="624"/>
      <c r="H740" s="624"/>
      <c r="I740" s="624"/>
      <c r="J740" s="624"/>
      <c r="K740" s="624"/>
      <c r="L740" s="624"/>
      <c r="M740" s="624"/>
    </row>
    <row r="741" spans="5:13" ht="15">
      <c r="E741" s="624"/>
      <c r="F741" s="624"/>
      <c r="G741" s="624"/>
      <c r="H741" s="624"/>
      <c r="I741" s="624"/>
      <c r="J741" s="624"/>
      <c r="K741" s="624"/>
      <c r="L741" s="624"/>
      <c r="M741" s="624"/>
    </row>
    <row r="742" spans="5:13" ht="15">
      <c r="E742" s="624"/>
      <c r="F742" s="624"/>
      <c r="G742" s="624"/>
      <c r="H742" s="624"/>
      <c r="I742" s="624"/>
      <c r="J742" s="624"/>
      <c r="K742" s="624"/>
      <c r="L742" s="624"/>
      <c r="M742" s="624"/>
    </row>
    <row r="743" spans="5:13" ht="15">
      <c r="E743" s="624"/>
      <c r="F743" s="624"/>
      <c r="G743" s="624"/>
      <c r="H743" s="624"/>
      <c r="I743" s="624"/>
      <c r="J743" s="624"/>
      <c r="K743" s="624"/>
      <c r="L743" s="624"/>
      <c r="M743" s="624"/>
    </row>
    <row r="744" spans="5:13" ht="15">
      <c r="E744" s="624"/>
      <c r="F744" s="624"/>
      <c r="G744" s="624"/>
      <c r="H744" s="624"/>
      <c r="I744" s="624"/>
      <c r="J744" s="624"/>
      <c r="K744" s="624"/>
      <c r="L744" s="624"/>
      <c r="M744" s="624"/>
    </row>
    <row r="745" spans="5:13" ht="15">
      <c r="E745" s="624"/>
      <c r="F745" s="624"/>
      <c r="G745" s="624"/>
      <c r="H745" s="624"/>
      <c r="I745" s="624"/>
      <c r="J745" s="624"/>
      <c r="K745" s="624"/>
      <c r="L745" s="624"/>
      <c r="M745" s="624"/>
    </row>
    <row r="746" spans="5:13" ht="15">
      <c r="E746" s="624"/>
      <c r="F746" s="624"/>
      <c r="G746" s="624"/>
      <c r="H746" s="624"/>
      <c r="I746" s="624"/>
      <c r="J746" s="624"/>
      <c r="K746" s="624"/>
      <c r="L746" s="624"/>
      <c r="M746" s="624"/>
    </row>
    <row r="747" spans="5:13" ht="15">
      <c r="E747" s="624"/>
      <c r="F747" s="624"/>
      <c r="G747" s="624"/>
      <c r="H747" s="624"/>
      <c r="I747" s="624"/>
      <c r="J747" s="624"/>
      <c r="K747" s="624"/>
      <c r="L747" s="624"/>
      <c r="M747" s="624"/>
    </row>
    <row r="748" spans="5:13" ht="15">
      <c r="E748" s="624"/>
      <c r="F748" s="624"/>
      <c r="G748" s="624"/>
      <c r="H748" s="624"/>
      <c r="I748" s="624"/>
      <c r="J748" s="624"/>
      <c r="K748" s="624"/>
      <c r="L748" s="624"/>
      <c r="M748" s="624"/>
    </row>
    <row r="749" spans="5:13" ht="15">
      <c r="E749" s="624"/>
      <c r="F749" s="624"/>
      <c r="G749" s="624"/>
      <c r="H749" s="624"/>
      <c r="I749" s="624"/>
      <c r="J749" s="624"/>
      <c r="K749" s="624"/>
      <c r="L749" s="624"/>
      <c r="M749" s="624"/>
    </row>
    <row r="750" spans="5:13" ht="15">
      <c r="E750" s="624"/>
      <c r="F750" s="624"/>
      <c r="G750" s="624"/>
      <c r="H750" s="624"/>
      <c r="I750" s="624"/>
      <c r="J750" s="624"/>
      <c r="K750" s="624"/>
      <c r="L750" s="624"/>
      <c r="M750" s="624"/>
    </row>
    <row r="751" spans="5:13" ht="15">
      <c r="E751" s="624"/>
      <c r="F751" s="624"/>
      <c r="G751" s="624"/>
      <c r="H751" s="624"/>
      <c r="I751" s="624"/>
      <c r="J751" s="624"/>
      <c r="K751" s="624"/>
      <c r="L751" s="624"/>
      <c r="M751" s="624"/>
    </row>
    <row r="752" spans="5:13" ht="15">
      <c r="E752" s="624"/>
      <c r="F752" s="624"/>
      <c r="G752" s="624"/>
      <c r="H752" s="624"/>
      <c r="I752" s="624"/>
      <c r="J752" s="624"/>
      <c r="K752" s="624"/>
      <c r="L752" s="624"/>
      <c r="M752" s="624"/>
    </row>
    <row r="753" spans="5:13" ht="15">
      <c r="E753" s="624"/>
      <c r="F753" s="624"/>
      <c r="G753" s="624"/>
      <c r="H753" s="624"/>
      <c r="I753" s="624"/>
      <c r="J753" s="624"/>
      <c r="K753" s="624"/>
      <c r="L753" s="624"/>
      <c r="M753" s="624"/>
    </row>
    <row r="754" spans="5:13" ht="15">
      <c r="E754" s="624"/>
      <c r="F754" s="624"/>
      <c r="G754" s="624"/>
      <c r="H754" s="624"/>
      <c r="I754" s="624"/>
      <c r="J754" s="624"/>
      <c r="K754" s="624"/>
      <c r="L754" s="624"/>
      <c r="M754" s="624"/>
    </row>
    <row r="755" spans="5:13" ht="15">
      <c r="E755" s="624"/>
      <c r="F755" s="624"/>
      <c r="G755" s="624"/>
      <c r="H755" s="624"/>
      <c r="I755" s="624"/>
      <c r="J755" s="624"/>
      <c r="K755" s="624"/>
      <c r="L755" s="624"/>
      <c r="M755" s="624"/>
    </row>
    <row r="756" spans="5:13" ht="15">
      <c r="E756" s="624"/>
      <c r="F756" s="624"/>
      <c r="G756" s="624"/>
      <c r="H756" s="624"/>
      <c r="I756" s="624"/>
      <c r="J756" s="624"/>
      <c r="K756" s="624"/>
      <c r="L756" s="624"/>
      <c r="M756" s="624"/>
    </row>
    <row r="757" spans="5:13" ht="15">
      <c r="E757" s="624"/>
      <c r="F757" s="624"/>
      <c r="G757" s="624"/>
      <c r="H757" s="624"/>
      <c r="I757" s="624"/>
      <c r="J757" s="624"/>
      <c r="K757" s="624"/>
      <c r="L757" s="624"/>
      <c r="M757" s="624"/>
    </row>
    <row r="758" spans="5:13" ht="15">
      <c r="E758" s="624"/>
      <c r="F758" s="624"/>
      <c r="G758" s="624"/>
      <c r="H758" s="624"/>
      <c r="I758" s="624"/>
      <c r="J758" s="624"/>
      <c r="K758" s="624"/>
      <c r="L758" s="624"/>
      <c r="M758" s="624"/>
    </row>
    <row r="759" spans="5:13" ht="15">
      <c r="E759" s="624"/>
      <c r="F759" s="624"/>
      <c r="G759" s="624"/>
      <c r="H759" s="624"/>
      <c r="I759" s="624"/>
      <c r="J759" s="624"/>
      <c r="K759" s="624"/>
      <c r="L759" s="624"/>
      <c r="M759" s="624"/>
    </row>
    <row r="760" spans="5:13" ht="15">
      <c r="E760" s="624"/>
      <c r="F760" s="624"/>
      <c r="G760" s="624"/>
      <c r="H760" s="624"/>
      <c r="I760" s="624"/>
      <c r="J760" s="624"/>
      <c r="K760" s="624"/>
      <c r="L760" s="624"/>
      <c r="M760" s="624"/>
    </row>
    <row r="761" spans="5:13" ht="15">
      <c r="E761" s="624"/>
      <c r="F761" s="624"/>
      <c r="G761" s="624"/>
      <c r="H761" s="624"/>
      <c r="I761" s="624"/>
      <c r="J761" s="624"/>
      <c r="K761" s="624"/>
      <c r="L761" s="624"/>
      <c r="M761" s="624"/>
    </row>
    <row r="762" spans="5:13" ht="15">
      <c r="E762" s="624"/>
      <c r="F762" s="624"/>
      <c r="G762" s="624"/>
      <c r="H762" s="624"/>
      <c r="I762" s="624"/>
      <c r="J762" s="624"/>
      <c r="K762" s="624"/>
      <c r="L762" s="624"/>
      <c r="M762" s="624"/>
    </row>
    <row r="763" spans="5:13" ht="15">
      <c r="E763" s="624"/>
      <c r="F763" s="624"/>
      <c r="G763" s="624"/>
      <c r="H763" s="624"/>
      <c r="I763" s="624"/>
      <c r="J763" s="624"/>
      <c r="K763" s="624"/>
      <c r="L763" s="624"/>
      <c r="M763" s="624"/>
    </row>
    <row r="764" spans="5:13" ht="15">
      <c r="E764" s="624"/>
      <c r="F764" s="624"/>
      <c r="G764" s="624"/>
      <c r="H764" s="624"/>
      <c r="I764" s="624"/>
      <c r="J764" s="624"/>
      <c r="K764" s="624"/>
      <c r="L764" s="624"/>
      <c r="M764" s="624"/>
    </row>
    <row r="765" spans="5:13" ht="15">
      <c r="E765" s="624"/>
      <c r="F765" s="624"/>
      <c r="G765" s="624"/>
      <c r="H765" s="624"/>
      <c r="I765" s="624"/>
      <c r="J765" s="624"/>
      <c r="K765" s="624"/>
      <c r="L765" s="624"/>
      <c r="M765" s="624"/>
    </row>
    <row r="766" spans="5:13" ht="15">
      <c r="E766" s="624"/>
      <c r="F766" s="624"/>
      <c r="G766" s="624"/>
      <c r="H766" s="624"/>
      <c r="I766" s="624"/>
      <c r="J766" s="624"/>
      <c r="K766" s="624"/>
      <c r="L766" s="624"/>
      <c r="M766" s="624"/>
    </row>
    <row r="767" spans="5:13" ht="15">
      <c r="E767" s="624"/>
      <c r="F767" s="624"/>
      <c r="G767" s="624"/>
      <c r="H767" s="624"/>
      <c r="I767" s="624"/>
      <c r="J767" s="624"/>
      <c r="K767" s="624"/>
      <c r="L767" s="624"/>
      <c r="M767" s="624"/>
    </row>
    <row r="768" spans="5:13" ht="15">
      <c r="E768" s="624"/>
      <c r="F768" s="624"/>
      <c r="G768" s="624"/>
      <c r="H768" s="624"/>
      <c r="I768" s="624"/>
      <c r="J768" s="624"/>
      <c r="K768" s="624"/>
      <c r="L768" s="624"/>
      <c r="M768" s="624"/>
    </row>
    <row r="769" spans="5:13" ht="15">
      <c r="E769" s="624"/>
      <c r="F769" s="624"/>
      <c r="G769" s="624"/>
      <c r="H769" s="624"/>
      <c r="I769" s="624"/>
      <c r="J769" s="624"/>
      <c r="K769" s="624"/>
      <c r="L769" s="624"/>
      <c r="M769" s="624"/>
    </row>
    <row r="770" spans="5:13" ht="15">
      <c r="E770" s="624"/>
      <c r="F770" s="624"/>
      <c r="G770" s="624"/>
      <c r="H770" s="624"/>
      <c r="I770" s="624"/>
      <c r="J770" s="624"/>
      <c r="K770" s="624"/>
      <c r="L770" s="624"/>
      <c r="M770" s="624"/>
    </row>
    <row r="771" spans="5:13" ht="15">
      <c r="E771" s="624"/>
      <c r="F771" s="624"/>
      <c r="G771" s="624"/>
      <c r="H771" s="624"/>
      <c r="I771" s="624"/>
      <c r="J771" s="624"/>
      <c r="K771" s="624"/>
      <c r="L771" s="624"/>
      <c r="M771" s="624"/>
    </row>
    <row r="772" spans="5:13" ht="15">
      <c r="E772" s="624"/>
      <c r="F772" s="624"/>
      <c r="G772" s="624"/>
      <c r="H772" s="624"/>
      <c r="I772" s="624"/>
      <c r="J772" s="624"/>
      <c r="K772" s="624"/>
      <c r="L772" s="624"/>
      <c r="M772" s="624"/>
    </row>
    <row r="773" spans="5:13" ht="15">
      <c r="E773" s="624"/>
      <c r="F773" s="624"/>
      <c r="G773" s="624"/>
      <c r="H773" s="624"/>
      <c r="I773" s="624"/>
      <c r="J773" s="624"/>
      <c r="K773" s="624"/>
      <c r="L773" s="624"/>
      <c r="M773" s="624"/>
    </row>
    <row r="774" spans="5:13" ht="15">
      <c r="E774" s="624"/>
      <c r="F774" s="624"/>
      <c r="G774" s="624"/>
      <c r="H774" s="624"/>
      <c r="I774" s="624"/>
      <c r="J774" s="624"/>
      <c r="K774" s="624"/>
      <c r="L774" s="624"/>
      <c r="M774" s="624"/>
    </row>
    <row r="775" spans="5:13" ht="15">
      <c r="E775" s="624"/>
      <c r="F775" s="624"/>
      <c r="G775" s="624"/>
      <c r="H775" s="624"/>
      <c r="I775" s="624"/>
      <c r="J775" s="624"/>
      <c r="K775" s="624"/>
      <c r="L775" s="624"/>
      <c r="M775" s="624"/>
    </row>
    <row r="776" spans="5:13" ht="15">
      <c r="E776" s="624"/>
      <c r="F776" s="624"/>
      <c r="G776" s="624"/>
      <c r="H776" s="624"/>
      <c r="I776" s="624"/>
      <c r="J776" s="624"/>
      <c r="K776" s="624"/>
      <c r="L776" s="624"/>
      <c r="M776" s="624"/>
    </row>
    <row r="777" spans="5:13" ht="15">
      <c r="E777" s="624"/>
      <c r="F777" s="624"/>
      <c r="G777" s="624"/>
      <c r="H777" s="624"/>
      <c r="I777" s="624"/>
      <c r="J777" s="624"/>
      <c r="K777" s="624"/>
      <c r="L777" s="624"/>
      <c r="M777" s="624"/>
    </row>
    <row r="778" spans="5:13" ht="15">
      <c r="E778" s="624"/>
      <c r="F778" s="624"/>
      <c r="G778" s="624"/>
      <c r="H778" s="624"/>
      <c r="I778" s="624"/>
      <c r="J778" s="624"/>
      <c r="K778" s="624"/>
      <c r="L778" s="624"/>
      <c r="M778" s="624"/>
    </row>
    <row r="779" spans="5:13" ht="15">
      <c r="E779" s="624"/>
      <c r="F779" s="624"/>
      <c r="G779" s="624"/>
      <c r="H779" s="624"/>
      <c r="I779" s="624"/>
      <c r="J779" s="624"/>
      <c r="K779" s="624"/>
      <c r="L779" s="624"/>
      <c r="M779" s="624"/>
    </row>
    <row r="780" spans="5:13" ht="15">
      <c r="E780" s="624"/>
      <c r="F780" s="624"/>
      <c r="G780" s="624"/>
      <c r="H780" s="624"/>
      <c r="I780" s="624"/>
      <c r="J780" s="624"/>
      <c r="K780" s="624"/>
      <c r="L780" s="624"/>
      <c r="M780" s="624"/>
    </row>
    <row r="781" spans="5:13" ht="15">
      <c r="E781" s="624"/>
      <c r="F781" s="624"/>
      <c r="G781" s="624"/>
      <c r="H781" s="624"/>
      <c r="I781" s="624"/>
      <c r="J781" s="624"/>
      <c r="K781" s="624"/>
      <c r="L781" s="624"/>
      <c r="M781" s="624"/>
    </row>
    <row r="782" spans="5:13" ht="15">
      <c r="E782" s="624"/>
      <c r="F782" s="624"/>
      <c r="G782" s="624"/>
      <c r="H782" s="624"/>
      <c r="I782" s="624"/>
      <c r="J782" s="624"/>
      <c r="K782" s="624"/>
      <c r="L782" s="624"/>
      <c r="M782" s="624"/>
    </row>
    <row r="783" spans="5:13" ht="15">
      <c r="E783" s="624"/>
      <c r="F783" s="624"/>
      <c r="G783" s="624"/>
      <c r="H783" s="624"/>
      <c r="I783" s="624"/>
      <c r="J783" s="624"/>
      <c r="K783" s="624"/>
      <c r="L783" s="624"/>
      <c r="M783" s="624"/>
    </row>
    <row r="784" spans="5:13" ht="15">
      <c r="E784" s="624"/>
      <c r="F784" s="624"/>
      <c r="G784" s="624"/>
      <c r="H784" s="624"/>
      <c r="I784" s="624"/>
      <c r="J784" s="624"/>
      <c r="K784" s="624"/>
      <c r="L784" s="624"/>
      <c r="M784" s="624"/>
    </row>
    <row r="785" spans="5:13" ht="15">
      <c r="E785" s="624"/>
      <c r="F785" s="624"/>
      <c r="G785" s="624"/>
      <c r="H785" s="624"/>
      <c r="I785" s="624"/>
      <c r="J785" s="624"/>
      <c r="K785" s="624"/>
      <c r="L785" s="624"/>
      <c r="M785" s="624"/>
    </row>
    <row r="786" spans="5:13" ht="15">
      <c r="E786" s="624"/>
      <c r="F786" s="624"/>
      <c r="G786" s="624"/>
      <c r="H786" s="624"/>
      <c r="I786" s="624"/>
      <c r="J786" s="624"/>
      <c r="K786" s="624"/>
      <c r="L786" s="624"/>
      <c r="M786" s="624"/>
    </row>
    <row r="787" spans="5:13" ht="15">
      <c r="E787" s="624"/>
      <c r="F787" s="624"/>
      <c r="G787" s="624"/>
      <c r="H787" s="624"/>
      <c r="I787" s="624"/>
      <c r="J787" s="624"/>
      <c r="K787" s="624"/>
      <c r="L787" s="624"/>
      <c r="M787" s="624"/>
    </row>
    <row r="788" spans="5:13" ht="15">
      <c r="E788" s="624"/>
      <c r="F788" s="624"/>
      <c r="G788" s="624"/>
      <c r="H788" s="624"/>
      <c r="I788" s="624"/>
      <c r="J788" s="624"/>
      <c r="K788" s="624"/>
      <c r="L788" s="624"/>
      <c r="M788" s="624"/>
    </row>
    <row r="789" spans="5:13" ht="15">
      <c r="E789" s="624"/>
      <c r="F789" s="624"/>
      <c r="G789" s="624"/>
      <c r="H789" s="624"/>
      <c r="I789" s="624"/>
      <c r="J789" s="624"/>
      <c r="K789" s="624"/>
      <c r="L789" s="624"/>
      <c r="M789" s="624"/>
    </row>
    <row r="790" spans="5:13" ht="15">
      <c r="E790" s="624"/>
      <c r="F790" s="624"/>
      <c r="G790" s="624"/>
      <c r="H790" s="624"/>
      <c r="I790" s="624"/>
      <c r="J790" s="624"/>
      <c r="K790" s="624"/>
      <c r="L790" s="624"/>
      <c r="M790" s="624"/>
    </row>
    <row r="791" spans="5:13" ht="15">
      <c r="E791" s="624"/>
      <c r="F791" s="624"/>
      <c r="G791" s="624"/>
      <c r="H791" s="624"/>
      <c r="I791" s="624"/>
      <c r="J791" s="624"/>
      <c r="K791" s="624"/>
      <c r="L791" s="624"/>
      <c r="M791" s="624"/>
    </row>
    <row r="792" spans="5:13" ht="15">
      <c r="E792" s="624"/>
      <c r="F792" s="624"/>
      <c r="G792" s="624"/>
      <c r="H792" s="624"/>
      <c r="I792" s="624"/>
      <c r="J792" s="624"/>
      <c r="K792" s="624"/>
      <c r="L792" s="624"/>
      <c r="M792" s="624"/>
    </row>
    <row r="793" spans="5:13" ht="15">
      <c r="E793" s="624"/>
      <c r="F793" s="624"/>
      <c r="G793" s="624"/>
      <c r="H793" s="624"/>
      <c r="I793" s="624"/>
      <c r="J793" s="624"/>
      <c r="K793" s="624"/>
      <c r="L793" s="624"/>
      <c r="M793" s="624"/>
    </row>
    <row r="794" spans="5:13" ht="15">
      <c r="E794" s="624"/>
      <c r="F794" s="624"/>
      <c r="G794" s="624"/>
      <c r="H794" s="624"/>
      <c r="I794" s="624"/>
      <c r="J794" s="624"/>
      <c r="K794" s="624"/>
      <c r="L794" s="624"/>
      <c r="M794" s="624"/>
    </row>
    <row r="795" spans="5:13" ht="15">
      <c r="E795" s="624"/>
      <c r="F795" s="624"/>
      <c r="G795" s="624"/>
      <c r="H795" s="624"/>
      <c r="I795" s="624"/>
      <c r="J795" s="624"/>
      <c r="K795" s="624"/>
      <c r="L795" s="624"/>
      <c r="M795" s="624"/>
    </row>
    <row r="796" spans="5:13" ht="15">
      <c r="E796" s="624"/>
      <c r="F796" s="624"/>
      <c r="G796" s="624"/>
      <c r="H796" s="624"/>
      <c r="I796" s="624"/>
      <c r="J796" s="624"/>
      <c r="K796" s="624"/>
      <c r="L796" s="624"/>
      <c r="M796" s="624"/>
    </row>
    <row r="797" spans="5:13" ht="15">
      <c r="E797" s="624"/>
      <c r="F797" s="624"/>
      <c r="G797" s="624"/>
      <c r="H797" s="624"/>
      <c r="I797" s="624"/>
      <c r="J797" s="624"/>
      <c r="K797" s="624"/>
      <c r="L797" s="624"/>
      <c r="M797" s="624"/>
    </row>
    <row r="798" spans="5:13" ht="15">
      <c r="E798" s="624"/>
      <c r="F798" s="624"/>
      <c r="G798" s="624"/>
      <c r="H798" s="624"/>
      <c r="I798" s="624"/>
      <c r="J798" s="624"/>
      <c r="K798" s="624"/>
      <c r="L798" s="624"/>
      <c r="M798" s="624"/>
    </row>
    <row r="799" spans="5:13" ht="15">
      <c r="E799" s="624"/>
      <c r="F799" s="624"/>
      <c r="G799" s="624"/>
      <c r="H799" s="624"/>
      <c r="I799" s="624"/>
      <c r="J799" s="624"/>
      <c r="K799" s="624"/>
      <c r="L799" s="624"/>
      <c r="M799" s="624"/>
    </row>
    <row r="800" spans="5:13" ht="15">
      <c r="E800" s="624"/>
      <c r="F800" s="624"/>
      <c r="G800" s="624"/>
      <c r="H800" s="624"/>
      <c r="I800" s="624"/>
      <c r="J800" s="624"/>
      <c r="K800" s="624"/>
      <c r="L800" s="624"/>
      <c r="M800" s="624"/>
    </row>
    <row r="801" spans="5:13" ht="15">
      <c r="E801" s="624"/>
      <c r="F801" s="624"/>
      <c r="G801" s="624"/>
      <c r="H801" s="624"/>
      <c r="I801" s="624"/>
      <c r="J801" s="624"/>
      <c r="K801" s="624"/>
      <c r="L801" s="624"/>
      <c r="M801" s="624"/>
    </row>
    <row r="802" spans="5:13" ht="15">
      <c r="E802" s="624"/>
      <c r="F802" s="624"/>
      <c r="G802" s="624"/>
      <c r="H802" s="624"/>
      <c r="I802" s="624"/>
      <c r="J802" s="624"/>
      <c r="K802" s="624"/>
      <c r="L802" s="624"/>
      <c r="M802" s="624"/>
    </row>
    <row r="803" spans="5:13" ht="15">
      <c r="E803" s="624"/>
      <c r="F803" s="624"/>
      <c r="G803" s="624"/>
      <c r="H803" s="624"/>
      <c r="I803" s="624"/>
      <c r="J803" s="624"/>
      <c r="K803" s="624"/>
      <c r="L803" s="624"/>
      <c r="M803" s="624"/>
    </row>
    <row r="804" spans="5:13" ht="15">
      <c r="E804" s="624"/>
      <c r="F804" s="624"/>
      <c r="G804" s="624"/>
      <c r="H804" s="624"/>
      <c r="I804" s="624"/>
      <c r="J804" s="624"/>
      <c r="K804" s="624"/>
      <c r="L804" s="624"/>
      <c r="M804" s="624"/>
    </row>
    <row r="805" spans="5:13" ht="15">
      <c r="E805" s="624"/>
      <c r="F805" s="624"/>
      <c r="G805" s="624"/>
      <c r="H805" s="624"/>
      <c r="I805" s="624"/>
      <c r="J805" s="624"/>
      <c r="K805" s="624"/>
      <c r="L805" s="624"/>
      <c r="M805" s="624"/>
    </row>
    <row r="806" spans="5:13" ht="15">
      <c r="E806" s="624"/>
      <c r="F806" s="624"/>
      <c r="G806" s="624"/>
      <c r="H806" s="624"/>
      <c r="I806" s="624"/>
      <c r="J806" s="624"/>
      <c r="K806" s="624"/>
      <c r="L806" s="624"/>
      <c r="M806" s="624"/>
    </row>
    <row r="807" spans="5:13" ht="15">
      <c r="E807" s="624"/>
      <c r="F807" s="624"/>
      <c r="G807" s="624"/>
      <c r="H807" s="624"/>
      <c r="I807" s="624"/>
      <c r="J807" s="624"/>
      <c r="K807" s="624"/>
      <c r="L807" s="624"/>
      <c r="M807" s="624"/>
    </row>
    <row r="808" spans="5:13" ht="15">
      <c r="E808" s="624"/>
      <c r="F808" s="624"/>
      <c r="G808" s="624"/>
      <c r="H808" s="624"/>
      <c r="I808" s="624"/>
      <c r="J808" s="624"/>
      <c r="K808" s="624"/>
      <c r="L808" s="624"/>
      <c r="M808" s="624"/>
    </row>
    <row r="809" spans="5:13" ht="15">
      <c r="E809" s="624"/>
      <c r="F809" s="624"/>
      <c r="G809" s="624"/>
      <c r="H809" s="624"/>
      <c r="I809" s="624"/>
      <c r="J809" s="624"/>
      <c r="K809" s="624"/>
      <c r="L809" s="624"/>
      <c r="M809" s="624"/>
    </row>
    <row r="810" spans="5:13" ht="15">
      <c r="E810" s="624"/>
      <c r="F810" s="624"/>
      <c r="G810" s="624"/>
      <c r="H810" s="624"/>
      <c r="I810" s="624"/>
      <c r="J810" s="624"/>
      <c r="K810" s="624"/>
      <c r="L810" s="624"/>
      <c r="M810" s="624"/>
    </row>
    <row r="811" spans="5:13" ht="15">
      <c r="E811" s="624"/>
      <c r="F811" s="624"/>
      <c r="G811" s="624"/>
      <c r="H811" s="624"/>
      <c r="I811" s="624"/>
      <c r="J811" s="624"/>
      <c r="K811" s="624"/>
      <c r="L811" s="624"/>
      <c r="M811" s="624"/>
    </row>
    <row r="812" spans="5:13" ht="15">
      <c r="E812" s="624"/>
      <c r="F812" s="624"/>
      <c r="G812" s="624"/>
      <c r="H812" s="624"/>
      <c r="I812" s="624"/>
      <c r="J812" s="624"/>
      <c r="K812" s="624"/>
      <c r="L812" s="624"/>
      <c r="M812" s="624"/>
    </row>
    <row r="813" spans="5:13" ht="15">
      <c r="E813" s="624"/>
      <c r="F813" s="624"/>
      <c r="G813" s="624"/>
      <c r="H813" s="624"/>
      <c r="I813" s="624"/>
      <c r="J813" s="624"/>
      <c r="K813" s="624"/>
      <c r="L813" s="624"/>
      <c r="M813" s="624"/>
    </row>
    <row r="814" spans="5:13" ht="15">
      <c r="E814" s="624"/>
      <c r="F814" s="624"/>
      <c r="G814" s="624"/>
      <c r="H814" s="624"/>
      <c r="I814" s="624"/>
      <c r="J814" s="624"/>
      <c r="K814" s="624"/>
      <c r="L814" s="624"/>
      <c r="M814" s="624"/>
    </row>
    <row r="815" spans="5:13" ht="15">
      <c r="E815" s="624"/>
      <c r="F815" s="624"/>
      <c r="G815" s="624"/>
      <c r="H815" s="624"/>
      <c r="I815" s="624"/>
      <c r="J815" s="624"/>
      <c r="K815" s="624"/>
      <c r="L815" s="624"/>
      <c r="M815" s="624"/>
    </row>
    <row r="816" spans="5:13" ht="15">
      <c r="E816" s="624"/>
      <c r="F816" s="624"/>
      <c r="G816" s="624"/>
      <c r="H816" s="624"/>
      <c r="I816" s="624"/>
      <c r="J816" s="624"/>
      <c r="K816" s="624"/>
      <c r="L816" s="624"/>
      <c r="M816" s="624"/>
    </row>
    <row r="817" spans="5:13" ht="15">
      <c r="E817" s="624"/>
      <c r="F817" s="624"/>
      <c r="G817" s="624"/>
      <c r="H817" s="624"/>
      <c r="I817" s="624"/>
      <c r="J817" s="624"/>
      <c r="K817" s="624"/>
      <c r="L817" s="624"/>
      <c r="M817" s="624"/>
    </row>
    <row r="818" spans="5:13" ht="15">
      <c r="E818" s="624"/>
      <c r="F818" s="624"/>
      <c r="G818" s="624"/>
      <c r="H818" s="624"/>
      <c r="I818" s="624"/>
      <c r="J818" s="624"/>
      <c r="K818" s="624"/>
      <c r="L818" s="624"/>
      <c r="M818" s="624"/>
    </row>
    <row r="819" spans="5:13" ht="15">
      <c r="E819" s="624"/>
      <c r="F819" s="624"/>
      <c r="G819" s="624"/>
      <c r="H819" s="624"/>
      <c r="I819" s="624"/>
      <c r="J819" s="624"/>
      <c r="K819" s="624"/>
      <c r="L819" s="624"/>
      <c r="M819" s="624"/>
    </row>
    <row r="820" spans="5:13" ht="15">
      <c r="E820" s="624"/>
      <c r="F820" s="624"/>
      <c r="G820" s="624"/>
      <c r="H820" s="624"/>
      <c r="I820" s="624"/>
      <c r="J820" s="624"/>
      <c r="K820" s="624"/>
      <c r="L820" s="624"/>
      <c r="M820" s="624"/>
    </row>
    <row r="821" spans="5:13" ht="15">
      <c r="E821" s="624"/>
      <c r="F821" s="624"/>
      <c r="G821" s="624"/>
      <c r="H821" s="624"/>
      <c r="I821" s="624"/>
      <c r="J821" s="624"/>
      <c r="K821" s="624"/>
      <c r="L821" s="624"/>
      <c r="M821" s="624"/>
    </row>
    <row r="822" spans="5:13" ht="15">
      <c r="E822" s="624"/>
      <c r="F822" s="624"/>
      <c r="G822" s="624"/>
      <c r="H822" s="624"/>
      <c r="I822" s="624"/>
      <c r="J822" s="624"/>
      <c r="K822" s="624"/>
      <c r="L822" s="624"/>
      <c r="M822" s="624"/>
    </row>
    <row r="823" spans="5:13" ht="15">
      <c r="E823" s="624"/>
      <c r="F823" s="624"/>
      <c r="G823" s="624"/>
      <c r="H823" s="624"/>
      <c r="I823" s="624"/>
      <c r="J823" s="624"/>
      <c r="K823" s="624"/>
      <c r="L823" s="624"/>
      <c r="M823" s="624"/>
    </row>
    <row r="824" spans="5:13" ht="15">
      <c r="E824" s="624"/>
      <c r="F824" s="624"/>
      <c r="G824" s="624"/>
      <c r="H824" s="624"/>
      <c r="I824" s="624"/>
      <c r="J824" s="624"/>
      <c r="K824" s="624"/>
      <c r="L824" s="624"/>
      <c r="M824" s="624"/>
    </row>
    <row r="825" spans="5:13" ht="15">
      <c r="E825" s="624"/>
      <c r="F825" s="624"/>
      <c r="G825" s="624"/>
      <c r="H825" s="624"/>
      <c r="I825" s="624"/>
      <c r="J825" s="624"/>
      <c r="K825" s="624"/>
      <c r="L825" s="624"/>
      <c r="M825" s="624"/>
    </row>
    <row r="826" spans="5:13" ht="15">
      <c r="E826" s="624"/>
      <c r="F826" s="624"/>
      <c r="G826" s="624"/>
      <c r="H826" s="624"/>
      <c r="I826" s="624"/>
      <c r="J826" s="624"/>
      <c r="K826" s="624"/>
      <c r="L826" s="624"/>
      <c r="M826" s="624"/>
    </row>
    <row r="827" spans="5:13" ht="15">
      <c r="E827" s="624"/>
      <c r="F827" s="624"/>
      <c r="G827" s="624"/>
      <c r="H827" s="624"/>
      <c r="I827" s="624"/>
      <c r="J827" s="624"/>
      <c r="K827" s="624"/>
      <c r="L827" s="624"/>
      <c r="M827" s="624"/>
    </row>
    <row r="828" spans="5:13" ht="15">
      <c r="E828" s="624"/>
      <c r="F828" s="624"/>
      <c r="G828" s="624"/>
      <c r="H828" s="624"/>
      <c r="I828" s="624"/>
      <c r="J828" s="624"/>
      <c r="K828" s="624"/>
      <c r="L828" s="624"/>
      <c r="M828" s="624"/>
    </row>
    <row r="829" spans="5:13" ht="15">
      <c r="E829" s="624"/>
      <c r="F829" s="624"/>
      <c r="G829" s="624"/>
      <c r="H829" s="624"/>
      <c r="I829" s="624"/>
      <c r="J829" s="624"/>
      <c r="K829" s="624"/>
      <c r="L829" s="624"/>
      <c r="M829" s="624"/>
    </row>
    <row r="830" spans="5:13" ht="15">
      <c r="E830" s="624"/>
      <c r="F830" s="624"/>
      <c r="G830" s="624"/>
      <c r="H830" s="624"/>
      <c r="I830" s="624"/>
      <c r="J830" s="624"/>
      <c r="K830" s="624"/>
      <c r="L830" s="624"/>
      <c r="M830" s="624"/>
    </row>
    <row r="831" spans="5:13" ht="15">
      <c r="E831" s="624"/>
      <c r="F831" s="624"/>
      <c r="G831" s="624"/>
      <c r="H831" s="624"/>
      <c r="I831" s="624"/>
      <c r="J831" s="624"/>
      <c r="K831" s="624"/>
      <c r="L831" s="624"/>
      <c r="M831" s="624"/>
    </row>
    <row r="832" spans="5:13" ht="15">
      <c r="E832" s="624"/>
      <c r="F832" s="624"/>
      <c r="G832" s="624"/>
      <c r="H832" s="624"/>
      <c r="I832" s="624"/>
      <c r="J832" s="624"/>
      <c r="K832" s="624"/>
      <c r="L832" s="624"/>
      <c r="M832" s="624"/>
    </row>
    <row r="833" spans="5:13" ht="15">
      <c r="E833" s="624"/>
      <c r="F833" s="624"/>
      <c r="G833" s="624"/>
      <c r="H833" s="624"/>
      <c r="I833" s="624"/>
      <c r="J833" s="624"/>
      <c r="K833" s="624"/>
      <c r="L833" s="624"/>
      <c r="M833" s="624"/>
    </row>
    <row r="834" spans="5:13" ht="15">
      <c r="E834" s="624"/>
      <c r="F834" s="624"/>
      <c r="G834" s="624"/>
      <c r="H834" s="624"/>
      <c r="I834" s="624"/>
      <c r="J834" s="624"/>
      <c r="K834" s="624"/>
      <c r="L834" s="624"/>
      <c r="M834" s="624"/>
    </row>
    <row r="835" spans="5:13" ht="15">
      <c r="E835" s="624"/>
      <c r="F835" s="624"/>
      <c r="G835" s="624"/>
      <c r="H835" s="624"/>
      <c r="I835" s="624"/>
      <c r="J835" s="624"/>
      <c r="K835" s="624"/>
      <c r="L835" s="624"/>
      <c r="M835" s="624"/>
    </row>
    <row r="836" spans="5:13" ht="15">
      <c r="E836" s="624"/>
      <c r="F836" s="624"/>
      <c r="G836" s="624"/>
      <c r="H836" s="624"/>
      <c r="I836" s="624"/>
      <c r="J836" s="624"/>
      <c r="K836" s="624"/>
      <c r="L836" s="624"/>
      <c r="M836" s="624"/>
    </row>
    <row r="837" spans="5:13" ht="15">
      <c r="E837" s="624"/>
      <c r="F837" s="624"/>
      <c r="G837" s="624"/>
      <c r="H837" s="624"/>
      <c r="I837" s="624"/>
      <c r="J837" s="624"/>
      <c r="K837" s="624"/>
      <c r="L837" s="624"/>
      <c r="M837" s="624"/>
    </row>
    <row r="838" spans="5:13" ht="15">
      <c r="E838" s="624"/>
      <c r="F838" s="624"/>
      <c r="G838" s="624"/>
      <c r="H838" s="624"/>
      <c r="I838" s="624"/>
      <c r="J838" s="624"/>
      <c r="K838" s="624"/>
      <c r="L838" s="624"/>
      <c r="M838" s="624"/>
    </row>
    <row r="839" spans="5:13" ht="15">
      <c r="E839" s="624"/>
      <c r="F839" s="624"/>
      <c r="G839" s="624"/>
      <c r="H839" s="624"/>
      <c r="I839" s="624"/>
      <c r="J839" s="624"/>
      <c r="K839" s="624"/>
      <c r="L839" s="624"/>
      <c r="M839" s="624"/>
    </row>
    <row r="840" spans="5:13" ht="15">
      <c r="E840" s="624"/>
      <c r="F840" s="624"/>
      <c r="G840" s="624"/>
      <c r="H840" s="624"/>
      <c r="I840" s="624"/>
      <c r="J840" s="624"/>
      <c r="K840" s="624"/>
      <c r="L840" s="624"/>
      <c r="M840" s="624"/>
    </row>
    <row r="841" spans="5:13" ht="15">
      <c r="E841" s="624"/>
      <c r="F841" s="624"/>
      <c r="G841" s="624"/>
      <c r="H841" s="624"/>
      <c r="I841" s="624"/>
      <c r="J841" s="624"/>
      <c r="K841" s="624"/>
      <c r="L841" s="624"/>
      <c r="M841" s="624"/>
    </row>
    <row r="842" spans="5:13" ht="15">
      <c r="E842" s="624"/>
      <c r="F842" s="624"/>
      <c r="G842" s="624"/>
      <c r="H842" s="624"/>
      <c r="I842" s="624"/>
      <c r="J842" s="624"/>
      <c r="K842" s="624"/>
      <c r="L842" s="624"/>
      <c r="M842" s="624"/>
    </row>
    <row r="843" spans="5:13" ht="15">
      <c r="E843" s="624"/>
      <c r="F843" s="624"/>
      <c r="G843" s="624"/>
      <c r="H843" s="624"/>
      <c r="I843" s="624"/>
      <c r="J843" s="624"/>
      <c r="K843" s="624"/>
      <c r="L843" s="624"/>
      <c r="M843" s="624"/>
    </row>
    <row r="844" spans="5:13" ht="15">
      <c r="E844" s="624"/>
      <c r="F844" s="624"/>
      <c r="G844" s="624"/>
      <c r="H844" s="624"/>
      <c r="I844" s="624"/>
      <c r="J844" s="624"/>
      <c r="K844" s="624"/>
      <c r="L844" s="624"/>
      <c r="M844" s="624"/>
    </row>
    <row r="845" spans="5:13" ht="15">
      <c r="E845" s="624"/>
      <c r="F845" s="624"/>
      <c r="G845" s="624"/>
      <c r="H845" s="624"/>
      <c r="I845" s="624"/>
      <c r="J845" s="624"/>
      <c r="K845" s="624"/>
      <c r="L845" s="624"/>
      <c r="M845" s="624"/>
    </row>
    <row r="846" spans="5:13" ht="15">
      <c r="E846" s="624"/>
      <c r="F846" s="624"/>
      <c r="G846" s="624"/>
      <c r="H846" s="624"/>
      <c r="I846" s="624"/>
      <c r="J846" s="624"/>
      <c r="K846" s="624"/>
      <c r="L846" s="624"/>
      <c r="M846" s="624"/>
    </row>
    <row r="847" spans="5:13" ht="15">
      <c r="E847" s="624"/>
      <c r="F847" s="624"/>
      <c r="G847" s="624"/>
      <c r="H847" s="624"/>
      <c r="I847" s="624"/>
      <c r="J847" s="624"/>
      <c r="K847" s="624"/>
      <c r="L847" s="624"/>
      <c r="M847" s="624"/>
    </row>
    <row r="848" spans="5:13" ht="15">
      <c r="E848" s="624"/>
      <c r="F848" s="624"/>
      <c r="G848" s="624"/>
      <c r="H848" s="624"/>
      <c r="I848" s="624"/>
      <c r="J848" s="624"/>
      <c r="K848" s="624"/>
      <c r="L848" s="624"/>
      <c r="M848" s="624"/>
    </row>
    <row r="849" spans="5:13" ht="15">
      <c r="E849" s="624"/>
      <c r="F849" s="624"/>
      <c r="G849" s="624"/>
      <c r="H849" s="624"/>
      <c r="I849" s="624"/>
      <c r="J849" s="624"/>
      <c r="K849" s="624"/>
      <c r="L849" s="624"/>
      <c r="M849" s="624"/>
    </row>
    <row r="850" spans="5:13" ht="15">
      <c r="E850" s="624"/>
      <c r="F850" s="624"/>
      <c r="G850" s="624"/>
      <c r="H850" s="624"/>
      <c r="I850" s="624"/>
      <c r="J850" s="624"/>
      <c r="K850" s="624"/>
      <c r="L850" s="624"/>
      <c r="M850" s="624"/>
    </row>
    <row r="851" spans="5:13" ht="15">
      <c r="E851" s="624"/>
      <c r="F851" s="624"/>
      <c r="G851" s="624"/>
      <c r="H851" s="624"/>
      <c r="I851" s="624"/>
      <c r="J851" s="624"/>
      <c r="K851" s="624"/>
      <c r="L851" s="624"/>
      <c r="M851" s="624"/>
    </row>
    <row r="852" spans="5:13" ht="15">
      <c r="E852" s="624"/>
      <c r="F852" s="624"/>
      <c r="G852" s="624"/>
      <c r="H852" s="624"/>
      <c r="I852" s="624"/>
      <c r="J852" s="624"/>
      <c r="K852" s="624"/>
      <c r="L852" s="624"/>
      <c r="M852" s="624"/>
    </row>
    <row r="853" spans="5:13" ht="15">
      <c r="E853" s="624"/>
      <c r="F853" s="624"/>
      <c r="G853" s="624"/>
      <c r="H853" s="624"/>
      <c r="I853" s="624"/>
      <c r="J853" s="624"/>
      <c r="K853" s="624"/>
      <c r="L853" s="624"/>
      <c r="M853" s="624"/>
    </row>
    <row r="854" spans="5:13" ht="15">
      <c r="E854" s="624"/>
      <c r="F854" s="624"/>
      <c r="G854" s="624"/>
      <c r="H854" s="624"/>
      <c r="I854" s="624"/>
      <c r="J854" s="624"/>
      <c r="K854" s="624"/>
      <c r="L854" s="624"/>
      <c r="M854" s="624"/>
    </row>
    <row r="855" spans="5:13" ht="15">
      <c r="E855" s="624"/>
      <c r="F855" s="624"/>
      <c r="G855" s="624"/>
      <c r="H855" s="624"/>
      <c r="I855" s="624"/>
      <c r="J855" s="624"/>
      <c r="K855" s="624"/>
      <c r="L855" s="624"/>
      <c r="M855" s="624"/>
    </row>
    <row r="856" spans="5:13" ht="15">
      <c r="E856" s="624"/>
      <c r="F856" s="624"/>
      <c r="G856" s="624"/>
      <c r="H856" s="624"/>
      <c r="I856" s="624"/>
      <c r="J856" s="624"/>
      <c r="K856" s="624"/>
      <c r="L856" s="624"/>
      <c r="M856" s="624"/>
    </row>
    <row r="857" spans="5:13" ht="15">
      <c r="E857" s="624"/>
      <c r="F857" s="624"/>
      <c r="G857" s="624"/>
      <c r="H857" s="624"/>
      <c r="I857" s="624"/>
      <c r="J857" s="624"/>
      <c r="K857" s="624"/>
      <c r="L857" s="624"/>
      <c r="M857" s="624"/>
    </row>
    <row r="858" spans="5:13" ht="15">
      <c r="E858" s="624"/>
      <c r="F858" s="624"/>
      <c r="G858" s="624"/>
      <c r="H858" s="624"/>
      <c r="I858" s="624"/>
      <c r="J858" s="624"/>
      <c r="K858" s="624"/>
      <c r="L858" s="624"/>
      <c r="M858" s="624"/>
    </row>
    <row r="859" spans="5:13" ht="15">
      <c r="E859" s="624"/>
      <c r="F859" s="624"/>
      <c r="G859" s="624"/>
      <c r="H859" s="624"/>
      <c r="I859" s="624"/>
      <c r="J859" s="624"/>
      <c r="K859" s="624"/>
      <c r="L859" s="624"/>
      <c r="M859" s="624"/>
    </row>
    <row r="860" spans="5:13" ht="15">
      <c r="E860" s="624"/>
      <c r="F860" s="624"/>
      <c r="G860" s="624"/>
      <c r="H860" s="624"/>
      <c r="I860" s="624"/>
      <c r="J860" s="624"/>
      <c r="K860" s="624"/>
      <c r="L860" s="624"/>
      <c r="M860" s="624"/>
    </row>
    <row r="861" spans="5:13" ht="15">
      <c r="E861" s="624"/>
      <c r="F861" s="624"/>
      <c r="G861" s="624"/>
      <c r="H861" s="624"/>
      <c r="I861" s="624"/>
      <c r="J861" s="624"/>
      <c r="K861" s="624"/>
      <c r="L861" s="624"/>
      <c r="M861" s="624"/>
    </row>
    <row r="862" spans="5:13" ht="15">
      <c r="E862" s="624"/>
      <c r="F862" s="624"/>
      <c r="G862" s="624"/>
      <c r="H862" s="624"/>
      <c r="I862" s="624"/>
      <c r="J862" s="624"/>
      <c r="K862" s="624"/>
      <c r="L862" s="624"/>
      <c r="M862" s="624"/>
    </row>
    <row r="863" spans="5:13" ht="15">
      <c r="E863" s="624"/>
      <c r="F863" s="624"/>
      <c r="G863" s="624"/>
      <c r="H863" s="624"/>
      <c r="I863" s="624"/>
      <c r="J863" s="624"/>
      <c r="K863" s="624"/>
      <c r="L863" s="624"/>
      <c r="M863" s="624"/>
    </row>
    <row r="864" spans="5:13" ht="15">
      <c r="E864" s="624"/>
      <c r="F864" s="624"/>
      <c r="G864" s="624"/>
      <c r="H864" s="624"/>
      <c r="I864" s="624"/>
      <c r="J864" s="624"/>
      <c r="K864" s="624"/>
      <c r="L864" s="624"/>
      <c r="M864" s="624"/>
    </row>
    <row r="865" spans="5:13" ht="15">
      <c r="E865" s="624"/>
      <c r="F865" s="624"/>
      <c r="G865" s="624"/>
      <c r="H865" s="624"/>
      <c r="I865" s="624"/>
      <c r="J865" s="624"/>
      <c r="K865" s="624"/>
      <c r="L865" s="624"/>
      <c r="M865" s="624"/>
    </row>
    <row r="866" spans="5:13" ht="15">
      <c r="E866" s="624"/>
      <c r="F866" s="624"/>
      <c r="G866" s="624"/>
      <c r="H866" s="624"/>
      <c r="I866" s="624"/>
      <c r="J866" s="624"/>
      <c r="K866" s="624"/>
      <c r="L866" s="624"/>
      <c r="M866" s="624"/>
    </row>
    <row r="867" spans="5:13" ht="15">
      <c r="E867" s="624"/>
      <c r="F867" s="624"/>
      <c r="G867" s="624"/>
      <c r="H867" s="624"/>
      <c r="I867" s="624"/>
      <c r="J867" s="624"/>
      <c r="K867" s="624"/>
      <c r="L867" s="624"/>
      <c r="M867" s="624"/>
    </row>
    <row r="868" spans="5:13" ht="15">
      <c r="E868" s="624"/>
      <c r="F868" s="624"/>
      <c r="G868" s="624"/>
      <c r="H868" s="624"/>
      <c r="I868" s="624"/>
      <c r="J868" s="624"/>
      <c r="K868" s="624"/>
      <c r="L868" s="624"/>
      <c r="M868" s="624"/>
    </row>
    <row r="869" spans="5:13" ht="15">
      <c r="E869" s="624"/>
      <c r="F869" s="624"/>
      <c r="G869" s="624"/>
      <c r="H869" s="624"/>
      <c r="I869" s="624"/>
      <c r="J869" s="624"/>
      <c r="K869" s="624"/>
      <c r="L869" s="624"/>
      <c r="M869" s="624"/>
    </row>
    <row r="870" spans="5:13" ht="15">
      <c r="E870" s="624"/>
      <c r="F870" s="624"/>
      <c r="G870" s="624"/>
      <c r="H870" s="624"/>
      <c r="I870" s="624"/>
      <c r="J870" s="624"/>
      <c r="K870" s="624"/>
      <c r="L870" s="624"/>
      <c r="M870" s="624"/>
    </row>
    <row r="871" spans="5:13" ht="15">
      <c r="E871" s="624"/>
      <c r="F871" s="624"/>
      <c r="G871" s="624"/>
      <c r="H871" s="624"/>
      <c r="I871" s="624"/>
      <c r="J871" s="624"/>
      <c r="K871" s="624"/>
      <c r="L871" s="624"/>
      <c r="M871" s="624"/>
    </row>
    <row r="872" spans="5:13" ht="15">
      <c r="E872" s="624"/>
      <c r="F872" s="624"/>
      <c r="G872" s="624"/>
      <c r="H872" s="624"/>
      <c r="I872" s="624"/>
      <c r="J872" s="624"/>
      <c r="K872" s="624"/>
      <c r="L872" s="624"/>
      <c r="M872" s="624"/>
    </row>
    <row r="873" spans="5:13" ht="15">
      <c r="E873" s="624"/>
      <c r="F873" s="624"/>
      <c r="G873" s="624"/>
      <c r="H873" s="624"/>
      <c r="I873" s="624"/>
      <c r="J873" s="624"/>
      <c r="K873" s="624"/>
      <c r="L873" s="624"/>
      <c r="M873" s="624"/>
    </row>
    <row r="874" spans="5:13" ht="15">
      <c r="E874" s="624"/>
      <c r="F874" s="624"/>
      <c r="G874" s="624"/>
      <c r="H874" s="624"/>
      <c r="I874" s="624"/>
      <c r="J874" s="624"/>
      <c r="K874" s="624"/>
      <c r="L874" s="624"/>
      <c r="M874" s="624"/>
    </row>
    <row r="875" spans="5:13" ht="15">
      <c r="E875" s="624"/>
      <c r="F875" s="624"/>
      <c r="G875" s="624"/>
      <c r="H875" s="624"/>
      <c r="I875" s="624"/>
      <c r="J875" s="624"/>
      <c r="K875" s="624"/>
      <c r="L875" s="624"/>
      <c r="M875" s="624"/>
    </row>
    <row r="876" spans="5:13" ht="15">
      <c r="E876" s="624"/>
      <c r="F876" s="624"/>
      <c r="G876" s="624"/>
      <c r="H876" s="624"/>
      <c r="I876" s="624"/>
      <c r="J876" s="624"/>
      <c r="K876" s="624"/>
      <c r="L876" s="624"/>
      <c r="M876" s="624"/>
    </row>
    <row r="877" spans="5:13" ht="15">
      <c r="E877" s="624"/>
      <c r="F877" s="624"/>
      <c r="G877" s="624"/>
      <c r="H877" s="624"/>
      <c r="I877" s="624"/>
      <c r="J877" s="624"/>
      <c r="K877" s="624"/>
      <c r="L877" s="624"/>
      <c r="M877" s="624"/>
    </row>
    <row r="878" spans="5:13" ht="15">
      <c r="E878" s="624"/>
      <c r="F878" s="624"/>
      <c r="G878" s="624"/>
      <c r="H878" s="624"/>
      <c r="I878" s="624"/>
      <c r="J878" s="624"/>
      <c r="K878" s="624"/>
      <c r="L878" s="624"/>
      <c r="M878" s="624"/>
    </row>
    <row r="879" spans="5:13" ht="15">
      <c r="E879" s="624"/>
      <c r="F879" s="624"/>
      <c r="G879" s="624"/>
      <c r="H879" s="624"/>
      <c r="I879" s="624"/>
      <c r="J879" s="624"/>
      <c r="K879" s="624"/>
      <c r="L879" s="624"/>
      <c r="M879" s="624"/>
    </row>
    <row r="880" spans="5:13" ht="15">
      <c r="E880" s="624"/>
      <c r="F880" s="624"/>
      <c r="G880" s="624"/>
      <c r="H880" s="624"/>
      <c r="I880" s="624"/>
      <c r="J880" s="624"/>
      <c r="K880" s="624"/>
      <c r="L880" s="624"/>
      <c r="M880" s="624"/>
    </row>
    <row r="881" spans="5:13" ht="15">
      <c r="E881" s="624"/>
      <c r="F881" s="624"/>
      <c r="G881" s="624"/>
      <c r="H881" s="624"/>
      <c r="I881" s="624"/>
      <c r="J881" s="624"/>
      <c r="K881" s="624"/>
      <c r="L881" s="624"/>
      <c r="M881" s="624"/>
    </row>
    <row r="882" spans="5:13" ht="15">
      <c r="E882" s="624"/>
      <c r="F882" s="624"/>
      <c r="G882" s="624"/>
      <c r="H882" s="624"/>
      <c r="I882" s="624"/>
      <c r="J882" s="624"/>
      <c r="K882" s="624"/>
      <c r="L882" s="624"/>
      <c r="M882" s="624"/>
    </row>
    <row r="883" spans="5:13" ht="15">
      <c r="E883" s="624"/>
      <c r="F883" s="624"/>
      <c r="G883" s="624"/>
      <c r="H883" s="624"/>
      <c r="I883" s="624"/>
      <c r="J883" s="624"/>
      <c r="K883" s="624"/>
      <c r="L883" s="624"/>
      <c r="M883" s="624"/>
    </row>
    <row r="884" spans="5:13" ht="15">
      <c r="E884" s="624"/>
      <c r="F884" s="624"/>
      <c r="G884" s="624"/>
      <c r="H884" s="624"/>
      <c r="I884" s="624"/>
      <c r="J884" s="624"/>
      <c r="K884" s="624"/>
      <c r="L884" s="624"/>
      <c r="M884" s="624"/>
    </row>
    <row r="885" spans="5:13" ht="15">
      <c r="E885" s="624"/>
      <c r="F885" s="624"/>
      <c r="G885" s="624"/>
      <c r="H885" s="624"/>
      <c r="I885" s="624"/>
      <c r="J885" s="624"/>
      <c r="K885" s="624"/>
      <c r="L885" s="624"/>
      <c r="M885" s="624"/>
    </row>
    <row r="886" spans="5:13" ht="15">
      <c r="E886" s="624"/>
      <c r="F886" s="624"/>
      <c r="G886" s="624"/>
      <c r="H886" s="624"/>
      <c r="I886" s="624"/>
      <c r="J886" s="624"/>
      <c r="K886" s="624"/>
      <c r="L886" s="624"/>
      <c r="M886" s="624"/>
    </row>
    <row r="887" spans="5:13" ht="15">
      <c r="E887" s="624"/>
      <c r="F887" s="624"/>
      <c r="G887" s="624"/>
      <c r="H887" s="624"/>
      <c r="I887" s="624"/>
      <c r="J887" s="624"/>
      <c r="K887" s="624"/>
      <c r="L887" s="624"/>
      <c r="M887" s="624"/>
    </row>
    <row r="888" spans="5:13" ht="15">
      <c r="E888" s="624"/>
      <c r="F888" s="624"/>
      <c r="G888" s="624"/>
      <c r="H888" s="624"/>
      <c r="I888" s="624"/>
      <c r="J888" s="624"/>
      <c r="K888" s="624"/>
      <c r="L888" s="624"/>
      <c r="M888" s="624"/>
    </row>
    <row r="889" spans="5:13" ht="15">
      <c r="E889" s="624"/>
      <c r="F889" s="624"/>
      <c r="G889" s="624"/>
      <c r="H889" s="624"/>
      <c r="I889" s="624"/>
      <c r="J889" s="624"/>
      <c r="K889" s="624"/>
      <c r="L889" s="624"/>
      <c r="M889" s="624"/>
    </row>
    <row r="890" spans="5:13" ht="15">
      <c r="E890" s="624"/>
      <c r="F890" s="624"/>
      <c r="G890" s="624"/>
      <c r="H890" s="624"/>
      <c r="I890" s="624"/>
      <c r="J890" s="624"/>
      <c r="K890" s="624"/>
      <c r="L890" s="624"/>
      <c r="M890" s="624"/>
    </row>
    <row r="891" spans="5:13" ht="15">
      <c r="E891" s="624"/>
      <c r="F891" s="624"/>
      <c r="G891" s="624"/>
      <c r="H891" s="624"/>
      <c r="I891" s="624"/>
      <c r="J891" s="624"/>
      <c r="K891" s="624"/>
      <c r="L891" s="624"/>
      <c r="M891" s="624"/>
    </row>
    <row r="892" spans="5:13" ht="15">
      <c r="E892" s="624"/>
      <c r="F892" s="624"/>
      <c r="G892" s="624"/>
      <c r="H892" s="624"/>
      <c r="I892" s="624"/>
      <c r="J892" s="624"/>
      <c r="K892" s="624"/>
      <c r="L892" s="624"/>
      <c r="M892" s="624"/>
    </row>
    <row r="893" spans="5:13" ht="15">
      <c r="E893" s="624"/>
      <c r="F893" s="624"/>
      <c r="G893" s="624"/>
      <c r="H893" s="624"/>
      <c r="I893" s="624"/>
      <c r="J893" s="624"/>
      <c r="K893" s="624"/>
      <c r="L893" s="624"/>
      <c r="M893" s="624"/>
    </row>
    <row r="894" spans="5:13" ht="15">
      <c r="E894" s="624"/>
      <c r="F894" s="624"/>
      <c r="G894" s="624"/>
      <c r="H894" s="624"/>
      <c r="I894" s="624"/>
      <c r="J894" s="624"/>
      <c r="K894" s="624"/>
      <c r="L894" s="624"/>
      <c r="M894" s="624"/>
    </row>
    <row r="895" spans="5:13" ht="15">
      <c r="E895" s="624"/>
      <c r="F895" s="624"/>
      <c r="G895" s="624"/>
      <c r="H895" s="624"/>
      <c r="I895" s="624"/>
      <c r="J895" s="624"/>
      <c r="K895" s="624"/>
      <c r="L895" s="624"/>
      <c r="M895" s="624"/>
    </row>
    <row r="896" spans="5:13" ht="15">
      <c r="E896" s="624"/>
      <c r="F896" s="624"/>
      <c r="G896" s="624"/>
      <c r="H896" s="624"/>
      <c r="I896" s="624"/>
      <c r="J896" s="624"/>
      <c r="K896" s="624"/>
      <c r="L896" s="624"/>
      <c r="M896" s="624"/>
    </row>
    <row r="897" spans="5:13" ht="15">
      <c r="E897" s="624"/>
      <c r="F897" s="624"/>
      <c r="G897" s="624"/>
      <c r="H897" s="624"/>
      <c r="I897" s="624"/>
      <c r="J897" s="624"/>
      <c r="K897" s="624"/>
      <c r="L897" s="624"/>
      <c r="M897" s="624"/>
    </row>
    <row r="898" spans="5:13" ht="15">
      <c r="E898" s="624"/>
      <c r="F898" s="624"/>
      <c r="G898" s="624"/>
      <c r="H898" s="624"/>
      <c r="I898" s="624"/>
      <c r="J898" s="624"/>
      <c r="K898" s="624"/>
      <c r="L898" s="624"/>
      <c r="M898" s="624"/>
    </row>
    <row r="899" spans="5:13" ht="15">
      <c r="E899" s="624"/>
      <c r="F899" s="624"/>
      <c r="G899" s="624"/>
      <c r="H899" s="624"/>
      <c r="I899" s="624"/>
      <c r="J899" s="624"/>
      <c r="K899" s="624"/>
      <c r="L899" s="624"/>
      <c r="M899" s="624"/>
    </row>
    <row r="900" spans="5:13" ht="15">
      <c r="E900" s="624"/>
      <c r="F900" s="624"/>
      <c r="G900" s="624"/>
      <c r="H900" s="624"/>
      <c r="I900" s="624"/>
      <c r="J900" s="624"/>
      <c r="K900" s="624"/>
      <c r="L900" s="624"/>
      <c r="M900" s="624"/>
    </row>
    <row r="901" spans="5:13" ht="15">
      <c r="E901" s="624"/>
      <c r="F901" s="624"/>
      <c r="G901" s="624"/>
      <c r="H901" s="624"/>
      <c r="I901" s="624"/>
      <c r="J901" s="624"/>
      <c r="K901" s="624"/>
      <c r="L901" s="624"/>
      <c r="M901" s="624"/>
    </row>
    <row r="902" spans="5:13" ht="15">
      <c r="E902" s="624"/>
      <c r="F902" s="624"/>
      <c r="G902" s="624"/>
      <c r="H902" s="624"/>
      <c r="I902" s="624"/>
      <c r="J902" s="624"/>
      <c r="K902" s="624"/>
      <c r="L902" s="624"/>
      <c r="M902" s="624"/>
    </row>
    <row r="903" spans="5:13" ht="15">
      <c r="E903" s="624"/>
      <c r="F903" s="624"/>
      <c r="G903" s="624"/>
      <c r="H903" s="624"/>
      <c r="I903" s="624"/>
      <c r="J903" s="624"/>
      <c r="K903" s="624"/>
      <c r="L903" s="624"/>
      <c r="M903" s="624"/>
    </row>
    <row r="904" spans="5:13" ht="15">
      <c r="E904" s="624"/>
      <c r="F904" s="624"/>
      <c r="G904" s="624"/>
      <c r="H904" s="624"/>
      <c r="I904" s="624"/>
      <c r="J904" s="624"/>
      <c r="K904" s="624"/>
      <c r="L904" s="624"/>
      <c r="M904" s="624"/>
    </row>
    <row r="905" spans="5:13" ht="15">
      <c r="E905" s="624"/>
      <c r="F905" s="624"/>
      <c r="G905" s="624"/>
      <c r="H905" s="624"/>
      <c r="I905" s="624"/>
      <c r="J905" s="624"/>
      <c r="K905" s="624"/>
      <c r="L905" s="624"/>
      <c r="M905" s="624"/>
    </row>
    <row r="906" spans="5:13" ht="15">
      <c r="E906" s="624"/>
      <c r="F906" s="624"/>
      <c r="G906" s="624"/>
      <c r="H906" s="624"/>
      <c r="I906" s="624"/>
      <c r="J906" s="624"/>
      <c r="K906" s="624"/>
      <c r="L906" s="624"/>
      <c r="M906" s="624"/>
    </row>
    <row r="907" spans="5:13" ht="15">
      <c r="E907" s="624"/>
      <c r="F907" s="624"/>
      <c r="G907" s="624"/>
      <c r="H907" s="624"/>
      <c r="I907" s="624"/>
      <c r="J907" s="624"/>
      <c r="K907" s="624"/>
      <c r="L907" s="624"/>
      <c r="M907" s="624"/>
    </row>
    <row r="908" spans="5:13" ht="15">
      <c r="E908" s="624"/>
      <c r="F908" s="624"/>
      <c r="G908" s="624"/>
      <c r="H908" s="624"/>
      <c r="I908" s="624"/>
      <c r="J908" s="624"/>
      <c r="K908" s="624"/>
      <c r="L908" s="624"/>
      <c r="M908" s="624"/>
    </row>
    <row r="909" spans="5:13" ht="15">
      <c r="E909" s="624"/>
      <c r="F909" s="624"/>
      <c r="G909" s="624"/>
      <c r="H909" s="624"/>
      <c r="I909" s="624"/>
      <c r="J909" s="624"/>
      <c r="K909" s="624"/>
      <c r="L909" s="624"/>
      <c r="M909" s="624"/>
    </row>
    <row r="910" spans="5:13" ht="15">
      <c r="E910" s="624"/>
      <c r="F910" s="624"/>
      <c r="G910" s="624"/>
      <c r="H910" s="624"/>
      <c r="I910" s="624"/>
      <c r="J910" s="624"/>
      <c r="K910" s="624"/>
      <c r="L910" s="624"/>
      <c r="M910" s="624"/>
    </row>
    <row r="911" spans="5:13" ht="15">
      <c r="E911" s="624"/>
      <c r="F911" s="624"/>
      <c r="G911" s="624"/>
      <c r="H911" s="624"/>
      <c r="I911" s="624"/>
      <c r="J911" s="624"/>
      <c r="K911" s="624"/>
      <c r="L911" s="624"/>
      <c r="M911" s="624"/>
    </row>
    <row r="912" spans="5:13" ht="15">
      <c r="E912" s="624"/>
      <c r="F912" s="624"/>
      <c r="G912" s="624"/>
      <c r="H912" s="624"/>
      <c r="I912" s="624"/>
      <c r="J912" s="624"/>
      <c r="K912" s="624"/>
      <c r="L912" s="624"/>
      <c r="M912" s="624"/>
    </row>
    <row r="913" spans="5:13" ht="15">
      <c r="E913" s="624"/>
      <c r="F913" s="624"/>
      <c r="G913" s="624"/>
      <c r="H913" s="624"/>
      <c r="I913" s="624"/>
      <c r="J913" s="624"/>
      <c r="K913" s="624"/>
      <c r="L913" s="624"/>
      <c r="M913" s="624"/>
    </row>
    <row r="914" spans="5:13" ht="15">
      <c r="E914" s="624"/>
      <c r="F914" s="624"/>
      <c r="G914" s="624"/>
      <c r="H914" s="624"/>
      <c r="I914" s="624"/>
      <c r="J914" s="624"/>
      <c r="K914" s="624"/>
      <c r="L914" s="624"/>
      <c r="M914" s="624"/>
    </row>
    <row r="915" spans="5:13" ht="15">
      <c r="E915" s="624"/>
      <c r="F915" s="624"/>
      <c r="G915" s="624"/>
      <c r="H915" s="624"/>
      <c r="I915" s="624"/>
      <c r="J915" s="624"/>
      <c r="K915" s="624"/>
      <c r="L915" s="624"/>
      <c r="M915" s="624"/>
    </row>
    <row r="916" spans="5:13" ht="15">
      <c r="E916" s="624"/>
      <c r="F916" s="624"/>
      <c r="G916" s="624"/>
      <c r="H916" s="624"/>
      <c r="I916" s="624"/>
      <c r="J916" s="624"/>
      <c r="K916" s="624"/>
      <c r="L916" s="624"/>
      <c r="M916" s="624"/>
    </row>
    <row r="917" spans="5:13" ht="15">
      <c r="E917" s="624"/>
      <c r="F917" s="624"/>
      <c r="G917" s="624"/>
      <c r="H917" s="624"/>
      <c r="I917" s="624"/>
      <c r="J917" s="624"/>
      <c r="K917" s="624"/>
      <c r="L917" s="624"/>
      <c r="M917" s="624"/>
    </row>
    <row r="918" spans="5:13" ht="15">
      <c r="E918" s="624"/>
      <c r="F918" s="624"/>
      <c r="G918" s="624"/>
      <c r="H918" s="624"/>
      <c r="I918" s="624"/>
      <c r="J918" s="624"/>
      <c r="K918" s="624"/>
      <c r="L918" s="624"/>
      <c r="M918" s="624"/>
    </row>
    <row r="919" spans="5:13" ht="15">
      <c r="E919" s="624"/>
      <c r="F919" s="624"/>
      <c r="G919" s="624"/>
      <c r="H919" s="624"/>
      <c r="I919" s="624"/>
      <c r="J919" s="624"/>
      <c r="K919" s="624"/>
      <c r="L919" s="624"/>
      <c r="M919" s="624"/>
    </row>
    <row r="920" spans="5:13" ht="15">
      <c r="E920" s="624"/>
      <c r="F920" s="624"/>
      <c r="G920" s="624"/>
      <c r="H920" s="624"/>
      <c r="I920" s="624"/>
      <c r="J920" s="624"/>
      <c r="K920" s="624"/>
      <c r="L920" s="624"/>
      <c r="M920" s="624"/>
    </row>
    <row r="921" spans="5:13" ht="15">
      <c r="E921" s="624"/>
      <c r="F921" s="624"/>
      <c r="G921" s="624"/>
      <c r="H921" s="624"/>
      <c r="I921" s="624"/>
      <c r="J921" s="624"/>
      <c r="K921" s="624"/>
      <c r="L921" s="624"/>
      <c r="M921" s="624"/>
    </row>
    <row r="922" spans="5:13" ht="15">
      <c r="E922" s="624"/>
      <c r="F922" s="624"/>
      <c r="G922" s="624"/>
      <c r="H922" s="624"/>
      <c r="I922" s="624"/>
      <c r="J922" s="624"/>
      <c r="K922" s="624"/>
      <c r="L922" s="624"/>
      <c r="M922" s="624"/>
    </row>
    <row r="923" spans="5:13" ht="15">
      <c r="E923" s="624"/>
      <c r="F923" s="624"/>
      <c r="G923" s="624"/>
      <c r="H923" s="624"/>
      <c r="I923" s="624"/>
      <c r="J923" s="624"/>
      <c r="K923" s="624"/>
      <c r="L923" s="624"/>
      <c r="M923" s="624"/>
    </row>
    <row r="924" spans="5:13" ht="15">
      <c r="E924" s="624"/>
      <c r="F924" s="624"/>
      <c r="G924" s="624"/>
      <c r="H924" s="624"/>
      <c r="I924" s="624"/>
      <c r="J924" s="624"/>
      <c r="K924" s="624"/>
      <c r="L924" s="624"/>
      <c r="M924" s="624"/>
    </row>
    <row r="925" spans="5:13" ht="15">
      <c r="E925" s="624"/>
      <c r="F925" s="624"/>
      <c r="G925" s="624"/>
      <c r="H925" s="624"/>
      <c r="I925" s="624"/>
      <c r="J925" s="624"/>
      <c r="K925" s="624"/>
      <c r="L925" s="624"/>
      <c r="M925" s="624"/>
    </row>
    <row r="926" spans="5:13" ht="15">
      <c r="E926" s="624"/>
      <c r="F926" s="624"/>
      <c r="G926" s="624"/>
      <c r="H926" s="624"/>
      <c r="I926" s="624"/>
      <c r="J926" s="624"/>
      <c r="K926" s="624"/>
      <c r="L926" s="624"/>
      <c r="M926" s="624"/>
    </row>
    <row r="927" spans="5:13" ht="15">
      <c r="E927" s="624"/>
      <c r="F927" s="624"/>
      <c r="G927" s="624"/>
      <c r="H927" s="624"/>
      <c r="I927" s="624"/>
      <c r="J927" s="624"/>
      <c r="K927" s="624"/>
      <c r="L927" s="624"/>
      <c r="M927" s="624"/>
    </row>
    <row r="928" spans="5:13" ht="15">
      <c r="E928" s="624"/>
      <c r="F928" s="624"/>
      <c r="G928" s="624"/>
      <c r="H928" s="624"/>
      <c r="I928" s="624"/>
      <c r="J928" s="624"/>
      <c r="K928" s="624"/>
      <c r="L928" s="624"/>
      <c r="M928" s="624"/>
    </row>
    <row r="929" spans="5:13" ht="15">
      <c r="E929" s="624"/>
      <c r="F929" s="624"/>
      <c r="G929" s="624"/>
      <c r="H929" s="624"/>
      <c r="I929" s="624"/>
      <c r="J929" s="624"/>
      <c r="K929" s="624"/>
      <c r="L929" s="624"/>
      <c r="M929" s="624"/>
    </row>
    <row r="930" spans="5:13" ht="15">
      <c r="E930" s="624"/>
      <c r="F930" s="624"/>
      <c r="G930" s="624"/>
      <c r="H930" s="624"/>
      <c r="I930" s="624"/>
      <c r="J930" s="624"/>
      <c r="K930" s="624"/>
      <c r="L930" s="624"/>
      <c r="M930" s="624"/>
    </row>
    <row r="931" spans="5:13" ht="15">
      <c r="E931" s="624"/>
      <c r="F931" s="624"/>
      <c r="G931" s="624"/>
      <c r="H931" s="624"/>
      <c r="I931" s="624"/>
      <c r="J931" s="624"/>
      <c r="K931" s="624"/>
      <c r="L931" s="624"/>
      <c r="M931" s="624"/>
    </row>
    <row r="932" spans="5:13" ht="15">
      <c r="E932" s="624"/>
      <c r="F932" s="624"/>
      <c r="G932" s="624"/>
      <c r="H932" s="624"/>
      <c r="I932" s="624"/>
      <c r="J932" s="624"/>
      <c r="K932" s="624"/>
      <c r="L932" s="624"/>
      <c r="M932" s="624"/>
    </row>
    <row r="933" spans="5:13" ht="15">
      <c r="E933" s="624"/>
      <c r="F933" s="624"/>
      <c r="G933" s="624"/>
      <c r="H933" s="624"/>
      <c r="I933" s="624"/>
      <c r="J933" s="624"/>
      <c r="K933" s="624"/>
      <c r="L933" s="624"/>
      <c r="M933" s="624"/>
    </row>
    <row r="934" spans="5:13" ht="15">
      <c r="E934" s="624"/>
      <c r="F934" s="624"/>
      <c r="G934" s="624"/>
      <c r="H934" s="624"/>
      <c r="I934" s="624"/>
      <c r="J934" s="624"/>
      <c r="K934" s="624"/>
      <c r="L934" s="624"/>
      <c r="M934" s="624"/>
    </row>
    <row r="935" spans="5:13" ht="15">
      <c r="E935" s="624"/>
      <c r="F935" s="624"/>
      <c r="G935" s="624"/>
      <c r="H935" s="624"/>
      <c r="I935" s="624"/>
      <c r="J935" s="624"/>
      <c r="K935" s="624"/>
      <c r="L935" s="624"/>
      <c r="M935" s="624"/>
    </row>
    <row r="936" spans="5:13" ht="15">
      <c r="E936" s="624"/>
      <c r="F936" s="624"/>
      <c r="G936" s="624"/>
      <c r="H936" s="624"/>
      <c r="I936" s="624"/>
      <c r="J936" s="624"/>
      <c r="K936" s="624"/>
      <c r="L936" s="624"/>
      <c r="M936" s="624"/>
    </row>
    <row r="937" spans="5:13" ht="15">
      <c r="E937" s="624"/>
      <c r="F937" s="624"/>
      <c r="G937" s="624"/>
      <c r="H937" s="624"/>
      <c r="I937" s="624"/>
      <c r="J937" s="624"/>
      <c r="K937" s="624"/>
      <c r="L937" s="624"/>
      <c r="M937" s="624"/>
    </row>
    <row r="938" spans="5:13" ht="15">
      <c r="E938" s="624"/>
      <c r="F938" s="624"/>
      <c r="G938" s="624"/>
      <c r="H938" s="624"/>
      <c r="I938" s="624"/>
      <c r="J938" s="624"/>
      <c r="K938" s="624"/>
      <c r="L938" s="624"/>
      <c r="M938" s="624"/>
    </row>
    <row r="939" spans="5:13" ht="15">
      <c r="E939" s="624"/>
      <c r="F939" s="624"/>
      <c r="G939" s="624"/>
      <c r="H939" s="624"/>
      <c r="I939" s="624"/>
      <c r="J939" s="624"/>
      <c r="K939" s="624"/>
      <c r="L939" s="624"/>
      <c r="M939" s="624"/>
    </row>
    <row r="940" spans="5:13" ht="15">
      <c r="E940" s="624"/>
      <c r="F940" s="624"/>
      <c r="G940" s="624"/>
      <c r="H940" s="624"/>
      <c r="I940" s="624"/>
      <c r="J940" s="624"/>
      <c r="K940" s="624"/>
      <c r="L940" s="624"/>
      <c r="M940" s="624"/>
    </row>
    <row r="941" spans="5:13" ht="15">
      <c r="E941" s="624"/>
      <c r="F941" s="624"/>
      <c r="G941" s="624"/>
      <c r="H941" s="624"/>
      <c r="I941" s="624"/>
      <c r="J941" s="624"/>
      <c r="K941" s="624"/>
      <c r="L941" s="624"/>
      <c r="M941" s="624"/>
    </row>
    <row r="942" spans="5:13" ht="15">
      <c r="E942" s="624"/>
      <c r="F942" s="624"/>
      <c r="G942" s="624"/>
      <c r="H942" s="624"/>
      <c r="I942" s="624"/>
      <c r="J942" s="624"/>
      <c r="K942" s="624"/>
      <c r="L942" s="624"/>
      <c r="M942" s="624"/>
    </row>
    <row r="943" spans="5:13" ht="15">
      <c r="E943" s="624"/>
      <c r="F943" s="624"/>
      <c r="G943" s="624"/>
      <c r="H943" s="624"/>
      <c r="I943" s="624"/>
      <c r="J943" s="624"/>
      <c r="K943" s="624"/>
      <c r="L943" s="624"/>
      <c r="M943" s="624"/>
    </row>
    <row r="944" spans="5:13" ht="15">
      <c r="E944" s="624"/>
      <c r="F944" s="624"/>
      <c r="G944" s="624"/>
      <c r="H944" s="624"/>
      <c r="I944" s="624"/>
      <c r="J944" s="624"/>
      <c r="K944" s="624"/>
      <c r="L944" s="624"/>
      <c r="M944" s="624"/>
    </row>
    <row r="945" spans="5:13" ht="15">
      <c r="E945" s="624"/>
      <c r="F945" s="624"/>
      <c r="G945" s="624"/>
      <c r="H945" s="624"/>
      <c r="I945" s="624"/>
      <c r="J945" s="624"/>
      <c r="K945" s="624"/>
      <c r="L945" s="624"/>
      <c r="M945" s="624"/>
    </row>
    <row r="946" spans="5:13" ht="15">
      <c r="E946" s="624"/>
      <c r="F946" s="624"/>
      <c r="G946" s="624"/>
      <c r="H946" s="624"/>
      <c r="I946" s="624"/>
      <c r="J946" s="624"/>
      <c r="K946" s="624"/>
      <c r="L946" s="624"/>
      <c r="M946" s="624"/>
    </row>
    <row r="947" spans="5:13" ht="15">
      <c r="E947" s="624"/>
      <c r="F947" s="624"/>
      <c r="G947" s="624"/>
      <c r="H947" s="624"/>
      <c r="I947" s="624"/>
      <c r="J947" s="624"/>
      <c r="K947" s="624"/>
      <c r="L947" s="624"/>
      <c r="M947" s="624"/>
    </row>
    <row r="948" spans="5:13" ht="15">
      <c r="E948" s="624"/>
      <c r="F948" s="624"/>
      <c r="G948" s="624"/>
      <c r="H948" s="624"/>
      <c r="I948" s="624"/>
      <c r="J948" s="624"/>
      <c r="K948" s="624"/>
      <c r="L948" s="624"/>
      <c r="M948" s="624"/>
    </row>
    <row r="949" spans="5:13" ht="15">
      <c r="E949" s="624"/>
      <c r="F949" s="624"/>
      <c r="G949" s="624"/>
      <c r="H949" s="624"/>
      <c r="I949" s="624"/>
      <c r="J949" s="624"/>
      <c r="K949" s="624"/>
      <c r="L949" s="624"/>
      <c r="M949" s="624"/>
    </row>
    <row r="950" spans="5:13" ht="15">
      <c r="E950" s="624"/>
      <c r="F950" s="624"/>
      <c r="G950" s="624"/>
      <c r="H950" s="624"/>
      <c r="I950" s="624"/>
      <c r="J950" s="624"/>
      <c r="K950" s="624"/>
      <c r="L950" s="624"/>
      <c r="M950" s="624"/>
    </row>
    <row r="951" spans="5:13" ht="15">
      <c r="E951" s="624"/>
      <c r="F951" s="624"/>
      <c r="G951" s="624"/>
      <c r="H951" s="624"/>
      <c r="I951" s="624"/>
      <c r="J951" s="624"/>
      <c r="K951" s="624"/>
      <c r="L951" s="624"/>
      <c r="M951" s="624"/>
    </row>
    <row r="952" spans="5:13" ht="15">
      <c r="E952" s="624"/>
      <c r="F952" s="624"/>
      <c r="G952" s="624"/>
      <c r="H952" s="624"/>
      <c r="I952" s="624"/>
      <c r="J952" s="624"/>
      <c r="K952" s="624"/>
      <c r="L952" s="624"/>
      <c r="M952" s="624"/>
    </row>
    <row r="953" spans="5:13" ht="15">
      <c r="E953" s="624"/>
      <c r="F953" s="624"/>
      <c r="G953" s="624"/>
      <c r="H953" s="624"/>
      <c r="I953" s="624"/>
      <c r="J953" s="624"/>
      <c r="K953" s="624"/>
      <c r="L953" s="624"/>
      <c r="M953" s="624"/>
    </row>
    <row r="954" spans="5:13" ht="15">
      <c r="E954" s="624"/>
      <c r="F954" s="624"/>
      <c r="G954" s="624"/>
      <c r="H954" s="624"/>
      <c r="I954" s="624"/>
      <c r="J954" s="624"/>
      <c r="K954" s="624"/>
      <c r="L954" s="624"/>
      <c r="M954" s="624"/>
    </row>
    <row r="955" spans="5:13" ht="15">
      <c r="E955" s="624"/>
      <c r="F955" s="624"/>
      <c r="G955" s="624"/>
      <c r="H955" s="624"/>
      <c r="I955" s="624"/>
      <c r="J955" s="624"/>
      <c r="K955" s="624"/>
      <c r="L955" s="624"/>
      <c r="M955" s="624"/>
    </row>
    <row r="956" spans="5:13" ht="15">
      <c r="E956" s="624"/>
      <c r="F956" s="624"/>
      <c r="G956" s="624"/>
      <c r="H956" s="624"/>
      <c r="I956" s="624"/>
      <c r="J956" s="624"/>
      <c r="K956" s="624"/>
      <c r="L956" s="624"/>
      <c r="M956" s="624"/>
    </row>
    <row r="957" spans="5:13" ht="15">
      <c r="E957" s="624"/>
      <c r="F957" s="624"/>
      <c r="G957" s="624"/>
      <c r="H957" s="624"/>
      <c r="I957" s="624"/>
      <c r="J957" s="624"/>
      <c r="K957" s="624"/>
      <c r="L957" s="624"/>
      <c r="M957" s="624"/>
    </row>
    <row r="958" spans="5:13" ht="15">
      <c r="E958" s="624"/>
      <c r="F958" s="624"/>
      <c r="G958" s="624"/>
      <c r="H958" s="624"/>
      <c r="I958" s="624"/>
      <c r="J958" s="624"/>
      <c r="K958" s="624"/>
      <c r="L958" s="624"/>
      <c r="M958" s="624"/>
    </row>
    <row r="959" spans="5:13" ht="15">
      <c r="E959" s="624"/>
      <c r="F959" s="624"/>
      <c r="G959" s="624"/>
      <c r="H959" s="624"/>
      <c r="I959" s="624"/>
      <c r="J959" s="624"/>
      <c r="K959" s="624"/>
      <c r="L959" s="624"/>
      <c r="M959" s="624"/>
    </row>
    <row r="960" spans="5:13" ht="15">
      <c r="E960" s="624"/>
      <c r="F960" s="624"/>
      <c r="G960" s="624"/>
      <c r="H960" s="624"/>
      <c r="I960" s="624"/>
      <c r="J960" s="624"/>
      <c r="K960" s="624"/>
      <c r="L960" s="624"/>
      <c r="M960" s="624"/>
    </row>
    <row r="961" spans="5:13" ht="15">
      <c r="E961" s="624"/>
      <c r="F961" s="624"/>
      <c r="G961" s="624"/>
      <c r="H961" s="624"/>
      <c r="I961" s="624"/>
      <c r="J961" s="624"/>
      <c r="K961" s="624"/>
      <c r="L961" s="624"/>
      <c r="M961" s="624"/>
    </row>
    <row r="962" spans="5:13" ht="15">
      <c r="E962" s="624"/>
      <c r="F962" s="624"/>
      <c r="G962" s="624"/>
      <c r="H962" s="624"/>
      <c r="I962" s="624"/>
      <c r="J962" s="624"/>
      <c r="K962" s="624"/>
      <c r="L962" s="624"/>
      <c r="M962" s="624"/>
    </row>
    <row r="963" spans="5:13" ht="15">
      <c r="E963" s="624"/>
      <c r="F963" s="624"/>
      <c r="G963" s="624"/>
      <c r="H963" s="624"/>
      <c r="I963" s="624"/>
      <c r="J963" s="624"/>
      <c r="K963" s="624"/>
      <c r="L963" s="624"/>
      <c r="M963" s="624"/>
    </row>
    <row r="964" spans="5:13" ht="15">
      <c r="E964" s="624"/>
      <c r="F964" s="624"/>
      <c r="G964" s="624"/>
      <c r="H964" s="624"/>
      <c r="I964" s="624"/>
      <c r="J964" s="624"/>
      <c r="K964" s="624"/>
      <c r="L964" s="624"/>
      <c r="M964" s="624"/>
    </row>
    <row r="965" spans="5:13" ht="15">
      <c r="E965" s="624"/>
      <c r="F965" s="624"/>
      <c r="G965" s="624"/>
      <c r="H965" s="624"/>
      <c r="I965" s="624"/>
      <c r="J965" s="624"/>
      <c r="K965" s="624"/>
      <c r="L965" s="624"/>
      <c r="M965" s="624"/>
    </row>
    <row r="966" spans="5:13" ht="15">
      <c r="E966" s="624"/>
      <c r="F966" s="624"/>
      <c r="G966" s="624"/>
      <c r="H966" s="624"/>
      <c r="I966" s="624"/>
      <c r="J966" s="624"/>
      <c r="K966" s="624"/>
      <c r="L966" s="624"/>
      <c r="M966" s="624"/>
    </row>
    <row r="967" spans="5:13" ht="15">
      <c r="E967" s="624"/>
      <c r="F967" s="624"/>
      <c r="G967" s="624"/>
      <c r="H967" s="624"/>
      <c r="I967" s="624"/>
      <c r="J967" s="624"/>
      <c r="K967" s="624"/>
      <c r="L967" s="624"/>
      <c r="M967" s="624"/>
    </row>
    <row r="968" spans="5:13" ht="15">
      <c r="E968" s="624"/>
      <c r="F968" s="624"/>
      <c r="G968" s="624"/>
      <c r="H968" s="624"/>
      <c r="I968" s="624"/>
      <c r="J968" s="624"/>
      <c r="K968" s="624"/>
      <c r="L968" s="624"/>
      <c r="M968" s="624"/>
    </row>
    <row r="969" spans="5:13" ht="15">
      <c r="E969" s="624"/>
      <c r="F969" s="624"/>
      <c r="G969" s="624"/>
      <c r="H969" s="624"/>
      <c r="I969" s="624"/>
      <c r="J969" s="624"/>
      <c r="K969" s="624"/>
      <c r="L969" s="624"/>
      <c r="M969" s="624"/>
    </row>
    <row r="970" spans="5:13" ht="15">
      <c r="E970" s="624"/>
      <c r="F970" s="624"/>
      <c r="G970" s="624"/>
      <c r="H970" s="624"/>
      <c r="I970" s="624"/>
      <c r="J970" s="624"/>
      <c r="K970" s="624"/>
      <c r="L970" s="624"/>
      <c r="M970" s="624"/>
    </row>
    <row r="971" spans="5:13" ht="15">
      <c r="E971" s="624"/>
      <c r="F971" s="624"/>
      <c r="G971" s="624"/>
      <c r="H971" s="624"/>
      <c r="I971" s="624"/>
      <c r="J971" s="624"/>
      <c r="K971" s="624"/>
      <c r="L971" s="624"/>
      <c r="M971" s="624"/>
    </row>
    <row r="972" spans="5:13" ht="15">
      <c r="E972" s="624"/>
      <c r="F972" s="624"/>
      <c r="G972" s="624"/>
      <c r="H972" s="624"/>
      <c r="I972" s="624"/>
      <c r="J972" s="624"/>
      <c r="K972" s="624"/>
      <c r="L972" s="624"/>
      <c r="M972" s="624"/>
    </row>
    <row r="973" spans="5:13" ht="15">
      <c r="E973" s="624"/>
      <c r="F973" s="624"/>
      <c r="G973" s="624"/>
      <c r="H973" s="624"/>
      <c r="I973" s="624"/>
      <c r="J973" s="624"/>
      <c r="K973" s="624"/>
      <c r="L973" s="624"/>
      <c r="M973" s="624"/>
    </row>
    <row r="974" spans="5:13" ht="15">
      <c r="E974" s="624"/>
      <c r="F974" s="624"/>
      <c r="G974" s="624"/>
      <c r="H974" s="624"/>
      <c r="I974" s="624"/>
      <c r="J974" s="624"/>
      <c r="K974" s="624"/>
      <c r="L974" s="624"/>
      <c r="M974" s="624"/>
    </row>
    <row r="975" spans="5:13" ht="15">
      <c r="E975" s="624"/>
      <c r="F975" s="624"/>
      <c r="G975" s="624"/>
      <c r="H975" s="624"/>
      <c r="I975" s="624"/>
      <c r="J975" s="624"/>
      <c r="K975" s="624"/>
      <c r="L975" s="624"/>
      <c r="M975" s="624"/>
    </row>
    <row r="976" spans="5:13" ht="15">
      <c r="E976" s="624"/>
      <c r="F976" s="624"/>
      <c r="G976" s="624"/>
      <c r="H976" s="624"/>
      <c r="I976" s="624"/>
      <c r="J976" s="624"/>
      <c r="K976" s="624"/>
      <c r="L976" s="624"/>
      <c r="M976" s="624"/>
    </row>
    <row r="977" spans="5:13" ht="15">
      <c r="E977" s="624"/>
      <c r="F977" s="624"/>
      <c r="G977" s="624"/>
      <c r="H977" s="624"/>
      <c r="I977" s="624"/>
      <c r="J977" s="624"/>
      <c r="K977" s="624"/>
      <c r="L977" s="624"/>
      <c r="M977" s="624"/>
    </row>
    <row r="978" spans="5:13" ht="15">
      <c r="E978" s="624"/>
      <c r="F978" s="624"/>
      <c r="G978" s="624"/>
      <c r="H978" s="624"/>
      <c r="I978" s="624"/>
      <c r="J978" s="624"/>
      <c r="K978" s="624"/>
      <c r="L978" s="624"/>
      <c r="M978" s="624"/>
    </row>
    <row r="979" spans="5:13" ht="15">
      <c r="E979" s="624"/>
      <c r="F979" s="624"/>
      <c r="G979" s="624"/>
      <c r="H979" s="624"/>
      <c r="I979" s="624"/>
      <c r="J979" s="624"/>
      <c r="K979" s="624"/>
      <c r="L979" s="624"/>
      <c r="M979" s="624"/>
    </row>
    <row r="980" spans="5:13" ht="15">
      <c r="E980" s="624"/>
      <c r="F980" s="624"/>
      <c r="G980" s="624"/>
      <c r="H980" s="624"/>
      <c r="I980" s="624"/>
      <c r="J980" s="624"/>
      <c r="K980" s="624"/>
      <c r="L980" s="624"/>
      <c r="M980" s="624"/>
    </row>
    <row r="981" spans="5:13" ht="15">
      <c r="E981" s="624"/>
      <c r="F981" s="624"/>
      <c r="G981" s="624"/>
      <c r="H981" s="624"/>
      <c r="I981" s="624"/>
      <c r="J981" s="624"/>
      <c r="K981" s="624"/>
      <c r="L981" s="624"/>
      <c r="M981" s="624"/>
    </row>
    <row r="982" spans="5:13" ht="15">
      <c r="E982" s="624"/>
      <c r="F982" s="624"/>
      <c r="G982" s="624"/>
      <c r="H982" s="624"/>
      <c r="I982" s="624"/>
      <c r="J982" s="624"/>
      <c r="K982" s="624"/>
      <c r="L982" s="624"/>
      <c r="M982" s="624"/>
    </row>
    <row r="983" spans="5:13" ht="15">
      <c r="E983" s="624"/>
      <c r="F983" s="624"/>
      <c r="G983" s="624"/>
      <c r="H983" s="624"/>
      <c r="I983" s="624"/>
      <c r="J983" s="624"/>
      <c r="K983" s="624"/>
      <c r="L983" s="624"/>
      <c r="M983" s="624"/>
    </row>
    <row r="984" spans="5:13" ht="15">
      <c r="E984" s="624"/>
      <c r="F984" s="624"/>
      <c r="G984" s="624"/>
      <c r="H984" s="624"/>
      <c r="I984" s="624"/>
      <c r="J984" s="624"/>
      <c r="K984" s="624"/>
      <c r="L984" s="624"/>
      <c r="M984" s="624"/>
    </row>
    <row r="985" spans="5:13" ht="15">
      <c r="E985" s="624"/>
      <c r="F985" s="624"/>
      <c r="G985" s="624"/>
      <c r="H985" s="624"/>
      <c r="I985" s="624"/>
      <c r="J985" s="624"/>
      <c r="K985" s="624"/>
      <c r="L985" s="624"/>
      <c r="M985" s="624"/>
    </row>
    <row r="986" spans="5:13" ht="15">
      <c r="E986" s="624"/>
      <c r="F986" s="624"/>
      <c r="G986" s="624"/>
      <c r="H986" s="624"/>
      <c r="I986" s="624"/>
      <c r="J986" s="624"/>
      <c r="K986" s="624"/>
      <c r="L986" s="624"/>
      <c r="M986" s="624"/>
    </row>
    <row r="987" spans="5:13" ht="15">
      <c r="E987" s="624"/>
      <c r="F987" s="624"/>
      <c r="G987" s="624"/>
      <c r="H987" s="624"/>
      <c r="I987" s="624"/>
      <c r="J987" s="624"/>
      <c r="K987" s="624"/>
      <c r="L987" s="624"/>
      <c r="M987" s="624"/>
    </row>
    <row r="988" spans="5:13" ht="15">
      <c r="E988" s="624"/>
      <c r="F988" s="624"/>
      <c r="G988" s="624"/>
      <c r="H988" s="624"/>
      <c r="I988" s="624"/>
      <c r="J988" s="624"/>
      <c r="K988" s="624"/>
      <c r="L988" s="624"/>
      <c r="M988" s="624"/>
    </row>
    <row r="989" spans="5:13" ht="15">
      <c r="E989" s="624"/>
      <c r="F989" s="624"/>
      <c r="G989" s="624"/>
      <c r="H989" s="624"/>
      <c r="I989" s="624"/>
      <c r="J989" s="624"/>
      <c r="K989" s="624"/>
      <c r="L989" s="624"/>
      <c r="M989" s="624"/>
    </row>
    <row r="990" spans="5:13" ht="15">
      <c r="E990" s="624"/>
      <c r="F990" s="624"/>
      <c r="G990" s="624"/>
      <c r="H990" s="624"/>
      <c r="I990" s="624"/>
      <c r="J990" s="624"/>
      <c r="K990" s="624"/>
      <c r="L990" s="624"/>
      <c r="M990" s="624"/>
    </row>
    <row r="991" spans="5:13" ht="15">
      <c r="E991" s="624"/>
      <c r="F991" s="624"/>
      <c r="G991" s="624"/>
      <c r="H991" s="624"/>
      <c r="I991" s="624"/>
      <c r="J991" s="624"/>
      <c r="K991" s="624"/>
      <c r="L991" s="624"/>
      <c r="M991" s="624"/>
    </row>
    <row r="992" spans="5:13" ht="15">
      <c r="E992" s="624"/>
      <c r="F992" s="624"/>
      <c r="G992" s="624"/>
      <c r="H992" s="624"/>
      <c r="I992" s="624"/>
      <c r="J992" s="624"/>
      <c r="K992" s="624"/>
      <c r="L992" s="624"/>
      <c r="M992" s="624"/>
    </row>
    <row r="993" spans="5:13" ht="15">
      <c r="E993" s="624"/>
      <c r="F993" s="624"/>
      <c r="G993" s="624"/>
      <c r="H993" s="624"/>
      <c r="I993" s="624"/>
      <c r="J993" s="624"/>
      <c r="K993" s="624"/>
      <c r="L993" s="624"/>
      <c r="M993" s="624"/>
    </row>
    <row r="994" spans="5:13" ht="15">
      <c r="E994" s="624"/>
      <c r="F994" s="624"/>
      <c r="G994" s="624"/>
      <c r="H994" s="624"/>
      <c r="I994" s="624"/>
      <c r="J994" s="624"/>
      <c r="K994" s="624"/>
      <c r="L994" s="624"/>
      <c r="M994" s="624"/>
    </row>
    <row r="995" spans="5:13" ht="15">
      <c r="E995" s="624"/>
      <c r="F995" s="624"/>
      <c r="G995" s="624"/>
      <c r="H995" s="624"/>
      <c r="I995" s="624"/>
      <c r="J995" s="624"/>
      <c r="K995" s="624"/>
      <c r="L995" s="624"/>
      <c r="M995" s="624"/>
    </row>
    <row r="996" spans="5:13" ht="15">
      <c r="E996" s="624"/>
      <c r="F996" s="624"/>
      <c r="G996" s="624"/>
      <c r="H996" s="624"/>
      <c r="I996" s="624"/>
      <c r="J996" s="624"/>
      <c r="K996" s="624"/>
      <c r="L996" s="624"/>
      <c r="M996" s="624"/>
    </row>
    <row r="997" spans="5:13" ht="15">
      <c r="E997" s="624"/>
      <c r="F997" s="624"/>
      <c r="G997" s="624"/>
      <c r="H997" s="624"/>
      <c r="I997" s="624"/>
      <c r="J997" s="624"/>
      <c r="K997" s="624"/>
      <c r="L997" s="624"/>
      <c r="M997" s="624"/>
    </row>
    <row r="998" spans="5:13" ht="15">
      <c r="E998" s="624"/>
      <c r="F998" s="624"/>
      <c r="G998" s="624"/>
      <c r="H998" s="624"/>
      <c r="I998" s="624"/>
      <c r="J998" s="624"/>
      <c r="K998" s="624"/>
      <c r="L998" s="624"/>
      <c r="M998" s="624"/>
    </row>
    <row r="999" spans="5:13" ht="15">
      <c r="E999" s="624"/>
      <c r="F999" s="624"/>
      <c r="G999" s="624"/>
      <c r="H999" s="624"/>
      <c r="I999" s="624"/>
      <c r="J999" s="624"/>
      <c r="K999" s="624"/>
      <c r="L999" s="624"/>
      <c r="M999" s="624"/>
    </row>
    <row r="1000" spans="5:13" ht="15">
      <c r="E1000" s="624"/>
      <c r="F1000" s="624"/>
      <c r="G1000" s="624"/>
      <c r="H1000" s="624"/>
      <c r="I1000" s="624"/>
      <c r="J1000" s="624"/>
      <c r="K1000" s="624"/>
      <c r="L1000" s="624"/>
      <c r="M1000" s="624"/>
    </row>
    <row r="1001" spans="5:13" ht="15">
      <c r="E1001" s="624"/>
      <c r="F1001" s="624"/>
      <c r="G1001" s="624"/>
      <c r="H1001" s="624"/>
      <c r="I1001" s="624"/>
      <c r="J1001" s="624"/>
      <c r="K1001" s="624"/>
      <c r="L1001" s="624"/>
      <c r="M1001" s="624"/>
    </row>
    <row r="1002" spans="5:13" ht="15">
      <c r="E1002" s="624"/>
      <c r="F1002" s="624"/>
      <c r="G1002" s="624"/>
      <c r="H1002" s="624"/>
      <c r="I1002" s="624"/>
      <c r="J1002" s="624"/>
      <c r="K1002" s="624"/>
      <c r="L1002" s="624"/>
      <c r="M1002" s="624"/>
    </row>
    <row r="1003" spans="5:13" ht="15">
      <c r="E1003" s="624"/>
      <c r="F1003" s="624"/>
      <c r="G1003" s="624"/>
      <c r="H1003" s="624"/>
      <c r="I1003" s="624"/>
      <c r="J1003" s="624"/>
      <c r="K1003" s="624"/>
      <c r="L1003" s="624"/>
      <c r="M1003" s="624"/>
    </row>
  </sheetData>
  <pageMargins left="0.7" right="0.7" top="0.75" bottom="0.75" header="0.3" footer="0.3"/>
  <pageSetup paperSize="9" scale="58" orientation="portrait" horizontalDpi="300" verticalDpi="300" r:id="rId1"/>
  <headerFooter>
    <oddFooter>&amp;RPowered by FactSet</oddFooter>
  </headerFooter>
  <colBreaks count="1" manualBreakCount="1">
    <brk id="13"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67585" r:id="rId4" name="Drop Down 1">
              <controlPr defaultSize="0" autoLine="0" autoPict="0">
                <anchor moveWithCells="1">
                  <from>
                    <xdr:col>1</xdr:col>
                    <xdr:colOff>28575</xdr:colOff>
                    <xdr:row>3</xdr:row>
                    <xdr:rowOff>142875</xdr:rowOff>
                  </from>
                  <to>
                    <xdr:col>1</xdr:col>
                    <xdr:colOff>676275</xdr:colOff>
                    <xdr:row>3</xdr:row>
                    <xdr:rowOff>333375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25"/>
  <dimension ref="A1:AC158"/>
  <sheetViews>
    <sheetView showGridLines="0" topLeftCell="C1" zoomScaleNormal="100" workbookViewId="0">
      <selection activeCell="L17" sqref="L17"/>
    </sheetView>
  </sheetViews>
  <sheetFormatPr defaultColWidth="11.28515625" defaultRowHeight="15"/>
  <cols>
    <col min="1" max="1" width="17.85546875" customWidth="1"/>
    <col min="2" max="2" width="67" customWidth="1"/>
    <col min="3" max="3" width="26.7109375" bestFit="1" customWidth="1"/>
    <col min="4" max="4" width="20.7109375" bestFit="1" customWidth="1"/>
    <col min="5" max="5" width="18.7109375" bestFit="1" customWidth="1"/>
    <col min="6" max="6" width="16.7109375" customWidth="1"/>
    <col min="7" max="8" width="10.28515625" customWidth="1"/>
    <col min="9" max="9" width="15.28515625" customWidth="1"/>
    <col min="10" max="10" width="9.28515625" customWidth="1"/>
    <col min="11" max="11" width="12.42578125" bestFit="1" customWidth="1"/>
    <col min="12" max="12" width="5.7109375" bestFit="1" customWidth="1"/>
    <col min="13" max="13" width="8.7109375" customWidth="1"/>
    <col min="14" max="14" width="7.7109375" bestFit="1" customWidth="1"/>
    <col min="15" max="16" width="15.28515625" customWidth="1"/>
    <col min="17" max="17" width="14.7109375" customWidth="1"/>
    <col min="18" max="18" width="13.28515625" customWidth="1"/>
    <col min="19" max="20" width="1.28515625" customWidth="1"/>
    <col min="21" max="21" width="10.28515625" customWidth="1"/>
    <col min="22" max="27" width="13.140625" customWidth="1"/>
  </cols>
  <sheetData>
    <row r="1" spans="1:18" ht="18">
      <c r="A1" s="1128" t="s">
        <v>169</v>
      </c>
      <c r="B1" s="1128"/>
      <c r="C1" s="1128"/>
      <c r="D1" s="1128"/>
      <c r="E1" s="1128"/>
      <c r="F1" s="603"/>
      <c r="G1" s="603"/>
      <c r="H1" s="603"/>
      <c r="I1" s="603"/>
      <c r="J1" s="603"/>
      <c r="K1" s="603"/>
      <c r="L1" s="603"/>
      <c r="M1" s="603"/>
      <c r="N1" s="603"/>
      <c r="P1" s="867" t="s">
        <v>170</v>
      </c>
      <c r="Q1" s="867" t="s">
        <v>171</v>
      </c>
    </row>
    <row r="2" spans="1:18" ht="18">
      <c r="A2" s="1128" t="s">
        <v>172</v>
      </c>
      <c r="B2" s="1128"/>
      <c r="C2" s="1128"/>
      <c r="D2" s="1128"/>
      <c r="E2" s="1128"/>
      <c r="F2" s="603"/>
      <c r="G2" s="603"/>
      <c r="H2" s="603"/>
      <c r="I2" s="603"/>
      <c r="J2" s="603"/>
      <c r="K2" s="603"/>
      <c r="L2" s="603"/>
      <c r="M2" s="603"/>
      <c r="N2" s="603"/>
      <c r="P2" s="16" t="s">
        <v>173</v>
      </c>
      <c r="Q2" s="869">
        <v>0</v>
      </c>
    </row>
    <row r="3" spans="1:18" ht="15" customHeight="1">
      <c r="A3" s="1129"/>
      <c r="B3" s="1129"/>
      <c r="C3" s="1129"/>
      <c r="D3" s="1129"/>
      <c r="E3" s="1129"/>
      <c r="F3" s="1129"/>
      <c r="G3" s="1129"/>
      <c r="H3" s="1129"/>
      <c r="I3" s="1129"/>
      <c r="J3" s="1129"/>
      <c r="K3" s="1129"/>
      <c r="L3" s="1129"/>
      <c r="M3" s="1129"/>
      <c r="N3" s="1129"/>
      <c r="O3" s="1129"/>
      <c r="P3" s="1129"/>
      <c r="Q3" s="868">
        <v>0</v>
      </c>
    </row>
    <row r="4" spans="1:18">
      <c r="A4" s="1130"/>
      <c r="B4" s="1129"/>
      <c r="C4" s="1129"/>
      <c r="D4" s="1129"/>
      <c r="E4" s="1129"/>
      <c r="F4" s="1129"/>
      <c r="G4" s="1129"/>
      <c r="H4" s="1129"/>
      <c r="I4" s="1129"/>
      <c r="J4" s="1129"/>
      <c r="K4" s="1129"/>
      <c r="L4" s="1129"/>
      <c r="M4" s="1129"/>
      <c r="N4" s="1129"/>
      <c r="O4" s="1129"/>
      <c r="P4" s="1129"/>
      <c r="Q4" s="869">
        <v>7.3000000000000001E-3</v>
      </c>
      <c r="R4" s="1042" t="s">
        <v>174</v>
      </c>
    </row>
    <row r="5" spans="1:18" ht="15" customHeight="1">
      <c r="A5" s="1131" t="s">
        <v>175</v>
      </c>
      <c r="B5" s="1131" t="s">
        <v>176</v>
      </c>
      <c r="C5" s="1131" t="s">
        <v>177</v>
      </c>
      <c r="D5" s="1131" t="s">
        <v>178</v>
      </c>
      <c r="E5" s="1131" t="s">
        <v>179</v>
      </c>
      <c r="F5" s="1131" t="s">
        <v>180</v>
      </c>
      <c r="G5" s="1131" t="s">
        <v>181</v>
      </c>
      <c r="H5" s="1131" t="s">
        <v>182</v>
      </c>
      <c r="I5" s="1131" t="s">
        <v>183</v>
      </c>
      <c r="J5" s="1131" t="s">
        <v>184</v>
      </c>
      <c r="K5" s="1131" t="s">
        <v>7</v>
      </c>
      <c r="L5" s="1131" t="s">
        <v>185</v>
      </c>
      <c r="M5" s="1131" t="s">
        <v>186</v>
      </c>
      <c r="N5" s="1132"/>
      <c r="O5" s="1280" t="s">
        <v>187</v>
      </c>
      <c r="P5" s="1269" t="s">
        <v>1534</v>
      </c>
      <c r="Q5" s="869">
        <v>5.0000000000000001E-3</v>
      </c>
    </row>
    <row r="6" spans="1:18" ht="15" customHeight="1">
      <c r="A6" s="1133" t="s">
        <v>188</v>
      </c>
      <c r="B6" s="1134"/>
      <c r="C6" s="1135">
        <v>2024</v>
      </c>
      <c r="D6" s="1135">
        <v>2024</v>
      </c>
      <c r="E6" s="1134"/>
      <c r="F6" s="1134"/>
      <c r="G6" s="1134"/>
      <c r="H6" s="1134"/>
      <c r="I6" s="1134"/>
      <c r="J6" s="1134"/>
      <c r="K6" s="1134"/>
      <c r="L6" s="1134"/>
      <c r="M6" s="1134"/>
      <c r="N6" s="1134"/>
      <c r="O6" s="1279">
        <f>D6</f>
        <v>2024</v>
      </c>
      <c r="P6" s="1277"/>
    </row>
    <row r="7" spans="1:18" ht="15" customHeight="1">
      <c r="A7" s="1136" t="s">
        <v>137</v>
      </c>
      <c r="B7" s="1131" t="s">
        <v>189</v>
      </c>
      <c r="C7" s="1137">
        <v>2024</v>
      </c>
      <c r="D7" s="1137">
        <v>2024</v>
      </c>
      <c r="E7" s="1131" t="s">
        <v>137</v>
      </c>
      <c r="F7" s="1131" t="s">
        <v>137</v>
      </c>
      <c r="G7" s="1131" t="s">
        <v>137</v>
      </c>
      <c r="H7" s="1131" t="s">
        <v>137</v>
      </c>
      <c r="I7" s="1131" t="s">
        <v>173</v>
      </c>
      <c r="J7" s="1131" t="s">
        <v>190</v>
      </c>
      <c r="K7" s="1131" t="s">
        <v>137</v>
      </c>
      <c r="L7" s="1131" t="s">
        <v>137</v>
      </c>
      <c r="M7" s="1131" t="s">
        <v>137</v>
      </c>
      <c r="N7" s="1132"/>
      <c r="O7" s="1279">
        <f>D7</f>
        <v>2024</v>
      </c>
      <c r="P7" s="1278"/>
    </row>
    <row r="8" spans="1:18" ht="15" customHeight="1">
      <c r="A8" s="1133" t="s">
        <v>191</v>
      </c>
      <c r="B8" s="1134"/>
      <c r="C8" s="1138">
        <v>0</v>
      </c>
      <c r="D8" s="1138">
        <v>0</v>
      </c>
      <c r="E8" s="1134"/>
      <c r="F8" s="1134"/>
      <c r="G8" s="1134"/>
      <c r="H8" s="1134"/>
      <c r="I8" s="1134"/>
      <c r="J8" s="1134"/>
      <c r="K8" s="1134"/>
      <c r="L8" s="1134"/>
      <c r="M8" s="1134"/>
      <c r="N8" s="1134"/>
      <c r="O8" s="1276"/>
      <c r="P8" s="1278"/>
    </row>
    <row r="9" spans="1:18" s="1051" customFormat="1" ht="30">
      <c r="A9" s="1136" t="s">
        <v>192</v>
      </c>
      <c r="B9" s="1131" t="s">
        <v>193</v>
      </c>
      <c r="C9" s="1139">
        <v>0</v>
      </c>
      <c r="D9" s="1139">
        <v>0</v>
      </c>
      <c r="E9" s="1131" t="s">
        <v>137</v>
      </c>
      <c r="F9" s="1131" t="s">
        <v>194</v>
      </c>
      <c r="G9" s="1131" t="s">
        <v>195</v>
      </c>
      <c r="H9" s="1131" t="s">
        <v>196</v>
      </c>
      <c r="I9" s="1131" t="s">
        <v>173</v>
      </c>
      <c r="J9" s="1131" t="s">
        <v>197</v>
      </c>
      <c r="K9" s="1131" t="s">
        <v>137</v>
      </c>
      <c r="L9" s="1131" t="s">
        <v>137</v>
      </c>
      <c r="M9" s="1131" t="s">
        <v>137</v>
      </c>
      <c r="N9" s="1131" t="s">
        <v>198</v>
      </c>
      <c r="O9" s="1276"/>
      <c r="P9" s="1278"/>
      <c r="Q9" s="1050" t="s">
        <v>199</v>
      </c>
      <c r="R9" s="1053" t="s">
        <v>200</v>
      </c>
    </row>
    <row r="10" spans="1:18">
      <c r="A10" s="1140" t="s">
        <v>201</v>
      </c>
      <c r="B10" s="1141" t="s">
        <v>193</v>
      </c>
      <c r="C10" s="1142">
        <v>0</v>
      </c>
      <c r="D10" s="1142">
        <v>0</v>
      </c>
      <c r="E10" s="1141" t="s">
        <v>137</v>
      </c>
      <c r="F10" s="1141" t="s">
        <v>194</v>
      </c>
      <c r="G10" s="1141" t="s">
        <v>195</v>
      </c>
      <c r="H10" s="1141" t="s">
        <v>202</v>
      </c>
      <c r="I10" s="1141" t="s">
        <v>173</v>
      </c>
      <c r="J10" s="1141" t="s">
        <v>197</v>
      </c>
      <c r="K10" s="1141" t="s">
        <v>137</v>
      </c>
      <c r="L10" s="1141" t="s">
        <v>137</v>
      </c>
      <c r="M10" s="1141" t="s">
        <v>137</v>
      </c>
      <c r="N10" s="1141" t="s">
        <v>198</v>
      </c>
      <c r="O10" s="1276"/>
      <c r="P10" s="1278">
        <f t="shared" ref="P10:P59" ca="1" si="0">IF(DATE(RIGHT(H10,4),LEFT(H10,2),15)-TODAY()&lt;=365,1,0)</f>
        <v>0</v>
      </c>
    </row>
    <row r="11" spans="1:18">
      <c r="A11" s="1143" t="s">
        <v>203</v>
      </c>
      <c r="B11" s="1144"/>
      <c r="C11" s="1145">
        <v>4665</v>
      </c>
      <c r="D11" s="1145">
        <v>4665</v>
      </c>
      <c r="E11" s="1144"/>
      <c r="F11" s="1144"/>
      <c r="G11" s="1144"/>
      <c r="H11" s="1144"/>
      <c r="I11" s="1144"/>
      <c r="J11" s="1144"/>
      <c r="K11" s="1144"/>
      <c r="L11" s="1144"/>
      <c r="M11" s="1144"/>
      <c r="N11" s="1144"/>
      <c r="O11" s="1276">
        <f t="shared" ref="O11:O59" si="1">K11/100*D11</f>
        <v>0</v>
      </c>
      <c r="P11" s="1278"/>
      <c r="Q11" s="16"/>
    </row>
    <row r="12" spans="1:18">
      <c r="A12" s="1140" t="s">
        <v>204</v>
      </c>
      <c r="B12" s="1141" t="s">
        <v>205</v>
      </c>
      <c r="C12" s="1146">
        <v>2865</v>
      </c>
      <c r="D12" s="1146">
        <v>2865</v>
      </c>
      <c r="E12" s="1147">
        <v>4.7500000000000001E-2</v>
      </c>
      <c r="F12" s="1141" t="s">
        <v>194</v>
      </c>
      <c r="G12" s="1141" t="s">
        <v>206</v>
      </c>
      <c r="H12" s="1141" t="s">
        <v>207</v>
      </c>
      <c r="I12" s="1141" t="s">
        <v>173</v>
      </c>
      <c r="J12" s="1141" t="s">
        <v>197</v>
      </c>
      <c r="K12" s="1148">
        <v>106.25</v>
      </c>
      <c r="L12" s="1141">
        <f ca="1">AVERAGE(L$35:L$43)+0.2*(_xlfn.DAYS(H16,TODAY())/365)</f>
        <v>2.5261796042617961</v>
      </c>
      <c r="M12" s="1141" t="s">
        <v>137</v>
      </c>
      <c r="N12" s="1141" t="s">
        <v>198</v>
      </c>
      <c r="O12" s="1276">
        <f t="shared" si="1"/>
        <v>3044.0625</v>
      </c>
      <c r="P12" s="1278">
        <f t="shared" ca="1" si="0"/>
        <v>0</v>
      </c>
      <c r="Q12" s="16"/>
    </row>
    <row r="13" spans="1:18" ht="15" customHeight="1">
      <c r="A13" s="1136" t="s">
        <v>137</v>
      </c>
      <c r="B13" s="1131" t="s">
        <v>208</v>
      </c>
      <c r="C13" s="1149">
        <v>592</v>
      </c>
      <c r="D13" s="1149">
        <v>592</v>
      </c>
      <c r="E13" s="1131" t="s">
        <v>209</v>
      </c>
      <c r="F13" s="1131" t="s">
        <v>194</v>
      </c>
      <c r="G13" s="1131" t="s">
        <v>137</v>
      </c>
      <c r="H13" s="1131" t="s">
        <v>209</v>
      </c>
      <c r="I13" s="1131" t="s">
        <v>173</v>
      </c>
      <c r="J13" s="1131" t="s">
        <v>190</v>
      </c>
      <c r="K13" s="1131" t="s">
        <v>137</v>
      </c>
      <c r="L13" s="1131" t="s">
        <v>137</v>
      </c>
      <c r="M13" s="1131" t="s">
        <v>137</v>
      </c>
      <c r="N13" s="1132"/>
      <c r="O13" s="1276">
        <f>D13</f>
        <v>592</v>
      </c>
      <c r="P13" s="1278"/>
    </row>
    <row r="14" spans="1:18">
      <c r="A14" s="1140" t="s">
        <v>137</v>
      </c>
      <c r="B14" s="1141" t="s">
        <v>210</v>
      </c>
      <c r="C14" s="1150">
        <v>1208</v>
      </c>
      <c r="D14" s="1150">
        <v>1208</v>
      </c>
      <c r="E14" s="1141" t="s">
        <v>209</v>
      </c>
      <c r="F14" s="1141" t="s">
        <v>137</v>
      </c>
      <c r="G14" s="1141" t="s">
        <v>137</v>
      </c>
      <c r="H14" s="1141" t="s">
        <v>209</v>
      </c>
      <c r="I14" s="1141" t="s">
        <v>173</v>
      </c>
      <c r="J14" s="1141" t="s">
        <v>190</v>
      </c>
      <c r="K14" s="1141" t="s">
        <v>137</v>
      </c>
      <c r="L14" s="1141" t="s">
        <v>137</v>
      </c>
      <c r="M14" s="1141" t="s">
        <v>137</v>
      </c>
      <c r="N14" s="1151"/>
      <c r="O14" s="1276">
        <f>D14</f>
        <v>1208</v>
      </c>
      <c r="P14" s="1278"/>
      <c r="Q14" s="16"/>
    </row>
    <row r="15" spans="1:18">
      <c r="A15" s="1143" t="s">
        <v>211</v>
      </c>
      <c r="B15" s="1144"/>
      <c r="C15" s="1152">
        <v>22128</v>
      </c>
      <c r="D15" s="1153">
        <v>22025.8</v>
      </c>
      <c r="E15" s="1144"/>
      <c r="F15" s="1144"/>
      <c r="G15" s="1144"/>
      <c r="H15" s="1144"/>
      <c r="I15" s="1144"/>
      <c r="J15" s="1144"/>
      <c r="K15" s="1144"/>
      <c r="L15" s="1144"/>
      <c r="M15" s="1144"/>
      <c r="N15" s="1144"/>
      <c r="O15" s="1276"/>
      <c r="P15" s="1278"/>
      <c r="Q15" s="16"/>
      <c r="R15" s="1054"/>
    </row>
    <row r="16" spans="1:18">
      <c r="A16" s="1140" t="s">
        <v>212</v>
      </c>
      <c r="B16" s="1141" t="s">
        <v>213</v>
      </c>
      <c r="C16" s="1154">
        <v>56.3</v>
      </c>
      <c r="D16" s="1154">
        <v>56.3</v>
      </c>
      <c r="E16" s="1155">
        <v>0.05</v>
      </c>
      <c r="F16" s="1141" t="s">
        <v>214</v>
      </c>
      <c r="G16" s="1141" t="s">
        <v>215</v>
      </c>
      <c r="H16" s="1141" t="s">
        <v>216</v>
      </c>
      <c r="I16" s="1141" t="s">
        <v>173</v>
      </c>
      <c r="J16" s="1141" t="s">
        <v>197</v>
      </c>
      <c r="K16" s="1274">
        <f ca="1">100/((L16/100)+1)^(_xlfn.DAYS(H16,TODAY())/365)</f>
        <v>100.5620490106013</v>
      </c>
      <c r="L16" s="1275">
        <f ca="1">AVERAGE(L$35:L$43)+0.2*(_xlfn.DAYS(H16,TODAY())/365)</f>
        <v>2.5261796042617961</v>
      </c>
      <c r="M16" s="1273"/>
      <c r="N16" s="1151"/>
      <c r="O16" s="1276">
        <f ca="1">K16/100*D16</f>
        <v>56.616433592968534</v>
      </c>
      <c r="P16" s="1278">
        <f ca="1">IF(DATE(RIGHT(H16,4),LEFT(H16,2),15)-TODAY()&lt;=365,1,0)</f>
        <v>1</v>
      </c>
      <c r="Q16" s="16">
        <f ca="1">_xlfn.DAYS(H16,TODAY())/365</f>
        <v>-0.22465753424657534</v>
      </c>
      <c r="R16" s="1052">
        <f t="shared" ref="R16:R17" ca="1" si="2">L16/100+Q$3</f>
        <v>2.5261796042617961E-2</v>
      </c>
    </row>
    <row r="17" spans="1:29">
      <c r="A17" s="1136" t="s">
        <v>217</v>
      </c>
      <c r="B17" s="1131" t="s">
        <v>213</v>
      </c>
      <c r="C17" s="1156">
        <v>60.3</v>
      </c>
      <c r="D17" s="1156">
        <v>60.3</v>
      </c>
      <c r="E17" s="1157">
        <v>0.05</v>
      </c>
      <c r="F17" s="1131" t="s">
        <v>214</v>
      </c>
      <c r="G17" s="1131" t="s">
        <v>215</v>
      </c>
      <c r="H17" s="1131" t="s">
        <v>218</v>
      </c>
      <c r="I17" s="1131" t="s">
        <v>173</v>
      </c>
      <c r="J17" s="1131" t="s">
        <v>197</v>
      </c>
      <c r="K17" s="1274">
        <f t="shared" ref="K17:K34" ca="1" si="3">100/((L17/100)+1)^(_xlfn.DAYS(H17,TODAY())/365)</f>
        <v>97.936170552190092</v>
      </c>
      <c r="L17" s="1275">
        <f t="shared" ref="L17:L34" ca="1" si="4">AVERAGE(L$35:L$43)+0.2*(_xlfn.DAYS(H17,TODAY())/365)</f>
        <v>2.7261796042617963</v>
      </c>
      <c r="M17" s="1131" t="s">
        <v>137</v>
      </c>
      <c r="N17" s="1132"/>
      <c r="O17" s="1276">
        <f t="shared" ca="1" si="1"/>
        <v>59.055510842970627</v>
      </c>
      <c r="P17" s="1278">
        <f t="shared" ca="1" si="0"/>
        <v>1</v>
      </c>
      <c r="Q17" s="16">
        <f t="shared" ref="Q17:Q59" ca="1" si="5">_xlfn.DAYS(H17,TODAY())/365</f>
        <v>0.77534246575342469</v>
      </c>
      <c r="R17" s="1052">
        <f t="shared" ca="1" si="2"/>
        <v>2.7261796042617963E-2</v>
      </c>
    </row>
    <row r="18" spans="1:29">
      <c r="A18" s="1140" t="s">
        <v>219</v>
      </c>
      <c r="B18" s="1141" t="s">
        <v>213</v>
      </c>
      <c r="C18" s="1154">
        <v>64.599999999999994</v>
      </c>
      <c r="D18" s="1154">
        <v>64.599999999999994</v>
      </c>
      <c r="E18" s="1155">
        <v>0.05</v>
      </c>
      <c r="F18" s="1141" t="s">
        <v>214</v>
      </c>
      <c r="G18" s="1141" t="s">
        <v>215</v>
      </c>
      <c r="H18" s="1141" t="s">
        <v>220</v>
      </c>
      <c r="I18" s="1141" t="s">
        <v>173</v>
      </c>
      <c r="J18" s="1141" t="s">
        <v>197</v>
      </c>
      <c r="K18" s="1274">
        <f t="shared" ca="1" si="3"/>
        <v>95.00846931930424</v>
      </c>
      <c r="L18" s="1275">
        <f t="shared" ca="1" si="4"/>
        <v>2.926179604261796</v>
      </c>
      <c r="M18" s="1141" t="s">
        <v>137</v>
      </c>
      <c r="N18" s="1151"/>
      <c r="O18" s="1276">
        <f t="shared" ca="1" si="1"/>
        <v>61.375471180270537</v>
      </c>
      <c r="P18" s="1278">
        <f t="shared" ca="1" si="0"/>
        <v>0</v>
      </c>
      <c r="Q18" s="16">
        <f t="shared" ca="1" si="5"/>
        <v>1.7753424657534247</v>
      </c>
      <c r="R18" s="1052">
        <f ca="1">L18/100+Q$3</f>
        <v>2.9261796042617961E-2</v>
      </c>
    </row>
    <row r="19" spans="1:29" ht="15" customHeight="1">
      <c r="A19" s="1136" t="s">
        <v>221</v>
      </c>
      <c r="B19" s="1131" t="s">
        <v>213</v>
      </c>
      <c r="C19" s="1158">
        <v>69.099999999999994</v>
      </c>
      <c r="D19" s="1158">
        <v>69.099999999999994</v>
      </c>
      <c r="E19" s="1157">
        <v>0.05</v>
      </c>
      <c r="F19" s="1131" t="s">
        <v>214</v>
      </c>
      <c r="G19" s="1131" t="s">
        <v>215</v>
      </c>
      <c r="H19" s="1131" t="s">
        <v>222</v>
      </c>
      <c r="I19" s="1131" t="s">
        <v>173</v>
      </c>
      <c r="J19" s="1131" t="s">
        <v>197</v>
      </c>
      <c r="K19" s="1274">
        <f t="shared" ca="1" si="3"/>
        <v>91.802309109256498</v>
      </c>
      <c r="L19" s="1275">
        <f t="shared" ca="1" si="4"/>
        <v>3.1267275494672755</v>
      </c>
      <c r="M19" s="1131" t="s">
        <v>137</v>
      </c>
      <c r="N19" s="1132"/>
      <c r="O19" s="1276">
        <f t="shared" ca="1" si="1"/>
        <v>63.435395594496235</v>
      </c>
      <c r="P19" s="1278">
        <f t="shared" ca="1" si="0"/>
        <v>0</v>
      </c>
      <c r="Q19" s="16">
        <f t="shared" ca="1" si="5"/>
        <v>2.7780821917808218</v>
      </c>
      <c r="R19" s="1054">
        <f ca="1">L19/100+$Q$3</f>
        <v>3.1267275494672758E-2</v>
      </c>
    </row>
    <row r="20" spans="1:29" ht="15" customHeight="1">
      <c r="A20" s="1140" t="s">
        <v>223</v>
      </c>
      <c r="B20" s="1141" t="s">
        <v>213</v>
      </c>
      <c r="C20" s="1154">
        <v>73.8</v>
      </c>
      <c r="D20" s="1154">
        <v>73.8</v>
      </c>
      <c r="E20" s="1155">
        <v>0.05</v>
      </c>
      <c r="F20" s="1141" t="s">
        <v>214</v>
      </c>
      <c r="G20" s="1141" t="s">
        <v>215</v>
      </c>
      <c r="H20" s="1141" t="s">
        <v>224</v>
      </c>
      <c r="I20" s="1141" t="s">
        <v>173</v>
      </c>
      <c r="J20" s="1141" t="s">
        <v>197</v>
      </c>
      <c r="K20" s="1274">
        <f t="shared" ca="1" si="3"/>
        <v>88.369692803011645</v>
      </c>
      <c r="L20" s="1275">
        <f t="shared" ca="1" si="4"/>
        <v>3.3267275494672757</v>
      </c>
      <c r="M20" s="1141" t="s">
        <v>137</v>
      </c>
      <c r="N20" s="1151"/>
      <c r="O20" s="1276">
        <f t="shared" ca="1" si="1"/>
        <v>65.216833288622595</v>
      </c>
      <c r="P20" s="1278">
        <f t="shared" ca="1" si="0"/>
        <v>0</v>
      </c>
      <c r="Q20" s="16">
        <f t="shared" ca="1" si="5"/>
        <v>3.7780821917808218</v>
      </c>
      <c r="R20" s="1054">
        <f ca="1">L20/100+$Q$3</f>
        <v>3.326727549467276E-2</v>
      </c>
    </row>
    <row r="21" spans="1:29" ht="15" customHeight="1">
      <c r="A21" s="1136" t="s">
        <v>225</v>
      </c>
      <c r="B21" s="1131" t="s">
        <v>213</v>
      </c>
      <c r="C21" s="1158">
        <v>78.8</v>
      </c>
      <c r="D21" s="1158">
        <v>78.8</v>
      </c>
      <c r="E21" s="1157">
        <v>0.05</v>
      </c>
      <c r="F21" s="1131" t="s">
        <v>214</v>
      </c>
      <c r="G21" s="1131" t="s">
        <v>215</v>
      </c>
      <c r="H21" s="1131" t="s">
        <v>226</v>
      </c>
      <c r="I21" s="1131" t="s">
        <v>173</v>
      </c>
      <c r="J21" s="1131" t="s">
        <v>197</v>
      </c>
      <c r="K21" s="1274">
        <f t="shared" ca="1" si="3"/>
        <v>84.737955856569258</v>
      </c>
      <c r="L21" s="1275">
        <f t="shared" ca="1" si="4"/>
        <v>3.5267275494672754</v>
      </c>
      <c r="M21" s="1131" t="s">
        <v>137</v>
      </c>
      <c r="N21" s="1132"/>
      <c r="O21" s="1276">
        <f t="shared" ca="1" si="1"/>
        <v>66.773509214976571</v>
      </c>
      <c r="P21" s="1278">
        <f t="shared" ca="1" si="0"/>
        <v>0</v>
      </c>
      <c r="Q21" s="16">
        <f t="shared" ca="1" si="5"/>
        <v>4.7780821917808218</v>
      </c>
      <c r="R21" s="1054">
        <f t="shared" ref="R21:R28" ca="1" si="6">L21/100+$Q$4</f>
        <v>4.2567275494672756E-2</v>
      </c>
      <c r="V21" s="1048" t="s">
        <v>227</v>
      </c>
      <c r="W21" s="1048" t="s">
        <v>228</v>
      </c>
      <c r="X21" s="1048" t="s">
        <v>229</v>
      </c>
      <c r="Y21" s="1048" t="s">
        <v>230</v>
      </c>
      <c r="Z21" s="1048" t="s">
        <v>231</v>
      </c>
      <c r="AA21" s="1048" t="s">
        <v>232</v>
      </c>
      <c r="AC21" s="1043"/>
    </row>
    <row r="22" spans="1:29" ht="15" customHeight="1">
      <c r="A22" s="1140" t="s">
        <v>233</v>
      </c>
      <c r="B22" s="1141" t="s">
        <v>213</v>
      </c>
      <c r="C22" s="1159">
        <v>84</v>
      </c>
      <c r="D22" s="1159">
        <v>84</v>
      </c>
      <c r="E22" s="1155">
        <v>0.05</v>
      </c>
      <c r="F22" s="1141" t="s">
        <v>214</v>
      </c>
      <c r="G22" s="1141" t="s">
        <v>215</v>
      </c>
      <c r="H22" s="1141" t="s">
        <v>234</v>
      </c>
      <c r="I22" s="1141" t="s">
        <v>173</v>
      </c>
      <c r="J22" s="1141" t="s">
        <v>197</v>
      </c>
      <c r="K22" s="1274">
        <f t="shared" ca="1" si="3"/>
        <v>80.943571724363309</v>
      </c>
      <c r="L22" s="1275">
        <f t="shared" ca="1" si="4"/>
        <v>3.7267275494672756</v>
      </c>
      <c r="M22" s="1141" t="s">
        <v>137</v>
      </c>
      <c r="N22" s="1151"/>
      <c r="O22" s="1276">
        <f t="shared" ca="1" si="1"/>
        <v>67.99260024846518</v>
      </c>
      <c r="P22" s="1278">
        <f t="shared" ca="1" si="0"/>
        <v>0</v>
      </c>
      <c r="Q22" s="16">
        <f t="shared" ca="1" si="5"/>
        <v>5.7780821917808218</v>
      </c>
      <c r="R22" s="1054">
        <f t="shared" ca="1" si="6"/>
        <v>4.4567275494672758E-2</v>
      </c>
      <c r="V22" s="16" t="s">
        <v>235</v>
      </c>
      <c r="W22" s="16">
        <v>0.04</v>
      </c>
      <c r="X22" s="1049">
        <v>4.0000000000000002E-4</v>
      </c>
    </row>
    <row r="23" spans="1:29" ht="15" customHeight="1">
      <c r="A23" s="1136" t="s">
        <v>236</v>
      </c>
      <c r="B23" s="1131" t="s">
        <v>213</v>
      </c>
      <c r="C23" s="1158">
        <v>89.6</v>
      </c>
      <c r="D23" s="1158">
        <v>89.6</v>
      </c>
      <c r="E23" s="1157">
        <v>0.05</v>
      </c>
      <c r="F23" s="1131" t="s">
        <v>214</v>
      </c>
      <c r="G23" s="1131" t="s">
        <v>215</v>
      </c>
      <c r="H23" s="1131" t="s">
        <v>237</v>
      </c>
      <c r="I23" s="1131" t="s">
        <v>173</v>
      </c>
      <c r="J23" s="1131" t="s">
        <v>197</v>
      </c>
      <c r="K23" s="1274">
        <f t="shared" ca="1" si="3"/>
        <v>77.012275121540569</v>
      </c>
      <c r="L23" s="1275">
        <f t="shared" ca="1" si="4"/>
        <v>3.9272754946727551</v>
      </c>
      <c r="M23" s="1131" t="s">
        <v>137</v>
      </c>
      <c r="N23" s="1132"/>
      <c r="O23" s="1276">
        <f t="shared" ca="1" si="1"/>
        <v>69.002998508900333</v>
      </c>
      <c r="P23" s="1278">
        <f t="shared" ca="1" si="0"/>
        <v>0</v>
      </c>
      <c r="Q23" s="16">
        <f t="shared" ca="1" si="5"/>
        <v>6.7808219178082192</v>
      </c>
      <c r="R23" s="1054">
        <f t="shared" ca="1" si="6"/>
        <v>4.6572754946727551E-2</v>
      </c>
      <c r="V23" s="16" t="s">
        <v>238</v>
      </c>
      <c r="W23" s="16">
        <v>6.8500000000000005E-2</v>
      </c>
      <c r="X23" s="1049">
        <v>6.8499999999999995E-4</v>
      </c>
    </row>
    <row r="24" spans="1:29" ht="15" customHeight="1">
      <c r="A24" s="1140" t="s">
        <v>239</v>
      </c>
      <c r="B24" s="1141" t="s">
        <v>213</v>
      </c>
      <c r="C24" s="1154">
        <v>95.4</v>
      </c>
      <c r="D24" s="1154">
        <v>95.4</v>
      </c>
      <c r="E24" s="1155">
        <v>0.05</v>
      </c>
      <c r="F24" s="1141" t="s">
        <v>214</v>
      </c>
      <c r="G24" s="1141" t="s">
        <v>215</v>
      </c>
      <c r="H24" s="1141" t="s">
        <v>240</v>
      </c>
      <c r="I24" s="1141" t="s">
        <v>173</v>
      </c>
      <c r="J24" s="1141" t="s">
        <v>197</v>
      </c>
      <c r="K24" s="1274">
        <f t="shared" ca="1" si="3"/>
        <v>73.001824313873897</v>
      </c>
      <c r="L24" s="1275">
        <f t="shared" ca="1" si="4"/>
        <v>4.1272754946727552</v>
      </c>
      <c r="M24" s="1141" t="s">
        <v>137</v>
      </c>
      <c r="N24" s="1151"/>
      <c r="O24" s="1276">
        <f t="shared" ca="1" si="1"/>
        <v>69.643740395435699</v>
      </c>
      <c r="P24" s="1278">
        <f t="shared" ca="1" si="0"/>
        <v>0</v>
      </c>
      <c r="Q24" s="16">
        <f t="shared" ca="1" si="5"/>
        <v>7.7808219178082192</v>
      </c>
      <c r="R24" s="1054">
        <f t="shared" ca="1" si="6"/>
        <v>4.8572754946727553E-2</v>
      </c>
      <c r="V24" s="16" t="s">
        <v>241</v>
      </c>
      <c r="W24" s="16">
        <v>0.05</v>
      </c>
      <c r="X24" s="1049">
        <v>5.0000000000000001E-4</v>
      </c>
    </row>
    <row r="25" spans="1:29">
      <c r="A25" s="1136" t="s">
        <v>242</v>
      </c>
      <c r="B25" s="1131" t="s">
        <v>243</v>
      </c>
      <c r="C25" s="1160">
        <v>220.3</v>
      </c>
      <c r="D25" s="1160">
        <v>220.3</v>
      </c>
      <c r="E25" s="1157">
        <v>0.04</v>
      </c>
      <c r="F25" s="1131" t="s">
        <v>214</v>
      </c>
      <c r="G25" s="1131" t="s">
        <v>206</v>
      </c>
      <c r="H25" s="1131" t="s">
        <v>244</v>
      </c>
      <c r="I25" s="1131" t="s">
        <v>173</v>
      </c>
      <c r="J25" s="1131" t="s">
        <v>197</v>
      </c>
      <c r="K25" s="1274">
        <f t="shared" ca="1" si="3"/>
        <v>69.964718355866921</v>
      </c>
      <c r="L25" s="1275">
        <f t="shared" ca="1" si="4"/>
        <v>4.2768645357686452</v>
      </c>
      <c r="M25" s="1131" t="s">
        <v>137</v>
      </c>
      <c r="N25" s="1132"/>
      <c r="O25" s="1276">
        <f t="shared" ca="1" si="1"/>
        <v>154.13227453797484</v>
      </c>
      <c r="P25" s="1278">
        <f t="shared" ca="1" si="0"/>
        <v>0</v>
      </c>
      <c r="Q25" s="16">
        <f t="shared" ca="1" si="5"/>
        <v>8.5287671232876718</v>
      </c>
      <c r="R25" s="1054">
        <f t="shared" ca="1" si="6"/>
        <v>5.0068645357686452E-2</v>
      </c>
      <c r="V25" s="16" t="s">
        <v>245</v>
      </c>
      <c r="W25" s="16">
        <v>5.7500000000000002E-2</v>
      </c>
      <c r="X25" s="1049">
        <v>5.7499999999999999E-4</v>
      </c>
      <c r="AA25" s="1052">
        <f ca="1">AVERAGE(R31:R36)</f>
        <v>4.7622019279553535E-2</v>
      </c>
    </row>
    <row r="26" spans="1:29">
      <c r="A26" s="1140" t="s">
        <v>246</v>
      </c>
      <c r="B26" s="1141" t="s">
        <v>213</v>
      </c>
      <c r="C26" s="1161">
        <v>101.5</v>
      </c>
      <c r="D26" s="1161">
        <v>101.5</v>
      </c>
      <c r="E26" s="1155">
        <v>0.05</v>
      </c>
      <c r="F26" s="1141" t="s">
        <v>214</v>
      </c>
      <c r="G26" s="1141" t="s">
        <v>215</v>
      </c>
      <c r="H26" s="1141" t="s">
        <v>247</v>
      </c>
      <c r="I26" s="1141" t="s">
        <v>173</v>
      </c>
      <c r="J26" s="1141" t="s">
        <v>197</v>
      </c>
      <c r="K26" s="1274">
        <f t="shared" ca="1" si="3"/>
        <v>68.93687867881377</v>
      </c>
      <c r="L26" s="1275">
        <f t="shared" ca="1" si="4"/>
        <v>4.3272754946727545</v>
      </c>
      <c r="M26" s="1141" t="s">
        <v>137</v>
      </c>
      <c r="N26" s="1151"/>
      <c r="O26" s="1276">
        <f t="shared" ca="1" si="1"/>
        <v>69.970931858995982</v>
      </c>
      <c r="P26" s="1278">
        <f t="shared" ca="1" si="0"/>
        <v>0</v>
      </c>
      <c r="Q26" s="16">
        <f t="shared" ca="1" si="5"/>
        <v>8.7808219178082183</v>
      </c>
      <c r="R26" s="1054">
        <f t="shared" ca="1" si="6"/>
        <v>5.0572754946727548E-2</v>
      </c>
      <c r="V26" s="16" t="s">
        <v>248</v>
      </c>
      <c r="W26" s="16">
        <v>0.10249999999999999</v>
      </c>
      <c r="X26" s="1049">
        <v>1.0249999999999899E-3</v>
      </c>
      <c r="Y26" s="1049">
        <f t="shared" ref="Y26:Y31" si="7">X26+Z26/10000</f>
        <v>1.9589999999999898E-3</v>
      </c>
      <c r="Z26" s="1044">
        <v>9.34</v>
      </c>
      <c r="AA26" s="1052">
        <f>AVERAGE(R37:R40)</f>
        <v>2.1275000000000002E-2</v>
      </c>
    </row>
    <row r="27" spans="1:29" ht="15" customHeight="1">
      <c r="A27" s="1136" t="s">
        <v>249</v>
      </c>
      <c r="B27" s="1131" t="s">
        <v>213</v>
      </c>
      <c r="C27" s="1162">
        <v>107.9</v>
      </c>
      <c r="D27" s="1162">
        <v>107.9</v>
      </c>
      <c r="E27" s="1157">
        <v>0.05</v>
      </c>
      <c r="F27" s="1131" t="s">
        <v>214</v>
      </c>
      <c r="G27" s="1131" t="s">
        <v>215</v>
      </c>
      <c r="H27" s="1131" t="s">
        <v>250</v>
      </c>
      <c r="I27" s="1131" t="s">
        <v>173</v>
      </c>
      <c r="J27" s="1131" t="s">
        <v>197</v>
      </c>
      <c r="K27" s="1274">
        <f t="shared" ca="1" si="3"/>
        <v>64.851258301640797</v>
      </c>
      <c r="L27" s="1275">
        <f t="shared" ca="1" si="4"/>
        <v>4.5272754946727547</v>
      </c>
      <c r="M27" s="1131" t="s">
        <v>137</v>
      </c>
      <c r="N27" s="1132"/>
      <c r="O27" s="1276">
        <f t="shared" ca="1" si="1"/>
        <v>69.974507707470423</v>
      </c>
      <c r="P27" s="1278">
        <f t="shared" ca="1" si="0"/>
        <v>0</v>
      </c>
      <c r="Q27" s="16">
        <f t="shared" ca="1" si="5"/>
        <v>9.7808219178082183</v>
      </c>
      <c r="R27" s="1054">
        <f t="shared" ca="1" si="6"/>
        <v>5.257275494672755E-2</v>
      </c>
      <c r="V27" s="16" t="s">
        <v>251</v>
      </c>
      <c r="W27" s="16">
        <v>0.41599999999999998</v>
      </c>
      <c r="X27" s="1049">
        <v>4.1599999999999996E-3</v>
      </c>
      <c r="Y27" s="1049">
        <f t="shared" si="7"/>
        <v>5.3569999999999998E-3</v>
      </c>
      <c r="Z27" s="1045">
        <v>11.97</v>
      </c>
      <c r="AA27" s="1052">
        <f>AVERAGE(R41:R43)</f>
        <v>3.4233333333333331E-2</v>
      </c>
    </row>
    <row r="28" spans="1:29" ht="15" customHeight="1">
      <c r="A28" s="1140" t="s">
        <v>252</v>
      </c>
      <c r="B28" s="1141" t="s">
        <v>213</v>
      </c>
      <c r="C28" s="1163">
        <v>114.7</v>
      </c>
      <c r="D28" s="1163">
        <v>114.7</v>
      </c>
      <c r="E28" s="1155">
        <v>0.05</v>
      </c>
      <c r="F28" s="1141" t="s">
        <v>214</v>
      </c>
      <c r="G28" s="1141" t="s">
        <v>215</v>
      </c>
      <c r="H28" s="1141" t="s">
        <v>253</v>
      </c>
      <c r="I28" s="1141" t="s">
        <v>173</v>
      </c>
      <c r="J28" s="1141" t="s">
        <v>197</v>
      </c>
      <c r="K28" s="1274">
        <f t="shared" ca="1" si="3"/>
        <v>60.765818016008581</v>
      </c>
      <c r="L28" s="1275">
        <f t="shared" ca="1" si="4"/>
        <v>4.7278234398782342</v>
      </c>
      <c r="M28" s="1141"/>
      <c r="N28" s="1151"/>
      <c r="O28" s="1276">
        <f t="shared" ca="1" si="1"/>
        <v>69.69839326436184</v>
      </c>
      <c r="P28" s="1278">
        <f t="shared" ca="1" si="0"/>
        <v>0</v>
      </c>
      <c r="Q28" s="16">
        <f t="shared" ca="1" si="5"/>
        <v>10.783561643835617</v>
      </c>
      <c r="R28" s="1054">
        <f t="shared" ca="1" si="6"/>
        <v>5.4578234398782344E-2</v>
      </c>
      <c r="V28" s="16" t="s">
        <v>254</v>
      </c>
      <c r="W28" s="16">
        <v>0.751</v>
      </c>
      <c r="X28" s="1049">
        <v>7.5100000000000002E-3</v>
      </c>
      <c r="Y28" s="1049">
        <f t="shared" si="7"/>
        <v>9.0460000000000002E-3</v>
      </c>
      <c r="Z28" s="1046">
        <v>15.36</v>
      </c>
      <c r="AA28" s="1052">
        <f ca="1">AVERAGE(R44:R48)</f>
        <v>2.9025083713850836E-2</v>
      </c>
    </row>
    <row r="29" spans="1:29">
      <c r="A29" s="1136" t="s">
        <v>255</v>
      </c>
      <c r="B29" s="1131" t="s">
        <v>213</v>
      </c>
      <c r="C29" s="1164">
        <v>121.8</v>
      </c>
      <c r="D29" s="1164">
        <v>121.8</v>
      </c>
      <c r="E29" s="1157">
        <v>0.05</v>
      </c>
      <c r="F29" s="1131" t="s">
        <v>214</v>
      </c>
      <c r="G29" s="1131" t="s">
        <v>215</v>
      </c>
      <c r="H29" s="1131" t="s">
        <v>256</v>
      </c>
      <c r="I29" s="1131" t="s">
        <v>173</v>
      </c>
      <c r="J29" s="1131" t="s">
        <v>197</v>
      </c>
      <c r="K29" s="1274">
        <f t="shared" ca="1" si="3"/>
        <v>56.732715371245092</v>
      </c>
      <c r="L29" s="1275">
        <f t="shared" ca="1" si="4"/>
        <v>4.9278234398782343</v>
      </c>
      <c r="M29" s="1131"/>
      <c r="N29" s="1132"/>
      <c r="O29" s="1276">
        <f t="shared" ca="1" si="1"/>
        <v>69.100447322176521</v>
      </c>
      <c r="P29" s="1278">
        <f t="shared" ca="1" si="0"/>
        <v>0</v>
      </c>
      <c r="Q29" s="16">
        <f t="shared" ca="1" si="5"/>
        <v>11.783561643835617</v>
      </c>
      <c r="R29" s="1054">
        <f ca="1">L29/100+$Q$5</f>
        <v>5.4278234398782342E-2</v>
      </c>
      <c r="V29" s="16" t="s">
        <v>257</v>
      </c>
      <c r="W29" s="16">
        <v>5</v>
      </c>
      <c r="X29" s="1049">
        <v>1.2001E-2</v>
      </c>
      <c r="Y29" s="1049">
        <f t="shared" si="7"/>
        <v>1.4411E-2</v>
      </c>
      <c r="Z29" s="1045">
        <v>24.1</v>
      </c>
      <c r="AA29" s="1052">
        <f ca="1">AVERAGE(R49:R61)</f>
        <v>3.769168396291684E-2</v>
      </c>
      <c r="AC29" s="1043"/>
    </row>
    <row r="30" spans="1:29">
      <c r="A30" s="1140" t="s">
        <v>258</v>
      </c>
      <c r="B30" s="1141" t="s">
        <v>243</v>
      </c>
      <c r="C30" s="1161">
        <v>304.39999999999998</v>
      </c>
      <c r="D30" s="1161">
        <v>304.39999999999998</v>
      </c>
      <c r="E30" s="1155">
        <v>0.05</v>
      </c>
      <c r="F30" s="1141" t="s">
        <v>214</v>
      </c>
      <c r="G30" s="1141" t="s">
        <v>206</v>
      </c>
      <c r="H30" s="1141" t="s">
        <v>259</v>
      </c>
      <c r="I30" s="1141" t="s">
        <v>173</v>
      </c>
      <c r="J30" s="1141" t="s">
        <v>197</v>
      </c>
      <c r="K30" s="1274">
        <f t="shared" ca="1" si="3"/>
        <v>49.86215650792284</v>
      </c>
      <c r="L30" s="1275">
        <f t="shared" ca="1" si="4"/>
        <v>5.2774124809741245</v>
      </c>
      <c r="M30" s="1141" t="s">
        <v>137</v>
      </c>
      <c r="N30" s="1151"/>
      <c r="O30" s="1276">
        <f t="shared" ca="1" si="1"/>
        <v>151.78040441011711</v>
      </c>
      <c r="P30" s="1278">
        <f t="shared" ca="1" si="0"/>
        <v>0</v>
      </c>
      <c r="Q30" s="16">
        <f t="shared" ca="1" si="5"/>
        <v>13.531506849315068</v>
      </c>
      <c r="R30" s="1054">
        <f ca="1">L30/100+$Q$5</f>
        <v>5.7774124809741242E-2</v>
      </c>
      <c r="V30" s="16" t="s">
        <v>260</v>
      </c>
      <c r="W30" s="16">
        <v>7</v>
      </c>
      <c r="X30" s="1049">
        <v>1.4997999999999999E-2</v>
      </c>
      <c r="Y30" s="1049">
        <f t="shared" si="7"/>
        <v>1.7874000000000001E-2</v>
      </c>
      <c r="Z30" s="1046">
        <v>28.76</v>
      </c>
      <c r="AA30" s="1052" t="e">
        <f>AVERAGE(R62)</f>
        <v>#DIV/0!</v>
      </c>
    </row>
    <row r="31" spans="1:29" ht="15" customHeight="1">
      <c r="A31" s="1136" t="s">
        <v>261</v>
      </c>
      <c r="B31" s="1131" t="s">
        <v>213</v>
      </c>
      <c r="C31" s="1149">
        <v>125</v>
      </c>
      <c r="D31" s="1149">
        <v>125</v>
      </c>
      <c r="E31" s="1157">
        <v>0.04</v>
      </c>
      <c r="F31" s="1131" t="s">
        <v>214</v>
      </c>
      <c r="G31" s="1131" t="s">
        <v>215</v>
      </c>
      <c r="H31" s="1131" t="s">
        <v>262</v>
      </c>
      <c r="I31" s="1131" t="s">
        <v>173</v>
      </c>
      <c r="J31" s="1131" t="s">
        <v>197</v>
      </c>
      <c r="K31" s="1274">
        <f t="shared" ca="1" si="3"/>
        <v>48.896261724630989</v>
      </c>
      <c r="L31" s="1275">
        <f t="shared" ca="1" si="4"/>
        <v>5.3278234398782347</v>
      </c>
      <c r="M31" s="1131" t="s">
        <v>137</v>
      </c>
      <c r="N31" s="1132"/>
      <c r="O31" s="1276">
        <f t="shared" ca="1" si="1"/>
        <v>61.120327155788736</v>
      </c>
      <c r="P31" s="1278">
        <f t="shared" ca="1" si="0"/>
        <v>0</v>
      </c>
      <c r="Q31" s="16">
        <f t="shared" ca="1" si="5"/>
        <v>13.783561643835617</v>
      </c>
      <c r="R31" s="1052">
        <f t="shared" ref="R31:R59" ca="1" si="8">L31/100+$Q$2</f>
        <v>5.3278234398782348E-2</v>
      </c>
      <c r="V31" s="16" t="s">
        <v>263</v>
      </c>
      <c r="W31" s="16">
        <v>10</v>
      </c>
      <c r="X31" s="1049">
        <v>1.6729000000000001E-2</v>
      </c>
      <c r="Y31" s="1049">
        <f t="shared" si="7"/>
        <v>2.0449999999999999E-2</v>
      </c>
      <c r="Z31" s="1045">
        <v>37.21</v>
      </c>
      <c r="AA31" s="1052" t="e">
        <f>AVERAGE(R63:R68)</f>
        <v>#DIV/0!</v>
      </c>
    </row>
    <row r="32" spans="1:29" ht="15" customHeight="1">
      <c r="A32" s="1140" t="s">
        <v>264</v>
      </c>
      <c r="B32" s="1141" t="s">
        <v>213</v>
      </c>
      <c r="C32" s="1165">
        <v>140.80000000000001</v>
      </c>
      <c r="D32" s="1165">
        <v>140.80000000000001</v>
      </c>
      <c r="E32" s="1155">
        <v>0.05</v>
      </c>
      <c r="F32" s="1141" t="s">
        <v>214</v>
      </c>
      <c r="G32" s="1141" t="s">
        <v>215</v>
      </c>
      <c r="H32" s="1141" t="s">
        <v>262</v>
      </c>
      <c r="I32" s="1141" t="s">
        <v>173</v>
      </c>
      <c r="J32" s="1141" t="s">
        <v>197</v>
      </c>
      <c r="K32" s="1274">
        <f t="shared" ca="1" si="3"/>
        <v>48.896261724630989</v>
      </c>
      <c r="L32" s="1275">
        <f t="shared" ca="1" si="4"/>
        <v>5.3278234398782347</v>
      </c>
      <c r="M32" s="1141" t="s">
        <v>137</v>
      </c>
      <c r="N32" s="1151"/>
      <c r="O32" s="1276">
        <f t="shared" ca="1" si="1"/>
        <v>68.845936508280445</v>
      </c>
      <c r="P32" s="1278">
        <f t="shared" ca="1" si="0"/>
        <v>0</v>
      </c>
      <c r="Q32" s="16">
        <f t="shared" ca="1" si="5"/>
        <v>13.783561643835617</v>
      </c>
      <c r="R32" s="1052">
        <f t="shared" ca="1" si="8"/>
        <v>5.3278234398782348E-2</v>
      </c>
      <c r="V32" s="16" t="s">
        <v>265</v>
      </c>
      <c r="W32" s="16">
        <v>20</v>
      </c>
      <c r="X32" s="1049">
        <v>2.112E-2</v>
      </c>
      <c r="AA32" s="1052" t="e">
        <f>AVERAGE(R69:R72)</f>
        <v>#DIV/0!</v>
      </c>
    </row>
    <row r="33" spans="1:27" ht="15" customHeight="1">
      <c r="A33" s="1136" t="s">
        <v>266</v>
      </c>
      <c r="B33" s="1131" t="s">
        <v>243</v>
      </c>
      <c r="C33" s="1164">
        <v>421.3</v>
      </c>
      <c r="D33" s="1164">
        <v>421.3</v>
      </c>
      <c r="E33" s="1157">
        <v>0.05</v>
      </c>
      <c r="F33" s="1131" t="s">
        <v>214</v>
      </c>
      <c r="G33" s="1131" t="s">
        <v>206</v>
      </c>
      <c r="H33" s="1131" t="s">
        <v>267</v>
      </c>
      <c r="I33" s="1131" t="s">
        <v>173</v>
      </c>
      <c r="J33" s="1131" t="s">
        <v>197</v>
      </c>
      <c r="K33" s="1274">
        <f t="shared" ca="1" si="3"/>
        <v>32.343055638921079</v>
      </c>
      <c r="L33" s="1275">
        <f t="shared" ca="1" si="4"/>
        <v>6.2785083713850831</v>
      </c>
      <c r="M33" s="1131" t="s">
        <v>137</v>
      </c>
      <c r="N33" s="1132"/>
      <c r="O33" s="1276">
        <f t="shared" ca="1" si="1"/>
        <v>136.26129340677451</v>
      </c>
      <c r="P33" s="1278">
        <f t="shared" ca="1" si="0"/>
        <v>0</v>
      </c>
      <c r="Q33" s="16">
        <f t="shared" ca="1" si="5"/>
        <v>18.536986301369861</v>
      </c>
      <c r="R33" s="1052">
        <f t="shared" ca="1" si="8"/>
        <v>6.2785083713850831E-2</v>
      </c>
      <c r="V33" s="16" t="s">
        <v>268</v>
      </c>
      <c r="W33" s="16">
        <v>30</v>
      </c>
      <c r="X33" s="1049">
        <v>2.1406000000000001E-2</v>
      </c>
      <c r="AA33" s="1052" t="e">
        <f>AVERAGE(#REF!)</f>
        <v>#REF!</v>
      </c>
    </row>
    <row r="34" spans="1:27" ht="15" customHeight="1">
      <c r="A34" s="1140" t="s">
        <v>269</v>
      </c>
      <c r="B34" s="1141" t="s">
        <v>243</v>
      </c>
      <c r="C34" s="1166">
        <v>565</v>
      </c>
      <c r="D34" s="1166">
        <v>565</v>
      </c>
      <c r="E34" s="1167">
        <v>4.3749999999999997E-2</v>
      </c>
      <c r="F34" s="1141" t="s">
        <v>214</v>
      </c>
      <c r="G34" s="1141" t="s">
        <v>206</v>
      </c>
      <c r="H34" s="1141" t="s">
        <v>270</v>
      </c>
      <c r="I34" s="1141" t="s">
        <v>173</v>
      </c>
      <c r="J34" s="1141" t="s">
        <v>197</v>
      </c>
      <c r="K34" s="1274">
        <f t="shared" ca="1" si="3"/>
        <v>19.128748840738165</v>
      </c>
      <c r="L34" s="1275">
        <f t="shared" ca="1" si="4"/>
        <v>7.2790563165905642</v>
      </c>
      <c r="M34" s="1141" t="s">
        <v>137</v>
      </c>
      <c r="N34" s="1151"/>
      <c r="O34" s="1276">
        <f t="shared" ca="1" si="1"/>
        <v>108.07743095017064</v>
      </c>
      <c r="P34" s="1278">
        <f t="shared" ca="1" si="0"/>
        <v>0</v>
      </c>
      <c r="Q34" s="16">
        <f t="shared" ca="1" si="5"/>
        <v>23.539726027397261</v>
      </c>
      <c r="R34" s="1052">
        <f t="shared" ca="1" si="8"/>
        <v>7.2790563165905639E-2</v>
      </c>
      <c r="Z34" s="1047" t="s">
        <v>271</v>
      </c>
    </row>
    <row r="35" spans="1:27">
      <c r="A35" s="1136" t="s">
        <v>272</v>
      </c>
      <c r="B35" s="1131" t="s">
        <v>273</v>
      </c>
      <c r="C35" s="1168">
        <v>2500</v>
      </c>
      <c r="D35" s="1168">
        <v>2500</v>
      </c>
      <c r="E35" s="1169">
        <v>4.4999999999999998E-2</v>
      </c>
      <c r="F35" s="1131" t="s">
        <v>214</v>
      </c>
      <c r="G35" s="1131" t="s">
        <v>206</v>
      </c>
      <c r="H35" s="1131" t="s">
        <v>274</v>
      </c>
      <c r="I35" s="1131" t="s">
        <v>173</v>
      </c>
      <c r="J35" s="1131" t="s">
        <v>197</v>
      </c>
      <c r="K35" s="1170">
        <v>105.62</v>
      </c>
      <c r="L35" s="1171">
        <v>2.21</v>
      </c>
      <c r="M35" s="1172">
        <v>114.03</v>
      </c>
      <c r="N35" s="1131" t="s">
        <v>198</v>
      </c>
      <c r="O35" s="1276">
        <f t="shared" si="1"/>
        <v>2640.5</v>
      </c>
      <c r="P35" s="1278">
        <f t="shared" ca="1" si="0"/>
        <v>0</v>
      </c>
      <c r="Q35" s="16">
        <f t="shared" ca="1" si="5"/>
        <v>3.526027397260274</v>
      </c>
      <c r="R35" s="1052">
        <f t="shared" si="8"/>
        <v>2.2099999999999998E-2</v>
      </c>
    </row>
    <row r="36" spans="1:27" ht="15" customHeight="1">
      <c r="A36" s="1140" t="s">
        <v>275</v>
      </c>
      <c r="B36" s="1141" t="s">
        <v>276</v>
      </c>
      <c r="C36" s="1173">
        <v>2822.8</v>
      </c>
      <c r="D36" s="1173">
        <v>2822.8</v>
      </c>
      <c r="E36" s="1155">
        <v>7.0000000000000007E-2</v>
      </c>
      <c r="F36" s="1141" t="s">
        <v>214</v>
      </c>
      <c r="G36" s="1141" t="s">
        <v>277</v>
      </c>
      <c r="H36" s="1141" t="s">
        <v>278</v>
      </c>
      <c r="I36" s="1141" t="s">
        <v>173</v>
      </c>
      <c r="J36" s="1141" t="s">
        <v>197</v>
      </c>
      <c r="K36" s="1174">
        <v>115.99</v>
      </c>
      <c r="L36" s="1175">
        <v>2.15</v>
      </c>
      <c r="M36" s="1176">
        <v>91.94</v>
      </c>
      <c r="N36" s="1141" t="s">
        <v>198</v>
      </c>
      <c r="O36" s="1276">
        <f t="shared" si="1"/>
        <v>3274.16572</v>
      </c>
      <c r="P36" s="1278">
        <f t="shared" ca="1" si="0"/>
        <v>0</v>
      </c>
      <c r="Q36" s="16">
        <f t="shared" ca="1" si="5"/>
        <v>3.106849315068493</v>
      </c>
      <c r="R36" s="1052">
        <f t="shared" si="8"/>
        <v>2.1499999999999998E-2</v>
      </c>
      <c r="X36" t="e" cm="1">
        <f t="array" ref="X36">_xll.FactSetLive.RTDFunction.1.FDSLIVE("TRYUS-FDS","RTP_PRICE_YIELD_MID")</f>
        <v>#N/A</v>
      </c>
    </row>
    <row r="37" spans="1:27" ht="15" customHeight="1">
      <c r="A37" s="1136" t="s">
        <v>279</v>
      </c>
      <c r="B37" s="1131" t="s">
        <v>273</v>
      </c>
      <c r="C37" s="1168">
        <v>3500</v>
      </c>
      <c r="D37" s="1168">
        <v>3500</v>
      </c>
      <c r="E37" s="1177">
        <v>4.7500000000000001E-2</v>
      </c>
      <c r="F37" s="1131" t="s">
        <v>214</v>
      </c>
      <c r="G37" s="1131" t="s">
        <v>206</v>
      </c>
      <c r="H37" s="1131" t="s">
        <v>280</v>
      </c>
      <c r="I37" s="1131" t="s">
        <v>173</v>
      </c>
      <c r="J37" s="1131" t="s">
        <v>197</v>
      </c>
      <c r="K37" s="1170">
        <v>109.74</v>
      </c>
      <c r="L37" s="1171">
        <v>2.85</v>
      </c>
      <c r="M37" s="1178">
        <v>137.99</v>
      </c>
      <c r="N37" s="1131" t="s">
        <v>198</v>
      </c>
      <c r="O37" s="1276">
        <f t="shared" si="1"/>
        <v>3840.8999999999996</v>
      </c>
      <c r="P37" s="1278">
        <f t="shared" ca="1" si="0"/>
        <v>0</v>
      </c>
      <c r="Q37" s="16">
        <f t="shared" ca="1" si="5"/>
        <v>6.5287671232876709</v>
      </c>
      <c r="R37" s="1052">
        <f t="shared" si="8"/>
        <v>2.8500000000000001E-2</v>
      </c>
    </row>
    <row r="38" spans="1:27">
      <c r="A38" s="1140" t="s">
        <v>281</v>
      </c>
      <c r="B38" s="1141" t="s">
        <v>276</v>
      </c>
      <c r="C38" s="1179">
        <v>1000</v>
      </c>
      <c r="D38" s="1179">
        <v>1000</v>
      </c>
      <c r="E38" s="1167">
        <v>3.6249999999999998E-2</v>
      </c>
      <c r="F38" s="1141" t="s">
        <v>214</v>
      </c>
      <c r="G38" s="1141" t="s">
        <v>282</v>
      </c>
      <c r="H38" s="1141" t="s">
        <v>283</v>
      </c>
      <c r="I38" s="1141" t="s">
        <v>173</v>
      </c>
      <c r="J38" s="1141" t="s">
        <v>284</v>
      </c>
      <c r="K38" s="1180">
        <v>100.46</v>
      </c>
      <c r="L38" s="1175">
        <v>1.54</v>
      </c>
      <c r="M38" s="1174">
        <v>138.44999999999999</v>
      </c>
      <c r="N38" s="1141" t="s">
        <v>198</v>
      </c>
      <c r="O38" s="1276">
        <f t="shared" si="1"/>
        <v>1004.5999999999999</v>
      </c>
      <c r="P38" s="1278">
        <f t="shared" ca="1" si="0"/>
        <v>1</v>
      </c>
      <c r="Q38" s="16">
        <f t="shared" ca="1" si="5"/>
        <v>-6.3013698630136991E-2</v>
      </c>
      <c r="R38" s="1052">
        <f t="shared" si="8"/>
        <v>1.54E-2</v>
      </c>
    </row>
    <row r="39" spans="1:27">
      <c r="A39" s="1136" t="s">
        <v>285</v>
      </c>
      <c r="B39" s="1131" t="s">
        <v>276</v>
      </c>
      <c r="C39" s="1181">
        <v>500</v>
      </c>
      <c r="D39" s="1181">
        <v>500</v>
      </c>
      <c r="E39" s="1169">
        <v>3.7999999999999999E-2</v>
      </c>
      <c r="F39" s="1131" t="s">
        <v>214</v>
      </c>
      <c r="G39" s="1131" t="s">
        <v>286</v>
      </c>
      <c r="H39" s="1131" t="s">
        <v>202</v>
      </c>
      <c r="I39" s="1131" t="s">
        <v>173</v>
      </c>
      <c r="J39" s="1131" t="s">
        <v>284</v>
      </c>
      <c r="K39" s="1170">
        <v>102.42</v>
      </c>
      <c r="L39" s="1171">
        <v>1.93</v>
      </c>
      <c r="M39" s="1178">
        <v>137.66</v>
      </c>
      <c r="N39" s="1131" t="s">
        <v>198</v>
      </c>
      <c r="O39" s="1276">
        <f t="shared" si="1"/>
        <v>512.1</v>
      </c>
      <c r="P39" s="1278">
        <f t="shared" ca="1" si="0"/>
        <v>0</v>
      </c>
      <c r="Q39" s="16">
        <f t="shared" ca="1" si="5"/>
        <v>1.021917808219178</v>
      </c>
      <c r="R39" s="1052">
        <f t="shared" si="8"/>
        <v>1.9299999999999998E-2</v>
      </c>
    </row>
    <row r="40" spans="1:27" ht="15.75" customHeight="1">
      <c r="A40" s="1140" t="s">
        <v>287</v>
      </c>
      <c r="B40" s="1141" t="s">
        <v>276</v>
      </c>
      <c r="C40" s="1182">
        <v>900</v>
      </c>
      <c r="D40" s="1182">
        <v>900</v>
      </c>
      <c r="E40" s="1183">
        <v>2.9000000000000001E-2</v>
      </c>
      <c r="F40" s="1141" t="s">
        <v>214</v>
      </c>
      <c r="G40" s="1141" t="s">
        <v>288</v>
      </c>
      <c r="H40" s="1141" t="s">
        <v>289</v>
      </c>
      <c r="I40" s="1141" t="s">
        <v>173</v>
      </c>
      <c r="J40" s="1141" t="s">
        <v>284</v>
      </c>
      <c r="K40" s="1148">
        <v>101.93</v>
      </c>
      <c r="L40" s="1175">
        <v>2.19</v>
      </c>
      <c r="M40" s="1148">
        <v>105.12</v>
      </c>
      <c r="N40" s="1141" t="s">
        <v>198</v>
      </c>
      <c r="O40" s="1276">
        <f t="shared" si="1"/>
        <v>917.37000000000012</v>
      </c>
      <c r="P40" s="1278">
        <f t="shared" ca="1" si="0"/>
        <v>0</v>
      </c>
      <c r="Q40" s="16">
        <f t="shared" ca="1" si="5"/>
        <v>2.526027397260274</v>
      </c>
      <c r="R40" s="1052">
        <f t="shared" si="8"/>
        <v>2.1899999999999999E-2</v>
      </c>
    </row>
    <row r="41" spans="1:27" ht="15.75" customHeight="1">
      <c r="A41" s="1136" t="s">
        <v>290</v>
      </c>
      <c r="B41" s="1131" t="s">
        <v>276</v>
      </c>
      <c r="C41" s="1184">
        <v>1080.5</v>
      </c>
      <c r="D41" s="1184">
        <v>1080.5</v>
      </c>
      <c r="E41" s="1185">
        <v>7.3749999999999996E-2</v>
      </c>
      <c r="F41" s="1131" t="s">
        <v>214</v>
      </c>
      <c r="G41" s="1131" t="s">
        <v>195</v>
      </c>
      <c r="H41" s="1131" t="s">
        <v>224</v>
      </c>
      <c r="I41" s="1131" t="s">
        <v>173</v>
      </c>
      <c r="J41" s="1131" t="s">
        <v>284</v>
      </c>
      <c r="K41" s="1186">
        <v>116.1</v>
      </c>
      <c r="L41" s="1171">
        <v>3.12</v>
      </c>
      <c r="M41" s="1187">
        <v>180.66</v>
      </c>
      <c r="N41" s="1131" t="s">
        <v>198</v>
      </c>
      <c r="O41" s="1276">
        <f t="shared" si="1"/>
        <v>1254.4605000000001</v>
      </c>
      <c r="P41" s="1278">
        <f t="shared" ca="1" si="0"/>
        <v>0</v>
      </c>
      <c r="Q41" s="16">
        <f t="shared" ca="1" si="5"/>
        <v>3.7780821917808218</v>
      </c>
      <c r="R41" s="1052">
        <f t="shared" si="8"/>
        <v>3.1200000000000002E-2</v>
      </c>
    </row>
    <row r="42" spans="1:27" ht="15" customHeight="1">
      <c r="A42" s="1140" t="s">
        <v>291</v>
      </c>
      <c r="B42" s="1141" t="s">
        <v>276</v>
      </c>
      <c r="C42" s="1165">
        <v>450.4</v>
      </c>
      <c r="D42" s="1165">
        <v>410.3</v>
      </c>
      <c r="E42" s="1167">
        <v>4.3749999999999997E-2</v>
      </c>
      <c r="F42" s="1141" t="s">
        <v>214</v>
      </c>
      <c r="G42" s="1141" t="s">
        <v>286</v>
      </c>
      <c r="H42" s="1141" t="s">
        <v>292</v>
      </c>
      <c r="I42" s="1141" t="s">
        <v>173</v>
      </c>
      <c r="J42" s="1141" t="s">
        <v>284</v>
      </c>
      <c r="K42" s="1148">
        <v>105.79</v>
      </c>
      <c r="L42" s="1175">
        <v>3.33</v>
      </c>
      <c r="M42" s="1174">
        <v>179.81</v>
      </c>
      <c r="N42" s="1141" t="s">
        <v>198</v>
      </c>
      <c r="O42" s="1276">
        <f t="shared" si="1"/>
        <v>434.05637000000002</v>
      </c>
      <c r="P42" s="1278">
        <f t="shared" ca="1" si="0"/>
        <v>0</v>
      </c>
      <c r="Q42" s="16">
        <f t="shared" ca="1" si="5"/>
        <v>6.0273972602739727</v>
      </c>
      <c r="R42" s="1052">
        <f t="shared" si="8"/>
        <v>3.3300000000000003E-2</v>
      </c>
    </row>
    <row r="43" spans="1:27" ht="15" customHeight="1">
      <c r="A43" s="1136" t="s">
        <v>293</v>
      </c>
      <c r="B43" s="1131" t="s">
        <v>276</v>
      </c>
      <c r="C43" s="1149">
        <v>536</v>
      </c>
      <c r="D43" s="1149">
        <v>474</v>
      </c>
      <c r="E43" s="1177">
        <v>3.7499999999999999E-2</v>
      </c>
      <c r="F43" s="1131" t="s">
        <v>214</v>
      </c>
      <c r="G43" s="1131" t="s">
        <v>288</v>
      </c>
      <c r="H43" s="1131" t="s">
        <v>294</v>
      </c>
      <c r="I43" s="1131" t="s">
        <v>173</v>
      </c>
      <c r="J43" s="1131" t="s">
        <v>284</v>
      </c>
      <c r="K43" s="1188">
        <v>99.49</v>
      </c>
      <c r="L43" s="1171">
        <v>3.82</v>
      </c>
      <c r="M43" s="1187">
        <v>220.24</v>
      </c>
      <c r="N43" s="1131" t="s">
        <v>198</v>
      </c>
      <c r="O43" s="1276">
        <f t="shared" si="1"/>
        <v>471.58259999999996</v>
      </c>
      <c r="P43" s="1278">
        <f t="shared" ca="1" si="0"/>
        <v>0</v>
      </c>
      <c r="Q43" s="16">
        <f t="shared" ca="1" si="5"/>
        <v>7.5287671232876709</v>
      </c>
      <c r="R43" s="1052">
        <f t="shared" si="8"/>
        <v>3.8199999999999998E-2</v>
      </c>
    </row>
    <row r="44" spans="1:27" ht="15" customHeight="1">
      <c r="A44" s="1140" t="s">
        <v>295</v>
      </c>
      <c r="B44" s="1141" t="s">
        <v>296</v>
      </c>
      <c r="C44" s="1189">
        <v>6.1</v>
      </c>
      <c r="D44" s="1189">
        <v>6.1</v>
      </c>
      <c r="E44" s="1167">
        <v>6.2640000000000001E-2</v>
      </c>
      <c r="F44" s="1141" t="s">
        <v>214</v>
      </c>
      <c r="G44" s="1141" t="s">
        <v>297</v>
      </c>
      <c r="H44" s="1141" t="s">
        <v>298</v>
      </c>
      <c r="I44" s="1141" t="s">
        <v>173</v>
      </c>
      <c r="J44" s="1141" t="s">
        <v>299</v>
      </c>
      <c r="K44" s="1274">
        <f ca="1">100/((L44/100)+1)^(_xlfn.DAYS(H44,TODAY())/365)</f>
        <v>97.005401341183614</v>
      </c>
      <c r="L44" s="1275">
        <f ca="1">AVERAGE(L$35:L$43)+0.2*(_xlfn.DAYS(H44,TODAY())/365)</f>
        <v>2.7919330289193303</v>
      </c>
      <c r="M44" s="1141" t="s">
        <v>137</v>
      </c>
      <c r="N44" s="1151"/>
      <c r="O44" s="1276">
        <f t="shared" ca="1" si="1"/>
        <v>5.9173294818122004</v>
      </c>
      <c r="P44" s="1278">
        <f t="shared" ca="1" si="0"/>
        <v>0</v>
      </c>
      <c r="Q44" s="16">
        <f t="shared" ca="1" si="5"/>
        <v>1.1041095890410959</v>
      </c>
      <c r="R44" s="1052">
        <f t="shared" ca="1" si="8"/>
        <v>2.7919330289193304E-2</v>
      </c>
    </row>
    <row r="45" spans="1:27" ht="15" customHeight="1">
      <c r="A45" s="1136" t="s">
        <v>300</v>
      </c>
      <c r="B45" s="1131" t="s">
        <v>301</v>
      </c>
      <c r="C45" s="1190">
        <v>108</v>
      </c>
      <c r="D45" s="1190">
        <v>108</v>
      </c>
      <c r="E45" s="1157">
        <v>0.08</v>
      </c>
      <c r="F45" s="1131" t="s">
        <v>214</v>
      </c>
      <c r="G45" s="1131" t="s">
        <v>137</v>
      </c>
      <c r="H45" s="1131" t="s">
        <v>202</v>
      </c>
      <c r="I45" s="1131" t="s">
        <v>173</v>
      </c>
      <c r="J45" s="1131" t="s">
        <v>299</v>
      </c>
      <c r="K45" s="1274">
        <f t="shared" ref="K45:K59" ca="1" si="9">100/((L45/100)+1)^(_xlfn.DAYS(H45,TODAY())/365)</f>
        <v>97.24109279115018</v>
      </c>
      <c r="L45" s="1275">
        <f t="shared" ref="L45:L59" ca="1" si="10">AVERAGE(L$35:L$43)+0.2*(_xlfn.DAYS(H45,TODAY())/365)</f>
        <v>2.7754946727549465</v>
      </c>
      <c r="M45" s="1131" t="s">
        <v>137</v>
      </c>
      <c r="N45" s="1132"/>
      <c r="O45" s="1276">
        <f t="shared" ca="1" si="1"/>
        <v>105.0203802144422</v>
      </c>
      <c r="P45" s="1278">
        <f t="shared" ca="1" si="0"/>
        <v>0</v>
      </c>
      <c r="Q45" s="16">
        <f t="shared" ca="1" si="5"/>
        <v>1.021917808219178</v>
      </c>
      <c r="R45" s="1052">
        <f t="shared" ca="1" si="8"/>
        <v>2.7754946727549464E-2</v>
      </c>
    </row>
    <row r="46" spans="1:27" ht="15" customHeight="1">
      <c r="A46" s="1140" t="s">
        <v>302</v>
      </c>
      <c r="B46" s="1141" t="s">
        <v>303</v>
      </c>
      <c r="C46" s="1154">
        <v>41.4</v>
      </c>
      <c r="D46" s="1154">
        <v>41.4</v>
      </c>
      <c r="E46" s="1191">
        <v>8.0210000000000004E-2</v>
      </c>
      <c r="F46" s="1141" t="s">
        <v>214</v>
      </c>
      <c r="G46" s="1141" t="s">
        <v>304</v>
      </c>
      <c r="H46" s="1141" t="s">
        <v>305</v>
      </c>
      <c r="I46" s="1141" t="s">
        <v>173</v>
      </c>
      <c r="J46" s="1141" t="s">
        <v>299</v>
      </c>
      <c r="K46" s="1274">
        <f t="shared" ca="1" si="9"/>
        <v>94.746933035137232</v>
      </c>
      <c r="L46" s="1275">
        <f t="shared" ca="1" si="10"/>
        <v>2.943165905631659</v>
      </c>
      <c r="M46" s="1141" t="s">
        <v>137</v>
      </c>
      <c r="N46" s="1141" t="s">
        <v>198</v>
      </c>
      <c r="O46" s="1276">
        <f t="shared" ca="1" si="1"/>
        <v>39.225230276546817</v>
      </c>
      <c r="P46" s="1278">
        <f t="shared" ca="1" si="0"/>
        <v>0</v>
      </c>
      <c r="Q46" s="16">
        <f t="shared" ca="1" si="5"/>
        <v>1.8602739726027397</v>
      </c>
      <c r="R46" s="1052">
        <f t="shared" ca="1" si="8"/>
        <v>2.9431659056316589E-2</v>
      </c>
    </row>
    <row r="47" spans="1:27" ht="15" customHeight="1">
      <c r="A47" s="1136" t="s">
        <v>306</v>
      </c>
      <c r="B47" s="1131" t="s">
        <v>307</v>
      </c>
      <c r="C47" s="1158">
        <v>74.3</v>
      </c>
      <c r="D47" s="1158">
        <v>74.3</v>
      </c>
      <c r="E47" s="1185">
        <v>6.7180000000000004E-2</v>
      </c>
      <c r="F47" s="1131" t="s">
        <v>214</v>
      </c>
      <c r="G47" s="1131" t="s">
        <v>308</v>
      </c>
      <c r="H47" s="1131" t="s">
        <v>309</v>
      </c>
      <c r="I47" s="1131" t="s">
        <v>173</v>
      </c>
      <c r="J47" s="1131" t="s">
        <v>299</v>
      </c>
      <c r="K47" s="1274">
        <f t="shared" ca="1" si="9"/>
        <v>93.445877865348763</v>
      </c>
      <c r="L47" s="1275">
        <f t="shared" ca="1" si="10"/>
        <v>3.0259056316590565</v>
      </c>
      <c r="M47" s="1131" t="s">
        <v>137</v>
      </c>
      <c r="N47" s="1131" t="s">
        <v>198</v>
      </c>
      <c r="O47" s="1276">
        <f t="shared" ca="1" si="1"/>
        <v>69.43028725395412</v>
      </c>
      <c r="P47" s="1278">
        <f t="shared" ca="1" si="0"/>
        <v>0</v>
      </c>
      <c r="Q47" s="16">
        <f t="shared" ca="1" si="5"/>
        <v>2.2739726027397262</v>
      </c>
      <c r="R47" s="1052">
        <f t="shared" ca="1" si="8"/>
        <v>3.0259056316590566E-2</v>
      </c>
    </row>
    <row r="48" spans="1:27" ht="15" customHeight="1">
      <c r="A48" s="1140" t="s">
        <v>310</v>
      </c>
      <c r="B48" s="1141" t="s">
        <v>311</v>
      </c>
      <c r="C48" s="1159">
        <v>75</v>
      </c>
      <c r="D48" s="1159">
        <v>75</v>
      </c>
      <c r="E48" s="1183">
        <v>3.4000000000000002E-2</v>
      </c>
      <c r="F48" s="1141" t="s">
        <v>214</v>
      </c>
      <c r="G48" s="1141" t="s">
        <v>312</v>
      </c>
      <c r="H48" s="1141" t="s">
        <v>313</v>
      </c>
      <c r="I48" s="1141" t="s">
        <v>173</v>
      </c>
      <c r="J48" s="1141" t="s">
        <v>299</v>
      </c>
      <c r="K48" s="1274">
        <f t="shared" ca="1" si="9"/>
        <v>94.235287771596731</v>
      </c>
      <c r="L48" s="1275">
        <f t="shared" ca="1" si="10"/>
        <v>2.9760426179604265</v>
      </c>
      <c r="M48" s="1141" t="s">
        <v>137</v>
      </c>
      <c r="N48" s="1151"/>
      <c r="O48" s="1276">
        <f t="shared" ca="1" si="1"/>
        <v>70.676465828697545</v>
      </c>
      <c r="P48" s="1278">
        <f t="shared" ca="1" si="0"/>
        <v>0</v>
      </c>
      <c r="Q48" s="16">
        <f t="shared" ca="1" si="5"/>
        <v>2.0246575342465754</v>
      </c>
      <c r="R48" s="1052">
        <f t="shared" ca="1" si="8"/>
        <v>2.9760426179604265E-2</v>
      </c>
    </row>
    <row r="49" spans="1:18" ht="15" customHeight="1">
      <c r="A49" s="1136" t="s">
        <v>314</v>
      </c>
      <c r="B49" s="1131" t="s">
        <v>315</v>
      </c>
      <c r="C49" s="1164">
        <v>283.7</v>
      </c>
      <c r="D49" s="1164">
        <v>283.7</v>
      </c>
      <c r="E49" s="1185">
        <v>6.8210000000000007E-2</v>
      </c>
      <c r="F49" s="1131" t="s">
        <v>214</v>
      </c>
      <c r="G49" s="1131" t="s">
        <v>304</v>
      </c>
      <c r="H49" s="1131" t="s">
        <v>305</v>
      </c>
      <c r="I49" s="1131" t="s">
        <v>173</v>
      </c>
      <c r="J49" s="1131" t="s">
        <v>299</v>
      </c>
      <c r="K49" s="1274">
        <f t="shared" ca="1" si="9"/>
        <v>94.746933035137232</v>
      </c>
      <c r="L49" s="1275">
        <f t="shared" ca="1" si="10"/>
        <v>2.943165905631659</v>
      </c>
      <c r="M49" s="1131" t="s">
        <v>137</v>
      </c>
      <c r="N49" s="1131" t="s">
        <v>198</v>
      </c>
      <c r="O49" s="1276">
        <f t="shared" ca="1" si="1"/>
        <v>268.79704902068431</v>
      </c>
      <c r="P49" s="1278">
        <f t="shared" ca="1" si="0"/>
        <v>0</v>
      </c>
      <c r="Q49" s="16">
        <f t="shared" ca="1" si="5"/>
        <v>1.8602739726027397</v>
      </c>
      <c r="R49" s="1052">
        <f t="shared" ca="1" si="8"/>
        <v>2.9431659056316589E-2</v>
      </c>
    </row>
    <row r="50" spans="1:18" ht="15" customHeight="1">
      <c r="A50" s="1140" t="s">
        <v>316</v>
      </c>
      <c r="B50" s="1141" t="s">
        <v>317</v>
      </c>
      <c r="C50" s="1166">
        <v>425</v>
      </c>
      <c r="D50" s="1166">
        <v>425</v>
      </c>
      <c r="E50" s="1192">
        <v>3.2039999999999999E-2</v>
      </c>
      <c r="F50" s="1141" t="s">
        <v>214</v>
      </c>
      <c r="G50" s="1141" t="s">
        <v>312</v>
      </c>
      <c r="H50" s="1141" t="s">
        <v>313</v>
      </c>
      <c r="I50" s="1141" t="s">
        <v>173</v>
      </c>
      <c r="J50" s="1141" t="s">
        <v>299</v>
      </c>
      <c r="K50" s="1274">
        <f t="shared" ca="1" si="9"/>
        <v>94.235287771596731</v>
      </c>
      <c r="L50" s="1275">
        <f t="shared" ca="1" si="10"/>
        <v>2.9760426179604265</v>
      </c>
      <c r="M50" s="1141" t="s">
        <v>137</v>
      </c>
      <c r="N50" s="1141" t="s">
        <v>198</v>
      </c>
      <c r="O50" s="1276">
        <f t="shared" ca="1" si="1"/>
        <v>400.49997302928614</v>
      </c>
      <c r="P50" s="1278">
        <f t="shared" ca="1" si="0"/>
        <v>0</v>
      </c>
      <c r="Q50" s="16">
        <f t="shared" ca="1" si="5"/>
        <v>2.0246575342465754</v>
      </c>
      <c r="R50" s="1052">
        <f t="shared" ca="1" si="8"/>
        <v>2.9760426179604265E-2</v>
      </c>
    </row>
    <row r="51" spans="1:18" ht="15" customHeight="1">
      <c r="A51" s="1136" t="s">
        <v>318</v>
      </c>
      <c r="B51" s="1131" t="s">
        <v>319</v>
      </c>
      <c r="C51" s="1158">
        <v>74.7</v>
      </c>
      <c r="D51" s="1158">
        <v>74.7</v>
      </c>
      <c r="E51" s="1177">
        <v>4.2500000000000003E-2</v>
      </c>
      <c r="F51" s="1131" t="s">
        <v>214</v>
      </c>
      <c r="G51" s="1131" t="s">
        <v>320</v>
      </c>
      <c r="H51" s="1131" t="s">
        <v>222</v>
      </c>
      <c r="I51" s="1131" t="s">
        <v>173</v>
      </c>
      <c r="J51" s="1131" t="s">
        <v>299</v>
      </c>
      <c r="K51" s="1274">
        <f t="shared" ca="1" si="9"/>
        <v>91.802309109256498</v>
      </c>
      <c r="L51" s="1275">
        <f t="shared" ca="1" si="10"/>
        <v>3.1267275494672755</v>
      </c>
      <c r="M51" s="1131" t="s">
        <v>137</v>
      </c>
      <c r="N51" s="1132"/>
      <c r="O51" s="1276">
        <f t="shared" ca="1" si="1"/>
        <v>68.576324904614609</v>
      </c>
      <c r="P51" s="1278">
        <f t="shared" ca="1" si="0"/>
        <v>0</v>
      </c>
      <c r="Q51" s="16">
        <f t="shared" ca="1" si="5"/>
        <v>2.7780821917808218</v>
      </c>
      <c r="R51" s="1052">
        <f t="shared" ca="1" si="8"/>
        <v>3.1267275494672758E-2</v>
      </c>
    </row>
    <row r="52" spans="1:18" ht="15" customHeight="1">
      <c r="A52" s="1140" t="s">
        <v>321</v>
      </c>
      <c r="B52" s="1141" t="s">
        <v>322</v>
      </c>
      <c r="C52" s="1166">
        <v>135</v>
      </c>
      <c r="D52" s="1166">
        <v>135</v>
      </c>
      <c r="E52" s="1155">
        <v>0.08</v>
      </c>
      <c r="F52" s="1141" t="s">
        <v>214</v>
      </c>
      <c r="G52" s="1141" t="s">
        <v>137</v>
      </c>
      <c r="H52" s="1141" t="s">
        <v>323</v>
      </c>
      <c r="I52" s="1141" t="s">
        <v>173</v>
      </c>
      <c r="J52" s="1141" t="s">
        <v>299</v>
      </c>
      <c r="K52" s="1274">
        <f t="shared" ca="1" si="9"/>
        <v>83.185853907664821</v>
      </c>
      <c r="L52" s="1275">
        <f t="shared" ca="1" si="10"/>
        <v>3.6094672754946728</v>
      </c>
      <c r="M52" s="1141" t="s">
        <v>137</v>
      </c>
      <c r="N52" s="1151"/>
      <c r="O52" s="1276">
        <f t="shared" ca="1" si="1"/>
        <v>112.30090277534751</v>
      </c>
      <c r="P52" s="1278">
        <f t="shared" ca="1" si="0"/>
        <v>0</v>
      </c>
      <c r="Q52" s="16">
        <f t="shared" ca="1" si="5"/>
        <v>5.1917808219178081</v>
      </c>
      <c r="R52" s="1052">
        <f t="shared" ca="1" si="8"/>
        <v>3.6094672754946731E-2</v>
      </c>
    </row>
    <row r="53" spans="1:18" ht="15" customHeight="1">
      <c r="A53" s="1136" t="s">
        <v>324</v>
      </c>
      <c r="B53" s="1131" t="s">
        <v>325</v>
      </c>
      <c r="C53" s="1164">
        <v>185.7</v>
      </c>
      <c r="D53" s="1164">
        <v>185.7</v>
      </c>
      <c r="E53" s="1169">
        <v>2.5000000000000001E-2</v>
      </c>
      <c r="F53" s="1131" t="s">
        <v>214</v>
      </c>
      <c r="G53" s="1131" t="s">
        <v>326</v>
      </c>
      <c r="H53" s="1131" t="s">
        <v>327</v>
      </c>
      <c r="I53" s="1131" t="s">
        <v>173</v>
      </c>
      <c r="J53" s="1131" t="s">
        <v>299</v>
      </c>
      <c r="K53" s="1274">
        <f t="shared" ca="1" si="9"/>
        <v>79.324182120022741</v>
      </c>
      <c r="L53" s="1275">
        <f t="shared" ca="1" si="10"/>
        <v>3.8100152207001523</v>
      </c>
      <c r="M53" s="1131" t="s">
        <v>137</v>
      </c>
      <c r="N53" s="1132"/>
      <c r="O53" s="1276">
        <f t="shared" ca="1" si="1"/>
        <v>147.30500619688223</v>
      </c>
      <c r="P53" s="1278">
        <f t="shared" ca="1" si="0"/>
        <v>0</v>
      </c>
      <c r="Q53" s="16">
        <f t="shared" ca="1" si="5"/>
        <v>6.1945205479452055</v>
      </c>
      <c r="R53" s="1052">
        <f t="shared" ca="1" si="8"/>
        <v>3.8100152207001525E-2</v>
      </c>
    </row>
    <row r="54" spans="1:18" ht="15" customHeight="1">
      <c r="A54" s="1140" t="s">
        <v>328</v>
      </c>
      <c r="B54" s="1141" t="s">
        <v>329</v>
      </c>
      <c r="C54" s="1163">
        <v>748.3</v>
      </c>
      <c r="D54" s="1163">
        <v>748.3</v>
      </c>
      <c r="E54" s="1155">
        <v>0.02</v>
      </c>
      <c r="F54" s="1141" t="s">
        <v>214</v>
      </c>
      <c r="G54" s="1141" t="s">
        <v>326</v>
      </c>
      <c r="H54" s="1141" t="s">
        <v>327</v>
      </c>
      <c r="I54" s="1141" t="s">
        <v>173</v>
      </c>
      <c r="J54" s="1141" t="s">
        <v>299</v>
      </c>
      <c r="K54" s="1274">
        <f t="shared" ca="1" si="9"/>
        <v>79.324182120022741</v>
      </c>
      <c r="L54" s="1275">
        <f t="shared" ca="1" si="10"/>
        <v>3.8100152207001523</v>
      </c>
      <c r="M54" s="1176">
        <v>87.33</v>
      </c>
      <c r="N54" s="1141" t="s">
        <v>198</v>
      </c>
      <c r="O54" s="1276">
        <f ca="1">K54/100*D54</f>
        <v>593.58285480413019</v>
      </c>
      <c r="P54" s="1278">
        <f t="shared" ca="1" si="0"/>
        <v>0</v>
      </c>
      <c r="Q54" s="16">
        <f t="shared" ca="1" si="5"/>
        <v>6.1945205479452055</v>
      </c>
      <c r="R54" s="1052">
        <f t="shared" ca="1" si="8"/>
        <v>3.8100152207001525E-2</v>
      </c>
    </row>
    <row r="55" spans="1:18" ht="15" customHeight="1">
      <c r="A55" s="1136" t="s">
        <v>330</v>
      </c>
      <c r="B55" s="1131" t="s">
        <v>331</v>
      </c>
      <c r="C55" s="1158">
        <v>52.9</v>
      </c>
      <c r="D55" s="1158">
        <v>52.9</v>
      </c>
      <c r="E55" s="1185">
        <v>3.875E-2</v>
      </c>
      <c r="F55" s="1131" t="s">
        <v>214</v>
      </c>
      <c r="G55" s="1131" t="s">
        <v>320</v>
      </c>
      <c r="H55" s="1131" t="s">
        <v>237</v>
      </c>
      <c r="I55" s="1131" t="s">
        <v>173</v>
      </c>
      <c r="J55" s="1131" t="s">
        <v>299</v>
      </c>
      <c r="K55" s="1274">
        <f t="shared" ca="1" si="9"/>
        <v>77.012275121540569</v>
      </c>
      <c r="L55" s="1275">
        <f t="shared" ca="1" si="10"/>
        <v>3.9272754946727551</v>
      </c>
      <c r="M55" s="1131" t="s">
        <v>137</v>
      </c>
      <c r="N55" s="1131" t="s">
        <v>198</v>
      </c>
      <c r="O55" s="1276">
        <f t="shared" ca="1" si="1"/>
        <v>40.739493539294955</v>
      </c>
      <c r="P55" s="1278">
        <f t="shared" ca="1" si="0"/>
        <v>0</v>
      </c>
      <c r="Q55" s="16">
        <f t="shared" ca="1" si="5"/>
        <v>6.7808219178082192</v>
      </c>
      <c r="R55" s="1052">
        <f t="shared" ca="1" si="8"/>
        <v>3.9272754946727551E-2</v>
      </c>
    </row>
    <row r="56" spans="1:18" ht="15" customHeight="1">
      <c r="A56" s="1140" t="s">
        <v>332</v>
      </c>
      <c r="B56" s="1141" t="s">
        <v>333</v>
      </c>
      <c r="C56" s="1163">
        <v>237.8</v>
      </c>
      <c r="D56" s="1163">
        <v>237.8</v>
      </c>
      <c r="E56" s="1167">
        <v>3.6249999999999998E-2</v>
      </c>
      <c r="F56" s="1141" t="s">
        <v>214</v>
      </c>
      <c r="G56" s="1141" t="s">
        <v>320</v>
      </c>
      <c r="H56" s="1141" t="s">
        <v>237</v>
      </c>
      <c r="I56" s="1141" t="s">
        <v>173</v>
      </c>
      <c r="J56" s="1141" t="s">
        <v>299</v>
      </c>
      <c r="K56" s="1274">
        <f t="shared" ca="1" si="9"/>
        <v>77.012275121540569</v>
      </c>
      <c r="L56" s="1275">
        <f t="shared" ca="1" si="10"/>
        <v>3.9272754946727551</v>
      </c>
      <c r="M56" s="1141" t="s">
        <v>137</v>
      </c>
      <c r="N56" s="1141" t="s">
        <v>198</v>
      </c>
      <c r="O56" s="1276">
        <f t="shared" ca="1" si="1"/>
        <v>183.13519023902347</v>
      </c>
      <c r="P56" s="1278">
        <f t="shared" ca="1" si="0"/>
        <v>0</v>
      </c>
      <c r="Q56" s="16">
        <f t="shared" ca="1" si="5"/>
        <v>6.7808219178082192</v>
      </c>
      <c r="R56" s="1052">
        <f t="shared" ca="1" si="8"/>
        <v>3.9272754946727551E-2</v>
      </c>
    </row>
    <row r="57" spans="1:18" ht="15" customHeight="1">
      <c r="A57" s="1136" t="s">
        <v>334</v>
      </c>
      <c r="B57" s="1131" t="s">
        <v>335</v>
      </c>
      <c r="C57" s="1193">
        <v>1648</v>
      </c>
      <c r="D57" s="1193">
        <v>1648</v>
      </c>
      <c r="E57" s="1157">
        <v>0.01</v>
      </c>
      <c r="F57" s="1131" t="s">
        <v>137</v>
      </c>
      <c r="G57" s="1131" t="s">
        <v>137</v>
      </c>
      <c r="H57" s="1131" t="s">
        <v>336</v>
      </c>
      <c r="I57" s="1131" t="s">
        <v>173</v>
      </c>
      <c r="J57" s="1131" t="s">
        <v>190</v>
      </c>
      <c r="K57" s="1274">
        <f t="shared" ca="1" si="9"/>
        <v>69.28338799721881</v>
      </c>
      <c r="L57" s="1275">
        <f t="shared" ca="1" si="10"/>
        <v>4.310289193302892</v>
      </c>
      <c r="M57" s="1131" t="s">
        <v>137</v>
      </c>
      <c r="N57" s="1132"/>
      <c r="O57" s="1276">
        <f t="shared" ca="1" si="1"/>
        <v>1141.790234194166</v>
      </c>
      <c r="P57" s="1278">
        <f t="shared" ca="1" si="0"/>
        <v>0</v>
      </c>
      <c r="Q57" s="16">
        <f t="shared" ca="1" si="5"/>
        <v>8.6958904109589046</v>
      </c>
      <c r="R57" s="1052">
        <f t="shared" ca="1" si="8"/>
        <v>4.3102891933028922E-2</v>
      </c>
    </row>
    <row r="58" spans="1:18" ht="15" customHeight="1">
      <c r="A58" s="1140" t="s">
        <v>337</v>
      </c>
      <c r="B58" s="1141" t="s">
        <v>338</v>
      </c>
      <c r="C58" s="1166">
        <v>891</v>
      </c>
      <c r="D58" s="1166">
        <v>891</v>
      </c>
      <c r="E58" s="1155">
        <v>0.01</v>
      </c>
      <c r="F58" s="1141" t="s">
        <v>137</v>
      </c>
      <c r="G58" s="1141" t="s">
        <v>137</v>
      </c>
      <c r="H58" s="1141" t="s">
        <v>339</v>
      </c>
      <c r="I58" s="1141" t="s">
        <v>173</v>
      </c>
      <c r="J58" s="1141" t="s">
        <v>190</v>
      </c>
      <c r="K58" s="1274">
        <f t="shared" ca="1" si="9"/>
        <v>65.198252533550857</v>
      </c>
      <c r="L58" s="1275">
        <f t="shared" ca="1" si="10"/>
        <v>4.5102891933028921</v>
      </c>
      <c r="M58" s="1141" t="s">
        <v>137</v>
      </c>
      <c r="N58" s="1151"/>
      <c r="O58" s="1276">
        <f t="shared" ca="1" si="1"/>
        <v>580.91643007393816</v>
      </c>
      <c r="P58" s="1278">
        <f t="shared" ca="1" si="0"/>
        <v>0</v>
      </c>
      <c r="Q58" s="16">
        <f t="shared" ca="1" si="5"/>
        <v>9.6958904109589046</v>
      </c>
      <c r="R58" s="1052">
        <f t="shared" ca="1" si="8"/>
        <v>4.5102891933028924E-2</v>
      </c>
    </row>
    <row r="59" spans="1:18" ht="15" customHeight="1">
      <c r="A59" s="1136" t="s">
        <v>340</v>
      </c>
      <c r="B59" s="1131" t="s">
        <v>335</v>
      </c>
      <c r="C59" s="1149">
        <v>957</v>
      </c>
      <c r="D59" s="1149">
        <v>957</v>
      </c>
      <c r="E59" s="1157">
        <v>0.01</v>
      </c>
      <c r="F59" s="1131" t="s">
        <v>137</v>
      </c>
      <c r="G59" s="1131" t="s">
        <v>137</v>
      </c>
      <c r="H59" s="1131" t="s">
        <v>339</v>
      </c>
      <c r="I59" s="1131" t="s">
        <v>173</v>
      </c>
      <c r="J59" s="1131" t="s">
        <v>190</v>
      </c>
      <c r="K59" s="1274">
        <f t="shared" ca="1" si="9"/>
        <v>65.198252533550857</v>
      </c>
      <c r="L59" s="1275">
        <f t="shared" ca="1" si="10"/>
        <v>4.5102891933028921</v>
      </c>
      <c r="M59" s="1131" t="s">
        <v>137</v>
      </c>
      <c r="N59" s="1132"/>
      <c r="O59" s="1276">
        <f t="shared" ca="1" si="1"/>
        <v>623.94727674608168</v>
      </c>
      <c r="P59" s="1278">
        <f t="shared" ca="1" si="0"/>
        <v>0</v>
      </c>
      <c r="Q59" s="16">
        <f t="shared" ca="1" si="5"/>
        <v>9.6958904109589046</v>
      </c>
      <c r="R59" s="1052">
        <f t="shared" ca="1" si="8"/>
        <v>4.5102891933028924E-2</v>
      </c>
    </row>
    <row r="60" spans="1:18" ht="15" customHeight="1">
      <c r="A60" s="1133" t="s">
        <v>190</v>
      </c>
      <c r="B60" s="1134"/>
      <c r="C60" s="1194">
        <v>-692</v>
      </c>
      <c r="D60" s="1194">
        <v>-692</v>
      </c>
      <c r="E60" s="1134"/>
      <c r="F60" s="1134"/>
      <c r="G60" s="1134"/>
      <c r="H60" s="1134"/>
      <c r="I60" s="1134"/>
      <c r="J60" s="1134"/>
      <c r="K60" s="1273"/>
      <c r="L60" s="1272"/>
      <c r="M60" s="1134"/>
      <c r="N60" s="1134"/>
      <c r="O60" s="1276"/>
      <c r="P60" s="1278"/>
      <c r="Q60" s="16"/>
      <c r="R60" s="1052"/>
    </row>
    <row r="61" spans="1:18" ht="15" customHeight="1">
      <c r="A61" s="1136" t="s">
        <v>137</v>
      </c>
      <c r="B61" s="1131" t="s">
        <v>341</v>
      </c>
      <c r="C61" s="1195">
        <v>-464.7</v>
      </c>
      <c r="D61" s="1195">
        <v>-464.7</v>
      </c>
      <c r="E61" s="1131" t="s">
        <v>137</v>
      </c>
      <c r="F61" s="1131" t="s">
        <v>137</v>
      </c>
      <c r="G61" s="1131" t="s">
        <v>137</v>
      </c>
      <c r="H61" s="1131" t="s">
        <v>137</v>
      </c>
      <c r="I61" s="1131" t="s">
        <v>173</v>
      </c>
      <c r="J61" s="1131" t="s">
        <v>190</v>
      </c>
      <c r="K61" s="1273"/>
      <c r="L61" s="1272"/>
      <c r="M61" s="1131" t="s">
        <v>137</v>
      </c>
      <c r="N61" s="1132"/>
      <c r="O61" s="1276"/>
      <c r="P61" s="1278"/>
      <c r="Q61" s="16"/>
      <c r="R61" s="1052"/>
    </row>
    <row r="62" spans="1:18" ht="15" customHeight="1">
      <c r="A62" s="1140" t="s">
        <v>137</v>
      </c>
      <c r="B62" s="1141" t="s">
        <v>342</v>
      </c>
      <c r="C62" s="1196">
        <v>-227</v>
      </c>
      <c r="D62" s="1196">
        <v>-227</v>
      </c>
      <c r="E62" s="1141" t="s">
        <v>137</v>
      </c>
      <c r="F62" s="1141" t="s">
        <v>137</v>
      </c>
      <c r="G62" s="1141" t="s">
        <v>137</v>
      </c>
      <c r="H62" s="1141" t="s">
        <v>137</v>
      </c>
      <c r="I62" s="1141" t="s">
        <v>173</v>
      </c>
      <c r="J62" s="1141" t="s">
        <v>190</v>
      </c>
      <c r="K62" s="1273"/>
      <c r="L62" s="1272"/>
      <c r="M62" s="1141" t="s">
        <v>137</v>
      </c>
      <c r="N62" s="1151"/>
      <c r="O62" s="1276"/>
      <c r="P62" s="1278"/>
      <c r="Q62" s="16"/>
      <c r="R62" s="1052"/>
    </row>
    <row r="63" spans="1:18" ht="15" customHeight="1">
      <c r="A63" s="1136" t="s">
        <v>137</v>
      </c>
      <c r="B63" s="1131" t="s">
        <v>343</v>
      </c>
      <c r="C63" s="1197">
        <v>-0.5</v>
      </c>
      <c r="D63" s="1197">
        <v>-0.5</v>
      </c>
      <c r="E63" s="1131" t="s">
        <v>137</v>
      </c>
      <c r="F63" s="1131" t="s">
        <v>137</v>
      </c>
      <c r="G63" s="1131" t="s">
        <v>137</v>
      </c>
      <c r="H63" s="1131" t="s">
        <v>137</v>
      </c>
      <c r="I63" s="1131" t="s">
        <v>173</v>
      </c>
      <c r="J63" s="1131" t="s">
        <v>190</v>
      </c>
      <c r="K63" s="1273"/>
      <c r="L63" s="1272"/>
      <c r="M63" s="1131" t="s">
        <v>137</v>
      </c>
      <c r="N63" s="1132"/>
      <c r="O63" s="1276"/>
      <c r="P63" s="1278"/>
      <c r="Q63" s="16"/>
      <c r="R63" s="1052"/>
    </row>
    <row r="64" spans="1:18" ht="15" customHeight="1">
      <c r="A64" s="1140" t="s">
        <v>137</v>
      </c>
      <c r="B64" s="1141" t="s">
        <v>344</v>
      </c>
      <c r="C64" s="1198">
        <v>0.2</v>
      </c>
      <c r="D64" s="1198">
        <v>0.2</v>
      </c>
      <c r="E64" s="1141" t="s">
        <v>137</v>
      </c>
      <c r="F64" s="1141" t="s">
        <v>137</v>
      </c>
      <c r="G64" s="1141" t="s">
        <v>137</v>
      </c>
      <c r="H64" s="1141" t="s">
        <v>137</v>
      </c>
      <c r="I64" s="1141" t="s">
        <v>173</v>
      </c>
      <c r="J64" s="1141" t="s">
        <v>190</v>
      </c>
      <c r="K64" s="1273"/>
      <c r="L64" s="1272"/>
      <c r="M64" s="1141" t="s">
        <v>137</v>
      </c>
      <c r="N64" s="1151"/>
      <c r="O64" s="1276"/>
      <c r="P64" s="1278"/>
      <c r="Q64" s="16"/>
      <c r="R64" s="1052"/>
    </row>
    <row r="65" spans="1:18" ht="15" customHeight="1">
      <c r="A65" s="1199"/>
      <c r="B65" s="1131" t="s">
        <v>345</v>
      </c>
      <c r="C65" s="1200">
        <v>26101</v>
      </c>
      <c r="D65" s="1199"/>
      <c r="E65" s="1199"/>
      <c r="F65" s="22"/>
      <c r="G65" s="22"/>
      <c r="H65" s="22"/>
      <c r="I65" s="22"/>
      <c r="J65" s="22"/>
      <c r="K65" s="1034"/>
      <c r="L65" s="1033"/>
      <c r="M65" s="1039"/>
      <c r="N65" s="1027"/>
      <c r="O65" s="1276">
        <f ca="1">SUM(O6:O64)</f>
        <v>29231.732558568121</v>
      </c>
      <c r="P65" s="1278"/>
      <c r="Q65" s="16"/>
      <c r="R65" s="1052"/>
    </row>
    <row r="66" spans="1:18" ht="15" customHeight="1">
      <c r="A66" s="1201"/>
      <c r="B66" s="1141" t="s">
        <v>346</v>
      </c>
      <c r="C66" s="1202">
        <v>-2024</v>
      </c>
      <c r="D66" s="1201"/>
      <c r="E66" s="1201"/>
      <c r="F66" s="1028"/>
      <c r="G66" s="1028"/>
      <c r="H66" s="1028"/>
      <c r="I66" s="1028"/>
      <c r="J66" s="1028"/>
      <c r="K66" s="1037"/>
      <c r="L66" s="1031"/>
      <c r="M66" s="1037"/>
      <c r="N66" s="1028"/>
      <c r="O66" s="1276">
        <f ca="1">O16+O38</f>
        <v>1061.2164335929685</v>
      </c>
      <c r="P66" s="1278"/>
      <c r="Q66" s="16"/>
      <c r="R66" s="1052"/>
    </row>
    <row r="67" spans="1:18" ht="15" customHeight="1">
      <c r="A67" s="1199"/>
      <c r="B67" s="1131" t="s">
        <v>347</v>
      </c>
      <c r="C67" s="1203">
        <v>24077</v>
      </c>
      <c r="D67" s="1199"/>
      <c r="E67" s="1199"/>
      <c r="F67" s="22"/>
      <c r="G67" s="22"/>
      <c r="H67" s="22"/>
      <c r="I67" s="22"/>
      <c r="J67" s="22"/>
      <c r="K67" s="1034"/>
      <c r="L67" s="1033"/>
      <c r="M67" s="1034"/>
      <c r="N67" s="22"/>
      <c r="O67" s="1276">
        <f ca="1">O65-O66</f>
        <v>28170.516124975151</v>
      </c>
      <c r="P67" s="1278"/>
      <c r="Q67" s="16"/>
      <c r="R67" s="1052"/>
    </row>
    <row r="68" spans="1:18" ht="15" customHeight="1">
      <c r="A68" s="1201"/>
      <c r="B68" s="1141" t="s">
        <v>348</v>
      </c>
      <c r="C68" s="1204">
        <v>2024</v>
      </c>
      <c r="D68" s="1201"/>
      <c r="E68" s="1201"/>
      <c r="F68" s="22"/>
      <c r="G68" s="22"/>
      <c r="H68" s="22"/>
      <c r="I68" s="22"/>
      <c r="J68" s="22"/>
      <c r="K68" s="1040"/>
      <c r="L68" s="1033"/>
      <c r="M68" s="1034"/>
      <c r="N68" s="1027"/>
      <c r="O68" s="1276">
        <f ca="1">O66</f>
        <v>1061.2164335929685</v>
      </c>
      <c r="P68" s="1278"/>
      <c r="Q68" s="16"/>
      <c r="R68" s="1052"/>
    </row>
    <row r="69" spans="1:18" ht="15" customHeight="1">
      <c r="A69" s="1199"/>
      <c r="B69" s="1131" t="s">
        <v>349</v>
      </c>
      <c r="C69" s="1200">
        <v>26101</v>
      </c>
      <c r="D69" s="1205">
        <v>25998.799999999999</v>
      </c>
      <c r="E69" s="1199"/>
      <c r="F69" s="1028"/>
      <c r="G69" s="1028"/>
      <c r="H69" s="1028"/>
      <c r="I69" s="1028"/>
      <c r="J69" s="1028"/>
      <c r="K69" s="1035"/>
      <c r="L69" s="1031"/>
      <c r="M69" s="1035"/>
      <c r="N69" s="1029"/>
      <c r="O69" s="1276">
        <f ca="1">O67+O68</f>
        <v>29231.732558568121</v>
      </c>
      <c r="P69" s="1278"/>
      <c r="Q69" s="16"/>
      <c r="R69" s="1052"/>
    </row>
    <row r="70" spans="1:18" ht="15" customHeight="1">
      <c r="A70" s="1129" t="s">
        <v>350</v>
      </c>
      <c r="B70" s="1129" t="s">
        <v>351</v>
      </c>
      <c r="C70" s="1129"/>
      <c r="D70" s="1129"/>
      <c r="E70" s="1129"/>
      <c r="F70" s="1028"/>
      <c r="G70" s="1028"/>
      <c r="H70" s="1028"/>
      <c r="I70" s="1028"/>
      <c r="J70" s="1028"/>
      <c r="K70" s="1041"/>
      <c r="L70" s="1031"/>
      <c r="M70" s="1030"/>
      <c r="N70" s="1028"/>
      <c r="O70" s="1276"/>
      <c r="P70" s="1278"/>
      <c r="Q70" s="16"/>
      <c r="R70" s="1052"/>
    </row>
    <row r="71" spans="1:18" ht="15" customHeight="1">
      <c r="A71" s="1206" t="s">
        <v>352</v>
      </c>
      <c r="B71" s="1129"/>
      <c r="C71" s="1129"/>
      <c r="D71" s="1129"/>
      <c r="E71" s="1129"/>
      <c r="F71" s="22"/>
      <c r="G71" s="22"/>
      <c r="H71" s="22"/>
      <c r="I71" s="22"/>
      <c r="J71" s="22"/>
      <c r="K71" s="1038"/>
      <c r="L71" s="1033"/>
      <c r="M71" s="1032"/>
      <c r="N71" s="1027"/>
      <c r="O71" s="1276"/>
      <c r="P71" s="1278"/>
      <c r="Q71" s="16"/>
      <c r="R71" s="1052"/>
    </row>
    <row r="72" spans="1:18" ht="15" customHeight="1">
      <c r="A72" s="1206" t="s">
        <v>353</v>
      </c>
      <c r="B72" s="1129"/>
      <c r="C72" s="1129"/>
      <c r="D72" s="1129"/>
      <c r="E72" s="1129"/>
      <c r="F72" s="1028"/>
      <c r="G72" s="1028"/>
      <c r="H72" s="1028"/>
      <c r="I72" s="1028"/>
      <c r="J72" s="1028"/>
      <c r="K72" s="1036"/>
      <c r="L72" s="1031"/>
      <c r="M72" s="1030"/>
      <c r="N72" s="1029"/>
      <c r="O72" s="1276"/>
      <c r="P72" s="1278"/>
      <c r="Q72" s="16"/>
      <c r="R72" s="1052"/>
    </row>
    <row r="73" spans="1:18" ht="15" customHeight="1"/>
    <row r="74" spans="1:18" ht="15" customHeight="1"/>
    <row r="75" spans="1:18" ht="15" customHeight="1"/>
    <row r="76" spans="1:18" ht="15" customHeight="1"/>
    <row r="77" spans="1:18" ht="15" customHeight="1"/>
    <row r="78" spans="1:18" ht="15" customHeight="1"/>
    <row r="79" spans="1:18" ht="15" customHeight="1"/>
    <row r="80" spans="1:18"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spans="17:21" ht="15" customHeight="1"/>
    <row r="130" spans="17:21" ht="15" customHeight="1"/>
    <row r="131" spans="17:21" ht="15" customHeight="1"/>
    <row r="132" spans="17:21" ht="15" customHeight="1"/>
    <row r="133" spans="17:21" ht="15" customHeight="1"/>
    <row r="134" spans="17:21" ht="15" customHeight="1"/>
    <row r="135" spans="17:21" ht="15" customHeight="1"/>
    <row r="136" spans="17:21" ht="15" customHeight="1"/>
    <row r="137" spans="17:21" ht="15" customHeight="1"/>
    <row r="138" spans="17:21" ht="15" customHeight="1">
      <c r="Q138" s="866"/>
    </row>
    <row r="139" spans="17:21" ht="15" customHeight="1">
      <c r="Q139" s="866"/>
    </row>
    <row r="140" spans="17:21" ht="15" customHeight="1">
      <c r="Q140" s="866"/>
      <c r="T140" s="870"/>
      <c r="U140" s="871"/>
    </row>
    <row r="141" spans="17:21">
      <c r="Q141" s="866"/>
    </row>
    <row r="142" spans="17:21">
      <c r="Q142" s="866"/>
    </row>
    <row r="143" spans="17:21">
      <c r="Q143" s="866"/>
    </row>
    <row r="144" spans="17:21">
      <c r="Q144" s="866"/>
    </row>
    <row r="145" spans="17:17">
      <c r="Q145" s="866"/>
    </row>
    <row r="146" spans="17:17">
      <c r="Q146" s="866"/>
    </row>
    <row r="147" spans="17:17">
      <c r="Q147" s="866"/>
    </row>
    <row r="148" spans="17:17">
      <c r="Q148" s="866"/>
    </row>
    <row r="149" spans="17:17">
      <c r="Q149" s="866"/>
    </row>
    <row r="150" spans="17:17">
      <c r="Q150" s="866"/>
    </row>
    <row r="151" spans="17:17">
      <c r="Q151" s="866"/>
    </row>
    <row r="152" spans="17:17">
      <c r="Q152" s="866"/>
    </row>
    <row r="153" spans="17:17">
      <c r="Q153" s="866"/>
    </row>
    <row r="154" spans="17:17">
      <c r="Q154" s="866"/>
    </row>
    <row r="155" spans="17:17">
      <c r="Q155" s="866"/>
    </row>
    <row r="156" spans="17:17">
      <c r="Q156" s="866"/>
    </row>
    <row r="157" spans="17:17">
      <c r="Q157" s="866"/>
    </row>
    <row r="158" spans="17:17">
      <c r="Q158" s="866"/>
    </row>
  </sheetData>
  <autoFilter ref="A13:N72" xr:uid="{00000000-0009-0000-0000-000004000000}"/>
  <sortState xmlns:xlrd2="http://schemas.microsoft.com/office/spreadsheetml/2017/richdata2" ref="A15:R72">
    <sortCondition ref="I15:I72"/>
    <sortCondition ref="Q15:Q72"/>
  </sortState>
  <pageMargins left="0.78740157499999996" right="0.78740157499999996" top="0.984251969" bottom="0.984251969" header="0.4921259845" footer="0.4921259845"/>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4">
    <tabColor theme="2" tint="-0.249977111117893"/>
    <outlinePr summaryBelow="0"/>
  </sheetPr>
  <dimension ref="A1:K999"/>
  <sheetViews>
    <sheetView workbookViewId="0">
      <pane ySplit="12" topLeftCell="A16" activePane="bottomLeft" state="frozen"/>
      <selection activeCell="E31" sqref="E31"/>
      <selection pane="bottomLeft" activeCell="A9" sqref="A9"/>
    </sheetView>
  </sheetViews>
  <sheetFormatPr defaultColWidth="11.28515625" defaultRowHeight="15" outlineLevelRow="2"/>
  <cols>
    <col min="1" max="1" width="35.28515625" customWidth="1"/>
    <col min="2" max="22" width="12.7109375" customWidth="1"/>
  </cols>
  <sheetData>
    <row r="1" spans="1:11" s="332" customFormat="1" ht="12.75" hidden="1">
      <c r="A1" s="331"/>
    </row>
    <row r="2" spans="1:11" s="334" customFormat="1" ht="12.75" hidden="1">
      <c r="A2" s="333"/>
    </row>
    <row r="3" spans="1:11" s="334" customFormat="1" ht="12.75" hidden="1">
      <c r="A3" s="333" t="s">
        <v>51</v>
      </c>
    </row>
    <row r="4" spans="1:11" s="336" customFormat="1" ht="28.35" customHeight="1">
      <c r="A4" s="335"/>
      <c r="K4" s="337" t="str">
        <f>HYPERLINK("fdsup://FactSet/LN Balance Sheet/?action=set_identifier&amp;identifier="&amp;B8,"Open the report in the workstation")</f>
        <v>Open the report in the workstation</v>
      </c>
    </row>
    <row r="5" spans="1:11" s="340" customFormat="1" ht="26.1" customHeight="1">
      <c r="A5" s="338" t="s">
        <v>51</v>
      </c>
      <c r="B5" s="339" t="str" cm="1">
        <f t="array" ref="B5">_xll.FDSRC("-",$B$8,"CE_NAME()")</f>
        <v>Delta Air Lines, Inc.</v>
      </c>
    </row>
    <row r="6" spans="1:11" s="343" customFormat="1" ht="16.350000000000001" customHeight="1">
      <c r="A6" s="341" t="s">
        <v>354</v>
      </c>
      <c r="B6" s="342" t="str" cm="1">
        <f t="array" ref="B6">_xll.FDSRC("-",$B$8,"CE_TICKER_HEADER()")</f>
        <v xml:space="preserve">DAL   247361702   B1W9D46   NYSE    Common stock    </v>
      </c>
    </row>
    <row r="7" spans="1:11" s="334" customFormat="1" ht="12.75">
      <c r="A7" s="1055" t="s">
        <v>355</v>
      </c>
    </row>
    <row r="8" spans="1:11" s="334" customFormat="1" ht="12.75">
      <c r="A8" s="344" t="s">
        <v>356</v>
      </c>
      <c r="B8" s="345" t="str">
        <f>'At a Glance'!CPYATGLANCEFF_RWIdentifier</f>
        <v>DAL-US</v>
      </c>
      <c r="C8" s="346"/>
      <c r="D8" s="346"/>
      <c r="E8" s="346"/>
      <c r="F8" s="346"/>
      <c r="G8" s="346"/>
      <c r="H8" s="346"/>
      <c r="I8" s="346"/>
      <c r="J8" s="346"/>
      <c r="K8" s="346"/>
    </row>
    <row r="9" spans="1:11" s="334" customFormat="1" ht="12.75">
      <c r="A9" s="347"/>
      <c r="B9" s="348"/>
      <c r="C9" s="346"/>
      <c r="D9" s="346"/>
      <c r="E9" s="346"/>
      <c r="F9" s="346"/>
      <c r="G9" s="346"/>
      <c r="H9" s="346"/>
      <c r="I9" s="346"/>
      <c r="J9" s="346"/>
      <c r="K9" s="346"/>
    </row>
    <row r="10" spans="1:11" s="334" customFormat="1" ht="12.75" hidden="1">
      <c r="A10" s="347"/>
      <c r="B10" s="349"/>
      <c r="C10" s="346"/>
      <c r="D10" s="346"/>
      <c r="E10" s="346"/>
      <c r="F10" s="346"/>
      <c r="G10" s="346"/>
      <c r="H10" s="346"/>
      <c r="I10" s="346"/>
      <c r="J10" s="346"/>
      <c r="K10" s="346"/>
    </row>
    <row r="11" spans="1:11" s="352" customFormat="1" ht="12.75">
      <c r="A11" s="350"/>
      <c r="B11" s="351" t="str">
        <f t="array" ref="B11:K11">_xll.FDSRC("-",$B$8,"FF_FP_END_DATE('ANN','0','-9',,RP)")</f>
        <v>12/2020</v>
      </c>
      <c r="C11" s="351" t="str">
        <v>12/2019</v>
      </c>
      <c r="D11" s="351" t="str">
        <v>12/2018</v>
      </c>
      <c r="E11" s="351" t="str">
        <v>12/2017</v>
      </c>
      <c r="F11" s="351" t="str">
        <v>12/2016</v>
      </c>
      <c r="G11" s="351" t="str">
        <v>12/2015</v>
      </c>
      <c r="H11" s="351" t="str">
        <v>12/2014</v>
      </c>
      <c r="I11" s="351" t="str">
        <v>12/2013</v>
      </c>
      <c r="J11" s="351" t="str">
        <v>12/2012</v>
      </c>
      <c r="K11" s="351" t="str">
        <v>12/2011</v>
      </c>
    </row>
    <row r="12" spans="1:11" s="352" customFormat="1" ht="12.75">
      <c r="A12" s="350"/>
      <c r="B12" s="351" t="str">
        <f t="array" ref="B12:K12">_xll.FDSRC("-",$B$8,"INT_ARRAY(FF_FY_LENGTH_DAYS('ANN','0','-9'))+"" Days""")</f>
        <v>366 DAYS</v>
      </c>
      <c r="C12" s="351" t="str">
        <v>365 DAYS</v>
      </c>
      <c r="D12" s="351" t="str">
        <v>365 DAYS</v>
      </c>
      <c r="E12" s="351" t="str">
        <v>365 DAYS</v>
      </c>
      <c r="F12" s="351" t="str">
        <v>366 DAYS</v>
      </c>
      <c r="G12" s="351" t="str">
        <v>365 DAYS</v>
      </c>
      <c r="H12" s="351" t="str">
        <v>365 DAYS</v>
      </c>
      <c r="I12" s="351" t="str">
        <v>365 DAYS</v>
      </c>
      <c r="J12" s="351" t="str">
        <v>366 DAYS</v>
      </c>
      <c r="K12" s="351" t="str">
        <v>365 DAYS</v>
      </c>
    </row>
    <row r="13" spans="1:11" s="355" customFormat="1" ht="12.75">
      <c r="A13" s="353" t="s">
        <v>51</v>
      </c>
      <c r="B13" s="354"/>
      <c r="C13" s="354"/>
      <c r="D13" s="354"/>
      <c r="E13" s="354"/>
      <c r="F13" s="354"/>
      <c r="G13" s="354"/>
      <c r="H13" s="354"/>
      <c r="I13" s="354"/>
      <c r="J13" s="354"/>
      <c r="K13" s="354"/>
    </row>
    <row r="14" spans="1:11" s="355" customFormat="1" ht="12.75">
      <c r="A14" s="353" t="s">
        <v>357</v>
      </c>
      <c r="B14" s="354"/>
      <c r="C14" s="354"/>
      <c r="D14" s="354"/>
      <c r="E14" s="354"/>
      <c r="F14" s="354"/>
      <c r="G14" s="354"/>
      <c r="H14" s="354"/>
      <c r="I14" s="354"/>
      <c r="J14" s="354"/>
      <c r="K14" s="354"/>
    </row>
    <row r="15" spans="1:11" s="334" customFormat="1" ht="12.75" outlineLevel="1">
      <c r="A15" s="347" t="s">
        <v>358</v>
      </c>
      <c r="B15" s="351">
        <f t="array" ref="B15:K15">_xll.FDSRC("-",$B$8,"FF_CASH_ST('ANN','0','-9','YEARLY',RP,'LOCAL','B')")</f>
        <v>14.288</v>
      </c>
      <c r="C15" s="351">
        <v>3.0939999999999999</v>
      </c>
      <c r="D15" s="351">
        <v>1.8149999999999999</v>
      </c>
      <c r="E15" s="351">
        <v>2.6389999999999998</v>
      </c>
      <c r="F15" s="351">
        <v>3.6419999999999999</v>
      </c>
      <c r="G15" s="351">
        <v>5.4240000000000004</v>
      </c>
      <c r="H15" s="351">
        <v>4.383</v>
      </c>
      <c r="I15" s="351">
        <v>3.9249999999999998</v>
      </c>
      <c r="J15" s="351">
        <v>3.7490000000000001</v>
      </c>
      <c r="K15" s="351">
        <v>3.92</v>
      </c>
    </row>
    <row r="16" spans="1:11" s="334" customFormat="1" ht="12.75" outlineLevel="1">
      <c r="A16" s="347" t="s">
        <v>359</v>
      </c>
      <c r="B16" s="351">
        <f t="array" ref="B16:K16">_xll.FDSRC("-",$B$8,"FF_RECEIV_ST('ANN','0','-9','YEARLY',RP,'LOCAL','B')")</f>
        <v>1.3959999999999999</v>
      </c>
      <c r="C16" s="351">
        <v>2.8540000000000001</v>
      </c>
      <c r="D16" s="351">
        <v>2.3140000000000001</v>
      </c>
      <c r="E16" s="351">
        <v>2.3769999999999998</v>
      </c>
      <c r="F16" s="351">
        <v>2.0640000000000001</v>
      </c>
      <c r="G16" s="351">
        <v>2.1389999999999998</v>
      </c>
      <c r="H16" s="351">
        <v>3.222</v>
      </c>
      <c r="I16" s="351">
        <v>1.609</v>
      </c>
      <c r="J16" s="351">
        <v>1.6930000000000001</v>
      </c>
      <c r="K16" s="351">
        <v>1.5629999999999999</v>
      </c>
    </row>
    <row r="17" spans="1:11" s="334" customFormat="1" ht="12.75" outlineLevel="1">
      <c r="A17" s="347" t="s">
        <v>55</v>
      </c>
      <c r="B17" s="351">
        <f t="array" ref="B17:K17">_xll.FDSRC("-",$B$8,"FF_INVEN('ANN','0','-9','YEARLY',RP,'LOCAL','B')")</f>
        <v>0.73199999999999998</v>
      </c>
      <c r="C17" s="351">
        <v>1.2509999999999999</v>
      </c>
      <c r="D17" s="351">
        <v>1.0549999999999999</v>
      </c>
      <c r="E17" s="351">
        <v>1.329</v>
      </c>
      <c r="F17" s="351">
        <v>0.89100000000000001</v>
      </c>
      <c r="G17" s="351">
        <v>0.69699999999999995</v>
      </c>
      <c r="H17" s="351">
        <v>0.85199999999999998</v>
      </c>
      <c r="I17" s="351">
        <v>1.0629999999999999</v>
      </c>
      <c r="J17" s="351">
        <v>1.0229999999999999</v>
      </c>
      <c r="K17" s="351">
        <v>0.36699999999999999</v>
      </c>
    </row>
    <row r="18" spans="1:11" s="334" customFormat="1" ht="12.75" outlineLevel="1">
      <c r="A18" s="347" t="s">
        <v>360</v>
      </c>
      <c r="B18" s="351">
        <f t="array" ref="B18:K18">_xll.FDSRC("-",$B$8,"FF_ASSETS_CURR_OTH('ANN','0','-9','YEARLY',RP,'LOCAL','B')")</f>
        <v>0.98799999999999999</v>
      </c>
      <c r="C18" s="351">
        <v>1.05</v>
      </c>
      <c r="D18" s="351">
        <v>1.1559999999999999</v>
      </c>
      <c r="E18" s="351">
        <v>1.4990000000000001</v>
      </c>
      <c r="F18" s="351">
        <v>0.85399999999999998</v>
      </c>
      <c r="G18" s="351">
        <v>0.79600000000000004</v>
      </c>
      <c r="H18" s="351">
        <v>4.008</v>
      </c>
      <c r="I18" s="351">
        <v>3.0539999999999998</v>
      </c>
      <c r="J18" s="351">
        <v>1.8069999999999999</v>
      </c>
      <c r="K18" s="351">
        <v>1.879</v>
      </c>
    </row>
    <row r="19" spans="1:11" s="334" customFormat="1" ht="12.75" outlineLevel="1">
      <c r="A19" s="347" t="s">
        <v>361</v>
      </c>
      <c r="B19" s="351">
        <f t="array" ref="B19:K19">_xll.FDSRC("-",$B$8,"FF_ASSETS_CURR('ANN','0','-9','YEARLY',RP,'LOCAL','B')")</f>
        <v>17.404</v>
      </c>
      <c r="C19" s="351">
        <v>8.2490000000000006</v>
      </c>
      <c r="D19" s="351">
        <v>6.34</v>
      </c>
      <c r="E19" s="351">
        <v>7.8440000000000003</v>
      </c>
      <c r="F19" s="351">
        <v>7.4509999999999996</v>
      </c>
      <c r="G19" s="351">
        <v>9.0559999999999992</v>
      </c>
      <c r="H19" s="351">
        <v>12.465</v>
      </c>
      <c r="I19" s="351">
        <v>9.6509999999999998</v>
      </c>
      <c r="J19" s="351">
        <v>8.2720000000000002</v>
      </c>
      <c r="K19" s="351">
        <v>7.7290000000000001</v>
      </c>
    </row>
    <row r="20" spans="1:11" s="334" customFormat="1" ht="12.75" outlineLevel="1">
      <c r="A20" s="347" t="s">
        <v>362</v>
      </c>
      <c r="B20" s="351">
        <f t="array" ref="B20:K20">_xll.FDSRC("-",$B$8,"FF_PPE_NET('ANN','0','-9','YEARLY',RP,'LOCAL','B')")</f>
        <v>32.262</v>
      </c>
      <c r="C20" s="351">
        <v>36.936999999999998</v>
      </c>
      <c r="D20" s="351">
        <v>34.329000000000001</v>
      </c>
      <c r="E20" s="351">
        <v>26.562999999999999</v>
      </c>
      <c r="F20" s="351">
        <v>24.375</v>
      </c>
      <c r="G20" s="351">
        <v>23.039000000000001</v>
      </c>
      <c r="H20" s="351">
        <v>21.928999999999998</v>
      </c>
      <c r="I20" s="351">
        <v>21.853999999999999</v>
      </c>
      <c r="J20" s="351">
        <v>20.713000000000001</v>
      </c>
      <c r="K20" s="351">
        <v>20.222999999999999</v>
      </c>
    </row>
    <row r="21" spans="1:11" s="334" customFormat="1" ht="12.75" outlineLevel="1">
      <c r="A21" s="347" t="s">
        <v>363</v>
      </c>
      <c r="B21" s="351">
        <f t="array" ref="B21:K21">_xll.FDSRC("-",$B$8,"FF_INVEST_ADV('ANN','0','-9','YEARLY',RP,'LOCAL','B')")</f>
        <v>3.2410000000000001</v>
      </c>
      <c r="C21" s="351">
        <v>1.788</v>
      </c>
      <c r="D21" s="351">
        <v>2.024</v>
      </c>
      <c r="E21" s="351">
        <v>0.52200000000000002</v>
      </c>
      <c r="F21" s="351">
        <v>0.14599999999999999</v>
      </c>
      <c r="G21" s="351">
        <v>0.17899999999999999</v>
      </c>
      <c r="H21" s="351">
        <v>0.17</v>
      </c>
      <c r="I21" s="351">
        <v>0.23799999999999999</v>
      </c>
      <c r="J21" s="351">
        <v>0.27700000000000002</v>
      </c>
      <c r="K21" s="351">
        <v>0.13300000000000001</v>
      </c>
    </row>
    <row r="22" spans="1:11" s="334" customFormat="1" ht="12.75" outlineLevel="1">
      <c r="A22" s="347" t="s">
        <v>364</v>
      </c>
      <c r="B22" s="351">
        <f t="array" ref="B22:K22">_xll.FDSRC("-",$B$8,"FF_INTANG('ANN','0','-9','YEARLY',RP,'LOCAL','B')")</f>
        <v>15.763999999999999</v>
      </c>
      <c r="C22" s="351">
        <v>14.944000000000001</v>
      </c>
      <c r="D22" s="351">
        <v>14.611000000000001</v>
      </c>
      <c r="E22" s="351">
        <v>14.641</v>
      </c>
      <c r="F22" s="351">
        <v>14.638</v>
      </c>
      <c r="G22" s="351">
        <v>14.654999999999999</v>
      </c>
      <c r="H22" s="351">
        <v>14.397</v>
      </c>
      <c r="I22" s="351">
        <v>14.452</v>
      </c>
      <c r="J22" s="351">
        <v>14.473000000000001</v>
      </c>
      <c r="K22" s="351">
        <v>14.545</v>
      </c>
    </row>
    <row r="23" spans="1:11" s="334" customFormat="1" ht="12.75" outlineLevel="1">
      <c r="A23" s="347" t="s">
        <v>365</v>
      </c>
      <c r="B23" s="351">
        <f t="array" ref="B23:K23">_xll.FDSRC("-",$B$8,"FF_DFD_TAX_DB('ANN','0','-9','YEARLY',RP,'LOCAL','B')")</f>
        <v>1.988</v>
      </c>
      <c r="C23" s="351">
        <v>0.12</v>
      </c>
      <c r="D23" s="351">
        <v>0.24199999999999999</v>
      </c>
      <c r="E23" s="351">
        <v>6.1150000000000002</v>
      </c>
      <c r="F23" s="351">
        <v>10.702</v>
      </c>
      <c r="G23" s="351">
        <v>12.456</v>
      </c>
      <c r="H23" s="351">
        <v>4.32</v>
      </c>
      <c r="I23" s="351">
        <v>12.134</v>
      </c>
      <c r="J23" s="351" t="str">
        <v>-</v>
      </c>
      <c r="K23" s="351" t="str">
        <v>-</v>
      </c>
    </row>
    <row r="24" spans="1:11" s="334" customFormat="1" ht="12.75" outlineLevel="1">
      <c r="A24" s="347" t="s">
        <v>366</v>
      </c>
      <c r="B24" s="351">
        <f t="array" ref="B24:K24">_xll.FDSRC("-",$B$8,"FF_ASSETS_OTH('ANN','0','-9','YEARLY',RP,'LOCAL','B')")</f>
        <v>1.337</v>
      </c>
      <c r="C24" s="351">
        <v>2.4940000000000002</v>
      </c>
      <c r="D24" s="351">
        <v>2.72</v>
      </c>
      <c r="E24" s="351">
        <v>2.7869999999999999</v>
      </c>
      <c r="F24" s="351">
        <v>1.587</v>
      </c>
      <c r="G24" s="351">
        <v>1.2490000000000001</v>
      </c>
      <c r="H24" s="351">
        <v>0.84</v>
      </c>
      <c r="I24" s="351">
        <v>1.0649999999999999</v>
      </c>
      <c r="J24" s="351">
        <v>0.81499999999999995</v>
      </c>
      <c r="K24" s="351">
        <v>0.86899999999999999</v>
      </c>
    </row>
    <row r="25" spans="1:11" s="355" customFormat="1" ht="12.75" outlineLevel="1">
      <c r="A25" s="344" t="s">
        <v>59</v>
      </c>
      <c r="B25" s="356">
        <f t="array" ref="B25:K25">_xll.FDSRC("-",$B$8,"FF_ASSETS('ANN','0','-9','YEARLY',RP,'LOCAL','B')")</f>
        <v>71.995999999999995</v>
      </c>
      <c r="C25" s="356">
        <v>64.531999999999996</v>
      </c>
      <c r="D25" s="356">
        <v>60.265999999999998</v>
      </c>
      <c r="E25" s="356">
        <v>58.472000000000001</v>
      </c>
      <c r="F25" s="356">
        <v>58.899000000000001</v>
      </c>
      <c r="G25" s="356">
        <v>60.634</v>
      </c>
      <c r="H25" s="356">
        <v>54.121000000000002</v>
      </c>
      <c r="I25" s="356">
        <v>59.393999999999998</v>
      </c>
      <c r="J25" s="356">
        <v>44.55</v>
      </c>
      <c r="K25" s="356">
        <v>43.499000000000002</v>
      </c>
    </row>
    <row r="26" spans="1:11" s="334" customFormat="1" ht="12.75">
      <c r="A26" s="347" t="s">
        <v>367</v>
      </c>
      <c r="B26" s="346"/>
      <c r="C26" s="346"/>
      <c r="D26" s="346"/>
      <c r="E26" s="346"/>
      <c r="F26" s="346"/>
      <c r="G26" s="346"/>
      <c r="H26" s="346"/>
      <c r="I26" s="346"/>
      <c r="J26" s="346"/>
      <c r="K26" s="346"/>
    </row>
    <row r="27" spans="1:11" s="334" customFormat="1" ht="12.75" outlineLevel="1">
      <c r="A27" s="347" t="s">
        <v>368</v>
      </c>
      <c r="B27" s="351">
        <f t="array" ref="B27:K27">_xll.FDSRC("-",$B$8,"FF_DEBT_ST('ANN','0','-9','YEARLY',RP,'LOCAL','B')")</f>
        <v>2.41</v>
      </c>
      <c r="C27" s="351">
        <v>3.0880000000000001</v>
      </c>
      <c r="D27" s="351">
        <v>2.4729999999999999</v>
      </c>
      <c r="E27" s="351">
        <v>2.242</v>
      </c>
      <c r="F27" s="351">
        <v>1.131</v>
      </c>
      <c r="G27" s="351">
        <v>1.5629999999999999</v>
      </c>
      <c r="H27" s="351">
        <v>1.216</v>
      </c>
      <c r="I27" s="351">
        <v>1.5469999999999999</v>
      </c>
      <c r="J27" s="351">
        <v>1.627</v>
      </c>
      <c r="K27" s="351">
        <v>1.944</v>
      </c>
    </row>
    <row r="28" spans="1:11" s="334" customFormat="1" ht="12.75" outlineLevel="1">
      <c r="A28" s="347" t="s">
        <v>61</v>
      </c>
      <c r="B28" s="351">
        <f t="array" ref="B28:K28">_xll.FDSRC("-",$B$8,"FF_PAY_ACCT('ANN','0','-9','YEARLY',RP,'LOCAL','B')")</f>
        <v>2.84</v>
      </c>
      <c r="C28" s="351">
        <v>3.266</v>
      </c>
      <c r="D28" s="351">
        <v>2.976</v>
      </c>
      <c r="E28" s="351">
        <v>3.6739999999999999</v>
      </c>
      <c r="F28" s="351">
        <v>2.5720000000000001</v>
      </c>
      <c r="G28" s="351">
        <v>2.7429999999999999</v>
      </c>
      <c r="H28" s="351">
        <v>2.6219999999999999</v>
      </c>
      <c r="I28" s="351">
        <v>2.2999999999999998</v>
      </c>
      <c r="J28" s="351">
        <v>2.2930000000000001</v>
      </c>
      <c r="K28" s="351">
        <v>1.6</v>
      </c>
    </row>
    <row r="29" spans="1:11" s="334" customFormat="1" ht="12.75" outlineLevel="1">
      <c r="A29" s="347" t="s">
        <v>369</v>
      </c>
      <c r="B29" s="351" t="str">
        <f t="array" ref="B29:K29">_xll.FDSRC("-",$B$8,"FF_PAY_TAX('ANN','0','-9','YEARLY',RP,'LOCAL','B')")</f>
        <v>-</v>
      </c>
      <c r="C29" s="351" t="str">
        <v>-</v>
      </c>
      <c r="D29" s="351" t="str">
        <v>-</v>
      </c>
      <c r="E29" s="351" t="str">
        <v>-</v>
      </c>
      <c r="F29" s="351" t="str">
        <v>-</v>
      </c>
      <c r="G29" s="351" t="str">
        <v>-</v>
      </c>
      <c r="H29" s="351" t="str">
        <v>-</v>
      </c>
      <c r="I29" s="351">
        <v>0.67300000000000004</v>
      </c>
      <c r="J29" s="351">
        <v>0.58499999999999996</v>
      </c>
      <c r="K29" s="351">
        <v>0.59399999999999997</v>
      </c>
    </row>
    <row r="30" spans="1:11" s="334" customFormat="1" ht="12.75" outlineLevel="1">
      <c r="A30" s="347" t="s">
        <v>370</v>
      </c>
      <c r="B30" s="351">
        <f t="array" ref="B30:K30">_xll.FDSRC("-",$B$8,"FF_LIABS_CURR_OTH('ANN','0','-9','YEARLY',RP,'LOCAL','B')")</f>
        <v>10.677</v>
      </c>
      <c r="C30" s="351">
        <v>13.85</v>
      </c>
      <c r="D30" s="351">
        <v>13.129</v>
      </c>
      <c r="E30" s="351">
        <v>12.657</v>
      </c>
      <c r="F30" s="351">
        <v>11.536</v>
      </c>
      <c r="G30" s="351">
        <v>13.22</v>
      </c>
      <c r="H30" s="351">
        <v>13.041</v>
      </c>
      <c r="I30" s="351">
        <v>9.6319999999999997</v>
      </c>
      <c r="J30" s="351">
        <v>8.7650000000000006</v>
      </c>
      <c r="K30" s="351">
        <v>8.5630000000000006</v>
      </c>
    </row>
    <row r="31" spans="1:11" s="334" customFormat="1" ht="12.75" outlineLevel="1">
      <c r="A31" s="347" t="s">
        <v>371</v>
      </c>
      <c r="B31" s="351">
        <f t="array" ref="B31:K31">_xll.FDSRC("-",$B$8,"FF_LIABS_CURR('ANN','0','-9','YEARLY',RP,'LOCAL','B')")</f>
        <v>15.927</v>
      </c>
      <c r="C31" s="351">
        <v>20.204000000000001</v>
      </c>
      <c r="D31" s="351">
        <v>18.577999999999999</v>
      </c>
      <c r="E31" s="351">
        <v>18.573</v>
      </c>
      <c r="F31" s="351">
        <v>15.239000000000001</v>
      </c>
      <c r="G31" s="351">
        <v>17.526</v>
      </c>
      <c r="H31" s="351">
        <v>16.879000000000001</v>
      </c>
      <c r="I31" s="351">
        <v>14.151999999999999</v>
      </c>
      <c r="J31" s="351">
        <v>13.27</v>
      </c>
      <c r="K31" s="351">
        <v>12.701000000000001</v>
      </c>
    </row>
    <row r="32" spans="1:11" s="334" customFormat="1" ht="12.75" outlineLevel="1">
      <c r="A32" s="347" t="s">
        <v>372</v>
      </c>
      <c r="B32" s="351">
        <f t="array" ref="B32:K32">_xll.FDSRC("-",$B$8,"FF_DEBT_LT('ANN','0','-9','YEARLY',RP,'LOCAL','B')")</f>
        <v>33.137999999999998</v>
      </c>
      <c r="C32" s="351">
        <v>14.167</v>
      </c>
      <c r="D32" s="351">
        <v>14.054</v>
      </c>
      <c r="E32" s="351">
        <v>6.5919999999999996</v>
      </c>
      <c r="F32" s="351">
        <v>6.2009999999999996</v>
      </c>
      <c r="G32" s="351">
        <v>6.766</v>
      </c>
      <c r="H32" s="351">
        <v>8.5609999999999999</v>
      </c>
      <c r="I32" s="351">
        <v>9.7949999999999999</v>
      </c>
      <c r="J32" s="351">
        <v>11.082000000000001</v>
      </c>
      <c r="K32" s="351">
        <v>11.847</v>
      </c>
    </row>
    <row r="33" spans="1:11" s="334" customFormat="1" ht="12.75" outlineLevel="1">
      <c r="A33" s="347" t="s">
        <v>373</v>
      </c>
      <c r="B33" s="351">
        <f t="array" ref="B33:K33">_xll.FDSRC("-",$B$8,"FF_PROV_RISK('ANN','0','-9','YEARLY',RP,'LOCAL','B')")</f>
        <v>10.63</v>
      </c>
      <c r="C33" s="351">
        <v>8.452</v>
      </c>
      <c r="D33" s="351">
        <v>9.1630000000000003</v>
      </c>
      <c r="E33" s="351">
        <v>9.81</v>
      </c>
      <c r="F33" s="351">
        <v>13.378</v>
      </c>
      <c r="G33" s="351">
        <v>13.855</v>
      </c>
      <c r="H33" s="351">
        <v>15.138</v>
      </c>
      <c r="I33" s="351">
        <v>12.391999999999999</v>
      </c>
      <c r="J33" s="351">
        <v>16.004999999999999</v>
      </c>
      <c r="K33" s="351">
        <v>14.2</v>
      </c>
    </row>
    <row r="34" spans="1:11" s="334" customFormat="1" ht="12.75" outlineLevel="1">
      <c r="A34" s="347" t="s">
        <v>374</v>
      </c>
      <c r="B34" s="351" t="str">
        <f t="array" ref="B34:K34">_xll.FDSRC("-",$B$8,"FF_DFD_TAX_CR('ANN','0','-9','YEARLY',RP,'LOCAL','B')")</f>
        <v>-</v>
      </c>
      <c r="C34" s="351">
        <v>1.456</v>
      </c>
      <c r="D34" s="351" t="str">
        <v>-</v>
      </c>
      <c r="E34" s="351">
        <v>5.18</v>
      </c>
      <c r="F34" s="351">
        <v>7.6379999999999999</v>
      </c>
      <c r="G34" s="351">
        <v>7.5</v>
      </c>
      <c r="H34" s="351" t="str">
        <v>-</v>
      </c>
      <c r="I34" s="351">
        <v>7.1420000000000003</v>
      </c>
      <c r="J34" s="351">
        <v>2.0470000000000002</v>
      </c>
      <c r="K34" s="351">
        <v>2.028</v>
      </c>
    </row>
    <row r="35" spans="1:11" s="334" customFormat="1" ht="12.75" outlineLevel="1">
      <c r="A35" s="347" t="s">
        <v>375</v>
      </c>
      <c r="B35" s="351">
        <f t="array" ref="B35:K35">_xll.FDSRC("-",$B$8,"FF_LIABS_OTH('ANN','0','-9','YEARLY',RP,'LOCAL','B')")</f>
        <v>10.766999999999999</v>
      </c>
      <c r="C35" s="351">
        <v>4.8949999999999996</v>
      </c>
      <c r="D35" s="351">
        <v>4.7839999999999998</v>
      </c>
      <c r="E35" s="351">
        <v>4.407</v>
      </c>
      <c r="F35" s="351">
        <v>4.1559999999999997</v>
      </c>
      <c r="G35" s="351">
        <v>4.1369999999999996</v>
      </c>
      <c r="H35" s="351">
        <v>4.7300000000000004</v>
      </c>
      <c r="I35" s="351">
        <v>4.2699999999999996</v>
      </c>
      <c r="J35" s="351">
        <v>4.2770000000000001</v>
      </c>
      <c r="K35" s="351">
        <v>4.1189999999999998</v>
      </c>
    </row>
    <row r="36" spans="1:11" s="355" customFormat="1" ht="12.75" outlineLevel="1">
      <c r="A36" s="344" t="s">
        <v>65</v>
      </c>
      <c r="B36" s="356">
        <f t="array" ref="B36:K36">_xll.FDSRC("-",$B$8,"FF_LIABS('ANN','0','-9','YEARLY',RP,'LOCAL','B')")</f>
        <v>70.462000000000003</v>
      </c>
      <c r="C36" s="356">
        <v>49.173999999999999</v>
      </c>
      <c r="D36" s="356">
        <v>46.579000000000001</v>
      </c>
      <c r="E36" s="356">
        <v>44.561999999999998</v>
      </c>
      <c r="F36" s="356">
        <v>46.612000000000002</v>
      </c>
      <c r="G36" s="356">
        <v>49.783999999999999</v>
      </c>
      <c r="H36" s="356">
        <v>45.308</v>
      </c>
      <c r="I36" s="356">
        <v>47.750999999999998</v>
      </c>
      <c r="J36" s="356">
        <v>46.680999999999997</v>
      </c>
      <c r="K36" s="356">
        <v>44.895000000000003</v>
      </c>
    </row>
    <row r="37" spans="1:11" s="334" customFormat="1" ht="12.75" outlineLevel="1">
      <c r="A37" s="347"/>
      <c r="B37" s="346"/>
      <c r="C37" s="346"/>
      <c r="D37" s="346"/>
      <c r="E37" s="346"/>
      <c r="F37" s="346"/>
      <c r="G37" s="346"/>
      <c r="H37" s="346"/>
      <c r="I37" s="346"/>
      <c r="J37" s="346"/>
      <c r="K37" s="346"/>
    </row>
    <row r="38" spans="1:11" s="334" customFormat="1" ht="12.75" outlineLevel="1">
      <c r="A38" s="347" t="s">
        <v>376</v>
      </c>
      <c r="B38" s="351">
        <f t="array" ref="B38:K38">_xll.FDSRC("-",$B$8,"FF_COM_EQ('ANN','0','-9','YEARLY',RP,'LOCAL','B')")</f>
        <v>1.534</v>
      </c>
      <c r="C38" s="351">
        <v>15.358000000000001</v>
      </c>
      <c r="D38" s="351">
        <v>13.686999999999999</v>
      </c>
      <c r="E38" s="351">
        <v>13.91</v>
      </c>
      <c r="F38" s="351">
        <v>12.287000000000001</v>
      </c>
      <c r="G38" s="351">
        <v>10.85</v>
      </c>
      <c r="H38" s="351">
        <v>8.8130000000000006</v>
      </c>
      <c r="I38" s="351">
        <v>11.643000000000001</v>
      </c>
      <c r="J38" s="351">
        <v>-2.1309999999999998</v>
      </c>
      <c r="K38" s="351">
        <v>-1.3959999999999999</v>
      </c>
    </row>
    <row r="39" spans="1:11" s="334" customFormat="1" ht="12.75" outlineLevel="1">
      <c r="A39" s="347" t="s">
        <v>377</v>
      </c>
      <c r="B39" s="351">
        <f t="array" ref="B39:K39">_xll.FDSRC("-",$B$8,"FF_SHLDRS_EQ('ANN','0','-9','YEARLY',RP,'LOCAL','B')")</f>
        <v>1.534</v>
      </c>
      <c r="C39" s="351">
        <v>15.358000000000001</v>
      </c>
      <c r="D39" s="351">
        <v>13.686999999999999</v>
      </c>
      <c r="E39" s="351">
        <v>13.91</v>
      </c>
      <c r="F39" s="351">
        <v>12.287000000000001</v>
      </c>
      <c r="G39" s="351">
        <v>10.85</v>
      </c>
      <c r="H39" s="351">
        <v>8.8130000000000006</v>
      </c>
      <c r="I39" s="351">
        <v>11.643000000000001</v>
      </c>
      <c r="J39" s="351">
        <v>-2.1309999999999998</v>
      </c>
      <c r="K39" s="351">
        <v>-1.3959999999999999</v>
      </c>
    </row>
    <row r="40" spans="1:11" s="334" customFormat="1" ht="12.75" outlineLevel="1">
      <c r="A40" s="347" t="s">
        <v>378</v>
      </c>
      <c r="B40" s="351">
        <f t="array" ref="B40:K40">_xll.FDSRC("-",$B$8,"FF_EQ_TOT('ANN','0','-9','YEARLY',RP,'LOCAL','B')")</f>
        <v>1.534</v>
      </c>
      <c r="C40" s="351">
        <v>15.358000000000001</v>
      </c>
      <c r="D40" s="351">
        <v>13.686999999999999</v>
      </c>
      <c r="E40" s="351">
        <v>13.91</v>
      </c>
      <c r="F40" s="351">
        <v>12.287000000000001</v>
      </c>
      <c r="G40" s="351">
        <v>10.85</v>
      </c>
      <c r="H40" s="351">
        <v>8.8130000000000006</v>
      </c>
      <c r="I40" s="351">
        <v>11.643000000000001</v>
      </c>
      <c r="J40" s="351">
        <v>-2.1309999999999998</v>
      </c>
      <c r="K40" s="351">
        <v>-1.3959999999999999</v>
      </c>
    </row>
    <row r="41" spans="1:11" s="355" customFormat="1" ht="12.75" outlineLevel="1">
      <c r="A41" s="344" t="s">
        <v>379</v>
      </c>
      <c r="B41" s="356">
        <f t="array" ref="B41:K41">_xll.FDSRC("-",$B$8,"FF_LIABS_SHLDRS_EQ('ANN','0','-9','YEARLY',RP,'LOCAL','B')")</f>
        <v>71.995999999999995</v>
      </c>
      <c r="C41" s="356">
        <v>64.531999999999996</v>
      </c>
      <c r="D41" s="356">
        <v>60.265999999999998</v>
      </c>
      <c r="E41" s="356">
        <v>58.472000000000001</v>
      </c>
      <c r="F41" s="356">
        <v>58.899000000000001</v>
      </c>
      <c r="G41" s="356">
        <v>60.634</v>
      </c>
      <c r="H41" s="356">
        <v>54.121000000000002</v>
      </c>
      <c r="I41" s="356">
        <v>59.393999999999998</v>
      </c>
      <c r="J41" s="356">
        <v>44.55</v>
      </c>
      <c r="K41" s="356">
        <v>43.499000000000002</v>
      </c>
    </row>
    <row r="42" spans="1:11" s="334" customFormat="1" ht="12.75">
      <c r="A42" s="347" t="s">
        <v>150</v>
      </c>
      <c r="B42" s="346"/>
      <c r="C42" s="346"/>
      <c r="D42" s="346"/>
      <c r="E42" s="346"/>
      <c r="F42" s="346"/>
      <c r="G42" s="346"/>
      <c r="H42" s="346"/>
      <c r="I42" s="346"/>
      <c r="J42" s="346"/>
      <c r="K42" s="346"/>
    </row>
    <row r="43" spans="1:11" s="334" customFormat="1" ht="12.75" outlineLevel="1">
      <c r="A43" s="347" t="s">
        <v>15</v>
      </c>
      <c r="B43" s="351">
        <f t="array" ref="B43:K43">_xll.FDSRC("-",$B$8,"FF_BPS('ANN','0','-9','YEARLY',RP,'LOCAL','B')")</f>
        <v>2.4037000000000002</v>
      </c>
      <c r="C43" s="351">
        <v>23.8934</v>
      </c>
      <c r="D43" s="351">
        <v>20.129580000000001</v>
      </c>
      <c r="E43" s="351">
        <v>19.669170000000001</v>
      </c>
      <c r="F43" s="351">
        <v>16.814509999999999</v>
      </c>
      <c r="G43" s="351">
        <v>13.931979999999999</v>
      </c>
      <c r="H43" s="351">
        <v>10.679080000000001</v>
      </c>
      <c r="I43" s="351">
        <v>13.674429999999999</v>
      </c>
      <c r="J43" s="351">
        <v>-2.5029300000000001</v>
      </c>
      <c r="K43" s="351">
        <v>-1.6515899999999999</v>
      </c>
    </row>
    <row r="44" spans="1:11" s="334" customFormat="1" ht="12.75" outlineLevel="1">
      <c r="A44" s="347" t="s">
        <v>380</v>
      </c>
      <c r="B44" s="351">
        <f t="array" ref="B44:K44">_xll.FDSRC("-",$B$8,"FF_BPS_TANG('ANN','0','-9','YEARLY',RP,'LOCAL','B')")</f>
        <v>-22.2976962766075</v>
      </c>
      <c r="C44" s="351">
        <v>0.64408559310698899</v>
      </c>
      <c r="D44" s="351">
        <v>-1.3589344924083699</v>
      </c>
      <c r="E44" s="351">
        <v>-1.0336568000854001</v>
      </c>
      <c r="F44" s="351">
        <v>-3.21729667299816</v>
      </c>
      <c r="G44" s="351">
        <v>-4.8858220558876404</v>
      </c>
      <c r="H44" s="351">
        <v>-6.7663669100287498</v>
      </c>
      <c r="I44" s="351">
        <v>-3.2991046508328599</v>
      </c>
      <c r="J44" s="351">
        <v>-19.501950143922201</v>
      </c>
      <c r="K44" s="351">
        <v>-18.859599542615001</v>
      </c>
    </row>
    <row r="45" spans="1:11" s="334" customFormat="1" ht="12.75">
      <c r="A45" s="347" t="s">
        <v>381</v>
      </c>
      <c r="B45" s="346"/>
      <c r="C45" s="346"/>
      <c r="D45" s="346"/>
      <c r="E45" s="346"/>
      <c r="F45" s="346"/>
      <c r="G45" s="346"/>
      <c r="H45" s="346"/>
      <c r="I45" s="346"/>
      <c r="J45" s="346"/>
      <c r="K45" s="346"/>
    </row>
    <row r="46" spans="1:11" s="334" customFormat="1" ht="12.75">
      <c r="A46" s="347" t="s">
        <v>382</v>
      </c>
      <c r="B46" s="351">
        <f t="array" ref="B46:K46">_xll.FDSRC("-",$B$8,"FF_WKCAP('ANN','0','-9','YEARLY',RP,'LOCAL','B')")</f>
        <v>1.4770000000000001</v>
      </c>
      <c r="C46" s="351">
        <v>-11.955</v>
      </c>
      <c r="D46" s="351">
        <v>-12.238</v>
      </c>
      <c r="E46" s="351">
        <v>-10.728999999999999</v>
      </c>
      <c r="F46" s="351">
        <v>-7.7880000000000003</v>
      </c>
      <c r="G46" s="351">
        <v>-8.4700000000000006</v>
      </c>
      <c r="H46" s="351">
        <v>-4.4139999999999997</v>
      </c>
      <c r="I46" s="351">
        <v>-4.5010000000000003</v>
      </c>
      <c r="J46" s="351">
        <v>-4.9980000000000002</v>
      </c>
      <c r="K46" s="351">
        <v>-4.9720000000000004</v>
      </c>
    </row>
    <row r="47" spans="1:11" s="334" customFormat="1" ht="12.75">
      <c r="A47" s="347" t="s">
        <v>383</v>
      </c>
      <c r="B47" s="351">
        <f t="array" ref="B47:K47">_xll.FDSRC("-",$B$8,"FF_TCAP('ANN','0','-9','YEARLY',RP,'LOCAL','B')")</f>
        <v>37.082000000000001</v>
      </c>
      <c r="C47" s="351">
        <v>32.613</v>
      </c>
      <c r="D47" s="351">
        <v>30.213999999999999</v>
      </c>
      <c r="E47" s="351">
        <v>22.744</v>
      </c>
      <c r="F47" s="351">
        <v>19.619</v>
      </c>
      <c r="G47" s="351">
        <v>19.178999999999998</v>
      </c>
      <c r="H47" s="351">
        <v>18.59</v>
      </c>
      <c r="I47" s="351">
        <v>22.984999999999999</v>
      </c>
      <c r="J47" s="351">
        <v>10.577999999999999</v>
      </c>
      <c r="K47" s="351">
        <v>12.395</v>
      </c>
    </row>
    <row r="48" spans="1:11" s="334" customFormat="1" ht="12.75">
      <c r="A48" s="347" t="s">
        <v>349</v>
      </c>
      <c r="B48" s="351">
        <f t="array" ref="B48:K48">_xll.FDSRC("-",$B$8,"FF_DEBT('ANN','0','-9','YEARLY',RP,'LOCAL','B')")</f>
        <v>35.548000000000002</v>
      </c>
      <c r="C48" s="351">
        <v>17.254999999999999</v>
      </c>
      <c r="D48" s="351">
        <v>16.527000000000001</v>
      </c>
      <c r="E48" s="351">
        <v>8.8339999999999996</v>
      </c>
      <c r="F48" s="351">
        <v>7.3319999999999999</v>
      </c>
      <c r="G48" s="351">
        <v>8.3290000000000006</v>
      </c>
      <c r="H48" s="351">
        <v>9.7769999999999992</v>
      </c>
      <c r="I48" s="351">
        <v>11.342000000000001</v>
      </c>
      <c r="J48" s="351">
        <v>12.709</v>
      </c>
      <c r="K48" s="351">
        <v>13.791</v>
      </c>
    </row>
    <row r="49" spans="1:11" s="334" customFormat="1" ht="12.75">
      <c r="A49" s="347" t="s">
        <v>141</v>
      </c>
      <c r="B49" s="351">
        <f t="array" ref="B49:K49">_xll.FDSRC("-",$B$8,"FF_NET_DEBT('ANN','0','-9','YEARLY',RP,'LOCAL','B')")</f>
        <v>21.26</v>
      </c>
      <c r="C49" s="351">
        <v>14.161</v>
      </c>
      <c r="D49" s="351">
        <v>14.712</v>
      </c>
      <c r="E49" s="351">
        <v>6.1950000000000003</v>
      </c>
      <c r="F49" s="351">
        <v>3.69</v>
      </c>
      <c r="G49" s="351">
        <v>2.9049999999999998</v>
      </c>
      <c r="H49" s="351">
        <v>5.3940000000000001</v>
      </c>
      <c r="I49" s="351">
        <v>7.4169999999999998</v>
      </c>
      <c r="J49" s="351">
        <v>8.9600000000000009</v>
      </c>
      <c r="K49" s="351">
        <v>9.8710000000000004</v>
      </c>
    </row>
    <row r="50" spans="1:11" s="334" customFormat="1" ht="12.75">
      <c r="A50" s="347" t="s">
        <v>384</v>
      </c>
      <c r="B50" s="351">
        <f t="array" ref="B50:K50">_xll.FDSRC("-",$B$8,"FF_INVEN_DAYS('ANN','0','-9','YEARLY',RP,'LOCAL','B')")</f>
        <v>15.314523295670901</v>
      </c>
      <c r="C50" s="351">
        <v>11.5035261316422</v>
      </c>
      <c r="D50" s="351">
        <v>12.252323289214299</v>
      </c>
      <c r="E50" s="351">
        <v>13.0638764389127</v>
      </c>
      <c r="F50" s="351">
        <v>10.1243668122271</v>
      </c>
      <c r="G50" s="351">
        <v>9.9343723643519795</v>
      </c>
      <c r="H50" s="351">
        <v>10.940972983126199</v>
      </c>
      <c r="I50" s="351">
        <v>12.1468683194538</v>
      </c>
      <c r="J50" s="351">
        <v>8.2375385614547803</v>
      </c>
      <c r="K50" s="351">
        <v>4.2029484938138797</v>
      </c>
    </row>
    <row r="51" spans="1:11" s="334" customFormat="1" ht="12.75">
      <c r="A51" s="347" t="s">
        <v>385</v>
      </c>
      <c r="B51" s="351">
        <f t="array" ref="B51:K51">_xll.FDSRC("-",$B$8,"FF_RECEIV_TURN_DAYS('ANN','0','-9','YEARLY',RP,'LOCAL','B')")</f>
        <v>45.371453641415599</v>
      </c>
      <c r="C51" s="351">
        <v>20.064672594987901</v>
      </c>
      <c r="D51" s="351">
        <v>19.263911703157</v>
      </c>
      <c r="E51" s="351">
        <v>19.655684629189501</v>
      </c>
      <c r="F51" s="351">
        <v>19.368908135952701</v>
      </c>
      <c r="G51" s="351">
        <v>24.154014220115499</v>
      </c>
      <c r="H51" s="351">
        <v>21.929596557556501</v>
      </c>
      <c r="I51" s="351">
        <v>16.0108135395079</v>
      </c>
      <c r="J51" s="351">
        <v>16.193486851069601</v>
      </c>
      <c r="K51" s="351">
        <v>15.6903744838388</v>
      </c>
    </row>
    <row r="52" spans="1:11" s="334" customFormat="1" ht="12.75">
      <c r="A52" s="347" t="s">
        <v>386</v>
      </c>
      <c r="B52" s="351">
        <f t="array" ref="B52:K52">_xll.FDSRC("-",$B$8,"FF_PAY_TURN_DAYS('ANN','0','-9','YEARLY',RP,'LOCAL','B')")</f>
        <v>48.214733894297503</v>
      </c>
      <c r="C52" s="351">
        <v>30.972362469982301</v>
      </c>
      <c r="D52" s="351">
        <v>34.442735413737502</v>
      </c>
      <c r="E52" s="351">
        <v>36.243396751002898</v>
      </c>
      <c r="F52" s="351">
        <v>33.657924827560798</v>
      </c>
      <c r="G52" s="351">
        <v>34.5965005402741</v>
      </c>
      <c r="H52" s="351">
        <v>28.3079595777848</v>
      </c>
      <c r="I52" s="351">
        <v>26.7111608743697</v>
      </c>
      <c r="J52" s="351">
        <v>22.589848802738</v>
      </c>
      <c r="K52" s="351">
        <v>20.294125823580099</v>
      </c>
    </row>
    <row r="53" spans="1:11" s="334" customFormat="1" ht="12.75">
      <c r="A53" s="347" t="s">
        <v>387</v>
      </c>
      <c r="B53" s="351">
        <f t="array" ref="B53:K53">_xll.FDSRC("-",$B$8,"FF_COM_EQ_HEDG_GL('ANN','0','-9','YEARLY',RP,'LOCAL','B')")</f>
        <v>0.04</v>
      </c>
      <c r="C53" s="351">
        <v>0.106</v>
      </c>
      <c r="D53" s="351">
        <v>0.1</v>
      </c>
      <c r="E53" s="351">
        <v>7.0000000000000007E-2</v>
      </c>
      <c r="F53" s="351">
        <v>9.7000000000000003E-2</v>
      </c>
      <c r="G53" s="351">
        <v>0.14000000000000001</v>
      </c>
      <c r="H53" s="351">
        <v>0.222</v>
      </c>
      <c r="I53" s="351">
        <v>0.219</v>
      </c>
      <c r="J53" s="351">
        <v>-0.28599999999999998</v>
      </c>
      <c r="K53" s="351">
        <v>-0.41299999999999998</v>
      </c>
    </row>
    <row r="54" spans="1:11" s="334" customFormat="1" ht="12.75">
      <c r="A54" s="347" t="s">
        <v>388</v>
      </c>
      <c r="B54" s="351">
        <f t="array" ref="B54:K54">_xll.FDSRC("-",$B$8,"FF_STK_OPT_EXP('ANN','0','-9','YEARLY',RP,'LOCAL','B')")</f>
        <v>8.6870000000000003E-2</v>
      </c>
      <c r="C54" s="351">
        <v>0.11753</v>
      </c>
      <c r="D54" s="351">
        <v>0.12561</v>
      </c>
      <c r="E54" s="351">
        <v>8.5320000000000007E-2</v>
      </c>
      <c r="F54" s="351">
        <v>6.3E-2</v>
      </c>
      <c r="G54" s="351">
        <v>4.5600000000000002E-2</v>
      </c>
      <c r="H54" s="351">
        <v>4.8599999999999997E-2</v>
      </c>
      <c r="I54" s="351">
        <v>5.3999999999999999E-2</v>
      </c>
      <c r="J54" s="351">
        <v>3.2399999999999998E-2</v>
      </c>
      <c r="K54" s="351">
        <v>4.2999999999999997E-2</v>
      </c>
    </row>
    <row r="55" spans="1:11" s="334" customFormat="1" ht="12.75">
      <c r="A55" s="347" t="s">
        <v>389</v>
      </c>
      <c r="B55" s="351">
        <f t="array" ref="B55:K55">_xll.FDSRC("-",$B$8,"FF_OW_NUM_START('ANN' + '_OPT_NQO','0','-9','YEARLY',RP,'LOCAL','B')")</f>
        <v>3.8999999999999998E-3</v>
      </c>
      <c r="C55" s="351">
        <v>2.5000000000000001E-3</v>
      </c>
      <c r="D55" s="351">
        <v>1.9E-3</v>
      </c>
      <c r="E55" s="351" t="str">
        <v>-</v>
      </c>
      <c r="F55" s="351" t="str">
        <v>-</v>
      </c>
      <c r="G55" s="351" t="str">
        <v>-</v>
      </c>
      <c r="H55" s="351" t="str">
        <v>-</v>
      </c>
      <c r="I55" s="351" t="str">
        <v>-</v>
      </c>
      <c r="J55" s="351" t="str">
        <v>-</v>
      </c>
      <c r="K55" s="351" t="str">
        <v>-</v>
      </c>
    </row>
    <row r="56" spans="1:11" s="334" customFormat="1" ht="12.75">
      <c r="A56" s="347" t="s">
        <v>390</v>
      </c>
      <c r="B56" s="351">
        <f t="array" ref="B56:K56">_xll.FDSRC("-",$B$8,"FF_OW_NUM_END('ANN' + '_OPT_NQO','0','-9','YEARLY',RP,'LOCAL','B')")</f>
        <v>5.4000000000000003E-3</v>
      </c>
      <c r="C56" s="351">
        <v>3.8999999999999998E-3</v>
      </c>
      <c r="D56" s="351">
        <v>2.5000000000000001E-3</v>
      </c>
      <c r="E56" s="351">
        <v>1.9E-3</v>
      </c>
      <c r="F56" s="351">
        <v>2.8E-3</v>
      </c>
      <c r="G56" s="351">
        <v>5.3E-3</v>
      </c>
      <c r="H56" s="351">
        <v>7.0000000000000001E-3</v>
      </c>
      <c r="I56" s="351">
        <v>8.0000000000000002E-3</v>
      </c>
      <c r="J56" s="351">
        <v>1.4E-2</v>
      </c>
      <c r="K56" s="351">
        <v>1.7999999999999999E-2</v>
      </c>
    </row>
    <row r="57" spans="1:11" s="334" customFormat="1" ht="12.75">
      <c r="A57" s="347" t="s">
        <v>391</v>
      </c>
      <c r="B57" s="351" t="str">
        <f t="array" ref="B57:K57">_xll.FDSRC("-",$B$8,"FF_OW_INTRVAL_EXE_RPT_DATE('ANN' + '_OPT_NQO','0','-9','YEARLY',RP,'LOCAL','B')")</f>
        <v>-</v>
      </c>
      <c r="C57" s="351" t="str">
        <v>-</v>
      </c>
      <c r="D57" s="351" t="str">
        <v>-</v>
      </c>
      <c r="E57" s="351" t="str">
        <v>-</v>
      </c>
      <c r="F57" s="351" t="str">
        <v>-</v>
      </c>
      <c r="G57" s="351" t="str">
        <v>-</v>
      </c>
      <c r="H57" s="351" t="str">
        <v>-</v>
      </c>
      <c r="I57" s="351" t="str">
        <v>-</v>
      </c>
      <c r="J57" s="351" t="str">
        <v>-</v>
      </c>
      <c r="K57" s="351" t="str">
        <v>-</v>
      </c>
    </row>
    <row r="58" spans="1:11" s="334" customFormat="1" ht="12.75">
      <c r="A58" s="347" t="s">
        <v>392</v>
      </c>
      <c r="B58" s="351" t="str">
        <f t="array" ref="B58:K58">_xll.FDSRC("-",$B$8,"FF_OW_NUM_VEST('ANN' + '_OPT_NQO','0','-9','YEARLY',RP,'LOCAL','B')")</f>
        <v>-</v>
      </c>
      <c r="C58" s="351" t="str">
        <v>-</v>
      </c>
      <c r="D58" s="351" t="str">
        <v>-</v>
      </c>
      <c r="E58" s="351" t="str">
        <v>-</v>
      </c>
      <c r="F58" s="351" t="str">
        <v>-</v>
      </c>
      <c r="G58" s="351" t="str">
        <v>-</v>
      </c>
      <c r="H58" s="351" t="str">
        <v>-</v>
      </c>
      <c r="I58" s="351" t="str">
        <v>-</v>
      </c>
      <c r="J58" s="351" t="str">
        <v>-</v>
      </c>
      <c r="K58" s="351" t="str">
        <v>-</v>
      </c>
    </row>
    <row r="59" spans="1:11" s="334" customFormat="1" ht="12.75" collapsed="1">
      <c r="A59" s="347" t="s">
        <v>393</v>
      </c>
      <c r="B59" s="351">
        <f t="array" ref="B59:K59">_xll.FDSRC("-",$B$8,"FF_OPER_LEASE_COMMIT_TOT('ANN','0','-9','YEARLY',RP,'LOCAL','B')")</f>
        <v>8.6</v>
      </c>
      <c r="C59" s="351">
        <v>7.7149999999999999</v>
      </c>
      <c r="D59" s="351">
        <v>8.5370000000000008</v>
      </c>
      <c r="E59" s="351">
        <v>16.236000000000001</v>
      </c>
      <c r="F59" s="351">
        <v>13.095000000000001</v>
      </c>
      <c r="G59" s="351">
        <v>12.760999999999999</v>
      </c>
      <c r="H59" s="351">
        <v>12.741</v>
      </c>
      <c r="I59" s="351">
        <v>11.494</v>
      </c>
      <c r="J59" s="351">
        <v>13.846</v>
      </c>
      <c r="K59" s="351">
        <v>14.268000000000001</v>
      </c>
    </row>
    <row r="60" spans="1:11" s="334" customFormat="1" ht="12.75" hidden="1" outlineLevel="1">
      <c r="A60" s="347" t="s">
        <v>394</v>
      </c>
      <c r="B60" s="351">
        <f t="array" ref="B60:K60">_xll.FDSRC("-",$B$8,"FF_OPER_LEASE_COMMIT_YR1('ANN','0','-9','YEARLY',RP,'LOCAL','B')")</f>
        <v>0.746</v>
      </c>
      <c r="C60" s="351">
        <v>1.0029999999999999</v>
      </c>
      <c r="D60" s="351">
        <v>1.1719999999999999</v>
      </c>
      <c r="E60" s="351">
        <v>1.7350000000000001</v>
      </c>
      <c r="F60" s="351">
        <v>1.5720000000000001</v>
      </c>
      <c r="G60" s="351">
        <v>1.583</v>
      </c>
      <c r="H60" s="351">
        <v>1.7070000000000001</v>
      </c>
      <c r="I60" s="351">
        <v>1.429</v>
      </c>
      <c r="J60" s="351">
        <v>1.5069999999999999</v>
      </c>
      <c r="K60" s="351">
        <v>1.462</v>
      </c>
    </row>
    <row r="61" spans="1:11" s="334" customFormat="1" ht="12.75" hidden="1" outlineLevel="1">
      <c r="A61" s="347" t="s">
        <v>395</v>
      </c>
      <c r="B61" s="351">
        <f t="array" ref="B61:K61">_xll.FDSRC("-",$B$8,"FF_OPER_LEASE_COMMIT_YR2('ANN','0','-9','YEARLY',RP,'LOCAL','B')")</f>
        <v>0.94899999999999995</v>
      </c>
      <c r="C61" s="351">
        <v>0.83599999999999997</v>
      </c>
      <c r="D61" s="351">
        <v>1</v>
      </c>
      <c r="E61" s="351">
        <v>1.589</v>
      </c>
      <c r="F61" s="351">
        <v>1.4430000000000001</v>
      </c>
      <c r="G61" s="351">
        <v>1.44</v>
      </c>
      <c r="H61" s="351">
        <v>1.4930000000000001</v>
      </c>
      <c r="I61" s="351">
        <v>1.3560000000000001</v>
      </c>
      <c r="J61" s="351">
        <v>1.4330000000000001</v>
      </c>
      <c r="K61" s="351">
        <v>1.4410000000000001</v>
      </c>
    </row>
    <row r="62" spans="1:11" s="334" customFormat="1" ht="12.75" hidden="1" outlineLevel="1">
      <c r="A62" s="347" t="s">
        <v>396</v>
      </c>
      <c r="B62" s="351">
        <f t="array" ref="B62:K62">_xll.FDSRC("-",$B$8,"FF_OPER_LEASE_COMMIT_YR3('ANN','0','-9','YEARLY',RP,'LOCAL','B')")</f>
        <v>0.84799999999999998</v>
      </c>
      <c r="C62" s="351">
        <v>0.72899999999999998</v>
      </c>
      <c r="D62" s="351">
        <v>0.81899999999999995</v>
      </c>
      <c r="E62" s="351">
        <v>1.43</v>
      </c>
      <c r="F62" s="351">
        <v>1.304</v>
      </c>
      <c r="G62" s="351">
        <v>1.3069999999999999</v>
      </c>
      <c r="H62" s="351">
        <v>1.323</v>
      </c>
      <c r="I62" s="351">
        <v>1.1859999999999999</v>
      </c>
      <c r="J62" s="351">
        <v>1.3320000000000001</v>
      </c>
      <c r="K62" s="351">
        <v>1.38</v>
      </c>
    </row>
    <row r="63" spans="1:11" s="334" customFormat="1" ht="12.75" hidden="1" outlineLevel="1">
      <c r="A63" s="347" t="s">
        <v>397</v>
      </c>
      <c r="B63" s="351">
        <f t="array" ref="B63:K63">_xll.FDSRC("-",$B$8,"FF_OPER_LEASE_COMMIT_YR4('ANN','0','-9','YEARLY',RP,'LOCAL','B')")</f>
        <v>0.83699999999999997</v>
      </c>
      <c r="C63" s="351">
        <v>0.69799999999999995</v>
      </c>
      <c r="D63" s="351">
        <v>0.69199999999999995</v>
      </c>
      <c r="E63" s="351">
        <v>1.1559999999999999</v>
      </c>
      <c r="F63" s="351">
        <v>1.133</v>
      </c>
      <c r="G63" s="351">
        <v>1.1579999999999999</v>
      </c>
      <c r="H63" s="351">
        <v>1.1200000000000001</v>
      </c>
      <c r="I63" s="351">
        <v>1.026</v>
      </c>
      <c r="J63" s="351">
        <v>1.159</v>
      </c>
      <c r="K63" s="351">
        <v>1.2709999999999999</v>
      </c>
    </row>
    <row r="64" spans="1:11" s="334" customFormat="1" ht="12.75" hidden="1" outlineLevel="1">
      <c r="A64" s="347" t="s">
        <v>398</v>
      </c>
      <c r="B64" s="351">
        <f t="array" ref="B64:K64">_xll.FDSRC("-",$B$8,"FF_OPER_LEASE_COMMIT_YR5('ANN','0','-9','YEARLY',RP,'LOCAL','B')")</f>
        <v>0.77</v>
      </c>
      <c r="C64" s="351">
        <v>0.628</v>
      </c>
      <c r="D64" s="351">
        <v>0.65400000000000003</v>
      </c>
      <c r="E64" s="351">
        <v>1.036</v>
      </c>
      <c r="F64" s="351">
        <v>0.86199999999999999</v>
      </c>
      <c r="G64" s="351">
        <v>1.0529999999999999</v>
      </c>
      <c r="H64" s="351">
        <v>0.92900000000000005</v>
      </c>
      <c r="I64" s="351">
        <v>0.83099999999999996</v>
      </c>
      <c r="J64" s="351">
        <v>1</v>
      </c>
      <c r="K64" s="351">
        <v>1.1259999999999999</v>
      </c>
    </row>
    <row r="65" spans="1:11" s="334" customFormat="1" ht="12.75" hidden="1" outlineLevel="1">
      <c r="A65" s="347" t="s">
        <v>399</v>
      </c>
      <c r="B65" s="351">
        <f t="array" ref="B65:K65">_xll.FDSRC("-",$B$8,"FF_OPER_LEASE_COMMIT_5YR('ANN','0','-9','YEARLY',RP,'LOCAL','B')")</f>
        <v>4.45</v>
      </c>
      <c r="C65" s="351">
        <v>3.8210000000000002</v>
      </c>
      <c r="D65" s="351">
        <v>4.2</v>
      </c>
      <c r="E65" s="351">
        <v>9.2899999999999991</v>
      </c>
      <c r="F65" s="351">
        <v>6.7809999999999997</v>
      </c>
      <c r="G65" s="351">
        <v>6.22</v>
      </c>
      <c r="H65" s="351">
        <v>6.1689999999999996</v>
      </c>
      <c r="I65" s="351">
        <v>5.6660000000000004</v>
      </c>
      <c r="J65" s="351">
        <v>7.415</v>
      </c>
      <c r="K65" s="351">
        <v>7.5880000000000001</v>
      </c>
    </row>
    <row r="66" spans="1:11" s="334" customFormat="1" ht="12.75">
      <c r="A66" s="347" t="s">
        <v>400</v>
      </c>
      <c r="B66" s="351">
        <f t="array" ref="B66:K66">_xll.FDSRC("-",$B$8,"FF_DEBT_LT_CURR('ANN','0','-9','YEARLY',RP,'LOCAL','B')")</f>
        <v>1.732</v>
      </c>
      <c r="C66" s="351">
        <v>2.2869999999999999</v>
      </c>
      <c r="D66" s="351">
        <v>1.518</v>
      </c>
      <c r="E66" s="351">
        <v>2.242</v>
      </c>
      <c r="F66" s="351">
        <v>1.131</v>
      </c>
      <c r="G66" s="351">
        <v>1.5629999999999999</v>
      </c>
      <c r="H66" s="351">
        <v>1.216</v>
      </c>
      <c r="I66" s="351">
        <v>1.5469999999999999</v>
      </c>
      <c r="J66" s="351">
        <v>1.627</v>
      </c>
      <c r="K66" s="351">
        <v>1.944</v>
      </c>
    </row>
    <row r="67" spans="1:11" s="334" customFormat="1" ht="12.75">
      <c r="A67" s="347" t="s">
        <v>401</v>
      </c>
      <c r="B67" s="346"/>
      <c r="C67" s="346"/>
      <c r="D67" s="346"/>
      <c r="E67" s="346"/>
      <c r="F67" s="346"/>
      <c r="G67" s="346"/>
      <c r="H67" s="346"/>
      <c r="I67" s="346"/>
      <c r="J67" s="346"/>
      <c r="K67" s="346"/>
    </row>
    <row r="68" spans="1:11" s="334" customFormat="1" ht="12.75" collapsed="1">
      <c r="A68" s="347" t="s">
        <v>357</v>
      </c>
      <c r="B68" s="346"/>
      <c r="C68" s="346"/>
      <c r="D68" s="346"/>
      <c r="E68" s="346"/>
      <c r="F68" s="346"/>
      <c r="G68" s="346"/>
      <c r="H68" s="346"/>
      <c r="I68" s="346"/>
      <c r="J68" s="346"/>
      <c r="K68" s="346"/>
    </row>
    <row r="69" spans="1:11" s="334" customFormat="1" ht="12.75" hidden="1" outlineLevel="1">
      <c r="A69" s="347" t="s">
        <v>358</v>
      </c>
      <c r="B69" s="351">
        <f t="array" ref="B69:K69">_xll.FDSRC("-",$B$8,"PCTCHG(FF_CASH_ST('ANN','0','-9','YEARLY',RP,'LOCAL','B'),FF_CASH_ST('ANN','-1','-10','YEARLY',RP,'LOCAL','B'))")</f>
        <v>361.79703000000001</v>
      </c>
      <c r="C69" s="351">
        <v>70.468320000000006</v>
      </c>
      <c r="D69" s="351">
        <v>-31.223946000000002</v>
      </c>
      <c r="E69" s="351">
        <v>-27.539814</v>
      </c>
      <c r="F69" s="351">
        <v>-32.853977</v>
      </c>
      <c r="G69" s="351">
        <v>23.750852999999999</v>
      </c>
      <c r="H69" s="351">
        <v>11.668789</v>
      </c>
      <c r="I69" s="351">
        <v>4.6945819999999996</v>
      </c>
      <c r="J69" s="351">
        <v>-4.3622449999999997</v>
      </c>
      <c r="K69" s="351">
        <v>-2.4632988</v>
      </c>
    </row>
    <row r="70" spans="1:11" s="334" customFormat="1" ht="12.75" hidden="1" outlineLevel="2">
      <c r="A70" s="347" t="s">
        <v>402</v>
      </c>
      <c r="B70" s="351">
        <f t="array" ref="B70:K70">_xll.FDSRC("-",$B$8,"PCTCHG(FF_CASH_ONLY('ANN','0','-9','YEARLY',RP,'LOCAL','B'),FF_CASH_ONLY('ANN','-1','-10','YEARLY',RP,'LOCAL','B'))")</f>
        <v>174.69295</v>
      </c>
      <c r="C70" s="351">
        <v>91.935490000000001</v>
      </c>
      <c r="D70" s="351">
        <v>-11.135612999999999</v>
      </c>
      <c r="E70" s="351">
        <v>-34.322960000000002</v>
      </c>
      <c r="F70" s="351">
        <v>40.060856000000001</v>
      </c>
      <c r="G70" s="351">
        <v>-5.5555580000000004</v>
      </c>
      <c r="H70" s="351">
        <v>-29.602157999999999</v>
      </c>
      <c r="I70" s="351">
        <v>6.2701609999999999</v>
      </c>
      <c r="J70" s="351">
        <v>-5.7731260000000004</v>
      </c>
      <c r="K70" s="351">
        <v>-10.269622999999999</v>
      </c>
    </row>
    <row r="71" spans="1:11" s="334" customFormat="1" ht="12.75" hidden="1" outlineLevel="1">
      <c r="A71" s="347" t="s">
        <v>359</v>
      </c>
      <c r="B71" s="351">
        <f t="array" ref="B71:K71">_xll.FDSRC("-",$B$8,"PCTCHG(FF_RECEIV_ST('ANN','0','-9','YEARLY',RP,'LOCAL','B'),FF_RECEIV_ST('ANN','-1','-10','YEARLY',RP,'LOCAL','B'))")</f>
        <v>-51.086193000000002</v>
      </c>
      <c r="C71" s="351">
        <v>23.336224000000001</v>
      </c>
      <c r="D71" s="351">
        <v>-2.6504080000000001</v>
      </c>
      <c r="E71" s="351">
        <v>15.164739000000001</v>
      </c>
      <c r="F71" s="351">
        <v>-3.5063138</v>
      </c>
      <c r="G71" s="351">
        <v>-33.612662999999998</v>
      </c>
      <c r="H71" s="351">
        <v>100.2486</v>
      </c>
      <c r="I71" s="351">
        <v>-4.9616065000000003</v>
      </c>
      <c r="J71" s="351">
        <v>8.3173379999999995</v>
      </c>
      <c r="K71" s="351">
        <v>7.3489003000000004</v>
      </c>
    </row>
    <row r="72" spans="1:11" s="334" customFormat="1" ht="12.75" hidden="1" outlineLevel="1">
      <c r="A72" s="347" t="s">
        <v>55</v>
      </c>
      <c r="B72" s="351">
        <f t="array" ref="B72:K72">_xll.FDSRC("-",$B$8,"PCTCHG(FF_INVEN('ANN','0','-9','YEARLY',RP,'LOCAL','B'),FF_INVEN('ANN','-1','-10','YEARLY',RP,'LOCAL','B'))")</f>
        <v>-41.486815999999997</v>
      </c>
      <c r="C72" s="351">
        <v>18.578209000000001</v>
      </c>
      <c r="D72" s="351">
        <v>-20.617007999999998</v>
      </c>
      <c r="E72" s="351">
        <v>49.158253000000002</v>
      </c>
      <c r="F72" s="351">
        <v>27.833565</v>
      </c>
      <c r="G72" s="351">
        <v>-18.192484</v>
      </c>
      <c r="H72" s="351">
        <v>-19.84948</v>
      </c>
      <c r="I72" s="351">
        <v>3.9100646999999999</v>
      </c>
      <c r="J72" s="351">
        <v>178.7466</v>
      </c>
      <c r="K72" s="351">
        <v>15.4088125</v>
      </c>
    </row>
    <row r="73" spans="1:11" s="334" customFormat="1" ht="12.75" hidden="1" outlineLevel="1">
      <c r="A73" s="347" t="s">
        <v>360</v>
      </c>
      <c r="B73" s="351">
        <f t="array" ref="B73:K73">_xll.FDSRC("-",$B$8,"PCTCHG(FF_ASSETS_CURR_OTH('ANN','0','-9','YEARLY',RP,'LOCAL','B'),FF_ASSETS_CURR_OTH('ANN','-1','-10','YEARLY',RP,'LOCAL','B'))")</f>
        <v>-5.9047599999999996</v>
      </c>
      <c r="C73" s="351">
        <v>-9.169556</v>
      </c>
      <c r="D73" s="351">
        <v>-22.881917999999999</v>
      </c>
      <c r="E73" s="351">
        <v>75.526929999999993</v>
      </c>
      <c r="F73" s="351">
        <v>7.2864285000000004</v>
      </c>
      <c r="G73" s="351">
        <v>-80.139719999999997</v>
      </c>
      <c r="H73" s="351">
        <v>31.237719999999999</v>
      </c>
      <c r="I73" s="351">
        <v>69.009399999999999</v>
      </c>
      <c r="J73" s="351">
        <v>-3.8318205000000001</v>
      </c>
      <c r="K73" s="351">
        <v>24.108315999999999</v>
      </c>
    </row>
    <row r="74" spans="1:11" s="334" customFormat="1" ht="12.75" hidden="1" outlineLevel="1">
      <c r="A74" s="347" t="s">
        <v>361</v>
      </c>
      <c r="B74" s="351">
        <f t="array" ref="B74:K74">_xll.FDSRC("-",$B$8,"PCTCHG(FF_ASSETS_CURR('ANN','0','-9','YEARLY',RP,'LOCAL','B'),FF_ASSETS_CURR('ANN','-1','-10','YEARLY',RP,'LOCAL','B'))")</f>
        <v>110.98314999999999</v>
      </c>
      <c r="C74" s="351">
        <v>30.110403000000002</v>
      </c>
      <c r="D74" s="351">
        <v>-19.173884999999999</v>
      </c>
      <c r="E74" s="351">
        <v>5.2744549999999997</v>
      </c>
      <c r="F74" s="351">
        <v>-17.723051000000002</v>
      </c>
      <c r="G74" s="351">
        <v>-27.348576999999999</v>
      </c>
      <c r="H74" s="351">
        <v>29.157602000000001</v>
      </c>
      <c r="I74" s="351">
        <v>16.67069</v>
      </c>
      <c r="J74" s="351">
        <v>7.0254909999999997</v>
      </c>
      <c r="K74" s="351">
        <v>5.7752829999999999</v>
      </c>
    </row>
    <row r="75" spans="1:11" s="334" customFormat="1" ht="12.75" hidden="1" outlineLevel="1">
      <c r="A75" s="347" t="s">
        <v>362</v>
      </c>
      <c r="B75" s="351">
        <f t="array" ref="B75:K75">_xll.FDSRC("-",$B$8,"PCTCHG(FF_PPE_NET('ANN','0','-9','YEARLY',RP,'LOCAL','B'),FF_PPE_NET('ANN','-1','-10','YEARLY',RP,'LOCAL','B'))")</f>
        <v>-12.656684</v>
      </c>
      <c r="C75" s="351">
        <v>7.5970800000000001</v>
      </c>
      <c r="D75" s="351">
        <v>29.236149999999999</v>
      </c>
      <c r="E75" s="351">
        <v>8.9764090000000003</v>
      </c>
      <c r="F75" s="351">
        <v>5.7988644000000003</v>
      </c>
      <c r="G75" s="351">
        <v>5.0617843000000002</v>
      </c>
      <c r="H75" s="351">
        <v>0.3431901</v>
      </c>
      <c r="I75" s="351">
        <v>5.5086209999999998</v>
      </c>
      <c r="J75" s="351">
        <v>2.4229826999999999</v>
      </c>
      <c r="K75" s="351">
        <v>-0.41364864000000001</v>
      </c>
    </row>
    <row r="76" spans="1:11" s="334" customFormat="1" ht="12.75" hidden="1" outlineLevel="1">
      <c r="A76" s="347" t="s">
        <v>363</v>
      </c>
      <c r="B76" s="351">
        <f t="array" ref="B76:K76">_xll.FDSRC("-",$B$8,"PCTCHG(FF_INVEST_ADV('ANN','0','-9','YEARLY',RP,'LOCAL','B'),FF_INVEST_ADV('ANN','-1','-10','YEARLY',RP,'LOCAL','B'))")</f>
        <v>81.263980000000004</v>
      </c>
      <c r="C76" s="351">
        <v>-11.660076</v>
      </c>
      <c r="D76" s="351">
        <v>287.73939999999999</v>
      </c>
      <c r="E76" s="351">
        <v>257.53426999999999</v>
      </c>
      <c r="F76" s="351">
        <v>-18.435759000000001</v>
      </c>
      <c r="G76" s="351">
        <v>5.2941193999999996</v>
      </c>
      <c r="H76" s="351">
        <v>-28.571428000000001</v>
      </c>
      <c r="I76" s="351">
        <v>-14.079425000000001</v>
      </c>
      <c r="J76" s="351">
        <v>108.27068</v>
      </c>
      <c r="K76" s="351" t="str">
        <v>-</v>
      </c>
    </row>
    <row r="77" spans="1:11" s="334" customFormat="1" ht="12.75" hidden="1" outlineLevel="1">
      <c r="A77" s="347" t="s">
        <v>364</v>
      </c>
      <c r="B77" s="351">
        <f t="array" ref="B77:K77">_xll.FDSRC("-",$B$8,"PCTCHG(FF_INTANG('ANN','0','-9','YEARLY',RP,'LOCAL','B'),FF_INTANG('ANN','-1','-10','YEARLY',RP,'LOCAL','B'))")</f>
        <v>5.4871499999999997</v>
      </c>
      <c r="C77" s="351">
        <v>2.2791060999999999</v>
      </c>
      <c r="D77" s="351">
        <v>-0.20490222</v>
      </c>
      <c r="E77" s="351">
        <v>2.0496376E-2</v>
      </c>
      <c r="F77" s="351">
        <v>-0.11600271600000001</v>
      </c>
      <c r="G77" s="351">
        <v>1.7920358999999999</v>
      </c>
      <c r="H77" s="351">
        <v>-0.38056567000000002</v>
      </c>
      <c r="I77" s="351">
        <v>-0.14509714000000001</v>
      </c>
      <c r="J77" s="351">
        <v>-0.49501893000000002</v>
      </c>
      <c r="K77" s="351">
        <v>1.3751322999999999E-2</v>
      </c>
    </row>
    <row r="78" spans="1:11" s="334" customFormat="1" ht="12.75" hidden="1" outlineLevel="1">
      <c r="A78" s="347" t="s">
        <v>365</v>
      </c>
      <c r="B78" s="351">
        <f t="array" ref="B78:K78">_xll.FDSRC("-",$B$8,"PCTCHG(FF_DFD_TAX_DB('ANN','0','-9','YEARLY',RP,'LOCAL','B'),FF_DFD_TAX_DB('ANN','-1','-10','YEARLY',RP,'LOCAL','B'))")</f>
        <v>1556.6666</v>
      </c>
      <c r="C78" s="351">
        <v>-50.413223000000002</v>
      </c>
      <c r="D78" s="351">
        <v>-96.042519999999996</v>
      </c>
      <c r="E78" s="351">
        <v>-42.861145</v>
      </c>
      <c r="F78" s="351">
        <v>-14.081573000000001</v>
      </c>
      <c r="G78" s="351">
        <v>188.33332999999999</v>
      </c>
      <c r="H78" s="351">
        <v>-64.397559999999999</v>
      </c>
      <c r="I78" s="351" t="str">
        <v>-</v>
      </c>
      <c r="J78" s="351" t="str">
        <v>-</v>
      </c>
      <c r="K78" s="351" t="str">
        <v>-</v>
      </c>
    </row>
    <row r="79" spans="1:11" s="334" customFormat="1" ht="12.75" hidden="1" outlineLevel="1">
      <c r="A79" s="347" t="s">
        <v>366</v>
      </c>
      <c r="B79" s="351">
        <f t="array" ref="B79:K79">_xll.FDSRC("-",$B$8,"PCTCHG(FF_ASSETS_OTH('ANN','0','-9','YEARLY',RP,'LOCAL','B'),FF_ASSETS_OTH('ANN','-1','-10','YEARLY',RP,'LOCAL','B'))")</f>
        <v>-46.39134</v>
      </c>
      <c r="C79" s="351">
        <v>-8.3088254999999993</v>
      </c>
      <c r="D79" s="351">
        <v>-2.4040154999999999</v>
      </c>
      <c r="E79" s="351">
        <v>75.614360000000005</v>
      </c>
      <c r="F79" s="351">
        <v>27.061654999999998</v>
      </c>
      <c r="G79" s="351">
        <v>48.690474999999999</v>
      </c>
      <c r="H79" s="351">
        <v>-21.126767999999998</v>
      </c>
      <c r="I79" s="351">
        <v>30.674854</v>
      </c>
      <c r="J79" s="351">
        <v>-6.2140409999999999</v>
      </c>
      <c r="K79" s="351">
        <v>-15.712899999999999</v>
      </c>
    </row>
    <row r="80" spans="1:11" s="334" customFormat="1" ht="12.75" hidden="1" outlineLevel="1">
      <c r="A80" s="347" t="s">
        <v>59</v>
      </c>
      <c r="B80" s="351">
        <f t="array" ref="B80:K80">_xll.FDSRC("-",$B$8,"PCTCHG(FF_ASSETS('ANN','0','-9','YEARLY',RP,'LOCAL','B'),FF_ASSETS('ANN','-1','-10','YEARLY',RP,'LOCAL','B'))")</f>
        <v>11.566361000000001</v>
      </c>
      <c r="C80" s="351">
        <v>7.0786160000000002</v>
      </c>
      <c r="D80" s="351">
        <v>3.0681329000000002</v>
      </c>
      <c r="E80" s="351">
        <v>-0.72496669999999996</v>
      </c>
      <c r="F80" s="351">
        <v>-2.8614318000000001</v>
      </c>
      <c r="G80" s="351">
        <v>12.034146</v>
      </c>
      <c r="H80" s="351">
        <v>-8.8780059999999992</v>
      </c>
      <c r="I80" s="351">
        <v>33.319865999999998</v>
      </c>
      <c r="J80" s="351">
        <v>2.4161446</v>
      </c>
      <c r="K80" s="351">
        <v>-9.8933219999999995</v>
      </c>
    </row>
    <row r="81" spans="1:11" s="334" customFormat="1" ht="12.75" collapsed="1">
      <c r="A81" s="347" t="s">
        <v>367</v>
      </c>
      <c r="B81" s="346"/>
      <c r="C81" s="346"/>
      <c r="D81" s="346"/>
      <c r="E81" s="346"/>
      <c r="F81" s="346"/>
      <c r="G81" s="346"/>
      <c r="H81" s="346"/>
      <c r="I81" s="346"/>
      <c r="J81" s="346"/>
      <c r="K81" s="346"/>
    </row>
    <row r="82" spans="1:11" s="334" customFormat="1" ht="12.75" hidden="1" outlineLevel="1">
      <c r="A82" s="347" t="s">
        <v>368</v>
      </c>
      <c r="B82" s="351">
        <f t="array" ref="B82:K82">_xll.FDSRC("-",$B$8,"PCTCHG(FF_DEBT_ST('ANN','0','-9','YEARLY',RP,'LOCAL','B'),FF_DEBT_ST('ANN','-1','-10','YEARLY',RP,'LOCAL','B'))")</f>
        <v>-21.955957000000001</v>
      </c>
      <c r="C82" s="351">
        <v>24.868580000000001</v>
      </c>
      <c r="D82" s="351">
        <v>10.303298</v>
      </c>
      <c r="E82" s="351">
        <v>98.231660000000005</v>
      </c>
      <c r="F82" s="351">
        <v>-27.639150000000001</v>
      </c>
      <c r="G82" s="351">
        <v>28.536183999999999</v>
      </c>
      <c r="H82" s="351">
        <v>-21.396256999999999</v>
      </c>
      <c r="I82" s="351">
        <v>-4.9170202999999999</v>
      </c>
      <c r="J82" s="351">
        <v>-16.306584999999998</v>
      </c>
      <c r="K82" s="351">
        <v>-6.2228630000000003</v>
      </c>
    </row>
    <row r="83" spans="1:11" s="334" customFormat="1" ht="12.75" hidden="1" outlineLevel="1">
      <c r="A83" s="347" t="s">
        <v>61</v>
      </c>
      <c r="B83" s="351">
        <f t="array" ref="B83:K83">_xll.FDSRC("-",$B$8,"PCTCHG(FF_PAY_ACCT('ANN','0','-9','YEARLY',RP,'LOCAL','B'),FF_PAY_ACCT('ANN','-1','-10','YEARLY',RP,'LOCAL','B'))")</f>
        <v>-13.043483</v>
      </c>
      <c r="C83" s="351">
        <v>9.7446219999999997</v>
      </c>
      <c r="D83" s="351">
        <v>-18.998365</v>
      </c>
      <c r="E83" s="351">
        <v>42.846035000000001</v>
      </c>
      <c r="F83" s="351">
        <v>-6.2340502999999998</v>
      </c>
      <c r="G83" s="351">
        <v>4.6147999999999998</v>
      </c>
      <c r="H83" s="351">
        <v>14.000002</v>
      </c>
      <c r="I83" s="351">
        <v>0.30527559999999998</v>
      </c>
      <c r="J83" s="351">
        <v>43.312496000000003</v>
      </c>
      <c r="K83" s="351">
        <v>-6.596616</v>
      </c>
    </row>
    <row r="84" spans="1:11" s="334" customFormat="1" ht="12.75" hidden="1" outlineLevel="1">
      <c r="A84" s="347" t="s">
        <v>369</v>
      </c>
      <c r="B84" s="351" t="str">
        <f t="array" ref="B84:K84">_xll.FDSRC("-",$B$8,"PCTCHG(FF_PAY_TAX('ANN','0','-9','YEARLY',RP,'LOCAL','B'),FF_PAY_TAX('ANN','-1','-10','YEARLY',RP,'LOCAL','B'))")</f>
        <v>-</v>
      </c>
      <c r="C84" s="351" t="str">
        <v>-</v>
      </c>
      <c r="D84" s="351" t="str">
        <v>-</v>
      </c>
      <c r="E84" s="351" t="str">
        <v>-</v>
      </c>
      <c r="F84" s="351" t="str">
        <v>-</v>
      </c>
      <c r="G84" s="351" t="str">
        <v>-</v>
      </c>
      <c r="H84" s="351" t="str">
        <v>-</v>
      </c>
      <c r="I84" s="351">
        <v>15.042735</v>
      </c>
      <c r="J84" s="351">
        <v>-1.5151520999999999</v>
      </c>
      <c r="K84" s="351">
        <v>2.5906709999999999</v>
      </c>
    </row>
    <row r="85" spans="1:11" s="334" customFormat="1" ht="12.75" hidden="1" outlineLevel="1">
      <c r="A85" s="347" t="s">
        <v>370</v>
      </c>
      <c r="B85" s="351">
        <f t="array" ref="B85:K85">_xll.FDSRC("-",$B$8,"PCTCHG(FF_LIABS_CURR_OTH('ANN','0','-9','YEARLY',RP,'LOCAL','B'),FF_LIABS_CURR_OTH('ANN','-1','-10','YEARLY',RP,'LOCAL','B'))")</f>
        <v>-22.909749999999999</v>
      </c>
      <c r="C85" s="351">
        <v>5.4916650000000002</v>
      </c>
      <c r="D85" s="351">
        <v>3.7291626999999998</v>
      </c>
      <c r="E85" s="351">
        <v>9.7174010000000006</v>
      </c>
      <c r="F85" s="351">
        <v>-12.738276000000001</v>
      </c>
      <c r="G85" s="351">
        <v>1.3725934</v>
      </c>
      <c r="H85" s="351">
        <v>35.392445000000002</v>
      </c>
      <c r="I85" s="351">
        <v>9.8916109999999993</v>
      </c>
      <c r="J85" s="351">
        <v>2.3589935</v>
      </c>
      <c r="K85" s="351">
        <v>21.980053000000002</v>
      </c>
    </row>
    <row r="86" spans="1:11" s="334" customFormat="1" ht="12.75" hidden="1" outlineLevel="1">
      <c r="A86" s="347" t="s">
        <v>371</v>
      </c>
      <c r="B86" s="351">
        <f t="array" ref="B86:K86">_xll.FDSRC("-",$B$8,"PCTCHG(FF_LIABS_CURR('ANN','0','-9','YEARLY',RP,'LOCAL','B'),FF_LIABS_CURR('ANN','-1','-10','YEARLY',RP,'LOCAL','B'))")</f>
        <v>-21.169077000000001</v>
      </c>
      <c r="C86" s="351">
        <v>8.7522950000000002</v>
      </c>
      <c r="D86" s="351">
        <v>2.6916280000000001E-2</v>
      </c>
      <c r="E86" s="351">
        <v>21.878073000000001</v>
      </c>
      <c r="F86" s="351">
        <v>-13.049175999999999</v>
      </c>
      <c r="G86" s="351">
        <v>3.8331615999999999</v>
      </c>
      <c r="H86" s="351">
        <v>19.269355999999998</v>
      </c>
      <c r="I86" s="351">
        <v>6.6465709999999998</v>
      </c>
      <c r="J86" s="351">
        <v>4.4799642999999998</v>
      </c>
      <c r="K86" s="351">
        <v>11.559068999999999</v>
      </c>
    </row>
    <row r="87" spans="1:11" s="334" customFormat="1" ht="12.75" hidden="1" outlineLevel="1">
      <c r="A87" s="347"/>
      <c r="B87" s="346"/>
      <c r="C87" s="346"/>
      <c r="D87" s="346"/>
      <c r="E87" s="346"/>
      <c r="F87" s="346"/>
      <c r="G87" s="346"/>
      <c r="H87" s="346"/>
      <c r="I87" s="346"/>
      <c r="J87" s="346"/>
      <c r="K87" s="346"/>
    </row>
    <row r="88" spans="1:11" s="334" customFormat="1" ht="12.75" hidden="1" outlineLevel="1">
      <c r="A88" s="347" t="s">
        <v>372</v>
      </c>
      <c r="B88" s="351">
        <f t="array" ref="B88:K88">_xll.FDSRC("-",$B$8,"PCTCHG(FF_DEBT_LT('ANN','0','-9','YEARLY',RP,'LOCAL','B'),FF_DEBT_LT('ANN','-1','-10','YEARLY',RP,'LOCAL','B'))")</f>
        <v>133.90978999999999</v>
      </c>
      <c r="C88" s="351">
        <v>0.80404096999999997</v>
      </c>
      <c r="D88" s="351">
        <v>113.19781500000001</v>
      </c>
      <c r="E88" s="351">
        <v>6.3054313999999998</v>
      </c>
      <c r="F88" s="351">
        <v>-8.3505710000000004</v>
      </c>
      <c r="G88" s="351">
        <v>-20.967175999999998</v>
      </c>
      <c r="H88" s="351">
        <v>-12.598267</v>
      </c>
      <c r="I88" s="351">
        <v>-11.613424</v>
      </c>
      <c r="J88" s="351">
        <v>-6.4573336000000001</v>
      </c>
      <c r="K88" s="351">
        <v>-10.106987</v>
      </c>
    </row>
    <row r="89" spans="1:11" s="334" customFormat="1" ht="12.75" hidden="1" outlineLevel="1">
      <c r="A89" s="347" t="s">
        <v>373</v>
      </c>
      <c r="B89" s="351">
        <f t="array" ref="B89:K89">_xll.FDSRC("-",$B$8,"PCTCHG(FF_PROV_RISK('ANN','0','-9','YEARLY',RP,'LOCAL','B'),FF_PROV_RISK('ANN','-1','-10','YEARLY',RP,'LOCAL','B'))")</f>
        <v>25.769054000000001</v>
      </c>
      <c r="C89" s="351">
        <v>-7.7594723999999999</v>
      </c>
      <c r="D89" s="351">
        <v>-6.5953140000000001</v>
      </c>
      <c r="E89" s="351">
        <v>-26.670652</v>
      </c>
      <c r="F89" s="351">
        <v>-3.4427952999999998</v>
      </c>
      <c r="G89" s="351">
        <v>-8.4753600000000002</v>
      </c>
      <c r="H89" s="351">
        <v>22.159454</v>
      </c>
      <c r="I89" s="351">
        <v>-22.574190000000002</v>
      </c>
      <c r="J89" s="351">
        <v>12.711264</v>
      </c>
      <c r="K89" s="351">
        <v>23.553464999999999</v>
      </c>
    </row>
    <row r="90" spans="1:11" s="334" customFormat="1" ht="12.75" hidden="1" outlineLevel="1">
      <c r="A90" s="347" t="s">
        <v>374</v>
      </c>
      <c r="B90" s="351" t="str">
        <f t="array" ref="B90:K90">_xll.FDSRC("-",$B$8,"PCTCHG(FF_DFD_TAX_CR('ANN','0','-9','YEARLY',RP,'LOCAL','B'),FF_DFD_TAX_CR('ANN','-1','-10','YEARLY',RP,'LOCAL','B'))")</f>
        <v>-</v>
      </c>
      <c r="C90" s="351" t="str">
        <v>-</v>
      </c>
      <c r="D90" s="351" t="str">
        <v>-</v>
      </c>
      <c r="E90" s="351">
        <v>-32.181201999999999</v>
      </c>
      <c r="F90" s="351">
        <v>1.8400002</v>
      </c>
      <c r="G90" s="351" t="str">
        <v>-</v>
      </c>
      <c r="H90" s="351" t="str">
        <v>-</v>
      </c>
      <c r="I90" s="351">
        <v>248.90084999999999</v>
      </c>
      <c r="J90" s="351">
        <v>0.93687450000000005</v>
      </c>
      <c r="K90" s="351">
        <v>-71.074029999999993</v>
      </c>
    </row>
    <row r="91" spans="1:11" s="334" customFormat="1" ht="12.75" hidden="1" outlineLevel="1">
      <c r="A91" s="347" t="s">
        <v>375</v>
      </c>
      <c r="B91" s="351">
        <f t="array" ref="B91:K91">_xll.FDSRC("-",$B$8,"PCTCHG(FF_LIABS_OTH('ANN','0','-9','YEARLY',RP,'LOCAL','B'),FF_LIABS_OTH('ANN','-1','-10','YEARLY',RP,'LOCAL','B'))")</f>
        <v>119.95914500000001</v>
      </c>
      <c r="C91" s="351">
        <v>2.3202352999999998</v>
      </c>
      <c r="D91" s="351">
        <v>8.5545690000000008</v>
      </c>
      <c r="E91" s="351">
        <v>6.0394589999999999</v>
      </c>
      <c r="F91" s="351">
        <v>0.45927128</v>
      </c>
      <c r="G91" s="351">
        <v>-12.536997</v>
      </c>
      <c r="H91" s="351">
        <v>10.772835000000001</v>
      </c>
      <c r="I91" s="351">
        <v>-0.16366541000000001</v>
      </c>
      <c r="J91" s="351">
        <v>3.8358821999999999</v>
      </c>
      <c r="K91" s="351">
        <v>-4.4315540000000002</v>
      </c>
    </row>
    <row r="92" spans="1:11" s="334" customFormat="1" ht="12.75" hidden="1" outlineLevel="1">
      <c r="A92" s="347" t="s">
        <v>65</v>
      </c>
      <c r="B92" s="351">
        <f t="array" ref="B92:K92">_xll.FDSRC("-",$B$8,"PCTCHG(FF_LIABS('ANN','0','-9','YEARLY',RP,'LOCAL','B'),FF_LIABS('ANN','-1','-10','YEARLY',RP,'LOCAL','B'))")</f>
        <v>43.291164000000002</v>
      </c>
      <c r="C92" s="351">
        <v>5.5711826999999996</v>
      </c>
      <c r="D92" s="351">
        <v>4.5262739999999999</v>
      </c>
      <c r="E92" s="351">
        <v>-4.3980074</v>
      </c>
      <c r="F92" s="351">
        <v>-6.3715261999999999</v>
      </c>
      <c r="G92" s="351">
        <v>9.8790530000000008</v>
      </c>
      <c r="H92" s="351">
        <v>-5.1161250000000003</v>
      </c>
      <c r="I92" s="351">
        <v>2.2921524</v>
      </c>
      <c r="J92" s="351">
        <v>3.9781697</v>
      </c>
      <c r="K92" s="351">
        <v>-5.2408247000000001</v>
      </c>
    </row>
    <row r="93" spans="1:11" s="334" customFormat="1" ht="12.75" hidden="1" outlineLevel="1">
      <c r="A93" s="347"/>
      <c r="B93" s="346"/>
      <c r="C93" s="346"/>
      <c r="D93" s="346"/>
      <c r="E93" s="346"/>
      <c r="F93" s="346"/>
      <c r="G93" s="346"/>
      <c r="H93" s="346"/>
      <c r="I93" s="346"/>
      <c r="J93" s="346"/>
      <c r="K93" s="346"/>
    </row>
    <row r="94" spans="1:11" s="334" customFormat="1" ht="12.75" hidden="1" outlineLevel="1">
      <c r="A94" s="347" t="s">
        <v>376</v>
      </c>
      <c r="B94" s="351">
        <f t="array" ref="B94:K94">_xll.FDSRC("-",$B$8,"PCTCHG(FF_COM_EQ('ANN','0','-9','YEARLY',RP,'LOCAL','B'),FF_COM_EQ('ANN','-1','-10','YEARLY',RP,'LOCAL','B'))")</f>
        <v>-90.011709999999994</v>
      </c>
      <c r="C94" s="351">
        <v>12.208660999999999</v>
      </c>
      <c r="D94" s="351">
        <v>-1.6031601</v>
      </c>
      <c r="E94" s="351">
        <v>13.209084499999999</v>
      </c>
      <c r="F94" s="351">
        <v>13.244234000000001</v>
      </c>
      <c r="G94" s="351">
        <v>23.113589999999999</v>
      </c>
      <c r="H94" s="351">
        <v>-24.306450000000002</v>
      </c>
      <c r="I94" s="351" t="str">
        <v>-</v>
      </c>
      <c r="J94" s="351">
        <v>-52.65043</v>
      </c>
      <c r="K94" s="351">
        <v>-255.62988000000001</v>
      </c>
    </row>
    <row r="95" spans="1:11" s="334" customFormat="1" ht="12.75" hidden="1" outlineLevel="1">
      <c r="A95" s="347" t="s">
        <v>377</v>
      </c>
      <c r="B95" s="351">
        <f t="array" ref="B95:K95">_xll.FDSRC("-",$B$8,"PCTCHG(FF_SHLDRS_EQ('ANN','0','-9','YEARLY',RP,'LOCAL','B'),FF_SHLDRS_EQ('ANN','-1','-10','YEARLY',RP,'LOCAL','B'))")</f>
        <v>-90.011709999999994</v>
      </c>
      <c r="C95" s="351">
        <v>12.208660999999999</v>
      </c>
      <c r="D95" s="351">
        <v>-1.6031601</v>
      </c>
      <c r="E95" s="351">
        <v>13.209084499999999</v>
      </c>
      <c r="F95" s="351">
        <v>13.244234000000001</v>
      </c>
      <c r="G95" s="351">
        <v>23.113589999999999</v>
      </c>
      <c r="H95" s="351">
        <v>-24.306450000000002</v>
      </c>
      <c r="I95" s="351" t="str">
        <v>-</v>
      </c>
      <c r="J95" s="351">
        <v>-52.65043</v>
      </c>
      <c r="K95" s="351">
        <v>-255.62988000000001</v>
      </c>
    </row>
    <row r="96" spans="1:11" s="334" customFormat="1" ht="12.75" hidden="1" outlineLevel="1">
      <c r="A96" s="347" t="s">
        <v>378</v>
      </c>
      <c r="B96" s="351">
        <f t="array" ref="B96:K96">_xll.FDSRC("-",$B$8,"PCTCHG(FF_EQ_TOT('ANN','0','-9','YEARLY',RP,'LOCAL','B'),FF_EQ_TOT('ANN','-1','-10','YEARLY',RP,'LOCAL','B'))")</f>
        <v>-90.011709999999994</v>
      </c>
      <c r="C96" s="351">
        <v>12.208660999999999</v>
      </c>
      <c r="D96" s="351">
        <v>-1.6031601</v>
      </c>
      <c r="E96" s="351">
        <v>13.209084499999999</v>
      </c>
      <c r="F96" s="351">
        <v>13.244234000000001</v>
      </c>
      <c r="G96" s="351">
        <v>23.113589999999999</v>
      </c>
      <c r="H96" s="351">
        <v>-24.306450000000002</v>
      </c>
      <c r="I96" s="351" t="str">
        <v>-</v>
      </c>
      <c r="J96" s="351">
        <v>-52.65043</v>
      </c>
      <c r="K96" s="351">
        <v>-255.62988000000001</v>
      </c>
    </row>
    <row r="97" spans="1:11" s="334" customFormat="1" ht="12.75" hidden="1" outlineLevel="1">
      <c r="A97" s="347" t="s">
        <v>379</v>
      </c>
      <c r="B97" s="351">
        <f t="array" ref="B97:K97">_xll.FDSRC("-",$B$8,"PCTCHG(FF_LIABS_SHLDRS_EQ('ANN','0','-9','YEARLY',RP,'LOCAL','B'),FF_LIABS_SHLDRS_EQ('ANN','-1','-10','YEARLY',RP,'LOCAL','B'))")</f>
        <v>11.566361000000001</v>
      </c>
      <c r="C97" s="351">
        <v>7.0786160000000002</v>
      </c>
      <c r="D97" s="351">
        <v>3.0681329000000002</v>
      </c>
      <c r="E97" s="351">
        <v>-0.72496669999999996</v>
      </c>
      <c r="F97" s="351">
        <v>-2.8614318000000001</v>
      </c>
      <c r="G97" s="351">
        <v>12.034146</v>
      </c>
      <c r="H97" s="351">
        <v>-8.8780059999999992</v>
      </c>
      <c r="I97" s="351">
        <v>33.319865999999998</v>
      </c>
      <c r="J97" s="351">
        <v>2.4161446</v>
      </c>
      <c r="K97" s="351">
        <v>-9.8933219999999995</v>
      </c>
    </row>
    <row r="98" spans="1:11" s="334" customFormat="1" ht="12.75">
      <c r="A98" s="347" t="s">
        <v>349</v>
      </c>
      <c r="B98" s="351">
        <f t="array" ref="B98:K98">_xll.FDSRC("-",$B$8,"PCTCHG(FF_DEBT('ANN','0','-9','YEARLY',RP,'LOCAL','B'),FF_DEBT('ANN','-1','-10','YEARLY',RP,'LOCAL','B'))")</f>
        <v>106.01565600000001</v>
      </c>
      <c r="C98" s="351">
        <v>4.4049053000000002</v>
      </c>
      <c r="D98" s="351">
        <v>87.084000000000003</v>
      </c>
      <c r="E98" s="351">
        <v>20.48554</v>
      </c>
      <c r="F98" s="351">
        <v>-11.970233</v>
      </c>
      <c r="G98" s="351">
        <v>-14.810268000000001</v>
      </c>
      <c r="H98" s="351">
        <v>-13.798266999999999</v>
      </c>
      <c r="I98" s="351">
        <v>-10.756155</v>
      </c>
      <c r="J98" s="351">
        <v>-7.8457017000000002</v>
      </c>
      <c r="K98" s="351">
        <v>-9.5790679999999995</v>
      </c>
    </row>
    <row r="99" spans="1:11" s="334" customFormat="1" ht="12.75">
      <c r="A99" s="333"/>
    </row>
    <row r="100" spans="1:11" s="334" customFormat="1" ht="12.75">
      <c r="A100" s="333"/>
    </row>
    <row r="101" spans="1:11" s="334" customFormat="1" ht="12.75">
      <c r="A101" s="333"/>
    </row>
    <row r="102" spans="1:11" s="334" customFormat="1" ht="12.75">
      <c r="A102" s="333"/>
    </row>
    <row r="103" spans="1:11" s="334" customFormat="1" ht="12.75">
      <c r="A103" s="333"/>
    </row>
    <row r="104" spans="1:11" s="334" customFormat="1" ht="12.75">
      <c r="A104" s="333"/>
    </row>
    <row r="105" spans="1:11" s="334" customFormat="1" ht="12.75">
      <c r="A105" s="333"/>
    </row>
    <row r="106" spans="1:11" s="334" customFormat="1" ht="12.75">
      <c r="A106" s="333"/>
    </row>
    <row r="107" spans="1:11" s="334" customFormat="1" ht="12.75">
      <c r="A107" s="333"/>
    </row>
    <row r="108" spans="1:11" s="334" customFormat="1" ht="12.75">
      <c r="A108" s="333"/>
    </row>
    <row r="109" spans="1:11" s="334" customFormat="1" ht="12.75">
      <c r="A109" s="333"/>
    </row>
    <row r="110" spans="1:11" s="334" customFormat="1" ht="12.75">
      <c r="A110" s="333"/>
    </row>
    <row r="111" spans="1:11" s="334" customFormat="1" ht="12.75">
      <c r="A111" s="333"/>
    </row>
    <row r="112" spans="1:11" s="333" customFormat="1" ht="12.75"/>
    <row r="113" s="333" customFormat="1" ht="12.75"/>
    <row r="114" s="333" customFormat="1" ht="12.75"/>
    <row r="115" s="333" customFormat="1" ht="12.75"/>
    <row r="116" s="333" customFormat="1" ht="12.75"/>
    <row r="117" s="333" customFormat="1" ht="12.75"/>
    <row r="118" s="333" customFormat="1" ht="12.75"/>
    <row r="119" s="333" customFormat="1" ht="12.75"/>
    <row r="120" s="333" customFormat="1" ht="12.75"/>
    <row r="121" s="333" customFormat="1" ht="12.75"/>
    <row r="122" s="333" customFormat="1" ht="12.75"/>
    <row r="123" s="333" customFormat="1" ht="12.75"/>
    <row r="124" s="333" customFormat="1" ht="12.75"/>
    <row r="125" s="333" customFormat="1" ht="12.75"/>
    <row r="126" s="333" customFormat="1" ht="12.75"/>
    <row r="127" s="333" customFormat="1" ht="12.75"/>
    <row r="128" s="333" customFormat="1" ht="12.75"/>
    <row r="129" s="333" customFormat="1" ht="12.75"/>
    <row r="130" s="333" customFormat="1" ht="12.75"/>
    <row r="131" s="333" customFormat="1" ht="12.75"/>
    <row r="132" s="333" customFormat="1" ht="12.75"/>
    <row r="133" s="333" customFormat="1" ht="12.75"/>
    <row r="134" s="333" customFormat="1" ht="12.75"/>
    <row r="135" s="333" customFormat="1" ht="12.75"/>
    <row r="136" s="333" customFormat="1" ht="12.75"/>
    <row r="137" s="333" customFormat="1" ht="12.75"/>
    <row r="138" s="333" customFormat="1" ht="12.75"/>
    <row r="139" s="333" customFormat="1" ht="12.75"/>
    <row r="140" s="333" customFormat="1" ht="12.75"/>
    <row r="141" s="333" customFormat="1" ht="12.75"/>
    <row r="142" s="333" customFormat="1" ht="12.75"/>
    <row r="143" s="333" customFormat="1" ht="12.75"/>
    <row r="144" s="333" customFormat="1" ht="12.75"/>
    <row r="145" s="333" customFormat="1" ht="12.75"/>
    <row r="146" s="333" customFormat="1" ht="12.75"/>
    <row r="147" s="333" customFormat="1" ht="12.75"/>
    <row r="148" s="333" customFormat="1" ht="12.75"/>
    <row r="149" s="333" customFormat="1" ht="12.75"/>
    <row r="150" s="333" customFormat="1" ht="12.75"/>
    <row r="151" s="333" customFormat="1" ht="12.75"/>
    <row r="152" s="333" customFormat="1" ht="12.75"/>
    <row r="153" s="333" customFormat="1" ht="12.75"/>
    <row r="154" s="333" customFormat="1" ht="12.75"/>
    <row r="155" s="333" customFormat="1" ht="12.75"/>
    <row r="156" s="333" customFormat="1" ht="12.75"/>
    <row r="157" s="333" customFormat="1" ht="12.75"/>
    <row r="158" s="333" customFormat="1" ht="12.75"/>
    <row r="159" s="333" customFormat="1" ht="12.75"/>
    <row r="160" s="333" customFormat="1" ht="12.75"/>
    <row r="161" s="333" customFormat="1" ht="12.75"/>
    <row r="162" s="333" customFormat="1" ht="12.75"/>
    <row r="163" s="333" customFormat="1" ht="12.75"/>
    <row r="164" s="333" customFormat="1" ht="12.75"/>
    <row r="165" s="333" customFormat="1" ht="12.75"/>
    <row r="166" s="333" customFormat="1" ht="12.75"/>
    <row r="167" s="333" customFormat="1" ht="12.75"/>
    <row r="168" s="333" customFormat="1" ht="12.75"/>
    <row r="169" s="333" customFormat="1" ht="12.75"/>
    <row r="170" s="333" customFormat="1" ht="12.75"/>
    <row r="171" s="333" customFormat="1" ht="12.75"/>
    <row r="172" s="333" customFormat="1" ht="12.75"/>
    <row r="173" s="333" customFormat="1" ht="12.75"/>
    <row r="174" s="333" customFormat="1" ht="12.75"/>
    <row r="175" s="333" customFormat="1" ht="12.75"/>
    <row r="176" s="333" customFormat="1" ht="12.75"/>
    <row r="177" s="333" customFormat="1" ht="12.75"/>
    <row r="178" s="333" customFormat="1" ht="12.75"/>
    <row r="179" s="333" customFormat="1" ht="12.75"/>
    <row r="180" s="333" customFormat="1" ht="12.75"/>
    <row r="181" s="333" customFormat="1" ht="12.75"/>
    <row r="182" s="333" customFormat="1" ht="12.75"/>
    <row r="183" s="333" customFormat="1" ht="12.75"/>
    <row r="184" s="333" customFormat="1" ht="12.75"/>
    <row r="185" s="333" customFormat="1" ht="12.75"/>
    <row r="186" s="333" customFormat="1" ht="12.75"/>
    <row r="187" s="333" customFormat="1" ht="12.75"/>
    <row r="188" s="333" customFormat="1" ht="12.75"/>
    <row r="189" s="333" customFormat="1" ht="12.75"/>
    <row r="190" s="333" customFormat="1" ht="12.75"/>
    <row r="191" s="333" customFormat="1" ht="12.75"/>
    <row r="192" s="333" customFormat="1" ht="12.75"/>
    <row r="193" s="333" customFormat="1" ht="12.75"/>
    <row r="194" s="333" customFormat="1" ht="12.75"/>
    <row r="195" s="333" customFormat="1" ht="12.75"/>
    <row r="196" s="333" customFormat="1" ht="12.75"/>
    <row r="197" s="333" customFormat="1" ht="12.75"/>
    <row r="198" s="333" customFormat="1" ht="12.75"/>
    <row r="199" s="333" customFormat="1" ht="12.75"/>
    <row r="200" s="333" customFormat="1" ht="12.75"/>
    <row r="201" s="333" customFormat="1" ht="12.75"/>
    <row r="202" s="333" customFormat="1" ht="12.75"/>
    <row r="203" s="333" customFormat="1" ht="12.75"/>
    <row r="204" s="333" customFormat="1" ht="12.75"/>
    <row r="205" s="333" customFormat="1" ht="12.75"/>
    <row r="206" s="333" customFormat="1" ht="12.75"/>
    <row r="207" s="333" customFormat="1" ht="12.75"/>
    <row r="208" s="333" customFormat="1" ht="12.75"/>
    <row r="209" s="333" customFormat="1" ht="12.75"/>
    <row r="210" s="333" customFormat="1" ht="12.75"/>
    <row r="211" s="333" customFormat="1" ht="12.75"/>
    <row r="212" s="333" customFormat="1" ht="12.75"/>
    <row r="213" s="333" customFormat="1" ht="12.75"/>
    <row r="214" s="333" customFormat="1" ht="12.75"/>
    <row r="215" s="333" customFormat="1" ht="12.75"/>
    <row r="216" s="333" customFormat="1" ht="12.75"/>
    <row r="217" s="333" customFormat="1" ht="12.75"/>
    <row r="218" s="333" customFormat="1" ht="12.75"/>
    <row r="219" s="333" customFormat="1" ht="12.75"/>
    <row r="220" s="333" customFormat="1" ht="12.75"/>
    <row r="221" s="333" customFormat="1" ht="12.75"/>
    <row r="222" s="333" customFormat="1" ht="12.75"/>
    <row r="223" s="333" customFormat="1" ht="12.75"/>
    <row r="224" s="333" customFormat="1" ht="12.75"/>
    <row r="225" s="333" customFormat="1" ht="12.75"/>
    <row r="226" s="333" customFormat="1" ht="12.75"/>
    <row r="227" s="333" customFormat="1" ht="12.75"/>
    <row r="228" s="333" customFormat="1" ht="12.75"/>
    <row r="229" s="333" customFormat="1" ht="12.75"/>
    <row r="230" s="333" customFormat="1" ht="12.75"/>
    <row r="231" s="333" customFormat="1" ht="12.75"/>
    <row r="232" s="333" customFormat="1" ht="12.75"/>
    <row r="233" s="333" customFormat="1" ht="12.75"/>
    <row r="234" s="333" customFormat="1" ht="12.75"/>
    <row r="235" s="333" customFormat="1" ht="12.75"/>
    <row r="236" s="333" customFormat="1" ht="12.75"/>
    <row r="237" s="333" customFormat="1" ht="12.75"/>
    <row r="238" s="333" customFormat="1" ht="12.75"/>
    <row r="239" s="333" customFormat="1" ht="12.75"/>
    <row r="240" s="333" customFormat="1" ht="12.75"/>
    <row r="241" s="333" customFormat="1" ht="12.75"/>
    <row r="242" s="333" customFormat="1" ht="12.75"/>
    <row r="243" s="333" customFormat="1" ht="12.75"/>
    <row r="244" s="333" customFormat="1" ht="12.75"/>
    <row r="245" s="333" customFormat="1" ht="12.75"/>
    <row r="246" s="333" customFormat="1" ht="12.75"/>
    <row r="247" s="333" customFormat="1" ht="12.75"/>
    <row r="248" s="333" customFormat="1" ht="12.75"/>
    <row r="249" s="333" customFormat="1" ht="12.75"/>
    <row r="250" s="333" customFormat="1" ht="12.75"/>
    <row r="251" s="333" customFormat="1" ht="12.75"/>
    <row r="252" s="333" customFormat="1" ht="12.75"/>
    <row r="253" s="333" customFormat="1" ht="12.75"/>
    <row r="254" s="333" customFormat="1" ht="12.75"/>
    <row r="255" s="333" customFormat="1" ht="12.75"/>
    <row r="256" s="333" customFormat="1" ht="12.75"/>
    <row r="257" s="333" customFormat="1" ht="12.75"/>
    <row r="258" s="333" customFormat="1" ht="12.75"/>
    <row r="259" s="333" customFormat="1" ht="12.75"/>
    <row r="260" s="333" customFormat="1" ht="12.75"/>
    <row r="261" s="333" customFormat="1" ht="12.75"/>
    <row r="262" s="333" customFormat="1" ht="12.75"/>
    <row r="263" s="333" customFormat="1" ht="12.75"/>
    <row r="264" s="333" customFormat="1" ht="12.75"/>
    <row r="265" s="333" customFormat="1" ht="12.75"/>
    <row r="266" s="333" customFormat="1" ht="12.75"/>
    <row r="267" s="333" customFormat="1" ht="12.75"/>
    <row r="268" s="333" customFormat="1" ht="12.75"/>
    <row r="269" s="333" customFormat="1" ht="12.75"/>
    <row r="270" s="333" customFormat="1" ht="12.75"/>
    <row r="271" s="333" customFormat="1" ht="12.75"/>
    <row r="272" s="333" customFormat="1" ht="12.75"/>
    <row r="273" s="333" customFormat="1" ht="12.75"/>
    <row r="274" s="333" customFormat="1" ht="12.75"/>
    <row r="275" s="333" customFormat="1" ht="12.75"/>
    <row r="276" s="333" customFormat="1" ht="12.75"/>
    <row r="277" s="333" customFormat="1" ht="12.75"/>
    <row r="278" s="333" customFormat="1" ht="12.75"/>
    <row r="279" s="333" customFormat="1" ht="12.75"/>
    <row r="280" s="333" customFormat="1" ht="12.75"/>
    <row r="281" s="333" customFormat="1" ht="12.75"/>
    <row r="282" s="333" customFormat="1" ht="12.75"/>
    <row r="283" s="333" customFormat="1" ht="12.75"/>
    <row r="284" s="333" customFormat="1" ht="12.75"/>
    <row r="285" s="333" customFormat="1" ht="12.75"/>
    <row r="286" s="333" customFormat="1" ht="12.75"/>
    <row r="287" s="333" customFormat="1" ht="12.75"/>
    <row r="288" s="333" customFormat="1" ht="12.75"/>
    <row r="289" s="333" customFormat="1" ht="12.75"/>
    <row r="290" s="333" customFormat="1" ht="12.75"/>
    <row r="291" s="333" customFormat="1" ht="12.75"/>
    <row r="292" s="333" customFormat="1" ht="12.75"/>
    <row r="293" s="333" customFormat="1" ht="12.75"/>
    <row r="294" s="333" customFormat="1" ht="12.75"/>
    <row r="295" s="333" customFormat="1" ht="12.75"/>
    <row r="296" s="333" customFormat="1" ht="12.75"/>
    <row r="297" s="333" customFormat="1" ht="12.75"/>
    <row r="298" s="333" customFormat="1" ht="12.75"/>
    <row r="299" s="333" customFormat="1" ht="12.75"/>
    <row r="300" s="333" customFormat="1" ht="12.75"/>
    <row r="301" s="333" customFormat="1" ht="12.75"/>
    <row r="302" s="333" customFormat="1" ht="12.75"/>
    <row r="303" s="333" customFormat="1" ht="12.75"/>
    <row r="304" s="333" customFormat="1" ht="12.75"/>
    <row r="305" s="333" customFormat="1" ht="12.75"/>
    <row r="306" s="333" customFormat="1" ht="12.75"/>
    <row r="307" s="333" customFormat="1" ht="12.75"/>
    <row r="308" s="333" customFormat="1" ht="12.75"/>
    <row r="309" s="333" customFormat="1" ht="12.75"/>
    <row r="310" s="333" customFormat="1" ht="12.75"/>
    <row r="311" s="333" customFormat="1" ht="12.75"/>
    <row r="312" s="333" customFormat="1" ht="12.75"/>
    <row r="313" s="333" customFormat="1" ht="12.75"/>
    <row r="314" s="333" customFormat="1" ht="12.75"/>
    <row r="315" s="333" customFormat="1" ht="12.75"/>
    <row r="316" s="333" customFormat="1" ht="12.75"/>
    <row r="317" s="333" customFormat="1" ht="12.75"/>
    <row r="318" s="333" customFormat="1" ht="12.75"/>
    <row r="319" s="333" customFormat="1" ht="12.75"/>
    <row r="320" s="333" customFormat="1" ht="12.75"/>
    <row r="321" s="333" customFormat="1" ht="12.75"/>
    <row r="322" s="333" customFormat="1" ht="12.75"/>
    <row r="323" s="333" customFormat="1" ht="12.75"/>
    <row r="324" s="333" customFormat="1" ht="12.75"/>
    <row r="325" s="333" customFormat="1" ht="12.75"/>
    <row r="326" s="333" customFormat="1" ht="12.75"/>
    <row r="327" s="333" customFormat="1" ht="12.75"/>
    <row r="328" s="333" customFormat="1" ht="12.75"/>
    <row r="329" s="333" customFormat="1" ht="12.75"/>
    <row r="330" s="333" customFormat="1" ht="12.75"/>
    <row r="331" s="333" customFormat="1" ht="12.75"/>
    <row r="332" s="333" customFormat="1" ht="12.75"/>
    <row r="333" s="333" customFormat="1" ht="12.75"/>
    <row r="334" s="333" customFormat="1" ht="12.75"/>
    <row r="335" s="333" customFormat="1" ht="12.75"/>
    <row r="336" s="333" customFormat="1" ht="12.75"/>
    <row r="337" s="333" customFormat="1" ht="12.75"/>
    <row r="338" s="333" customFormat="1" ht="12.75"/>
    <row r="339" s="333" customFormat="1" ht="12.75"/>
    <row r="340" s="333" customFormat="1" ht="12.75"/>
    <row r="341" s="333" customFormat="1" ht="12.75"/>
    <row r="342" s="333" customFormat="1" ht="12.75"/>
    <row r="343" s="333" customFormat="1" ht="12.75"/>
    <row r="344" s="333" customFormat="1" ht="12.75"/>
    <row r="345" s="333" customFormat="1" ht="12.75"/>
    <row r="346" s="333" customFormat="1" ht="12.75"/>
    <row r="347" s="333" customFormat="1" ht="12.75"/>
    <row r="348" s="333" customFormat="1" ht="12.75"/>
    <row r="349" s="333" customFormat="1" ht="12.75"/>
    <row r="350" s="333" customFormat="1" ht="12.75"/>
    <row r="351" s="333" customFormat="1" ht="12.75"/>
    <row r="352" s="333" customFormat="1" ht="12.75"/>
    <row r="353" s="333" customFormat="1" ht="12.75"/>
    <row r="354" s="333" customFormat="1" ht="12.75"/>
    <row r="355" s="333" customFormat="1" ht="12.75"/>
    <row r="356" s="333" customFormat="1" ht="12.75"/>
    <row r="357" s="333" customFormat="1" ht="12.75"/>
    <row r="358" s="333" customFormat="1" ht="12.75"/>
    <row r="359" s="333" customFormat="1" ht="12.75"/>
    <row r="360" s="333" customFormat="1" ht="12.75"/>
    <row r="361" s="333" customFormat="1" ht="12.75"/>
    <row r="362" s="333" customFormat="1" ht="12.75"/>
    <row r="363" s="333" customFormat="1" ht="12.75"/>
    <row r="364" s="333" customFormat="1" ht="12.75"/>
    <row r="365" s="333" customFormat="1" ht="12.75"/>
    <row r="366" s="333" customFormat="1" ht="12.75"/>
    <row r="367" s="333" customFormat="1" ht="12.75"/>
    <row r="368" s="333" customFormat="1" ht="12.75"/>
    <row r="369" s="333" customFormat="1" ht="12.75"/>
    <row r="370" s="333" customFormat="1" ht="12.75"/>
    <row r="371" s="333" customFormat="1" ht="12.75"/>
    <row r="372" s="333" customFormat="1" ht="12.75"/>
    <row r="373" s="333" customFormat="1" ht="12.75"/>
    <row r="374" s="333" customFormat="1" ht="12.75"/>
    <row r="375" s="333" customFormat="1" ht="12.75"/>
    <row r="376" s="333" customFormat="1" ht="12.75"/>
    <row r="377" s="333" customFormat="1" ht="12.75"/>
    <row r="378" s="333" customFormat="1" ht="12.75"/>
    <row r="379" s="333" customFormat="1" ht="12.75"/>
    <row r="380" s="333" customFormat="1" ht="12.75"/>
    <row r="381" s="333" customFormat="1" ht="12.75"/>
    <row r="382" s="333" customFormat="1" ht="12.75"/>
    <row r="383" s="333" customFormat="1" ht="12.75"/>
    <row r="384" s="333" customFormat="1" ht="12.75"/>
    <row r="385" s="333" customFormat="1" ht="12.75"/>
    <row r="386" s="333" customFormat="1" ht="12.75"/>
    <row r="387" s="333" customFormat="1" ht="12.75"/>
    <row r="388" s="333" customFormat="1" ht="12.75"/>
    <row r="389" s="333" customFormat="1" ht="12.75"/>
    <row r="390" s="333" customFormat="1" ht="12.75"/>
    <row r="391" s="333" customFormat="1" ht="12.75"/>
    <row r="392" s="333" customFormat="1" ht="12.75"/>
    <row r="393" s="333" customFormat="1" ht="12.75"/>
    <row r="394" s="333" customFormat="1" ht="12.75"/>
    <row r="395" s="333" customFormat="1" ht="12.75"/>
    <row r="396" s="333" customFormat="1" ht="12.75"/>
    <row r="397" s="333" customFormat="1" ht="12.75"/>
    <row r="398" s="333" customFormat="1" ht="12.75"/>
    <row r="399" s="333" customFormat="1" ht="12.75"/>
    <row r="400" s="333" customFormat="1" ht="12.75"/>
    <row r="401" s="333" customFormat="1" ht="12.75"/>
    <row r="402" s="333" customFormat="1" ht="12.75"/>
    <row r="403" s="333" customFormat="1" ht="12.75"/>
    <row r="404" s="333" customFormat="1" ht="12.75"/>
    <row r="405" s="333" customFormat="1" ht="12.75"/>
    <row r="406" s="333" customFormat="1" ht="12.75"/>
    <row r="407" s="333" customFormat="1" ht="12.75"/>
    <row r="408" s="333" customFormat="1" ht="12.75"/>
    <row r="409" s="333" customFormat="1" ht="12.75"/>
    <row r="410" s="333" customFormat="1" ht="12.75"/>
    <row r="411" s="333" customFormat="1" ht="12.75"/>
    <row r="412" s="333" customFormat="1" ht="12.75"/>
    <row r="413" s="333" customFormat="1" ht="12.75"/>
    <row r="414" s="333" customFormat="1" ht="12.75"/>
    <row r="415" s="333" customFormat="1" ht="12.75"/>
    <row r="416" s="333" customFormat="1" ht="12.75"/>
    <row r="417" s="333" customFormat="1" ht="12.75"/>
    <row r="418" s="333" customFormat="1" ht="12.75"/>
    <row r="419" s="333" customFormat="1" ht="12.75"/>
    <row r="420" s="333" customFormat="1" ht="12.75"/>
    <row r="421" s="333" customFormat="1" ht="12.75"/>
    <row r="422" s="333" customFormat="1" ht="12.75"/>
    <row r="423" s="333" customFormat="1" ht="12.75"/>
    <row r="424" s="333" customFormat="1" ht="12.75"/>
    <row r="425" s="333" customFormat="1" ht="12.75"/>
    <row r="426" s="333" customFormat="1" ht="12.75"/>
    <row r="427" s="333" customFormat="1" ht="12.75"/>
    <row r="428" s="333" customFormat="1" ht="12.75"/>
    <row r="429" s="333" customFormat="1" ht="12.75"/>
    <row r="430" s="333" customFormat="1" ht="12.75"/>
    <row r="431" s="333" customFormat="1" ht="12.75"/>
    <row r="432" s="333" customFormat="1" ht="12.75"/>
    <row r="433" s="333" customFormat="1" ht="12.75"/>
    <row r="434" s="333" customFormat="1" ht="12.75"/>
    <row r="435" s="333" customFormat="1" ht="12.75"/>
    <row r="436" s="333" customFormat="1" ht="12.75"/>
    <row r="437" s="333" customFormat="1" ht="12.75"/>
    <row r="438" s="333" customFormat="1" ht="12.75"/>
    <row r="439" s="333" customFormat="1" ht="12.75"/>
    <row r="440" s="333" customFormat="1" ht="12.75"/>
    <row r="441" s="333" customFormat="1" ht="12.75"/>
    <row r="442" s="333" customFormat="1" ht="12.75"/>
    <row r="443" s="333" customFormat="1" ht="12.75"/>
    <row r="444" s="333" customFormat="1" ht="12.75"/>
    <row r="445" s="333" customFormat="1" ht="12.75"/>
    <row r="446" s="333" customFormat="1" ht="12.75"/>
    <row r="447" s="333" customFormat="1" ht="12.75"/>
    <row r="448" s="333" customFormat="1" ht="12.75"/>
    <row r="449" s="333" customFormat="1" ht="12.75"/>
    <row r="450" s="333" customFormat="1" ht="12.75"/>
    <row r="451" s="333" customFormat="1" ht="12.75"/>
    <row r="452" s="333" customFormat="1" ht="12.75"/>
    <row r="453" s="333" customFormat="1" ht="12.75"/>
    <row r="454" s="333" customFormat="1" ht="12.75"/>
    <row r="455" s="333" customFormat="1" ht="12.75"/>
    <row r="456" s="333" customFormat="1" ht="12.75"/>
    <row r="457" s="333" customFormat="1" ht="12.75"/>
    <row r="458" s="333" customFormat="1" ht="12.75"/>
    <row r="459" s="333" customFormat="1" ht="12.75"/>
    <row r="460" s="333" customFormat="1" ht="12.75"/>
    <row r="461" s="333" customFormat="1" ht="12.75"/>
    <row r="462" s="333" customFormat="1" ht="12.75"/>
    <row r="463" s="333" customFormat="1" ht="12.75"/>
    <row r="464" s="333" customFormat="1" ht="12.75"/>
    <row r="465" s="333" customFormat="1" ht="12.75"/>
    <row r="466" s="333" customFormat="1" ht="12.75"/>
    <row r="467" s="333" customFormat="1" ht="12.75"/>
    <row r="468" s="333" customFormat="1" ht="12.75"/>
    <row r="469" s="333" customFormat="1" ht="12.75"/>
    <row r="470" s="333" customFormat="1" ht="12.75"/>
    <row r="471" s="333" customFormat="1" ht="12.75"/>
    <row r="472" s="333" customFormat="1" ht="12.75"/>
    <row r="473" s="333" customFormat="1" ht="12.75"/>
    <row r="474" s="333" customFormat="1" ht="12.75"/>
    <row r="475" s="333" customFormat="1" ht="12.75"/>
    <row r="476" s="333" customFormat="1" ht="12.75"/>
    <row r="477" s="333" customFormat="1" ht="12.75"/>
    <row r="478" s="333" customFormat="1" ht="12.75"/>
    <row r="479" s="333" customFormat="1" ht="12.75"/>
    <row r="480" s="333" customFormat="1" ht="12.75"/>
    <row r="481" s="333" customFormat="1" ht="12.75"/>
    <row r="482" s="333" customFormat="1" ht="12.75"/>
    <row r="483" s="333" customFormat="1" ht="12.75"/>
    <row r="484" s="333" customFormat="1" ht="12.75"/>
    <row r="485" s="333" customFormat="1" ht="12.75"/>
    <row r="486" s="333" customFormat="1" ht="12.75"/>
    <row r="487" s="333" customFormat="1" ht="12.75"/>
    <row r="488" s="333" customFormat="1" ht="12.75"/>
    <row r="489" s="333" customFormat="1" ht="12.75"/>
    <row r="490" s="333" customFormat="1" ht="12.75"/>
    <row r="491" s="333" customFormat="1" ht="12.75"/>
    <row r="492" s="333" customFormat="1" ht="12.75"/>
    <row r="493" s="333" customFormat="1" ht="12.75"/>
    <row r="494" s="333" customFormat="1" ht="12.75"/>
    <row r="495" s="333" customFormat="1" ht="12.75"/>
    <row r="496" s="333" customFormat="1" ht="12.75"/>
    <row r="497" s="333" customFormat="1" ht="12.75"/>
    <row r="498" s="333" customFormat="1" ht="12.75"/>
    <row r="499" s="333" customFormat="1" ht="12.75"/>
    <row r="500" s="333" customFormat="1" ht="12.75"/>
    <row r="501" s="333" customFormat="1" ht="12.75"/>
    <row r="502" s="333" customFormat="1" ht="12.75"/>
    <row r="503" s="333" customFormat="1" ht="12.75"/>
    <row r="504" s="333" customFormat="1" ht="12.75"/>
    <row r="505" s="333" customFormat="1" ht="12.75"/>
    <row r="506" s="333" customFormat="1" ht="12.75"/>
    <row r="507" s="333" customFormat="1" ht="12.75"/>
    <row r="508" s="333" customFormat="1" ht="12.75"/>
    <row r="509" s="333" customFormat="1" ht="12.75"/>
    <row r="510" s="333" customFormat="1" ht="12.75"/>
    <row r="511" s="333" customFormat="1" ht="12.75"/>
    <row r="512" s="333" customFormat="1" ht="12.75"/>
    <row r="513" s="333" customFormat="1" ht="12.75"/>
    <row r="514" s="333" customFormat="1" ht="12.75"/>
    <row r="515" s="333" customFormat="1" ht="12.75"/>
    <row r="516" s="333" customFormat="1" ht="12.75"/>
    <row r="517" s="333" customFormat="1" ht="12.75"/>
    <row r="518" s="333" customFormat="1" ht="12.75"/>
    <row r="519" s="333" customFormat="1" ht="12.75"/>
    <row r="520" s="333" customFormat="1" ht="12.75"/>
    <row r="521" s="333" customFormat="1" ht="12.75"/>
    <row r="522" s="333" customFormat="1" ht="12.75"/>
    <row r="523" s="333" customFormat="1" ht="12.75"/>
    <row r="524" s="333" customFormat="1" ht="12.75"/>
    <row r="525" s="333" customFormat="1" ht="12.75"/>
    <row r="526" s="333" customFormat="1" ht="12.75"/>
    <row r="527" s="333" customFormat="1" ht="12.75"/>
    <row r="528" s="333" customFormat="1" ht="12.75"/>
    <row r="529" s="333" customFormat="1" ht="12.75"/>
    <row r="530" s="333" customFormat="1" ht="12.75"/>
    <row r="531" s="333" customFormat="1" ht="12.75"/>
    <row r="532" s="333" customFormat="1" ht="12.75"/>
    <row r="533" s="333" customFormat="1" ht="12.75"/>
    <row r="534" s="333" customFormat="1" ht="12.75"/>
    <row r="535" s="333" customFormat="1" ht="12.75"/>
    <row r="536" s="333" customFormat="1" ht="12.75"/>
    <row r="537" s="333" customFormat="1" ht="12.75"/>
    <row r="538" s="333" customFormat="1" ht="12.75"/>
    <row r="539" s="333" customFormat="1" ht="12.75"/>
    <row r="540" s="333" customFormat="1" ht="12.75"/>
    <row r="541" s="333" customFormat="1" ht="12.75"/>
    <row r="542" s="333" customFormat="1" ht="12.75"/>
    <row r="543" s="333" customFormat="1" ht="12.75"/>
    <row r="544" s="333" customFormat="1" ht="12.75"/>
    <row r="545" s="333" customFormat="1" ht="12.75"/>
    <row r="546" s="333" customFormat="1" ht="12.75"/>
    <row r="547" s="333" customFormat="1" ht="12.75"/>
    <row r="548" s="333" customFormat="1" ht="12.75"/>
    <row r="549" s="333" customFormat="1" ht="12.75"/>
    <row r="550" s="333" customFormat="1" ht="12.75"/>
    <row r="551" s="333" customFormat="1" ht="12.75"/>
    <row r="552" s="333" customFormat="1" ht="12.75"/>
    <row r="553" s="333" customFormat="1" ht="12.75"/>
    <row r="554" s="333" customFormat="1" ht="12.75"/>
    <row r="555" s="333" customFormat="1" ht="12.75"/>
    <row r="556" s="333" customFormat="1" ht="12.75"/>
    <row r="557" s="333" customFormat="1" ht="12.75"/>
    <row r="558" s="333" customFormat="1" ht="12.75"/>
    <row r="559" s="333" customFormat="1" ht="12.75"/>
    <row r="560" s="333" customFormat="1" ht="12.75"/>
    <row r="561" s="333" customFormat="1" ht="12.75"/>
    <row r="562" s="333" customFormat="1" ht="12.75"/>
    <row r="563" s="333" customFormat="1" ht="12.75"/>
    <row r="564" s="333" customFormat="1" ht="12.75"/>
    <row r="565" s="333" customFormat="1" ht="12.75"/>
    <row r="566" s="333" customFormat="1" ht="12.75"/>
    <row r="567" s="333" customFormat="1" ht="12.75"/>
    <row r="568" s="333" customFormat="1" ht="12.75"/>
    <row r="569" s="333" customFormat="1" ht="12.75"/>
    <row r="570" s="333" customFormat="1" ht="12.75"/>
    <row r="571" s="333" customFormat="1" ht="12.75"/>
    <row r="572" s="333" customFormat="1" ht="12.75"/>
    <row r="573" s="333" customFormat="1" ht="12.75"/>
    <row r="574" s="333" customFormat="1" ht="12.75"/>
    <row r="575" s="333" customFormat="1" ht="12.75"/>
    <row r="576" s="333" customFormat="1" ht="12.75"/>
    <row r="577" s="333" customFormat="1" ht="12.75"/>
    <row r="578" s="333" customFormat="1" ht="12.75"/>
    <row r="579" s="333" customFormat="1" ht="12.75"/>
    <row r="580" s="333" customFormat="1" ht="12.75"/>
    <row r="581" s="333" customFormat="1" ht="12.75"/>
    <row r="582" s="333" customFormat="1" ht="12.75"/>
    <row r="583" s="333" customFormat="1" ht="12.75"/>
    <row r="584" s="333" customFormat="1" ht="12.75"/>
    <row r="585" s="333" customFormat="1" ht="12.75"/>
    <row r="586" s="333" customFormat="1" ht="12.75"/>
    <row r="587" s="333" customFormat="1" ht="12.75"/>
    <row r="588" s="333" customFormat="1" ht="12.75"/>
    <row r="589" s="333" customFormat="1" ht="12.75"/>
    <row r="590" s="333" customFormat="1" ht="12.75"/>
    <row r="591" s="333" customFormat="1" ht="12.75"/>
    <row r="592" s="333" customFormat="1" ht="12.75"/>
    <row r="593" s="333" customFormat="1" ht="12.75"/>
    <row r="594" s="333" customFormat="1" ht="12.75"/>
    <row r="595" s="333" customFormat="1" ht="12.75"/>
    <row r="596" s="333" customFormat="1" ht="12.75"/>
    <row r="597" s="333" customFormat="1" ht="12.75"/>
    <row r="598" s="333" customFormat="1" ht="12.75"/>
    <row r="599" s="333" customFormat="1" ht="12.75"/>
    <row r="600" s="333" customFormat="1" ht="12.75"/>
    <row r="601" s="333" customFormat="1" ht="12.75"/>
    <row r="602" s="333" customFormat="1" ht="12.75"/>
    <row r="603" s="333" customFormat="1" ht="12.75"/>
    <row r="604" s="333" customFormat="1" ht="12.75"/>
    <row r="605" s="333" customFormat="1" ht="12.75"/>
    <row r="606" s="333" customFormat="1" ht="12.75"/>
    <row r="607" s="333" customFormat="1" ht="12.75"/>
    <row r="608" s="333" customFormat="1" ht="12.75"/>
    <row r="609" s="333" customFormat="1" ht="12.75"/>
    <row r="610" s="333" customFormat="1" ht="12.75"/>
    <row r="611" s="333" customFormat="1" ht="12.75"/>
    <row r="612" s="333" customFormat="1" ht="12.75"/>
    <row r="613" s="333" customFormat="1" ht="12.75"/>
    <row r="614" s="333" customFormat="1" ht="12.75"/>
    <row r="615" s="333" customFormat="1" ht="12.75"/>
    <row r="616" s="333" customFormat="1" ht="12.75"/>
    <row r="617" s="333" customFormat="1" ht="12.75"/>
    <row r="618" s="333" customFormat="1" ht="12.75"/>
    <row r="619" s="333" customFormat="1" ht="12.75"/>
    <row r="620" s="333" customFormat="1" ht="12.75"/>
    <row r="621" s="333" customFormat="1" ht="12.75"/>
    <row r="622" s="333" customFormat="1" ht="12.75"/>
    <row r="623" s="333" customFormat="1" ht="12.75"/>
    <row r="624" s="333" customFormat="1" ht="12.75"/>
    <row r="625" s="333" customFormat="1" ht="12.75"/>
    <row r="626" s="333" customFormat="1" ht="12.75"/>
    <row r="627" s="333" customFormat="1" ht="12.75"/>
    <row r="628" s="333" customFormat="1" ht="12.75"/>
    <row r="629" s="333" customFormat="1" ht="12.75"/>
    <row r="630" s="333" customFormat="1" ht="12.75"/>
    <row r="631" s="333" customFormat="1" ht="12.75"/>
    <row r="632" s="333" customFormat="1" ht="12.75"/>
    <row r="633" s="333" customFormat="1" ht="12.75"/>
    <row r="634" s="333" customFormat="1" ht="12.75"/>
    <row r="635" s="333" customFormat="1" ht="12.75"/>
    <row r="636" s="333" customFormat="1" ht="12.75"/>
    <row r="637" s="333" customFormat="1" ht="12.75"/>
    <row r="638" s="333" customFormat="1" ht="12.75"/>
    <row r="639" s="333" customFormat="1" ht="12.75"/>
    <row r="640" s="333" customFormat="1" ht="12.75"/>
    <row r="641" s="333" customFormat="1" ht="12.75"/>
    <row r="642" s="333" customFormat="1" ht="12.75"/>
    <row r="643" s="333" customFormat="1" ht="12.75"/>
    <row r="644" s="333" customFormat="1" ht="12.75"/>
    <row r="645" s="333" customFormat="1" ht="12.75"/>
    <row r="646" s="333" customFormat="1" ht="12.75"/>
    <row r="647" s="333" customFormat="1" ht="12.75"/>
    <row r="648" s="333" customFormat="1" ht="12.75"/>
    <row r="649" s="333" customFormat="1" ht="12.75"/>
    <row r="650" s="333" customFormat="1" ht="12.75"/>
    <row r="651" s="333" customFormat="1" ht="12.75"/>
    <row r="652" s="333" customFormat="1" ht="12.75"/>
    <row r="653" s="333" customFormat="1" ht="12.75"/>
    <row r="654" s="333" customFormat="1" ht="12.75"/>
    <row r="655" s="333" customFormat="1" ht="12.75"/>
    <row r="656" s="333" customFormat="1" ht="12.75"/>
    <row r="657" s="333" customFormat="1" ht="12.75"/>
    <row r="658" s="333" customFormat="1" ht="12.75"/>
    <row r="659" s="333" customFormat="1" ht="12.75"/>
    <row r="660" s="333" customFormat="1" ht="12.75"/>
    <row r="661" s="333" customFormat="1" ht="12.75"/>
    <row r="662" s="333" customFormat="1" ht="12.75"/>
    <row r="663" s="333" customFormat="1" ht="12.75"/>
    <row r="664" s="333" customFormat="1" ht="12.75"/>
    <row r="665" s="333" customFormat="1" ht="12.75"/>
    <row r="666" s="333" customFormat="1" ht="12.75"/>
    <row r="667" s="333" customFormat="1" ht="12.75"/>
    <row r="668" s="333" customFormat="1" ht="12.75"/>
    <row r="669" s="333" customFormat="1" ht="12.75"/>
    <row r="670" s="333" customFormat="1" ht="12.75"/>
    <row r="671" s="333" customFormat="1" ht="12.75"/>
    <row r="672" s="333" customFormat="1" ht="12.75"/>
    <row r="673" s="333" customFormat="1" ht="12.75"/>
    <row r="674" s="333" customFormat="1" ht="12.75"/>
    <row r="675" s="333" customFormat="1" ht="12.75"/>
    <row r="676" s="333" customFormat="1" ht="12.75"/>
    <row r="677" s="333" customFormat="1" ht="12.75"/>
    <row r="678" s="333" customFormat="1" ht="12.75"/>
    <row r="679" s="333" customFormat="1" ht="12.75"/>
    <row r="680" s="333" customFormat="1" ht="12.75"/>
    <row r="681" s="333" customFormat="1" ht="12.75"/>
    <row r="682" s="333" customFormat="1" ht="12.75"/>
    <row r="683" s="333" customFormat="1" ht="12.75"/>
    <row r="684" s="333" customFormat="1" ht="12.75"/>
    <row r="685" s="333" customFormat="1" ht="12.75"/>
    <row r="686" s="333" customFormat="1" ht="12.75"/>
    <row r="687" s="333" customFormat="1" ht="12.75"/>
    <row r="688" s="333" customFormat="1" ht="12.75"/>
    <row r="689" s="333" customFormat="1" ht="12.75"/>
    <row r="690" s="333" customFormat="1" ht="12.75"/>
    <row r="691" s="333" customFormat="1" ht="12.75"/>
    <row r="692" s="333" customFormat="1" ht="12.75"/>
    <row r="693" s="333" customFormat="1" ht="12.75"/>
    <row r="694" s="333" customFormat="1" ht="12.75"/>
    <row r="695" s="333" customFormat="1" ht="12.75"/>
    <row r="696" s="333" customFormat="1" ht="12.75"/>
    <row r="697" s="333" customFormat="1" ht="12.75"/>
    <row r="698" s="333" customFormat="1" ht="12.75"/>
    <row r="699" s="333" customFormat="1" ht="12.75"/>
    <row r="700" s="333" customFormat="1" ht="12.75"/>
    <row r="701" s="333" customFormat="1" ht="12.75"/>
    <row r="702" s="333" customFormat="1" ht="12.75"/>
    <row r="703" s="333" customFormat="1" ht="12.75"/>
    <row r="704" s="333" customFormat="1" ht="12.75"/>
    <row r="705" s="333" customFormat="1" ht="12.75"/>
    <row r="706" s="333" customFormat="1" ht="12.75"/>
    <row r="707" s="333" customFormat="1" ht="12.75"/>
    <row r="708" s="333" customFormat="1" ht="12.75"/>
    <row r="709" s="333" customFormat="1" ht="12.75"/>
    <row r="710" s="333" customFormat="1" ht="12.75"/>
    <row r="711" s="333" customFormat="1" ht="12.75"/>
    <row r="712" s="333" customFormat="1" ht="12.75"/>
    <row r="713" s="333" customFormat="1" ht="12.75"/>
    <row r="714" s="333" customFormat="1" ht="12.75"/>
    <row r="715" s="333" customFormat="1" ht="12.75"/>
    <row r="716" s="333" customFormat="1" ht="12.75"/>
    <row r="717" s="333" customFormat="1" ht="12.75"/>
    <row r="718" s="333" customFormat="1" ht="12.75"/>
    <row r="719" s="333" customFormat="1" ht="12.75"/>
    <row r="720" s="333" customFormat="1" ht="12.75"/>
    <row r="721" s="333" customFormat="1" ht="12.75"/>
    <row r="722" s="333" customFormat="1" ht="12.75"/>
    <row r="723" s="333" customFormat="1" ht="12.75"/>
    <row r="724" s="333" customFormat="1" ht="12.75"/>
    <row r="725" s="333" customFormat="1" ht="12.75"/>
    <row r="726" s="333" customFormat="1" ht="12.75"/>
    <row r="727" s="333" customFormat="1" ht="12.75"/>
    <row r="728" s="333" customFormat="1" ht="12.75"/>
    <row r="729" s="333" customFormat="1" ht="12.75"/>
    <row r="730" s="333" customFormat="1" ht="12.75"/>
    <row r="731" s="333" customFormat="1" ht="12.75"/>
    <row r="732" s="333" customFormat="1" ht="12.75"/>
    <row r="733" s="333" customFormat="1" ht="12.75"/>
    <row r="734" s="333" customFormat="1" ht="12.75"/>
    <row r="735" s="333" customFormat="1" ht="12.75"/>
    <row r="736" s="333" customFormat="1" ht="12.75"/>
    <row r="737" s="333" customFormat="1" ht="12.75"/>
    <row r="738" s="333" customFormat="1" ht="12.75"/>
    <row r="739" s="333" customFormat="1" ht="12.75"/>
    <row r="740" s="333" customFormat="1" ht="12.75"/>
    <row r="741" s="333" customFormat="1" ht="12.75"/>
    <row r="742" s="333" customFormat="1" ht="12.75"/>
    <row r="743" s="333" customFormat="1" ht="12.75"/>
    <row r="744" s="333" customFormat="1" ht="12.75"/>
    <row r="745" s="333" customFormat="1" ht="12.75"/>
    <row r="746" s="333" customFormat="1" ht="12.75"/>
    <row r="747" s="333" customFormat="1" ht="12.75"/>
    <row r="748" s="333" customFormat="1" ht="12.75"/>
    <row r="749" s="333" customFormat="1" ht="12.75"/>
    <row r="750" s="333" customFormat="1" ht="12.75"/>
    <row r="751" s="333" customFormat="1" ht="12.75"/>
    <row r="752" s="333" customFormat="1" ht="12.75"/>
    <row r="753" s="333" customFormat="1" ht="12.75"/>
    <row r="754" s="333" customFormat="1" ht="12.75"/>
    <row r="755" s="333" customFormat="1" ht="12.75"/>
    <row r="756" s="333" customFormat="1" ht="12.75"/>
    <row r="757" s="333" customFormat="1" ht="12.75"/>
    <row r="758" s="333" customFormat="1" ht="12.75"/>
    <row r="759" s="333" customFormat="1" ht="12.75"/>
    <row r="760" s="333" customFormat="1" ht="12.75"/>
    <row r="761" s="333" customFormat="1" ht="12.75"/>
    <row r="762" s="333" customFormat="1" ht="12.75"/>
    <row r="763" s="333" customFormat="1" ht="12.75"/>
    <row r="764" s="333" customFormat="1" ht="12.75"/>
    <row r="765" s="333" customFormat="1" ht="12.75"/>
    <row r="766" s="333" customFormat="1" ht="12.75"/>
    <row r="767" s="333" customFormat="1" ht="12.75"/>
    <row r="768" s="333" customFormat="1" ht="12.75"/>
    <row r="769" s="333" customFormat="1" ht="12.75"/>
    <row r="770" s="333" customFormat="1" ht="12.75"/>
    <row r="771" s="333" customFormat="1" ht="12.75"/>
    <row r="772" s="333" customFormat="1" ht="12.75"/>
    <row r="773" s="333" customFormat="1" ht="12.75"/>
    <row r="774" s="333" customFormat="1" ht="12.75"/>
    <row r="775" s="333" customFormat="1" ht="12.75"/>
    <row r="776" s="333" customFormat="1" ht="12.75"/>
    <row r="777" s="333" customFormat="1" ht="12.75"/>
    <row r="778" s="333" customFormat="1" ht="12.75"/>
    <row r="779" s="333" customFormat="1" ht="12.75"/>
    <row r="780" s="333" customFormat="1" ht="12.75"/>
    <row r="781" s="333" customFormat="1" ht="12.75"/>
    <row r="782" s="333" customFormat="1" ht="12.75"/>
    <row r="783" s="333" customFormat="1" ht="12.75"/>
    <row r="784" s="333" customFormat="1" ht="12.75"/>
    <row r="785" s="333" customFormat="1" ht="12.75"/>
    <row r="786" s="333" customFormat="1" ht="12.75"/>
    <row r="787" s="333" customFormat="1" ht="12.75"/>
    <row r="788" s="333" customFormat="1" ht="12.75"/>
    <row r="789" s="333" customFormat="1" ht="12.75"/>
    <row r="790" s="333" customFormat="1" ht="12.75"/>
    <row r="791" s="333" customFormat="1" ht="12.75"/>
    <row r="792" s="333" customFormat="1" ht="12.75"/>
    <row r="793" s="333" customFormat="1" ht="12.75"/>
    <row r="794" s="333" customFormat="1" ht="12.75"/>
    <row r="795" s="333" customFormat="1" ht="12.75"/>
    <row r="796" s="333" customFormat="1" ht="12.75"/>
    <row r="797" s="333" customFormat="1" ht="12.75"/>
    <row r="798" s="333" customFormat="1" ht="12.75"/>
    <row r="799" s="333" customFormat="1" ht="12.75"/>
    <row r="800" s="333" customFormat="1" ht="12.75"/>
    <row r="801" s="333" customFormat="1" ht="12.75"/>
    <row r="802" s="333" customFormat="1" ht="12.75"/>
    <row r="803" s="333" customFormat="1" ht="12.75"/>
    <row r="804" s="333" customFormat="1" ht="12.75"/>
    <row r="805" s="333" customFormat="1" ht="12.75"/>
    <row r="806" s="333" customFormat="1" ht="12.75"/>
    <row r="807" s="333" customFormat="1" ht="12.75"/>
    <row r="808" s="333" customFormat="1" ht="12.75"/>
    <row r="809" s="333" customFormat="1" ht="12.75"/>
    <row r="810" s="333" customFormat="1" ht="12.75"/>
    <row r="811" s="333" customFormat="1" ht="12.75"/>
    <row r="812" s="333" customFormat="1" ht="12.75"/>
    <row r="813" s="333" customFormat="1" ht="12.75"/>
    <row r="814" s="333" customFormat="1" ht="12.75"/>
    <row r="815" s="333" customFormat="1" ht="12.75"/>
    <row r="816" s="333" customFormat="1" ht="12.75"/>
    <row r="817" s="333" customFormat="1" ht="12.75"/>
    <row r="818" s="333" customFormat="1" ht="12.75"/>
    <row r="819" s="333" customFormat="1" ht="12.75"/>
    <row r="820" s="333" customFormat="1" ht="12.75"/>
    <row r="821" s="333" customFormat="1" ht="12.75"/>
    <row r="822" s="333" customFormat="1" ht="12.75"/>
    <row r="823" s="333" customFormat="1" ht="12.75"/>
    <row r="824" s="333" customFormat="1" ht="12.75"/>
    <row r="825" s="333" customFormat="1" ht="12.75"/>
    <row r="826" s="333" customFormat="1" ht="12.75"/>
    <row r="827" s="333" customFormat="1" ht="12.75"/>
    <row r="828" s="333" customFormat="1" ht="12.75"/>
    <row r="829" s="333" customFormat="1" ht="12.75"/>
    <row r="830" s="333" customFormat="1" ht="12.75"/>
    <row r="831" s="333" customFormat="1" ht="12.75"/>
    <row r="832" s="333" customFormat="1" ht="12.75"/>
    <row r="833" s="333" customFormat="1" ht="12.75"/>
    <row r="834" s="333" customFormat="1" ht="12.75"/>
    <row r="835" s="333" customFormat="1" ht="12.75"/>
    <row r="836" s="333" customFormat="1" ht="12.75"/>
    <row r="837" s="333" customFormat="1" ht="12.75"/>
    <row r="838" s="333" customFormat="1" ht="12.75"/>
    <row r="839" s="333" customFormat="1" ht="12.75"/>
    <row r="840" s="333" customFormat="1" ht="12.75"/>
    <row r="841" s="333" customFormat="1" ht="12.75"/>
    <row r="842" s="333" customFormat="1" ht="12.75"/>
    <row r="843" s="333" customFormat="1" ht="12.75"/>
    <row r="844" s="333" customFormat="1" ht="12.75"/>
    <row r="845" s="333" customFormat="1" ht="12.75"/>
    <row r="846" s="333" customFormat="1" ht="12.75"/>
    <row r="847" s="333" customFormat="1" ht="12.75"/>
    <row r="848" s="333" customFormat="1" ht="12.75"/>
    <row r="849" s="333" customFormat="1" ht="12.75"/>
    <row r="850" s="333" customFormat="1" ht="12.75"/>
    <row r="851" s="333" customFormat="1" ht="12.75"/>
    <row r="852" s="333" customFormat="1" ht="12.75"/>
    <row r="853" s="333" customFormat="1" ht="12.75"/>
    <row r="854" s="333" customFormat="1" ht="12.75"/>
    <row r="855" s="333" customFormat="1" ht="12.75"/>
    <row r="856" s="333" customFormat="1" ht="12.75"/>
    <row r="857" s="333" customFormat="1" ht="12.75"/>
    <row r="858" s="333" customFormat="1" ht="12.75"/>
    <row r="859" s="333" customFormat="1" ht="12.75"/>
    <row r="860" s="333" customFormat="1" ht="12.75"/>
    <row r="861" s="333" customFormat="1" ht="12.75"/>
    <row r="862" s="333" customFormat="1" ht="12.75"/>
    <row r="863" s="333" customFormat="1" ht="12.75"/>
    <row r="864" s="333" customFormat="1" ht="12.75"/>
    <row r="865" s="333" customFormat="1" ht="12.75"/>
    <row r="866" s="333" customFormat="1" ht="12.75"/>
    <row r="867" s="333" customFormat="1" ht="12.75"/>
    <row r="868" s="333" customFormat="1" ht="12.75"/>
    <row r="869" s="333" customFormat="1" ht="12.75"/>
    <row r="870" s="333" customFormat="1" ht="12.75"/>
    <row r="871" s="333" customFormat="1" ht="12.75"/>
    <row r="872" s="333" customFormat="1" ht="12.75"/>
    <row r="873" s="333" customFormat="1" ht="12.75"/>
    <row r="874" s="333" customFormat="1" ht="12.75"/>
    <row r="875" s="333" customFormat="1" ht="12.75"/>
    <row r="876" s="333" customFormat="1" ht="12.75"/>
    <row r="877" s="333" customFormat="1" ht="12.75"/>
    <row r="878" s="333" customFormat="1" ht="12.75"/>
    <row r="879" s="333" customFormat="1" ht="12.75"/>
    <row r="880" s="333" customFormat="1" ht="12.75"/>
    <row r="881" s="333" customFormat="1" ht="12.75"/>
    <row r="882" s="333" customFormat="1" ht="12.75"/>
    <row r="883" s="333" customFormat="1" ht="12.75"/>
    <row r="884" s="333" customFormat="1" ht="12.75"/>
    <row r="885" s="333" customFormat="1" ht="12.75"/>
    <row r="886" s="333" customFormat="1" ht="12.75"/>
    <row r="887" s="333" customFormat="1" ht="12.75"/>
    <row r="888" s="333" customFormat="1" ht="12.75"/>
    <row r="889" s="333" customFormat="1" ht="12.75"/>
    <row r="890" s="333" customFormat="1" ht="12.75"/>
    <row r="891" s="333" customFormat="1" ht="12.75"/>
    <row r="892" s="333" customFormat="1" ht="12.75"/>
    <row r="893" s="333" customFormat="1" ht="12.75"/>
    <row r="894" s="333" customFormat="1" ht="12.75"/>
    <row r="895" s="333" customFormat="1" ht="12.75"/>
    <row r="896" s="333" customFormat="1" ht="12.75"/>
    <row r="897" s="333" customFormat="1" ht="12.75"/>
    <row r="898" s="333" customFormat="1" ht="12.75"/>
    <row r="899" s="333" customFormat="1" ht="12.75"/>
    <row r="900" s="333" customFormat="1" ht="12.75"/>
    <row r="901" s="333" customFormat="1" ht="12.75"/>
    <row r="902" s="333" customFormat="1" ht="12.75"/>
    <row r="903" s="333" customFormat="1" ht="12.75"/>
    <row r="904" s="333" customFormat="1" ht="12.75"/>
    <row r="905" s="333" customFormat="1" ht="12.75"/>
    <row r="906" s="333" customFormat="1" ht="12.75"/>
    <row r="907" s="333" customFormat="1" ht="12.75"/>
    <row r="908" s="333" customFormat="1" ht="12.75"/>
    <row r="909" s="333" customFormat="1" ht="12.75"/>
    <row r="910" s="333" customFormat="1" ht="12.75"/>
    <row r="911" s="333" customFormat="1" ht="12.75"/>
    <row r="912" s="333" customFormat="1" ht="12.75"/>
    <row r="913" s="333" customFormat="1" ht="12.75"/>
    <row r="914" s="333" customFormat="1" ht="12.75"/>
    <row r="915" s="333" customFormat="1" ht="12.75"/>
    <row r="916" s="333" customFormat="1" ht="12.75"/>
    <row r="917" s="333" customFormat="1" ht="12.75"/>
    <row r="918" s="333" customFormat="1" ht="12.75"/>
    <row r="919" s="333" customFormat="1" ht="12.75"/>
    <row r="920" s="333" customFormat="1" ht="12.75"/>
    <row r="921" s="333" customFormat="1" ht="12.75"/>
    <row r="922" s="333" customFormat="1" ht="12.75"/>
    <row r="923" s="333" customFormat="1" ht="12.75"/>
    <row r="924" s="333" customFormat="1" ht="12.75"/>
    <row r="925" s="333" customFormat="1" ht="12.75"/>
    <row r="926" s="333" customFormat="1" ht="12.75"/>
    <row r="927" s="333" customFormat="1" ht="12.75"/>
    <row r="928" s="333" customFormat="1" ht="12.75"/>
    <row r="929" s="333" customFormat="1" ht="12.75"/>
    <row r="930" s="333" customFormat="1" ht="12.75"/>
    <row r="931" s="333" customFormat="1" ht="12.75"/>
    <row r="932" s="333" customFormat="1" ht="12.75"/>
    <row r="933" s="333" customFormat="1" ht="12.75"/>
    <row r="934" s="333" customFormat="1" ht="12.75"/>
    <row r="935" s="333" customFormat="1" ht="12.75"/>
    <row r="936" s="333" customFormat="1" ht="12.75"/>
    <row r="937" s="333" customFormat="1" ht="12.75"/>
    <row r="938" s="333" customFormat="1" ht="12.75"/>
    <row r="939" s="333" customFormat="1" ht="12.75"/>
    <row r="940" s="333" customFormat="1" ht="12.75"/>
    <row r="941" s="333" customFormat="1" ht="12.75"/>
    <row r="942" s="333" customFormat="1" ht="12.75"/>
    <row r="943" s="333" customFormat="1" ht="12.75"/>
    <row r="944" s="333" customFormat="1" ht="12.75"/>
    <row r="945" s="333" customFormat="1" ht="12.75"/>
    <row r="946" s="333" customFormat="1" ht="12.75"/>
    <row r="947" s="333" customFormat="1" ht="12.75"/>
    <row r="948" s="333" customFormat="1" ht="12.75"/>
    <row r="949" s="333" customFormat="1" ht="12.75"/>
    <row r="950" s="333" customFormat="1" ht="12.75"/>
    <row r="951" s="333" customFormat="1" ht="12.75"/>
    <row r="952" s="333" customFormat="1" ht="12.75"/>
    <row r="953" s="333" customFormat="1" ht="12.75"/>
    <row r="954" s="333" customFormat="1" ht="12.75"/>
    <row r="955" s="333" customFormat="1" ht="12.75"/>
    <row r="956" s="333" customFormat="1" ht="12.75"/>
    <row r="957" s="333" customFormat="1" ht="12.75"/>
    <row r="958" s="333" customFormat="1" ht="12.75"/>
    <row r="959" s="333" customFormat="1" ht="12.75"/>
    <row r="960" s="333" customFormat="1" ht="12.75"/>
    <row r="961" s="333" customFormat="1" ht="12.75"/>
    <row r="962" s="333" customFormat="1" ht="12.75"/>
    <row r="963" s="333" customFormat="1" ht="12.75"/>
    <row r="964" s="333" customFormat="1" ht="12.75"/>
    <row r="965" s="333" customFormat="1" ht="12.75"/>
    <row r="966" s="333" customFormat="1" ht="12.75"/>
    <row r="967" s="333" customFormat="1" ht="12.75"/>
    <row r="968" s="333" customFormat="1" ht="12.75"/>
    <row r="969" s="333" customFormat="1" ht="12.75"/>
    <row r="970" s="333" customFormat="1" ht="12.75"/>
    <row r="971" s="333" customFormat="1" ht="12.75"/>
    <row r="972" s="333" customFormat="1" ht="12.75"/>
    <row r="973" s="333" customFormat="1" ht="12.75"/>
    <row r="974" s="333" customFormat="1" ht="12.75"/>
    <row r="975" s="333" customFormat="1" ht="12.75"/>
    <row r="976" s="333" customFormat="1" ht="12.75"/>
    <row r="977" s="333" customFormat="1" ht="12.75"/>
    <row r="978" s="333" customFormat="1" ht="12.75"/>
    <row r="979" s="333" customFormat="1" ht="12.75"/>
    <row r="980" s="333" customFormat="1" ht="12.75"/>
    <row r="981" s="333" customFormat="1" ht="12.75"/>
    <row r="982" s="333" customFormat="1" ht="12.75"/>
    <row r="983" s="333" customFormat="1" ht="12.75"/>
    <row r="984" s="333" customFormat="1" ht="12.75"/>
    <row r="985" s="333" customFormat="1" ht="12.75"/>
    <row r="986" s="333" customFormat="1" ht="12.75"/>
    <row r="987" s="333" customFormat="1" ht="12.75"/>
    <row r="988" s="333" customFormat="1" ht="12.75"/>
    <row r="989" s="333" customFormat="1" ht="12.75"/>
    <row r="990" s="333" customFormat="1" ht="12.75"/>
    <row r="991" s="333" customFormat="1" ht="12.75"/>
    <row r="992" s="333" customFormat="1" ht="12.75"/>
    <row r="993" s="333" customFormat="1" ht="12.75"/>
    <row r="994" s="333" customFormat="1" ht="12.75"/>
    <row r="995" s="333" customFormat="1" ht="12.75"/>
    <row r="996" s="333" customFormat="1" ht="12.75"/>
    <row r="997" s="333" customFormat="1" ht="12.75"/>
    <row r="998" s="333" customFormat="1" ht="12.75"/>
    <row r="999" s="357" customFormat="1" ht="12.75"/>
  </sheetData>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5">
    <tabColor theme="2" tint="-0.249977111117893"/>
    <outlinePr summaryBelow="0"/>
  </sheetPr>
  <dimension ref="A1:M1001"/>
  <sheetViews>
    <sheetView workbookViewId="0">
      <pane ySplit="12" topLeftCell="A40" activePane="bottomLeft" state="frozen"/>
      <selection activeCell="E31" sqref="E31"/>
      <selection pane="bottomLeft" activeCell="A9" sqref="A9"/>
    </sheetView>
  </sheetViews>
  <sheetFormatPr defaultColWidth="11.28515625" defaultRowHeight="15" outlineLevelRow="1"/>
  <cols>
    <col min="1" max="1" width="33" customWidth="1"/>
    <col min="2" max="2" width="2" customWidth="1"/>
    <col min="3" max="22" width="12.7109375" customWidth="1"/>
  </cols>
  <sheetData>
    <row r="1" spans="1:12" s="332" customFormat="1" ht="12.75" hidden="1">
      <c r="A1" s="331"/>
    </row>
    <row r="2" spans="1:12" s="334" customFormat="1" ht="12.75" hidden="1">
      <c r="A2" s="333"/>
    </row>
    <row r="3" spans="1:12" s="334" customFormat="1" ht="12.75" hidden="1">
      <c r="A3" s="333" t="s">
        <v>35</v>
      </c>
    </row>
    <row r="4" spans="1:12" s="336" customFormat="1" ht="28.35" customHeight="1">
      <c r="A4" s="335"/>
      <c r="K4" s="337" t="str">
        <f>HYPERLINK("fdsup://FactSet/LN Income Statement/?action=set_identifier&amp;identifier="&amp;B8,"Open the report in the workstation")</f>
        <v>Open the report in the workstation</v>
      </c>
    </row>
    <row r="5" spans="1:12" s="340" customFormat="1" ht="26.1" customHeight="1">
      <c r="A5" s="338" t="s">
        <v>35</v>
      </c>
      <c r="B5" s="358" t="str" cm="1">
        <f t="array" ref="B5">_xll.FDSRC("-",$B$8,"CE_NAME()")</f>
        <v>Delta Air Lines, Inc.</v>
      </c>
    </row>
    <row r="6" spans="1:12" s="343" customFormat="1" ht="16.350000000000001" customHeight="1">
      <c r="A6" s="341" t="s">
        <v>354</v>
      </c>
      <c r="B6" s="342" t="str" cm="1">
        <f t="array" ref="B6">_xll.FDSRC("-",$B$8,"CE_TICKER_HEADER()")</f>
        <v xml:space="preserve">DAL   247361702   B1W9D46   NYSE    Common stock    </v>
      </c>
    </row>
    <row r="7" spans="1:12" s="334" customFormat="1" ht="12.75">
      <c r="A7" s="1055" t="s">
        <v>355</v>
      </c>
    </row>
    <row r="8" spans="1:12" s="334" customFormat="1" ht="12.75">
      <c r="A8" s="344" t="s">
        <v>356</v>
      </c>
      <c r="B8" s="345" t="str">
        <f>'At a Glance'!CPYATGLANCEFF_RWIdentifier</f>
        <v>DAL-US</v>
      </c>
      <c r="C8" s="346"/>
      <c r="D8" s="346"/>
      <c r="E8" s="346"/>
      <c r="F8" s="346"/>
      <c r="G8" s="346"/>
      <c r="H8" s="346"/>
      <c r="I8" s="346"/>
      <c r="J8" s="346"/>
      <c r="K8" s="346"/>
      <c r="L8" s="346"/>
    </row>
    <row r="9" spans="1:12" s="334" customFormat="1" ht="12.75">
      <c r="A9" s="347"/>
      <c r="B9" s="348"/>
      <c r="C9" s="346">
        <v>43738</v>
      </c>
      <c r="D9" s="346">
        <f>C9-365</f>
        <v>43373</v>
      </c>
      <c r="E9" s="346"/>
      <c r="F9" s="346"/>
      <c r="G9" s="346"/>
      <c r="H9" s="346"/>
      <c r="I9" s="346"/>
      <c r="J9" s="346"/>
      <c r="K9" s="346"/>
      <c r="L9" s="346"/>
    </row>
    <row r="10" spans="1:12" s="334" customFormat="1" ht="12.75">
      <c r="A10" s="347"/>
      <c r="B10" s="349"/>
      <c r="C10" s="346"/>
      <c r="D10" s="346"/>
      <c r="E10" s="346"/>
      <c r="F10" s="346"/>
      <c r="G10" s="346"/>
      <c r="H10" s="346"/>
      <c r="I10" s="346"/>
      <c r="J10" s="346"/>
      <c r="K10" s="346"/>
      <c r="L10" s="346"/>
    </row>
    <row r="11" spans="1:12" s="352" customFormat="1" ht="12.75">
      <c r="A11" s="350"/>
      <c r="B11" s="351"/>
      <c r="C11" s="351" t="str">
        <f t="array" ref="C11:L11">_xll.FDSRC("-",$B$8,"FF_FP_END_DATE('ANN','0','-9',,RP)")</f>
        <v>12/2020</v>
      </c>
      <c r="D11" s="351" t="str">
        <v>12/2019</v>
      </c>
      <c r="E11" s="351" t="str">
        <v>12/2018</v>
      </c>
      <c r="F11" s="351" t="str">
        <v>12/2017</v>
      </c>
      <c r="G11" s="351" t="str">
        <v>12/2016</v>
      </c>
      <c r="H11" s="351" t="str">
        <v>12/2015</v>
      </c>
      <c r="I11" s="351" t="str">
        <v>12/2014</v>
      </c>
      <c r="J11" s="351" t="str">
        <v>12/2013</v>
      </c>
      <c r="K11" s="351" t="str">
        <v>12/2012</v>
      </c>
      <c r="L11" s="351" t="str">
        <v>12/2011</v>
      </c>
    </row>
    <row r="12" spans="1:12" s="352" customFormat="1" ht="12.75">
      <c r="A12" s="350"/>
      <c r="B12" s="359"/>
      <c r="C12" s="351" t="str">
        <f t="array" ref="C12:L12">_xll.FDSRC("-",$B$8,"INT_ARRAY(FF_FY_LENGTH_DAYS('ANN','0','-9'))+"" Days""")</f>
        <v>366 DAYS</v>
      </c>
      <c r="D12" s="351" t="str">
        <v>365 DAYS</v>
      </c>
      <c r="E12" s="351" t="str">
        <v>365 DAYS</v>
      </c>
      <c r="F12" s="351" t="str">
        <v>365 DAYS</v>
      </c>
      <c r="G12" s="351" t="str">
        <v>366 DAYS</v>
      </c>
      <c r="H12" s="351" t="str">
        <v>365 DAYS</v>
      </c>
      <c r="I12" s="351" t="str">
        <v>365 DAYS</v>
      </c>
      <c r="J12" s="351" t="str">
        <v>365 DAYS</v>
      </c>
      <c r="K12" s="351" t="str">
        <v>366 DAYS</v>
      </c>
      <c r="L12" s="351" t="str">
        <v>365 DAYS</v>
      </c>
    </row>
    <row r="13" spans="1:12" s="355" customFormat="1" ht="12.75">
      <c r="A13" s="353" t="s">
        <v>35</v>
      </c>
      <c r="B13" s="354"/>
      <c r="C13" s="360"/>
      <c r="D13" s="360"/>
      <c r="E13" s="360"/>
      <c r="F13" s="360"/>
      <c r="G13" s="360"/>
      <c r="H13" s="360"/>
      <c r="I13" s="360"/>
      <c r="J13" s="360"/>
      <c r="K13" s="360"/>
      <c r="L13" s="360"/>
    </row>
    <row r="14" spans="1:12" s="355" customFormat="1" ht="12.75">
      <c r="A14" s="353" t="s">
        <v>135</v>
      </c>
      <c r="B14" s="356" cm="1">
        <f t="array" ref="B14">_xll.FDSRC("-",$B$8,"FF_SALES('LTM','0','0','QUARTERLY',RP,'LOCAL','B')")</f>
        <v>24.402999999999999</v>
      </c>
      <c r="C14" s="356">
        <f t="array" ref="C14:L14">_xll.FDSRC("-",$B$8,"FF_SALES('ANN','0','-9','YEARLY',RP,'LOCAL','B')")</f>
        <v>17.094999999999999</v>
      </c>
      <c r="D14" s="356">
        <v>47.006</v>
      </c>
      <c r="E14" s="356">
        <v>44.441000000000003</v>
      </c>
      <c r="F14" s="356">
        <v>41.234000000000002</v>
      </c>
      <c r="G14" s="356">
        <v>39.601999999999997</v>
      </c>
      <c r="H14" s="356">
        <v>40.506</v>
      </c>
      <c r="I14" s="356">
        <v>40.204000000000001</v>
      </c>
      <c r="J14" s="356">
        <v>37.637999999999998</v>
      </c>
      <c r="K14" s="356">
        <v>36.695</v>
      </c>
      <c r="L14" s="356">
        <v>35.115000000000002</v>
      </c>
    </row>
    <row r="15" spans="1:12" s="334" customFormat="1" ht="12.75" outlineLevel="1">
      <c r="A15" s="347" t="s">
        <v>403</v>
      </c>
      <c r="B15" s="351" cm="1">
        <f t="array" ref="B15">_xll.FDSRC("-",$B$8,"FF_COGS('LTM','0','0','QUARTERLY',RP,'LOCAL','B')")</f>
        <v>27.09</v>
      </c>
      <c r="C15" s="351">
        <f t="array" ref="C15:L15">_xll.FDSRC("-",$B$8,"FF_COGS('ANN','0','-9','YEARLY',RP,'LOCAL','B')")</f>
        <v>23.631</v>
      </c>
      <c r="D15" s="351">
        <v>36.584000000000003</v>
      </c>
      <c r="E15" s="351">
        <v>35.51</v>
      </c>
      <c r="F15" s="351">
        <v>31.013000000000002</v>
      </c>
      <c r="G15" s="351">
        <v>28.625</v>
      </c>
      <c r="H15" s="351">
        <v>28.456</v>
      </c>
      <c r="I15" s="351">
        <v>31.943000000000001</v>
      </c>
      <c r="J15" s="351">
        <v>31.341000000000001</v>
      </c>
      <c r="K15" s="351">
        <v>30.795000000000002</v>
      </c>
      <c r="L15" s="351">
        <v>29.744</v>
      </c>
    </row>
    <row r="16" spans="1:12" s="334" customFormat="1" ht="12.75">
      <c r="A16" s="347" t="s">
        <v>148</v>
      </c>
      <c r="B16" s="351" cm="1">
        <f t="array" ref="B16">_xll.FDSRC("-",$B$8,"FF_GROSS_INC('LTM','0','0','QUARTERLY',RP,'LOCAL','B')")</f>
        <v>-2.6869999999999998</v>
      </c>
      <c r="C16" s="351">
        <f t="array" ref="C16:L16">_xll.FDSRC("-",$B$8,"FF_GROSS_INC('ANN','0','-9','YEARLY',RP,'LOCAL','B')")</f>
        <v>-6.5359999999999996</v>
      </c>
      <c r="D16" s="351">
        <v>10.422000000000001</v>
      </c>
      <c r="E16" s="351">
        <v>8.9309999999999992</v>
      </c>
      <c r="F16" s="351">
        <v>10.221</v>
      </c>
      <c r="G16" s="351">
        <v>10.977</v>
      </c>
      <c r="H16" s="351">
        <v>12.05</v>
      </c>
      <c r="I16" s="351">
        <v>8.2609999999999992</v>
      </c>
      <c r="J16" s="351">
        <v>6.2969999999999997</v>
      </c>
      <c r="K16" s="351">
        <v>5.9</v>
      </c>
      <c r="L16" s="351">
        <v>5.3710000000000004</v>
      </c>
    </row>
    <row r="17" spans="1:13" s="334" customFormat="1" ht="12.75" outlineLevel="1">
      <c r="A17" s="347" t="s">
        <v>404</v>
      </c>
      <c r="B17" s="351" cm="1">
        <f t="array" ref="B17">_xll.FDSRC("-",$B$8,"FF_SGA('LTM','0','0','QUARTERLY',RP,'LOCAL','B')")</f>
        <v>0.72399999999999998</v>
      </c>
      <c r="C17" s="351">
        <f t="array" ref="C17:L17">_xll.FDSRC("-",$B$8,"FF_SGA('ANN','0','-9','YEARLY',RP,'LOCAL','B')")</f>
        <v>0.58199999999999996</v>
      </c>
      <c r="D17" s="351">
        <v>1.9930000000000001</v>
      </c>
      <c r="E17" s="351">
        <v>1.9410000000000001</v>
      </c>
      <c r="F17" s="351">
        <v>1.7869999999999999</v>
      </c>
      <c r="G17" s="351">
        <v>1.71</v>
      </c>
      <c r="H17" s="351">
        <v>1.6719999999999999</v>
      </c>
      <c r="I17" s="351">
        <v>1.7</v>
      </c>
      <c r="J17" s="351">
        <v>1.603</v>
      </c>
      <c r="K17" s="351">
        <v>1.59</v>
      </c>
      <c r="L17" s="351">
        <v>1.6819999999999999</v>
      </c>
    </row>
    <row r="18" spans="1:13" s="355" customFormat="1" ht="12.75">
      <c r="A18" s="344" t="s">
        <v>405</v>
      </c>
      <c r="B18" s="356" cm="1">
        <f t="array" ref="B18">_xll.FDSRC("-",$B$8,"FF_EBIT_OPER('LTM','0','0','QUARTERLY',RP,'LOCAL','B')")</f>
        <v>-4.6379999999999999</v>
      </c>
      <c r="C18" s="356">
        <f t="array" ref="C18:L18">_xll.FDSRC("-",$B$8,"FF_EBIT_OPER('ANN','0','-9','YEARLY',RP,'LOCAL','B')")</f>
        <v>-8.2810000000000006</v>
      </c>
      <c r="D18" s="356">
        <v>6.6580000000000004</v>
      </c>
      <c r="E18" s="356">
        <v>5.2670000000000003</v>
      </c>
      <c r="F18" s="356">
        <v>6.1849999999999996</v>
      </c>
      <c r="G18" s="356">
        <v>7.2809999999999997</v>
      </c>
      <c r="H18" s="356">
        <v>8.3800000000000008</v>
      </c>
      <c r="I18" s="356">
        <v>4.7640000000000002</v>
      </c>
      <c r="J18" s="356">
        <v>3.1739999999999999</v>
      </c>
      <c r="K18" s="356">
        <v>2.718</v>
      </c>
      <c r="L18" s="356">
        <v>1.7969999999999999</v>
      </c>
    </row>
    <row r="19" spans="1:13" s="334" customFormat="1" ht="12.75" outlineLevel="1">
      <c r="A19" s="347" t="s">
        <v>406</v>
      </c>
      <c r="B19" s="351" cm="1">
        <f t="array" ref="B19">_xll.FDSRC("-",$B$8,"FF_NON_OPER_INC('LTM','0','0','QUARTERLY',RP,'LOCAL','B')")</f>
        <v>0.371</v>
      </c>
      <c r="C19" s="351">
        <f t="array" ref="C19:L19">_xll.FDSRC("-",$B$8,"FF_NON_OPER_INC('ANN','0','-9','YEARLY',RP,'LOCAL','B')")</f>
        <v>0.27400000000000002</v>
      </c>
      <c r="D19" s="351">
        <v>-0.128</v>
      </c>
      <c r="E19" s="351">
        <v>0.18099999999999999</v>
      </c>
      <c r="F19" s="351">
        <v>-7.0000000000000001E-3</v>
      </c>
      <c r="G19" s="351">
        <v>-6.0000000000000001E-3</v>
      </c>
      <c r="H19" s="351">
        <v>8.0000000000000002E-3</v>
      </c>
      <c r="I19" s="351">
        <v>4.4999999999999998E-2</v>
      </c>
      <c r="J19" s="351">
        <v>0.114</v>
      </c>
      <c r="K19" s="351">
        <v>-4.2000000000000003E-2</v>
      </c>
      <c r="L19" s="351">
        <v>-1E-3</v>
      </c>
    </row>
    <row r="20" spans="1:13" s="334" customFormat="1" ht="12.75" outlineLevel="1">
      <c r="A20" s="347" t="s">
        <v>45</v>
      </c>
      <c r="B20" s="351" cm="1">
        <f t="array" ref="B20">_xll.FDSRC("-",$B$8,"FF_INT_EXP_NET('LTM','0','0','QUARTERLY',RP,'LOCAL','B')")</f>
        <v>1.3779999999999999</v>
      </c>
      <c r="C20" s="351">
        <f t="array" ref="C20:L20">_xll.FDSRC("-",$B$8,"FF_INT_EXP_NET('ANN','0','-9','YEARLY',RP,'LOCAL','B')")</f>
        <v>0.92900000000000005</v>
      </c>
      <c r="D20" s="351">
        <v>0.30099999999999999</v>
      </c>
      <c r="E20" s="351">
        <v>0.311</v>
      </c>
      <c r="F20" s="351">
        <v>0.39600000000000002</v>
      </c>
      <c r="G20" s="351">
        <v>0.38800000000000001</v>
      </c>
      <c r="H20" s="351">
        <v>0.48099999999999998</v>
      </c>
      <c r="I20" s="351">
        <v>0.61899999999999999</v>
      </c>
      <c r="J20" s="351">
        <v>0.85199999999999998</v>
      </c>
      <c r="K20" s="351">
        <v>1</v>
      </c>
      <c r="L20" s="351">
        <v>1.0940000000000001</v>
      </c>
    </row>
    <row r="21" spans="1:13" s="334" customFormat="1" ht="12.75" outlineLevel="1">
      <c r="A21" s="347" t="s">
        <v>407</v>
      </c>
      <c r="B21" s="351" cm="1">
        <f t="array" ref="B21">_xll.FDSRC("-",$B$8,"FF_UNUSUAL_EXP('LTM','0','0','QUARTERLY',RP,'LOCAL','B')")</f>
        <v>-5.33</v>
      </c>
      <c r="C21" s="351">
        <f t="array" ref="C21:L21">_xll.FDSRC("-",$B$8,"FF_UNUSUAL_EXP('ANN','0','-9','YEARLY',RP,'LOCAL','B')")</f>
        <v>6.6509999999999998</v>
      </c>
      <c r="D21" s="351">
        <v>3.1E-2</v>
      </c>
      <c r="E21" s="351">
        <v>-1.4E-2</v>
      </c>
      <c r="F21" s="351">
        <v>8.1000000000000003E-2</v>
      </c>
      <c r="G21" s="351">
        <v>0.251</v>
      </c>
      <c r="H21" s="351">
        <v>0.75</v>
      </c>
      <c r="I21" s="351">
        <v>3.1179999999999999</v>
      </c>
      <c r="J21" s="351">
        <v>-9.0999999999999998E-2</v>
      </c>
      <c r="K21" s="351">
        <v>0.65100000000000002</v>
      </c>
      <c r="L21" s="351">
        <v>-6.7000000000000004E-2</v>
      </c>
    </row>
    <row r="22" spans="1:13" s="334" customFormat="1" ht="12.75" outlineLevel="1">
      <c r="A22" s="347" t="s">
        <v>408</v>
      </c>
      <c r="B22" s="351" cm="1">
        <f t="array" ref="B22">_xll.FDSRC("-",$B$8,"FF_INC_TAX('LTM','0','0','QUARTERLY',RP,'LOCAL','B')")</f>
        <v>-0.247</v>
      </c>
      <c r="C22" s="351">
        <f t="array" ref="C22:L22">_xll.FDSRC("-",$B$8,"FF_INC_TAX('ANN','0','-9','YEARLY',RP,'LOCAL','B')")</f>
        <v>-3.202</v>
      </c>
      <c r="D22" s="351">
        <v>1.431</v>
      </c>
      <c r="E22" s="351">
        <v>1.216</v>
      </c>
      <c r="F22" s="351">
        <v>2.1240000000000001</v>
      </c>
      <c r="G22" s="351">
        <v>2.2629999999999999</v>
      </c>
      <c r="H22" s="351">
        <v>2.6309999999999998</v>
      </c>
      <c r="I22" s="351">
        <v>0.41299999999999998</v>
      </c>
      <c r="J22" s="351">
        <v>-8.0129999999999999</v>
      </c>
      <c r="K22" s="351">
        <v>1.6E-2</v>
      </c>
      <c r="L22" s="351">
        <v>-8.5000000000000006E-2</v>
      </c>
    </row>
    <row r="23" spans="1:13" s="334" customFormat="1" ht="12.75">
      <c r="A23" s="347" t="s">
        <v>409</v>
      </c>
      <c r="B23" s="351" cm="1">
        <f t="array" ref="B23">_xll.FDSRC("-",$B$8,"FF_CONSOL_NET_INC('LTM','0','0','QUARTERLY',RP,'LOCAL','B')")</f>
        <v>-6.8000000000000005E-2</v>
      </c>
      <c r="C23" s="351">
        <f t="array" ref="C23:L23">_xll.FDSRC("-",$B$8,"FF_CONSOL_NET_INC('ANN','0','-9','YEARLY',RP,'LOCAL','B')")</f>
        <v>-12.385</v>
      </c>
      <c r="D23" s="351">
        <v>4.7670000000000003</v>
      </c>
      <c r="E23" s="351">
        <v>3.9350000000000001</v>
      </c>
      <c r="F23" s="351">
        <v>3.577</v>
      </c>
      <c r="G23" s="351">
        <v>4.3730000000000002</v>
      </c>
      <c r="H23" s="351">
        <v>4.5259999999999998</v>
      </c>
      <c r="I23" s="351">
        <v>0.65900000000000003</v>
      </c>
      <c r="J23" s="351">
        <v>10.54</v>
      </c>
      <c r="K23" s="351">
        <v>1.0089999999999999</v>
      </c>
      <c r="L23" s="351">
        <v>0.85399999999999998</v>
      </c>
    </row>
    <row r="24" spans="1:13" s="334" customFormat="1" ht="12.75">
      <c r="A24" s="347" t="s">
        <v>410</v>
      </c>
      <c r="B24" s="351" cm="1">
        <f t="array" ref="B24">_xll.FDSRC("-",$B$8,"FF_NET_INC('LTM','0','0','QUARTERLY',RP,'LOCAL','B')")</f>
        <v>-6.8000000000000005E-2</v>
      </c>
      <c r="C24" s="351">
        <f t="array" ref="C24:L24">_xll.FDSRC("-",$B$8,"FF_NET_INC('ANN','0','-9','YEARLY',RP,'LOCAL','B')")</f>
        <v>-12.385</v>
      </c>
      <c r="D24" s="351">
        <v>4.7670000000000003</v>
      </c>
      <c r="E24" s="351">
        <v>3.9350000000000001</v>
      </c>
      <c r="F24" s="351">
        <v>3.577</v>
      </c>
      <c r="G24" s="351">
        <v>4.3730000000000002</v>
      </c>
      <c r="H24" s="351">
        <v>4.5259999999999998</v>
      </c>
      <c r="I24" s="351">
        <v>0.65900000000000003</v>
      </c>
      <c r="J24" s="351">
        <v>10.54</v>
      </c>
      <c r="K24" s="351">
        <v>1.0089999999999999</v>
      </c>
      <c r="L24" s="351">
        <v>0.85399999999999998</v>
      </c>
    </row>
    <row r="25" spans="1:13" s="355" customFormat="1" ht="12.75" outlineLevel="1">
      <c r="A25" s="344" t="s">
        <v>411</v>
      </c>
      <c r="B25" s="356" cm="1">
        <f t="array" ref="B25">_xll.FDSRC("-",$B$8,"FF_NET_INC_BASIC('LTM','0','0','QUARTERLY',RP,'LOCAL','B')")</f>
        <v>-6.8000000000000005E-2</v>
      </c>
      <c r="C25" s="356">
        <f t="array" ref="C25:L25">_xll.FDSRC("-",$B$8,"FF_NET_INC_BASIC('ANN','0','-9','YEARLY',RP,'LOCAL','B')")</f>
        <v>-12.385</v>
      </c>
      <c r="D25" s="356">
        <v>4.7670000000000003</v>
      </c>
      <c r="E25" s="356">
        <v>3.9350000000000001</v>
      </c>
      <c r="F25" s="356">
        <v>3.577</v>
      </c>
      <c r="G25" s="356">
        <v>4.3730000000000002</v>
      </c>
      <c r="H25" s="356">
        <v>4.5259999999999998</v>
      </c>
      <c r="I25" s="356">
        <v>0.65900000000000003</v>
      </c>
      <c r="J25" s="356">
        <v>10.54</v>
      </c>
      <c r="K25" s="356">
        <v>1.0089999999999999</v>
      </c>
      <c r="L25" s="356">
        <v>0.85399999999999998</v>
      </c>
      <c r="M25" s="361"/>
    </row>
    <row r="26" spans="1:13" s="334" customFormat="1" ht="12.75">
      <c r="A26" s="347" t="s">
        <v>150</v>
      </c>
      <c r="B26" s="362"/>
      <c r="C26" s="362"/>
      <c r="D26" s="346"/>
      <c r="E26" s="346"/>
      <c r="F26" s="346"/>
      <c r="G26" s="346"/>
      <c r="H26" s="346"/>
      <c r="I26" s="346"/>
      <c r="J26" s="346"/>
      <c r="K26" s="346"/>
      <c r="L26" s="346"/>
    </row>
    <row r="27" spans="1:13" s="334" customFormat="1" ht="12.75" outlineLevel="1">
      <c r="A27" s="347" t="s">
        <v>412</v>
      </c>
      <c r="B27" s="351" cm="1">
        <f t="array" ref="B27">_xll.FDSRC("-",$B$8,"FF_EPS_DIL_BEF_UNUSUAL('LTM','0','0','QUARTERLY',RP,'LOCAL','B')")</f>
        <v>-5.9266770670826796</v>
      </c>
      <c r="C27" s="351">
        <f t="array" ref="C27:L27">_xll.FDSRC("-",$B$8,"FF_EPS_DIL_BEF_UNUSUAL('ANN','0','-9','YEARLY',RP,'LOCAL','B')")</f>
        <v>-12.1529874213836</v>
      </c>
      <c r="D27" s="351">
        <v>7.3333843797856</v>
      </c>
      <c r="E27" s="351">
        <v>5.6559077809798302</v>
      </c>
      <c r="F27" s="351">
        <v>5.0258644536652799</v>
      </c>
      <c r="G27" s="351">
        <v>6.0247682119205299</v>
      </c>
      <c r="H27" s="351">
        <v>6.2823383084577102</v>
      </c>
      <c r="I27" s="351">
        <v>3.3628402366863899</v>
      </c>
      <c r="J27" s="351">
        <v>12.2101398601399</v>
      </c>
      <c r="K27" s="351">
        <v>1.72317647058824</v>
      </c>
      <c r="L27" s="351">
        <v>0.95627962085308105</v>
      </c>
    </row>
    <row r="28" spans="1:13" s="334" customFormat="1" ht="12.75" outlineLevel="1">
      <c r="A28" s="347" t="s">
        <v>413</v>
      </c>
      <c r="B28" s="351" cm="1">
        <f t="array" ref="B28">_xll.FDSRC("-",$B$8,"FF_EPS_DIL('LTM','0','0','QUARTERLY',RP,'LOCAL','B')")</f>
        <v>-0.13320000000000001</v>
      </c>
      <c r="C28" s="351">
        <f t="array" ref="C28:L28">_xll.FDSRC("-",$B$8,"FF_EPS_DIL('ANN','0','-9','YEARLY',RP,'LOCAL','B')")</f>
        <v>-19.473299999999998</v>
      </c>
      <c r="D28" s="351">
        <v>7.3002000000000002</v>
      </c>
      <c r="E28" s="351">
        <v>5.67</v>
      </c>
      <c r="F28" s="351">
        <v>4.95</v>
      </c>
      <c r="G28" s="351">
        <v>5.79</v>
      </c>
      <c r="H28" s="351">
        <v>5.63</v>
      </c>
      <c r="I28" s="351">
        <v>0.78</v>
      </c>
      <c r="J28" s="351">
        <v>12.2844</v>
      </c>
      <c r="K28" s="351">
        <v>1.19</v>
      </c>
      <c r="L28" s="351">
        <v>1.01</v>
      </c>
    </row>
    <row r="29" spans="1:13" s="334" customFormat="1" ht="12.75" outlineLevel="1">
      <c r="A29" s="347" t="s">
        <v>414</v>
      </c>
      <c r="B29" s="351" t="str" cm="1">
        <f t="array" ref="B29">_xll.FDSRC("-",$B$8,"FF_EARN_PERST('LTM','0','0','QUARTERLY',RP,'LOCAL','B')")</f>
        <v>-</v>
      </c>
      <c r="C29" s="351">
        <f t="array" ref="C29:L29">_xll.FDSRC("-",$B$8,"FF_EARN_PERST('ANN','0','-9','YEARLY',RP,'LOCAL','B')")</f>
        <v>81.257999999999996</v>
      </c>
      <c r="D29" s="351">
        <v>90.656999999999996</v>
      </c>
      <c r="E29" s="351">
        <v>77.781999999999996</v>
      </c>
      <c r="F29" s="351">
        <v>76.608999999999995</v>
      </c>
      <c r="G29" s="351">
        <v>84.376999999999995</v>
      </c>
      <c r="H29" s="351">
        <v>90.49</v>
      </c>
      <c r="I29" s="351">
        <v>77.738</v>
      </c>
      <c r="J29" s="351">
        <v>54.804000000000002</v>
      </c>
      <c r="K29" s="351">
        <v>81.325000000000003</v>
      </c>
      <c r="L29" s="351">
        <v>77.632000000000005</v>
      </c>
    </row>
    <row r="30" spans="1:13" s="334" customFormat="1" ht="13.5" customHeight="1" outlineLevel="1">
      <c r="A30" s="347" t="s">
        <v>415</v>
      </c>
      <c r="B30" s="351" cm="1">
        <f t="array" ref="B30">_xll.FDSRC("-",$B$8,"FF_DPS('LTM','0','0','QUARTERLY',RP,'LOCAL','B')")</f>
        <v>0</v>
      </c>
      <c r="C30" s="351">
        <f t="array" ref="C30:L30">_xll.FDSRC("-",$B$8,"FF_DPS('ANN','0','-9','YEARLY',RP,'LOCAL','B')")</f>
        <v>0.40250000000000002</v>
      </c>
      <c r="D30" s="351">
        <v>1.5049999999999999</v>
      </c>
      <c r="E30" s="351">
        <v>1.31</v>
      </c>
      <c r="F30" s="351">
        <v>1.0149999999999999</v>
      </c>
      <c r="G30" s="351">
        <v>0.67500000000000004</v>
      </c>
      <c r="H30" s="351">
        <v>0.45</v>
      </c>
      <c r="I30" s="351">
        <v>0.3</v>
      </c>
      <c r="J30" s="351">
        <v>0.12</v>
      </c>
      <c r="K30" s="351">
        <v>0</v>
      </c>
      <c r="L30" s="351">
        <v>0</v>
      </c>
    </row>
    <row r="31" spans="1:13" s="364" customFormat="1" ht="14.25">
      <c r="A31" s="344" t="s">
        <v>43</v>
      </c>
      <c r="B31" s="363"/>
    </row>
    <row r="32" spans="1:13" s="334" customFormat="1" ht="12.75" outlineLevel="1">
      <c r="A32" s="347" t="s">
        <v>43</v>
      </c>
      <c r="B32" s="351" cm="1">
        <f t="array" ref="B32">_xll.FDSRC("-",$B$8,"FF_EBITDA_OPER('LTM','0','0','QUARTERLY',RP,'LOCAL','B')")</f>
        <v>-2.645</v>
      </c>
      <c r="C32" s="351">
        <f t="array" ref="C32:L32">_xll.FDSRC("-",$B$8,"FF_EBITDA_OPER('ANN','0','-9','YEARLY',RP,'LOCAL','B')")</f>
        <v>-5.9690000000000003</v>
      </c>
      <c r="D32" s="351">
        <v>9.2390000000000008</v>
      </c>
      <c r="E32" s="351">
        <v>7.5960000000000001</v>
      </c>
      <c r="F32" s="351">
        <v>8.42</v>
      </c>
      <c r="G32" s="351">
        <v>9.1829999999999998</v>
      </c>
      <c r="H32" s="351">
        <v>10.215</v>
      </c>
      <c r="I32" s="351">
        <v>6.5350000000000001</v>
      </c>
      <c r="J32" s="351">
        <v>4.8319999999999999</v>
      </c>
      <c r="K32" s="351">
        <v>4.2830000000000004</v>
      </c>
      <c r="L32" s="351">
        <v>3.32</v>
      </c>
    </row>
    <row r="33" spans="1:12" s="334" customFormat="1" ht="12.75" outlineLevel="1">
      <c r="A33" s="347" t="s">
        <v>416</v>
      </c>
      <c r="B33" s="351"/>
      <c r="C33" s="347">
        <f>SUM(C18,CFS!C16)</f>
        <v>-5.9690000000000012</v>
      </c>
      <c r="D33" s="347">
        <f>SUM(D18,CFS!D16)</f>
        <v>9.2390000000000008</v>
      </c>
      <c r="E33" s="347">
        <f>SUM(E18,CFS!E16)</f>
        <v>7.5960000000000001</v>
      </c>
      <c r="F33" s="347">
        <f>SUM(F18,CFS!F16)</f>
        <v>8.42</v>
      </c>
      <c r="G33" s="347">
        <f>SUM(G18,CFS!G16)</f>
        <v>9.1829999999999998</v>
      </c>
      <c r="H33" s="347">
        <f>SUM(H18,CFS!H16)</f>
        <v>10.215</v>
      </c>
      <c r="I33" s="347">
        <f>SUM(I18,CFS!I16)</f>
        <v>6.5350000000000001</v>
      </c>
      <c r="J33" s="347">
        <f>SUM(J18,CFS!J16)</f>
        <v>4.8319999999999999</v>
      </c>
      <c r="K33" s="347">
        <f>SUM(K18,CFS!K16)</f>
        <v>4.2829999999999995</v>
      </c>
      <c r="L33" s="347">
        <f>SUM(L18,CFS!L16)</f>
        <v>3.32</v>
      </c>
    </row>
    <row r="34" spans="1:12" s="334" customFormat="1" ht="12.75">
      <c r="A34" s="347" t="s">
        <v>381</v>
      </c>
      <c r="B34" s="346"/>
      <c r="C34" s="346"/>
      <c r="D34" s="346"/>
      <c r="E34" s="346"/>
      <c r="F34" s="346"/>
      <c r="G34" s="346"/>
      <c r="H34" s="346"/>
      <c r="I34" s="346"/>
      <c r="J34" s="346"/>
      <c r="K34" s="346"/>
      <c r="L34" s="346"/>
    </row>
    <row r="35" spans="1:12" s="334" customFormat="1" ht="12.75">
      <c r="A35" s="347" t="s">
        <v>417</v>
      </c>
      <c r="B35" s="351" t="str" cm="1">
        <f t="array" ref="B35">_xll.FDSRC("-",$B$8,"FF_OPER_LEASE_EXP('LTM','0','0','QUARTERLY',RP,'LOCAL','B')")</f>
        <v>-</v>
      </c>
      <c r="C35" s="351">
        <f t="array" ref="C35:L35">_xll.FDSRC("-",$B$8,"FF_OPER_LEASE_EXP('ANN','0','-9','YEARLY',RP,'LOCAL','B')")</f>
        <v>2.6890000000000001</v>
      </c>
      <c r="D35" s="351">
        <v>2.9689999999999999</v>
      </c>
      <c r="E35" s="351">
        <v>2.879</v>
      </c>
      <c r="F35" s="351">
        <v>1.3</v>
      </c>
      <c r="G35" s="351">
        <v>1.3</v>
      </c>
      <c r="H35" s="351">
        <v>1.2</v>
      </c>
      <c r="I35" s="351">
        <v>1.2</v>
      </c>
      <c r="J35" s="351">
        <v>1.1000000000000001</v>
      </c>
      <c r="K35" s="351">
        <v>1.1000000000000001</v>
      </c>
      <c r="L35" s="351">
        <v>1.1000000000000001</v>
      </c>
    </row>
    <row r="36" spans="1:12" s="334" customFormat="1" ht="12.75">
      <c r="A36" s="347" t="s">
        <v>388</v>
      </c>
      <c r="B36" s="351" t="str" cm="1">
        <f t="array" ref="B36">_xll.FDSRC("-",$B$8,"FF_STK_OPT_EXP('LTM','0','0','QUARTERLY',RP,'LOCAL','B')")</f>
        <v>-</v>
      </c>
      <c r="C36" s="351">
        <f t="array" ref="C36:L36">_xll.FDSRC("-",$B$8,"FF_STK_OPT_EXP('ANN','0','-9','YEARLY',RP,'LOCAL','B')")</f>
        <v>8.6870000000000003E-2</v>
      </c>
      <c r="D36" s="351">
        <v>0.11753</v>
      </c>
      <c r="E36" s="351">
        <v>0.12561</v>
      </c>
      <c r="F36" s="351">
        <v>8.5320000000000007E-2</v>
      </c>
      <c r="G36" s="351">
        <v>6.3E-2</v>
      </c>
      <c r="H36" s="351">
        <v>4.5600000000000002E-2</v>
      </c>
      <c r="I36" s="351">
        <v>4.8599999999999997E-2</v>
      </c>
      <c r="J36" s="351">
        <v>5.3999999999999999E-2</v>
      </c>
      <c r="K36" s="351">
        <v>3.2399999999999998E-2</v>
      </c>
      <c r="L36" s="351">
        <v>4.2999999999999997E-2</v>
      </c>
    </row>
    <row r="37" spans="1:12" s="334" customFormat="1" ht="12.75">
      <c r="A37" s="347" t="s">
        <v>47</v>
      </c>
      <c r="B37" s="351" t="str" cm="1">
        <f t="array" ref="B37">_xll.FDSRC("-",$B$8,"FF_TAX_RATE('LTM','0','0','QUARTERLY',RP,'LOCAL','B')")</f>
        <v>-</v>
      </c>
      <c r="C37" s="351" t="str">
        <f t="array" ref="C37:L37">_xll.FDSRC("-",$B$8,"FF_TAX_RATE('ANN','0','-9','YEARLY',RP,'LOCAL','B')")</f>
        <v>-</v>
      </c>
      <c r="D37" s="351">
        <v>23.088092933204301</v>
      </c>
      <c r="E37" s="351">
        <v>23.607066589011801</v>
      </c>
      <c r="F37" s="351">
        <v>37.256621645325403</v>
      </c>
      <c r="G37" s="351">
        <v>34.1018685955395</v>
      </c>
      <c r="H37" s="351">
        <v>36.761212798658697</v>
      </c>
      <c r="I37" s="351">
        <v>38.526119402985103</v>
      </c>
      <c r="J37" s="351">
        <v>-317.09537000395699</v>
      </c>
      <c r="K37" s="351">
        <v>1.5609756097561001</v>
      </c>
      <c r="L37" s="351">
        <v>-11.0533159947984</v>
      </c>
    </row>
    <row r="38" spans="1:12" s="334" customFormat="1" ht="12.75">
      <c r="A38" s="347" t="s">
        <v>401</v>
      </c>
      <c r="B38" s="346"/>
      <c r="C38" s="346"/>
      <c r="D38" s="346"/>
      <c r="E38" s="346"/>
      <c r="F38" s="346"/>
      <c r="G38" s="346"/>
      <c r="H38" s="346"/>
      <c r="I38" s="346"/>
      <c r="J38" s="346"/>
      <c r="K38" s="346"/>
      <c r="L38" s="346"/>
    </row>
    <row r="39" spans="1:12" s="334" customFormat="1" ht="12.75">
      <c r="A39" s="347" t="s">
        <v>135</v>
      </c>
      <c r="B39" s="351" cm="1">
        <f t="array" ref="B39">_xll.FDSRC("-",$B$8,"PCTCHG(FF_SALES('LTM','0','0','QUARTERLY',RP,'LOCAL','B'),FF_SALES('LTM','-4','-4','QUARTERLY',RP,'LOCAL','B'))")</f>
        <v>-0.63924915000000004</v>
      </c>
      <c r="C39" s="351">
        <f t="array" ref="C39:L39">_xll.FDSRC("-",$B$8,"PCTCHG(FF_SALES('ANN','0','-9','YEARLY',RP,'LOCAL','B'),FF_SALES('ANN','-1','-10','YEARLY',RP,'LOCAL','B'))")</f>
        <v>-63.632300000000001</v>
      </c>
      <c r="D39" s="351">
        <v>5.7716947000000003</v>
      </c>
      <c r="E39" s="351">
        <v>7.7775639999999999</v>
      </c>
      <c r="F39" s="351">
        <v>4.1210040000000001</v>
      </c>
      <c r="G39" s="351">
        <v>-2.2317665</v>
      </c>
      <c r="H39" s="351">
        <v>0.75117389999999995</v>
      </c>
      <c r="I39" s="351">
        <v>6.8175726000000001</v>
      </c>
      <c r="J39" s="351">
        <v>2.5698344999999998</v>
      </c>
      <c r="K39" s="351">
        <v>4.4994959999999997</v>
      </c>
      <c r="L39" s="351">
        <v>10.581018</v>
      </c>
    </row>
    <row r="40" spans="1:12" s="334" customFormat="1" ht="12.75" outlineLevel="1">
      <c r="A40" s="347" t="s">
        <v>403</v>
      </c>
      <c r="B40" s="351" cm="1">
        <f t="array" ref="B40">_xll.FDSRC("-",$B$8,"PCTCHG(FF_COGS('LTM','0','0','QUARTERLY',RP,'LOCAL','B'),FF_COGS('LTM','-4','-4','QUARTERLY',RP,'LOCAL','B'))")</f>
        <v>-0.67463523000000003</v>
      </c>
      <c r="C40" s="351">
        <f t="array" ref="C40:L40">_xll.FDSRC("-",$B$8,"PCTCHG(FF_COGS('ANN','0','-9','YEARLY',RP,'LOCAL','B'),FF_COGS('ANN','-1','-10','YEARLY',RP,'LOCAL','B'))")</f>
        <v>-35.406185000000001</v>
      </c>
      <c r="D40" s="351">
        <v>3.0245036999999999</v>
      </c>
      <c r="E40" s="351">
        <v>14.500363</v>
      </c>
      <c r="F40" s="351">
        <v>8.3423599999999993</v>
      </c>
      <c r="G40" s="351">
        <v>0.59390160000000003</v>
      </c>
      <c r="H40" s="351">
        <v>-10.916323999999999</v>
      </c>
      <c r="I40" s="351">
        <v>1.9208105</v>
      </c>
      <c r="J40" s="351">
        <v>1.7730136000000001</v>
      </c>
      <c r="K40" s="351">
        <v>3.5334878000000001</v>
      </c>
      <c r="L40" s="351">
        <v>16.096793999999999</v>
      </c>
    </row>
    <row r="41" spans="1:12" s="334" customFormat="1" ht="12.75">
      <c r="A41" s="347" t="s">
        <v>148</v>
      </c>
      <c r="B41" s="351" cm="1">
        <f t="array" ref="B41">_xll.FDSRC("-",$B$8,"PCTCHG(FF_GROSS_INC('LTM','0','0','QUARTERLY',RP,'LOCAL','B'),FF_GROSS_INC('LTM','-4','-4','QUARTERLY',RP,'LOCAL','B'))")</f>
        <v>0.99483969999999999</v>
      </c>
      <c r="C41" s="351">
        <f t="array" ref="C41:L41">_xll.FDSRC("-",$B$8,"PCTCHG(FF_GROSS_INC('ANN','0','-9','YEARLY',RP,'LOCAL','B'),FF_GROSS_INC('ANN','-1','-10','YEARLY',RP,'LOCAL','B'))")</f>
        <v>-162.71349000000001</v>
      </c>
      <c r="D41" s="351">
        <v>16.694662000000001</v>
      </c>
      <c r="E41" s="351">
        <v>-12.621074999999999</v>
      </c>
      <c r="F41" s="351">
        <v>-6.8871320000000003</v>
      </c>
      <c r="G41" s="351">
        <v>-8.9045640000000006</v>
      </c>
      <c r="H41" s="351">
        <v>45.866123000000002</v>
      </c>
      <c r="I41" s="351">
        <v>31.189450999999998</v>
      </c>
      <c r="J41" s="351">
        <v>6.7288103000000001</v>
      </c>
      <c r="K41" s="351">
        <v>9.8491955000000004</v>
      </c>
      <c r="L41" s="351">
        <v>-12.453144</v>
      </c>
    </row>
    <row r="42" spans="1:12" s="334" customFormat="1" ht="12.75" outlineLevel="1">
      <c r="A42" s="347" t="s">
        <v>404</v>
      </c>
      <c r="B42" s="351" cm="1">
        <f t="array" ref="B42">_xll.FDSRC("-",$B$8,"PCTCHG(FF_SGA('LTM','0','0','QUARTERLY',RP,'LOCAL','B'),FF_SGA('LTM','-4','-4','QUARTERLY',RP,'LOCAL','B'))")</f>
        <v>-26.497464999999998</v>
      </c>
      <c r="C42" s="351">
        <f t="array" ref="C42:L42">_xll.FDSRC("-",$B$8,"PCTCHG(FF_SGA('ANN','0','-9','YEARLY',RP,'LOCAL','B'),FF_SGA('ANN','-1','-10','YEARLY',RP,'LOCAL','B'))")</f>
        <v>-70.797790000000006</v>
      </c>
      <c r="D42" s="351">
        <v>2.6790338</v>
      </c>
      <c r="E42" s="351">
        <v>8.6177980000000005</v>
      </c>
      <c r="F42" s="351">
        <v>4.5029181999999999</v>
      </c>
      <c r="G42" s="351">
        <v>2.2727265000000001</v>
      </c>
      <c r="H42" s="351">
        <v>-1.6470586</v>
      </c>
      <c r="I42" s="351">
        <v>6.0511546000000003</v>
      </c>
      <c r="J42" s="351">
        <v>0.81761074</v>
      </c>
      <c r="K42" s="351">
        <v>-5.4696794000000004</v>
      </c>
      <c r="L42" s="351">
        <v>11.464553</v>
      </c>
    </row>
    <row r="43" spans="1:12" s="334" customFormat="1" ht="12.75">
      <c r="A43" s="344" t="s">
        <v>405</v>
      </c>
      <c r="B43" s="351" cm="1">
        <f t="array" ref="B43">_xll.FDSRC("-",$B$8,"PCTCHG(FF_EBIT_OPER('LTM','0','0','QUARTERLY',RP,'LOCAL','B'),FF_EBIT_OPER('LTM','-4','-4','QUARTERLY',RP,'LOCAL','B'))")</f>
        <v>9.0409880000000005</v>
      </c>
      <c r="C43" s="351">
        <f t="array" ref="C43:L43">_xll.FDSRC("-",$B$8,"PCTCHG(FF_EBIT_OPER('ANN','0','-9','YEARLY',RP,'LOCAL','B'),FF_EBIT_OPER('ANN','-1','-10','YEARLY',RP,'LOCAL','B'))")</f>
        <v>-224.3767</v>
      </c>
      <c r="D43" s="351">
        <v>26.409718000000002</v>
      </c>
      <c r="E43" s="351">
        <v>-14.842356000000001</v>
      </c>
      <c r="F43" s="351">
        <v>-15.05288</v>
      </c>
      <c r="G43" s="351">
        <v>-13.114558000000001</v>
      </c>
      <c r="H43" s="351">
        <v>75.902600000000007</v>
      </c>
      <c r="I43" s="351">
        <v>50.094512999999999</v>
      </c>
      <c r="J43" s="351">
        <v>16.777045999999999</v>
      </c>
      <c r="K43" s="351">
        <v>51.252082999999999</v>
      </c>
      <c r="L43" s="351">
        <v>-48.774227000000003</v>
      </c>
    </row>
    <row r="44" spans="1:12" s="334" customFormat="1" ht="12.75" outlineLevel="1">
      <c r="A44" s="347" t="s">
        <v>406</v>
      </c>
      <c r="B44" s="351" t="str" cm="1">
        <f t="array" ref="B44">_xll.FDSRC("-",$B$8,"PCTCHG(FF_NON_OPER_INC('LTM','0','0','QUARTERLY',RP,'LOCAL','B'),FF_NON_OPER_INC('LTM','-4','-4','QUARTERLY',RP,'LOCAL','B'))")</f>
        <v>-</v>
      </c>
      <c r="C44" s="351" t="str">
        <f t="array" ref="C44:L44">_xll.FDSRC("-",$B$8,"PCTCHG(FF_NON_OPER_INC('ANN','0','-9','YEARLY',RP,'LOCAL','B'),FF_NON_OPER_INC('ANN','-1','-10','YEARLY',RP,'LOCAL','B'))")</f>
        <v>-</v>
      </c>
      <c r="D44" s="351">
        <v>-170.71825000000001</v>
      </c>
      <c r="E44" s="351" t="str">
        <v>-</v>
      </c>
      <c r="F44" s="351">
        <v>-16.66667</v>
      </c>
      <c r="G44" s="351">
        <v>-175.00002000000001</v>
      </c>
      <c r="H44" s="351">
        <v>-82.222219999999993</v>
      </c>
      <c r="I44" s="351">
        <v>-60.526313999999999</v>
      </c>
      <c r="J44" s="351" t="str">
        <v>-</v>
      </c>
      <c r="K44" s="351">
        <v>-4100</v>
      </c>
      <c r="L44" s="351">
        <v>99.880809999999997</v>
      </c>
    </row>
    <row r="45" spans="1:12" s="334" customFormat="1" ht="12.75" outlineLevel="1">
      <c r="A45" s="347" t="s">
        <v>45</v>
      </c>
      <c r="B45" s="351" cm="1">
        <f t="array" ref="B45">_xll.FDSRC("-",$B$8,"PCTCHG(FF_INT_EXP_NET('LTM','0','0','QUARTERLY',RP,'LOCAL','B'),FF_INT_EXP_NET('LTM','-4','-4','QUARTERLY',RP,'LOCAL','B'))")</f>
        <v>116.66667</v>
      </c>
      <c r="C45" s="351">
        <f t="array" ref="C45:L45">_xll.FDSRC("-",$B$8,"PCTCHG(FF_INT_EXP_NET('ANN','0','-9','YEARLY',RP,'LOCAL','B'),FF_INT_EXP_NET('ANN','-1','-10','YEARLY',RP,'LOCAL','B'))")</f>
        <v>208.63788</v>
      </c>
      <c r="D45" s="351">
        <v>-3.2154310000000002</v>
      </c>
      <c r="E45" s="351">
        <v>-21.464649999999999</v>
      </c>
      <c r="F45" s="351">
        <v>2.0618522000000001</v>
      </c>
      <c r="G45" s="351">
        <v>-19.334717000000001</v>
      </c>
      <c r="H45" s="351">
        <v>-22.294024</v>
      </c>
      <c r="I45" s="351">
        <v>-27.347414000000001</v>
      </c>
      <c r="J45" s="351">
        <v>-14.8</v>
      </c>
      <c r="K45" s="351">
        <v>-8.5923195000000003</v>
      </c>
      <c r="L45" s="351">
        <v>-10.327871999999999</v>
      </c>
    </row>
    <row r="46" spans="1:12" s="334" customFormat="1" ht="12.75" outlineLevel="1">
      <c r="A46" s="347" t="s">
        <v>407</v>
      </c>
      <c r="B46" s="351" cm="1">
        <f t="array" ref="B46">_xll.FDSRC("-",$B$8,"PCTCHG(FF_UNUSUAL_EXP('LTM','0','0','QUARTERLY',RP,'LOCAL','B'),FF_UNUSUAL_EXP('LTM','-4','-4','QUARTERLY',RP,'LOCAL','B'))")</f>
        <v>-172.91381999999999</v>
      </c>
      <c r="C46" s="351">
        <f t="array" ref="C46:L46">_xll.FDSRC("-",$B$8,"PCTCHG(FF_UNUSUAL_EXP('ANN','0','-9','YEARLY',RP,'LOCAL','B'),FF_UNUSUAL_EXP('ANN','-1','-10','YEARLY',RP,'LOCAL','B'))")</f>
        <v>21354.838</v>
      </c>
      <c r="D46" s="351" t="str">
        <v>-</v>
      </c>
      <c r="E46" s="351">
        <v>-117.28395</v>
      </c>
      <c r="F46" s="351">
        <v>-67.729069999999993</v>
      </c>
      <c r="G46" s="351">
        <v>-66.533330000000007</v>
      </c>
      <c r="H46" s="351">
        <v>-75.946119999999993</v>
      </c>
      <c r="I46" s="351" t="str">
        <v>-</v>
      </c>
      <c r="J46" s="351">
        <v>-113.9785</v>
      </c>
      <c r="K46" s="351" t="str">
        <v>-</v>
      </c>
      <c r="L46" s="351">
        <v>-107.966705</v>
      </c>
    </row>
    <row r="47" spans="1:12" s="334" customFormat="1" ht="12.75">
      <c r="A47" s="347" t="s">
        <v>46</v>
      </c>
      <c r="B47" s="351" cm="1">
        <f t="array" ref="B47">_xll.FDSRC("-",$B$8,"PCTCHG(FF_PTX_INC('LTM','0','0','QUARTERLY',RP,'LOCAL','B'),FF_PTX_INC('LTM','-4','-4','QUARTERLY',RP,'LOCAL','B'))")</f>
        <v>97.592290000000006</v>
      </c>
      <c r="C47" s="351">
        <f t="array" ref="C47:L47">_xll.FDSRC("-",$B$8,"PCTCHG(FF_PTX_INC('ANN','0','-9','YEARLY',RP,'LOCAL','B'),FF_PTX_INC('ANN','-1','-10','YEARLY',RP,'LOCAL','B'))")</f>
        <v>-351.48433999999997</v>
      </c>
      <c r="D47" s="351">
        <v>20.326149999999998</v>
      </c>
      <c r="E47" s="351">
        <v>-9.6474340000000005</v>
      </c>
      <c r="F47" s="351">
        <v>-14.089810999999999</v>
      </c>
      <c r="G47" s="351">
        <v>-7.279585</v>
      </c>
      <c r="H47" s="351">
        <v>567.63059999999996</v>
      </c>
      <c r="I47" s="351">
        <v>-57.578156</v>
      </c>
      <c r="J47" s="351">
        <v>146.53658999999999</v>
      </c>
      <c r="K47" s="351">
        <v>33.289985999999999</v>
      </c>
      <c r="L47" s="351">
        <v>26.480267000000001</v>
      </c>
    </row>
    <row r="48" spans="1:12" s="334" customFormat="1" ht="12.75" outlineLevel="1">
      <c r="A48" s="347" t="s">
        <v>408</v>
      </c>
      <c r="B48" s="351" cm="1">
        <f t="array" ref="B48">_xll.FDSRC("-",$B$8,"PCTCHG(FF_INC_TAX('LTM','0','0','QUARTERLY',RP,'LOCAL','B'),FF_INC_TAX('LTM','-4','-4','QUARTERLY',RP,'LOCAL','B'))")</f>
        <v>90.32132</v>
      </c>
      <c r="C48" s="351">
        <f t="array" ref="C48:L48">_xll.FDSRC("-",$B$8,"PCTCHG(FF_INC_TAX('ANN','0','-9','YEARLY',RP,'LOCAL','B'),FF_INC_TAX('ANN','-1','-10','YEARLY',RP,'LOCAL','B'))")</f>
        <v>-323.75959999999998</v>
      </c>
      <c r="D48" s="351">
        <v>17.680923</v>
      </c>
      <c r="E48" s="351">
        <v>-42.749535000000002</v>
      </c>
      <c r="F48" s="351">
        <v>-6.1422863000000003</v>
      </c>
      <c r="G48" s="351">
        <v>-13.987079</v>
      </c>
      <c r="H48" s="351">
        <v>537.04596000000004</v>
      </c>
      <c r="I48" s="351" t="str">
        <v>-</v>
      </c>
      <c r="J48" s="351">
        <v>-50181.241999999998</v>
      </c>
      <c r="K48" s="351" t="str">
        <v>-</v>
      </c>
      <c r="L48" s="351">
        <v>-666.66669999999999</v>
      </c>
    </row>
    <row r="49" spans="1:13" s="334" customFormat="1" ht="12.75">
      <c r="A49" s="344" t="s">
        <v>409</v>
      </c>
      <c r="B49" s="351" cm="1">
        <f t="array" ref="B49">_xll.FDSRC("-",$B$8,"PCTCHG(FF_CONSOL_NET_INC('LTM','0','0','QUARTERLY',RP,'LOCAL','B'),FF_CONSOL_NET_INC('LTM','-4','-4','QUARTERLY',RP,'LOCAL','B'))")</f>
        <v>99.354290000000006</v>
      </c>
      <c r="C49" s="351">
        <f t="array" ref="C49:L49">_xll.FDSRC("-",$B$8,"PCTCHG(FF_CONSOL_NET_INC('ANN','0','-9','YEARLY',RP,'LOCAL','B'),FF_CONSOL_NET_INC('ANN','-1','-10','YEARLY',RP,'LOCAL','B'))")</f>
        <v>-359.80703999999997</v>
      </c>
      <c r="D49" s="351">
        <v>21.14359</v>
      </c>
      <c r="E49" s="351">
        <v>10.008388</v>
      </c>
      <c r="F49" s="351">
        <v>-18.202611999999998</v>
      </c>
      <c r="G49" s="351">
        <v>-3.3804656999999998</v>
      </c>
      <c r="H49" s="351">
        <v>586.79816000000005</v>
      </c>
      <c r="I49" s="351">
        <v>-93.747630000000001</v>
      </c>
      <c r="J49" s="351">
        <v>944.59862999999996</v>
      </c>
      <c r="K49" s="351">
        <v>18.14988</v>
      </c>
      <c r="L49" s="351">
        <v>44.013489999999997</v>
      </c>
    </row>
    <row r="50" spans="1:13" s="334" customFormat="1" ht="12.75">
      <c r="A50" s="344" t="s">
        <v>410</v>
      </c>
      <c r="B50" s="351" cm="1">
        <f t="array" ref="B50">_xll.FDSRC("-",$B$8,"PCTCHG(FF_NET_INC('LTM','0','0','QUARTERLY',RP,'LOCAL','B'),FF_NET_INC('LTM','-4','-4','QUARTERLY',RP,'LOCAL','B'))")</f>
        <v>99.354290000000006</v>
      </c>
      <c r="C50" s="351">
        <f t="array" ref="C50:L50">_xll.FDSRC("-",$B$8,"PCTCHG(FF_NET_INC('ANN','0','-9','YEARLY',RP,'LOCAL','B'),FF_NET_INC('ANN','-1','-10','YEARLY',RP,'LOCAL','B'))")</f>
        <v>-359.80703999999997</v>
      </c>
      <c r="D50" s="351">
        <v>21.14359</v>
      </c>
      <c r="E50" s="351">
        <v>10.008388</v>
      </c>
      <c r="F50" s="351">
        <v>-18.202611999999998</v>
      </c>
      <c r="G50" s="351">
        <v>-3.3804656999999998</v>
      </c>
      <c r="H50" s="351">
        <v>586.79816000000005</v>
      </c>
      <c r="I50" s="351">
        <v>-93.747630000000001</v>
      </c>
      <c r="J50" s="351">
        <v>944.59862999999996</v>
      </c>
      <c r="K50" s="351">
        <v>18.14988</v>
      </c>
      <c r="L50" s="351">
        <v>44.013489999999997</v>
      </c>
    </row>
    <row r="51" spans="1:13" s="334" customFormat="1" ht="12.75">
      <c r="A51" s="347" t="s">
        <v>150</v>
      </c>
      <c r="B51" s="346"/>
      <c r="C51" s="346"/>
      <c r="D51" s="346"/>
      <c r="E51" s="346"/>
      <c r="F51" s="346"/>
      <c r="G51" s="346"/>
      <c r="H51" s="346"/>
      <c r="I51" s="346"/>
      <c r="J51" s="346"/>
      <c r="K51" s="346"/>
      <c r="L51" s="346"/>
    </row>
    <row r="52" spans="1:13" s="334" customFormat="1" ht="12.75" outlineLevel="1">
      <c r="A52" s="347" t="s">
        <v>412</v>
      </c>
      <c r="B52" s="351" cm="1">
        <f t="array" ref="B52">_xll.FDSRC("-",$B$8,"PCTCHG(FF_EPS_DIL_BEF_UNUSUAL('LTM','0','0','QUARTERLY',RP,'LOCAL','B'),FF_EPS_DIL_BEF_UNUSUAL('LTM','-4','-4','QUARTERLY',RP,'LOCAL','B'))")</f>
        <v>30.486881</v>
      </c>
      <c r="C52" s="351">
        <f t="array" ref="C52:L52">_xll.FDSRC("-",$B$8,"PCTCHG(FF_EPS_DIL_BEF_UNUSUAL('ANN','0','-9','YEARLY',RP,'LOCAL','B'),FF_EPS_DIL_BEF_UNUSUAL('ANN','-1','-10','YEARLY',RP,'LOCAL','B'))")</f>
        <v>-265.72140000000002</v>
      </c>
      <c r="D52" s="351">
        <v>29.658843999999998</v>
      </c>
      <c r="E52" s="351">
        <v>12.536013000000001</v>
      </c>
      <c r="F52" s="351">
        <v>-16.579951999999999</v>
      </c>
      <c r="G52" s="351">
        <v>-4.0999036000000002</v>
      </c>
      <c r="H52" s="351">
        <v>86.81644</v>
      </c>
      <c r="I52" s="351">
        <v>-72.458625999999995</v>
      </c>
      <c r="J52" s="351">
        <v>608.58320000000003</v>
      </c>
      <c r="K52" s="351">
        <v>80.195869999999999</v>
      </c>
      <c r="L52" s="351">
        <v>-31.781016999999999</v>
      </c>
    </row>
    <row r="53" spans="1:13" s="334" customFormat="1" ht="12.75" outlineLevel="1">
      <c r="A53" s="347" t="s">
        <v>413</v>
      </c>
      <c r="B53" s="351" cm="1">
        <f t="array" ref="B53">_xll.FDSRC("-",$B$8,"PCTCHG(FF_EPS_DIL('LTM','0','0','QUARTERLY',RP,'LOCAL','B'),FF_EPS_DIL('LTM','-4','-4','QUARTERLY',RP,'LOCAL','B'))")</f>
        <v>99.197875999999994</v>
      </c>
      <c r="C53" s="351">
        <f t="array" ref="C53:L53">_xll.FDSRC("-",$B$8,"PCTCHG(FF_EPS_DIL('ANN','0','-9','YEARLY',RP,'LOCAL','B'),FF_EPS_DIL('ANN','-1','-10','YEARLY',RP,'LOCAL','B'))")</f>
        <v>-366.75020000000001</v>
      </c>
      <c r="D53" s="351">
        <v>28.751321999999998</v>
      </c>
      <c r="E53" s="351">
        <v>14.545461</v>
      </c>
      <c r="F53" s="351">
        <v>-14.507774</v>
      </c>
      <c r="G53" s="351">
        <v>2.8419156000000001</v>
      </c>
      <c r="H53" s="351">
        <v>621.79489999999998</v>
      </c>
      <c r="I53" s="351">
        <v>-93.650490000000005</v>
      </c>
      <c r="J53" s="351">
        <v>932.30259999999998</v>
      </c>
      <c r="K53" s="351">
        <v>17.82179</v>
      </c>
      <c r="L53" s="351">
        <v>44.285713000000001</v>
      </c>
    </row>
    <row r="54" spans="1:13" s="334" customFormat="1" ht="12.75" outlineLevel="1">
      <c r="A54" s="347" t="s">
        <v>415</v>
      </c>
      <c r="B54" s="351" cm="1">
        <f t="array" ref="B54">_xll.FDSRC("-",$B$8,"PCTCHG(FF_DPS('LTM','0','0','QUARTERLY',RP,'LOCAL','B'),FF_DPS('LTM','-4','-4','QUARTERLY',RP,'LOCAL','B'))")</f>
        <v>-100</v>
      </c>
      <c r="C54" s="351">
        <f t="array" ref="C54:L54">_xll.FDSRC("-",$B$8,"PCTCHG(FF_DPS('ANN','0','-9','YEARLY',RP,'LOCAL','B'),FF_DPS('ANN','-1','-10','YEARLY',RP,'LOCAL','B'))")</f>
        <v>-73.255809999999997</v>
      </c>
      <c r="D54" s="351">
        <v>14.885501</v>
      </c>
      <c r="E54" s="351">
        <v>29.064035000000001</v>
      </c>
      <c r="F54" s="351">
        <v>50.370365</v>
      </c>
      <c r="G54" s="351">
        <v>50.000003999999997</v>
      </c>
      <c r="H54" s="351">
        <v>49.999991999999999</v>
      </c>
      <c r="I54" s="351">
        <v>150</v>
      </c>
      <c r="J54" s="351" t="str">
        <v>-</v>
      </c>
      <c r="K54" s="351" t="str">
        <v>-</v>
      </c>
      <c r="L54" s="351" t="str">
        <v>-</v>
      </c>
    </row>
    <row r="55" spans="1:13" s="334" customFormat="1" ht="12.75">
      <c r="A55" s="347" t="s">
        <v>43</v>
      </c>
      <c r="B55" s="346"/>
      <c r="C55" s="346"/>
      <c r="D55" s="346"/>
      <c r="E55" s="346"/>
      <c r="F55" s="346"/>
      <c r="G55" s="346"/>
      <c r="H55" s="346"/>
      <c r="I55" s="346"/>
      <c r="J55" s="346"/>
      <c r="K55" s="346"/>
      <c r="L55" s="346"/>
    </row>
    <row r="56" spans="1:13" s="334" customFormat="1" ht="12.75" outlineLevel="1">
      <c r="A56" s="347" t="s">
        <v>43</v>
      </c>
      <c r="B56" s="351" cm="1">
        <f t="array" ref="B56">_xll.FDSRC("-",$B$8,"PCTCHG(FF_EBITDA_OPER('LTM','0','0','QUARTERLY',RP,'LOCAL','B'),FF_EBITDA_OPER('LTM','-4','-4','QUARTERLY',RP,'LOCAL','B'))")</f>
        <v>0.67593413999999996</v>
      </c>
      <c r="C56" s="351">
        <f t="array" ref="C56:L56">_xll.FDSRC("-",$B$8,"PCTCHG(FF_EBITDA_OPER('ANN','0','-9','YEARLY',RP,'LOCAL','B'),FF_EBITDA_OPER('ANN','-1','-10','YEARLY',RP,'LOCAL','B'))")</f>
        <v>-164.60655</v>
      </c>
      <c r="D56" s="351">
        <v>21.629808000000001</v>
      </c>
      <c r="E56" s="351">
        <v>-9.7862220000000004</v>
      </c>
      <c r="F56" s="351">
        <v>-8.3088270000000009</v>
      </c>
      <c r="G56" s="351">
        <v>-10.102796</v>
      </c>
      <c r="H56" s="351">
        <v>56.312170000000002</v>
      </c>
      <c r="I56" s="351">
        <v>35.244205000000001</v>
      </c>
      <c r="J56" s="351">
        <v>12.818113</v>
      </c>
      <c r="K56" s="351">
        <v>29.006022999999999</v>
      </c>
      <c r="L56" s="351">
        <v>-33.851368000000001</v>
      </c>
    </row>
    <row r="57" spans="1:13" s="334" customFormat="1" ht="12.75">
      <c r="A57" s="333"/>
    </row>
    <row r="58" spans="1:13" s="334" customFormat="1" ht="12.75">
      <c r="A58" s="350" t="s">
        <v>418</v>
      </c>
      <c r="B58" s="351" cm="1">
        <f t="array" ref="B58">_xll.FDSRC("-",$B$8,"FF_COM_SHS_OUT('QTR','0','0','QUARTERLY',RF,,'M')")</f>
        <v>649.75809900000002</v>
      </c>
      <c r="C58" s="365">
        <f t="array" ref="C58:L58">_xll.FDSRC("-",$B$8,"FF_COM_SHS_OUT_EPS_BASIC('ANN','0','-9','YEARLY',RF,,'M')")</f>
        <v>636</v>
      </c>
      <c r="D58" s="365">
        <v>651</v>
      </c>
      <c r="E58" s="365">
        <v>691</v>
      </c>
      <c r="F58" s="365">
        <v>720</v>
      </c>
      <c r="G58" s="365">
        <v>751</v>
      </c>
      <c r="H58" s="365">
        <v>797</v>
      </c>
      <c r="I58" s="365">
        <v>836</v>
      </c>
      <c r="J58" s="365">
        <v>849</v>
      </c>
      <c r="K58" s="365">
        <v>845</v>
      </c>
      <c r="L58" s="365">
        <v>838</v>
      </c>
    </row>
    <row r="59" spans="1:13" s="334" customFormat="1" ht="12.75">
      <c r="A59" s="350" t="s">
        <v>419</v>
      </c>
      <c r="B59" s="351" cm="1">
        <f t="array" ref="B59">_xll.FDSRC("-",$B$8,"FF_COM_SHS_OUT('QTR','0','0','QUARTERLY',RF,,'M')")</f>
        <v>649.75809900000002</v>
      </c>
      <c r="C59" s="365">
        <f t="array" ref="C59:L59">_xll.FDSRC("-",$B$8,"FF_COM_SHS_OUT_EPS_DIL('ANN','0','-9','YEARLY',RF,,'M')")</f>
        <v>636</v>
      </c>
      <c r="D59" s="365">
        <v>653</v>
      </c>
      <c r="E59" s="365">
        <v>694</v>
      </c>
      <c r="F59" s="365">
        <v>723</v>
      </c>
      <c r="G59" s="365">
        <v>755</v>
      </c>
      <c r="H59" s="365">
        <v>804</v>
      </c>
      <c r="I59" s="365">
        <v>845</v>
      </c>
      <c r="J59" s="365">
        <v>858</v>
      </c>
      <c r="K59" s="365">
        <v>850</v>
      </c>
      <c r="L59" s="365">
        <v>844</v>
      </c>
    </row>
    <row r="60" spans="1:13" s="334" customFormat="1" ht="12.75">
      <c r="A60" s="333" t="s">
        <v>420</v>
      </c>
      <c r="C60" s="673">
        <f>C58-D58</f>
        <v>-15</v>
      </c>
      <c r="D60" s="673">
        <f t="shared" ref="D60:K60" si="0">D58-E58</f>
        <v>-40</v>
      </c>
      <c r="E60" s="673">
        <f t="shared" si="0"/>
        <v>-29</v>
      </c>
      <c r="F60" s="673">
        <f t="shared" si="0"/>
        <v>-31</v>
      </c>
      <c r="G60" s="673">
        <f t="shared" si="0"/>
        <v>-46</v>
      </c>
      <c r="H60" s="673">
        <f t="shared" si="0"/>
        <v>-39</v>
      </c>
      <c r="I60" s="673">
        <f t="shared" si="0"/>
        <v>-13</v>
      </c>
      <c r="J60" s="673">
        <f t="shared" si="0"/>
        <v>4</v>
      </c>
      <c r="K60" s="673">
        <f t="shared" si="0"/>
        <v>7</v>
      </c>
    </row>
    <row r="61" spans="1:13" s="334" customFormat="1" ht="12.75">
      <c r="A61" s="334" t="s">
        <v>421</v>
      </c>
      <c r="C61" s="673">
        <f>C59-D59</f>
        <v>-17</v>
      </c>
      <c r="D61" s="673">
        <f t="shared" ref="D61:K61" si="1">D59-E59</f>
        <v>-41</v>
      </c>
      <c r="E61" s="673">
        <f t="shared" si="1"/>
        <v>-29</v>
      </c>
      <c r="F61" s="673">
        <f t="shared" si="1"/>
        <v>-32</v>
      </c>
      <c r="G61" s="673">
        <f t="shared" si="1"/>
        <v>-49</v>
      </c>
      <c r="H61" s="673">
        <f t="shared" si="1"/>
        <v>-41</v>
      </c>
      <c r="I61" s="673">
        <f t="shared" si="1"/>
        <v>-13</v>
      </c>
      <c r="J61" s="673">
        <f t="shared" si="1"/>
        <v>8</v>
      </c>
      <c r="K61" s="673">
        <f t="shared" si="1"/>
        <v>6</v>
      </c>
    </row>
    <row r="62" spans="1:13" s="334" customFormat="1" ht="12.75"/>
    <row r="63" spans="1:13" s="334" customFormat="1" ht="12.75">
      <c r="A63" s="333"/>
      <c r="B63" s="531"/>
      <c r="C63" s="531">
        <f t="array" ref="C63:M63">_xll.FDSR(BS!$B$8,"JULIAN(FF_COM_EQ_RETAIN_EARN(ANN_R,0,-10AY,,,,B).dates)")</f>
        <v>44196</v>
      </c>
      <c r="D63" s="531">
        <v>43830</v>
      </c>
      <c r="E63" s="531">
        <v>43465</v>
      </c>
      <c r="F63" s="531">
        <v>43098</v>
      </c>
      <c r="G63" s="531">
        <v>42734</v>
      </c>
      <c r="H63" s="531">
        <v>42369</v>
      </c>
      <c r="I63" s="531">
        <v>42004</v>
      </c>
      <c r="J63" s="531">
        <v>41639</v>
      </c>
      <c r="K63" s="531">
        <v>41274</v>
      </c>
      <c r="L63" s="531">
        <v>40907</v>
      </c>
      <c r="M63" s="533">
        <v>40543</v>
      </c>
    </row>
    <row r="64" spans="1:13" s="334" customFormat="1" ht="12.75">
      <c r="A64" s="532" t="str" cm="1">
        <f t="array" ref="A64">_xll.FDSR(BS!$B$8,"FORMULA_DESCRIPTION(""FF_COM_EQ_RETAIN_EARN"")")</f>
        <v>Retained Earnings</v>
      </c>
      <c r="C64" s="532">
        <f t="array" ref="C64:M64">_xll.FDSR(BS!$B$8,"FF_COM_EQ_RETAIN_EARN(ANN_R,0,-10AY,,,,B)")</f>
        <v>-0.42799999999999999</v>
      </c>
      <c r="D64" s="532">
        <v>12.454000000000001</v>
      </c>
      <c r="E64" s="532">
        <v>10.039</v>
      </c>
      <c r="F64" s="532">
        <v>8.2560000000000002</v>
      </c>
      <c r="G64" s="532">
        <v>7.9029999999999996</v>
      </c>
      <c r="H64" s="532">
        <v>7.6230000000000002</v>
      </c>
      <c r="I64" s="532">
        <v>3.456</v>
      </c>
      <c r="J64" s="532">
        <v>3.0489999999999999</v>
      </c>
      <c r="K64" s="532">
        <v>-7.3890000000000002</v>
      </c>
      <c r="L64" s="532">
        <v>-8.3979999999999997</v>
      </c>
      <c r="M64" s="534">
        <v>-9.2520000000000007</v>
      </c>
    </row>
    <row r="65" spans="1:1" s="334" customFormat="1" ht="12.75">
      <c r="A65" s="333"/>
    </row>
    <row r="66" spans="1:1" s="333" customFormat="1" ht="12.75"/>
    <row r="67" spans="1:1" s="333" customFormat="1" ht="12.75"/>
    <row r="68" spans="1:1" s="333" customFormat="1" ht="12.75"/>
    <row r="69" spans="1:1" s="333" customFormat="1" ht="12.75"/>
    <row r="70" spans="1:1" s="333" customFormat="1" ht="12.75"/>
    <row r="71" spans="1:1" s="333" customFormat="1" ht="12.75"/>
    <row r="72" spans="1:1" s="333" customFormat="1" ht="12.75"/>
    <row r="73" spans="1:1" s="333" customFormat="1" ht="12.75"/>
    <row r="74" spans="1:1" s="333" customFormat="1" ht="12.75"/>
    <row r="75" spans="1:1" s="333" customFormat="1" ht="12.75"/>
    <row r="76" spans="1:1" s="333" customFormat="1" ht="12.75"/>
    <row r="77" spans="1:1" s="333" customFormat="1" ht="12.75"/>
    <row r="78" spans="1:1" s="333" customFormat="1" ht="12.75"/>
    <row r="79" spans="1:1" s="333" customFormat="1" ht="12.75"/>
    <row r="80" spans="1:1" s="333" customFormat="1" ht="12.75"/>
    <row r="81" s="333" customFormat="1" ht="12.75"/>
    <row r="82" s="333" customFormat="1" ht="12.75"/>
    <row r="83" s="333" customFormat="1" ht="12.75"/>
    <row r="84" s="333" customFormat="1" ht="12.75"/>
    <row r="85" s="333" customFormat="1" ht="12.75"/>
    <row r="86" s="333" customFormat="1" ht="12.75"/>
    <row r="87" s="333" customFormat="1" ht="12.75"/>
    <row r="88" s="333" customFormat="1" ht="12.75"/>
    <row r="89" s="333" customFormat="1" ht="12.75"/>
    <row r="90" s="333" customFormat="1" ht="12.75"/>
    <row r="91" s="333" customFormat="1" ht="12.75"/>
    <row r="92" s="333" customFormat="1" ht="12.75"/>
    <row r="93" s="333" customFormat="1" ht="12.75"/>
    <row r="94" s="333" customFormat="1" ht="12.75"/>
    <row r="95" s="333" customFormat="1" ht="12.75"/>
    <row r="96" s="333" customFormat="1" ht="12.75"/>
    <row r="97" s="333" customFormat="1" ht="12.75"/>
    <row r="98" s="333" customFormat="1" ht="12.75"/>
    <row r="99" s="333" customFormat="1" ht="12.75"/>
    <row r="100" s="333" customFormat="1" ht="12.75"/>
    <row r="101" s="333" customFormat="1" ht="12.75"/>
    <row r="102" s="333" customFormat="1" ht="12.75"/>
    <row r="103" s="333" customFormat="1" ht="12.75"/>
    <row r="104" s="333" customFormat="1" ht="12.75"/>
    <row r="105" s="333" customFormat="1" ht="12.75"/>
    <row r="106" s="333" customFormat="1" ht="12.75"/>
    <row r="107" s="333" customFormat="1" ht="12.75"/>
    <row r="108" s="333" customFormat="1" ht="12.75"/>
    <row r="109" s="333" customFormat="1" ht="12.75"/>
    <row r="110" s="333" customFormat="1" ht="12.75"/>
    <row r="111" s="333" customFormat="1" ht="12.75"/>
    <row r="112" s="333" customFormat="1" ht="12.75"/>
    <row r="113" s="333" customFormat="1" ht="12.75"/>
    <row r="114" s="333" customFormat="1" ht="12.75"/>
    <row r="115" s="333" customFormat="1" ht="12.75"/>
    <row r="116" s="333" customFormat="1" ht="12.75"/>
    <row r="117" s="333" customFormat="1" ht="12.75"/>
    <row r="118" s="333" customFormat="1" ht="12.75"/>
    <row r="119" s="333" customFormat="1" ht="12.75"/>
    <row r="120" s="333" customFormat="1" ht="12.75"/>
    <row r="121" s="333" customFormat="1" ht="12.75"/>
    <row r="122" s="333" customFormat="1" ht="12.75"/>
    <row r="123" s="333" customFormat="1" ht="12.75"/>
    <row r="124" s="333" customFormat="1" ht="12.75"/>
    <row r="125" s="333" customFormat="1" ht="12.75"/>
    <row r="126" s="333" customFormat="1" ht="12.75"/>
    <row r="127" s="333" customFormat="1" ht="12.75"/>
    <row r="128" s="333" customFormat="1" ht="12.75"/>
    <row r="129" s="333" customFormat="1" ht="12.75"/>
    <row r="130" s="333" customFormat="1" ht="12.75"/>
    <row r="131" s="333" customFormat="1" ht="12.75"/>
    <row r="132" s="333" customFormat="1" ht="12.75"/>
    <row r="133" s="333" customFormat="1" ht="12.75"/>
    <row r="134" s="333" customFormat="1" ht="12.75"/>
    <row r="135" s="333" customFormat="1" ht="12.75"/>
    <row r="136" s="333" customFormat="1" ht="12.75"/>
    <row r="137" s="333" customFormat="1" ht="12.75"/>
    <row r="138" s="333" customFormat="1" ht="12.75"/>
    <row r="139" s="333" customFormat="1" ht="12.75"/>
    <row r="140" s="333" customFormat="1" ht="12.75"/>
    <row r="141" s="333" customFormat="1" ht="12.75"/>
    <row r="142" s="333" customFormat="1" ht="12.75"/>
    <row r="143" s="333" customFormat="1" ht="12.75"/>
    <row r="144" s="333" customFormat="1" ht="12.75"/>
    <row r="145" s="333" customFormat="1" ht="12.75"/>
    <row r="146" s="333" customFormat="1" ht="12.75"/>
    <row r="147" s="333" customFormat="1" ht="12.75"/>
    <row r="148" s="333" customFormat="1" ht="12.75"/>
    <row r="149" s="333" customFormat="1" ht="12.75"/>
    <row r="150" s="333" customFormat="1" ht="12.75"/>
    <row r="151" s="333" customFormat="1" ht="12.75"/>
    <row r="152" s="333" customFormat="1" ht="12.75"/>
    <row r="153" s="333" customFormat="1" ht="12.75"/>
    <row r="154" s="333" customFormat="1" ht="12.75"/>
    <row r="155" s="333" customFormat="1" ht="12.75"/>
    <row r="156" s="333" customFormat="1" ht="12.75"/>
    <row r="157" s="333" customFormat="1" ht="12.75"/>
    <row r="158" s="333" customFormat="1" ht="12.75"/>
    <row r="159" s="333" customFormat="1" ht="12.75"/>
    <row r="160" s="333" customFormat="1" ht="12.75"/>
    <row r="161" s="333" customFormat="1" ht="12.75"/>
    <row r="162" s="333" customFormat="1" ht="12.75"/>
    <row r="163" s="333" customFormat="1" ht="12.75"/>
    <row r="164" s="333" customFormat="1" ht="12.75"/>
    <row r="165" s="333" customFormat="1" ht="12.75"/>
    <row r="166" s="333" customFormat="1" ht="12.75"/>
    <row r="167" s="333" customFormat="1" ht="12.75"/>
    <row r="168" s="333" customFormat="1" ht="12.75"/>
    <row r="169" s="333" customFormat="1" ht="12.75"/>
    <row r="170" s="333" customFormat="1" ht="12.75"/>
    <row r="171" s="333" customFormat="1" ht="12.75"/>
    <row r="172" s="333" customFormat="1" ht="12.75"/>
    <row r="173" s="333" customFormat="1" ht="12.75"/>
    <row r="174" s="333" customFormat="1" ht="12.75"/>
    <row r="175" s="333" customFormat="1" ht="12.75"/>
    <row r="176" s="333" customFormat="1" ht="12.75"/>
    <row r="177" s="333" customFormat="1" ht="12.75"/>
    <row r="178" s="333" customFormat="1" ht="12.75"/>
    <row r="179" s="333" customFormat="1" ht="12.75"/>
    <row r="180" s="333" customFormat="1" ht="12.75"/>
    <row r="181" s="333" customFormat="1" ht="12.75"/>
    <row r="182" s="333" customFormat="1" ht="12.75"/>
    <row r="183" s="333" customFormat="1" ht="12.75"/>
    <row r="184" s="333" customFormat="1" ht="12.75"/>
    <row r="185" s="333" customFormat="1" ht="12.75"/>
    <row r="186" s="333" customFormat="1" ht="12.75"/>
    <row r="187" s="333" customFormat="1" ht="12.75"/>
    <row r="188" s="333" customFormat="1" ht="12.75"/>
    <row r="189" s="333" customFormat="1" ht="12.75"/>
    <row r="190" s="333" customFormat="1" ht="12.75"/>
    <row r="191" s="333" customFormat="1" ht="12.75"/>
    <row r="192" s="333" customFormat="1" ht="12.75"/>
    <row r="193" s="333" customFormat="1" ht="12.75"/>
    <row r="194" s="333" customFormat="1" ht="12.75"/>
    <row r="195" s="333" customFormat="1" ht="12.75"/>
    <row r="196" s="333" customFormat="1" ht="12.75"/>
    <row r="197" s="333" customFormat="1" ht="12.75"/>
    <row r="198" s="333" customFormat="1" ht="12.75"/>
    <row r="199" s="333" customFormat="1" ht="12.75"/>
    <row r="200" s="333" customFormat="1" ht="12.75"/>
    <row r="201" s="333" customFormat="1" ht="12.75"/>
    <row r="202" s="333" customFormat="1" ht="12.75"/>
    <row r="203" s="333" customFormat="1" ht="12.75"/>
    <row r="204" s="333" customFormat="1" ht="12.75"/>
    <row r="205" s="333" customFormat="1" ht="12.75"/>
    <row r="206" s="333" customFormat="1" ht="12.75"/>
    <row r="207" s="333" customFormat="1" ht="12.75"/>
    <row r="208" s="333" customFormat="1" ht="12.75"/>
    <row r="209" s="333" customFormat="1" ht="12.75"/>
    <row r="210" s="333" customFormat="1" ht="12.75"/>
    <row r="211" s="333" customFormat="1" ht="12.75"/>
    <row r="212" s="333" customFormat="1" ht="12.75"/>
    <row r="213" s="333" customFormat="1" ht="12.75"/>
    <row r="214" s="333" customFormat="1" ht="12.75"/>
    <row r="215" s="333" customFormat="1" ht="12.75"/>
    <row r="216" s="333" customFormat="1" ht="12.75"/>
    <row r="217" s="333" customFormat="1" ht="12.75"/>
    <row r="218" s="333" customFormat="1" ht="12.75"/>
    <row r="219" s="333" customFormat="1" ht="12.75"/>
    <row r="220" s="333" customFormat="1" ht="12.75"/>
    <row r="221" s="333" customFormat="1" ht="12.75"/>
    <row r="222" s="333" customFormat="1" ht="12.75"/>
    <row r="223" s="333" customFormat="1" ht="12.75"/>
    <row r="224" s="333" customFormat="1" ht="12.75"/>
    <row r="225" s="333" customFormat="1" ht="12.75"/>
    <row r="226" s="333" customFormat="1" ht="12.75"/>
    <row r="227" s="333" customFormat="1" ht="12.75"/>
    <row r="228" s="333" customFormat="1" ht="12.75"/>
    <row r="229" s="333" customFormat="1" ht="12.75"/>
    <row r="230" s="333" customFormat="1" ht="12.75"/>
    <row r="231" s="333" customFormat="1" ht="12.75"/>
    <row r="232" s="333" customFormat="1" ht="12.75"/>
    <row r="233" s="333" customFormat="1" ht="12.75"/>
    <row r="234" s="333" customFormat="1" ht="12.75"/>
    <row r="235" s="333" customFormat="1" ht="12.75"/>
    <row r="236" s="333" customFormat="1" ht="12.75"/>
    <row r="237" s="333" customFormat="1" ht="12.75"/>
    <row r="238" s="333" customFormat="1" ht="12.75"/>
    <row r="239" s="333" customFormat="1" ht="12.75"/>
    <row r="240" s="333" customFormat="1" ht="12.75"/>
    <row r="241" s="333" customFormat="1" ht="12.75"/>
    <row r="242" s="333" customFormat="1" ht="12.75"/>
    <row r="243" s="333" customFormat="1" ht="12.75"/>
    <row r="244" s="333" customFormat="1" ht="12.75"/>
    <row r="245" s="333" customFormat="1" ht="12.75"/>
    <row r="246" s="333" customFormat="1" ht="12.75"/>
    <row r="247" s="333" customFormat="1" ht="12.75"/>
    <row r="248" s="333" customFormat="1" ht="12.75"/>
    <row r="249" s="333" customFormat="1" ht="12.75"/>
    <row r="250" s="333" customFormat="1" ht="12.75"/>
    <row r="251" s="333" customFormat="1" ht="12.75"/>
    <row r="252" s="333" customFormat="1" ht="12.75"/>
    <row r="253" s="333" customFormat="1" ht="12.75"/>
    <row r="254" s="333" customFormat="1" ht="12.75"/>
    <row r="255" s="333" customFormat="1" ht="12.75"/>
    <row r="256" s="333" customFormat="1" ht="12.75"/>
    <row r="257" s="333" customFormat="1" ht="12.75"/>
    <row r="258" s="333" customFormat="1" ht="12.75"/>
    <row r="259" s="333" customFormat="1" ht="12.75"/>
    <row r="260" s="333" customFormat="1" ht="12.75"/>
    <row r="261" s="333" customFormat="1" ht="12.75"/>
    <row r="262" s="333" customFormat="1" ht="12.75"/>
    <row r="263" s="333" customFormat="1" ht="12.75"/>
    <row r="264" s="333" customFormat="1" ht="12.75"/>
    <row r="265" s="333" customFormat="1" ht="12.75"/>
    <row r="266" s="333" customFormat="1" ht="12.75"/>
    <row r="267" s="333" customFormat="1" ht="12.75"/>
    <row r="268" s="333" customFormat="1" ht="12.75"/>
    <row r="269" s="333" customFormat="1" ht="12.75"/>
    <row r="270" s="333" customFormat="1" ht="12.75"/>
    <row r="271" s="333" customFormat="1" ht="12.75"/>
    <row r="272" s="333" customFormat="1" ht="12.75"/>
    <row r="273" s="333" customFormat="1" ht="12.75"/>
    <row r="274" s="333" customFormat="1" ht="12.75"/>
    <row r="275" s="333" customFormat="1" ht="12.75"/>
    <row r="276" s="333" customFormat="1" ht="12.75"/>
    <row r="277" s="333" customFormat="1" ht="12.75"/>
    <row r="278" s="333" customFormat="1" ht="12.75"/>
    <row r="279" s="333" customFormat="1" ht="12.75"/>
    <row r="280" s="333" customFormat="1" ht="12.75"/>
    <row r="281" s="333" customFormat="1" ht="12.75"/>
    <row r="282" s="333" customFormat="1" ht="12.75"/>
    <row r="283" s="333" customFormat="1" ht="12.75"/>
    <row r="284" s="333" customFormat="1" ht="12.75"/>
    <row r="285" s="333" customFormat="1" ht="12.75"/>
    <row r="286" s="333" customFormat="1" ht="12.75"/>
    <row r="287" s="333" customFormat="1" ht="12.75"/>
    <row r="288" s="333" customFormat="1" ht="12.75"/>
    <row r="289" s="333" customFormat="1" ht="12.75"/>
    <row r="290" s="333" customFormat="1" ht="12.75"/>
    <row r="291" s="333" customFormat="1" ht="12.75"/>
    <row r="292" s="333" customFormat="1" ht="12.75"/>
    <row r="293" s="333" customFormat="1" ht="12.75"/>
    <row r="294" s="333" customFormat="1" ht="12.75"/>
    <row r="295" s="333" customFormat="1" ht="12.75"/>
    <row r="296" s="333" customFormat="1" ht="12.75"/>
    <row r="297" s="333" customFormat="1" ht="12.75"/>
    <row r="298" s="333" customFormat="1" ht="12.75"/>
    <row r="299" s="333" customFormat="1" ht="12.75"/>
    <row r="300" s="333" customFormat="1" ht="12.75"/>
    <row r="301" s="333" customFormat="1" ht="12.75"/>
    <row r="302" s="333" customFormat="1" ht="12.75"/>
    <row r="303" s="333" customFormat="1" ht="12.75"/>
    <row r="304" s="333" customFormat="1" ht="12.75"/>
    <row r="305" s="333" customFormat="1" ht="12.75"/>
    <row r="306" s="333" customFormat="1" ht="12.75"/>
    <row r="307" s="333" customFormat="1" ht="12.75"/>
    <row r="308" s="333" customFormat="1" ht="12.75"/>
    <row r="309" s="333" customFormat="1" ht="12.75"/>
    <row r="310" s="333" customFormat="1" ht="12.75"/>
    <row r="311" s="333" customFormat="1" ht="12.75"/>
    <row r="312" s="333" customFormat="1" ht="12.75"/>
    <row r="313" s="333" customFormat="1" ht="12.75"/>
    <row r="314" s="333" customFormat="1" ht="12.75"/>
    <row r="315" s="333" customFormat="1" ht="12.75"/>
    <row r="316" s="333" customFormat="1" ht="12.75"/>
    <row r="317" s="333" customFormat="1" ht="12.75"/>
    <row r="318" s="333" customFormat="1" ht="12.75"/>
    <row r="319" s="333" customFormat="1" ht="12.75"/>
    <row r="320" s="333" customFormat="1" ht="12.75"/>
    <row r="321" s="333" customFormat="1" ht="12.75"/>
    <row r="322" s="333" customFormat="1" ht="12.75"/>
    <row r="323" s="333" customFormat="1" ht="12.75"/>
    <row r="324" s="333" customFormat="1" ht="12.75"/>
    <row r="325" s="333" customFormat="1" ht="12.75"/>
    <row r="326" s="333" customFormat="1" ht="12.75"/>
    <row r="327" s="333" customFormat="1" ht="12.75"/>
    <row r="328" s="333" customFormat="1" ht="12.75"/>
    <row r="329" s="333" customFormat="1" ht="12.75"/>
    <row r="330" s="333" customFormat="1" ht="12.75"/>
    <row r="331" s="333" customFormat="1" ht="12.75"/>
    <row r="332" s="333" customFormat="1" ht="12.75"/>
    <row r="333" s="333" customFormat="1" ht="12.75"/>
    <row r="334" s="333" customFormat="1" ht="12.75"/>
    <row r="335" s="333" customFormat="1" ht="12.75"/>
    <row r="336" s="333" customFormat="1" ht="12.75"/>
    <row r="337" s="333" customFormat="1" ht="12.75"/>
    <row r="338" s="333" customFormat="1" ht="12.75"/>
    <row r="339" s="333" customFormat="1" ht="12.75"/>
    <row r="340" s="333" customFormat="1" ht="12.75"/>
    <row r="341" s="333" customFormat="1" ht="12.75"/>
    <row r="342" s="333" customFormat="1" ht="12.75"/>
    <row r="343" s="333" customFormat="1" ht="12.75"/>
    <row r="344" s="333" customFormat="1" ht="12.75"/>
    <row r="345" s="333" customFormat="1" ht="12.75"/>
    <row r="346" s="333" customFormat="1" ht="12.75"/>
    <row r="347" s="333" customFormat="1" ht="12.75"/>
    <row r="348" s="333" customFormat="1" ht="12.75"/>
    <row r="349" s="333" customFormat="1" ht="12.75"/>
    <row r="350" s="333" customFormat="1" ht="12.75"/>
    <row r="351" s="333" customFormat="1" ht="12.75"/>
    <row r="352" s="333" customFormat="1" ht="12.75"/>
    <row r="353" s="333" customFormat="1" ht="12.75"/>
    <row r="354" s="333" customFormat="1" ht="12.75"/>
    <row r="355" s="333" customFormat="1" ht="12.75"/>
    <row r="356" s="333" customFormat="1" ht="12.75"/>
    <row r="357" s="333" customFormat="1" ht="12.75"/>
    <row r="358" s="333" customFormat="1" ht="12.75"/>
    <row r="359" s="333" customFormat="1" ht="12.75"/>
    <row r="360" s="333" customFormat="1" ht="12.75"/>
    <row r="361" s="333" customFormat="1" ht="12.75"/>
    <row r="362" s="333" customFormat="1" ht="12.75"/>
    <row r="363" s="333" customFormat="1" ht="12.75"/>
    <row r="364" s="333" customFormat="1" ht="12.75"/>
    <row r="365" s="333" customFormat="1" ht="12.75"/>
    <row r="366" s="333" customFormat="1" ht="12.75"/>
    <row r="367" s="333" customFormat="1" ht="12.75"/>
    <row r="368" s="333" customFormat="1" ht="12.75"/>
    <row r="369" s="333" customFormat="1" ht="12.75"/>
    <row r="370" s="333" customFormat="1" ht="12.75"/>
    <row r="371" s="333" customFormat="1" ht="12.75"/>
    <row r="372" s="333" customFormat="1" ht="12.75"/>
    <row r="373" s="333" customFormat="1" ht="12.75"/>
    <row r="374" s="333" customFormat="1" ht="12.75"/>
    <row r="375" s="333" customFormat="1" ht="12.75"/>
    <row r="376" s="333" customFormat="1" ht="12.75"/>
    <row r="377" s="333" customFormat="1" ht="12.75"/>
    <row r="378" s="333" customFormat="1" ht="12.75"/>
    <row r="379" s="333" customFormat="1" ht="12.75"/>
    <row r="380" s="333" customFormat="1" ht="12.75"/>
    <row r="381" s="333" customFormat="1" ht="12.75"/>
    <row r="382" s="333" customFormat="1" ht="12.75"/>
    <row r="383" s="333" customFormat="1" ht="12.75"/>
    <row r="384" s="333" customFormat="1" ht="12.75"/>
    <row r="385" s="333" customFormat="1" ht="12.75"/>
    <row r="386" s="333" customFormat="1" ht="12.75"/>
    <row r="387" s="333" customFormat="1" ht="12.75"/>
    <row r="388" s="333" customFormat="1" ht="12.75"/>
    <row r="389" s="333" customFormat="1" ht="12.75"/>
    <row r="390" s="333" customFormat="1" ht="12.75"/>
    <row r="391" s="333" customFormat="1" ht="12.75"/>
    <row r="392" s="333" customFormat="1" ht="12.75"/>
    <row r="393" s="333" customFormat="1" ht="12.75"/>
    <row r="394" s="333" customFormat="1" ht="12.75"/>
    <row r="395" s="333" customFormat="1" ht="12.75"/>
    <row r="396" s="333" customFormat="1" ht="12.75"/>
    <row r="397" s="333" customFormat="1" ht="12.75"/>
    <row r="398" s="333" customFormat="1" ht="12.75"/>
    <row r="399" s="333" customFormat="1" ht="12.75"/>
    <row r="400" s="333" customFormat="1" ht="12.75"/>
    <row r="401" s="333" customFormat="1" ht="12.75"/>
    <row r="402" s="333" customFormat="1" ht="12.75"/>
    <row r="403" s="333" customFormat="1" ht="12.75"/>
    <row r="404" s="333" customFormat="1" ht="12.75"/>
    <row r="405" s="333" customFormat="1" ht="12.75"/>
    <row r="406" s="333" customFormat="1" ht="12.75"/>
    <row r="407" s="333" customFormat="1" ht="12.75"/>
    <row r="408" s="333" customFormat="1" ht="12.75"/>
    <row r="409" s="333" customFormat="1" ht="12.75"/>
    <row r="410" s="333" customFormat="1" ht="12.75"/>
    <row r="411" s="333" customFormat="1" ht="12.75"/>
    <row r="412" s="333" customFormat="1" ht="12.75"/>
    <row r="413" s="333" customFormat="1" ht="12.75"/>
    <row r="414" s="333" customFormat="1" ht="12.75"/>
    <row r="415" s="333" customFormat="1" ht="12.75"/>
    <row r="416" s="333" customFormat="1" ht="12.75"/>
    <row r="417" s="333" customFormat="1" ht="12.75"/>
    <row r="418" s="333" customFormat="1" ht="12.75"/>
    <row r="419" s="333" customFormat="1" ht="12.75"/>
    <row r="420" s="333" customFormat="1" ht="12.75"/>
    <row r="421" s="333" customFormat="1" ht="12.75"/>
    <row r="422" s="333" customFormat="1" ht="12.75"/>
    <row r="423" s="333" customFormat="1" ht="12.75"/>
    <row r="424" s="333" customFormat="1" ht="12.75"/>
    <row r="425" s="333" customFormat="1" ht="12.75"/>
    <row r="426" s="333" customFormat="1" ht="12.75"/>
    <row r="427" s="333" customFormat="1" ht="12.75"/>
    <row r="428" s="333" customFormat="1" ht="12.75"/>
    <row r="429" s="333" customFormat="1" ht="12.75"/>
    <row r="430" s="333" customFormat="1" ht="12.75"/>
    <row r="431" s="333" customFormat="1" ht="12.75"/>
    <row r="432" s="333" customFormat="1" ht="12.75"/>
    <row r="433" s="333" customFormat="1" ht="12.75"/>
    <row r="434" s="333" customFormat="1" ht="12.75"/>
    <row r="435" s="333" customFormat="1" ht="12.75"/>
    <row r="436" s="333" customFormat="1" ht="12.75"/>
    <row r="437" s="333" customFormat="1" ht="12.75"/>
    <row r="438" s="333" customFormat="1" ht="12.75"/>
    <row r="439" s="333" customFormat="1" ht="12.75"/>
    <row r="440" s="333" customFormat="1" ht="12.75"/>
    <row r="441" s="333" customFormat="1" ht="12.75"/>
    <row r="442" s="333" customFormat="1" ht="12.75"/>
    <row r="443" s="333" customFormat="1" ht="12.75"/>
    <row r="444" s="333" customFormat="1" ht="12.75"/>
    <row r="445" s="333" customFormat="1" ht="12.75"/>
    <row r="446" s="333" customFormat="1" ht="12.75"/>
    <row r="447" s="333" customFormat="1" ht="12.75"/>
    <row r="448" s="333" customFormat="1" ht="12.75"/>
    <row r="449" s="333" customFormat="1" ht="12.75"/>
    <row r="450" s="333" customFormat="1" ht="12.75"/>
    <row r="451" s="333" customFormat="1" ht="12.75"/>
    <row r="452" s="333" customFormat="1" ht="12.75"/>
    <row r="453" s="333" customFormat="1" ht="12.75"/>
    <row r="454" s="333" customFormat="1" ht="12.75"/>
    <row r="455" s="333" customFormat="1" ht="12.75"/>
    <row r="456" s="333" customFormat="1" ht="12.75"/>
    <row r="457" s="333" customFormat="1" ht="12.75"/>
    <row r="458" s="333" customFormat="1" ht="12.75"/>
    <row r="459" s="333" customFormat="1" ht="12.75"/>
    <row r="460" s="333" customFormat="1" ht="12.75"/>
    <row r="461" s="333" customFormat="1" ht="12.75"/>
    <row r="462" s="333" customFormat="1" ht="12.75"/>
    <row r="463" s="333" customFormat="1" ht="12.75"/>
    <row r="464" s="333" customFormat="1" ht="12.75"/>
    <row r="465" s="333" customFormat="1" ht="12.75"/>
    <row r="466" s="333" customFormat="1" ht="12.75"/>
    <row r="467" s="333" customFormat="1" ht="12.75"/>
    <row r="468" s="333" customFormat="1" ht="12.75"/>
    <row r="469" s="333" customFormat="1" ht="12.75"/>
    <row r="470" s="333" customFormat="1" ht="12.75"/>
    <row r="471" s="333" customFormat="1" ht="12.75"/>
    <row r="472" s="333" customFormat="1" ht="12.75"/>
    <row r="473" s="333" customFormat="1" ht="12.75"/>
    <row r="474" s="333" customFormat="1" ht="12.75"/>
    <row r="475" s="333" customFormat="1" ht="12.75"/>
    <row r="476" s="333" customFormat="1" ht="12.75"/>
    <row r="477" s="333" customFormat="1" ht="12.75"/>
    <row r="478" s="333" customFormat="1" ht="12.75"/>
    <row r="479" s="333" customFormat="1" ht="12.75"/>
    <row r="480" s="333" customFormat="1" ht="12.75"/>
    <row r="481" s="333" customFormat="1" ht="12.75"/>
    <row r="482" s="333" customFormat="1" ht="12.75"/>
    <row r="483" s="333" customFormat="1" ht="12.75"/>
    <row r="484" s="333" customFormat="1" ht="12.75"/>
    <row r="485" s="333" customFormat="1" ht="12.75"/>
    <row r="486" s="333" customFormat="1" ht="12.75"/>
    <row r="487" s="333" customFormat="1" ht="12.75"/>
    <row r="488" s="333" customFormat="1" ht="12.75"/>
    <row r="489" s="333" customFormat="1" ht="12.75"/>
    <row r="490" s="333" customFormat="1" ht="12.75"/>
    <row r="491" s="333" customFormat="1" ht="12.75"/>
    <row r="492" s="333" customFormat="1" ht="12.75"/>
    <row r="493" s="333" customFormat="1" ht="12.75"/>
    <row r="494" s="333" customFormat="1" ht="12.75"/>
    <row r="495" s="333" customFormat="1" ht="12.75"/>
    <row r="496" s="333" customFormat="1" ht="12.75"/>
    <row r="497" s="333" customFormat="1" ht="12.75"/>
    <row r="498" s="333" customFormat="1" ht="12.75"/>
    <row r="499" s="333" customFormat="1" ht="12.75"/>
    <row r="500" s="333" customFormat="1" ht="12.75"/>
    <row r="501" s="333" customFormat="1" ht="12.75"/>
    <row r="502" s="333" customFormat="1" ht="12.75"/>
    <row r="503" s="333" customFormat="1" ht="12.75"/>
    <row r="504" s="333" customFormat="1" ht="12.75"/>
    <row r="505" s="333" customFormat="1" ht="12.75"/>
    <row r="506" s="333" customFormat="1" ht="12.75"/>
    <row r="507" s="333" customFormat="1" ht="12.75"/>
    <row r="508" s="333" customFormat="1" ht="12.75"/>
    <row r="509" s="333" customFormat="1" ht="12.75"/>
    <row r="510" s="333" customFormat="1" ht="12.75"/>
    <row r="511" s="333" customFormat="1" ht="12.75"/>
    <row r="512" s="333" customFormat="1" ht="12.75"/>
    <row r="513" s="333" customFormat="1" ht="12.75"/>
    <row r="514" s="333" customFormat="1" ht="12.75"/>
    <row r="515" s="333" customFormat="1" ht="12.75"/>
    <row r="516" s="333" customFormat="1" ht="12.75"/>
    <row r="517" s="333" customFormat="1" ht="12.75"/>
    <row r="518" s="333" customFormat="1" ht="12.75"/>
    <row r="519" s="333" customFormat="1" ht="12.75"/>
    <row r="520" s="333" customFormat="1" ht="12.75"/>
    <row r="521" s="333" customFormat="1" ht="12.75"/>
    <row r="522" s="333" customFormat="1" ht="12.75"/>
    <row r="523" s="333" customFormat="1" ht="12.75"/>
    <row r="524" s="333" customFormat="1" ht="12.75"/>
    <row r="525" s="333" customFormat="1" ht="12.75"/>
    <row r="526" s="333" customFormat="1" ht="12.75"/>
    <row r="527" s="333" customFormat="1" ht="12.75"/>
    <row r="528" s="333" customFormat="1" ht="12.75"/>
    <row r="529" s="333" customFormat="1" ht="12.75"/>
    <row r="530" s="333" customFormat="1" ht="12.75"/>
    <row r="531" s="333" customFormat="1" ht="12.75"/>
    <row r="532" s="333" customFormat="1" ht="12.75"/>
    <row r="533" s="333" customFormat="1" ht="12.75"/>
    <row r="534" s="333" customFormat="1" ht="12.75"/>
    <row r="535" s="333" customFormat="1" ht="12.75"/>
    <row r="536" s="333" customFormat="1" ht="12.75"/>
    <row r="537" s="333" customFormat="1" ht="12.75"/>
    <row r="538" s="333" customFormat="1" ht="12.75"/>
    <row r="539" s="333" customFormat="1" ht="12.75"/>
    <row r="540" s="333" customFormat="1" ht="12.75"/>
    <row r="541" s="333" customFormat="1" ht="12.75"/>
    <row r="542" s="333" customFormat="1" ht="12.75"/>
    <row r="543" s="333" customFormat="1" ht="12.75"/>
    <row r="544" s="333" customFormat="1" ht="12.75"/>
    <row r="545" s="333" customFormat="1" ht="12.75"/>
    <row r="546" s="333" customFormat="1" ht="12.75"/>
    <row r="547" s="333" customFormat="1" ht="12.75"/>
    <row r="548" s="333" customFormat="1" ht="12.75"/>
    <row r="549" s="333" customFormat="1" ht="12.75"/>
    <row r="550" s="333" customFormat="1" ht="12.75"/>
    <row r="551" s="333" customFormat="1" ht="12.75"/>
    <row r="552" s="333" customFormat="1" ht="12.75"/>
    <row r="553" s="333" customFormat="1" ht="12.75"/>
    <row r="554" s="333" customFormat="1" ht="12.75"/>
    <row r="555" s="333" customFormat="1" ht="12.75"/>
    <row r="556" s="333" customFormat="1" ht="12.75"/>
    <row r="557" s="333" customFormat="1" ht="12.75"/>
    <row r="558" s="333" customFormat="1" ht="12.75"/>
    <row r="559" s="333" customFormat="1" ht="12.75"/>
    <row r="560" s="333" customFormat="1" ht="12.75"/>
    <row r="561" s="333" customFormat="1" ht="12.75"/>
    <row r="562" s="333" customFormat="1" ht="12.75"/>
    <row r="563" s="333" customFormat="1" ht="12.75"/>
    <row r="564" s="333" customFormat="1" ht="12.75"/>
    <row r="565" s="333" customFormat="1" ht="12.75"/>
    <row r="566" s="333" customFormat="1" ht="12.75"/>
    <row r="567" s="333" customFormat="1" ht="12.75"/>
    <row r="568" s="333" customFormat="1" ht="12.75"/>
    <row r="569" s="333" customFormat="1" ht="12.75"/>
    <row r="570" s="333" customFormat="1" ht="12.75"/>
    <row r="571" s="333" customFormat="1" ht="12.75"/>
    <row r="572" s="333" customFormat="1" ht="12.75"/>
    <row r="573" s="333" customFormat="1" ht="12.75"/>
    <row r="574" s="333" customFormat="1" ht="12.75"/>
    <row r="575" s="333" customFormat="1" ht="12.75"/>
    <row r="576" s="333" customFormat="1" ht="12.75"/>
    <row r="577" s="333" customFormat="1" ht="12.75"/>
    <row r="578" s="333" customFormat="1" ht="12.75"/>
    <row r="579" s="333" customFormat="1" ht="12.75"/>
    <row r="580" s="333" customFormat="1" ht="12.75"/>
    <row r="581" s="333" customFormat="1" ht="12.75"/>
    <row r="582" s="333" customFormat="1" ht="12.75"/>
    <row r="583" s="333" customFormat="1" ht="12.75"/>
    <row r="584" s="333" customFormat="1" ht="12.75"/>
    <row r="585" s="333" customFormat="1" ht="12.75"/>
    <row r="586" s="333" customFormat="1" ht="12.75"/>
    <row r="587" s="333" customFormat="1" ht="12.75"/>
    <row r="588" s="333" customFormat="1" ht="12.75"/>
    <row r="589" s="333" customFormat="1" ht="12.75"/>
    <row r="590" s="333" customFormat="1" ht="12.75"/>
    <row r="591" s="333" customFormat="1" ht="12.75"/>
    <row r="592" s="333" customFormat="1" ht="12.75"/>
    <row r="593" s="333" customFormat="1" ht="12.75"/>
    <row r="594" s="333" customFormat="1" ht="12.75"/>
    <row r="595" s="333" customFormat="1" ht="12.75"/>
    <row r="596" s="333" customFormat="1" ht="12.75"/>
    <row r="597" s="333" customFormat="1" ht="12.75"/>
    <row r="598" s="333" customFormat="1" ht="12.75"/>
    <row r="599" s="333" customFormat="1" ht="12.75"/>
    <row r="600" s="333" customFormat="1" ht="12.75"/>
    <row r="601" s="333" customFormat="1" ht="12.75"/>
    <row r="602" s="333" customFormat="1" ht="12.75"/>
    <row r="603" s="333" customFormat="1" ht="12.75"/>
    <row r="604" s="333" customFormat="1" ht="12.75"/>
    <row r="605" s="333" customFormat="1" ht="12.75"/>
    <row r="606" s="333" customFormat="1" ht="12.75"/>
    <row r="607" s="333" customFormat="1" ht="12.75"/>
    <row r="608" s="333" customFormat="1" ht="12.75"/>
    <row r="609" s="333" customFormat="1" ht="12.75"/>
    <row r="610" s="333" customFormat="1" ht="12.75"/>
    <row r="611" s="333" customFormat="1" ht="12.75"/>
    <row r="612" s="333" customFormat="1" ht="12.75"/>
    <row r="613" s="333" customFormat="1" ht="12.75"/>
    <row r="614" s="333" customFormat="1" ht="12.75"/>
    <row r="615" s="333" customFormat="1" ht="12.75"/>
    <row r="616" s="333" customFormat="1" ht="12.75"/>
    <row r="617" s="333" customFormat="1" ht="12.75"/>
    <row r="618" s="333" customFormat="1" ht="12.75"/>
    <row r="619" s="333" customFormat="1" ht="12.75"/>
    <row r="620" s="333" customFormat="1" ht="12.75"/>
    <row r="621" s="333" customFormat="1" ht="12.75"/>
    <row r="622" s="333" customFormat="1" ht="12.75"/>
    <row r="623" s="333" customFormat="1" ht="12.75"/>
    <row r="624" s="333" customFormat="1" ht="12.75"/>
    <row r="625" s="333" customFormat="1" ht="12.75"/>
    <row r="626" s="333" customFormat="1" ht="12.75"/>
    <row r="627" s="333" customFormat="1" ht="12.75"/>
    <row r="628" s="333" customFormat="1" ht="12.75"/>
    <row r="629" s="333" customFormat="1" ht="12.75"/>
    <row r="630" s="333" customFormat="1" ht="12.75"/>
    <row r="631" s="333" customFormat="1" ht="12.75"/>
    <row r="632" s="333" customFormat="1" ht="12.75"/>
    <row r="633" s="333" customFormat="1" ht="12.75"/>
    <row r="634" s="333" customFormat="1" ht="12.75"/>
    <row r="635" s="333" customFormat="1" ht="12.75"/>
    <row r="636" s="333" customFormat="1" ht="12.75"/>
    <row r="637" s="333" customFormat="1" ht="12.75"/>
    <row r="638" s="333" customFormat="1" ht="12.75"/>
    <row r="639" s="333" customFormat="1" ht="12.75"/>
    <row r="640" s="333" customFormat="1" ht="12.75"/>
    <row r="641" s="333" customFormat="1" ht="12.75"/>
    <row r="642" s="333" customFormat="1" ht="12.75"/>
    <row r="643" s="333" customFormat="1" ht="12.75"/>
    <row r="644" s="333" customFormat="1" ht="12.75"/>
    <row r="645" s="333" customFormat="1" ht="12.75"/>
    <row r="646" s="333" customFormat="1" ht="12.75"/>
    <row r="647" s="333" customFormat="1" ht="12.75"/>
    <row r="648" s="333" customFormat="1" ht="12.75"/>
    <row r="649" s="333" customFormat="1" ht="12.75"/>
    <row r="650" s="333" customFormat="1" ht="12.75"/>
    <row r="651" s="333" customFormat="1" ht="12.75"/>
    <row r="652" s="333" customFormat="1" ht="12.75"/>
    <row r="653" s="333" customFormat="1" ht="12.75"/>
    <row r="654" s="333" customFormat="1" ht="12.75"/>
    <row r="655" s="333" customFormat="1" ht="12.75"/>
    <row r="656" s="333" customFormat="1" ht="12.75"/>
    <row r="657" s="333" customFormat="1" ht="12.75"/>
    <row r="658" s="333" customFormat="1" ht="12.75"/>
    <row r="659" s="333" customFormat="1" ht="12.75"/>
    <row r="660" s="333" customFormat="1" ht="12.75"/>
    <row r="661" s="333" customFormat="1" ht="12.75"/>
    <row r="662" s="333" customFormat="1" ht="12.75"/>
    <row r="663" s="333" customFormat="1" ht="12.75"/>
    <row r="664" s="333" customFormat="1" ht="12.75"/>
    <row r="665" s="333" customFormat="1" ht="12.75"/>
    <row r="666" s="333" customFormat="1" ht="12.75"/>
    <row r="667" s="333" customFormat="1" ht="12.75"/>
    <row r="668" s="333" customFormat="1" ht="12.75"/>
    <row r="669" s="333" customFormat="1" ht="12.75"/>
    <row r="670" s="333" customFormat="1" ht="12.75"/>
    <row r="671" s="333" customFormat="1" ht="12.75"/>
    <row r="672" s="333" customFormat="1" ht="12.75"/>
    <row r="673" s="333" customFormat="1" ht="12.75"/>
    <row r="674" s="333" customFormat="1" ht="12.75"/>
    <row r="675" s="333" customFormat="1" ht="12.75"/>
    <row r="676" s="333" customFormat="1" ht="12.75"/>
    <row r="677" s="333" customFormat="1" ht="12.75"/>
    <row r="678" s="333" customFormat="1" ht="12.75"/>
    <row r="679" s="333" customFormat="1" ht="12.75"/>
    <row r="680" s="333" customFormat="1" ht="12.75"/>
    <row r="681" s="333" customFormat="1" ht="12.75"/>
    <row r="682" s="333" customFormat="1" ht="12.75"/>
    <row r="683" s="333" customFormat="1" ht="12.75"/>
    <row r="684" s="333" customFormat="1" ht="12.75"/>
    <row r="685" s="333" customFormat="1" ht="12.75"/>
    <row r="686" s="333" customFormat="1" ht="12.75"/>
    <row r="687" s="333" customFormat="1" ht="12.75"/>
    <row r="688" s="333" customFormat="1" ht="12.75"/>
    <row r="689" s="333" customFormat="1" ht="12.75"/>
    <row r="690" s="333" customFormat="1" ht="12.75"/>
    <row r="691" s="333" customFormat="1" ht="12.75"/>
    <row r="692" s="333" customFormat="1" ht="12.75"/>
    <row r="693" s="333" customFormat="1" ht="12.75"/>
    <row r="694" s="333" customFormat="1" ht="12.75"/>
    <row r="695" s="333" customFormat="1" ht="12.75"/>
    <row r="696" s="333" customFormat="1" ht="12.75"/>
    <row r="697" s="333" customFormat="1" ht="12.75"/>
    <row r="698" s="333" customFormat="1" ht="12.75"/>
    <row r="699" s="333" customFormat="1" ht="12.75"/>
    <row r="700" s="333" customFormat="1" ht="12.75"/>
    <row r="701" s="333" customFormat="1" ht="12.75"/>
    <row r="702" s="333" customFormat="1" ht="12.75"/>
    <row r="703" s="333" customFormat="1" ht="12.75"/>
    <row r="704" s="333" customFormat="1" ht="12.75"/>
    <row r="705" s="333" customFormat="1" ht="12.75"/>
    <row r="706" s="333" customFormat="1" ht="12.75"/>
    <row r="707" s="333" customFormat="1" ht="12.75"/>
    <row r="708" s="333" customFormat="1" ht="12.75"/>
    <row r="709" s="333" customFormat="1" ht="12.75"/>
    <row r="710" s="333" customFormat="1" ht="12.75"/>
    <row r="711" s="333" customFormat="1" ht="12.75"/>
    <row r="712" s="333" customFormat="1" ht="12.75"/>
    <row r="713" s="333" customFormat="1" ht="12.75"/>
    <row r="714" s="333" customFormat="1" ht="12.75"/>
    <row r="715" s="333" customFormat="1" ht="12.75"/>
    <row r="716" s="333" customFormat="1" ht="12.75"/>
    <row r="717" s="333" customFormat="1" ht="12.75"/>
    <row r="718" s="333" customFormat="1" ht="12.75"/>
    <row r="719" s="333" customFormat="1" ht="12.75"/>
    <row r="720" s="333" customFormat="1" ht="12.75"/>
    <row r="721" s="333" customFormat="1" ht="12.75"/>
    <row r="722" s="333" customFormat="1" ht="12.75"/>
    <row r="723" s="333" customFormat="1" ht="12.75"/>
    <row r="724" s="333" customFormat="1" ht="12.75"/>
    <row r="725" s="333" customFormat="1" ht="12.75"/>
    <row r="726" s="333" customFormat="1" ht="12.75"/>
    <row r="727" s="333" customFormat="1" ht="12.75"/>
    <row r="728" s="333" customFormat="1" ht="12.75"/>
    <row r="729" s="333" customFormat="1" ht="12.75"/>
    <row r="730" s="333" customFormat="1" ht="12.75"/>
    <row r="731" s="333" customFormat="1" ht="12.75"/>
    <row r="732" s="333" customFormat="1" ht="12.75"/>
    <row r="733" s="333" customFormat="1" ht="12.75"/>
    <row r="734" s="333" customFormat="1" ht="12.75"/>
    <row r="735" s="333" customFormat="1" ht="12.75"/>
    <row r="736" s="333" customFormat="1" ht="12.75"/>
    <row r="737" s="333" customFormat="1" ht="12.75"/>
    <row r="738" s="333" customFormat="1" ht="12.75"/>
    <row r="739" s="333" customFormat="1" ht="12.75"/>
    <row r="740" s="333" customFormat="1" ht="12.75"/>
    <row r="741" s="333" customFormat="1" ht="12.75"/>
    <row r="742" s="333" customFormat="1" ht="12.75"/>
    <row r="743" s="333" customFormat="1" ht="12.75"/>
    <row r="744" s="333" customFormat="1" ht="12.75"/>
    <row r="745" s="333" customFormat="1" ht="12.75"/>
    <row r="746" s="333" customFormat="1" ht="12.75"/>
    <row r="747" s="333" customFormat="1" ht="12.75"/>
    <row r="748" s="333" customFormat="1" ht="12.75"/>
    <row r="749" s="333" customFormat="1" ht="12.75"/>
    <row r="750" s="333" customFormat="1" ht="12.75"/>
    <row r="751" s="333" customFormat="1" ht="12.75"/>
    <row r="752" s="333" customFormat="1" ht="12.75"/>
    <row r="753" s="333" customFormat="1" ht="12.75"/>
    <row r="754" s="333" customFormat="1" ht="12.75"/>
    <row r="755" s="333" customFormat="1" ht="12.75"/>
    <row r="756" s="333" customFormat="1" ht="12.75"/>
    <row r="757" s="333" customFormat="1" ht="12.75"/>
    <row r="758" s="333" customFormat="1" ht="12.75"/>
    <row r="759" s="333" customFormat="1" ht="12.75"/>
    <row r="760" s="333" customFormat="1" ht="12.75"/>
    <row r="761" s="333" customFormat="1" ht="12.75"/>
    <row r="762" s="333" customFormat="1" ht="12.75"/>
    <row r="763" s="333" customFormat="1" ht="12.75"/>
    <row r="764" s="333" customFormat="1" ht="12.75"/>
    <row r="765" s="333" customFormat="1" ht="12.75"/>
    <row r="766" s="333" customFormat="1" ht="12.75"/>
    <row r="767" s="333" customFormat="1" ht="12.75"/>
    <row r="768" s="333" customFormat="1" ht="12.75"/>
    <row r="769" s="333" customFormat="1" ht="12.75"/>
    <row r="770" s="333" customFormat="1" ht="12.75"/>
    <row r="771" s="333" customFormat="1" ht="12.75"/>
    <row r="772" s="333" customFormat="1" ht="12.75"/>
    <row r="773" s="333" customFormat="1" ht="12.75"/>
    <row r="774" s="333" customFormat="1" ht="12.75"/>
    <row r="775" s="333" customFormat="1" ht="12.75"/>
    <row r="776" s="333" customFormat="1" ht="12.75"/>
    <row r="777" s="333" customFormat="1" ht="12.75"/>
    <row r="778" s="333" customFormat="1" ht="12.75"/>
    <row r="779" s="333" customFormat="1" ht="12.75"/>
    <row r="780" s="333" customFormat="1" ht="12.75"/>
    <row r="781" s="333" customFormat="1" ht="12.75"/>
    <row r="782" s="333" customFormat="1" ht="12.75"/>
    <row r="783" s="333" customFormat="1" ht="12.75"/>
    <row r="784" s="333" customFormat="1" ht="12.75"/>
    <row r="785" s="333" customFormat="1" ht="12.75"/>
    <row r="786" s="333" customFormat="1" ht="12.75"/>
    <row r="787" s="333" customFormat="1" ht="12.75"/>
    <row r="788" s="333" customFormat="1" ht="12.75"/>
    <row r="789" s="333" customFormat="1" ht="12.75"/>
    <row r="790" s="333" customFormat="1" ht="12.75"/>
    <row r="791" s="333" customFormat="1" ht="12.75"/>
    <row r="792" s="333" customFormat="1" ht="12.75"/>
    <row r="793" s="333" customFormat="1" ht="12.75"/>
    <row r="794" s="333" customFormat="1" ht="12.75"/>
    <row r="795" s="333" customFormat="1" ht="12.75"/>
    <row r="796" s="333" customFormat="1" ht="12.75"/>
    <row r="797" s="333" customFormat="1" ht="12.75"/>
    <row r="798" s="333" customFormat="1" ht="12.75"/>
    <row r="799" s="333" customFormat="1" ht="12.75"/>
    <row r="800" s="333" customFormat="1" ht="12.75"/>
    <row r="801" s="333" customFormat="1" ht="12.75"/>
    <row r="802" s="333" customFormat="1" ht="12.75"/>
    <row r="803" s="333" customFormat="1" ht="12.75"/>
    <row r="804" s="333" customFormat="1" ht="12.75"/>
    <row r="805" s="333" customFormat="1" ht="12.75"/>
    <row r="806" s="333" customFormat="1" ht="12.75"/>
    <row r="807" s="333" customFormat="1" ht="12.75"/>
    <row r="808" s="333" customFormat="1" ht="12.75"/>
    <row r="809" s="333" customFormat="1" ht="12.75"/>
    <row r="810" s="333" customFormat="1" ht="12.75"/>
    <row r="811" s="333" customFormat="1" ht="12.75"/>
    <row r="812" s="333" customFormat="1" ht="12.75"/>
    <row r="813" s="333" customFormat="1" ht="12.75"/>
    <row r="814" s="333" customFormat="1" ht="12.75"/>
    <row r="815" s="333" customFormat="1" ht="12.75"/>
    <row r="816" s="333" customFormat="1" ht="12.75"/>
    <row r="817" s="333" customFormat="1" ht="12.75"/>
    <row r="818" s="333" customFormat="1" ht="12.75"/>
    <row r="819" s="333" customFormat="1" ht="12.75"/>
    <row r="820" s="333" customFormat="1" ht="12.75"/>
    <row r="821" s="333" customFormat="1" ht="12.75"/>
    <row r="822" s="333" customFormat="1" ht="12.75"/>
    <row r="823" s="333" customFormat="1" ht="12.75"/>
    <row r="824" s="333" customFormat="1" ht="12.75"/>
    <row r="825" s="333" customFormat="1" ht="12.75"/>
    <row r="826" s="333" customFormat="1" ht="12.75"/>
    <row r="827" s="333" customFormat="1" ht="12.75"/>
    <row r="828" s="333" customFormat="1" ht="12.75"/>
    <row r="829" s="333" customFormat="1" ht="12.75"/>
    <row r="830" s="333" customFormat="1" ht="12.75"/>
    <row r="831" s="333" customFormat="1" ht="12.75"/>
    <row r="832" s="333" customFormat="1" ht="12.75"/>
    <row r="833" s="333" customFormat="1" ht="12.75"/>
    <row r="834" s="333" customFormat="1" ht="12.75"/>
    <row r="835" s="333" customFormat="1" ht="12.75"/>
    <row r="836" s="333" customFormat="1" ht="12.75"/>
    <row r="837" s="333" customFormat="1" ht="12.75"/>
    <row r="838" s="333" customFormat="1" ht="12.75"/>
    <row r="839" s="333" customFormat="1" ht="12.75"/>
    <row r="840" s="333" customFormat="1" ht="12.75"/>
    <row r="841" s="333" customFormat="1" ht="12.75"/>
    <row r="842" s="333" customFormat="1" ht="12.75"/>
    <row r="843" s="333" customFormat="1" ht="12.75"/>
    <row r="844" s="333" customFormat="1" ht="12.75"/>
    <row r="845" s="333" customFormat="1" ht="12.75"/>
    <row r="846" s="333" customFormat="1" ht="12.75"/>
    <row r="847" s="333" customFormat="1" ht="12.75"/>
    <row r="848" s="333" customFormat="1" ht="12.75"/>
    <row r="849" s="333" customFormat="1" ht="12.75"/>
    <row r="850" s="333" customFormat="1" ht="12.75"/>
    <row r="851" s="333" customFormat="1" ht="12.75"/>
    <row r="852" s="333" customFormat="1" ht="12.75"/>
    <row r="853" s="333" customFormat="1" ht="12.75"/>
    <row r="854" s="333" customFormat="1" ht="12.75"/>
    <row r="855" s="333" customFormat="1" ht="12.75"/>
    <row r="856" s="333" customFormat="1" ht="12.75"/>
    <row r="857" s="333" customFormat="1" ht="12.75"/>
    <row r="858" s="333" customFormat="1" ht="12.75"/>
    <row r="859" s="333" customFormat="1" ht="12.75"/>
    <row r="860" s="333" customFormat="1" ht="12.75"/>
    <row r="861" s="333" customFormat="1" ht="12.75"/>
    <row r="862" s="333" customFormat="1" ht="12.75"/>
    <row r="863" s="333" customFormat="1" ht="12.75"/>
    <row r="864" s="333" customFormat="1" ht="12.75"/>
    <row r="865" s="333" customFormat="1" ht="12.75"/>
    <row r="866" s="333" customFormat="1" ht="12.75"/>
    <row r="867" s="333" customFormat="1" ht="12.75"/>
    <row r="868" s="333" customFormat="1" ht="12.75"/>
    <row r="869" s="333" customFormat="1" ht="12.75"/>
    <row r="870" s="333" customFormat="1" ht="12.75"/>
    <row r="871" s="333" customFormat="1" ht="12.75"/>
    <row r="872" s="333" customFormat="1" ht="12.75"/>
    <row r="873" s="333" customFormat="1" ht="12.75"/>
    <row r="874" s="333" customFormat="1" ht="12.75"/>
    <row r="875" s="333" customFormat="1" ht="12.75"/>
    <row r="876" s="333" customFormat="1" ht="12.75"/>
    <row r="877" s="333" customFormat="1" ht="12.75"/>
    <row r="878" s="333" customFormat="1" ht="12.75"/>
    <row r="879" s="333" customFormat="1" ht="12.75"/>
    <row r="880" s="333" customFormat="1" ht="12.75"/>
    <row r="881" s="333" customFormat="1" ht="12.75"/>
    <row r="882" s="333" customFormat="1" ht="12.75"/>
    <row r="883" s="333" customFormat="1" ht="12.75"/>
    <row r="884" s="333" customFormat="1" ht="12.75"/>
    <row r="885" s="333" customFormat="1" ht="12.75"/>
    <row r="886" s="333" customFormat="1" ht="12.75"/>
    <row r="887" s="333" customFormat="1" ht="12.75"/>
    <row r="888" s="333" customFormat="1" ht="12.75"/>
    <row r="889" s="333" customFormat="1" ht="12.75"/>
    <row r="890" s="333" customFormat="1" ht="12.75"/>
    <row r="891" s="333" customFormat="1" ht="12.75"/>
    <row r="892" s="333" customFormat="1" ht="12.75"/>
    <row r="893" s="333" customFormat="1" ht="12.75"/>
    <row r="894" s="333" customFormat="1" ht="12.75"/>
    <row r="895" s="333" customFormat="1" ht="12.75"/>
    <row r="896" s="333" customFormat="1" ht="12.75"/>
    <row r="897" s="333" customFormat="1" ht="12.75"/>
    <row r="898" s="333" customFormat="1" ht="12.75"/>
    <row r="899" s="333" customFormat="1" ht="12.75"/>
    <row r="900" s="333" customFormat="1" ht="12.75"/>
    <row r="901" s="333" customFormat="1" ht="12.75"/>
    <row r="902" s="333" customFormat="1" ht="12.75"/>
    <row r="903" s="333" customFormat="1" ht="12.75"/>
    <row r="904" s="333" customFormat="1" ht="12.75"/>
    <row r="905" s="333" customFormat="1" ht="12.75"/>
    <row r="906" s="333" customFormat="1" ht="12.75"/>
    <row r="907" s="333" customFormat="1" ht="12.75"/>
    <row r="908" s="333" customFormat="1" ht="12.75"/>
    <row r="909" s="333" customFormat="1" ht="12.75"/>
    <row r="910" s="333" customFormat="1" ht="12.75"/>
    <row r="911" s="333" customFormat="1" ht="12.75"/>
    <row r="912" s="333" customFormat="1" ht="12.75"/>
    <row r="913" s="333" customFormat="1" ht="12.75"/>
    <row r="914" s="333" customFormat="1" ht="12.75"/>
    <row r="915" s="333" customFormat="1" ht="12.75"/>
    <row r="916" s="333" customFormat="1" ht="12.75"/>
    <row r="917" s="333" customFormat="1" ht="12.75"/>
    <row r="918" s="333" customFormat="1" ht="12.75"/>
    <row r="919" s="333" customFormat="1" ht="12.75"/>
    <row r="920" s="333" customFormat="1" ht="12.75"/>
    <row r="921" s="333" customFormat="1" ht="12.75"/>
    <row r="922" s="333" customFormat="1" ht="12.75"/>
    <row r="923" s="333" customFormat="1" ht="12.75"/>
    <row r="924" s="333" customFormat="1" ht="12.75"/>
    <row r="925" s="333" customFormat="1" ht="12.75"/>
    <row r="926" s="333" customFormat="1" ht="12.75"/>
    <row r="927" s="333" customFormat="1" ht="12.75"/>
    <row r="928" s="333" customFormat="1" ht="12.75"/>
    <row r="929" s="333" customFormat="1" ht="12.75"/>
    <row r="930" s="333" customFormat="1" ht="12.75"/>
    <row r="931" s="333" customFormat="1" ht="12.75"/>
    <row r="932" s="333" customFormat="1" ht="12.75"/>
    <row r="933" s="333" customFormat="1" ht="12.75"/>
    <row r="934" s="333" customFormat="1" ht="12.75"/>
    <row r="935" s="333" customFormat="1" ht="12.75"/>
    <row r="936" s="333" customFormat="1" ht="12.75"/>
    <row r="937" s="333" customFormat="1" ht="12.75"/>
    <row r="938" s="333" customFormat="1" ht="12.75"/>
    <row r="939" s="333" customFormat="1" ht="12.75"/>
    <row r="940" s="333" customFormat="1" ht="12.75"/>
    <row r="941" s="333" customFormat="1" ht="12.75"/>
    <row r="942" s="333" customFormat="1" ht="12.75"/>
    <row r="943" s="333" customFormat="1" ht="12.75"/>
    <row r="944" s="333" customFormat="1" ht="12.75"/>
    <row r="945" s="333" customFormat="1" ht="12.75"/>
    <row r="946" s="333" customFormat="1" ht="12.75"/>
    <row r="947" s="333" customFormat="1" ht="12.75"/>
    <row r="948" s="333" customFormat="1" ht="12.75"/>
    <row r="949" s="333" customFormat="1" ht="12.75"/>
    <row r="950" s="333" customFormat="1" ht="12.75"/>
    <row r="951" s="333" customFormat="1" ht="12.75"/>
    <row r="952" s="333" customFormat="1" ht="12.75"/>
    <row r="953" s="333" customFormat="1" ht="12.75"/>
    <row r="954" s="333" customFormat="1" ht="12.75"/>
    <row r="955" s="333" customFormat="1" ht="12.75"/>
    <row r="956" s="333" customFormat="1" ht="12.75"/>
    <row r="957" s="333" customFormat="1" ht="12.75"/>
    <row r="958" s="333" customFormat="1" ht="12.75"/>
    <row r="959" s="333" customFormat="1" ht="12.75"/>
    <row r="960" s="333" customFormat="1" ht="12.75"/>
    <row r="961" s="333" customFormat="1" ht="12.75"/>
    <row r="962" s="333" customFormat="1" ht="12.75"/>
    <row r="963" s="333" customFormat="1" ht="12.75"/>
    <row r="964" s="333" customFormat="1" ht="12.75"/>
    <row r="965" s="333" customFormat="1" ht="12.75"/>
    <row r="966" s="333" customFormat="1" ht="12.75"/>
    <row r="967" s="333" customFormat="1" ht="12.75"/>
    <row r="968" s="333" customFormat="1" ht="12.75"/>
    <row r="969" s="333" customFormat="1" ht="12.75"/>
    <row r="970" s="333" customFormat="1" ht="12.75"/>
    <row r="971" s="333" customFormat="1" ht="12.75"/>
    <row r="972" s="333" customFormat="1" ht="12.75"/>
    <row r="973" s="333" customFormat="1" ht="12.75"/>
    <row r="974" s="333" customFormat="1" ht="12.75"/>
    <row r="975" s="333" customFormat="1" ht="12.75"/>
    <row r="976" s="333" customFormat="1" ht="12.75"/>
    <row r="977" s="333" customFormat="1" ht="12.75"/>
    <row r="978" s="333" customFormat="1" ht="12.75"/>
    <row r="979" s="333" customFormat="1" ht="12.75"/>
    <row r="980" s="333" customFormat="1" ht="12.75"/>
    <row r="981" s="333" customFormat="1" ht="12.75"/>
    <row r="982" s="333" customFormat="1" ht="12.75"/>
    <row r="983" s="333" customFormat="1" ht="12.75"/>
    <row r="984" s="333" customFormat="1" ht="12.75"/>
    <row r="985" s="333" customFormat="1" ht="12.75"/>
    <row r="986" s="333" customFormat="1" ht="12.75"/>
    <row r="987" s="333" customFormat="1" ht="12.75"/>
    <row r="988" s="333" customFormat="1" ht="12.75"/>
    <row r="989" s="333" customFormat="1" ht="12.75"/>
    <row r="990" s="333" customFormat="1" ht="12.75"/>
    <row r="991" s="333" customFormat="1" ht="12.75"/>
    <row r="992" s="333" customFormat="1" ht="12.75"/>
    <row r="993" s="333" customFormat="1" ht="12.75"/>
    <row r="994" s="333" customFormat="1" ht="12.75"/>
    <row r="995" s="333" customFormat="1" ht="12.75"/>
    <row r="996" s="333" customFormat="1" ht="12.75"/>
    <row r="997" s="333" customFormat="1" ht="12.75"/>
    <row r="998" s="333" customFormat="1" ht="12.75"/>
    <row r="999" s="333" customFormat="1" ht="12.75"/>
    <row r="1000" s="333" customFormat="1" ht="12.75"/>
    <row r="1001" s="357" customFormat="1" ht="12.75"/>
  </sheetData>
  <pageMargins left="0.7" right="0.7" top="0.78740157499999996" bottom="0.78740157499999996"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6">
    <tabColor theme="2" tint="-0.249977111117893"/>
    <outlinePr summaryBelow="0"/>
  </sheetPr>
  <dimension ref="A1:N1000"/>
  <sheetViews>
    <sheetView workbookViewId="0">
      <pane ySplit="12" topLeftCell="A13" activePane="bottomLeft" state="frozen"/>
      <selection activeCell="E31" sqref="E31"/>
      <selection pane="bottomLeft" activeCell="C32" sqref="C32"/>
    </sheetView>
  </sheetViews>
  <sheetFormatPr defaultColWidth="11.28515625" defaultRowHeight="15" outlineLevelRow="2"/>
  <cols>
    <col min="1" max="1" width="39.7109375" bestFit="1" customWidth="1"/>
    <col min="2" max="2" width="1.28515625" customWidth="1"/>
    <col min="3" max="22" width="12.7109375" customWidth="1"/>
  </cols>
  <sheetData>
    <row r="1" spans="1:13" s="332" customFormat="1" ht="12.75" hidden="1">
      <c r="A1" s="331"/>
    </row>
    <row r="2" spans="1:13" s="334" customFormat="1" ht="12.75" hidden="1">
      <c r="A2" s="333"/>
    </row>
    <row r="3" spans="1:13" s="334" customFormat="1" ht="12.75" hidden="1">
      <c r="A3" s="333" t="s">
        <v>422</v>
      </c>
    </row>
    <row r="4" spans="1:13" s="336" customFormat="1" ht="28.35" customHeight="1">
      <c r="A4" s="335"/>
      <c r="K4" s="337" t="str">
        <f>HYPERLINK("fdsup://FactSet/LN Cash Flow/?action=set_identifier&amp;identifier="&amp;B8,"Open the report in the workstation")</f>
        <v>Open the report in the workstation</v>
      </c>
    </row>
    <row r="5" spans="1:13" s="340" customFormat="1" ht="26.1" customHeight="1">
      <c r="A5" s="338" t="s">
        <v>422</v>
      </c>
      <c r="B5" s="339" t="str" cm="1">
        <f t="array" ref="B5">_xll.FDSRC("-",$B$8,"CE_NAME()")</f>
        <v>Delta Air Lines, Inc.</v>
      </c>
    </row>
    <row r="6" spans="1:13" s="343" customFormat="1" ht="16.350000000000001" customHeight="1">
      <c r="A6" s="341" t="s">
        <v>354</v>
      </c>
      <c r="B6" s="342" t="str" cm="1">
        <f t="array" ref="B6">_xll.FDSRC("-",$B$8,"CE_TICKER_HEADER()")</f>
        <v xml:space="preserve">DAL   247361702   B1W9D46   NYSE    Common stock    </v>
      </c>
    </row>
    <row r="7" spans="1:13" s="334" customFormat="1" ht="12.75">
      <c r="A7" s="1055" t="s">
        <v>355</v>
      </c>
    </row>
    <row r="8" spans="1:13" s="334" customFormat="1" ht="12.75">
      <c r="A8" s="344" t="s">
        <v>356</v>
      </c>
      <c r="B8" s="345" t="str">
        <f>'At a Glance'!CPYATGLANCEFF_RWIdentifier</f>
        <v>DAL-US</v>
      </c>
      <c r="C8" s="346"/>
      <c r="D8" s="346"/>
      <c r="E8" s="346"/>
      <c r="F8" s="346"/>
      <c r="G8" s="346"/>
      <c r="H8" s="346"/>
      <c r="I8" s="346"/>
      <c r="J8" s="346"/>
      <c r="K8" s="346"/>
      <c r="L8" s="346"/>
    </row>
    <row r="9" spans="1:13" s="334" customFormat="1" ht="12.75">
      <c r="A9" s="347"/>
      <c r="B9" s="348"/>
      <c r="C9" s="346"/>
      <c r="D9" s="346"/>
      <c r="E9" s="346"/>
      <c r="F9" s="346"/>
      <c r="G9" s="346"/>
      <c r="H9" s="346"/>
      <c r="I9" s="346"/>
      <c r="J9" s="346"/>
      <c r="K9" s="346"/>
      <c r="L9" s="346"/>
    </row>
    <row r="10" spans="1:13" s="334" customFormat="1" ht="12.75" hidden="1">
      <c r="A10" s="347"/>
      <c r="B10" s="349"/>
      <c r="C10" s="346"/>
      <c r="D10" s="346"/>
      <c r="E10" s="346"/>
      <c r="F10" s="346"/>
      <c r="G10" s="346"/>
      <c r="H10" s="346"/>
      <c r="I10" s="346"/>
      <c r="J10" s="346"/>
      <c r="K10" s="346"/>
      <c r="L10" s="346"/>
    </row>
    <row r="11" spans="1:13" s="352" customFormat="1" ht="12.75">
      <c r="A11" s="350"/>
      <c r="B11" s="351" t="str" cm="1">
        <f t="array" ref="B11">_xll.FDSRC("-",$B$8,"FF_FP_END_DATE('LTM','0','0',,RP)")</f>
        <v>09/2021</v>
      </c>
      <c r="C11" s="351" t="str">
        <f t="array" ref="C11:L11">_xll.FDSRC("-",$B$8,"FF_FP_END_DATE('ANN','0','-9',,RP)")</f>
        <v>12/2020</v>
      </c>
      <c r="D11" s="351" t="str">
        <v>12/2019</v>
      </c>
      <c r="E11" s="351" t="str">
        <v>12/2018</v>
      </c>
      <c r="F11" s="351" t="str">
        <v>12/2017</v>
      </c>
      <c r="G11" s="351" t="str">
        <v>12/2016</v>
      </c>
      <c r="H11" s="351" t="str">
        <v>12/2015</v>
      </c>
      <c r="I11" s="351" t="str">
        <v>12/2014</v>
      </c>
      <c r="J11" s="351" t="str">
        <v>12/2013</v>
      </c>
      <c r="K11" s="351" t="str">
        <v>12/2012</v>
      </c>
      <c r="L11" s="351" t="str">
        <v>12/2011</v>
      </c>
    </row>
    <row r="12" spans="1:13" s="352" customFormat="1" ht="12.75">
      <c r="A12" s="350"/>
      <c r="B12" s="359" t="s">
        <v>125</v>
      </c>
      <c r="C12" s="351" t="str">
        <f t="array" ref="C12:L12">_xll.FDSRC("-",$B$8,"INT_ARRAY(FF_FY_LENGTH_DAYS('ANN','0','-9'))+"" Days""")</f>
        <v>366 DAYS</v>
      </c>
      <c r="D12" s="351" t="str">
        <v>365 DAYS</v>
      </c>
      <c r="E12" s="351" t="str">
        <v>365 DAYS</v>
      </c>
      <c r="F12" s="351" t="str">
        <v>365 DAYS</v>
      </c>
      <c r="G12" s="351" t="str">
        <v>366 DAYS</v>
      </c>
      <c r="H12" s="351" t="str">
        <v>365 DAYS</v>
      </c>
      <c r="I12" s="351" t="str">
        <v>365 DAYS</v>
      </c>
      <c r="J12" s="351" t="str">
        <v>365 DAYS</v>
      </c>
      <c r="K12" s="351" t="str">
        <v>366 DAYS</v>
      </c>
      <c r="L12" s="351" t="str">
        <v>365 DAYS</v>
      </c>
    </row>
    <row r="13" spans="1:13" s="355" customFormat="1" ht="12.75">
      <c r="A13" s="353" t="s">
        <v>423</v>
      </c>
      <c r="B13" s="354"/>
      <c r="C13" s="354"/>
      <c r="D13" s="354"/>
      <c r="E13" s="354"/>
      <c r="F13" s="354"/>
      <c r="G13" s="354"/>
      <c r="H13" s="354"/>
      <c r="I13" s="354"/>
      <c r="J13" s="354"/>
      <c r="K13" s="354"/>
      <c r="L13" s="354"/>
    </row>
    <row r="14" spans="1:13" s="355" customFormat="1" ht="12.75">
      <c r="A14" s="353" t="s">
        <v>424</v>
      </c>
      <c r="B14" s="354"/>
      <c r="C14" s="354"/>
      <c r="D14" s="354"/>
      <c r="E14" s="354"/>
      <c r="F14" s="354"/>
      <c r="G14" s="354"/>
      <c r="H14" s="354"/>
      <c r="I14" s="354"/>
      <c r="J14" s="354"/>
      <c r="K14" s="354"/>
      <c r="L14" s="354"/>
    </row>
    <row r="15" spans="1:13" s="334" customFormat="1" ht="12.75" outlineLevel="1">
      <c r="A15" s="347" t="s">
        <v>425</v>
      </c>
      <c r="B15" s="351" t="str" cm="1">
        <f t="array" ref="B15">_xll.FDSRC("-",$B$8,"FF_NET_INC_CF('LTM','0','0','QUARTERLY',RP,'LOCAL','B')")</f>
        <v>-</v>
      </c>
      <c r="C15" s="351">
        <f t="array" ref="C15:L15">_xll.FDSRC("-",$B$8,"FF_NET_INC_CF('ANN','0','-9','YEARLY',RP,'LOCAL','B')")</f>
        <v>-12.385</v>
      </c>
      <c r="D15" s="351">
        <v>4.7670000000000003</v>
      </c>
      <c r="E15" s="351">
        <v>3.9350000000000001</v>
      </c>
      <c r="F15" s="351">
        <v>3.577</v>
      </c>
      <c r="G15" s="351">
        <v>4.3730000000000002</v>
      </c>
      <c r="H15" s="351">
        <v>4.5259999999999998</v>
      </c>
      <c r="I15" s="351">
        <v>0.65900000000000003</v>
      </c>
      <c r="J15" s="351">
        <v>10.54</v>
      </c>
      <c r="K15" s="351">
        <v>1.0089999999999999</v>
      </c>
      <c r="L15" s="351">
        <v>0.85399999999999998</v>
      </c>
      <c r="M15" s="366"/>
    </row>
    <row r="16" spans="1:13" s="334" customFormat="1" ht="12.75" outlineLevel="1">
      <c r="A16" s="347" t="s">
        <v>426</v>
      </c>
      <c r="B16" s="351" t="str" cm="1">
        <f t="array" ref="B16">_xll.FDSRC("-",$B$8,"FF_DEP_EXP_CF('LTM','0','0','QUARTERLY',RP,'LOCAL','B')")</f>
        <v>-</v>
      </c>
      <c r="C16" s="351">
        <f t="array" ref="C16:L16">_xll.FDSRC("-",$B$8,"FF_DEP_EXP_CF('ANN','0','-9','YEARLY',RP,'LOCAL','B')")</f>
        <v>2.3119999999999998</v>
      </c>
      <c r="D16" s="351">
        <v>2.581</v>
      </c>
      <c r="E16" s="351">
        <v>2.3290000000000002</v>
      </c>
      <c r="F16" s="351">
        <v>2.2349999999999999</v>
      </c>
      <c r="G16" s="351">
        <v>1.9019999999999999</v>
      </c>
      <c r="H16" s="351">
        <v>1.835</v>
      </c>
      <c r="I16" s="351">
        <v>1.7709999999999999</v>
      </c>
      <c r="J16" s="351">
        <v>1.6579999999999999</v>
      </c>
      <c r="K16" s="351">
        <v>1.5649999999999999</v>
      </c>
      <c r="L16" s="351">
        <v>1.5229999999999999</v>
      </c>
      <c r="M16" s="366"/>
    </row>
    <row r="17" spans="1:14" s="334" customFormat="1" ht="12.75" outlineLevel="1">
      <c r="A17" s="347" t="s">
        <v>427</v>
      </c>
      <c r="B17" s="351" cm="1">
        <f t="array" ref="B17">_xll.FDSRC("-",$B$8,"FF_DFD_TAX_CF('LTM','0','0','QUARTERLY',RP,'LOCAL','B')")</f>
        <v>-3.11</v>
      </c>
      <c r="C17" s="351">
        <f t="array" ref="C17:L17">_xll.FDSRC("-",$B$8,"FF_DFD_TAX_CF('ANN','0','-9','YEARLY',RP,'LOCAL','B')")</f>
        <v>-3.11</v>
      </c>
      <c r="D17" s="351">
        <v>1.4730000000000001</v>
      </c>
      <c r="E17" s="351">
        <v>1.3640000000000001</v>
      </c>
      <c r="F17" s="351">
        <v>2.0710000000000002</v>
      </c>
      <c r="G17" s="351">
        <v>2.2229999999999999</v>
      </c>
      <c r="H17" s="351">
        <v>2.581</v>
      </c>
      <c r="I17" s="351">
        <v>0.41399999999999998</v>
      </c>
      <c r="J17" s="351">
        <v>-7.9909999999999997</v>
      </c>
      <c r="K17" s="351">
        <v>1.7000000000000001E-2</v>
      </c>
      <c r="L17" s="351">
        <v>-2E-3</v>
      </c>
      <c r="M17" s="366"/>
    </row>
    <row r="18" spans="1:14" s="334" customFormat="1" ht="12.75" outlineLevel="1">
      <c r="A18" s="347" t="s">
        <v>428</v>
      </c>
      <c r="B18" s="351" t="str" cm="1">
        <f t="array" ref="B18">_xll.FDSRC("-",$B$8,"FF_NON_CASH('LTM','0','0','QUARTERLY',RP,'LOCAL','B')")</f>
        <v>-</v>
      </c>
      <c r="C18" s="351">
        <f t="array" ref="C18:L18">_xll.FDSRC("-",$B$8,"FF_NON_CASH('ANN','0','-9','YEARLY',RP,'LOCAL','B')")</f>
        <v>7.4409999999999998</v>
      </c>
      <c r="D18" s="351">
        <v>-0.92200000000000004</v>
      </c>
      <c r="E18" s="351">
        <v>-0.79</v>
      </c>
      <c r="F18" s="351">
        <v>-3.31</v>
      </c>
      <c r="G18" s="351">
        <v>-1.2190000000000001</v>
      </c>
      <c r="H18" s="351">
        <v>-2.3570000000000002</v>
      </c>
      <c r="I18" s="351">
        <v>2.6539999999999999</v>
      </c>
      <c r="J18" s="351">
        <v>-0.44700000000000001</v>
      </c>
      <c r="K18" s="351">
        <v>-0.26300000000000001</v>
      </c>
      <c r="L18" s="351">
        <v>0.30199999999999999</v>
      </c>
      <c r="M18" s="366"/>
    </row>
    <row r="19" spans="1:14" s="369" customFormat="1" ht="12.75" outlineLevel="1">
      <c r="A19" s="367" t="s">
        <v>429</v>
      </c>
      <c r="B19" s="368" t="str" cm="1">
        <f t="array" ref="B19">_xll.FDSRC("-",$B$8,"FF_FUNDS_OPER_GROSS('LTM','0','0','QUARTERLY',RP,'LOCAL','B')")</f>
        <v>-</v>
      </c>
      <c r="C19" s="368">
        <f t="array" ref="C19:L19">_xll.FDSRC("-",$B$8,"FF_FUNDS_OPER_GROSS('ANN','0','-9','YEARLY',RP,'LOCAL','B')")</f>
        <v>-5.742</v>
      </c>
      <c r="D19" s="368">
        <v>7.899</v>
      </c>
      <c r="E19" s="368">
        <v>6.8380000000000001</v>
      </c>
      <c r="F19" s="368">
        <v>4.5730000000000004</v>
      </c>
      <c r="G19" s="368">
        <v>7.2789999999999999</v>
      </c>
      <c r="H19" s="368">
        <v>6.585</v>
      </c>
      <c r="I19" s="368">
        <v>5.4980000000000002</v>
      </c>
      <c r="J19" s="368">
        <v>3.76</v>
      </c>
      <c r="K19" s="368">
        <v>2.3279999999999998</v>
      </c>
      <c r="L19" s="368">
        <v>2.677</v>
      </c>
      <c r="M19" s="366"/>
    </row>
    <row r="20" spans="1:14" s="334" customFormat="1" ht="12.75" outlineLevel="1">
      <c r="A20" s="347" t="s">
        <v>430</v>
      </c>
      <c r="B20" s="351" t="str" cm="1">
        <f t="array" ref="B20">_xll.FDSRC("-",$B$8,"FF_WKCAP_CHG('LTM','0','0','QUARTERLY',RP,'LOCAL','B')")</f>
        <v>-</v>
      </c>
      <c r="C20" s="351">
        <f t="array" ref="C20:L20">_xll.FDSRC("-",$B$8,"FF_WKCAP_CHG('ANN','0','-9','YEARLY',RP,'LOCAL','B')")</f>
        <v>1.9490000000000001</v>
      </c>
      <c r="D20" s="351">
        <v>0.52600000000000002</v>
      </c>
      <c r="E20" s="351">
        <v>0.17599999999999999</v>
      </c>
      <c r="F20" s="351">
        <v>0.57499999999999996</v>
      </c>
      <c r="G20" s="351">
        <v>-6.3E-2</v>
      </c>
      <c r="H20" s="351">
        <v>1.335</v>
      </c>
      <c r="I20" s="351">
        <v>-0.61299999999999999</v>
      </c>
      <c r="J20" s="351">
        <v>0.51300000000000001</v>
      </c>
      <c r="K20" s="351">
        <v>0.14799999999999999</v>
      </c>
      <c r="L20" s="351">
        <v>0.157</v>
      </c>
      <c r="M20" s="366"/>
    </row>
    <row r="21" spans="1:14" s="369" customFormat="1" ht="12.75" outlineLevel="1">
      <c r="A21" s="367" t="s">
        <v>431</v>
      </c>
      <c r="B21" s="368" cm="1">
        <f t="array" ref="B21">_xll.FDSRC("-",$B$8,"FF_OPER_CF('LTM','0','0','QUARTERLY',RP,'LOCAL','B')")</f>
        <v>1.4219999999999999</v>
      </c>
      <c r="C21" s="368">
        <f t="array" ref="C21:L21">_xll.FDSRC("-",$B$8,"FF_OPER_CF('ANN','0','-9','YEARLY',RP,'LOCAL','B')")</f>
        <v>-3.7930000000000001</v>
      </c>
      <c r="D21" s="368">
        <v>8.4250000000000007</v>
      </c>
      <c r="E21" s="368">
        <v>7.0140000000000002</v>
      </c>
      <c r="F21" s="368">
        <v>5.1479999999999997</v>
      </c>
      <c r="G21" s="368">
        <v>7.2160000000000002</v>
      </c>
      <c r="H21" s="368">
        <v>7.92</v>
      </c>
      <c r="I21" s="368">
        <v>4.8849999999999998</v>
      </c>
      <c r="J21" s="368">
        <v>4.2729999999999997</v>
      </c>
      <c r="K21" s="368">
        <v>2.476</v>
      </c>
      <c r="L21" s="368">
        <v>2.8340000000000001</v>
      </c>
      <c r="M21" s="366"/>
    </row>
    <row r="22" spans="1:14" s="355" customFormat="1" ht="12.75">
      <c r="A22" s="344" t="s">
        <v>432</v>
      </c>
      <c r="B22" s="354"/>
      <c r="C22" s="354"/>
      <c r="D22" s="354"/>
      <c r="E22" s="354"/>
      <c r="F22" s="354"/>
      <c r="G22" s="354"/>
      <c r="H22" s="354"/>
      <c r="I22" s="354"/>
      <c r="J22" s="354"/>
      <c r="K22" s="354"/>
      <c r="L22" s="354"/>
      <c r="M22" s="370"/>
      <c r="N22" s="370"/>
    </row>
    <row r="23" spans="1:14" s="334" customFormat="1" ht="12.75" outlineLevel="1">
      <c r="A23" s="347" t="s">
        <v>50</v>
      </c>
      <c r="B23" s="351" cm="1">
        <f t="array" ref="B23">_xll.FDSRC("-",$B$8,"-1.000000 * FF_CAPEX('LTM','0','0','QUARTERLY',RP,'LOCAL','B')")</f>
        <v>-2.577</v>
      </c>
      <c r="C23" s="351">
        <f t="array" ref="C23:L23">_xll.FDSRC("-",$B$8,"-1.000000 * FF_CAPEX('ANN','0','-9','YEARLY',RP,'LOCAL','B')")</f>
        <v>-1.899</v>
      </c>
      <c r="D23" s="351">
        <v>-4.9359999999999999</v>
      </c>
      <c r="E23" s="351">
        <v>-5.1680000000000001</v>
      </c>
      <c r="F23" s="351">
        <v>-3.891</v>
      </c>
      <c r="G23" s="351">
        <v>-3.391</v>
      </c>
      <c r="H23" s="351">
        <v>-2.9449999999999998</v>
      </c>
      <c r="I23" s="351">
        <v>-2.2490000000000001</v>
      </c>
      <c r="J23" s="351">
        <v>-2.5680000000000001</v>
      </c>
      <c r="K23" s="351">
        <v>-1.968</v>
      </c>
      <c r="L23" s="351">
        <v>-1.254</v>
      </c>
      <c r="M23" s="366"/>
    </row>
    <row r="24" spans="1:14" s="334" customFormat="1" ht="12.75" outlineLevel="1">
      <c r="A24" s="347" t="s">
        <v>433</v>
      </c>
      <c r="B24" s="351" cm="1">
        <f t="array" ref="B24">_xll.FDSRC("-",$B$8,"-FF_ACQ_BUS_CF('LTM','0','0','QUARTERLY',RP,'LOCAL','B')")</f>
        <v>0</v>
      </c>
      <c r="C24" s="351">
        <f t="array" ref="C24:L24">_xll.FDSRC("-",$B$8,"-FF_ACQ_BUS_CF('ANN','0','-9','YEARLY',RP,'LOCAL','B')")</f>
        <v>0</v>
      </c>
      <c r="D24" s="351">
        <v>0</v>
      </c>
      <c r="E24" s="351">
        <v>0</v>
      </c>
      <c r="F24" s="351">
        <v>0</v>
      </c>
      <c r="G24" s="351">
        <v>0</v>
      </c>
      <c r="H24" s="351">
        <v>-0.27600000000000002</v>
      </c>
      <c r="I24" s="351">
        <v>0</v>
      </c>
      <c r="J24" s="351">
        <v>0</v>
      </c>
      <c r="K24" s="351">
        <v>0</v>
      </c>
      <c r="L24" s="351">
        <v>0</v>
      </c>
      <c r="M24" s="366"/>
    </row>
    <row r="25" spans="1:14" s="334" customFormat="1" ht="12.75" outlineLevel="1">
      <c r="A25" s="347" t="s">
        <v>434</v>
      </c>
      <c r="B25" s="351" cm="1">
        <f t="array" ref="B25">_xll.FDSRC("-",$B$8,"FF_INVEST_PURCH_SALE_CF('LTM','0','0','QUARTERLY',RP,'LOCAL','B')")</f>
        <v>0.61300000000000099</v>
      </c>
      <c r="C25" s="351">
        <f t="array" ref="C25:L25">_xll.FDSRC("-",$B$8,"FF_INVEST_PURCH_SALE_CF('ANN','0','-9','YEARLY',RP,'LOCAL','B')")</f>
        <v>-7.891</v>
      </c>
      <c r="D25" s="351">
        <v>0.315</v>
      </c>
      <c r="E25" s="351">
        <v>0.621</v>
      </c>
      <c r="F25" s="351">
        <v>-1.5860000000000001</v>
      </c>
      <c r="G25" s="351">
        <v>0.97899999999999998</v>
      </c>
      <c r="H25" s="351">
        <v>-0.75900000000000001</v>
      </c>
      <c r="I25" s="351">
        <v>-0.26200000000000001</v>
      </c>
      <c r="J25" s="351">
        <v>-0.20200000000000001</v>
      </c>
      <c r="K25" s="351">
        <v>6.1000000000000103E-2</v>
      </c>
      <c r="L25" s="351">
        <v>-0.23400000000000001</v>
      </c>
      <c r="M25" s="366"/>
    </row>
    <row r="26" spans="1:14" s="334" customFormat="1" ht="12.75" outlineLevel="1">
      <c r="A26" s="347" t="s">
        <v>428</v>
      </c>
      <c r="B26" s="351" cm="1">
        <f t="array" ref="B26">_xll.FDSRC("-",$B$8,"SUMAV(FF_INVEST_USES_CF('LTM','0','0','QUARTERLY',RP,'LOCAL','B'),FF_INVEST_SOURCES_CF('LTM','0','0','QUARTERLY',RP,'LOCAL','B'))")</f>
        <v>0.498</v>
      </c>
      <c r="C26" s="351">
        <f t="array" ref="C26:L26">_xll.FDSRC("-",$B$8,"SUMAV(FF_INVEST_USES_CF('ANN','0','-9','YEARLY',RP,'LOCAL','B'),FF_INVEST_SOURCES_CF('ANN','0','-9','YEARLY',RP,'LOCAL','B'))")</f>
        <v>8.6999999999999994E-2</v>
      </c>
      <c r="D26" s="351">
        <v>5.8000000000000003E-2</v>
      </c>
      <c r="E26" s="351">
        <v>0.154</v>
      </c>
      <c r="F26" s="351">
        <v>0.111</v>
      </c>
      <c r="G26" s="351">
        <v>3.1E-2</v>
      </c>
      <c r="H26" s="351">
        <v>2.5000000000000001E-2</v>
      </c>
      <c r="I26" s="351">
        <v>4.8000000000000001E-2</v>
      </c>
      <c r="J26" s="351">
        <v>1.4E-2</v>
      </c>
      <c r="K26" s="351">
        <v>-5.5E-2</v>
      </c>
      <c r="L26" s="351">
        <v>-0.01</v>
      </c>
      <c r="M26" s="366"/>
    </row>
    <row r="27" spans="1:14" s="369" customFormat="1" ht="12.75" outlineLevel="1">
      <c r="A27" s="367" t="s">
        <v>435</v>
      </c>
      <c r="B27" s="368" cm="1">
        <f t="array" ref="B27">_xll.FDSRC("-",$B$8,"FF_INVEST_CF('LTM','0','0','QUARTERLY',RP,'LOCAL','B')")</f>
        <v>-1.466</v>
      </c>
      <c r="C27" s="368">
        <f t="array" ref="C27:L27">_xll.FDSRC("-",$B$8,"FF_INVEST_CF('ANN','0','-9','YEARLY',RP,'LOCAL','B')")</f>
        <v>-9.2379999999999995</v>
      </c>
      <c r="D27" s="368">
        <v>-4.5629999999999997</v>
      </c>
      <c r="E27" s="368">
        <v>-4.3929999999999998</v>
      </c>
      <c r="F27" s="368">
        <v>-5.3659999999999997</v>
      </c>
      <c r="G27" s="368">
        <v>-2.1549999999999998</v>
      </c>
      <c r="H27" s="368">
        <v>-3.9550000000000001</v>
      </c>
      <c r="I27" s="368">
        <v>-2.4630000000000001</v>
      </c>
      <c r="J27" s="368">
        <v>-2.7559999999999998</v>
      </c>
      <c r="K27" s="368">
        <v>-1.962</v>
      </c>
      <c r="L27" s="368">
        <v>-1.498</v>
      </c>
      <c r="M27" s="366"/>
    </row>
    <row r="28" spans="1:14" s="355" customFormat="1" ht="12.75">
      <c r="A28" s="344" t="s">
        <v>436</v>
      </c>
      <c r="B28" s="354"/>
      <c r="C28" s="354"/>
      <c r="D28" s="354"/>
      <c r="E28" s="354"/>
      <c r="F28" s="354"/>
      <c r="G28" s="354"/>
      <c r="H28" s="354"/>
      <c r="I28" s="354"/>
      <c r="J28" s="354"/>
      <c r="K28" s="354"/>
      <c r="L28" s="354"/>
    </row>
    <row r="29" spans="1:14" s="334" customFormat="1" ht="12.75" outlineLevel="1">
      <c r="A29" s="347" t="s">
        <v>437</v>
      </c>
      <c r="B29" s="351" cm="1">
        <f t="array" ref="B29">_xll.FDSRC("-",$B$8,"-FF_DIV_CF('LTM','0','0','QUARTERLY',RP,'LOCAL','B')")</f>
        <v>0</v>
      </c>
      <c r="C29" s="351">
        <f t="array" ref="C29:L29">_xll.FDSRC("-",$B$8,"-FF_DIV_CF('ANN','0','-9','YEARLY',RP,'LOCAL','B')")</f>
        <v>-0.26</v>
      </c>
      <c r="D29" s="351">
        <v>-0.98</v>
      </c>
      <c r="E29" s="351">
        <v>-0.90900000000000003</v>
      </c>
      <c r="F29" s="351">
        <v>-0.73099999999999998</v>
      </c>
      <c r="G29" s="351">
        <v>-0.50900000000000001</v>
      </c>
      <c r="H29" s="351">
        <v>-0.35899999999999999</v>
      </c>
      <c r="I29" s="351">
        <v>-0.251</v>
      </c>
      <c r="J29" s="351">
        <v>-0.10199999999999999</v>
      </c>
      <c r="K29" s="351">
        <v>0</v>
      </c>
      <c r="L29" s="351">
        <v>0</v>
      </c>
      <c r="M29" s="366"/>
    </row>
    <row r="30" spans="1:14" s="334" customFormat="1" ht="12.75" outlineLevel="1">
      <c r="A30" s="347" t="s">
        <v>438</v>
      </c>
      <c r="B30" s="351" cm="1">
        <f t="array" ref="B30">_xll.FDSRC("-",$B$8,"FF_STK_CHG_CF('LTM','0','0','QUARTERLY',RP,'LOCAL','B')")</f>
        <v>0</v>
      </c>
      <c r="C30" s="351">
        <f t="array" ref="C30:L30">_xll.FDSRC("-",$B$8,"FF_STK_CHG_CF('ANN','0','-9','YEARLY',RP,'LOCAL','B')")</f>
        <v>-0.34399999999999997</v>
      </c>
      <c r="D30" s="351">
        <v>-2.0270000000000001</v>
      </c>
      <c r="E30" s="351">
        <v>-1.575</v>
      </c>
      <c r="F30" s="351">
        <v>-1.677</v>
      </c>
      <c r="G30" s="351">
        <v>-2.601</v>
      </c>
      <c r="H30" s="351">
        <v>-2.2000000000000002</v>
      </c>
      <c r="I30" s="351">
        <v>-1.1000000000000001</v>
      </c>
      <c r="J30" s="351">
        <v>-0.25</v>
      </c>
      <c r="K30" s="351">
        <v>0</v>
      </c>
      <c r="L30" s="351">
        <v>0</v>
      </c>
      <c r="M30" s="366"/>
    </row>
    <row r="31" spans="1:14" s="334" customFormat="1" ht="12.75" outlineLevel="1">
      <c r="A31" s="347" t="s">
        <v>439</v>
      </c>
      <c r="B31" s="351" cm="1">
        <f t="array" ref="B31">_xll.FDSRC("-",$B$8,"FF_DEBT_CF('LTM','0','0','QUARTERLY',RP,'LOCAL','B')")</f>
        <v>-8.7149999999999999</v>
      </c>
      <c r="C31" s="351">
        <f t="array" ref="C31:L31">_xll.FDSRC("-",$B$8,"FF_DEBT_CF('ANN','0','-9','YEARLY',RP,'LOCAL','B')")</f>
        <v>19.797999999999998</v>
      </c>
      <c r="D31" s="351">
        <v>0.48699999999999999</v>
      </c>
      <c r="E31" s="351">
        <v>0.69299999999999995</v>
      </c>
      <c r="F31" s="351">
        <v>1.196</v>
      </c>
      <c r="G31" s="351">
        <v>-1.2589999999999999</v>
      </c>
      <c r="H31" s="351">
        <v>-1.52</v>
      </c>
      <c r="I31" s="351">
        <v>-1.9079999999999999</v>
      </c>
      <c r="J31" s="351">
        <v>-1.1930000000000001</v>
      </c>
      <c r="K31" s="351">
        <v>-0.94</v>
      </c>
      <c r="L31" s="351">
        <v>-1.7769999999999999</v>
      </c>
      <c r="M31" s="366"/>
    </row>
    <row r="32" spans="1:14" s="334" customFormat="1" ht="12.75" outlineLevel="1">
      <c r="A32" s="347" t="s">
        <v>428</v>
      </c>
      <c r="B32" s="351" cm="1">
        <f t="array" ref="B32">_xll.FDSRC("-",$B$8,"FF_FIN_ACTIV_OTH_CF('LTM','0','0','QUARTERLY',RP,'LOCAL','B')")</f>
        <v>7.2999999999999995E-2</v>
      </c>
      <c r="C32" s="351">
        <f t="array" ref="C32:L32">_xll.FDSRC("-",$B$8,"FF_FIN_ACTIV_OTH_CF('ANN','0','-9','YEARLY',RP,'LOCAL','B')")</f>
        <v>0.16200000000000001</v>
      </c>
      <c r="D32" s="351">
        <v>-0.36</v>
      </c>
      <c r="E32" s="351">
        <v>6.5000000000000002E-2</v>
      </c>
      <c r="F32" s="351">
        <v>0.48199999999999998</v>
      </c>
      <c r="G32" s="351">
        <v>0.109</v>
      </c>
      <c r="H32" s="351">
        <v>-8.9999999999999993E-3</v>
      </c>
      <c r="I32" s="351">
        <v>1.9E-2</v>
      </c>
      <c r="J32" s="351">
        <v>0.22500000000000001</v>
      </c>
      <c r="K32" s="351">
        <v>0.185</v>
      </c>
      <c r="L32" s="351">
        <v>0.20599999999999999</v>
      </c>
      <c r="M32" s="366"/>
    </row>
    <row r="33" spans="1:13" s="369" customFormat="1" ht="12.75" outlineLevel="1">
      <c r="A33" s="367" t="s">
        <v>440</v>
      </c>
      <c r="B33" s="368" cm="1">
        <f t="array" ref="B33">_xll.FDSRC("-",$B$8,"FF_FIN_CF('LTM','0','0','QUARTERLY',RP,'LOCAL','B')")</f>
        <v>-8.6419999999999995</v>
      </c>
      <c r="C33" s="368">
        <f t="array" ref="C33:L33">_xll.FDSRC("-",$B$8,"FF_FIN_CF('ANN','0','-9','YEARLY',RP,'LOCAL','B')")</f>
        <v>19.356000000000002</v>
      </c>
      <c r="D33" s="368">
        <v>-2.88</v>
      </c>
      <c r="E33" s="368">
        <v>-1.726</v>
      </c>
      <c r="F33" s="368">
        <v>-0.73</v>
      </c>
      <c r="G33" s="368">
        <v>-4.26</v>
      </c>
      <c r="H33" s="368">
        <v>-4.0880000000000001</v>
      </c>
      <c r="I33" s="368">
        <v>-3.24</v>
      </c>
      <c r="J33" s="368">
        <v>-1.32</v>
      </c>
      <c r="K33" s="368">
        <v>-0.755</v>
      </c>
      <c r="L33" s="368">
        <v>-1.571</v>
      </c>
      <c r="M33" s="366"/>
    </row>
    <row r="34" spans="1:13" s="334" customFormat="1" ht="12.75">
      <c r="A34" s="347"/>
      <c r="B34" s="346"/>
      <c r="C34" s="346"/>
      <c r="D34" s="346"/>
      <c r="E34" s="346"/>
      <c r="F34" s="346"/>
      <c r="G34" s="346"/>
      <c r="H34" s="346"/>
      <c r="I34" s="346"/>
      <c r="J34" s="346"/>
      <c r="K34" s="346"/>
      <c r="L34" s="346"/>
    </row>
    <row r="35" spans="1:13" s="355" customFormat="1" ht="12.75">
      <c r="A35" s="344" t="s">
        <v>441</v>
      </c>
      <c r="B35" s="356" cm="1">
        <f t="array" ref="B35">_xll.FDSRC("-",$B$8,"FF_CHG_CASH_CF('LTM','0','0','QUARTERLY',RP,'LOCAL','B')")</f>
        <v>-8.6859999999999999</v>
      </c>
      <c r="C35" s="356">
        <f t="array" ref="C35:L35">_xll.FDSRC("-",$B$8,"FF_CHG_CASH_CF('ANN','0','-9','YEARLY',RP,'LOCAL','B')")</f>
        <v>6.3250000000000002</v>
      </c>
      <c r="D35" s="356">
        <v>0.98199999999999998</v>
      </c>
      <c r="E35" s="356">
        <v>0.89500000000000002</v>
      </c>
      <c r="F35" s="356">
        <v>-0.94799999999999995</v>
      </c>
      <c r="G35" s="356">
        <v>0.80100000000000005</v>
      </c>
      <c r="H35" s="356">
        <v>-0.123</v>
      </c>
      <c r="I35" s="356">
        <v>-0.81799999999999995</v>
      </c>
      <c r="J35" s="356">
        <v>0.19700000000000001</v>
      </c>
      <c r="K35" s="356">
        <v>-0.24099999999999999</v>
      </c>
      <c r="L35" s="356">
        <v>-0.23499999999999999</v>
      </c>
      <c r="M35" s="370"/>
    </row>
    <row r="36" spans="1:13" s="334" customFormat="1" ht="12.75">
      <c r="A36" s="347"/>
      <c r="B36" s="346"/>
      <c r="C36" s="346"/>
      <c r="D36" s="346"/>
      <c r="E36" s="346"/>
      <c r="F36" s="346"/>
      <c r="G36" s="346"/>
      <c r="H36" s="346"/>
      <c r="I36" s="346"/>
      <c r="J36" s="346"/>
      <c r="K36" s="346"/>
      <c r="L36" s="346"/>
    </row>
    <row r="37" spans="1:13" s="334" customFormat="1" ht="12.75">
      <c r="A37" s="347" t="s">
        <v>143</v>
      </c>
      <c r="B37" s="351" cm="1">
        <f t="array" ref="B37">_xll.FDSRC("-",$B$8,"FF_FREE_CF('LTM' + '_FCFE','0','0','QUARTERLY',RP,'LOCAL','B')")</f>
        <v>-1.155</v>
      </c>
      <c r="C37" s="351">
        <f t="array" ref="C37:L37">_xll.FDSRC("-",$B$8,"FF_FREE_CF('ANN' + '_FCFE','0','-9','YEARLY',RP,'LOCAL','B')")</f>
        <v>-5.6920000000000002</v>
      </c>
      <c r="D37" s="351">
        <v>3.4889999999999999</v>
      </c>
      <c r="E37" s="351">
        <v>1.8460000000000001</v>
      </c>
      <c r="F37" s="351">
        <v>1.2569999999999999</v>
      </c>
      <c r="G37" s="351">
        <v>3.8250000000000002</v>
      </c>
      <c r="H37" s="351">
        <v>4.9749999999999996</v>
      </c>
      <c r="I37" s="351">
        <v>2.6360000000000001</v>
      </c>
      <c r="J37" s="351">
        <v>1.7050000000000001</v>
      </c>
      <c r="K37" s="351">
        <v>0.50800000000000001</v>
      </c>
      <c r="L37" s="351">
        <v>1.58</v>
      </c>
    </row>
    <row r="38" spans="1:13" s="334" customFormat="1" ht="12.75" outlineLevel="1">
      <c r="A38" s="347" t="s">
        <v>442</v>
      </c>
      <c r="B38" s="351" cm="1">
        <f t="array" ref="B38">_xll.FDSRC("-",$B$8,"FF_FREE_PS_CF('LTM' + '_FCFE','0','0','QUARTERLY',RP,'LOCAL','B')")</f>
        <v>-1.8018720748829999</v>
      </c>
      <c r="C38" s="351">
        <f t="array" ref="C38:L38">_xll.FDSRC("-",$B$8,"FF_FREE_PS_CF('ANN' + '_FCFE','0','-9','YEARLY',RP,'LOCAL','B')")</f>
        <v>-8.9496855345911897</v>
      </c>
      <c r="D38" s="351">
        <v>5.3430321592649301</v>
      </c>
      <c r="E38" s="351">
        <v>2.65994236311239</v>
      </c>
      <c r="F38" s="351">
        <v>1.73858921161826</v>
      </c>
      <c r="G38" s="351">
        <v>5.0662251655629102</v>
      </c>
      <c r="H38" s="351">
        <v>6.1878109452736298</v>
      </c>
      <c r="I38" s="351">
        <v>3.1195266272189399</v>
      </c>
      <c r="J38" s="351">
        <v>1.9871794871794899</v>
      </c>
      <c r="K38" s="351">
        <v>0.59764705882352898</v>
      </c>
      <c r="L38" s="351">
        <v>1.8720379146919399</v>
      </c>
    </row>
    <row r="39" spans="1:13" s="334" customFormat="1" ht="12.75" outlineLevel="1">
      <c r="A39" s="347" t="s">
        <v>443</v>
      </c>
      <c r="B39" s="351" cm="1">
        <f t="array" ref="B39">_xll.FDSRC("-",$B$8,"FF_FCF_YLD('LTM' + '_FCFE','0','0','QUARTERLY',RP)")</f>
        <v>-4.2287539893991903</v>
      </c>
      <c r="C39" s="351">
        <f t="array" ref="C39:L39">_xll.FDSRC("-",$B$8,"FF_FCF_YLD('ANN' + '_FCFE','0','-9','YEARLY',RP)")</f>
        <v>-22.257362682395399</v>
      </c>
      <c r="D39" s="351">
        <v>9.1365119002478306</v>
      </c>
      <c r="E39" s="351">
        <v>5.3305458178605001</v>
      </c>
      <c r="F39" s="351">
        <v>3.1046235921754599</v>
      </c>
      <c r="G39" s="351">
        <v>10.299298974512901</v>
      </c>
      <c r="H39" s="351">
        <v>12.207163040587201</v>
      </c>
      <c r="I39" s="351">
        <v>6.3417902565947104</v>
      </c>
      <c r="J39" s="351">
        <v>7.2339988612285699</v>
      </c>
      <c r="K39" s="351">
        <v>5.0349373110659599</v>
      </c>
      <c r="L39" s="351">
        <v>23.140147276785498</v>
      </c>
    </row>
    <row r="40" spans="1:13" s="334" customFormat="1" ht="12.75">
      <c r="A40" s="347" t="s">
        <v>381</v>
      </c>
      <c r="B40" s="346"/>
      <c r="C40" s="346"/>
      <c r="D40" s="346"/>
      <c r="E40" s="346"/>
      <c r="F40" s="346"/>
      <c r="G40" s="346"/>
      <c r="H40" s="346"/>
      <c r="I40" s="346"/>
      <c r="J40" s="346"/>
      <c r="K40" s="346"/>
      <c r="L40" s="346"/>
    </row>
    <row r="41" spans="1:13" s="334" customFormat="1" ht="12.75">
      <c r="A41" s="347" t="s">
        <v>444</v>
      </c>
      <c r="B41" s="351" t="str" cm="1">
        <f t="array" ref="B41">_xll.FDSRC("-",$B$8,"FF_INT_CF('LTM','0','0','QUARTERLY',RP,'LOCAL','B')")</f>
        <v>-</v>
      </c>
      <c r="C41" s="351">
        <f t="array" ref="C41:L41">_xll.FDSRC("-",$B$8,"FF_INT_CF('ANN','0','-9','YEARLY',RP,'LOCAL','B')")</f>
        <v>0.76100000000000001</v>
      </c>
      <c r="D41" s="351">
        <v>0.48099999999999998</v>
      </c>
      <c r="E41" s="351">
        <v>0.376</v>
      </c>
      <c r="F41" s="351">
        <v>0.39</v>
      </c>
      <c r="G41" s="351">
        <v>0.38500000000000001</v>
      </c>
      <c r="H41" s="351">
        <v>0.45200000000000001</v>
      </c>
      <c r="I41" s="351">
        <v>0.56000000000000005</v>
      </c>
      <c r="J41" s="351">
        <v>0.69799999999999995</v>
      </c>
      <c r="K41" s="351">
        <v>0.83399999999999996</v>
      </c>
      <c r="L41" s="351">
        <v>0.92500000000000004</v>
      </c>
    </row>
    <row r="42" spans="1:13" s="334" customFormat="1" ht="12.75">
      <c r="A42" s="347" t="s">
        <v>445</v>
      </c>
      <c r="B42" s="351" t="str" cm="1">
        <f t="array" ref="B42">_xll.FDSRC("-",$B$8,"FF_TAX_CF('LTM','0','0','QUARTERLY',RP,'LOCAL','B')")</f>
        <v>-</v>
      </c>
      <c r="C42" s="351" t="str">
        <f t="array" ref="C42:L42">_xll.FDSRC("-",$B$8,"FF_TAX_CF('ANN','0','-9','YEARLY',RP,'LOCAL','B')")</f>
        <v>-</v>
      </c>
      <c r="D42" s="351" t="str">
        <v>-</v>
      </c>
      <c r="E42" s="351" t="str">
        <v>-</v>
      </c>
      <c r="F42" s="351" t="str">
        <v>-</v>
      </c>
      <c r="G42" s="351" t="str">
        <v>-</v>
      </c>
      <c r="H42" s="351" t="str">
        <v>-</v>
      </c>
      <c r="I42" s="351" t="str">
        <v>-</v>
      </c>
      <c r="J42" s="351" t="str">
        <v>-</v>
      </c>
      <c r="K42" s="351" t="str">
        <v>-</v>
      </c>
      <c r="L42" s="351" t="str">
        <v>-</v>
      </c>
    </row>
    <row r="43" spans="1:13" s="334" customFormat="1" ht="12.75">
      <c r="A43" s="347" t="s">
        <v>401</v>
      </c>
      <c r="B43" s="346"/>
      <c r="C43" s="346"/>
      <c r="D43" s="346"/>
      <c r="E43" s="346"/>
      <c r="F43" s="346"/>
      <c r="G43" s="346"/>
      <c r="H43" s="346"/>
      <c r="I43" s="346"/>
      <c r="J43" s="346"/>
      <c r="K43" s="346"/>
      <c r="L43" s="346"/>
    </row>
    <row r="44" spans="1:13" s="334" customFormat="1" ht="12.75">
      <c r="A44" s="347" t="s">
        <v>424</v>
      </c>
      <c r="B44" s="346"/>
      <c r="C44" s="346"/>
      <c r="D44" s="346"/>
      <c r="E44" s="346"/>
      <c r="F44" s="346"/>
      <c r="G44" s="346"/>
      <c r="H44" s="346"/>
      <c r="I44" s="346"/>
      <c r="J44" s="346"/>
      <c r="K44" s="346"/>
      <c r="L44" s="346"/>
    </row>
    <row r="45" spans="1:13" s="334" customFormat="1" ht="12.75" outlineLevel="1">
      <c r="A45" s="347" t="s">
        <v>425</v>
      </c>
      <c r="B45" s="351" t="str" cm="1">
        <f t="array" ref="B45">_xll.FDSRC("-",$B$8,"PCTCHG(FF_NET_INC_CF('LTM','0','0','QUARTERLY',RP,'LOCAL','B'),FF_NET_INC_CF('LTM','-4','-4','QUARTERLY',RP,'LOCAL','B'))")</f>
        <v>-</v>
      </c>
      <c r="C45" s="351">
        <f t="array" ref="C45:L45">_xll.FDSRC("-",$B$8,"PCTCHG(FF_NET_INC_CF('ANN','0','-9','YEARLY',RP,'LOCAL','B'),FF_NET_INC_CF('ANN','-1','-10','YEARLY',RP,'LOCAL','B'))")</f>
        <v>-359.80703999999997</v>
      </c>
      <c r="D45" s="351">
        <v>21.14359</v>
      </c>
      <c r="E45" s="351">
        <v>10.008388</v>
      </c>
      <c r="F45" s="351">
        <v>-18.202611999999998</v>
      </c>
      <c r="G45" s="351">
        <v>-3.3804656999999998</v>
      </c>
      <c r="H45" s="351">
        <v>586.79816000000005</v>
      </c>
      <c r="I45" s="351">
        <v>-93.747630000000001</v>
      </c>
      <c r="J45" s="351">
        <v>944.59862999999996</v>
      </c>
      <c r="K45" s="351">
        <v>18.14988</v>
      </c>
      <c r="L45" s="351">
        <v>44.013489999999997</v>
      </c>
    </row>
    <row r="46" spans="1:13" s="334" customFormat="1" ht="12.75" outlineLevel="1">
      <c r="A46" s="347" t="s">
        <v>426</v>
      </c>
      <c r="B46" s="351" t="str" cm="1">
        <f t="array" ref="B46">_xll.FDSRC("-",$B$8,"PCTCHG(FF_DEP_EXP_CF('LTM','0','0','QUARTERLY',RP,'LOCAL','B'),FF_DEP_EXP_CF('LTM','-4','-4','QUARTERLY',RP,'LOCAL','B'))")</f>
        <v>-</v>
      </c>
      <c r="C46" s="351">
        <f t="array" ref="C46:L46">_xll.FDSRC("-",$B$8,"PCTCHG(FF_DEP_EXP_CF('ANN','0','-9','YEARLY',RP,'LOCAL','B'),FF_DEP_EXP_CF('ANN','-1','-10','YEARLY',RP,'LOCAL','B'))")</f>
        <v>-10.422318000000001</v>
      </c>
      <c r="D46" s="351">
        <v>10.820098</v>
      </c>
      <c r="E46" s="351">
        <v>4.2058210000000003</v>
      </c>
      <c r="F46" s="351">
        <v>17.507883</v>
      </c>
      <c r="G46" s="351">
        <v>3.6512213</v>
      </c>
      <c r="H46" s="351">
        <v>3.6137779999999999</v>
      </c>
      <c r="I46" s="351">
        <v>6.815442</v>
      </c>
      <c r="J46" s="351">
        <v>5.9424877</v>
      </c>
      <c r="K46" s="351">
        <v>2.7577186</v>
      </c>
      <c r="L46" s="351">
        <v>0.79417369999999998</v>
      </c>
    </row>
    <row r="47" spans="1:13" s="334" customFormat="1" ht="12.75" outlineLevel="1">
      <c r="A47" s="347" t="s">
        <v>427</v>
      </c>
      <c r="B47" s="351" cm="1">
        <f t="array" ref="B47">_xll.FDSRC("-",$B$8,"PCTCHG(FF_DFD_TAX_CF('LTM','0','0','QUARTERLY',RP,'LOCAL','B'),FF_DFD_TAX_CF('LTM','-4','-4','QUARTERLY',RP,'LOCAL','B'))")</f>
        <v>-311.13376</v>
      </c>
      <c r="C47" s="351">
        <f t="array" ref="C47:L47">_xll.FDSRC("-",$B$8,"PCTCHG(FF_DFD_TAX_CF('ANN','0','-9','YEARLY',RP,'LOCAL','B'),FF_DFD_TAX_CF('ANN','-1','-10','YEARLY',RP,'LOCAL','B'))")</f>
        <v>-311.13376</v>
      </c>
      <c r="D47" s="351">
        <v>7.9912089999999996</v>
      </c>
      <c r="E47" s="351">
        <v>-34.138103000000001</v>
      </c>
      <c r="F47" s="351">
        <v>-6.8376045000000003</v>
      </c>
      <c r="G47" s="351">
        <v>-13.870594000000001</v>
      </c>
      <c r="H47" s="351">
        <v>523.42999999999995</v>
      </c>
      <c r="I47" s="351" t="str">
        <v>-</v>
      </c>
      <c r="J47" s="351">
        <v>-47105.887000000002</v>
      </c>
      <c r="K47" s="351" t="str">
        <v>-</v>
      </c>
      <c r="L47" s="351">
        <v>-122.22221999999999</v>
      </c>
    </row>
    <row r="48" spans="1:13" s="334" customFormat="1" ht="12.75" outlineLevel="1">
      <c r="A48" s="347" t="s">
        <v>428</v>
      </c>
      <c r="B48" s="351" t="str" cm="1">
        <f t="array" ref="B48">_xll.FDSRC("-",$B$8,"PCTCHG(FF_NON_CASH('LTM','0','0','QUARTERLY',RP,'LOCAL','B'),FF_NON_CASH('LTM','-4','-4','QUARTERLY',RP,'LOCAL','B'))")</f>
        <v>-</v>
      </c>
      <c r="C48" s="351" t="str">
        <f t="array" ref="C48:L48">_xll.FDSRC("-",$B$8,"PCTCHG(FF_NON_CASH('ANN','0','-9','YEARLY',RP,'LOCAL','B'),FF_NON_CASH('ANN','-1','-10','YEARLY',RP,'LOCAL','B'))")</f>
        <v>-</v>
      </c>
      <c r="D48" s="351">
        <v>-16.708856999999998</v>
      </c>
      <c r="E48" s="351">
        <v>76.132930000000002</v>
      </c>
      <c r="F48" s="351">
        <v>-171.53404</v>
      </c>
      <c r="G48" s="351">
        <v>48.28172</v>
      </c>
      <c r="H48" s="351">
        <v>-188.80933999999999</v>
      </c>
      <c r="I48" s="351" t="str">
        <v>-</v>
      </c>
      <c r="J48" s="351">
        <v>-69.961969999999994</v>
      </c>
      <c r="K48" s="351">
        <v>-187.08609000000001</v>
      </c>
      <c r="L48" s="351">
        <v>-31.519279999999998</v>
      </c>
    </row>
    <row r="49" spans="1:12" s="334" customFormat="1" ht="12.75" outlineLevel="1">
      <c r="A49" s="347" t="s">
        <v>429</v>
      </c>
      <c r="B49" s="351" t="str" cm="1">
        <f t="array" ref="B49">_xll.FDSRC("-",$B$8,"PCTCHG(FF_FUNDS_OPER_GROSS('LTM','0','0','QUARTERLY',RP,'LOCAL','B'),FF_FUNDS_OPER_GROSS('LTM','-4','-4','QUARTERLY',RP,'LOCAL','B'))")</f>
        <v>-</v>
      </c>
      <c r="C49" s="351">
        <f t="array" ref="C49:L49">_xll.FDSRC("-",$B$8,"PCTCHG(FF_FUNDS_OPER_GROSS('ANN','0','-9','YEARLY',RP,'LOCAL','B'),FF_FUNDS_OPER_GROSS('ANN','-1','-10','YEARLY',RP,'LOCAL','B'))")</f>
        <v>-172.69275999999999</v>
      </c>
      <c r="D49" s="351">
        <v>15.516238</v>
      </c>
      <c r="E49" s="351">
        <v>49.529845999999999</v>
      </c>
      <c r="F49" s="351">
        <v>-37.175434000000003</v>
      </c>
      <c r="G49" s="351">
        <v>10.539101</v>
      </c>
      <c r="H49" s="351">
        <v>19.770824000000001</v>
      </c>
      <c r="I49" s="351">
        <v>46.223407999999999</v>
      </c>
      <c r="J49" s="351">
        <v>61.512028000000001</v>
      </c>
      <c r="K49" s="351">
        <v>-13.036981000000001</v>
      </c>
      <c r="L49" s="351">
        <v>4.8159803999999999</v>
      </c>
    </row>
    <row r="50" spans="1:12" s="334" customFormat="1" ht="12.75" outlineLevel="1">
      <c r="A50" s="347" t="s">
        <v>430</v>
      </c>
      <c r="B50" s="351" t="str" cm="1">
        <f t="array" ref="B50">_xll.FDSRC("-",$B$8,"PCTCHG(FF_WKCAP_CHG('LTM','0','0','QUARTERLY',RP,'LOCAL','B'),FF_WKCAP_CHG('LTM','-4','-4','QUARTERLY',RP,'LOCAL','B'))")</f>
        <v>-</v>
      </c>
      <c r="C50" s="351">
        <f t="array" ref="C50:L50">_xll.FDSRC("-",$B$8,"PCTCHG(FF_WKCAP_CHG('ANN','0','-9','YEARLY',RP,'LOCAL','B'),FF_WKCAP_CHG('ANN','-1','-10','YEARLY',RP,'LOCAL','B'))")</f>
        <v>270.53232000000003</v>
      </c>
      <c r="D50" s="351">
        <v>198.86366000000001</v>
      </c>
      <c r="E50" s="351">
        <v>-69.391304000000005</v>
      </c>
      <c r="F50" s="351" t="str">
        <v>-</v>
      </c>
      <c r="G50" s="351">
        <v>-104.7191</v>
      </c>
      <c r="H50" s="351" t="str">
        <v>-</v>
      </c>
      <c r="I50" s="351">
        <v>-219.49315999999999</v>
      </c>
      <c r="J50" s="351">
        <v>246.62163000000001</v>
      </c>
      <c r="K50" s="351">
        <v>-5.7324862000000003</v>
      </c>
      <c r="L50" s="351">
        <v>-43.525176999999999</v>
      </c>
    </row>
    <row r="51" spans="1:12" s="334" customFormat="1" ht="12.75" outlineLevel="1">
      <c r="A51" s="347" t="s">
        <v>431</v>
      </c>
      <c r="B51" s="351" t="str" cm="1">
        <f t="array" ref="B51">_xll.FDSRC("-",$B$8,"PCTCHG(FF_OPER_CF('LTM','0','0','QUARTERLY',RP,'LOCAL','B'),FF_OPER_CF('LTM','-4','-4','QUARTERLY',RP,'LOCAL','B'))")</f>
        <v>-</v>
      </c>
      <c r="C51" s="351">
        <f t="array" ref="C51:L51">_xll.FDSRC("-",$B$8,"PCTCHG(FF_OPER_CF('ANN','0','-9','YEARLY',RP,'LOCAL','B'),FF_OPER_CF('ANN','-1','-10','YEARLY',RP,'LOCAL','B'))")</f>
        <v>-145.02077</v>
      </c>
      <c r="D51" s="351">
        <v>20.116913</v>
      </c>
      <c r="E51" s="351">
        <v>36.24709</v>
      </c>
      <c r="F51" s="351">
        <v>-28.658539999999999</v>
      </c>
      <c r="G51" s="351">
        <v>-8.8888890000000007</v>
      </c>
      <c r="H51" s="351">
        <v>62.128967000000003</v>
      </c>
      <c r="I51" s="351">
        <v>14.322501000000001</v>
      </c>
      <c r="J51" s="351">
        <v>72.576719999999995</v>
      </c>
      <c r="K51" s="351">
        <v>-12.632323</v>
      </c>
      <c r="L51" s="351">
        <v>7.0624770000000003E-2</v>
      </c>
    </row>
    <row r="52" spans="1:12" s="334" customFormat="1" ht="12.75">
      <c r="A52" s="347" t="s">
        <v>432</v>
      </c>
      <c r="B52" s="346"/>
      <c r="C52" s="346"/>
      <c r="D52" s="346"/>
      <c r="E52" s="346"/>
      <c r="F52" s="346"/>
      <c r="G52" s="346"/>
      <c r="H52" s="346"/>
      <c r="I52" s="346"/>
      <c r="J52" s="346"/>
      <c r="K52" s="346"/>
      <c r="L52" s="346"/>
    </row>
    <row r="53" spans="1:12" s="334" customFormat="1" ht="12.75" outlineLevel="1">
      <c r="A53" s="347" t="s">
        <v>50</v>
      </c>
      <c r="B53" s="351" cm="1">
        <f t="array" ref="B53">_xll.FDSRC("-",$B$8,"PCTCHG(-1.000000 * FF_CAPEX('LTM','0','0','QUARTERLY',RP,'LOCAL','B'),-1.000000 * FF_CAPEX('LTM','-4','-4','QUARTERLY',RP,'LOCAL','B'))")</f>
        <v>-6.3557496000000002</v>
      </c>
      <c r="C53" s="351">
        <f t="array" ref="C53:L53">_xll.FDSRC("-",$B$8,"PCTCHG(-1.000000 * FF_CAPEX('ANN','0','-9','YEARLY',RP,'LOCAL','B'),-1.000000 * FF_CAPEX('ANN','-1','-10','YEARLY',RP,'LOCAL','B'))")</f>
        <v>61.527549999999998</v>
      </c>
      <c r="D53" s="351">
        <v>4.4891709999999998</v>
      </c>
      <c r="E53" s="351">
        <v>-32.819332000000003</v>
      </c>
      <c r="F53" s="351">
        <v>-14.744913</v>
      </c>
      <c r="G53" s="351">
        <v>-15.144316</v>
      </c>
      <c r="H53" s="351">
        <v>-30.947078999999999</v>
      </c>
      <c r="I53" s="351">
        <v>12.422119</v>
      </c>
      <c r="J53" s="351">
        <v>-30.487805999999999</v>
      </c>
      <c r="K53" s="351">
        <v>-56.937804999999997</v>
      </c>
      <c r="L53" s="351">
        <v>6.5573816000000003</v>
      </c>
    </row>
    <row r="54" spans="1:12" s="334" customFormat="1" ht="12.75" outlineLevel="1">
      <c r="A54" s="347" t="s">
        <v>433</v>
      </c>
      <c r="B54" s="351" t="str" cm="1">
        <f t="array" ref="B54">_xll.FDSRC("-",$B$8,"PCTCHG(-FF_ACQ_BUS_CF('LTM','0','0','QUARTERLY',RP,'LOCAL','B'),-FF_ACQ_BUS_CF('LTM','-4','-4','QUARTERLY',RP,'LOCAL','B'))")</f>
        <v>-</v>
      </c>
      <c r="C54" s="351" t="str">
        <f t="array" ref="C54:L54">_xll.FDSRC("-",$B$8,"PCTCHG(-FF_ACQ_BUS_CF('ANN','0','-9','YEARLY',RP,'LOCAL','B'),-FF_ACQ_BUS_CF('ANN','-1','-10','YEARLY',RP,'LOCAL','B'))")</f>
        <v>-</v>
      </c>
      <c r="D54" s="351" t="str">
        <v>-</v>
      </c>
      <c r="E54" s="351" t="str">
        <v>-</v>
      </c>
      <c r="F54" s="351" t="str">
        <v>-</v>
      </c>
      <c r="G54" s="351" t="str">
        <v>-</v>
      </c>
      <c r="H54" s="351" t="str">
        <v>-</v>
      </c>
      <c r="I54" s="351" t="str">
        <v>-</v>
      </c>
      <c r="J54" s="351" t="str">
        <v>-</v>
      </c>
      <c r="K54" s="351" t="str">
        <v>-</v>
      </c>
      <c r="L54" s="351" t="str">
        <v>-</v>
      </c>
    </row>
    <row r="55" spans="1:12" s="334" customFormat="1" ht="12.75" outlineLevel="1" collapsed="1">
      <c r="A55" s="347" t="s">
        <v>434</v>
      </c>
      <c r="B55" s="351" t="str" cm="1">
        <f t="array" ref="B55">_xll.FDSRC("-",$B$8,"PCTCHG(FF_INVEST_PURCH_SALE_CF('LTM','0','0','QUARTERLY',RP,'LOCAL','B'),FF_INVEST_PURCH_SALE_CF('LTM','-4','-4','QUARTERLY',RP,'LOCAL','B'))")</f>
        <v>-</v>
      </c>
      <c r="C55" s="351">
        <f t="array" ref="C55:L55">_xll.FDSRC("-",$B$8,"PCTCHG(FF_INVEST_PURCH_SALE_CF('ANN','0','-9','YEARLY',RP,'LOCAL','B'),FF_INVEST_PURCH_SALE_CF('ANN','-1','-10','YEARLY',RP,'LOCAL','B'))")</f>
        <v>-2605.0790000000002</v>
      </c>
      <c r="D55" s="351">
        <v>-49.275359999999999</v>
      </c>
      <c r="E55" s="351" t="str">
        <v>-</v>
      </c>
      <c r="F55" s="351">
        <v>-262.00204000000002</v>
      </c>
      <c r="G55" s="351" t="str">
        <v>-</v>
      </c>
      <c r="H55" s="351">
        <v>-189.69466</v>
      </c>
      <c r="I55" s="351">
        <v>-29.702963</v>
      </c>
      <c r="J55" s="351">
        <v>-431.14755000000002</v>
      </c>
      <c r="K55" s="351" t="str">
        <v>-</v>
      </c>
      <c r="L55" s="351">
        <v>67.945205999999999</v>
      </c>
    </row>
    <row r="56" spans="1:12" s="334" customFormat="1" ht="12.75" hidden="1" outlineLevel="2">
      <c r="A56" s="347" t="s">
        <v>446</v>
      </c>
      <c r="B56" s="351" t="str" cm="1">
        <f t="array" ref="B56">_xll.FDSRC("-",$B$8,"PCTCHG(FF_INVEST_USES_CF('LTM','0','0','QUARTERLY',RP,'LOCAL','B'),FF_INVEST_USES_CF('LTM','-4','-4','QUARTERLY',RP,'LOCAL','B'))")</f>
        <v>-</v>
      </c>
      <c r="C56" s="351" t="str">
        <f t="array" ref="C56:L56">_xll.FDSRC("-",$B$8,"PCTCHG(FF_INVEST_USES_CF('ANN','0','-9','YEARLY',RP,'LOCAL','B'),FF_INVEST_USES_CF('ANN','-1','-10','YEARLY',RP,'LOCAL','B'))")</f>
        <v>-</v>
      </c>
      <c r="D56" s="351" t="str">
        <v>-</v>
      </c>
      <c r="E56" s="351" t="str">
        <v>-</v>
      </c>
      <c r="F56" s="351" t="str">
        <v>-</v>
      </c>
      <c r="G56" s="351" t="str">
        <v>-</v>
      </c>
      <c r="H56" s="351" t="str">
        <v>-</v>
      </c>
      <c r="I56" s="351" t="str">
        <v>-</v>
      </c>
      <c r="J56" s="351" t="str">
        <v>-</v>
      </c>
      <c r="K56" s="351">
        <v>-450</v>
      </c>
      <c r="L56" s="351">
        <v>-399.99997000000002</v>
      </c>
    </row>
    <row r="57" spans="1:12" s="334" customFormat="1" ht="12.75" outlineLevel="1">
      <c r="A57" s="347" t="s">
        <v>435</v>
      </c>
      <c r="B57" s="351" cm="1">
        <f t="array" ref="B57">_xll.FDSRC("-",$B$8,"PCTCHG(FF_INVEST_CF('LTM','0','0','QUARTERLY',RP,'LOCAL','B'),FF_INVEST_CF('LTM','-4','-4','QUARTERLY',RP,'LOCAL','B'))")</f>
        <v>83.632909999999995</v>
      </c>
      <c r="C57" s="351">
        <f t="array" ref="C57:L57">_xll.FDSRC("-",$B$8,"PCTCHG(FF_INVEST_CF('ANN','0','-9','YEARLY',RP,'LOCAL','B'),FF_INVEST_CF('ANN','-1','-10','YEARLY',RP,'LOCAL','B'))")</f>
        <v>-102.45452</v>
      </c>
      <c r="D57" s="351">
        <v>-3.8697946000000001</v>
      </c>
      <c r="E57" s="351">
        <v>18.132687000000001</v>
      </c>
      <c r="F57" s="351">
        <v>-149.00232</v>
      </c>
      <c r="G57" s="351">
        <v>45.512009999999997</v>
      </c>
      <c r="H57" s="351">
        <v>-60.576523000000002</v>
      </c>
      <c r="I57" s="351">
        <v>10.631349999999999</v>
      </c>
      <c r="J57" s="351">
        <v>-40.468910000000001</v>
      </c>
      <c r="K57" s="351">
        <v>-30.974632</v>
      </c>
      <c r="L57" s="351">
        <v>26.061205000000001</v>
      </c>
    </row>
    <row r="58" spans="1:12" s="334" customFormat="1" ht="12.75">
      <c r="A58" s="347" t="s">
        <v>436</v>
      </c>
      <c r="B58" s="346"/>
      <c r="C58" s="346"/>
      <c r="D58" s="346"/>
      <c r="E58" s="346"/>
      <c r="F58" s="346"/>
      <c r="G58" s="346"/>
      <c r="H58" s="346"/>
      <c r="I58" s="346"/>
      <c r="J58" s="346"/>
      <c r="K58" s="346"/>
      <c r="L58" s="346"/>
    </row>
    <row r="59" spans="1:12" s="334" customFormat="1" ht="12.75" outlineLevel="1">
      <c r="A59" s="347" t="s">
        <v>437</v>
      </c>
      <c r="B59" s="351" t="str" cm="1">
        <f t="array" ref="B59">_xll.FDSRC("-",$B$8,"PCTCHG(-FF_DIV_CF('LTM','0','0','QUARTERLY',RP,'LOCAL','B'),-FF_DIV_CF('LTM','-4','-4','QUARTERLY',RP,'LOCAL','B'))")</f>
        <v>-</v>
      </c>
      <c r="C59" s="351">
        <f t="array" ref="C59:L59">_xll.FDSRC("-",$B$8,"PCTCHG(-FF_DIV_CF('ANN','0','-9','YEARLY',RP,'LOCAL','B'),-FF_DIV_CF('ANN','-1','-10','YEARLY',RP,'LOCAL','B'))")</f>
        <v>73.469390000000004</v>
      </c>
      <c r="D59" s="351">
        <v>-7.8107853</v>
      </c>
      <c r="E59" s="351">
        <v>-24.350200000000001</v>
      </c>
      <c r="F59" s="351">
        <v>-43.614933000000001</v>
      </c>
      <c r="G59" s="351">
        <v>-41.782733999999998</v>
      </c>
      <c r="H59" s="351">
        <v>-43.027892999999999</v>
      </c>
      <c r="I59" s="351">
        <v>-146.07840999999999</v>
      </c>
      <c r="J59" s="351" t="str">
        <v>-</v>
      </c>
      <c r="K59" s="351" t="str">
        <v>-</v>
      </c>
      <c r="L59" s="351" t="str">
        <v>-</v>
      </c>
    </row>
    <row r="60" spans="1:12" s="334" customFormat="1" ht="12.75" outlineLevel="1">
      <c r="A60" s="347" t="s">
        <v>438</v>
      </c>
      <c r="B60" s="351" t="str" cm="1">
        <f t="array" ref="B60">_xll.FDSRC("-",$B$8,"PCTCHG(FF_STK_CHG_CF('LTM','0','0','QUARTERLY',RP,'LOCAL','B'),FF_STK_CHG_CF('LTM','-4','-4','QUARTERLY',RP,'LOCAL','B'))")</f>
        <v>-</v>
      </c>
      <c r="C60" s="351">
        <f t="array" ref="C60:L60">_xll.FDSRC("-",$B$8,"PCTCHG(FF_STK_CHG_CF('ANN','0','-9','YEARLY',RP,'LOCAL','B'),FF_STK_CHG_CF('ANN','-1','-10','YEARLY',RP,'LOCAL','B'))")</f>
        <v>83.029105999999999</v>
      </c>
      <c r="D60" s="351">
        <v>-28.698405999999999</v>
      </c>
      <c r="E60" s="351">
        <v>6.0822896999999996</v>
      </c>
      <c r="F60" s="351">
        <v>35.524799999999999</v>
      </c>
      <c r="G60" s="351">
        <v>-18.227274000000001</v>
      </c>
      <c r="H60" s="351">
        <v>-100</v>
      </c>
      <c r="I60" s="351">
        <v>-340</v>
      </c>
      <c r="J60" s="351" t="str">
        <v>-</v>
      </c>
      <c r="K60" s="351" t="str">
        <v>-</v>
      </c>
      <c r="L60" s="351" t="str">
        <v>-</v>
      </c>
    </row>
    <row r="61" spans="1:12" s="334" customFormat="1" ht="12.75" outlineLevel="1">
      <c r="A61" s="347" t="s">
        <v>439</v>
      </c>
      <c r="B61" s="351" cm="1">
        <f t="array" ref="B61">_xll.FDSRC("-",$B$8,"PCTCHG(FF_DEBT_CF('LTM','0','0','QUARTERLY',RP,'LOCAL','B'),FF_DEBT_CF('LTM','-4','-4','QUARTERLY',RP,'LOCAL','B'))")</f>
        <v>-132.55267000000001</v>
      </c>
      <c r="C61" s="351">
        <f t="array" ref="C61:L61">_xll.FDSRC("-",$B$8,"PCTCHG(FF_DEBT_CF('ANN','0','-9','YEARLY',RP,'LOCAL','B'),FF_DEBT_CF('ANN','-1','-10','YEARLY',RP,'LOCAL','B'))")</f>
        <v>3965.2979</v>
      </c>
      <c r="D61" s="351">
        <v>-29.725832</v>
      </c>
      <c r="E61" s="351">
        <v>-42.056849999999997</v>
      </c>
      <c r="F61" s="351" t="str">
        <v>-</v>
      </c>
      <c r="G61" s="351">
        <v>17.171054999999999</v>
      </c>
      <c r="H61" s="351">
        <v>20.335432000000001</v>
      </c>
      <c r="I61" s="351">
        <v>-59.932940000000002</v>
      </c>
      <c r="J61" s="351">
        <v>-26.914888000000001</v>
      </c>
      <c r="K61" s="351">
        <v>47.101855999999998</v>
      </c>
      <c r="L61" s="351">
        <v>31.442905</v>
      </c>
    </row>
    <row r="62" spans="1:12" s="334" customFormat="1" ht="12.75" outlineLevel="1">
      <c r="A62" s="347" t="s">
        <v>428</v>
      </c>
      <c r="B62" s="351" cm="1">
        <f t="array" ref="B62">_xll.FDSRC("-",$B$8,"PCTCHG(FF_FIN_ACTIV_OTH_CF('LTM','0','0','QUARTERLY',RP,'LOCAL','B'),FF_FIN_ACTIV_OTH_CF('LTM','-4','-4','QUARTERLY',RP,'LOCAL','B'))")</f>
        <v>-84.501059999999995</v>
      </c>
      <c r="C62" s="351" t="str">
        <f t="array" ref="C62:L62">_xll.FDSRC("-",$B$8,"PCTCHG(FF_FIN_ACTIV_OTH_CF('ANN','0','-9','YEARLY',RP,'LOCAL','B'),FF_FIN_ACTIV_OTH_CF('ANN','-1','-10','YEARLY',RP,'LOCAL','B'))")</f>
        <v>-</v>
      </c>
      <c r="D62" s="351">
        <v>-653.84609999999998</v>
      </c>
      <c r="E62" s="351">
        <v>-86.514529999999993</v>
      </c>
      <c r="F62" s="351">
        <v>342.20184</v>
      </c>
      <c r="G62" s="351" t="str">
        <v>-</v>
      </c>
      <c r="H62" s="351">
        <v>-147.36841999999999</v>
      </c>
      <c r="I62" s="351">
        <v>-91.55556</v>
      </c>
      <c r="J62" s="351">
        <v>21.621616</v>
      </c>
      <c r="K62" s="351">
        <v>-10.194175</v>
      </c>
      <c r="L62" s="351">
        <v>190.14081999999999</v>
      </c>
    </row>
    <row r="63" spans="1:12" s="334" customFormat="1" ht="12.75" outlineLevel="1">
      <c r="A63" s="347" t="s">
        <v>440</v>
      </c>
      <c r="B63" s="351" cm="1">
        <f t="array" ref="B63">_xll.FDSRC("-",$B$8,"PCTCHG(FF_FIN_CF('LTM','0','0','QUARTERLY',RP,'LOCAL','B'),FF_FIN_CF('LTM','-4','-4','QUARTERLY',RP,'LOCAL','B'))")</f>
        <v>-133.04149000000001</v>
      </c>
      <c r="C63" s="351" t="str">
        <f t="array" ref="C63:L63">_xll.FDSRC("-",$B$8,"PCTCHG(FF_FIN_CF('ANN','0','-9','YEARLY',RP,'LOCAL','B'),FF_FIN_CF('ANN','-1','-10','YEARLY',RP,'LOCAL','B'))")</f>
        <v>-</v>
      </c>
      <c r="D63" s="351">
        <v>-66.859800000000007</v>
      </c>
      <c r="E63" s="351">
        <v>-136.43834000000001</v>
      </c>
      <c r="F63" s="351">
        <v>82.863849999999999</v>
      </c>
      <c r="G63" s="351">
        <v>-4.207446</v>
      </c>
      <c r="H63" s="351">
        <v>-26.172832</v>
      </c>
      <c r="I63" s="351">
        <v>-145.45454000000001</v>
      </c>
      <c r="J63" s="351">
        <v>-74.834450000000004</v>
      </c>
      <c r="K63" s="351">
        <v>51.941437000000001</v>
      </c>
      <c r="L63" s="351">
        <v>37.683456</v>
      </c>
    </row>
    <row r="64" spans="1:12" s="334" customFormat="1" ht="12.75">
      <c r="A64" s="347"/>
      <c r="B64" s="346"/>
      <c r="C64" s="346"/>
      <c r="D64" s="346"/>
      <c r="E64" s="346"/>
      <c r="F64" s="346"/>
      <c r="G64" s="346"/>
      <c r="H64" s="346"/>
      <c r="I64" s="346"/>
      <c r="J64" s="346"/>
      <c r="K64" s="346"/>
      <c r="L64" s="346"/>
    </row>
    <row r="65" spans="1:12" s="334" customFormat="1" ht="12.75">
      <c r="A65" s="347" t="s">
        <v>441</v>
      </c>
      <c r="B65" s="351" cm="1">
        <f t="array" ref="B65">_xll.FDSRC("-",$B$8,"PCTCHG(FF_CHG_CASH_CF('LTM','0','0','QUARTERLY',RP,'LOCAL','B'),FF_CHG_CASH_CF('LTM','-4','-4','QUARTERLY',RP,'LOCAL','B'))")</f>
        <v>-155.5087</v>
      </c>
      <c r="C65" s="351">
        <f t="array" ref="C65:L65">_xll.FDSRC("-",$B$8,"PCTCHG(FF_CHG_CASH_CF('ANN','0','-9','YEARLY',RP,'LOCAL','B'),FF_CHG_CASH_CF('ANN','-1','-10','YEARLY',RP,'LOCAL','B'))")</f>
        <v>544.09370000000001</v>
      </c>
      <c r="D65" s="351">
        <v>9.7206720000000004</v>
      </c>
      <c r="E65" s="351" t="str">
        <v>-</v>
      </c>
      <c r="F65" s="351">
        <v>-218.35207</v>
      </c>
      <c r="G65" s="351" t="str">
        <v>-</v>
      </c>
      <c r="H65" s="351">
        <v>84.963325999999995</v>
      </c>
      <c r="I65" s="351">
        <v>-515.22844999999995</v>
      </c>
      <c r="J65" s="351" t="str">
        <v>-</v>
      </c>
      <c r="K65" s="351">
        <v>-2.5531902</v>
      </c>
      <c r="L65" s="351">
        <v>86.297380000000004</v>
      </c>
    </row>
    <row r="66" spans="1:12" s="334" customFormat="1" ht="12.75">
      <c r="A66" s="347"/>
      <c r="B66" s="346"/>
      <c r="C66" s="346"/>
      <c r="D66" s="346"/>
      <c r="E66" s="346"/>
      <c r="F66" s="346"/>
      <c r="G66" s="346"/>
      <c r="H66" s="346"/>
      <c r="I66" s="346"/>
      <c r="J66" s="346"/>
      <c r="K66" s="346"/>
      <c r="L66" s="346"/>
    </row>
    <row r="67" spans="1:12" s="334" customFormat="1" ht="12.75">
      <c r="A67" s="347" t="s">
        <v>143</v>
      </c>
      <c r="B67" s="351" cm="1">
        <f t="array" ref="B67">_xll.FDSRC("-",$B$8,"PCTCHG(FF_FREE_CF('LTM' + '_FCFE','0','0','QUARTERLY',RP,'LOCAL','B'),FF_FREE_CF('LTM' + '_FCFE','-4','-4','QUARTERLY',RP,'LOCAL','B'))")</f>
        <v>70.92877</v>
      </c>
      <c r="C67" s="351">
        <f t="array" ref="C67:L67">_xll.FDSRC("-",$B$8,"PCTCHG(FF_FREE_CF('ANN' + '_FCFE','0','-9','YEARLY',RP,'LOCAL','B'),FF_FREE_CF('ANN' + '_FCFE','-1','-10','YEARLY',RP,'LOCAL','B'))")</f>
        <v>-263.1413</v>
      </c>
      <c r="D67" s="351">
        <v>89.003259999999997</v>
      </c>
      <c r="E67" s="351">
        <v>46.857596999999998</v>
      </c>
      <c r="F67" s="351">
        <v>-67.137259999999998</v>
      </c>
      <c r="G67" s="351">
        <v>-23.115576000000001</v>
      </c>
      <c r="H67" s="351">
        <v>88.732924999999994</v>
      </c>
      <c r="I67" s="351">
        <v>54.604100000000003</v>
      </c>
      <c r="J67" s="351">
        <v>235.62993</v>
      </c>
      <c r="K67" s="351">
        <v>-67.848110000000005</v>
      </c>
      <c r="L67" s="351">
        <v>6.0402712999999997</v>
      </c>
    </row>
    <row r="68" spans="1:12" s="334" customFormat="1" ht="12.75">
      <c r="A68" s="333"/>
    </row>
    <row r="69" spans="1:12" s="334" customFormat="1" ht="12.75">
      <c r="A69" s="333"/>
    </row>
    <row r="70" spans="1:12" s="334" customFormat="1" ht="12.75">
      <c r="A70" s="333"/>
    </row>
    <row r="71" spans="1:12" s="334" customFormat="1" ht="12.75">
      <c r="A71" s="333"/>
    </row>
    <row r="72" spans="1:12" s="334" customFormat="1" ht="12.75">
      <c r="A72" s="333"/>
    </row>
    <row r="73" spans="1:12" s="334" customFormat="1" ht="12.75">
      <c r="A73" s="333"/>
    </row>
    <row r="74" spans="1:12" s="334" customFormat="1" ht="12.75">
      <c r="A74" s="333"/>
    </row>
    <row r="75" spans="1:12" s="334" customFormat="1" ht="12.75">
      <c r="A75" s="333"/>
    </row>
    <row r="76" spans="1:12" s="334" customFormat="1" ht="12.75">
      <c r="A76" s="333"/>
    </row>
    <row r="77" spans="1:12" s="334" customFormat="1" ht="12.75">
      <c r="A77" s="333"/>
    </row>
    <row r="78" spans="1:12" s="334" customFormat="1" ht="12.75">
      <c r="A78" s="333"/>
    </row>
    <row r="79" spans="1:12" s="334" customFormat="1" ht="12.75">
      <c r="A79" s="333"/>
    </row>
    <row r="80" spans="1:12" s="334" customFormat="1" ht="12.75">
      <c r="A80" s="333"/>
    </row>
    <row r="81" s="333" customFormat="1" ht="12.75"/>
    <row r="82" s="333" customFormat="1" ht="12.75"/>
    <row r="83" s="333" customFormat="1" ht="12.75"/>
    <row r="84" s="333" customFormat="1" ht="12.75"/>
    <row r="85" s="333" customFormat="1" ht="12.75"/>
    <row r="86" s="333" customFormat="1" ht="12.75"/>
    <row r="87" s="333" customFormat="1" ht="12.75"/>
    <row r="88" s="333" customFormat="1" ht="12.75"/>
    <row r="89" s="333" customFormat="1" ht="12.75"/>
    <row r="90" s="333" customFormat="1" ht="12.75"/>
    <row r="91" s="333" customFormat="1" ht="12.75"/>
    <row r="92" s="333" customFormat="1" ht="12.75"/>
    <row r="93" s="333" customFormat="1" ht="12.75"/>
    <row r="94" s="333" customFormat="1" ht="12.75"/>
    <row r="95" s="333" customFormat="1" ht="12.75"/>
    <row r="96" s="333" customFormat="1" ht="12.75"/>
    <row r="97" s="333" customFormat="1" ht="12.75"/>
    <row r="98" s="333" customFormat="1" ht="12.75"/>
    <row r="99" s="333" customFormat="1" ht="12.75"/>
    <row r="100" s="333" customFormat="1" ht="12.75"/>
    <row r="101" s="333" customFormat="1" ht="12.75"/>
    <row r="102" s="333" customFormat="1" ht="12.75"/>
    <row r="103" s="333" customFormat="1" ht="12.75"/>
    <row r="104" s="333" customFormat="1" ht="12.75"/>
    <row r="105" s="333" customFormat="1" ht="12.75"/>
    <row r="106" s="333" customFormat="1" ht="12.75"/>
    <row r="107" s="333" customFormat="1" ht="12.75"/>
    <row r="108" s="333" customFormat="1" ht="12.75"/>
    <row r="109" s="333" customFormat="1" ht="12.75"/>
    <row r="110" s="333" customFormat="1" ht="12.75"/>
    <row r="111" s="333" customFormat="1" ht="12.75"/>
    <row r="112" s="333" customFormat="1" ht="12.75"/>
    <row r="113" s="333" customFormat="1" ht="12.75"/>
    <row r="114" s="333" customFormat="1" ht="12.75"/>
    <row r="115" s="333" customFormat="1" ht="12.75"/>
    <row r="116" s="333" customFormat="1" ht="12.75"/>
    <row r="117" s="333" customFormat="1" ht="12.75"/>
    <row r="118" s="333" customFormat="1" ht="12.75"/>
    <row r="119" s="333" customFormat="1" ht="12.75"/>
    <row r="120" s="333" customFormat="1" ht="12.75"/>
    <row r="121" s="333" customFormat="1" ht="12.75"/>
    <row r="122" s="333" customFormat="1" ht="12.75"/>
    <row r="123" s="333" customFormat="1" ht="12.75"/>
    <row r="124" s="333" customFormat="1" ht="12.75"/>
    <row r="125" s="333" customFormat="1" ht="12.75"/>
    <row r="126" s="333" customFormat="1" ht="12.75"/>
    <row r="127" s="333" customFormat="1" ht="12.75"/>
    <row r="128" s="333" customFormat="1" ht="12.75"/>
    <row r="129" s="333" customFormat="1" ht="12.75"/>
    <row r="130" s="333" customFormat="1" ht="12.75"/>
    <row r="131" s="333" customFormat="1" ht="12.75"/>
    <row r="132" s="333" customFormat="1" ht="12.75"/>
    <row r="133" s="333" customFormat="1" ht="12.75"/>
    <row r="134" s="333" customFormat="1" ht="12.75"/>
    <row r="135" s="333" customFormat="1" ht="12.75"/>
    <row r="136" s="333" customFormat="1" ht="12.75"/>
    <row r="137" s="333" customFormat="1" ht="12.75"/>
    <row r="138" s="333" customFormat="1" ht="12.75"/>
    <row r="139" s="333" customFormat="1" ht="12.75"/>
    <row r="140" s="333" customFormat="1" ht="12.75"/>
    <row r="141" s="333" customFormat="1" ht="12.75"/>
    <row r="142" s="333" customFormat="1" ht="12.75"/>
    <row r="143" s="333" customFormat="1" ht="12.75"/>
    <row r="144" s="333" customFormat="1" ht="12.75"/>
    <row r="145" s="333" customFormat="1" ht="12.75"/>
    <row r="146" s="333" customFormat="1" ht="12.75"/>
    <row r="147" s="333" customFormat="1" ht="12.75"/>
    <row r="148" s="333" customFormat="1" ht="12.75"/>
    <row r="149" s="333" customFormat="1" ht="12.75"/>
    <row r="150" s="333" customFormat="1" ht="12.75"/>
    <row r="151" s="333" customFormat="1" ht="12.75"/>
    <row r="152" s="333" customFormat="1" ht="12.75"/>
    <row r="153" s="333" customFormat="1" ht="12.75"/>
    <row r="154" s="333" customFormat="1" ht="12.75"/>
    <row r="155" s="333" customFormat="1" ht="12.75"/>
    <row r="156" s="333" customFormat="1" ht="12.75"/>
    <row r="157" s="333" customFormat="1" ht="12.75"/>
    <row r="158" s="333" customFormat="1" ht="12.75"/>
    <row r="159" s="333" customFormat="1" ht="12.75"/>
    <row r="160" s="333" customFormat="1" ht="12.75"/>
    <row r="161" s="333" customFormat="1" ht="12.75"/>
    <row r="162" s="333" customFormat="1" ht="12.75"/>
    <row r="163" s="333" customFormat="1" ht="12.75"/>
    <row r="164" s="333" customFormat="1" ht="12.75"/>
    <row r="165" s="333" customFormat="1" ht="12.75"/>
    <row r="166" s="333" customFormat="1" ht="12.75"/>
    <row r="167" s="333" customFormat="1" ht="12.75"/>
    <row r="168" s="333" customFormat="1" ht="12.75"/>
    <row r="169" s="333" customFormat="1" ht="12.75"/>
    <row r="170" s="333" customFormat="1" ht="12.75"/>
    <row r="171" s="333" customFormat="1" ht="12.75"/>
    <row r="172" s="333" customFormat="1" ht="12.75"/>
    <row r="173" s="333" customFormat="1" ht="12.75"/>
    <row r="174" s="333" customFormat="1" ht="12.75"/>
    <row r="175" s="333" customFormat="1" ht="12.75"/>
    <row r="176" s="333" customFormat="1" ht="12.75"/>
    <row r="177" s="333" customFormat="1" ht="12.75"/>
    <row r="178" s="333" customFormat="1" ht="12.75"/>
    <row r="179" s="333" customFormat="1" ht="12.75"/>
    <row r="180" s="333" customFormat="1" ht="12.75"/>
    <row r="181" s="333" customFormat="1" ht="12.75"/>
    <row r="182" s="333" customFormat="1" ht="12.75"/>
    <row r="183" s="333" customFormat="1" ht="12.75"/>
    <row r="184" s="333" customFormat="1" ht="12.75"/>
    <row r="185" s="333" customFormat="1" ht="12.75"/>
    <row r="186" s="333" customFormat="1" ht="12.75"/>
    <row r="187" s="333" customFormat="1" ht="12.75"/>
    <row r="188" s="333" customFormat="1" ht="12.75"/>
    <row r="189" s="333" customFormat="1" ht="12.75"/>
    <row r="190" s="333" customFormat="1" ht="12.75"/>
    <row r="191" s="333" customFormat="1" ht="12.75"/>
    <row r="192" s="333" customFormat="1" ht="12.75"/>
    <row r="193" s="333" customFormat="1" ht="12.75"/>
    <row r="194" s="333" customFormat="1" ht="12.75"/>
    <row r="195" s="333" customFormat="1" ht="12.75"/>
    <row r="196" s="333" customFormat="1" ht="12.75"/>
    <row r="197" s="333" customFormat="1" ht="12.75"/>
    <row r="198" s="333" customFormat="1" ht="12.75"/>
    <row r="199" s="333" customFormat="1" ht="12.75"/>
    <row r="200" s="333" customFormat="1" ht="12.75"/>
    <row r="201" s="333" customFormat="1" ht="12.75"/>
    <row r="202" s="333" customFormat="1" ht="12.75"/>
    <row r="203" s="333" customFormat="1" ht="12.75"/>
    <row r="204" s="333" customFormat="1" ht="12.75"/>
    <row r="205" s="333" customFormat="1" ht="12.75"/>
    <row r="206" s="333" customFormat="1" ht="12.75"/>
    <row r="207" s="333" customFormat="1" ht="12.75"/>
    <row r="208" s="333" customFormat="1" ht="12.75"/>
    <row r="209" s="333" customFormat="1" ht="12.75"/>
    <row r="210" s="333" customFormat="1" ht="12.75"/>
    <row r="211" s="333" customFormat="1" ht="12.75"/>
    <row r="212" s="333" customFormat="1" ht="12.75"/>
    <row r="213" s="333" customFormat="1" ht="12.75"/>
    <row r="214" s="333" customFormat="1" ht="12.75"/>
    <row r="215" s="333" customFormat="1" ht="12.75"/>
    <row r="216" s="333" customFormat="1" ht="12.75"/>
    <row r="217" s="333" customFormat="1" ht="12.75"/>
    <row r="218" s="333" customFormat="1" ht="12.75"/>
    <row r="219" s="333" customFormat="1" ht="12.75"/>
    <row r="220" s="333" customFormat="1" ht="12.75"/>
    <row r="221" s="333" customFormat="1" ht="12.75"/>
    <row r="222" s="333" customFormat="1" ht="12.75"/>
    <row r="223" s="333" customFormat="1" ht="12.75"/>
    <row r="224" s="333" customFormat="1" ht="12.75"/>
    <row r="225" s="333" customFormat="1" ht="12.75"/>
    <row r="226" s="333" customFormat="1" ht="12.75"/>
    <row r="227" s="333" customFormat="1" ht="12.75"/>
    <row r="228" s="333" customFormat="1" ht="12.75"/>
    <row r="229" s="333" customFormat="1" ht="12.75"/>
    <row r="230" s="333" customFormat="1" ht="12.75"/>
    <row r="231" s="333" customFormat="1" ht="12.75"/>
    <row r="232" s="333" customFormat="1" ht="12.75"/>
    <row r="233" s="333" customFormat="1" ht="12.75"/>
    <row r="234" s="333" customFormat="1" ht="12.75"/>
    <row r="235" s="333" customFormat="1" ht="12.75"/>
    <row r="236" s="333" customFormat="1" ht="12.75"/>
    <row r="237" s="333" customFormat="1" ht="12.75"/>
    <row r="238" s="333" customFormat="1" ht="12.75"/>
    <row r="239" s="333" customFormat="1" ht="12.75"/>
    <row r="240" s="333" customFormat="1" ht="12.75"/>
    <row r="241" s="333" customFormat="1" ht="12.75"/>
    <row r="242" s="333" customFormat="1" ht="12.75"/>
    <row r="243" s="333" customFormat="1" ht="12.75"/>
    <row r="244" s="333" customFormat="1" ht="12.75"/>
    <row r="245" s="333" customFormat="1" ht="12.75"/>
    <row r="246" s="333" customFormat="1" ht="12.75"/>
    <row r="247" s="333" customFormat="1" ht="12.75"/>
    <row r="248" s="333" customFormat="1" ht="12.75"/>
    <row r="249" s="333" customFormat="1" ht="12.75"/>
    <row r="250" s="333" customFormat="1" ht="12.75"/>
    <row r="251" s="333" customFormat="1" ht="12.75"/>
    <row r="252" s="333" customFormat="1" ht="12.75"/>
    <row r="253" s="333" customFormat="1" ht="12.75"/>
    <row r="254" s="333" customFormat="1" ht="12.75"/>
    <row r="255" s="333" customFormat="1" ht="12.75"/>
    <row r="256" s="333" customFormat="1" ht="12.75"/>
    <row r="257" s="333" customFormat="1" ht="12.75"/>
    <row r="258" s="333" customFormat="1" ht="12.75"/>
    <row r="259" s="333" customFormat="1" ht="12.75"/>
    <row r="260" s="333" customFormat="1" ht="12.75"/>
    <row r="261" s="333" customFormat="1" ht="12.75"/>
    <row r="262" s="333" customFormat="1" ht="12.75"/>
    <row r="263" s="333" customFormat="1" ht="12.75"/>
    <row r="264" s="333" customFormat="1" ht="12.75"/>
    <row r="265" s="333" customFormat="1" ht="12.75"/>
    <row r="266" s="333" customFormat="1" ht="12.75"/>
    <row r="267" s="333" customFormat="1" ht="12.75"/>
    <row r="268" s="333" customFormat="1" ht="12.75"/>
    <row r="269" s="333" customFormat="1" ht="12.75"/>
    <row r="270" s="333" customFormat="1" ht="12.75"/>
    <row r="271" s="333" customFormat="1" ht="12.75"/>
    <row r="272" s="333" customFormat="1" ht="12.75"/>
    <row r="273" s="333" customFormat="1" ht="12.75"/>
    <row r="274" s="333" customFormat="1" ht="12.75"/>
    <row r="275" s="333" customFormat="1" ht="12.75"/>
    <row r="276" s="333" customFormat="1" ht="12.75"/>
    <row r="277" s="333" customFormat="1" ht="12.75"/>
    <row r="278" s="333" customFormat="1" ht="12.75"/>
    <row r="279" s="333" customFormat="1" ht="12.75"/>
    <row r="280" s="333" customFormat="1" ht="12.75"/>
    <row r="281" s="333" customFormat="1" ht="12.75"/>
    <row r="282" s="333" customFormat="1" ht="12.75"/>
    <row r="283" s="333" customFormat="1" ht="12.75"/>
    <row r="284" s="333" customFormat="1" ht="12.75"/>
    <row r="285" s="333" customFormat="1" ht="12.75"/>
    <row r="286" s="333" customFormat="1" ht="12.75"/>
    <row r="287" s="333" customFormat="1" ht="12.75"/>
    <row r="288" s="333" customFormat="1" ht="12.75"/>
    <row r="289" s="333" customFormat="1" ht="12.75"/>
    <row r="290" s="333" customFormat="1" ht="12.75"/>
    <row r="291" s="333" customFormat="1" ht="12.75"/>
    <row r="292" s="333" customFormat="1" ht="12.75"/>
    <row r="293" s="333" customFormat="1" ht="12.75"/>
    <row r="294" s="333" customFormat="1" ht="12.75"/>
    <row r="295" s="333" customFormat="1" ht="12.75"/>
    <row r="296" s="333" customFormat="1" ht="12.75"/>
    <row r="297" s="333" customFormat="1" ht="12.75"/>
    <row r="298" s="333" customFormat="1" ht="12.75"/>
    <row r="299" s="333" customFormat="1" ht="12.75"/>
    <row r="300" s="333" customFormat="1" ht="12.75"/>
    <row r="301" s="333" customFormat="1" ht="12.75"/>
    <row r="302" s="333" customFormat="1" ht="12.75"/>
    <row r="303" s="333" customFormat="1" ht="12.75"/>
    <row r="304" s="333" customFormat="1" ht="12.75"/>
    <row r="305" s="333" customFormat="1" ht="12.75"/>
    <row r="306" s="333" customFormat="1" ht="12.75"/>
    <row r="307" s="333" customFormat="1" ht="12.75"/>
    <row r="308" s="333" customFormat="1" ht="12.75"/>
    <row r="309" s="333" customFormat="1" ht="12.75"/>
    <row r="310" s="333" customFormat="1" ht="12.75"/>
    <row r="311" s="333" customFormat="1" ht="12.75"/>
    <row r="312" s="333" customFormat="1" ht="12.75"/>
    <row r="313" s="333" customFormat="1" ht="12.75"/>
    <row r="314" s="333" customFormat="1" ht="12.75"/>
    <row r="315" s="333" customFormat="1" ht="12.75"/>
    <row r="316" s="333" customFormat="1" ht="12.75"/>
    <row r="317" s="333" customFormat="1" ht="12.75"/>
    <row r="318" s="333" customFormat="1" ht="12.75"/>
    <row r="319" s="333" customFormat="1" ht="12.75"/>
    <row r="320" s="333" customFormat="1" ht="12.75"/>
    <row r="321" s="333" customFormat="1" ht="12.75"/>
    <row r="322" s="333" customFormat="1" ht="12.75"/>
    <row r="323" s="333" customFormat="1" ht="12.75"/>
    <row r="324" s="333" customFormat="1" ht="12.75"/>
    <row r="325" s="333" customFormat="1" ht="12.75"/>
    <row r="326" s="333" customFormat="1" ht="12.75"/>
    <row r="327" s="333" customFormat="1" ht="12.75"/>
    <row r="328" s="333" customFormat="1" ht="12.75"/>
    <row r="329" s="333" customFormat="1" ht="12.75"/>
    <row r="330" s="333" customFormat="1" ht="12.75"/>
    <row r="331" s="333" customFormat="1" ht="12.75"/>
    <row r="332" s="333" customFormat="1" ht="12.75"/>
    <row r="333" s="333" customFormat="1" ht="12.75"/>
    <row r="334" s="333" customFormat="1" ht="12.75"/>
    <row r="335" s="333" customFormat="1" ht="12.75"/>
    <row r="336" s="333" customFormat="1" ht="12.75"/>
    <row r="337" s="333" customFormat="1" ht="12.75"/>
    <row r="338" s="333" customFormat="1" ht="12.75"/>
    <row r="339" s="333" customFormat="1" ht="12.75"/>
    <row r="340" s="333" customFormat="1" ht="12.75"/>
    <row r="341" s="333" customFormat="1" ht="12.75"/>
    <row r="342" s="333" customFormat="1" ht="12.75"/>
    <row r="343" s="333" customFormat="1" ht="12.75"/>
    <row r="344" s="333" customFormat="1" ht="12.75"/>
    <row r="345" s="333" customFormat="1" ht="12.75"/>
    <row r="346" s="333" customFormat="1" ht="12.75"/>
    <row r="347" s="333" customFormat="1" ht="12.75"/>
    <row r="348" s="333" customFormat="1" ht="12.75"/>
    <row r="349" s="333" customFormat="1" ht="12.75"/>
    <row r="350" s="333" customFormat="1" ht="12.75"/>
    <row r="351" s="333" customFormat="1" ht="12.75"/>
    <row r="352" s="333" customFormat="1" ht="12.75"/>
    <row r="353" s="333" customFormat="1" ht="12.75"/>
    <row r="354" s="333" customFormat="1" ht="12.75"/>
    <row r="355" s="333" customFormat="1" ht="12.75"/>
    <row r="356" s="333" customFormat="1" ht="12.75"/>
    <row r="357" s="333" customFormat="1" ht="12.75"/>
    <row r="358" s="333" customFormat="1" ht="12.75"/>
    <row r="359" s="333" customFormat="1" ht="12.75"/>
    <row r="360" s="333" customFormat="1" ht="12.75"/>
    <row r="361" s="333" customFormat="1" ht="12.75"/>
    <row r="362" s="333" customFormat="1" ht="12.75"/>
    <row r="363" s="333" customFormat="1" ht="12.75"/>
    <row r="364" s="333" customFormat="1" ht="12.75"/>
    <row r="365" s="333" customFormat="1" ht="12.75"/>
    <row r="366" s="333" customFormat="1" ht="12.75"/>
    <row r="367" s="333" customFormat="1" ht="12.75"/>
    <row r="368" s="333" customFormat="1" ht="12.75"/>
    <row r="369" s="333" customFormat="1" ht="12.75"/>
    <row r="370" s="333" customFormat="1" ht="12.75"/>
    <row r="371" s="333" customFormat="1" ht="12.75"/>
    <row r="372" s="333" customFormat="1" ht="12.75"/>
    <row r="373" s="333" customFormat="1" ht="12.75"/>
    <row r="374" s="333" customFormat="1" ht="12.75"/>
    <row r="375" s="333" customFormat="1" ht="12.75"/>
    <row r="376" s="333" customFormat="1" ht="12.75"/>
    <row r="377" s="333" customFormat="1" ht="12.75"/>
    <row r="378" s="333" customFormat="1" ht="12.75"/>
    <row r="379" s="333" customFormat="1" ht="12.75"/>
    <row r="380" s="333" customFormat="1" ht="12.75"/>
    <row r="381" s="333" customFormat="1" ht="12.75"/>
    <row r="382" s="333" customFormat="1" ht="12.75"/>
    <row r="383" s="333" customFormat="1" ht="12.75"/>
    <row r="384" s="333" customFormat="1" ht="12.75"/>
    <row r="385" s="333" customFormat="1" ht="12.75"/>
    <row r="386" s="333" customFormat="1" ht="12.75"/>
    <row r="387" s="333" customFormat="1" ht="12.75"/>
    <row r="388" s="333" customFormat="1" ht="12.75"/>
    <row r="389" s="333" customFormat="1" ht="12.75"/>
    <row r="390" s="333" customFormat="1" ht="12.75"/>
    <row r="391" s="333" customFormat="1" ht="12.75"/>
    <row r="392" s="333" customFormat="1" ht="12.75"/>
    <row r="393" s="333" customFormat="1" ht="12.75"/>
    <row r="394" s="333" customFormat="1" ht="12.75"/>
    <row r="395" s="333" customFormat="1" ht="12.75"/>
    <row r="396" s="333" customFormat="1" ht="12.75"/>
    <row r="397" s="333" customFormat="1" ht="12.75"/>
    <row r="398" s="333" customFormat="1" ht="12.75"/>
    <row r="399" s="333" customFormat="1" ht="12.75"/>
    <row r="400" s="333" customFormat="1" ht="12.75"/>
    <row r="401" s="333" customFormat="1" ht="12.75"/>
    <row r="402" s="333" customFormat="1" ht="12.75"/>
    <row r="403" s="333" customFormat="1" ht="12.75"/>
    <row r="404" s="333" customFormat="1" ht="12.75"/>
    <row r="405" s="333" customFormat="1" ht="12.75"/>
    <row r="406" s="333" customFormat="1" ht="12.75"/>
    <row r="407" s="333" customFormat="1" ht="12.75"/>
    <row r="408" s="333" customFormat="1" ht="12.75"/>
    <row r="409" s="333" customFormat="1" ht="12.75"/>
    <row r="410" s="333" customFormat="1" ht="12.75"/>
    <row r="411" s="333" customFormat="1" ht="12.75"/>
    <row r="412" s="333" customFormat="1" ht="12.75"/>
    <row r="413" s="333" customFormat="1" ht="12.75"/>
    <row r="414" s="333" customFormat="1" ht="12.75"/>
    <row r="415" s="333" customFormat="1" ht="12.75"/>
    <row r="416" s="333" customFormat="1" ht="12.75"/>
    <row r="417" s="333" customFormat="1" ht="12.75"/>
    <row r="418" s="333" customFormat="1" ht="12.75"/>
    <row r="419" s="333" customFormat="1" ht="12.75"/>
    <row r="420" s="333" customFormat="1" ht="12.75"/>
    <row r="421" s="333" customFormat="1" ht="12.75"/>
    <row r="422" s="333" customFormat="1" ht="12.75"/>
    <row r="423" s="333" customFormat="1" ht="12.75"/>
    <row r="424" s="333" customFormat="1" ht="12.75"/>
    <row r="425" s="333" customFormat="1" ht="12.75"/>
    <row r="426" s="333" customFormat="1" ht="12.75"/>
    <row r="427" s="333" customFormat="1" ht="12.75"/>
    <row r="428" s="333" customFormat="1" ht="12.75"/>
    <row r="429" s="333" customFormat="1" ht="12.75"/>
    <row r="430" s="333" customFormat="1" ht="12.75"/>
    <row r="431" s="333" customFormat="1" ht="12.75"/>
    <row r="432" s="333" customFormat="1" ht="12.75"/>
    <row r="433" s="333" customFormat="1" ht="12.75"/>
    <row r="434" s="333" customFormat="1" ht="12.75"/>
    <row r="435" s="333" customFormat="1" ht="12.75"/>
    <row r="436" s="333" customFormat="1" ht="12.75"/>
    <row r="437" s="333" customFormat="1" ht="12.75"/>
    <row r="438" s="333" customFormat="1" ht="12.75"/>
    <row r="439" s="333" customFormat="1" ht="12.75"/>
    <row r="440" s="333" customFormat="1" ht="12.75"/>
    <row r="441" s="333" customFormat="1" ht="12.75"/>
    <row r="442" s="333" customFormat="1" ht="12.75"/>
    <row r="443" s="333" customFormat="1" ht="12.75"/>
    <row r="444" s="333" customFormat="1" ht="12.75"/>
    <row r="445" s="333" customFormat="1" ht="12.75"/>
    <row r="446" s="333" customFormat="1" ht="12.75"/>
    <row r="447" s="333" customFormat="1" ht="12.75"/>
    <row r="448" s="333" customFormat="1" ht="12.75"/>
    <row r="449" s="333" customFormat="1" ht="12.75"/>
    <row r="450" s="333" customFormat="1" ht="12.75"/>
    <row r="451" s="333" customFormat="1" ht="12.75"/>
    <row r="452" s="333" customFormat="1" ht="12.75"/>
    <row r="453" s="333" customFormat="1" ht="12.75"/>
    <row r="454" s="333" customFormat="1" ht="12.75"/>
    <row r="455" s="333" customFormat="1" ht="12.75"/>
    <row r="456" s="333" customFormat="1" ht="12.75"/>
    <row r="457" s="333" customFormat="1" ht="12.75"/>
    <row r="458" s="333" customFormat="1" ht="12.75"/>
    <row r="459" s="333" customFormat="1" ht="12.75"/>
    <row r="460" s="333" customFormat="1" ht="12.75"/>
    <row r="461" s="333" customFormat="1" ht="12.75"/>
    <row r="462" s="333" customFormat="1" ht="12.75"/>
    <row r="463" s="333" customFormat="1" ht="12.75"/>
    <row r="464" s="333" customFormat="1" ht="12.75"/>
    <row r="465" s="333" customFormat="1" ht="12.75"/>
    <row r="466" s="333" customFormat="1" ht="12.75"/>
    <row r="467" s="333" customFormat="1" ht="12.75"/>
    <row r="468" s="333" customFormat="1" ht="12.75"/>
    <row r="469" s="333" customFormat="1" ht="12.75"/>
    <row r="470" s="333" customFormat="1" ht="12.75"/>
    <row r="471" s="333" customFormat="1" ht="12.75"/>
    <row r="472" s="333" customFormat="1" ht="12.75"/>
    <row r="473" s="333" customFormat="1" ht="12.75"/>
    <row r="474" s="333" customFormat="1" ht="12.75"/>
    <row r="475" s="333" customFormat="1" ht="12.75"/>
    <row r="476" s="333" customFormat="1" ht="12.75"/>
    <row r="477" s="333" customFormat="1" ht="12.75"/>
    <row r="478" s="333" customFormat="1" ht="12.75"/>
    <row r="479" s="333" customFormat="1" ht="12.75"/>
    <row r="480" s="333" customFormat="1" ht="12.75"/>
    <row r="481" s="333" customFormat="1" ht="12.75"/>
    <row r="482" s="333" customFormat="1" ht="12.75"/>
    <row r="483" s="333" customFormat="1" ht="12.75"/>
    <row r="484" s="333" customFormat="1" ht="12.75"/>
    <row r="485" s="333" customFormat="1" ht="12.75"/>
    <row r="486" s="333" customFormat="1" ht="12.75"/>
    <row r="487" s="333" customFormat="1" ht="12.75"/>
    <row r="488" s="333" customFormat="1" ht="12.75"/>
    <row r="489" s="333" customFormat="1" ht="12.75"/>
    <row r="490" s="333" customFormat="1" ht="12.75"/>
    <row r="491" s="333" customFormat="1" ht="12.75"/>
    <row r="492" s="333" customFormat="1" ht="12.75"/>
    <row r="493" s="333" customFormat="1" ht="12.75"/>
    <row r="494" s="333" customFormat="1" ht="12.75"/>
    <row r="495" s="333" customFormat="1" ht="12.75"/>
    <row r="496" s="333" customFormat="1" ht="12.75"/>
    <row r="497" s="333" customFormat="1" ht="12.75"/>
    <row r="498" s="333" customFormat="1" ht="12.75"/>
    <row r="499" s="333" customFormat="1" ht="12.75"/>
    <row r="500" s="333" customFormat="1" ht="12.75"/>
    <row r="501" s="333" customFormat="1" ht="12.75"/>
    <row r="502" s="333" customFormat="1" ht="12.75"/>
    <row r="503" s="333" customFormat="1" ht="12.75"/>
    <row r="504" s="333" customFormat="1" ht="12.75"/>
    <row r="505" s="333" customFormat="1" ht="12.75"/>
    <row r="506" s="333" customFormat="1" ht="12.75"/>
    <row r="507" s="333" customFormat="1" ht="12.75"/>
    <row r="508" s="333" customFormat="1" ht="12.75"/>
    <row r="509" s="333" customFormat="1" ht="12.75"/>
    <row r="510" s="333" customFormat="1" ht="12.75"/>
    <row r="511" s="333" customFormat="1" ht="12.75"/>
    <row r="512" s="333" customFormat="1" ht="12.75"/>
    <row r="513" s="333" customFormat="1" ht="12.75"/>
    <row r="514" s="333" customFormat="1" ht="12.75"/>
    <row r="515" s="333" customFormat="1" ht="12.75"/>
    <row r="516" s="333" customFormat="1" ht="12.75"/>
    <row r="517" s="333" customFormat="1" ht="12.75"/>
    <row r="518" s="333" customFormat="1" ht="12.75"/>
    <row r="519" s="333" customFormat="1" ht="12.75"/>
    <row r="520" s="333" customFormat="1" ht="12.75"/>
    <row r="521" s="333" customFormat="1" ht="12.75"/>
    <row r="522" s="333" customFormat="1" ht="12.75"/>
    <row r="523" s="333" customFormat="1" ht="12.75"/>
    <row r="524" s="333" customFormat="1" ht="12.75"/>
    <row r="525" s="333" customFormat="1" ht="12.75"/>
    <row r="526" s="333" customFormat="1" ht="12.75"/>
    <row r="527" s="333" customFormat="1" ht="12.75"/>
    <row r="528" s="333" customFormat="1" ht="12.75"/>
    <row r="529" s="333" customFormat="1" ht="12.75"/>
    <row r="530" s="333" customFormat="1" ht="12.75"/>
    <row r="531" s="333" customFormat="1" ht="12.75"/>
    <row r="532" s="333" customFormat="1" ht="12.75"/>
    <row r="533" s="333" customFormat="1" ht="12.75"/>
    <row r="534" s="333" customFormat="1" ht="12.75"/>
    <row r="535" s="333" customFormat="1" ht="12.75"/>
    <row r="536" s="333" customFormat="1" ht="12.75"/>
    <row r="537" s="333" customFormat="1" ht="12.75"/>
    <row r="538" s="333" customFormat="1" ht="12.75"/>
    <row r="539" s="333" customFormat="1" ht="12.75"/>
    <row r="540" s="333" customFormat="1" ht="12.75"/>
    <row r="541" s="333" customFormat="1" ht="12.75"/>
    <row r="542" s="333" customFormat="1" ht="12.75"/>
    <row r="543" s="333" customFormat="1" ht="12.75"/>
    <row r="544" s="333" customFormat="1" ht="12.75"/>
    <row r="545" s="333" customFormat="1" ht="12.75"/>
    <row r="546" s="333" customFormat="1" ht="12.75"/>
    <row r="547" s="333" customFormat="1" ht="12.75"/>
    <row r="548" s="333" customFormat="1" ht="12.75"/>
    <row r="549" s="333" customFormat="1" ht="12.75"/>
    <row r="550" s="333" customFormat="1" ht="12.75"/>
    <row r="551" s="333" customFormat="1" ht="12.75"/>
    <row r="552" s="333" customFormat="1" ht="12.75"/>
    <row r="553" s="333" customFormat="1" ht="12.75"/>
    <row r="554" s="333" customFormat="1" ht="12.75"/>
    <row r="555" s="333" customFormat="1" ht="12.75"/>
    <row r="556" s="333" customFormat="1" ht="12.75"/>
    <row r="557" s="333" customFormat="1" ht="12.75"/>
    <row r="558" s="333" customFormat="1" ht="12.75"/>
    <row r="559" s="333" customFormat="1" ht="12.75"/>
    <row r="560" s="333" customFormat="1" ht="12.75"/>
    <row r="561" s="333" customFormat="1" ht="12.75"/>
    <row r="562" s="333" customFormat="1" ht="12.75"/>
    <row r="563" s="333" customFormat="1" ht="12.75"/>
    <row r="564" s="333" customFormat="1" ht="12.75"/>
    <row r="565" s="333" customFormat="1" ht="12.75"/>
    <row r="566" s="333" customFormat="1" ht="12.75"/>
    <row r="567" s="333" customFormat="1" ht="12.75"/>
    <row r="568" s="333" customFormat="1" ht="12.75"/>
    <row r="569" s="333" customFormat="1" ht="12.75"/>
    <row r="570" s="333" customFormat="1" ht="12.75"/>
    <row r="571" s="333" customFormat="1" ht="12.75"/>
    <row r="572" s="333" customFormat="1" ht="12.75"/>
    <row r="573" s="333" customFormat="1" ht="12.75"/>
    <row r="574" s="333" customFormat="1" ht="12.75"/>
    <row r="575" s="333" customFormat="1" ht="12.75"/>
    <row r="576" s="333" customFormat="1" ht="12.75"/>
    <row r="577" s="333" customFormat="1" ht="12.75"/>
    <row r="578" s="333" customFormat="1" ht="12.75"/>
    <row r="579" s="333" customFormat="1" ht="12.75"/>
    <row r="580" s="333" customFormat="1" ht="12.75"/>
    <row r="581" s="333" customFormat="1" ht="12.75"/>
    <row r="582" s="333" customFormat="1" ht="12.75"/>
    <row r="583" s="333" customFormat="1" ht="12.75"/>
    <row r="584" s="333" customFormat="1" ht="12.75"/>
    <row r="585" s="333" customFormat="1" ht="12.75"/>
    <row r="586" s="333" customFormat="1" ht="12.75"/>
    <row r="587" s="333" customFormat="1" ht="12.75"/>
    <row r="588" s="333" customFormat="1" ht="12.75"/>
    <row r="589" s="333" customFormat="1" ht="12.75"/>
    <row r="590" s="333" customFormat="1" ht="12.75"/>
    <row r="591" s="333" customFormat="1" ht="12.75"/>
    <row r="592" s="333" customFormat="1" ht="12.75"/>
    <row r="593" s="333" customFormat="1" ht="12.75"/>
    <row r="594" s="333" customFormat="1" ht="12.75"/>
    <row r="595" s="333" customFormat="1" ht="12.75"/>
    <row r="596" s="333" customFormat="1" ht="12.75"/>
    <row r="597" s="333" customFormat="1" ht="12.75"/>
    <row r="598" s="333" customFormat="1" ht="12.75"/>
    <row r="599" s="333" customFormat="1" ht="12.75"/>
    <row r="600" s="333" customFormat="1" ht="12.75"/>
    <row r="601" s="333" customFormat="1" ht="12.75"/>
    <row r="602" s="333" customFormat="1" ht="12.75"/>
    <row r="603" s="333" customFormat="1" ht="12.75"/>
    <row r="604" s="333" customFormat="1" ht="12.75"/>
    <row r="605" s="333" customFormat="1" ht="12.75"/>
    <row r="606" s="333" customFormat="1" ht="12.75"/>
    <row r="607" s="333" customFormat="1" ht="12.75"/>
    <row r="608" s="333" customFormat="1" ht="12.75"/>
    <row r="609" s="333" customFormat="1" ht="12.75"/>
    <row r="610" s="333" customFormat="1" ht="12.75"/>
    <row r="611" s="333" customFormat="1" ht="12.75"/>
    <row r="612" s="333" customFormat="1" ht="12.75"/>
    <row r="613" s="333" customFormat="1" ht="12.75"/>
    <row r="614" s="333" customFormat="1" ht="12.75"/>
    <row r="615" s="333" customFormat="1" ht="12.75"/>
    <row r="616" s="333" customFormat="1" ht="12.75"/>
    <row r="617" s="333" customFormat="1" ht="12.75"/>
    <row r="618" s="333" customFormat="1" ht="12.75"/>
    <row r="619" s="333" customFormat="1" ht="12.75"/>
    <row r="620" s="333" customFormat="1" ht="12.75"/>
    <row r="621" s="333" customFormat="1" ht="12.75"/>
    <row r="622" s="333" customFormat="1" ht="12.75"/>
    <row r="623" s="333" customFormat="1" ht="12.75"/>
    <row r="624" s="333" customFormat="1" ht="12.75"/>
    <row r="625" s="333" customFormat="1" ht="12.75"/>
    <row r="626" s="333" customFormat="1" ht="12.75"/>
    <row r="627" s="333" customFormat="1" ht="12.75"/>
    <row r="628" s="333" customFormat="1" ht="12.75"/>
    <row r="629" s="333" customFormat="1" ht="12.75"/>
    <row r="630" s="333" customFormat="1" ht="12.75"/>
    <row r="631" s="333" customFormat="1" ht="12.75"/>
    <row r="632" s="333" customFormat="1" ht="12.75"/>
    <row r="633" s="333" customFormat="1" ht="12.75"/>
    <row r="634" s="333" customFormat="1" ht="12.75"/>
    <row r="635" s="333" customFormat="1" ht="12.75"/>
    <row r="636" s="333" customFormat="1" ht="12.75"/>
    <row r="637" s="333" customFormat="1" ht="12.75"/>
    <row r="638" s="333" customFormat="1" ht="12.75"/>
    <row r="639" s="333" customFormat="1" ht="12.75"/>
    <row r="640" s="333" customFormat="1" ht="12.75"/>
    <row r="641" s="333" customFormat="1" ht="12.75"/>
    <row r="642" s="333" customFormat="1" ht="12.75"/>
    <row r="643" s="333" customFormat="1" ht="12.75"/>
    <row r="644" s="333" customFormat="1" ht="12.75"/>
    <row r="645" s="333" customFormat="1" ht="12.75"/>
    <row r="646" s="333" customFormat="1" ht="12.75"/>
    <row r="647" s="333" customFormat="1" ht="12.75"/>
    <row r="648" s="333" customFormat="1" ht="12.75"/>
    <row r="649" s="333" customFormat="1" ht="12.75"/>
    <row r="650" s="333" customFormat="1" ht="12.75"/>
    <row r="651" s="333" customFormat="1" ht="12.75"/>
    <row r="652" s="333" customFormat="1" ht="12.75"/>
    <row r="653" s="333" customFormat="1" ht="12.75"/>
    <row r="654" s="333" customFormat="1" ht="12.75"/>
    <row r="655" s="333" customFormat="1" ht="12.75"/>
    <row r="656" s="333" customFormat="1" ht="12.75"/>
    <row r="657" s="333" customFormat="1" ht="12.75"/>
    <row r="658" s="333" customFormat="1" ht="12.75"/>
    <row r="659" s="333" customFormat="1" ht="12.75"/>
    <row r="660" s="333" customFormat="1" ht="12.75"/>
    <row r="661" s="333" customFormat="1" ht="12.75"/>
    <row r="662" s="333" customFormat="1" ht="12.75"/>
    <row r="663" s="333" customFormat="1" ht="12.75"/>
    <row r="664" s="333" customFormat="1" ht="12.75"/>
    <row r="665" s="333" customFormat="1" ht="12.75"/>
    <row r="666" s="333" customFormat="1" ht="12.75"/>
    <row r="667" s="333" customFormat="1" ht="12.75"/>
    <row r="668" s="333" customFormat="1" ht="12.75"/>
    <row r="669" s="333" customFormat="1" ht="12.75"/>
    <row r="670" s="333" customFormat="1" ht="12.75"/>
    <row r="671" s="333" customFormat="1" ht="12.75"/>
    <row r="672" s="333" customFormat="1" ht="12.75"/>
    <row r="673" s="333" customFormat="1" ht="12.75"/>
    <row r="674" s="333" customFormat="1" ht="12.75"/>
    <row r="675" s="333" customFormat="1" ht="12.75"/>
    <row r="676" s="333" customFormat="1" ht="12.75"/>
    <row r="677" s="333" customFormat="1" ht="12.75"/>
    <row r="678" s="333" customFormat="1" ht="12.75"/>
    <row r="679" s="333" customFormat="1" ht="12.75"/>
    <row r="680" s="333" customFormat="1" ht="12.75"/>
    <row r="681" s="333" customFormat="1" ht="12.75"/>
    <row r="682" s="333" customFormat="1" ht="12.75"/>
    <row r="683" s="333" customFormat="1" ht="12.75"/>
    <row r="684" s="333" customFormat="1" ht="12.75"/>
    <row r="685" s="333" customFormat="1" ht="12.75"/>
    <row r="686" s="333" customFormat="1" ht="12.75"/>
    <row r="687" s="333" customFormat="1" ht="12.75"/>
    <row r="688" s="333" customFormat="1" ht="12.75"/>
    <row r="689" s="333" customFormat="1" ht="12.75"/>
    <row r="690" s="333" customFormat="1" ht="12.75"/>
    <row r="691" s="333" customFormat="1" ht="12.75"/>
    <row r="692" s="333" customFormat="1" ht="12.75"/>
    <row r="693" s="333" customFormat="1" ht="12.75"/>
    <row r="694" s="333" customFormat="1" ht="12.75"/>
    <row r="695" s="333" customFormat="1" ht="12.75"/>
    <row r="696" s="333" customFormat="1" ht="12.75"/>
    <row r="697" s="333" customFormat="1" ht="12.75"/>
    <row r="698" s="333" customFormat="1" ht="12.75"/>
    <row r="699" s="333" customFormat="1" ht="12.75"/>
    <row r="700" s="333" customFormat="1" ht="12.75"/>
    <row r="701" s="333" customFormat="1" ht="12.75"/>
    <row r="702" s="333" customFormat="1" ht="12.75"/>
    <row r="703" s="333" customFormat="1" ht="12.75"/>
    <row r="704" s="333" customFormat="1" ht="12.75"/>
    <row r="705" s="333" customFormat="1" ht="12.75"/>
    <row r="706" s="333" customFormat="1" ht="12.75"/>
    <row r="707" s="333" customFormat="1" ht="12.75"/>
    <row r="708" s="333" customFormat="1" ht="12.75"/>
    <row r="709" s="333" customFormat="1" ht="12.75"/>
    <row r="710" s="333" customFormat="1" ht="12.75"/>
    <row r="711" s="333" customFormat="1" ht="12.75"/>
    <row r="712" s="333" customFormat="1" ht="12.75"/>
    <row r="713" s="333" customFormat="1" ht="12.75"/>
    <row r="714" s="333" customFormat="1" ht="12.75"/>
    <row r="715" s="333" customFormat="1" ht="12.75"/>
    <row r="716" s="333" customFormat="1" ht="12.75"/>
    <row r="717" s="333" customFormat="1" ht="12.75"/>
    <row r="718" s="333" customFormat="1" ht="12.75"/>
    <row r="719" s="333" customFormat="1" ht="12.75"/>
    <row r="720" s="333" customFormat="1" ht="12.75"/>
    <row r="721" s="333" customFormat="1" ht="12.75"/>
    <row r="722" s="333" customFormat="1" ht="12.75"/>
    <row r="723" s="333" customFormat="1" ht="12.75"/>
    <row r="724" s="333" customFormat="1" ht="12.75"/>
    <row r="725" s="333" customFormat="1" ht="12.75"/>
    <row r="726" s="333" customFormat="1" ht="12.75"/>
    <row r="727" s="333" customFormat="1" ht="12.75"/>
    <row r="728" s="333" customFormat="1" ht="12.75"/>
    <row r="729" s="333" customFormat="1" ht="12.75"/>
    <row r="730" s="333" customFormat="1" ht="12.75"/>
    <row r="731" s="333" customFormat="1" ht="12.75"/>
    <row r="732" s="333" customFormat="1" ht="12.75"/>
    <row r="733" s="333" customFormat="1" ht="12.75"/>
    <row r="734" s="333" customFormat="1" ht="12.75"/>
    <row r="735" s="333" customFormat="1" ht="12.75"/>
    <row r="736" s="333" customFormat="1" ht="12.75"/>
    <row r="737" s="333" customFormat="1" ht="12.75"/>
    <row r="738" s="333" customFormat="1" ht="12.75"/>
    <row r="739" s="333" customFormat="1" ht="12.75"/>
    <row r="740" s="333" customFormat="1" ht="12.75"/>
    <row r="741" s="333" customFormat="1" ht="12.75"/>
    <row r="742" s="333" customFormat="1" ht="12.75"/>
    <row r="743" s="333" customFormat="1" ht="12.75"/>
    <row r="744" s="333" customFormat="1" ht="12.75"/>
    <row r="745" s="333" customFormat="1" ht="12.75"/>
    <row r="746" s="333" customFormat="1" ht="12.75"/>
    <row r="747" s="333" customFormat="1" ht="12.75"/>
    <row r="748" s="333" customFormat="1" ht="12.75"/>
    <row r="749" s="333" customFormat="1" ht="12.75"/>
    <row r="750" s="333" customFormat="1" ht="12.75"/>
    <row r="751" s="333" customFormat="1" ht="12.75"/>
    <row r="752" s="333" customFormat="1" ht="12.75"/>
    <row r="753" s="333" customFormat="1" ht="12.75"/>
    <row r="754" s="333" customFormat="1" ht="12.75"/>
    <row r="755" s="333" customFormat="1" ht="12.75"/>
    <row r="756" s="333" customFormat="1" ht="12.75"/>
    <row r="757" s="333" customFormat="1" ht="12.75"/>
    <row r="758" s="333" customFormat="1" ht="12.75"/>
    <row r="759" s="333" customFormat="1" ht="12.75"/>
    <row r="760" s="333" customFormat="1" ht="12.75"/>
    <row r="761" s="333" customFormat="1" ht="12.75"/>
    <row r="762" s="333" customFormat="1" ht="12.75"/>
    <row r="763" s="333" customFormat="1" ht="12.75"/>
    <row r="764" s="333" customFormat="1" ht="12.75"/>
    <row r="765" s="333" customFormat="1" ht="12.75"/>
    <row r="766" s="333" customFormat="1" ht="12.75"/>
    <row r="767" s="333" customFormat="1" ht="12.75"/>
    <row r="768" s="333" customFormat="1" ht="12.75"/>
    <row r="769" s="333" customFormat="1" ht="12.75"/>
    <row r="770" s="333" customFormat="1" ht="12.75"/>
    <row r="771" s="333" customFormat="1" ht="12.75"/>
    <row r="772" s="333" customFormat="1" ht="12.75"/>
    <row r="773" s="333" customFormat="1" ht="12.75"/>
    <row r="774" s="333" customFormat="1" ht="12.75"/>
    <row r="775" s="333" customFormat="1" ht="12.75"/>
    <row r="776" s="333" customFormat="1" ht="12.75"/>
    <row r="777" s="333" customFormat="1" ht="12.75"/>
    <row r="778" s="333" customFormat="1" ht="12.75"/>
    <row r="779" s="333" customFormat="1" ht="12.75"/>
    <row r="780" s="333" customFormat="1" ht="12.75"/>
    <row r="781" s="333" customFormat="1" ht="12.75"/>
    <row r="782" s="333" customFormat="1" ht="12.75"/>
    <row r="783" s="333" customFormat="1" ht="12.75"/>
    <row r="784" s="333" customFormat="1" ht="12.75"/>
    <row r="785" s="333" customFormat="1" ht="12.75"/>
    <row r="786" s="333" customFormat="1" ht="12.75"/>
    <row r="787" s="333" customFormat="1" ht="12.75"/>
    <row r="788" s="333" customFormat="1" ht="12.75"/>
    <row r="789" s="333" customFormat="1" ht="12.75"/>
    <row r="790" s="333" customFormat="1" ht="12.75"/>
    <row r="791" s="333" customFormat="1" ht="12.75"/>
    <row r="792" s="333" customFormat="1" ht="12.75"/>
    <row r="793" s="333" customFormat="1" ht="12.75"/>
    <row r="794" s="333" customFormat="1" ht="12.75"/>
    <row r="795" s="333" customFormat="1" ht="12.75"/>
    <row r="796" s="333" customFormat="1" ht="12.75"/>
    <row r="797" s="333" customFormat="1" ht="12.75"/>
    <row r="798" s="333" customFormat="1" ht="12.75"/>
    <row r="799" s="333" customFormat="1" ht="12.75"/>
    <row r="800" s="333" customFormat="1" ht="12.75"/>
    <row r="801" s="333" customFormat="1" ht="12.75"/>
    <row r="802" s="333" customFormat="1" ht="12.75"/>
    <row r="803" s="333" customFormat="1" ht="12.75"/>
    <row r="804" s="333" customFormat="1" ht="12.75"/>
    <row r="805" s="333" customFormat="1" ht="12.75"/>
    <row r="806" s="333" customFormat="1" ht="12.75"/>
    <row r="807" s="333" customFormat="1" ht="12.75"/>
    <row r="808" s="333" customFormat="1" ht="12.75"/>
    <row r="809" s="333" customFormat="1" ht="12.75"/>
    <row r="810" s="333" customFormat="1" ht="12.75"/>
    <row r="811" s="333" customFormat="1" ht="12.75"/>
    <row r="812" s="333" customFormat="1" ht="12.75"/>
    <row r="813" s="333" customFormat="1" ht="12.75"/>
    <row r="814" s="333" customFormat="1" ht="12.75"/>
    <row r="815" s="333" customFormat="1" ht="12.75"/>
    <row r="816" s="333" customFormat="1" ht="12.75"/>
    <row r="817" s="333" customFormat="1" ht="12.75"/>
    <row r="818" s="333" customFormat="1" ht="12.75"/>
    <row r="819" s="333" customFormat="1" ht="12.75"/>
    <row r="820" s="333" customFormat="1" ht="12.75"/>
    <row r="821" s="333" customFormat="1" ht="12.75"/>
    <row r="822" s="333" customFormat="1" ht="12.75"/>
    <row r="823" s="333" customFormat="1" ht="12.75"/>
    <row r="824" s="333" customFormat="1" ht="12.75"/>
    <row r="825" s="333" customFormat="1" ht="12.75"/>
    <row r="826" s="333" customFormat="1" ht="12.75"/>
    <row r="827" s="333" customFormat="1" ht="12.75"/>
    <row r="828" s="333" customFormat="1" ht="12.75"/>
    <row r="829" s="333" customFormat="1" ht="12.75"/>
    <row r="830" s="333" customFormat="1" ht="12.75"/>
    <row r="831" s="333" customFormat="1" ht="12.75"/>
    <row r="832" s="333" customFormat="1" ht="12.75"/>
    <row r="833" s="333" customFormat="1" ht="12.75"/>
    <row r="834" s="333" customFormat="1" ht="12.75"/>
    <row r="835" s="333" customFormat="1" ht="12.75"/>
    <row r="836" s="333" customFormat="1" ht="12.75"/>
    <row r="837" s="333" customFormat="1" ht="12.75"/>
    <row r="838" s="333" customFormat="1" ht="12.75"/>
    <row r="839" s="333" customFormat="1" ht="12.75"/>
    <row r="840" s="333" customFormat="1" ht="12.75"/>
    <row r="841" s="333" customFormat="1" ht="12.75"/>
    <row r="842" s="333" customFormat="1" ht="12.75"/>
    <row r="843" s="333" customFormat="1" ht="12.75"/>
    <row r="844" s="333" customFormat="1" ht="12.75"/>
    <row r="845" s="333" customFormat="1" ht="12.75"/>
    <row r="846" s="333" customFormat="1" ht="12.75"/>
    <row r="847" s="333" customFormat="1" ht="12.75"/>
    <row r="848" s="333" customFormat="1" ht="12.75"/>
    <row r="849" s="333" customFormat="1" ht="12.75"/>
    <row r="850" s="333" customFormat="1" ht="12.75"/>
    <row r="851" s="333" customFormat="1" ht="12.75"/>
    <row r="852" s="333" customFormat="1" ht="12.75"/>
    <row r="853" s="333" customFormat="1" ht="12.75"/>
    <row r="854" s="333" customFormat="1" ht="12.75"/>
    <row r="855" s="333" customFormat="1" ht="12.75"/>
    <row r="856" s="333" customFormat="1" ht="12.75"/>
    <row r="857" s="333" customFormat="1" ht="12.75"/>
    <row r="858" s="333" customFormat="1" ht="12.75"/>
    <row r="859" s="333" customFormat="1" ht="12.75"/>
    <row r="860" s="333" customFormat="1" ht="12.75"/>
    <row r="861" s="333" customFormat="1" ht="12.75"/>
    <row r="862" s="333" customFormat="1" ht="12.75"/>
    <row r="863" s="333" customFormat="1" ht="12.75"/>
    <row r="864" s="333" customFormat="1" ht="12.75"/>
    <row r="865" s="333" customFormat="1" ht="12.75"/>
    <row r="866" s="333" customFormat="1" ht="12.75"/>
    <row r="867" s="333" customFormat="1" ht="12.75"/>
    <row r="868" s="333" customFormat="1" ht="12.75"/>
    <row r="869" s="333" customFormat="1" ht="12.75"/>
    <row r="870" s="333" customFormat="1" ht="12.75"/>
    <row r="871" s="333" customFormat="1" ht="12.75"/>
    <row r="872" s="333" customFormat="1" ht="12.75"/>
    <row r="873" s="333" customFormat="1" ht="12.75"/>
    <row r="874" s="333" customFormat="1" ht="12.75"/>
    <row r="875" s="333" customFormat="1" ht="12.75"/>
    <row r="876" s="333" customFormat="1" ht="12.75"/>
    <row r="877" s="333" customFormat="1" ht="12.75"/>
    <row r="878" s="333" customFormat="1" ht="12.75"/>
    <row r="879" s="333" customFormat="1" ht="12.75"/>
    <row r="880" s="333" customFormat="1" ht="12.75"/>
    <row r="881" s="333" customFormat="1" ht="12.75"/>
    <row r="882" s="333" customFormat="1" ht="12.75"/>
    <row r="883" s="333" customFormat="1" ht="12.75"/>
    <row r="884" s="333" customFormat="1" ht="12.75"/>
    <row r="885" s="333" customFormat="1" ht="12.75"/>
    <row r="886" s="333" customFormat="1" ht="12.75"/>
    <row r="887" s="333" customFormat="1" ht="12.75"/>
    <row r="888" s="333" customFormat="1" ht="12.75"/>
    <row r="889" s="333" customFormat="1" ht="12.75"/>
    <row r="890" s="333" customFormat="1" ht="12.75"/>
    <row r="891" s="333" customFormat="1" ht="12.75"/>
    <row r="892" s="333" customFormat="1" ht="12.75"/>
    <row r="893" s="333" customFormat="1" ht="12.75"/>
    <row r="894" s="333" customFormat="1" ht="12.75"/>
    <row r="895" s="333" customFormat="1" ht="12.75"/>
    <row r="896" s="333" customFormat="1" ht="12.75"/>
    <row r="897" s="333" customFormat="1" ht="12.75"/>
    <row r="898" s="333" customFormat="1" ht="12.75"/>
    <row r="899" s="333" customFormat="1" ht="12.75"/>
    <row r="900" s="333" customFormat="1" ht="12.75"/>
    <row r="901" s="333" customFormat="1" ht="12.75"/>
    <row r="902" s="333" customFormat="1" ht="12.75"/>
    <row r="903" s="333" customFormat="1" ht="12.75"/>
    <row r="904" s="333" customFormat="1" ht="12.75"/>
    <row r="905" s="333" customFormat="1" ht="12.75"/>
    <row r="906" s="333" customFormat="1" ht="12.75"/>
    <row r="907" s="333" customFormat="1" ht="12.75"/>
    <row r="908" s="333" customFormat="1" ht="12.75"/>
    <row r="909" s="333" customFormat="1" ht="12.75"/>
    <row r="910" s="333" customFormat="1" ht="12.75"/>
    <row r="911" s="333" customFormat="1" ht="12.75"/>
    <row r="912" s="333" customFormat="1" ht="12.75"/>
    <row r="913" s="333" customFormat="1" ht="12.75"/>
    <row r="914" s="333" customFormat="1" ht="12.75"/>
    <row r="915" s="333" customFormat="1" ht="12.75"/>
    <row r="916" s="333" customFormat="1" ht="12.75"/>
    <row r="917" s="333" customFormat="1" ht="12.75"/>
    <row r="918" s="333" customFormat="1" ht="12.75"/>
    <row r="919" s="333" customFormat="1" ht="12.75"/>
    <row r="920" s="333" customFormat="1" ht="12.75"/>
    <row r="921" s="333" customFormat="1" ht="12.75"/>
    <row r="922" s="333" customFormat="1" ht="12.75"/>
    <row r="923" s="333" customFormat="1" ht="12.75"/>
    <row r="924" s="333" customFormat="1" ht="12.75"/>
    <row r="925" s="333" customFormat="1" ht="12.75"/>
    <row r="926" s="333" customFormat="1" ht="12.75"/>
    <row r="927" s="333" customFormat="1" ht="12.75"/>
    <row r="928" s="333" customFormat="1" ht="12.75"/>
    <row r="929" s="333" customFormat="1" ht="12.75"/>
    <row r="930" s="333" customFormat="1" ht="12.75"/>
    <row r="931" s="333" customFormat="1" ht="12.75"/>
    <row r="932" s="333" customFormat="1" ht="12.75"/>
    <row r="933" s="333" customFormat="1" ht="12.75"/>
    <row r="934" s="333" customFormat="1" ht="12.75"/>
    <row r="935" s="333" customFormat="1" ht="12.75"/>
    <row r="936" s="333" customFormat="1" ht="12.75"/>
    <row r="937" s="333" customFormat="1" ht="12.75"/>
    <row r="938" s="333" customFormat="1" ht="12.75"/>
    <row r="939" s="333" customFormat="1" ht="12.75"/>
    <row r="940" s="333" customFormat="1" ht="12.75"/>
    <row r="941" s="333" customFormat="1" ht="12.75"/>
    <row r="942" s="333" customFormat="1" ht="12.75"/>
    <row r="943" s="333" customFormat="1" ht="12.75"/>
    <row r="944" s="333" customFormat="1" ht="12.75"/>
    <row r="945" s="333" customFormat="1" ht="12.75"/>
    <row r="946" s="333" customFormat="1" ht="12.75"/>
    <row r="947" s="333" customFormat="1" ht="12.75"/>
    <row r="948" s="333" customFormat="1" ht="12.75"/>
    <row r="949" s="333" customFormat="1" ht="12.75"/>
    <row r="950" s="333" customFormat="1" ht="12.75"/>
    <row r="951" s="333" customFormat="1" ht="12.75"/>
    <row r="952" s="333" customFormat="1" ht="12.75"/>
    <row r="953" s="333" customFormat="1" ht="12.75"/>
    <row r="954" s="333" customFormat="1" ht="12.75"/>
    <row r="955" s="333" customFormat="1" ht="12.75"/>
    <row r="956" s="333" customFormat="1" ht="12.75"/>
    <row r="957" s="333" customFormat="1" ht="12.75"/>
    <row r="958" s="333" customFormat="1" ht="12.75"/>
    <row r="959" s="333" customFormat="1" ht="12.75"/>
    <row r="960" s="333" customFormat="1" ht="12.75"/>
    <row r="961" s="333" customFormat="1" ht="12.75"/>
    <row r="962" s="333" customFormat="1" ht="12.75"/>
    <row r="963" s="333" customFormat="1" ht="12.75"/>
    <row r="964" s="333" customFormat="1" ht="12.75"/>
    <row r="965" s="333" customFormat="1" ht="12.75"/>
    <row r="966" s="333" customFormat="1" ht="12.75"/>
    <row r="967" s="333" customFormat="1" ht="12.75"/>
    <row r="968" s="333" customFormat="1" ht="12.75"/>
    <row r="969" s="333" customFormat="1" ht="12.75"/>
    <row r="970" s="333" customFormat="1" ht="12.75"/>
    <row r="971" s="333" customFormat="1" ht="12.75"/>
    <row r="972" s="333" customFormat="1" ht="12.75"/>
    <row r="973" s="333" customFormat="1" ht="12.75"/>
    <row r="974" s="333" customFormat="1" ht="12.75"/>
    <row r="975" s="333" customFormat="1" ht="12.75"/>
    <row r="976" s="333" customFormat="1" ht="12.75"/>
    <row r="977" s="333" customFormat="1" ht="12.75"/>
    <row r="978" s="333" customFormat="1" ht="12.75"/>
    <row r="979" s="333" customFormat="1" ht="12.75"/>
    <row r="980" s="333" customFormat="1" ht="12.75"/>
    <row r="981" s="333" customFormat="1" ht="12.75"/>
    <row r="982" s="333" customFormat="1" ht="12.75"/>
    <row r="983" s="333" customFormat="1" ht="12.75"/>
    <row r="984" s="333" customFormat="1" ht="12.75"/>
    <row r="985" s="333" customFormat="1" ht="12.75"/>
    <row r="986" s="333" customFormat="1" ht="12.75"/>
    <row r="987" s="333" customFormat="1" ht="12.75"/>
    <row r="988" s="333" customFormat="1" ht="12.75"/>
    <row r="989" s="333" customFormat="1" ht="12.75"/>
    <row r="990" s="333" customFormat="1" ht="12.75"/>
    <row r="991" s="333" customFormat="1" ht="12.75"/>
    <row r="992" s="333" customFormat="1" ht="12.75"/>
    <row r="993" s="333" customFormat="1" ht="12.75"/>
    <row r="994" s="333" customFormat="1" ht="12.75"/>
    <row r="995" s="333" customFormat="1" ht="12.75"/>
    <row r="996" s="333" customFormat="1" ht="12.75"/>
    <row r="997" s="333" customFormat="1" ht="12.75"/>
    <row r="998" s="333" customFormat="1" ht="12.75"/>
    <row r="999" s="333" customFormat="1" ht="12.75"/>
    <row r="1000" s="357" customFormat="1" ht="12.75"/>
  </sheetData>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7">
    <tabColor theme="2" tint="-0.499984740745262"/>
  </sheetPr>
  <dimension ref="A1:M163"/>
  <sheetViews>
    <sheetView topLeftCell="A7" zoomScaleNormal="100" workbookViewId="0">
      <selection activeCell="N27" sqref="N27"/>
    </sheetView>
  </sheetViews>
  <sheetFormatPr defaultColWidth="11.28515625" defaultRowHeight="15"/>
  <cols>
    <col min="1" max="1" width="40.7109375" style="3" customWidth="1"/>
    <col min="2" max="2" width="2.7109375" style="3" customWidth="1"/>
    <col min="3" max="12" width="11.28515625" style="3"/>
  </cols>
  <sheetData>
    <row r="1" spans="1:13" s="340" customFormat="1" ht="26.1" customHeight="1">
      <c r="A1" s="371" t="str">
        <f>BS!A5</f>
        <v>Balance Sheet</v>
      </c>
      <c r="B1" s="340" t="str">
        <f>IS!B5</f>
        <v>Delta Air Lines, Inc.</v>
      </c>
    </row>
    <row r="2" spans="1:13">
      <c r="A2" s="327" t="str">
        <f>IS!A8</f>
        <v>Ticker</v>
      </c>
      <c r="B2" s="327" t="str">
        <f>IS!B8</f>
        <v>DAL-US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BS!A13</f>
        <v>Balance Sheet</v>
      </c>
      <c r="B7" s="327"/>
      <c r="C7" s="327"/>
      <c r="D7" s="327"/>
      <c r="E7" s="327"/>
      <c r="F7" s="327"/>
      <c r="G7" s="327"/>
      <c r="H7" s="327"/>
      <c r="I7" s="327"/>
      <c r="J7" s="327"/>
      <c r="K7" s="327"/>
      <c r="L7" s="327"/>
      <c r="M7" s="16"/>
    </row>
    <row r="8" spans="1:13">
      <c r="A8" s="353" t="str">
        <f>BS!A14</f>
        <v>Assets</v>
      </c>
      <c r="B8" s="327"/>
      <c r="C8" s="1059" t="s">
        <v>447</v>
      </c>
      <c r="D8" s="327"/>
      <c r="E8" s="327"/>
      <c r="F8" s="327"/>
      <c r="G8" s="327"/>
      <c r="H8" s="327"/>
      <c r="I8" s="327"/>
      <c r="J8" s="327"/>
      <c r="K8" s="327"/>
      <c r="L8" s="327"/>
      <c r="M8" s="16"/>
    </row>
    <row r="9" spans="1:13">
      <c r="A9" s="347" t="str">
        <f>BS!A15</f>
        <v>Cash &amp; Short-Term Investments</v>
      </c>
      <c r="C9" s="347">
        <f>BS!B15</f>
        <v>14.288</v>
      </c>
      <c r="D9" s="347">
        <f>BS!C15</f>
        <v>3.0939999999999999</v>
      </c>
      <c r="E9" s="347">
        <f>BS!D15</f>
        <v>1.8149999999999999</v>
      </c>
      <c r="F9" s="347">
        <f>BS!E15</f>
        <v>2.6389999999999998</v>
      </c>
      <c r="G9" s="347">
        <f>BS!F15</f>
        <v>3.6419999999999999</v>
      </c>
      <c r="H9" s="347">
        <f>BS!G15</f>
        <v>5.4240000000000004</v>
      </c>
      <c r="I9" s="347">
        <f>BS!H15</f>
        <v>4.383</v>
      </c>
      <c r="J9" s="347">
        <f>BS!I15</f>
        <v>3.9249999999999998</v>
      </c>
      <c r="K9" s="347">
        <f>BS!J15</f>
        <v>3.7490000000000001</v>
      </c>
      <c r="L9" s="347">
        <f>BS!K15</f>
        <v>3.92</v>
      </c>
      <c r="M9" s="16"/>
    </row>
    <row r="10" spans="1:13">
      <c r="A10" s="347" t="str">
        <f>BS!A16</f>
        <v>Short-Term Receivables</v>
      </c>
      <c r="C10" s="347">
        <f>BS!B16</f>
        <v>1.3959999999999999</v>
      </c>
      <c r="D10" s="347">
        <f>BS!C16</f>
        <v>2.8540000000000001</v>
      </c>
      <c r="E10" s="347">
        <f>BS!D16</f>
        <v>2.3140000000000001</v>
      </c>
      <c r="F10" s="347">
        <f>BS!E16</f>
        <v>2.3769999999999998</v>
      </c>
      <c r="G10" s="347">
        <f>BS!F16</f>
        <v>2.0640000000000001</v>
      </c>
      <c r="H10" s="347">
        <f>BS!G16</f>
        <v>2.1389999999999998</v>
      </c>
      <c r="I10" s="347">
        <f>BS!H16</f>
        <v>3.222</v>
      </c>
      <c r="J10" s="347">
        <f>BS!I16</f>
        <v>1.609</v>
      </c>
      <c r="K10" s="347">
        <f>BS!J16</f>
        <v>1.6930000000000001</v>
      </c>
      <c r="L10" s="347">
        <f>BS!K16</f>
        <v>1.5629999999999999</v>
      </c>
      <c r="M10" s="16"/>
    </row>
    <row r="11" spans="1:13">
      <c r="A11" s="347" t="str">
        <f>BS!A17</f>
        <v>Inventories</v>
      </c>
      <c r="C11" s="347">
        <f>BS!B17</f>
        <v>0.73199999999999998</v>
      </c>
      <c r="D11" s="347">
        <f>BS!C17</f>
        <v>1.2509999999999999</v>
      </c>
      <c r="E11" s="347">
        <f>BS!D17</f>
        <v>1.0549999999999999</v>
      </c>
      <c r="F11" s="347">
        <f>BS!E17</f>
        <v>1.329</v>
      </c>
      <c r="G11" s="347">
        <f>BS!F17</f>
        <v>0.89100000000000001</v>
      </c>
      <c r="H11" s="347">
        <f>BS!G17</f>
        <v>0.69699999999999995</v>
      </c>
      <c r="I11" s="347">
        <f>BS!H17</f>
        <v>0.85199999999999998</v>
      </c>
      <c r="J11" s="347">
        <f>BS!I17</f>
        <v>1.0629999999999999</v>
      </c>
      <c r="K11" s="347">
        <f>BS!J17</f>
        <v>1.0229999999999999</v>
      </c>
      <c r="L11" s="347">
        <f>BS!K17</f>
        <v>0.36699999999999999</v>
      </c>
      <c r="M11" s="16"/>
    </row>
    <row r="12" spans="1:13">
      <c r="A12" s="347" t="str">
        <f>BS!A18</f>
        <v>Other Current Assets</v>
      </c>
      <c r="C12" s="347">
        <f>BS!B18</f>
        <v>0.98799999999999999</v>
      </c>
      <c r="D12" s="347">
        <f>BS!C18</f>
        <v>1.05</v>
      </c>
      <c r="E12" s="347">
        <f>BS!D18</f>
        <v>1.1559999999999999</v>
      </c>
      <c r="F12" s="347">
        <f>BS!E18</f>
        <v>1.4990000000000001</v>
      </c>
      <c r="G12" s="347">
        <f>BS!F18</f>
        <v>0.85399999999999998</v>
      </c>
      <c r="H12" s="347">
        <f>BS!G18</f>
        <v>0.79600000000000004</v>
      </c>
      <c r="I12" s="347">
        <f>BS!H18</f>
        <v>4.008</v>
      </c>
      <c r="J12" s="347">
        <f>BS!I18</f>
        <v>3.0539999999999998</v>
      </c>
      <c r="K12" s="347">
        <f>BS!J18</f>
        <v>1.8069999999999999</v>
      </c>
      <c r="L12" s="347">
        <f>BS!K18</f>
        <v>1.879</v>
      </c>
      <c r="M12" s="16"/>
    </row>
    <row r="13" spans="1:13" s="17" customFormat="1">
      <c r="A13" s="344" t="str">
        <f>BS!A19</f>
        <v>Total Current Assets</v>
      </c>
      <c r="B13" s="372"/>
      <c r="C13" s="344">
        <f>BS!B19</f>
        <v>17.404</v>
      </c>
      <c r="D13" s="344">
        <f>BS!C19</f>
        <v>8.2490000000000006</v>
      </c>
      <c r="E13" s="344">
        <f>BS!D19</f>
        <v>6.34</v>
      </c>
      <c r="F13" s="344">
        <f>BS!E19</f>
        <v>7.8440000000000003</v>
      </c>
      <c r="G13" s="344">
        <f>BS!F19</f>
        <v>7.4509999999999996</v>
      </c>
      <c r="H13" s="344">
        <f>BS!G19</f>
        <v>9.0559999999999992</v>
      </c>
      <c r="I13" s="344">
        <f>BS!H19</f>
        <v>12.465</v>
      </c>
      <c r="J13" s="344">
        <f>BS!I19</f>
        <v>9.6509999999999998</v>
      </c>
      <c r="K13" s="344">
        <f>BS!J19</f>
        <v>8.2720000000000002</v>
      </c>
      <c r="L13" s="344">
        <f>BS!K19</f>
        <v>7.7290000000000001</v>
      </c>
      <c r="M13" s="18"/>
    </row>
    <row r="14" spans="1:13">
      <c r="A14" s="347" t="str">
        <f>BS!A20</f>
        <v>Net Property, Plant &amp; Equipment</v>
      </c>
      <c r="C14" s="347">
        <f>BS!B20</f>
        <v>32.262</v>
      </c>
      <c r="D14" s="347">
        <f>BS!C20</f>
        <v>36.936999999999998</v>
      </c>
      <c r="E14" s="347">
        <f>BS!D20</f>
        <v>34.329000000000001</v>
      </c>
      <c r="F14" s="347">
        <f>BS!E20</f>
        <v>26.562999999999999</v>
      </c>
      <c r="G14" s="347">
        <f>BS!F20</f>
        <v>24.375</v>
      </c>
      <c r="H14" s="347">
        <f>BS!G20</f>
        <v>23.039000000000001</v>
      </c>
      <c r="I14" s="347">
        <f>BS!H20</f>
        <v>21.928999999999998</v>
      </c>
      <c r="J14" s="347">
        <f>BS!I20</f>
        <v>21.853999999999999</v>
      </c>
      <c r="K14" s="347">
        <f>BS!J20</f>
        <v>20.713000000000001</v>
      </c>
      <c r="L14" s="347">
        <f>BS!K20</f>
        <v>20.222999999999999</v>
      </c>
      <c r="M14" s="16"/>
    </row>
    <row r="15" spans="1:13">
      <c r="A15" s="373" t="s">
        <v>448</v>
      </c>
      <c r="B15" s="12"/>
      <c r="C15" s="373">
        <f>'DAL-US R&amp;D'!C34</f>
        <v>0</v>
      </c>
      <c r="D15" s="373">
        <f>'DAL-US R&amp;D'!D34</f>
        <v>0</v>
      </c>
      <c r="E15" s="373">
        <f>'DAL-US R&amp;D'!E34</f>
        <v>0</v>
      </c>
      <c r="F15" s="373">
        <f>'DAL-US R&amp;D'!F34</f>
        <v>0</v>
      </c>
      <c r="G15" s="373">
        <f>'DAL-US R&amp;D'!G34</f>
        <v>0</v>
      </c>
      <c r="H15" s="373">
        <f>'DAL-US R&amp;D'!H34</f>
        <v>0</v>
      </c>
      <c r="I15" s="373">
        <f>'DAL-US R&amp;D'!I34</f>
        <v>0</v>
      </c>
      <c r="J15" s="373">
        <f>'DAL-US R&amp;D'!J34</f>
        <v>0</v>
      </c>
      <c r="K15" s="373">
        <f>'DAL-US R&amp;D'!K34</f>
        <v>0</v>
      </c>
      <c r="L15" s="373">
        <f>'DAL-US R&amp;D'!L34</f>
        <v>0</v>
      </c>
      <c r="M15" s="16"/>
    </row>
    <row r="16" spans="1:13">
      <c r="A16" s="373" t="s">
        <v>449</v>
      </c>
      <c r="B16" s="12"/>
      <c r="C16" s="373">
        <f>'DAL-US Lease'!C33</f>
        <v>0</v>
      </c>
      <c r="D16" s="373">
        <f>'DAL-US Lease'!D33</f>
        <v>0</v>
      </c>
      <c r="E16" s="373">
        <f>'DAL-US Lease'!E33</f>
        <v>0</v>
      </c>
      <c r="F16" s="373">
        <f>'DAL-US Lease'!F33</f>
        <v>0</v>
      </c>
      <c r="G16" s="373">
        <f>'DAL-US Lease'!G33</f>
        <v>0</v>
      </c>
      <c r="H16" s="373">
        <f>'DAL-US Lease'!H33</f>
        <v>0</v>
      </c>
      <c r="I16" s="373">
        <f>'DAL-US Lease'!I33</f>
        <v>0</v>
      </c>
      <c r="J16" s="373">
        <f>'DAL-US Lease'!J33</f>
        <v>0</v>
      </c>
      <c r="K16" s="373">
        <f>'DAL-US Lease'!K33</f>
        <v>0</v>
      </c>
      <c r="L16" s="373">
        <f>'DAL-US Lease'!L33</f>
        <v>0</v>
      </c>
      <c r="M16" s="16"/>
    </row>
    <row r="17" spans="1:13" s="17" customFormat="1">
      <c r="A17" s="347" t="str">
        <f>BS!A21</f>
        <v>Total Investments and Advances</v>
      </c>
      <c r="B17" s="3"/>
      <c r="C17" s="347">
        <f>BS!B21</f>
        <v>3.2410000000000001</v>
      </c>
      <c r="D17" s="347">
        <f>BS!C21</f>
        <v>1.788</v>
      </c>
      <c r="E17" s="347">
        <f>BS!D21</f>
        <v>2.024</v>
      </c>
      <c r="F17" s="347">
        <f>BS!E21</f>
        <v>0.52200000000000002</v>
      </c>
      <c r="G17" s="347">
        <f>BS!F21</f>
        <v>0.14599999999999999</v>
      </c>
      <c r="H17" s="347">
        <f>BS!G21</f>
        <v>0.17899999999999999</v>
      </c>
      <c r="I17" s="347">
        <f>BS!H21</f>
        <v>0.17</v>
      </c>
      <c r="J17" s="347">
        <f>BS!I21</f>
        <v>0.23799999999999999</v>
      </c>
      <c r="K17" s="347">
        <f>BS!J21</f>
        <v>0.27700000000000002</v>
      </c>
      <c r="L17" s="347">
        <f>BS!K21</f>
        <v>0.13300000000000001</v>
      </c>
      <c r="M17" s="18"/>
    </row>
    <row r="18" spans="1:13">
      <c r="A18" s="347" t="str">
        <f>BS!A22</f>
        <v>Intangible Assets</v>
      </c>
      <c r="C18" s="347">
        <f>BS!B22</f>
        <v>15.763999999999999</v>
      </c>
      <c r="D18" s="347">
        <f>BS!C22</f>
        <v>14.944000000000001</v>
      </c>
      <c r="E18" s="347">
        <f>BS!D22</f>
        <v>14.611000000000001</v>
      </c>
      <c r="F18" s="347">
        <f>BS!E22</f>
        <v>14.641</v>
      </c>
      <c r="G18" s="347">
        <f>BS!F22</f>
        <v>14.638</v>
      </c>
      <c r="H18" s="347">
        <f>BS!G22</f>
        <v>14.654999999999999</v>
      </c>
      <c r="I18" s="347">
        <f>BS!H22</f>
        <v>14.397</v>
      </c>
      <c r="J18" s="347">
        <f>BS!I22</f>
        <v>14.452</v>
      </c>
      <c r="K18" s="347">
        <f>BS!J22</f>
        <v>14.473000000000001</v>
      </c>
      <c r="L18" s="347">
        <f>BS!K22</f>
        <v>14.545</v>
      </c>
      <c r="M18" s="16"/>
    </row>
    <row r="19" spans="1:13">
      <c r="A19" s="347" t="str">
        <f>BS!A23</f>
        <v>Deferred Tax Assets</v>
      </c>
      <c r="C19" s="347">
        <f>BS!B23</f>
        <v>1.988</v>
      </c>
      <c r="D19" s="347">
        <f>BS!C23</f>
        <v>0.12</v>
      </c>
      <c r="E19" s="347">
        <f>BS!D23</f>
        <v>0.24199999999999999</v>
      </c>
      <c r="F19" s="347">
        <f>BS!E23</f>
        <v>6.1150000000000002</v>
      </c>
      <c r="G19" s="347">
        <f>BS!F23</f>
        <v>10.702</v>
      </c>
      <c r="H19" s="347">
        <f>BS!G23</f>
        <v>12.456</v>
      </c>
      <c r="I19" s="347">
        <f>BS!H23</f>
        <v>4.32</v>
      </c>
      <c r="J19" s="347">
        <f>BS!I23</f>
        <v>12.134</v>
      </c>
      <c r="K19" s="347" t="str">
        <f>BS!J23</f>
        <v>-</v>
      </c>
      <c r="L19" s="347" t="str">
        <f>BS!K23</f>
        <v>-</v>
      </c>
      <c r="M19" s="16"/>
    </row>
    <row r="20" spans="1:13">
      <c r="A20" s="347" t="str">
        <f>BS!A24</f>
        <v>Other Assets</v>
      </c>
      <c r="C20" s="347">
        <f>BS!B24</f>
        <v>1.337</v>
      </c>
      <c r="D20" s="347">
        <f>BS!C24</f>
        <v>2.4940000000000002</v>
      </c>
      <c r="E20" s="347">
        <f>BS!D24</f>
        <v>2.72</v>
      </c>
      <c r="F20" s="347">
        <f>BS!E24</f>
        <v>2.7869999999999999</v>
      </c>
      <c r="G20" s="347">
        <f>BS!F24</f>
        <v>1.587</v>
      </c>
      <c r="H20" s="347">
        <f>BS!G24</f>
        <v>1.2490000000000001</v>
      </c>
      <c r="I20" s="347">
        <f>BS!H24</f>
        <v>0.84</v>
      </c>
      <c r="J20" s="347">
        <f>BS!I24</f>
        <v>1.0649999999999999</v>
      </c>
      <c r="K20" s="347">
        <f>BS!J24</f>
        <v>0.81499999999999995</v>
      </c>
      <c r="L20" s="347">
        <f>BS!K24</f>
        <v>0.86899999999999999</v>
      </c>
      <c r="M20" s="16"/>
    </row>
    <row r="21" spans="1:13" s="17" customFormat="1">
      <c r="A21" s="374" t="str">
        <f>BS!A25</f>
        <v>Total Assets</v>
      </c>
      <c r="B21" s="12"/>
      <c r="C21" s="374">
        <f>BS!B25+C15+C16</f>
        <v>71.995999999999995</v>
      </c>
      <c r="D21" s="374">
        <f>BS!C25+D15+D16</f>
        <v>64.531999999999996</v>
      </c>
      <c r="E21" s="374">
        <f>BS!D25+E15+E16</f>
        <v>60.265999999999998</v>
      </c>
      <c r="F21" s="374">
        <f>BS!E25+F15+F16</f>
        <v>58.472000000000001</v>
      </c>
      <c r="G21" s="374">
        <f>BS!F25+G15+G16</f>
        <v>58.899000000000001</v>
      </c>
      <c r="H21" s="374">
        <f>BS!G25+H15+H16</f>
        <v>60.634</v>
      </c>
      <c r="I21" s="374">
        <f>BS!H25+I15+I16</f>
        <v>54.121000000000002</v>
      </c>
      <c r="J21" s="374">
        <f>BS!I25+J15+J16</f>
        <v>59.393999999999998</v>
      </c>
      <c r="K21" s="374">
        <f>BS!J25+K15+K16</f>
        <v>44.55</v>
      </c>
      <c r="L21" s="374">
        <f>BS!K25+L15+L16</f>
        <v>43.499000000000002</v>
      </c>
      <c r="M21" s="18"/>
    </row>
    <row r="22" spans="1:13">
      <c r="A22" s="344" t="str">
        <f>BS!A26</f>
        <v>Liabilities &amp; Shareholders' Equity</v>
      </c>
      <c r="C22" s="347"/>
      <c r="D22" s="347"/>
      <c r="E22" s="347"/>
      <c r="F22" s="347"/>
      <c r="G22" s="347"/>
      <c r="H22" s="347"/>
      <c r="I22" s="347"/>
      <c r="J22" s="347"/>
      <c r="K22" s="347"/>
      <c r="L22" s="347"/>
      <c r="M22" s="16"/>
    </row>
    <row r="23" spans="1:13">
      <c r="A23" s="347" t="str">
        <f>BS!A27</f>
        <v>ST Debt &amp; Curr. Portion LT Debt</v>
      </c>
      <c r="C23" s="347">
        <f>IF(ISNUMBER(BS!B27),BS!B27,0)</f>
        <v>2.41</v>
      </c>
      <c r="D23" s="347">
        <f>IF(ISNUMBER(BS!C27),BS!C27,0)</f>
        <v>3.0880000000000001</v>
      </c>
      <c r="E23" s="347">
        <f>IF(ISNUMBER(BS!D27),BS!D27,0)</f>
        <v>2.4729999999999999</v>
      </c>
      <c r="F23" s="347">
        <f>IF(ISNUMBER(BS!E27),BS!E27,0)</f>
        <v>2.242</v>
      </c>
      <c r="G23" s="347">
        <f>IF(ISNUMBER(BS!F27),BS!F27,0)</f>
        <v>1.131</v>
      </c>
      <c r="H23" s="347">
        <f>IF(ISNUMBER(BS!G27),BS!G27,0)</f>
        <v>1.5629999999999999</v>
      </c>
      <c r="I23" s="347">
        <f>IF(ISNUMBER(BS!H27),BS!H27,0)</f>
        <v>1.216</v>
      </c>
      <c r="J23" s="347">
        <f>IF(ISNUMBER(BS!I27),BS!I27,0)</f>
        <v>1.5469999999999999</v>
      </c>
      <c r="K23" s="347">
        <f>IF(ISNUMBER(BS!J27),BS!J27,0)</f>
        <v>1.627</v>
      </c>
      <c r="L23" s="347">
        <f>IF(ISNUMBER(BS!K27),BS!K27,0)</f>
        <v>1.944</v>
      </c>
      <c r="M23" s="16"/>
    </row>
    <row r="24" spans="1:13">
      <c r="A24" s="347" t="str">
        <f>BS!A28</f>
        <v>Accounts Payable</v>
      </c>
      <c r="C24" s="347">
        <f>IF(ISNUMBER(BS!B28),BS!B28,0)</f>
        <v>2.84</v>
      </c>
      <c r="D24" s="347">
        <f>IF(ISNUMBER(BS!C28),BS!C28,0)</f>
        <v>3.266</v>
      </c>
      <c r="E24" s="347">
        <f>IF(ISNUMBER(BS!D28),BS!D28,0)</f>
        <v>2.976</v>
      </c>
      <c r="F24" s="347">
        <f>IF(ISNUMBER(BS!E28),BS!E28,0)</f>
        <v>3.6739999999999999</v>
      </c>
      <c r="G24" s="347">
        <f>IF(ISNUMBER(BS!F28),BS!F28,0)</f>
        <v>2.5720000000000001</v>
      </c>
      <c r="H24" s="347">
        <f>IF(ISNUMBER(BS!G28),BS!G28,0)</f>
        <v>2.7429999999999999</v>
      </c>
      <c r="I24" s="347">
        <f>IF(ISNUMBER(BS!H28),BS!H28,0)</f>
        <v>2.6219999999999999</v>
      </c>
      <c r="J24" s="347">
        <f>IF(ISNUMBER(BS!I28),BS!I28,0)</f>
        <v>2.2999999999999998</v>
      </c>
      <c r="K24" s="347">
        <f>IF(ISNUMBER(BS!J28),BS!J28,0)</f>
        <v>2.2930000000000001</v>
      </c>
      <c r="L24" s="347">
        <f>IF(ISNUMBER(BS!K28),BS!K28,0)</f>
        <v>1.6</v>
      </c>
      <c r="M24" s="16"/>
    </row>
    <row r="25" spans="1:13">
      <c r="A25" s="347" t="str">
        <f>BS!A29</f>
        <v>Income Tax Payable</v>
      </c>
      <c r="C25" s="347">
        <f>IF(ISNUMBER(BS!B29),BS!B29,0)</f>
        <v>0</v>
      </c>
      <c r="D25" s="347">
        <f>IF(ISNUMBER(BS!C29),BS!C29,0)</f>
        <v>0</v>
      </c>
      <c r="E25" s="347">
        <f>IF(ISNUMBER(BS!D29),BS!D29,0)</f>
        <v>0</v>
      </c>
      <c r="F25" s="347">
        <f>IF(ISNUMBER(BS!E29),BS!E29,0)</f>
        <v>0</v>
      </c>
      <c r="G25" s="347">
        <f>IF(ISNUMBER(BS!F29),BS!F29,0)</f>
        <v>0</v>
      </c>
      <c r="H25" s="347">
        <f>IF(ISNUMBER(BS!G29),BS!G29,0)</f>
        <v>0</v>
      </c>
      <c r="I25" s="347">
        <f>IF(ISNUMBER(BS!H29),BS!H29,0)</f>
        <v>0</v>
      </c>
      <c r="J25" s="347">
        <f>IF(ISNUMBER(BS!I29),BS!I29,0)</f>
        <v>0.67300000000000004</v>
      </c>
      <c r="K25" s="347">
        <f>IF(ISNUMBER(BS!J29),BS!J29,0)</f>
        <v>0.58499999999999996</v>
      </c>
      <c r="L25" s="347">
        <f>IF(ISNUMBER(BS!K29),BS!K29,0)</f>
        <v>0.59399999999999997</v>
      </c>
      <c r="M25" s="16"/>
    </row>
    <row r="26" spans="1:13">
      <c r="A26" s="347" t="str">
        <f>BS!A30</f>
        <v>Other Current Liabilities</v>
      </c>
      <c r="C26" s="347">
        <f>IF(ISNUMBER(BS!B30),BS!B30,0)</f>
        <v>10.677</v>
      </c>
      <c r="D26" s="347">
        <f>IF(ISNUMBER(BS!C30),BS!C30,0)</f>
        <v>13.85</v>
      </c>
      <c r="E26" s="347">
        <f>IF(ISNUMBER(BS!D30),BS!D30,0)</f>
        <v>13.129</v>
      </c>
      <c r="F26" s="347">
        <f>IF(ISNUMBER(BS!E30),BS!E30,0)</f>
        <v>12.657</v>
      </c>
      <c r="G26" s="347">
        <f>IF(ISNUMBER(BS!F30),BS!F30,0)</f>
        <v>11.536</v>
      </c>
      <c r="H26" s="347">
        <f>IF(ISNUMBER(BS!G30),BS!G30,0)</f>
        <v>13.22</v>
      </c>
      <c r="I26" s="347">
        <f>IF(ISNUMBER(BS!H30),BS!H30,0)</f>
        <v>13.041</v>
      </c>
      <c r="J26" s="347">
        <f>IF(ISNUMBER(BS!I30),BS!I30,0)</f>
        <v>9.6319999999999997</v>
      </c>
      <c r="K26" s="347">
        <f>IF(ISNUMBER(BS!J30),BS!J30,0)</f>
        <v>8.7650000000000006</v>
      </c>
      <c r="L26" s="347">
        <f>IF(ISNUMBER(BS!K30),BS!K30,0)</f>
        <v>8.5630000000000006</v>
      </c>
      <c r="M26" s="16"/>
    </row>
    <row r="27" spans="1:13">
      <c r="A27" s="347" t="str">
        <f>BS!A31</f>
        <v>Total Current Liabilities</v>
      </c>
      <c r="C27" s="347">
        <f>IF(ISNUMBER(BS!B31),BS!B31,0)</f>
        <v>15.927</v>
      </c>
      <c r="D27" s="347">
        <f>IF(ISNUMBER(BS!C31),BS!C31,0)</f>
        <v>20.204000000000001</v>
      </c>
      <c r="E27" s="347">
        <f>IF(ISNUMBER(BS!D31),BS!D31,0)</f>
        <v>18.577999999999999</v>
      </c>
      <c r="F27" s="347">
        <f>IF(ISNUMBER(BS!E31),BS!E31,0)</f>
        <v>18.573</v>
      </c>
      <c r="G27" s="347">
        <f>IF(ISNUMBER(BS!F31),BS!F31,0)</f>
        <v>15.239000000000001</v>
      </c>
      <c r="H27" s="347">
        <f>IF(ISNUMBER(BS!G31),BS!G31,0)</f>
        <v>17.526</v>
      </c>
      <c r="I27" s="347">
        <f>IF(ISNUMBER(BS!H31),BS!H31,0)</f>
        <v>16.879000000000001</v>
      </c>
      <c r="J27" s="347">
        <f>IF(ISNUMBER(BS!I31),BS!I31,0)</f>
        <v>14.151999999999999</v>
      </c>
      <c r="K27" s="347">
        <f>IF(ISNUMBER(BS!J31),BS!J31,0)</f>
        <v>13.27</v>
      </c>
      <c r="L27" s="347">
        <f>IF(ISNUMBER(BS!K31),BS!K31,0)</f>
        <v>12.701000000000001</v>
      </c>
      <c r="M27" s="16"/>
    </row>
    <row r="28" spans="1:13">
      <c r="A28" s="347" t="str">
        <f>BS!A32</f>
        <v>Long-Term Debt</v>
      </c>
      <c r="C28" s="347">
        <f>IF(ISNUMBER(BS!B32),BS!B32,0)</f>
        <v>33.137999999999998</v>
      </c>
      <c r="D28" s="347">
        <f>IF(ISNUMBER(BS!C32),BS!C32,0)</f>
        <v>14.167</v>
      </c>
      <c r="E28" s="347">
        <f>IF(ISNUMBER(BS!D32),BS!D32,0)</f>
        <v>14.054</v>
      </c>
      <c r="F28" s="347">
        <f>IF(ISNUMBER(BS!E32),BS!E32,0)</f>
        <v>6.5919999999999996</v>
      </c>
      <c r="G28" s="347">
        <f>IF(ISNUMBER(BS!F32),BS!F32,0)</f>
        <v>6.2009999999999996</v>
      </c>
      <c r="H28" s="347">
        <f>IF(ISNUMBER(BS!G32),BS!G32,0)</f>
        <v>6.766</v>
      </c>
      <c r="I28" s="347">
        <f>IF(ISNUMBER(BS!H32),BS!H32,0)</f>
        <v>8.5609999999999999</v>
      </c>
      <c r="J28" s="347">
        <f>IF(ISNUMBER(BS!I32),BS!I32,0)</f>
        <v>9.7949999999999999</v>
      </c>
      <c r="K28" s="347">
        <f>IF(ISNUMBER(BS!J32),BS!J32,0)</f>
        <v>11.082000000000001</v>
      </c>
      <c r="L28" s="347">
        <f>IF(ISNUMBER(BS!K32),BS!K32,0)</f>
        <v>11.847</v>
      </c>
      <c r="M28" s="16"/>
    </row>
    <row r="29" spans="1:13">
      <c r="A29" s="375" t="str">
        <f>'DAL-US Lease'!B33</f>
        <v>Lease adj. to Total Debt outstanding</v>
      </c>
      <c r="B29" s="375"/>
      <c r="C29" s="375">
        <f>'DAL-US Lease'!C33</f>
        <v>0</v>
      </c>
      <c r="D29" s="375">
        <f>'DAL-US Lease'!D33</f>
        <v>0</v>
      </c>
      <c r="E29" s="375">
        <f>'DAL-US Lease'!E33</f>
        <v>0</v>
      </c>
      <c r="F29" s="375">
        <f>'DAL-US Lease'!F33</f>
        <v>0</v>
      </c>
      <c r="G29" s="375">
        <f>'DAL-US Lease'!G33</f>
        <v>0</v>
      </c>
      <c r="H29" s="375">
        <f>'DAL-US Lease'!H33</f>
        <v>0</v>
      </c>
      <c r="I29" s="375">
        <f>'DAL-US Lease'!I33</f>
        <v>0</v>
      </c>
      <c r="J29" s="375">
        <f>'DAL-US Lease'!J33</f>
        <v>0</v>
      </c>
      <c r="K29" s="375">
        <f>'DAL-US Lease'!K33</f>
        <v>0</v>
      </c>
      <c r="L29" s="375">
        <f>'DAL-US Lease'!L33</f>
        <v>0</v>
      </c>
      <c r="M29" s="16"/>
    </row>
    <row r="30" spans="1:13">
      <c r="A30" s="347" t="str">
        <f>BS!A33</f>
        <v>Provision for Risks &amp; Charges</v>
      </c>
      <c r="C30" s="347">
        <f>IF(ISNUMBER(BS!B33),BS!B33,0)</f>
        <v>10.63</v>
      </c>
      <c r="D30" s="347">
        <f>IF(ISNUMBER(BS!C33),BS!C33,0)</f>
        <v>8.452</v>
      </c>
      <c r="E30" s="347">
        <f>IF(ISNUMBER(BS!D33),BS!D33,0)</f>
        <v>9.1630000000000003</v>
      </c>
      <c r="F30" s="347">
        <f>IF(ISNUMBER(BS!E33),BS!E33,0)</f>
        <v>9.81</v>
      </c>
      <c r="G30" s="347">
        <f>IF(ISNUMBER(BS!F33),BS!F33,0)</f>
        <v>13.378</v>
      </c>
      <c r="H30" s="347">
        <f>IF(ISNUMBER(BS!G33),BS!G33,0)</f>
        <v>13.855</v>
      </c>
      <c r="I30" s="347">
        <f>IF(ISNUMBER(BS!H33),BS!H33,0)</f>
        <v>15.138</v>
      </c>
      <c r="J30" s="347">
        <f>IF(ISNUMBER(BS!I33),BS!I33,0)</f>
        <v>12.391999999999999</v>
      </c>
      <c r="K30" s="347">
        <f>IF(ISNUMBER(BS!J33),BS!J33,0)</f>
        <v>16.004999999999999</v>
      </c>
      <c r="L30" s="347">
        <f>IF(ISNUMBER(BS!K33),BS!K33,0)</f>
        <v>14.2</v>
      </c>
      <c r="M30" s="16"/>
    </row>
    <row r="31" spans="1:13">
      <c r="A31" s="347" t="str">
        <f>BS!A34</f>
        <v>Deferred Tax Liabilities</v>
      </c>
      <c r="C31" s="347">
        <f>IF(ISNUMBER(BS!B34),BS!B34,0)</f>
        <v>0</v>
      </c>
      <c r="D31" s="347">
        <f>IF(ISNUMBER(BS!C34),BS!C34,0)</f>
        <v>1.456</v>
      </c>
      <c r="E31" s="347">
        <f>IF(ISNUMBER(BS!D34),BS!D34,0)</f>
        <v>0</v>
      </c>
      <c r="F31" s="347">
        <f>IF(ISNUMBER(BS!E34),BS!E34,0)</f>
        <v>5.18</v>
      </c>
      <c r="G31" s="347">
        <f>IF(ISNUMBER(BS!F34),BS!F34,0)</f>
        <v>7.6379999999999999</v>
      </c>
      <c r="H31" s="347">
        <f>IF(ISNUMBER(BS!G34),BS!G34,0)</f>
        <v>7.5</v>
      </c>
      <c r="I31" s="347">
        <f>IF(ISNUMBER(BS!H34),BS!H34,0)</f>
        <v>0</v>
      </c>
      <c r="J31" s="347">
        <f>IF(ISNUMBER(BS!I34),BS!I34,0)</f>
        <v>7.1420000000000003</v>
      </c>
      <c r="K31" s="347">
        <f>IF(ISNUMBER(BS!J34),BS!J34,0)</f>
        <v>2.0470000000000002</v>
      </c>
      <c r="L31" s="347">
        <f>IF(ISNUMBER(BS!K34),BS!K34,0)</f>
        <v>2.028</v>
      </c>
      <c r="M31" s="16"/>
    </row>
    <row r="32" spans="1:13">
      <c r="A32" s="347" t="str">
        <f>BS!A35</f>
        <v>Other Liabilities</v>
      </c>
      <c r="C32" s="347">
        <f>IF(ISNUMBER(BS!B35),BS!B35,0)</f>
        <v>10.766999999999999</v>
      </c>
      <c r="D32" s="347">
        <f>IF(ISNUMBER(BS!C35),BS!C35,0)</f>
        <v>4.8949999999999996</v>
      </c>
      <c r="E32" s="347">
        <f>IF(ISNUMBER(BS!D35),BS!D35,0)</f>
        <v>4.7839999999999998</v>
      </c>
      <c r="F32" s="347">
        <f>IF(ISNUMBER(BS!E35),BS!E35,0)</f>
        <v>4.407</v>
      </c>
      <c r="G32" s="347">
        <f>IF(ISNUMBER(BS!F35),BS!F35,0)</f>
        <v>4.1559999999999997</v>
      </c>
      <c r="H32" s="347">
        <f>IF(ISNUMBER(BS!G35),BS!G35,0)</f>
        <v>4.1369999999999996</v>
      </c>
      <c r="I32" s="347">
        <f>IF(ISNUMBER(BS!H35),BS!H35,0)</f>
        <v>4.7300000000000004</v>
      </c>
      <c r="J32" s="347">
        <f>IF(ISNUMBER(BS!I35),BS!I35,0)</f>
        <v>4.2699999999999996</v>
      </c>
      <c r="K32" s="347">
        <f>IF(ISNUMBER(BS!J35),BS!J35,0)</f>
        <v>4.2770000000000001</v>
      </c>
      <c r="L32" s="347">
        <f>IF(ISNUMBER(BS!K35),BS!K35,0)</f>
        <v>4.1189999999999998</v>
      </c>
      <c r="M32" s="16"/>
    </row>
    <row r="33" spans="1:13">
      <c r="A33" s="344" t="str">
        <f>BS!A36</f>
        <v>Total Liabilities</v>
      </c>
      <c r="C33" s="344">
        <f>BS!B36+C29</f>
        <v>70.462000000000003</v>
      </c>
      <c r="D33" s="344">
        <f>BS!C36+D29</f>
        <v>49.173999999999999</v>
      </c>
      <c r="E33" s="344">
        <f>BS!D36+E29</f>
        <v>46.579000000000001</v>
      </c>
      <c r="F33" s="344">
        <f>BS!E36+F29</f>
        <v>44.561999999999998</v>
      </c>
      <c r="G33" s="344">
        <f>BS!F36+G29</f>
        <v>46.612000000000002</v>
      </c>
      <c r="H33" s="344">
        <f>BS!G36+H29</f>
        <v>49.783999999999999</v>
      </c>
      <c r="I33" s="344">
        <f>BS!H36+I29</f>
        <v>45.308</v>
      </c>
      <c r="J33" s="344">
        <f>BS!I36+J29</f>
        <v>47.750999999999998</v>
      </c>
      <c r="K33" s="344">
        <f>BS!J36+K29</f>
        <v>46.680999999999997</v>
      </c>
      <c r="L33" s="344">
        <f>BS!K36+L29</f>
        <v>44.895000000000003</v>
      </c>
      <c r="M33" s="16"/>
    </row>
    <row r="34" spans="1:13">
      <c r="A34" s="373" t="str">
        <f>BS!A40</f>
        <v>Total Equity</v>
      </c>
      <c r="B34" s="12"/>
      <c r="C34" s="373">
        <f>BS!B40+C15</f>
        <v>1.534</v>
      </c>
      <c r="D34" s="373">
        <f>BS!C40+D15</f>
        <v>15.358000000000001</v>
      </c>
      <c r="E34" s="373">
        <f>BS!D40+E15</f>
        <v>13.686999999999999</v>
      </c>
      <c r="F34" s="373">
        <f>BS!E40+F15</f>
        <v>13.91</v>
      </c>
      <c r="G34" s="373">
        <f>BS!F40+G15</f>
        <v>12.287000000000001</v>
      </c>
      <c r="H34" s="373">
        <f>BS!G40+H15</f>
        <v>10.85</v>
      </c>
      <c r="I34" s="373">
        <f>BS!H40+I15</f>
        <v>8.8130000000000006</v>
      </c>
      <c r="J34" s="373">
        <f>BS!I40+J15</f>
        <v>11.643000000000001</v>
      </c>
      <c r="K34" s="373">
        <f>BS!J40+K15</f>
        <v>-2.1309999999999998</v>
      </c>
      <c r="L34" s="373">
        <f>BS!K40+L15</f>
        <v>-1.3959999999999999</v>
      </c>
      <c r="M34" s="16"/>
    </row>
    <row r="35" spans="1:13">
      <c r="A35" s="374" t="str">
        <f>BS!A41</f>
        <v>Total Liabilities &amp; Shareholders' Equity</v>
      </c>
      <c r="B35" s="12"/>
      <c r="C35" s="374">
        <f>C33+C34</f>
        <v>71.996000000000009</v>
      </c>
      <c r="D35" s="374">
        <f t="shared" ref="D35:L35" si="0">D33+D34</f>
        <v>64.531999999999996</v>
      </c>
      <c r="E35" s="374">
        <f t="shared" si="0"/>
        <v>60.265999999999998</v>
      </c>
      <c r="F35" s="374">
        <f t="shared" si="0"/>
        <v>58.471999999999994</v>
      </c>
      <c r="G35" s="374">
        <f t="shared" si="0"/>
        <v>58.899000000000001</v>
      </c>
      <c r="H35" s="374">
        <f t="shared" si="0"/>
        <v>60.634</v>
      </c>
      <c r="I35" s="374">
        <f t="shared" si="0"/>
        <v>54.121000000000002</v>
      </c>
      <c r="J35" s="374">
        <f t="shared" si="0"/>
        <v>59.393999999999998</v>
      </c>
      <c r="K35" s="374">
        <f t="shared" si="0"/>
        <v>44.55</v>
      </c>
      <c r="L35" s="374">
        <f t="shared" si="0"/>
        <v>43.499000000000002</v>
      </c>
      <c r="M35" s="16"/>
    </row>
    <row r="36" spans="1:13">
      <c r="A36" s="353"/>
      <c r="C36" s="376"/>
      <c r="D36" s="376"/>
      <c r="E36" s="376"/>
      <c r="F36" s="376"/>
      <c r="G36" s="376"/>
      <c r="H36" s="376"/>
      <c r="I36" s="376"/>
      <c r="J36" s="376"/>
      <c r="K36" s="376"/>
      <c r="L36" s="376"/>
      <c r="M36" s="16"/>
    </row>
    <row r="37" spans="1:13">
      <c r="A37" s="353" t="s">
        <v>450</v>
      </c>
      <c r="C37" s="376" t="str">
        <f>C5</f>
        <v>12/2020</v>
      </c>
      <c r="D37" s="376" t="str">
        <f t="shared" ref="D37:L37" si="1">D5</f>
        <v>12/2019</v>
      </c>
      <c r="E37" s="376" t="str">
        <f t="shared" si="1"/>
        <v>12/2018</v>
      </c>
      <c r="F37" s="376" t="str">
        <f t="shared" si="1"/>
        <v>12/2017</v>
      </c>
      <c r="G37" s="376" t="str">
        <f t="shared" si="1"/>
        <v>12/2016</v>
      </c>
      <c r="H37" s="376" t="str">
        <f t="shared" si="1"/>
        <v>12/2015</v>
      </c>
      <c r="I37" s="376" t="str">
        <f t="shared" si="1"/>
        <v>12/2014</v>
      </c>
      <c r="J37" s="376" t="str">
        <f t="shared" si="1"/>
        <v>12/2013</v>
      </c>
      <c r="K37" s="376" t="str">
        <f t="shared" si="1"/>
        <v>12/2012</v>
      </c>
      <c r="L37" s="376" t="str">
        <f t="shared" si="1"/>
        <v>12/2011</v>
      </c>
      <c r="M37" s="16"/>
    </row>
    <row r="38" spans="1:13">
      <c r="A38" s="385" t="str">
        <f>A10</f>
        <v>Short-Term Receivables</v>
      </c>
      <c r="B38" s="385"/>
      <c r="C38" s="523">
        <f>C10</f>
        <v>1.3959999999999999</v>
      </c>
      <c r="D38" s="523">
        <f t="shared" ref="D38:L38" si="2">D10</f>
        <v>2.8540000000000001</v>
      </c>
      <c r="E38" s="523">
        <f t="shared" si="2"/>
        <v>2.3140000000000001</v>
      </c>
      <c r="F38" s="523">
        <f t="shared" si="2"/>
        <v>2.3769999999999998</v>
      </c>
      <c r="G38" s="523">
        <f t="shared" si="2"/>
        <v>2.0640000000000001</v>
      </c>
      <c r="H38" s="523">
        <f t="shared" si="2"/>
        <v>2.1389999999999998</v>
      </c>
      <c r="I38" s="523">
        <f t="shared" si="2"/>
        <v>3.222</v>
      </c>
      <c r="J38" s="523">
        <f t="shared" si="2"/>
        <v>1.609</v>
      </c>
      <c r="K38" s="523">
        <f t="shared" si="2"/>
        <v>1.6930000000000001</v>
      </c>
      <c r="L38" s="523">
        <f t="shared" si="2"/>
        <v>1.5629999999999999</v>
      </c>
      <c r="M38" s="16"/>
    </row>
    <row r="39" spans="1:13">
      <c r="A39" s="385" t="str">
        <f>A11</f>
        <v>Inventories</v>
      </c>
      <c r="B39" s="385"/>
      <c r="C39" s="523">
        <f t="shared" ref="C39:L39" si="3">C11</f>
        <v>0.73199999999999998</v>
      </c>
      <c r="D39" s="523">
        <f t="shared" si="3"/>
        <v>1.2509999999999999</v>
      </c>
      <c r="E39" s="523">
        <f t="shared" si="3"/>
        <v>1.0549999999999999</v>
      </c>
      <c r="F39" s="523">
        <f t="shared" si="3"/>
        <v>1.329</v>
      </c>
      <c r="G39" s="523">
        <f t="shared" si="3"/>
        <v>0.89100000000000001</v>
      </c>
      <c r="H39" s="523">
        <f t="shared" si="3"/>
        <v>0.69699999999999995</v>
      </c>
      <c r="I39" s="523">
        <f t="shared" si="3"/>
        <v>0.85199999999999998</v>
      </c>
      <c r="J39" s="523">
        <f t="shared" si="3"/>
        <v>1.0629999999999999</v>
      </c>
      <c r="K39" s="523">
        <f t="shared" si="3"/>
        <v>1.0229999999999999</v>
      </c>
      <c r="L39" s="523">
        <f t="shared" si="3"/>
        <v>0.36699999999999999</v>
      </c>
      <c r="M39" s="16"/>
    </row>
    <row r="40" spans="1:13">
      <c r="A40" s="385" t="str">
        <f>A12</f>
        <v>Other Current Assets</v>
      </c>
      <c r="B40" s="385"/>
      <c r="C40" s="523">
        <f t="shared" ref="C40:L40" si="4">C12</f>
        <v>0.98799999999999999</v>
      </c>
      <c r="D40" s="523">
        <f t="shared" si="4"/>
        <v>1.05</v>
      </c>
      <c r="E40" s="523">
        <f t="shared" si="4"/>
        <v>1.1559999999999999</v>
      </c>
      <c r="F40" s="523">
        <f t="shared" si="4"/>
        <v>1.4990000000000001</v>
      </c>
      <c r="G40" s="523">
        <f t="shared" si="4"/>
        <v>0.85399999999999998</v>
      </c>
      <c r="H40" s="523">
        <f t="shared" si="4"/>
        <v>0.79600000000000004</v>
      </c>
      <c r="I40" s="523">
        <f t="shared" si="4"/>
        <v>4.008</v>
      </c>
      <c r="J40" s="523">
        <f t="shared" si="4"/>
        <v>3.0539999999999998</v>
      </c>
      <c r="K40" s="523">
        <f t="shared" si="4"/>
        <v>1.8069999999999999</v>
      </c>
      <c r="L40" s="523">
        <f t="shared" si="4"/>
        <v>1.879</v>
      </c>
      <c r="M40" s="16"/>
    </row>
    <row r="41" spans="1:13">
      <c r="A41" s="522" t="s">
        <v>451</v>
      </c>
      <c r="B41" s="522"/>
      <c r="C41" s="524">
        <f>SUM(C38:C40)</f>
        <v>3.1160000000000001</v>
      </c>
      <c r="D41" s="524">
        <f t="shared" ref="D41:L41" si="5">SUM(D38:D40)</f>
        <v>5.1550000000000002</v>
      </c>
      <c r="E41" s="524">
        <f t="shared" si="5"/>
        <v>4.5249999999999995</v>
      </c>
      <c r="F41" s="524">
        <f t="shared" si="5"/>
        <v>5.2050000000000001</v>
      </c>
      <c r="G41" s="524">
        <f t="shared" si="5"/>
        <v>3.8090000000000002</v>
      </c>
      <c r="H41" s="524">
        <f t="shared" si="5"/>
        <v>3.6319999999999997</v>
      </c>
      <c r="I41" s="524">
        <f t="shared" si="5"/>
        <v>8.0820000000000007</v>
      </c>
      <c r="J41" s="524">
        <f t="shared" si="5"/>
        <v>5.7259999999999991</v>
      </c>
      <c r="K41" s="524">
        <f t="shared" si="5"/>
        <v>4.5229999999999997</v>
      </c>
      <c r="L41" s="524">
        <f t="shared" si="5"/>
        <v>3.8090000000000002</v>
      </c>
      <c r="M41" s="16"/>
    </row>
    <row r="42" spans="1:13">
      <c r="A42" s="522" t="s">
        <v>452</v>
      </c>
      <c r="B42" s="522"/>
      <c r="C42" s="327">
        <f>C41-D41</f>
        <v>-2.0390000000000001</v>
      </c>
      <c r="D42" s="327">
        <f t="shared" ref="D42:L42" si="6">D41-E41</f>
        <v>0.63000000000000078</v>
      </c>
      <c r="E42" s="327">
        <f t="shared" si="6"/>
        <v>-0.6800000000000006</v>
      </c>
      <c r="F42" s="327">
        <f t="shared" si="6"/>
        <v>1.3959999999999999</v>
      </c>
      <c r="G42" s="327">
        <f t="shared" si="6"/>
        <v>0.17700000000000049</v>
      </c>
      <c r="H42" s="327">
        <f t="shared" si="6"/>
        <v>-4.4500000000000011</v>
      </c>
      <c r="I42" s="327">
        <f t="shared" si="6"/>
        <v>2.3560000000000016</v>
      </c>
      <c r="J42" s="327">
        <f t="shared" si="6"/>
        <v>1.2029999999999994</v>
      </c>
      <c r="K42" s="327">
        <f t="shared" si="6"/>
        <v>0.71399999999999952</v>
      </c>
      <c r="L42" s="327">
        <f t="shared" si="6"/>
        <v>3.8090000000000002</v>
      </c>
      <c r="M42" s="16"/>
    </row>
    <row r="43" spans="1:13">
      <c r="A43" s="522" t="s">
        <v>453</v>
      </c>
      <c r="B43" s="522"/>
      <c r="C43" s="327"/>
      <c r="D43" s="327"/>
      <c r="E43" s="327"/>
      <c r="F43" s="327"/>
      <c r="G43" s="327"/>
      <c r="H43" s="327"/>
      <c r="I43" s="327"/>
      <c r="J43" s="327"/>
      <c r="K43" s="327"/>
      <c r="L43" s="327"/>
      <c r="M43" s="16"/>
    </row>
    <row r="44" spans="1:13" ht="15" customHeight="1">
      <c r="A44" s="385" t="str">
        <f>A24</f>
        <v>Accounts Payable</v>
      </c>
      <c r="B44" s="385"/>
      <c r="C44" s="523">
        <f t="shared" ref="C44:L44" si="7">C24</f>
        <v>2.84</v>
      </c>
      <c r="D44" s="523">
        <f t="shared" si="7"/>
        <v>3.266</v>
      </c>
      <c r="E44" s="523">
        <f t="shared" si="7"/>
        <v>2.976</v>
      </c>
      <c r="F44" s="523">
        <f t="shared" si="7"/>
        <v>3.6739999999999999</v>
      </c>
      <c r="G44" s="523">
        <f t="shared" si="7"/>
        <v>2.5720000000000001</v>
      </c>
      <c r="H44" s="523">
        <f t="shared" si="7"/>
        <v>2.7429999999999999</v>
      </c>
      <c r="I44" s="523">
        <f t="shared" si="7"/>
        <v>2.6219999999999999</v>
      </c>
      <c r="J44" s="523">
        <f t="shared" si="7"/>
        <v>2.2999999999999998</v>
      </c>
      <c r="K44" s="523">
        <f t="shared" si="7"/>
        <v>2.2930000000000001</v>
      </c>
      <c r="L44" s="523">
        <f t="shared" si="7"/>
        <v>1.6</v>
      </c>
      <c r="M44" s="16"/>
    </row>
    <row r="45" spans="1:13" ht="15" customHeight="1">
      <c r="A45" s="385" t="str">
        <f>A25</f>
        <v>Income Tax Payable</v>
      </c>
      <c r="B45" s="385"/>
      <c r="C45" s="523">
        <f t="shared" ref="C45:L45" si="8">C25</f>
        <v>0</v>
      </c>
      <c r="D45" s="523">
        <f t="shared" si="8"/>
        <v>0</v>
      </c>
      <c r="E45" s="523">
        <f t="shared" si="8"/>
        <v>0</v>
      </c>
      <c r="F45" s="523">
        <f t="shared" si="8"/>
        <v>0</v>
      </c>
      <c r="G45" s="523">
        <f t="shared" si="8"/>
        <v>0</v>
      </c>
      <c r="H45" s="523">
        <f t="shared" si="8"/>
        <v>0</v>
      </c>
      <c r="I45" s="523">
        <f t="shared" si="8"/>
        <v>0</v>
      </c>
      <c r="J45" s="523">
        <f t="shared" si="8"/>
        <v>0.67300000000000004</v>
      </c>
      <c r="K45" s="523">
        <f t="shared" si="8"/>
        <v>0.58499999999999996</v>
      </c>
      <c r="L45" s="523">
        <f t="shared" si="8"/>
        <v>0.59399999999999997</v>
      </c>
      <c r="M45" s="16"/>
    </row>
    <row r="46" spans="1:13" ht="15" customHeight="1">
      <c r="A46" s="385" t="str">
        <f>A26</f>
        <v>Other Current Liabilities</v>
      </c>
      <c r="B46" s="385"/>
      <c r="C46" s="523">
        <f t="shared" ref="C46:L46" si="9">C26</f>
        <v>10.677</v>
      </c>
      <c r="D46" s="523">
        <f t="shared" si="9"/>
        <v>13.85</v>
      </c>
      <c r="E46" s="523">
        <f t="shared" si="9"/>
        <v>13.129</v>
      </c>
      <c r="F46" s="523">
        <f t="shared" si="9"/>
        <v>12.657</v>
      </c>
      <c r="G46" s="523">
        <f t="shared" si="9"/>
        <v>11.536</v>
      </c>
      <c r="H46" s="523">
        <f t="shared" si="9"/>
        <v>13.22</v>
      </c>
      <c r="I46" s="523">
        <f t="shared" si="9"/>
        <v>13.041</v>
      </c>
      <c r="J46" s="523">
        <f t="shared" si="9"/>
        <v>9.6319999999999997</v>
      </c>
      <c r="K46" s="523">
        <f t="shared" si="9"/>
        <v>8.7650000000000006</v>
      </c>
      <c r="L46" s="523">
        <f t="shared" si="9"/>
        <v>8.5630000000000006</v>
      </c>
      <c r="M46" s="16"/>
    </row>
    <row r="47" spans="1:13" s="522" customFormat="1" ht="12.75">
      <c r="A47" s="522" t="s">
        <v>454</v>
      </c>
      <c r="C47" s="524">
        <f>SUM(C44:C46)</f>
        <v>13.516999999999999</v>
      </c>
      <c r="D47" s="524">
        <f t="shared" ref="D47:L47" si="10">SUM(D44:D46)</f>
        <v>17.116</v>
      </c>
      <c r="E47" s="524">
        <f t="shared" si="10"/>
        <v>16.105</v>
      </c>
      <c r="F47" s="524">
        <f t="shared" si="10"/>
        <v>16.331</v>
      </c>
      <c r="G47" s="524">
        <f t="shared" si="10"/>
        <v>14.108000000000001</v>
      </c>
      <c r="H47" s="524">
        <f t="shared" si="10"/>
        <v>15.963000000000001</v>
      </c>
      <c r="I47" s="524">
        <f t="shared" si="10"/>
        <v>15.663</v>
      </c>
      <c r="J47" s="524">
        <f t="shared" si="10"/>
        <v>12.605</v>
      </c>
      <c r="K47" s="524">
        <f t="shared" si="10"/>
        <v>11.643000000000001</v>
      </c>
      <c r="L47" s="524">
        <f t="shared" si="10"/>
        <v>10.757000000000001</v>
      </c>
    </row>
    <row r="48" spans="1:13">
      <c r="A48" s="522" t="s">
        <v>452</v>
      </c>
      <c r="B48" s="522"/>
      <c r="C48" s="327">
        <f>C47-D47</f>
        <v>-3.5990000000000002</v>
      </c>
      <c r="D48" s="327">
        <f t="shared" ref="D48:L48" si="11">D47-E47</f>
        <v>1.0109999999999992</v>
      </c>
      <c r="E48" s="327">
        <f t="shared" si="11"/>
        <v>-0.22599999999999909</v>
      </c>
      <c r="F48" s="327">
        <f t="shared" si="11"/>
        <v>2.222999999999999</v>
      </c>
      <c r="G48" s="327">
        <f t="shared" si="11"/>
        <v>-1.8550000000000004</v>
      </c>
      <c r="H48" s="327">
        <f t="shared" si="11"/>
        <v>0.30000000000000071</v>
      </c>
      <c r="I48" s="327">
        <f t="shared" si="11"/>
        <v>3.0579999999999998</v>
      </c>
      <c r="J48" s="327">
        <f t="shared" si="11"/>
        <v>0.96199999999999974</v>
      </c>
      <c r="K48" s="327">
        <f t="shared" si="11"/>
        <v>0.88599999999999923</v>
      </c>
      <c r="L48" s="327">
        <f t="shared" si="11"/>
        <v>10.757000000000001</v>
      </c>
      <c r="M48" s="16"/>
    </row>
    <row r="49" spans="1:13">
      <c r="A49" s="526" t="s">
        <v>455</v>
      </c>
      <c r="B49" s="526"/>
      <c r="C49" s="327"/>
      <c r="D49" s="327"/>
      <c r="E49" s="327"/>
      <c r="F49" s="327"/>
      <c r="G49" s="327"/>
      <c r="H49" s="327"/>
      <c r="I49" s="327"/>
      <c r="J49" s="327"/>
      <c r="K49" s="327"/>
      <c r="L49" s="327"/>
      <c r="M49" s="16"/>
    </row>
    <row r="50" spans="1:13">
      <c r="A50" s="372" t="s">
        <v>456</v>
      </c>
      <c r="B50" s="372"/>
      <c r="C50" s="525">
        <f>C41-C47</f>
        <v>-10.401</v>
      </c>
      <c r="D50" s="525">
        <f t="shared" ref="D50:L50" si="12">D41-D47</f>
        <v>-11.960999999999999</v>
      </c>
      <c r="E50" s="525">
        <f t="shared" si="12"/>
        <v>-11.580000000000002</v>
      </c>
      <c r="F50" s="525">
        <f t="shared" si="12"/>
        <v>-11.125999999999999</v>
      </c>
      <c r="G50" s="525">
        <f t="shared" si="12"/>
        <v>-10.298999999999999</v>
      </c>
      <c r="H50" s="525">
        <f t="shared" si="12"/>
        <v>-12.331000000000001</v>
      </c>
      <c r="I50" s="525">
        <f t="shared" si="12"/>
        <v>-7.5809999999999995</v>
      </c>
      <c r="J50" s="525">
        <f t="shared" si="12"/>
        <v>-6.8790000000000013</v>
      </c>
      <c r="K50" s="525">
        <f t="shared" si="12"/>
        <v>-7.120000000000001</v>
      </c>
      <c r="L50" s="525">
        <f t="shared" si="12"/>
        <v>-6.9480000000000013</v>
      </c>
      <c r="M50" s="16"/>
    </row>
    <row r="51" spans="1:13">
      <c r="A51" s="372" t="s">
        <v>457</v>
      </c>
      <c r="B51" s="372"/>
      <c r="C51" s="527">
        <f>C50/IS!C14</f>
        <v>-0.60842351564785024</v>
      </c>
      <c r="D51" s="527">
        <f>D50/IS!D14</f>
        <v>-0.2544568778453814</v>
      </c>
      <c r="E51" s="527">
        <f>E50/IS!E14</f>
        <v>-0.26057019419004973</v>
      </c>
      <c r="F51" s="527">
        <f>F50/IS!F14</f>
        <v>-0.26982587185332491</v>
      </c>
      <c r="G51" s="527">
        <f>G50/IS!G14</f>
        <v>-0.26006262309984346</v>
      </c>
      <c r="H51" s="527">
        <f>H50/IS!H14</f>
        <v>-0.3044240359452921</v>
      </c>
      <c r="I51" s="527">
        <f>I50/IS!I14</f>
        <v>-0.1885633270321361</v>
      </c>
      <c r="J51" s="527">
        <f>J50/IS!J14</f>
        <v>-0.18276741590945325</v>
      </c>
      <c r="K51" s="527">
        <f>K50/IS!K14</f>
        <v>-0.19403188445292277</v>
      </c>
      <c r="L51" s="527">
        <f>L50/IS!L14</f>
        <v>-0.19786416061512177</v>
      </c>
      <c r="M51" s="16"/>
    </row>
    <row r="52" spans="1:13">
      <c r="A52" s="377" t="s">
        <v>458</v>
      </c>
      <c r="C52" s="327">
        <f>C50-D50</f>
        <v>1.5599999999999987</v>
      </c>
      <c r="D52" s="327">
        <f t="shared" ref="D52:L52" si="13">D50-E50</f>
        <v>-0.38099999999999667</v>
      </c>
      <c r="E52" s="327">
        <f t="shared" si="13"/>
        <v>-0.4540000000000024</v>
      </c>
      <c r="F52" s="327">
        <f t="shared" si="13"/>
        <v>-0.82699999999999996</v>
      </c>
      <c r="G52" s="327">
        <f t="shared" si="13"/>
        <v>2.0320000000000018</v>
      </c>
      <c r="H52" s="327">
        <f t="shared" si="13"/>
        <v>-4.7500000000000018</v>
      </c>
      <c r="I52" s="327">
        <f t="shared" si="13"/>
        <v>-0.70199999999999818</v>
      </c>
      <c r="J52" s="327">
        <f t="shared" si="13"/>
        <v>0.24099999999999966</v>
      </c>
      <c r="K52" s="327">
        <f t="shared" si="13"/>
        <v>-0.17199999999999971</v>
      </c>
      <c r="L52" s="327">
        <f t="shared" si="13"/>
        <v>-6.9480000000000013</v>
      </c>
      <c r="M52" s="16"/>
    </row>
    <row r="53" spans="1:13">
      <c r="A53" s="526" t="s">
        <v>459</v>
      </c>
      <c r="C53" s="327"/>
      <c r="D53" s="327"/>
      <c r="E53" s="327"/>
      <c r="F53" s="327"/>
      <c r="G53" s="327"/>
      <c r="H53" s="327"/>
      <c r="I53" s="327"/>
      <c r="J53" s="327"/>
      <c r="K53" s="327"/>
      <c r="L53" s="327"/>
    </row>
    <row r="54" spans="1:13">
      <c r="A54" s="327"/>
    </row>
    <row r="55" spans="1:13">
      <c r="A55" s="327"/>
    </row>
    <row r="56" spans="1:13">
      <c r="A56" s="327"/>
    </row>
    <row r="57" spans="1:13">
      <c r="A57" s="327"/>
    </row>
    <row r="58" spans="1:13">
      <c r="A58" s="327"/>
    </row>
    <row r="59" spans="1:13">
      <c r="A59" s="327"/>
    </row>
    <row r="60" spans="1:13">
      <c r="A60" s="327"/>
    </row>
    <row r="61" spans="1:13">
      <c r="A61" s="327"/>
    </row>
    <row r="62" spans="1:13">
      <c r="A62" s="327"/>
    </row>
    <row r="63" spans="1:13">
      <c r="A63" s="327"/>
    </row>
    <row r="64" spans="1:13">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row r="163" spans="1:1">
      <c r="A163" s="327"/>
    </row>
  </sheetData>
  <pageMargins left="0.7" right="0.7" top="0.78740157499999996" bottom="0.78740157499999996"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B4AC7-D4CE-4B2E-8B21-B020A6413B60}">
  <sheetPr>
    <tabColor theme="2" tint="-0.499984740745262"/>
  </sheetPr>
  <dimension ref="A1:N163"/>
  <sheetViews>
    <sheetView zoomScaleNormal="100" workbookViewId="0">
      <selection activeCell="C5" sqref="C5"/>
    </sheetView>
  </sheetViews>
  <sheetFormatPr defaultColWidth="11.28515625" defaultRowHeight="15"/>
  <cols>
    <col min="1" max="1" width="40.7109375" style="3" customWidth="1"/>
    <col min="2" max="2" width="5" style="3" customWidth="1"/>
    <col min="3" max="12" width="11.28515625" style="3"/>
  </cols>
  <sheetData>
    <row r="1" spans="1:13" s="340" customFormat="1" ht="26.1" customHeight="1">
      <c r="A1" s="371" t="str">
        <f>BS!A5</f>
        <v>Balance Sheet</v>
      </c>
    </row>
    <row r="2" spans="1:13">
      <c r="A2" s="327" t="str">
        <f>IS!A8</f>
        <v>Ticker</v>
      </c>
      <c r="B2" s="327" t="str">
        <f>'Industry Ratios'!E3</f>
        <v>AC-CA</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BS!A13</f>
        <v>Balance Sheet</v>
      </c>
      <c r="B7" s="327"/>
      <c r="C7" s="327"/>
      <c r="D7" s="327"/>
      <c r="E7" s="327"/>
      <c r="F7" s="327"/>
      <c r="G7" s="327"/>
      <c r="H7" s="327"/>
      <c r="I7" s="327"/>
      <c r="J7" s="327"/>
      <c r="K7" s="327"/>
      <c r="L7" s="327"/>
      <c r="M7" s="16"/>
    </row>
    <row r="8" spans="1:13">
      <c r="A8" s="353" t="str">
        <f>BS!A14</f>
        <v>Assets</v>
      </c>
      <c r="B8" s="327"/>
      <c r="C8" s="1059" t="s">
        <v>447</v>
      </c>
      <c r="D8" s="327"/>
      <c r="E8" s="327"/>
      <c r="F8" s="327"/>
      <c r="G8" s="327"/>
      <c r="H8" s="327"/>
      <c r="I8" s="327"/>
      <c r="J8" s="327"/>
      <c r="K8" s="327"/>
      <c r="L8" s="327"/>
      <c r="M8" s="16"/>
    </row>
    <row r="9" spans="1:13">
      <c r="A9" s="347" t="str">
        <f>BS!A15</f>
        <v>Cash &amp; Short-Term Investments</v>
      </c>
      <c r="C9" s="1118" cm="1">
        <f t="array" ref="C9">_xll.FDS($B2,"FF_CASH_ST(ANN_R,"&amp;C5&amp;",,,,,B,""FILING_DATE=1"")")</f>
        <v>6.0460000000000003</v>
      </c>
      <c r="D9" s="1118" cm="1">
        <f t="array" ref="D9">_xll.FDS($B2,"FF_CASH_ST(ANN_R,"&amp;D5&amp;",,,,,B,""FILING_DATE=1"")")</f>
        <v>4.8680000000000003</v>
      </c>
      <c r="E9" s="1118" cm="1">
        <f t="array" ref="E9">_xll.FDS($B2,"FF_CASH_ST(ANN_R,"&amp;E5&amp;",,,,,B,""FILING_DATE=1"")")</f>
        <v>3.952</v>
      </c>
      <c r="F9" s="1118" cm="1">
        <f t="array" ref="F9">_xll.FDS($B2,"FF_CASH_ST(ANN_R,"&amp;F5&amp;",,,,,B,""FILING_DATE=1"")")</f>
        <v>3.105</v>
      </c>
      <c r="G9" s="1118" cm="1">
        <f t="array" ref="G9">_xll.FDS($B2,"FF_CASH_ST(ANN_R,"&amp;G5&amp;",,,,,B,""FILING_DATE=1"")")</f>
        <v>2.7629999999999999</v>
      </c>
      <c r="H9" s="1118" cm="1">
        <f t="array" ref="H9">_xll.FDS($B2,"FF_CASH_ST(ANN_R,"&amp;H5&amp;",,,,,B,""FILING_DATE=1"")")</f>
        <v>2.3639999999999999</v>
      </c>
      <c r="I9" s="1118" cm="1">
        <f t="array" ref="I9">_xll.FDS($B2,"FF_CASH_ST(ANN_R,"&amp;I5&amp;",,,,,B,""FILING_DATE=1"")")</f>
        <v>2.2999999999999998</v>
      </c>
      <c r="J9" s="1118" cm="1">
        <f t="array" ref="J9">_xll.FDS($B2,"FF_CASH_ST(ANN_R,"&amp;J5&amp;",,,,,B,""FILING_DATE=1"")")</f>
        <v>2.069</v>
      </c>
      <c r="K9" s="1118" cm="1">
        <f t="array" ref="K9">_xll.FDS($B2,"FF_CASH_ST(ANN_R,"&amp;K5&amp;",,,,,B,""FILING_DATE=1"")")</f>
        <v>2.1859999999999999</v>
      </c>
      <c r="L9" s="1118" cm="1">
        <f t="array" ref="L9">_xll.FDS($B2,"FF_CASH_ST(ANN_R,"&amp;L5&amp;",,,,,B,""FILING_DATE=1"")")</f>
        <v>2.2719999999999998</v>
      </c>
      <c r="M9" s="16"/>
    </row>
    <row r="10" spans="1:13">
      <c r="A10" s="347" t="str">
        <f>BS!A16</f>
        <v>Short-Term Receivables</v>
      </c>
      <c r="C10" s="1118" cm="1">
        <f t="array" ref="C10">_xll.FDS($B2,"FF_RECEIV_ST(ANN_R,"&amp;C5&amp;",,,,,B)")</f>
        <v>0.64400000000000002</v>
      </c>
      <c r="D10" s="1118" cm="1">
        <f t="array" ref="D10">_xll.FDS($B2,"FF_RECEIV_ST(ANN_R,"&amp;D5&amp;",,,,,B)")</f>
        <v>0.92600000000000005</v>
      </c>
      <c r="E10" s="1118" cm="1">
        <f t="array" ref="E10">_xll.FDS($B2,"FF_RECEIV_ST(ANN_R,"&amp;E5&amp;",,,,,B)")</f>
        <v>0.79600000000000004</v>
      </c>
      <c r="F10" s="1118" cm="1">
        <f t="array" ref="F10">_xll.FDS($B2,"FF_RECEIV_ST(ANN_R,"&amp;F5&amp;",,,,,B)")</f>
        <v>0.81399999999999995</v>
      </c>
      <c r="G10" s="1118" cm="1">
        <f t="array" ref="G10">_xll.FDS($B2,"FF_RECEIV_ST(ANN_R,"&amp;G5&amp;",,,,,B)")</f>
        <v>0.70699999999999996</v>
      </c>
      <c r="H10" s="1118" cm="1">
        <f t="array" ref="H10">_xll.FDS($B2,"FF_RECEIV_ST(ANN_R,"&amp;H5&amp;",,,,,B)")</f>
        <v>0.79700000000000004</v>
      </c>
      <c r="I10" s="1118" cm="1">
        <f t="array" ref="I10">_xll.FDS($B2,"FF_RECEIV_ST(ANN_R,"&amp;I5&amp;",,,,,B)")</f>
        <v>0.65600000000000003</v>
      </c>
      <c r="J10" s="1118" cm="1">
        <f t="array" ref="J10">_xll.FDS($B2,"FF_RECEIV_ST(ANN_R,"&amp;J5&amp;",,,,,B)")</f>
        <v>0.58899999999999997</v>
      </c>
      <c r="K10" s="1118" cm="1">
        <f t="array" ref="K10">_xll.FDS($B2,"FF_RECEIV_ST(ANN_R,"&amp;K5&amp;",,,,,B)")</f>
        <v>0.55000000000000004</v>
      </c>
      <c r="L10" s="1118" cm="1">
        <f t="array" ref="L10">_xll.FDS($B2,"FF_RECEIV_ST(ANN_R,"&amp;L5&amp;",,,,,B)")</f>
        <v>0.71199999999999997</v>
      </c>
      <c r="M10" s="16"/>
    </row>
    <row r="11" spans="1:13">
      <c r="A11" s="347" t="str">
        <f>BS!A17</f>
        <v>Inventories</v>
      </c>
      <c r="C11" s="1118" cm="1">
        <f t="array" ref="C11">_xll.FDS($B2,"FF_INVEN(ANN_R,"&amp;C5&amp;",,,,,B)")</f>
        <v>0.16600000000000001</v>
      </c>
      <c r="D11" s="1118" cm="1">
        <f t="array" ref="D11">_xll.FDS($B2,"FF_INVEN(ANN_R,"&amp;D5&amp;",,,,,B)")</f>
        <v>0.21199999999999999</v>
      </c>
      <c r="E11" s="1118" cm="1">
        <f t="array" ref="E11">_xll.FDS($B2,"FF_INVEN(ANN_R,"&amp;E5&amp;",,,,,B)")</f>
        <v>0.22</v>
      </c>
      <c r="F11" s="1118" cm="1">
        <f t="array" ref="F11">_xll.FDS($B2,"FF_INVEN(ANN_R,"&amp;F5&amp;",,,,,B)")</f>
        <v>0.20599999999999999</v>
      </c>
      <c r="G11" s="1118" cm="1">
        <f t="array" ref="G11">_xll.FDS($B2,"FF_INVEN(ANN_R,"&amp;G5&amp;",,,,,B)")</f>
        <v>0.186</v>
      </c>
      <c r="H11" s="1118" cm="1">
        <f t="array" ref="H11">_xll.FDS($B2,"FF_INVEN(ANN_R,"&amp;H5&amp;",,,,,B)")</f>
        <v>0.182</v>
      </c>
      <c r="I11" s="1118" cm="1">
        <f t="array" ref="I11">_xll.FDS($B2,"FF_INVEN(ANN_R,"&amp;I5&amp;",,,,,B)")</f>
        <v>0.16300000000000001</v>
      </c>
      <c r="J11" s="1118" cm="1">
        <f t="array" ref="J11">_xll.FDS($B2,"FF_INVEN(ANN_R,"&amp;J5&amp;",,,,,B)")</f>
        <v>0.13600000000000001</v>
      </c>
      <c r="K11" s="1118" cm="1">
        <f t="array" ref="K11">_xll.FDS($B2,"FF_INVEN(ANN_R,"&amp;K5&amp;",,,,,B)")</f>
        <v>0.15</v>
      </c>
      <c r="L11" s="1118" cm="1">
        <f t="array" ref="L11">_xll.FDS($B2,"FF_INVEN(ANN_R,"&amp;L5&amp;",,,,,B)")</f>
        <v>0.185</v>
      </c>
      <c r="M11" s="16"/>
    </row>
    <row r="12" spans="1:13">
      <c r="A12" s="347" t="str">
        <f>BS!A18</f>
        <v>Other Current Assets</v>
      </c>
      <c r="C12" s="1118" cm="1">
        <f t="array" ref="C12">_xll.FDS($B2,"FF_ASSETS_CURR_OTH(ANN_R,"&amp;C5&amp;",,,,,B,""FILING_DATE=1"")")</f>
        <v>0.33200000000000002</v>
      </c>
      <c r="D12" s="1118" cm="1">
        <f t="array" ref="D12">_xll.FDS($B2,"FF_ASSETS_CURR_OTH(ANN_R,"&amp;D5&amp;",,,,,B,""FILING_DATE=1"")")</f>
        <v>0.41699999999999998</v>
      </c>
      <c r="E12" s="1118" cm="1">
        <f t="array" ref="E12">_xll.FDS($B2,"FF_ASSETS_CURR_OTH(ANN_R,"&amp;E5&amp;",,,,,B,""FILING_DATE=1"")")</f>
        <v>0.42499999999999999</v>
      </c>
      <c r="F12" s="1118" cm="1">
        <f t="array" ref="F12">_xll.FDS($B2,"FF_ASSETS_CURR_OTH(ANN_R,"&amp;F5&amp;",,,,,B,""FILING_DATE=1"")")</f>
        <v>0.34899999999999998</v>
      </c>
      <c r="G12" s="1118" cm="1">
        <f t="array" ref="G12">_xll.FDS($B2,"FF_ASSETS_CURR_OTH(ANN_R,"&amp;G5&amp;",,,,,B,""FILING_DATE=1"")")</f>
        <v>0.38300000000000001</v>
      </c>
      <c r="H12" s="1118" cm="1">
        <f t="array" ref="H12">_xll.FDS($B2,"FF_ASSETS_CURR_OTH(ANN_R,"&amp;H5&amp;",,,,,B,""FILING_DATE=1"")")</f>
        <v>0.29499999999999998</v>
      </c>
      <c r="I12" s="1118" cm="1">
        <f t="array" ref="I12">_xll.FDS($B2,"FF_ASSETS_CURR_OTH(ANN_R,"&amp;I5&amp;",,,,,B,""FILING_DATE=1"")")</f>
        <v>0.26300000000000001</v>
      </c>
      <c r="J12" s="1118" cm="1">
        <f t="array" ref="J12">_xll.FDS($B2,"FF_ASSETS_CURR_OTH(ANN_R,"&amp;J5&amp;",,,,,B,""FILING_DATE=1"")")</f>
        <v>0.23200000000000001</v>
      </c>
      <c r="K12" s="1118" cm="1">
        <f t="array" ref="K12">_xll.FDS($B2,"FF_ASSETS_CURR_OTH(ANN_R,"&amp;K5&amp;",,,,,B,""FILING_DATE=1"")")</f>
        <v>0.24399999999999999</v>
      </c>
      <c r="L12" s="1118" cm="1">
        <f t="array" ref="L12">_xll.FDS($B2,"FF_ASSETS_CURR_OTH(ANN_R,"&amp;L5&amp;",,,,,B,""FILING_DATE=1"")")</f>
        <v>0.27900000000000003</v>
      </c>
      <c r="M12" s="16"/>
    </row>
    <row r="13" spans="1:13" s="17" customFormat="1">
      <c r="A13" s="344" t="str">
        <f>BS!A19</f>
        <v>Total Current Assets</v>
      </c>
      <c r="B13" s="372"/>
      <c r="C13" s="1119" cm="1">
        <f t="array" ref="C13">_xll.FDS($B2,"FF_ASSETS_CURR(ANN_R,"&amp;C5&amp;",,,,,B,""FILING_DATE=1"")")</f>
        <v>7.516</v>
      </c>
      <c r="D13" s="1119" cm="1">
        <f t="array" ref="D13">_xll.FDS($B2,"FF_ASSETS_CURR(ANN_R,"&amp;D5&amp;",,,,,B,""FILING_DATE=1"")")</f>
        <v>6.3010000000000002</v>
      </c>
      <c r="E13" s="1119" cm="1">
        <f t="array" ref="E13">_xll.FDS($B2,"FF_ASSETS_CURR(ANN_R,"&amp;E5&amp;",,,,,B,""FILING_DATE=1"")")</f>
        <v>5.3970000000000002</v>
      </c>
      <c r="F13" s="1119" cm="1">
        <f t="array" ref="F13">_xll.FDS($B2,"FF_ASSETS_CURR(ANN_R,"&amp;F5&amp;",,,,,B,""FILING_DATE=1"")")</f>
        <v>4.3470000000000004</v>
      </c>
      <c r="G13" s="1119" cm="1">
        <f t="array" ref="G13">_xll.FDS($B2,"FF_ASSETS_CURR(ANN_R,"&amp;G5&amp;",,,,,B,""FILING_DATE=1"")")</f>
        <v>4.125</v>
      </c>
      <c r="H13" s="1119" cm="1">
        <f t="array" ref="H13">_xll.FDS($B2,"FF_ASSETS_CURR(ANN_R,"&amp;H5&amp;",,,,,B,""FILING_DATE=1"")")</f>
        <v>3.4780000000000002</v>
      </c>
      <c r="I13" s="1119" cm="1">
        <f t="array" ref="I13">_xll.FDS($B2,"FF_ASSETS_CURR(ANN_R,"&amp;I5&amp;",,,,,B,""FILING_DATE=1"")")</f>
        <v>3.2879999999999998</v>
      </c>
      <c r="J13" s="1119" cm="1">
        <f t="array" ref="J13">_xll.FDS($B2,"FF_ASSETS_CURR(ANN_R,"&amp;J5&amp;",,,,,B,""FILING_DATE=1"")")</f>
        <v>3.0009999999999999</v>
      </c>
      <c r="K13" s="1119" cm="1">
        <f t="array" ref="K13">_xll.FDS($B2,"FF_ASSETS_CURR(ANN_R,"&amp;K5&amp;",,,,,B,""FILING_DATE=1"")")</f>
        <v>3.327</v>
      </c>
      <c r="L13" s="1119" cm="1">
        <f t="array" ref="L13">_xll.FDS($B2,"FF_ASSETS_CURR(ANN_R,"&amp;L5&amp;",,,,,B,""FILING_DATE=1"")")</f>
        <v>3.347</v>
      </c>
      <c r="M13" s="18"/>
    </row>
    <row r="14" spans="1:13">
      <c r="A14" s="347" t="str">
        <f>BS!A20</f>
        <v>Net Property, Plant &amp; Equipment</v>
      </c>
      <c r="C14" s="1118" cm="1">
        <f t="array" ref="C14">_xll.FDS($B2,"FF_PPE_NET(ANN_R,"&amp;C5&amp;",,,,,B,""FILING_DATE=1"")")</f>
        <v>12.834</v>
      </c>
      <c r="D14" s="1118" cm="1">
        <f t="array" ref="D14">_xll.FDS($B2,"FF_PPE_NET(ANN_R,"&amp;D5&amp;",,,,,B,""FILING_DATE=1"")")</f>
        <v>12.183</v>
      </c>
      <c r="E14" s="1118" cm="1">
        <f t="array" ref="E14">_xll.FDS($B2,"FF_PPE_NET(ANN_R,"&amp;E5&amp;",,,,,B,""FILING_DATE=1"")")</f>
        <v>9.2520000000000007</v>
      </c>
      <c r="F14" s="1118" cm="1">
        <f t="array" ref="F14">_xll.FDS($B2,"FF_PPE_NET(ANN_R,"&amp;F5&amp;",,,,,B,""FILING_DATE=1"")")</f>
        <v>8.52</v>
      </c>
      <c r="G14" s="1118" cm="1">
        <f t="array" ref="G14">_xll.FDS($B2,"FF_PPE_NET(ANN_R,"&amp;G5&amp;",,,,,B,""FILING_DATE=1"")")</f>
        <v>7.03</v>
      </c>
      <c r="H14" s="1118" cm="1">
        <f t="array" ref="H14">_xll.FDS($B2,"FF_PPE_NET(ANN_R,"&amp;H5&amp;",,,,,B,""FILING_DATE=1"")")</f>
        <v>5.9980000000000002</v>
      </c>
      <c r="I14" s="1118" cm="1">
        <f t="array" ref="I14">_xll.FDS($B2,"FF_PPE_NET(ANN_R,"&amp;I5&amp;",,,,,B,""FILING_DATE=1"")")</f>
        <v>5.0730000000000004</v>
      </c>
      <c r="J14" s="1118" cm="1">
        <f t="array" ref="J14">_xll.FDS($B2,"FF_PPE_NET(ANN_R,"&amp;J5&amp;",,,,,B,""FILING_DATE=1"")")</f>
        <v>4.7110000000000003</v>
      </c>
      <c r="K14" s="1118" cm="1">
        <f t="array" ref="K14">_xll.FDS($B2,"FF_PPE_NET(ANN_R,"&amp;K5&amp;",,,,,B,""FILING_DATE=1"")")</f>
        <v>5.0880000000000001</v>
      </c>
      <c r="L14" s="1118" cm="1">
        <f t="array" ref="L14">_xll.FDS($B2,"FF_PPE_NET(ANN_R,"&amp;L5&amp;",,,,,B,""FILING_DATE=1"")")</f>
        <v>5.6289999999999996</v>
      </c>
      <c r="M14" s="16"/>
    </row>
    <row r="15" spans="1:13">
      <c r="A15" s="373" t="s">
        <v>448</v>
      </c>
      <c r="B15" s="12"/>
      <c r="C15" s="373">
        <f>'AC-CA R&amp;D'!C34</f>
        <v>0</v>
      </c>
      <c r="D15" s="373">
        <f>'AC-CA R&amp;D'!D34</f>
        <v>0</v>
      </c>
      <c r="E15" s="373">
        <f>'AC-CA R&amp;D'!E34</f>
        <v>0</v>
      </c>
      <c r="F15" s="373">
        <f>'AC-CA R&amp;D'!F34</f>
        <v>0</v>
      </c>
      <c r="G15" s="373">
        <f>'AC-CA R&amp;D'!G34</f>
        <v>0</v>
      </c>
      <c r="H15" s="373">
        <f>'AC-CA R&amp;D'!H34</f>
        <v>0</v>
      </c>
      <c r="I15" s="373">
        <f>'AC-CA R&amp;D'!I34</f>
        <v>0</v>
      </c>
      <c r="J15" s="373">
        <f>'AC-CA R&amp;D'!J34</f>
        <v>0</v>
      </c>
      <c r="K15" s="373">
        <f>'AC-CA R&amp;D'!K34</f>
        <v>0</v>
      </c>
      <c r="L15" s="373">
        <f>'AC-CA R&amp;D'!L34</f>
        <v>0</v>
      </c>
      <c r="M15" s="16"/>
    </row>
    <row r="16" spans="1:13">
      <c r="A16" s="373" t="s">
        <v>449</v>
      </c>
      <c r="B16" s="12"/>
      <c r="C16" s="373">
        <f>'AC-CA Lease'!C33</f>
        <v>0</v>
      </c>
      <c r="D16" s="373">
        <f>'AC-CA Lease'!D33</f>
        <v>0</v>
      </c>
      <c r="E16" s="373">
        <f>'AC-CA Lease'!E33</f>
        <v>0</v>
      </c>
      <c r="F16" s="373">
        <f>'AC-CA Lease'!F33</f>
        <v>2.4937175000344518</v>
      </c>
      <c r="G16" s="373">
        <f>'AC-CA Lease'!G33</f>
        <v>2.2041059424070641</v>
      </c>
      <c r="H16" s="373">
        <f>'AC-CA Lease'!H33</f>
        <v>2.0576364973492582</v>
      </c>
      <c r="I16" s="373">
        <f>'AC-CA Lease'!I33</f>
        <v>1.4261938949578232</v>
      </c>
      <c r="J16" s="373">
        <f>'AC-CA Lease'!J33</f>
        <v>1.5045657683155931</v>
      </c>
      <c r="K16" s="373">
        <f>'AC-CA Lease'!K33</f>
        <v>1.6587722744307472</v>
      </c>
      <c r="L16" s="373">
        <f>'AC-CA Lease'!L33</f>
        <v>1.8129787805459014</v>
      </c>
      <c r="M16" s="16"/>
    </row>
    <row r="17" spans="1:14" s="17" customFormat="1">
      <c r="A17" s="347" t="str">
        <f>BS!A21</f>
        <v>Total Investments and Advances</v>
      </c>
      <c r="B17" s="3"/>
      <c r="C17" s="16" cm="1">
        <f t="array" ref="C17">_xll.FDS($B2,"FF_INVEST_ADV(ANN_R,"&amp;C5&amp;",,,,,B)")</f>
        <v>0.67100000000000004</v>
      </c>
      <c r="D17" s="16" cm="1">
        <f t="array" ref="D17">_xll.FDS($B2,"FF_INVEST_ADV(ANN_R,"&amp;D5&amp;",,,,,B)")</f>
        <v>0.76700000000000002</v>
      </c>
      <c r="E17" s="16" cm="1">
        <f t="array" ref="E17">_xll.FDS($B2,"FF_INVEST_ADV(ANN_R,"&amp;E5&amp;",,,,,B)")</f>
        <v>0.188</v>
      </c>
      <c r="F17" s="16" cm="1">
        <f t="array" ref="F17">_xll.FDS($B2,"FF_INVEST_ADV(ANN_R,"&amp;F5&amp;",,,,,B)")</f>
        <v>0</v>
      </c>
      <c r="G17" s="16" cm="1">
        <f t="array" ref="G17">_xll.FDS($B2,"FF_INVEST_ADV(ANN_R,"&amp;G5&amp;",,,,,B)")</f>
        <v>0</v>
      </c>
      <c r="H17" s="16" cm="1">
        <f t="array" ref="H17">_xll.FDS($B2,"FF_INVEST_ADV(ANN_R,"&amp;H5&amp;",,,,,B)")</f>
        <v>0</v>
      </c>
      <c r="I17" s="16" cm="1">
        <f t="array" ref="I17">_xll.FDS($B2,"FF_INVEST_ADV(ANN_R,"&amp;I5&amp;",,,,,B)")</f>
        <v>0.29899999999999999</v>
      </c>
      <c r="J17" s="16" cm="1">
        <f t="array" ref="J17">_xll.FDS($B2,"FF_INVEST_ADV(ANN_R,"&amp;J5&amp;",,,,,B)")</f>
        <v>0.27400000000000002</v>
      </c>
      <c r="K17" s="16" cm="1">
        <f t="array" ref="K17">_xll.FDS($B2,"FF_INVEST_ADV(ANN_R,"&amp;K5&amp;",,,,,B)")</f>
        <v>0.29299999999999998</v>
      </c>
      <c r="L17" s="16" cm="1">
        <f t="array" ref="L17">_xll.FDS($B2,"FF_INVEST_ADV(ANN_R,"&amp;L5&amp;",,,,,B)")</f>
        <v>0.25700000000000001</v>
      </c>
      <c r="M17" s="18"/>
    </row>
    <row r="18" spans="1:14">
      <c r="A18" s="347" t="str">
        <f>BS!A22</f>
        <v>Intangible Assets</v>
      </c>
      <c r="C18" s="1118" cm="1">
        <f t="array" ref="C18">_xll.FDS($B2,"FF_INTANG_ASSETS(ANN,"&amp;C5&amp;",,,,,B)")</f>
        <v>0</v>
      </c>
      <c r="D18" s="1118" cm="1">
        <f t="array" ref="D18">_xll.FDS($B2,"FF_INTANG_ASSETS(ANN,"&amp;D5&amp;",,,,,B)")</f>
        <v>0</v>
      </c>
      <c r="E18" s="1118" cm="1">
        <f t="array" ref="E18">_xll.FDS($B2,"FF_INTANG_ASSETS(ANN,"&amp;E5&amp;",,,,,B)")</f>
        <v>0</v>
      </c>
      <c r="F18" s="1118" cm="1">
        <f t="array" ref="F18">_xll.FDS($B2,"FF_INTANG_ASSETS(ANN,"&amp;F5&amp;",,,,,B)")</f>
        <v>0</v>
      </c>
      <c r="G18" s="1118" cm="1">
        <f t="array" ref="G18">_xll.FDS($B2,"FF_INTANG_ASSETS(ANN,"&amp;G5&amp;",,,,,B)")</f>
        <v>0</v>
      </c>
      <c r="H18" s="1118" cm="1">
        <f t="array" ref="H18">_xll.FDS($B2,"FF_INTANG_ASSETS(ANN,"&amp;H5&amp;",,,,,B)")</f>
        <v>0</v>
      </c>
      <c r="I18" s="1118" cm="1">
        <f t="array" ref="I18">_xll.FDS($B2,"FF_INTANG_ASSETS(ANN,"&amp;I5&amp;",,,,,B)")</f>
        <v>0</v>
      </c>
      <c r="J18" s="1118" cm="1">
        <f t="array" ref="J18">_xll.FDS($B2,"FF_INTANG_ASSETS(ANN,"&amp;J5&amp;",,,,,B)")</f>
        <v>0</v>
      </c>
      <c r="K18" s="1118" cm="1">
        <f t="array" ref="K18">_xll.FDS($B2,"FF_INTANG_ASSETS(ANN,"&amp;K5&amp;",,,,,B)")</f>
        <v>0</v>
      </c>
      <c r="L18" s="1118" cm="1">
        <f t="array" ref="L18">_xll.FDS($B2,"FF_INTANG_ASSETS(ANN,"&amp;L5&amp;",,,,,B)")</f>
        <v>0</v>
      </c>
    </row>
    <row r="19" spans="1:14">
      <c r="A19" s="347" t="str">
        <f>BS!A23</f>
        <v>Deferred Tax Assets</v>
      </c>
      <c r="C19" s="1118" cm="1">
        <f t="array" ref="C19">IFERROR(_xll.FDS($B2,"FF_DFD_TAX_DB(ANN_R,"&amp;C5&amp;",,,,,B)"),0)</f>
        <v>2.5000000000000001E-2</v>
      </c>
      <c r="D19" s="1118" cm="1">
        <f t="array" ref="D19">IFERROR(_xll.FDS($B2,"FF_DFD_TAX_DB(ANN_R,"&amp;D5&amp;",,,,,B)"),0)</f>
        <v>0.13400000000000001</v>
      </c>
      <c r="E19" s="1118" cm="1">
        <f t="array" ref="E19">IFERROR(_xll.FDS($B2,"FF_DFD_TAX_DB(ANN_R,"&amp;E5&amp;",,,,,B)"),0)</f>
        <v>0.314</v>
      </c>
      <c r="F19" s="1118" cm="1">
        <f t="array" ref="F19">IFERROR(_xll.FDS($B2,"FF_DFD_TAX_DB(ANN_R,"&amp;F5&amp;",,,,,B)"),0)</f>
        <v>0.45600000000000002</v>
      </c>
      <c r="G19" s="1118" cm="1">
        <f t="array" ref="G19">IFERROR(_xll.FDS($B2,"FF_DFD_TAX_DB(ANN_R,"&amp;G5&amp;",,,,,B)"),0)</f>
        <v>0</v>
      </c>
      <c r="H19" s="1118" cm="1">
        <f t="array" ref="H19">IFERROR(_xll.FDS($B2,"FF_DFD_TAX_DB(ANN_R,"&amp;H5&amp;",,,,,B)"),0)</f>
        <v>0</v>
      </c>
      <c r="I19" s="1118" cm="1">
        <f t="array" ref="I19">IFERROR(_xll.FDS($B2,"FF_DFD_TAX_DB(ANN_R,"&amp;I5&amp;",,,,,B)"),0)</f>
        <v>0</v>
      </c>
      <c r="J19" s="1118" cm="1">
        <f t="array" ref="J19">IFERROR(_xll.FDS($B2,"FF_DFD_TAX_DB(ANN_R,"&amp;J5&amp;",,,,,B)"),0)</f>
        <v>0</v>
      </c>
      <c r="K19" s="1118" cm="1">
        <f t="array" ref="K19">IFERROR(_xll.FDS($B2,"FF_DFD_TAX_DB(ANN_R,"&amp;K5&amp;",,,,,B)"),0)</f>
        <v>0</v>
      </c>
      <c r="L19" s="1118" cm="1">
        <f t="array" ref="L19">IFERROR(_xll.FDS($B2,"FF_DFD_TAX_DB(ANN_R,"&amp;L5&amp;",,,,,B)"),0)</f>
        <v>0</v>
      </c>
      <c r="M19" s="16"/>
    </row>
    <row r="20" spans="1:14">
      <c r="A20" s="347" t="str">
        <f>BS!A24</f>
        <v>Other Assets</v>
      </c>
      <c r="C20" s="1118" cm="1">
        <f t="array" ref="C20">_xll.FDS($B2,"FF_ASSETS_CURR_OTH(ANN_R,"&amp;C5&amp;",,,,,B,""FILING_DATE=1"")")</f>
        <v>0.33200000000000002</v>
      </c>
      <c r="D20" s="1118" cm="1">
        <f t="array" ref="D20">_xll.FDS($B2,"FF_ASSETS_CURR_OTH(ANN_R,"&amp;D5&amp;",,,,,B,""FILING_DATE=1"")")</f>
        <v>0.41699999999999998</v>
      </c>
      <c r="E20" s="1118" cm="1">
        <f t="array" ref="E20">_xll.FDS($B2,"FF_ASSETS_CURR_OTH(ANN_R,"&amp;E5&amp;",,,,,B,""FILING_DATE=1"")")</f>
        <v>0.42499999999999999</v>
      </c>
      <c r="F20" s="1118" cm="1">
        <f t="array" ref="F20">_xll.FDS($B2,"FF_ASSETS_CURR_OTH(ANN_R,"&amp;F5&amp;",,,,,B,""FILING_DATE=1"")")</f>
        <v>0.34899999999999998</v>
      </c>
      <c r="G20" s="1118" cm="1">
        <f t="array" ref="G20">_xll.FDS($B2,"FF_ASSETS_CURR_OTH(ANN_R,"&amp;G5&amp;",,,,,B,""FILING_DATE=1"")")</f>
        <v>0.38300000000000001</v>
      </c>
      <c r="H20" s="1118" cm="1">
        <f t="array" ref="H20">_xll.FDS($B2,"FF_ASSETS_CURR_OTH(ANN_R,"&amp;H5&amp;",,,,,B,""FILING_DATE=1"")")</f>
        <v>0.29499999999999998</v>
      </c>
      <c r="I20" s="1118" cm="1">
        <f t="array" ref="I20">_xll.FDS($B2,"FF_ASSETS_CURR_OTH(ANN_R,"&amp;I5&amp;",,,,,B,""FILING_DATE=1"")")</f>
        <v>0.26300000000000001</v>
      </c>
      <c r="J20" s="1118" cm="1">
        <f t="array" ref="J20">_xll.FDS($B2,"FF_ASSETS_CURR_OTH(ANN_R,"&amp;J5&amp;",,,,,B,""FILING_DATE=1"")")</f>
        <v>0.23200000000000001</v>
      </c>
      <c r="K20" s="1118" cm="1">
        <f t="array" ref="K20">_xll.FDS($B2,"FF_ASSETS_CURR_OTH(ANN_R,"&amp;K5&amp;",,,,,B,""FILING_DATE=1"")")</f>
        <v>0.24399999999999999</v>
      </c>
      <c r="L20" s="1118" cm="1">
        <f t="array" ref="L20">_xll.FDS($B2,"FF_ASSETS_CURR_OTH(ANN_R,"&amp;L5&amp;",,,,,B,""FILING_DATE=1"")")</f>
        <v>0.27900000000000003</v>
      </c>
      <c r="M20" s="16"/>
    </row>
    <row r="21" spans="1:14" s="17" customFormat="1">
      <c r="A21" s="374" t="str">
        <f>BS!A25</f>
        <v>Total Assets</v>
      </c>
      <c r="B21" s="12"/>
      <c r="C21" s="1120" cm="1">
        <f t="array" ref="C21">_xll.FDS($B2,"FF_ASSETS(ANN_R,"&amp;C5&amp;",,,,,B)")+SUM(C15:C16)</f>
        <v>28.913</v>
      </c>
      <c r="D21" s="1120" cm="1">
        <f t="array" ref="D21">_xll.FDS($B2,"FF_ASSETS(ANN_R,"&amp;D5&amp;",,,,,B)")+SUM(D15:D16)</f>
        <v>27.759</v>
      </c>
      <c r="E21" s="1120" cm="1">
        <f t="array" ref="E21">_xll.FDS($B2,"FF_ASSETS(ANN_R,"&amp;E5&amp;",,,,,B)")+SUM(E15:E16)</f>
        <v>21.882999999999999</v>
      </c>
      <c r="F21" s="1120" cm="1">
        <f t="array" ref="F21">_xll.FDS($B2,"FF_ASSETS(ANN_R,"&amp;F5&amp;",,,,,B)")+SUM(F15:F16)</f>
        <v>20.275717500034453</v>
      </c>
      <c r="G21" s="1120" cm="1">
        <f t="array" ref="G21">_xll.FDS($B2,"FF_ASSETS(ANN_R,"&amp;G5&amp;",,,,,B)")+SUM(G15:G16)</f>
        <v>17.318105942407065</v>
      </c>
      <c r="H21" s="1120" cm="1">
        <f t="array" ref="H21">_xll.FDS($B2,"FF_ASSETS(ANN_R,"&amp;H5&amp;",,,,,B)")+SUM(H15:H16)</f>
        <v>15.18463649734926</v>
      </c>
      <c r="I21" s="1120" cm="1">
        <f t="array" ref="I21">_xll.FDS($B2,"FF_ASSETS(ANN_R,"&amp;I5&amp;",,,,,B)")+SUM(I15:I16)</f>
        <v>12.074193894957823</v>
      </c>
      <c r="J21" s="1120" cm="1">
        <f t="array" ref="J21">_xll.FDS($B2,"FF_ASSETS(ANN_R,"&amp;J5&amp;",,,,,B)")+SUM(J15:J16)</f>
        <v>10.974565768315594</v>
      </c>
      <c r="K21" s="1120" cm="1">
        <f t="array" ref="K21">_xll.FDS($B2,"FF_ASSETS(ANN_R,"&amp;K5&amp;",,,,,B)")+SUM(K15:K16)</f>
        <v>10.505772274430747</v>
      </c>
      <c r="L21" s="1120" cm="1">
        <f t="array" ref="L21">_xll.FDS($B2,"FF_ASSETS(ANN_R,"&amp;L5&amp;",,,,,B)")+SUM(L15:L16)</f>
        <v>11.4459787805459</v>
      </c>
      <c r="M21" s="18"/>
    </row>
    <row r="22" spans="1:14">
      <c r="A22" s="344" t="str">
        <f>BS!A26</f>
        <v>Liabilities &amp; Shareholders' Equity</v>
      </c>
      <c r="C22" s="1118"/>
      <c r="D22" s="347"/>
      <c r="E22" s="347"/>
      <c r="F22" s="347"/>
      <c r="G22" s="347"/>
      <c r="H22" s="347"/>
      <c r="I22" s="347"/>
      <c r="J22" s="347"/>
      <c r="K22" s="347"/>
      <c r="L22" s="347"/>
      <c r="M22" s="16"/>
    </row>
    <row r="23" spans="1:14">
      <c r="A23" s="347" t="str">
        <f>BS!A27</f>
        <v>ST Debt &amp; Curr. Portion LT Debt</v>
      </c>
      <c r="C23" s="1118" cm="1">
        <f t="array" ref="C23">_xll.FDS($B2,"FF_DEBT_ST(ANN_R,"&amp;C5&amp;",,,,,B,""FILING_DATE=1"")")</f>
        <v>1.218</v>
      </c>
      <c r="D23" s="1118" cm="1">
        <f t="array" ref="D23">_xll.FDS($B2,"FF_DEBT_ST(ANN_R,"&amp;D5&amp;",,,,,B,""FILING_DATE=1"")")</f>
        <v>1.048</v>
      </c>
      <c r="E23" s="1118" cm="1">
        <f t="array" ref="E23">_xll.FDS($B2,"FF_DEBT_ST(ANN_R,"&amp;E5&amp;",,,,,B,""FILING_DATE=1"")")</f>
        <v>0.67100000000000004</v>
      </c>
      <c r="F23" s="1118" cm="1">
        <f t="array" ref="F23">_xll.FDS($B2,"FF_DEBT_ST(ANN_R,"&amp;F5&amp;",,,,,B,""FILING_DATE=1"")")</f>
        <v>0.70699999999999996</v>
      </c>
      <c r="G23" s="1118" cm="1">
        <f t="array" ref="G23">_xll.FDS($B2,"FF_DEBT_ST(ANN_R,"&amp;G5&amp;",,,,,B,""FILING_DATE=1"")")</f>
        <v>0.52400000000000002</v>
      </c>
      <c r="H23" s="1118" cm="1">
        <f t="array" ref="H23">_xll.FDS($B2,"FF_DEBT_ST(ANN_R,"&amp;H5&amp;",,,,,B,""FILING_DATE=1"")")</f>
        <v>0.48399999999999999</v>
      </c>
      <c r="I23" s="1118" cm="1">
        <f t="array" ref="I23">_xll.FDS($B2,"FF_DEBT_ST(ANN_R,"&amp;I5&amp;",,,,,B,""FILING_DATE=1"")")</f>
        <v>0.374</v>
      </c>
      <c r="J23" s="1118" cm="1">
        <f t="array" ref="J23">_xll.FDS($B2,"FF_DEBT_ST(ANN_R,"&amp;J5&amp;",,,,,B,""FILING_DATE=1"")")</f>
        <v>0.499</v>
      </c>
      <c r="K23" s="1118" cm="1">
        <f t="array" ref="K23">_xll.FDS($B2,"FF_DEBT_ST(ANN_R,"&amp;K5&amp;",,,,,B,""FILING_DATE=1"")")</f>
        <v>0.42399999999999999</v>
      </c>
      <c r="L23" s="1118" cm="1">
        <f t="array" ref="L23">_xll.FDS($B2,"FF_DEBT_ST(ANN_R,"&amp;L5&amp;",,,,,B,""FILING_DATE=1"")")</f>
        <v>0.56699999999999995</v>
      </c>
      <c r="M23" s="16"/>
    </row>
    <row r="24" spans="1:14">
      <c r="A24" s="347" t="str">
        <f>BS!A28</f>
        <v>Accounts Payable</v>
      </c>
      <c r="C24" s="1118" cm="1">
        <f t="array" ref="C24">_xll.FDS($B2,"FF_PAY_ACCT(ANN_R,"&amp;C5&amp;",,,,,B,""FILING_DATE=1"")")</f>
        <v>2.456</v>
      </c>
      <c r="D24" s="1118" cm="1">
        <f t="array" ref="D24">_xll.FDS($B2,"FF_PAY_ACCT(ANN_R,"&amp;D5&amp;",,,,,B,""FILING_DATE=1"")")</f>
        <v>1.911</v>
      </c>
      <c r="E24" s="1118" cm="1">
        <f t="array" ref="E24">_xll.FDS($B2,"FF_PAY_ACCT(ANN_R,"&amp;E5&amp;",,,,,B,""FILING_DATE=1"")")</f>
        <v>1.8149999999999999</v>
      </c>
      <c r="F24" s="1118" cm="1">
        <f t="array" ref="F24">_xll.FDS($B2,"FF_PAY_ACCT(ANN_R,"&amp;F5&amp;",,,,,B,""FILING_DATE=1"")")</f>
        <v>1.4710000000000001</v>
      </c>
      <c r="G24" s="1118" cm="1">
        <f t="array" ref="G24">_xll.FDS($B2,"FF_PAY_ACCT(ANN_R,"&amp;G5&amp;",,,,,B,""FILING_DATE=1"")")</f>
        <v>1.468</v>
      </c>
      <c r="H24" s="1118" cm="1">
        <f t="array" ref="H24">_xll.FDS($B2,"FF_PAY_ACCT(ANN_R,"&amp;H5&amp;",,,,,B,""FILING_DATE=1"")")</f>
        <v>1.23</v>
      </c>
      <c r="I24" s="1118" cm="1">
        <f t="array" ref="I24">_xll.FDS($B2,"FF_PAY_ACCT(ANN_R,"&amp;I5&amp;",,,,,B,""FILING_DATE=1"")")</f>
        <v>1.1000000000000001</v>
      </c>
      <c r="J24" s="1118" cm="1">
        <f t="array" ref="J24">_xll.FDS($B2,"FF_PAY_ACCT(ANN_R,"&amp;J5&amp;",,,,,B,""FILING_DATE=1"")")</f>
        <v>1.1000000000000001</v>
      </c>
      <c r="K24" s="1118" cm="1">
        <f t="array" ref="K24">_xll.FDS($B2,"FF_PAY_ACCT(ANN_R,"&amp;K5&amp;",,,,,B,""FILING_DATE=1"")")</f>
        <v>1.103</v>
      </c>
      <c r="L24" s="1118" cm="1">
        <f t="array" ref="L24">_xll.FDS($B2,"FF_PAY_ACCT(ANN_R,"&amp;L5&amp;",,,,,B,""FILING_DATE=1"")")</f>
        <v>1.1120000000000001</v>
      </c>
      <c r="M24" s="16"/>
    </row>
    <row r="25" spans="1:14">
      <c r="A25" s="347" t="str">
        <f>BS!A29</f>
        <v>Income Tax Payable</v>
      </c>
      <c r="C25" s="1118" cm="1">
        <f t="array" ref="C25">IFERROR(_xll.FDS($B2,"FF_INC_PAY_TAX(ANN_R,"&amp;C5&amp;",,,,,B,""FILING_DATE=1"")"),0)</f>
        <v>0</v>
      </c>
      <c r="D25" s="1118" cm="1">
        <f t="array" ref="D25">IFERROR(_xll.FDS($B2,"FF_INC_PAY_TAX(ANN_R,"&amp;D5&amp;",,,,,B,""FILING_DATE=1"")"),0)</f>
        <v>0</v>
      </c>
      <c r="E25" s="1118" cm="1">
        <f t="array" ref="E25">IFERROR(_xll.FDS($B2,"FF_INC_PAY_TAX(ANN_R,"&amp;E5&amp;",,,,,B,""FILING_DATE=1"")"),0)</f>
        <v>0</v>
      </c>
      <c r="F25" s="1118" cm="1">
        <f t="array" ref="F25">IFERROR(_xll.FDS($B2,"FF_INC_PAY_TAX(ANN_R,"&amp;F5&amp;",,,,,B,""FILING_DATE=1"")"),0)</f>
        <v>0</v>
      </c>
      <c r="G25" s="1118" cm="1">
        <f t="array" ref="G25">IFERROR(_xll.FDS($B2,"FF_INC_PAY_TAX(ANN_R,"&amp;G5&amp;",,,,,B,""FILING_DATE=1"")"),0)</f>
        <v>0</v>
      </c>
      <c r="H25" s="1118" cm="1">
        <f t="array" ref="H25">IFERROR(_xll.FDS($B2,"FF_INC_PAY_TAX(ANN_R,"&amp;H5&amp;",,,,,B,""FILING_DATE=1"")"),0)</f>
        <v>0</v>
      </c>
      <c r="I25" s="1118" cm="1">
        <f t="array" ref="I25">IFERROR(_xll.FDS($B2,"FF_INC_PAY_TAX(ANN_R,"&amp;I5&amp;",,,,,B,""FILING_DATE=1"")"),0)</f>
        <v>0</v>
      </c>
      <c r="J25" s="1118" cm="1">
        <f t="array" ref="J25">IFERROR(_xll.FDS($B2,"FF_INC_PAY_TAX(ANN_R,"&amp;J5&amp;",,,,,B,""FILING_DATE=1"")"),0)</f>
        <v>0</v>
      </c>
      <c r="K25" s="1118" cm="1">
        <f t="array" ref="K25">IFERROR(_xll.FDS($B2,"FF_INC_PAY_TAX(ANN_R,"&amp;K5&amp;",,,,,B,""FILING_DATE=1"")"),0)</f>
        <v>0</v>
      </c>
      <c r="L25" s="1118" cm="1">
        <f t="array" ref="L25">IFERROR(_xll.FDS($B2,"FF_INC_PAY_TAX(ANN_R,"&amp;L5&amp;",,,,,B,""FILING_DATE=1"")"),0)</f>
        <v>0</v>
      </c>
      <c r="M25" s="16"/>
    </row>
    <row r="26" spans="1:14">
      <c r="A26" s="347" t="str">
        <f>BS!A30</f>
        <v>Other Current Liabilities</v>
      </c>
      <c r="C26" s="1118" cm="1">
        <f t="array" ref="C26">_xll.FDS($B2,"FF_LIABS_CURR_OTH(ANN_R,"&amp;C5&amp;",,,,,B,""FILING_DATE=1"")")</f>
        <v>4.101</v>
      </c>
      <c r="D26" s="1118" cm="1">
        <f t="array" ref="D26">_xll.FDS($B2,"FF_LIABS_CURR_OTH(ANN_R,"&amp;D5&amp;",,,,,B,""FILING_DATE=1"")")</f>
        <v>2.7170000000000001</v>
      </c>
      <c r="E26" s="1118" cm="1">
        <f t="array" ref="E26">_xll.FDS($B2,"FF_LIABS_CURR_OTH(ANN_R,"&amp;E5&amp;",,,,,B,""FILING_DATE=1"")")</f>
        <v>2.6150000000000002</v>
      </c>
      <c r="F26" s="1118" cm="1">
        <f t="array" ref="F26">_xll.FDS($B2,"FF_LIABS_CURR_OTH(ANN_R,"&amp;F5&amp;",,,,,B,""FILING_DATE=1"")")</f>
        <v>2.246</v>
      </c>
      <c r="G26" s="1118" cm="1">
        <f t="array" ref="G26">_xll.FDS($B2,"FF_LIABS_CURR_OTH(ANN_R,"&amp;G5&amp;",,,,,B,""FILING_DATE=1"")")</f>
        <v>1.837</v>
      </c>
      <c r="H26" s="1118" cm="1">
        <f t="array" ref="H26">_xll.FDS($B2,"FF_LIABS_CURR_OTH(ANN_R,"&amp;H5&amp;",,,,,B,""FILING_DATE=1"")")</f>
        <v>1.823</v>
      </c>
      <c r="I26" s="1118" cm="1">
        <f t="array" ref="I26">_xll.FDS($B2,"FF_LIABS_CURR_OTH(ANN_R,"&amp;I5&amp;",,,,,B,""FILING_DATE=1"")")</f>
        <v>1.716</v>
      </c>
      <c r="J26" s="1118" cm="1">
        <f t="array" ref="J26">_xll.FDS($B2,"FF_LIABS_CURR_OTH(ANN_R,"&amp;J5&amp;",,,,,B,""FILING_DATE=1"")")</f>
        <v>1.66</v>
      </c>
      <c r="K26" s="1118" cm="1">
        <f t="array" ref="K26">_xll.FDS($B2,"FF_LIABS_CURR_OTH(ANN_R,"&amp;K5&amp;",,,,,B,""FILING_DATE=1"")")</f>
        <v>1.6259999999999999</v>
      </c>
      <c r="L26" s="1118" cm="1">
        <f t="array" ref="L26">_xll.FDS($B2,"FF_LIABS_CURR_OTH(ANN_R,"&amp;L5&amp;",,,,,B,""FILING_DATE=1"")")</f>
        <v>1.4450000000000001</v>
      </c>
      <c r="M26" s="16"/>
    </row>
    <row r="27" spans="1:14" s="17" customFormat="1">
      <c r="A27" s="344" t="str">
        <f>BS!A31</f>
        <v>Total Current Liabilities</v>
      </c>
      <c r="B27" s="372"/>
      <c r="C27" s="1119" cm="1">
        <f t="array" ref="C27">_xll.FDS($B2,"FF_LIABS_CURR(ANN_R,"&amp;C5&amp;",,,,,B,""FILING_DATE=1"")")</f>
        <v>7.7750000000000004</v>
      </c>
      <c r="D27" s="1119" cm="1">
        <f t="array" ref="D27">_xll.FDS($B2,"FF_LIABS_CURR(ANN_R,"&amp;D5&amp;",,,,,B,""FILING_DATE=1"")")</f>
        <v>5.6760000000000002</v>
      </c>
      <c r="E27" s="1119" cm="1">
        <f t="array" ref="E27">_xll.FDS($B2,"FF_LIABS_CURR(ANN_R,"&amp;E5&amp;",,,,,B,""FILING_DATE=1"")")</f>
        <v>5.101</v>
      </c>
      <c r="F27" s="1119" cm="1">
        <f t="array" ref="F27">_xll.FDS($B2,"FF_LIABS_CURR(ANN_R,"&amp;F5&amp;",,,,,B,""FILING_DATE=1"")")</f>
        <v>4.4240000000000004</v>
      </c>
      <c r="G27" s="1119" cm="1">
        <f t="array" ref="G27">_xll.FDS($B2,"FF_LIABS_CURR(ANN_R,"&amp;G5&amp;",,,,,B,""FILING_DATE=1"")")</f>
        <v>3.8290000000000002</v>
      </c>
      <c r="H27" s="1119" cm="1">
        <f t="array" ref="H27">_xll.FDS($B2,"FF_LIABS_CURR(ANN_R,"&amp;H5&amp;",,,,,B,""FILING_DATE=1"")")</f>
        <v>3.5369999999999999</v>
      </c>
      <c r="I27" s="1119" cm="1">
        <f t="array" ref="I27">_xll.FDS($B2,"FF_LIABS_CURR(ANN_R,"&amp;I5&amp;",,,,,B,""FILING_DATE=1"")")</f>
        <v>3.19</v>
      </c>
      <c r="J27" s="1119" cm="1">
        <f t="array" ref="J27">_xll.FDS($B2,"FF_LIABS_CURR(ANN_R,"&amp;J5&amp;",,,,,B,""FILING_DATE=1"")")</f>
        <v>3.2589999999999999</v>
      </c>
      <c r="K27" s="1119" cm="1">
        <f t="array" ref="K27">_xll.FDS($B2,"FF_LIABS_CURR(ANN_R,"&amp;K5&amp;",,,,,B,""FILING_DATE=1"")")</f>
        <v>3.153</v>
      </c>
      <c r="L27" s="1119" cm="1">
        <f t="array" ref="L27">_xll.FDS($B2,"FF_LIABS_CURR(ANN_R,"&amp;L5&amp;",,,,,B,""FILING_DATE=1"")")</f>
        <v>3.1240000000000001</v>
      </c>
      <c r="M27" s="18"/>
      <c r="N27" s="1121"/>
    </row>
    <row r="28" spans="1:14">
      <c r="A28" s="347" t="str">
        <f>BS!A32</f>
        <v>Long-Term Debt</v>
      </c>
      <c r="C28" s="1118" cm="1">
        <f t="array" ref="C28">_xll.FDS($B2,"FF_DEBT_LT(ANN_R,"&amp;C5&amp;",,,,,B,""FILING_DATE=1"")")</f>
        <v>8.0239999999999991</v>
      </c>
      <c r="D28" s="1118" cm="1">
        <f t="array" ref="D28">_xll.FDS($B2,"FF_DEBT_LT(ANN_R,"&amp;D5&amp;",,,,,B,""FILING_DATE=1"")")</f>
        <v>8.8729999999999993</v>
      </c>
      <c r="E28" s="1118" cm="1">
        <f t="array" ref="E28">_xll.FDS($B2,"FF_DEBT_LT(ANN_R,"&amp;E5&amp;",,,,,B,""FILING_DATE=1"")")</f>
        <v>5.4480000000000004</v>
      </c>
      <c r="F28" s="1118" cm="1">
        <f t="array" ref="F28">_xll.FDS($B2,"FF_DEBT_LT(ANN_R,"&amp;F5&amp;",,,,,B,""FILING_DATE=1"")")</f>
        <v>5.9109999999999996</v>
      </c>
      <c r="G28" s="1118" cm="1">
        <f t="array" ref="G28">_xll.FDS($B2,"FF_DEBT_LT(ANN_R,"&amp;G5&amp;",,,,,B,""FILING_DATE=1"")")</f>
        <v>5.87</v>
      </c>
      <c r="H28" s="1118" cm="1">
        <f t="array" ref="H28">_xll.FDS($B2,"FF_DEBT_LT(ANN_R,"&amp;H5&amp;",,,,,B,""FILING_DATE=1"")")</f>
        <v>4.7320000000000002</v>
      </c>
      <c r="I28" s="1118" cm="1">
        <f t="array" ref="I28">_xll.FDS($B2,"FF_DEBT_LT(ANN_R,"&amp;I5&amp;",,,,,B,""FILING_DATE=1"")")</f>
        <v>3.9590000000000001</v>
      </c>
      <c r="J28" s="1118" cm="1">
        <f t="array" ref="J28">_xll.FDS($B2,"FF_DEBT_LT(ANN_R,"&amp;J5&amp;",,,,,B,""FILING_DATE=1"")")</f>
        <v>3.2589999999999999</v>
      </c>
      <c r="K28" s="1118" cm="1">
        <f t="array" ref="K28">_xll.FDS($B2,"FF_DEBT_LT(ANN_R,"&amp;K5&amp;",,,,,B,""FILING_DATE=1"")")</f>
        <v>3.9060000000000001</v>
      </c>
      <c r="L28" s="1118" cm="1">
        <f t="array" ref="L28">_xll.FDS($B2,"FF_DEBT_LT(ANN_R,"&amp;L5&amp;",,,,,B,""FILING_DATE=1"")")</f>
        <v>4.0279999999999996</v>
      </c>
      <c r="M28" s="16"/>
    </row>
    <row r="29" spans="1:14">
      <c r="A29" s="375" t="str">
        <f>'DAL-US Lease'!B33</f>
        <v>Lease adj. to Total Debt outstanding</v>
      </c>
      <c r="B29" s="375"/>
      <c r="C29" s="375">
        <f t="shared" ref="C29:L29" si="0">C16</f>
        <v>0</v>
      </c>
      <c r="D29" s="375">
        <f t="shared" si="0"/>
        <v>0</v>
      </c>
      <c r="E29" s="375">
        <f t="shared" si="0"/>
        <v>0</v>
      </c>
      <c r="F29" s="375">
        <f t="shared" si="0"/>
        <v>2.4937175000344518</v>
      </c>
      <c r="G29" s="375">
        <f t="shared" si="0"/>
        <v>2.2041059424070641</v>
      </c>
      <c r="H29" s="375">
        <f t="shared" si="0"/>
        <v>2.0576364973492582</v>
      </c>
      <c r="I29" s="375">
        <f t="shared" si="0"/>
        <v>1.4261938949578232</v>
      </c>
      <c r="J29" s="375">
        <f t="shared" si="0"/>
        <v>1.5045657683155931</v>
      </c>
      <c r="K29" s="375">
        <f t="shared" si="0"/>
        <v>1.6587722744307472</v>
      </c>
      <c r="L29" s="375">
        <f t="shared" si="0"/>
        <v>1.8129787805459014</v>
      </c>
      <c r="M29" s="16"/>
    </row>
    <row r="30" spans="1:14">
      <c r="A30" s="347" t="str">
        <f>BS!A33</f>
        <v>Provision for Risks &amp; Charges</v>
      </c>
      <c r="C30" s="1118" cm="1">
        <f t="array" ref="C30">_xll.FDS($B2,"FF_PROV_RISK(ANN_R,"&amp;C5&amp;",,,,,B)")</f>
        <v>4.0549999999999997</v>
      </c>
      <c r="D30" s="1118" cm="1">
        <f t="array" ref="D30">_xll.FDS($B2,"FF_PROV_RISK(ANN_R,"&amp;D5&amp;",,,,,B)")</f>
        <v>4.17</v>
      </c>
      <c r="E30" s="1118" cm="1">
        <f t="array" ref="E30">_xll.FDS($B2,"FF_PROV_RISK(ANN_R,"&amp;E5&amp;",,,,,B)")</f>
        <v>3.8540000000000001</v>
      </c>
      <c r="F30" s="1118" cm="1">
        <f t="array" ref="F30">_xll.FDS($B2,"FF_PROV_RISK(ANN_R,"&amp;F5&amp;",,,,,B)")</f>
        <v>3.5950000000000002</v>
      </c>
      <c r="G30" s="1118" cm="1">
        <f t="array" ref="G30">_xll.FDS($B2,"FF_PROV_RISK(ANN_R,"&amp;G5&amp;",,,,,B)")</f>
        <v>3.383</v>
      </c>
      <c r="H30" s="1118" cm="1">
        <f t="array" ref="H30">_xll.FDS($B2,"FF_PROV_RISK(ANN_R,"&amp;H5&amp;",,,,,B)")</f>
        <v>3.1579999999999999</v>
      </c>
      <c r="I30" s="1118" cm="1">
        <f t="array" ref="I30">_xll.FDS($B2,"FF_PROV_RISK(ANN_R,"&amp;I5&amp;",,,,,B)")</f>
        <v>3.1989999999999998</v>
      </c>
      <c r="J30" s="1118" cm="1">
        <f t="array" ref="J30">_xll.FDS($B2,"FF_PROV_RISK(ANN_R,"&amp;J5&amp;",,,,,B)")</f>
        <v>3.343</v>
      </c>
      <c r="K30" s="1118" cm="1">
        <f t="array" ref="K30">_xll.FDS($B2,"FF_PROV_RISK(ANN_R,"&amp;K5&amp;",,,,,B)")</f>
        <v>5.2569999999999997</v>
      </c>
      <c r="L30" s="1118" cm="1">
        <f t="array" ref="L30">_xll.FDS($B2,"FF_PROV_RISK(ANN_R,"&amp;L5&amp;",,,,,B)")</f>
        <v>6.1109999999999998</v>
      </c>
      <c r="M30" s="16"/>
    </row>
    <row r="31" spans="1:14">
      <c r="A31" s="347" t="str">
        <f>BS!A34</f>
        <v>Deferred Tax Liabilities</v>
      </c>
      <c r="C31" s="1118" cm="1">
        <f t="array" ref="C31">IFERROR(_xll.FDS($B2,"FF_DFD_TAX_CR(ANN_R,"&amp;C5&amp;",,,,,B,""FILING_DATE=1"")"),0)</f>
        <v>7.2999999999999995E-2</v>
      </c>
      <c r="D31" s="1118" cm="1">
        <f t="array" ref="D31">IFERROR(_xll.FDS($B2,"FF_DFD_TAX_CR(ANN_R,"&amp;D5&amp;",,,,,B,""FILING_DATE=1"")"),0)</f>
        <v>5.1999999999999998E-2</v>
      </c>
      <c r="E31" s="1118" cm="1">
        <f t="array" ref="E31">IFERROR(_xll.FDS($B2,"FF_DFD_TAX_CR(ANN_R,"&amp;E5&amp;",,,,,B,""FILING_DATE=1"")"),0)</f>
        <v>4.9000000000000002E-2</v>
      </c>
      <c r="F31" s="1118" cm="1">
        <f t="array" ref="F31">IFERROR(_xll.FDS($B2,"FF_DFD_TAX_CR(ANN_R,"&amp;F5&amp;",,,,,B,""FILING_DATE=1"")"),0)</f>
        <v>4.9000000000000002E-2</v>
      </c>
      <c r="G31" s="1118" cm="1">
        <f t="array" ref="G31">IFERROR(_xll.FDS($B2,"FF_DFD_TAX_CR(ANN_R,"&amp;G5&amp;",,,,,B,""FILING_DATE=1"")"),0)</f>
        <v>0</v>
      </c>
      <c r="H31" s="1118" cm="1">
        <f t="array" ref="H31">IFERROR(_xll.FDS($B2,"FF_DFD_TAX_CR(ANN_R,"&amp;H5&amp;",,,,,B,""FILING_DATE=1"")"),0)</f>
        <v>4.9000000000000002E-2</v>
      </c>
      <c r="I31" s="1118" cm="1">
        <f t="array" ref="I31">IFERROR(_xll.FDS($B2,"FF_DFD_TAX_CR(ANN_R,"&amp;I5&amp;",,,,,B,""FILING_DATE=1"")"),0)</f>
        <v>0</v>
      </c>
      <c r="J31" s="1118" cm="1">
        <f t="array" ref="J31">IFERROR(_xll.FDS($B2,"FF_DFD_TAX_CR(ANN_R,"&amp;J5&amp;",,,,,B,""FILING_DATE=1"")"),0)</f>
        <v>0</v>
      </c>
      <c r="K31" s="1118" cm="1">
        <f t="array" ref="K31">IFERROR(_xll.FDS($B2,"FF_DFD_TAX_CR(ANN_R,"&amp;K5&amp;",,,,,B,""FILING_DATE=1"")"),0)</f>
        <v>4.8000000000000001E-2</v>
      </c>
      <c r="L31" s="1118" cm="1">
        <f t="array" ref="L31">IFERROR(_xll.FDS($B2,"FF_DFD_TAX_CR(ANN_R,"&amp;L5&amp;",,,,,B,""FILING_DATE=1"")"),0)</f>
        <v>4.8000000000000001E-2</v>
      </c>
      <c r="M31" s="16"/>
    </row>
    <row r="32" spans="1:14">
      <c r="A32" s="347" t="str">
        <f>BS!A35</f>
        <v>Other Liabilities</v>
      </c>
      <c r="C32" s="1118" cm="1">
        <f t="array" ref="C32">_xll.FDS($B2,"FF_LIABS_OTH(ANN_R,"&amp;C5&amp;",,,,,B,""FILING_DATE=1"")")</f>
        <v>3.3170000000000002</v>
      </c>
      <c r="D32" s="1118" cm="1">
        <f t="array" ref="D32">_xll.FDS($B2,"FF_LIABS_OTH(ANN_R,"&amp;D5&amp;",,,,,B,""FILING_DATE=1"")")</f>
        <v>0.151</v>
      </c>
      <c r="E32" s="1118" cm="1">
        <f t="array" ref="E32">_xll.FDS($B2,"FF_LIABS_OTH(ANN_R,"&amp;E5&amp;",,,,,B,""FILING_DATE=1"")")</f>
        <v>0.16700000000000001</v>
      </c>
      <c r="F32" s="1118" cm="1">
        <f t="array" ref="F32">_xll.FDS($B2,"FF_LIABS_OTH(ANN_R,"&amp;F5&amp;",,,,,B,""FILING_DATE=1"")")</f>
        <v>0.128</v>
      </c>
      <c r="G32" s="1118" cm="1">
        <f t="array" ref="G32">_xll.FDS($B2,"FF_LIABS_OTH(ANN_R,"&amp;G5&amp;",,,,,B,""FILING_DATE=1"")")</f>
        <v>0.23</v>
      </c>
      <c r="H32" s="1118" cm="1">
        <f t="array" ref="H32">_xll.FDS($B2,"FF_LIABS_OTH(ANN_R,"&amp;H5&amp;",,,,,B,""FILING_DATE=1"")")</f>
        <v>0.26400000000000001</v>
      </c>
      <c r="I32" s="1118" cm="1">
        <f t="array" ref="I32">_xll.FDS($B2,"FF_LIABS_OTH(ANN_R,"&amp;I5&amp;",,,,,B,""FILING_DATE=1"")")</f>
        <v>0.375</v>
      </c>
      <c r="J32" s="1118" cm="1">
        <f t="array" ref="J32">_xll.FDS($B2,"FF_LIABS_OTH(ANN_R,"&amp;J5&amp;",,,,,B,""FILING_DATE=1"")")</f>
        <v>0.41899999999999998</v>
      </c>
      <c r="K32" s="1118" cm="1">
        <f t="array" ref="K32">_xll.FDS($B2,"FF_LIABS_OTH(ANN_R,"&amp;K5&amp;",,,,,B,""FILING_DATE=1"")")</f>
        <v>0.42099999999999999</v>
      </c>
      <c r="L32" s="1118" cm="1">
        <f t="array" ref="L32">_xll.FDS($B2,"FF_LIABS_OTH(ANN_R,"&amp;L5&amp;",,,,,B,""FILING_DATE=1"")")</f>
        <v>0.42</v>
      </c>
      <c r="M32" s="16"/>
    </row>
    <row r="33" spans="1:13">
      <c r="A33" s="344" t="str">
        <f>BS!A36</f>
        <v>Total Liabilities</v>
      </c>
      <c r="C33" s="1119" cm="1">
        <f t="array" ref="C33">_xll.FDS($B2,"FF_LIABS(ANN_R,"&amp;C5&amp;",,,,,B)")+C29</f>
        <v>27.198</v>
      </c>
      <c r="D33" s="1119" cm="1">
        <f t="array" ref="D33">_xll.FDS($B2,"FF_LIABS(ANN_R,"&amp;D5&amp;",,,,,B)")+D29</f>
        <v>23.359000000000002</v>
      </c>
      <c r="E33" s="1119" cm="1">
        <f t="array" ref="E33">_xll.FDS($B2,"FF_LIABS(ANN_R,"&amp;E5&amp;",,,,,B)")+E29</f>
        <v>18.606000000000002</v>
      </c>
      <c r="F33" s="1119" cm="1">
        <f t="array" ref="F33">_xll.FDS($B2,"FF_LIABS(ANN_R,"&amp;F5&amp;",,,,,B)")+F29</f>
        <v>16.853717500034453</v>
      </c>
      <c r="G33" s="1119" cm="1">
        <f t="array" ref="G33">_xll.FDS($B2,"FF_LIABS(ANN_R,"&amp;G5&amp;",,,,,B)")+G29</f>
        <v>16.099105942407064</v>
      </c>
      <c r="H33" s="1119" cm="1">
        <f t="array" ref="H33">_xll.FDS($B2,"FF_LIABS(ANN_R,"&amp;H5&amp;",,,,,B)")+H29</f>
        <v>15.144636497349257</v>
      </c>
      <c r="I33" s="1119" cm="1">
        <f t="array" ref="I33">_xll.FDS($B2,"FF_LIABS(ANN_R,"&amp;I5&amp;",,,,,B)")+I29</f>
        <v>13.207193894957824</v>
      </c>
      <c r="J33" s="1119" cm="1">
        <f t="array" ref="J33">_xll.FDS($B2,"FF_LIABS(ANN_R,"&amp;J5&amp;",,,,,B)")+J29</f>
        <v>12.371565768315595</v>
      </c>
      <c r="K33" s="1119" cm="1">
        <f t="array" ref="K33">_xll.FDS($B2,"FF_LIABS(ANN_R,"&amp;K5&amp;",,,,,B)")+K29</f>
        <v>13.852772274430748</v>
      </c>
      <c r="L33" s="1119" cm="1">
        <f t="array" ref="L33">_xll.FDS($B2,"FF_LIABS(ANN_R,"&amp;L5&amp;",,,,,B)")+L29</f>
        <v>15.4519787805459</v>
      </c>
      <c r="M33" s="16"/>
    </row>
    <row r="34" spans="1:13">
      <c r="A34" s="373" t="str">
        <f>BS!A40</f>
        <v>Total Equity</v>
      </c>
      <c r="B34" s="12"/>
      <c r="C34" s="373">
        <f>C21-C33</f>
        <v>1.7149999999999999</v>
      </c>
      <c r="D34" s="373">
        <f t="shared" ref="D34:L34" si="1">D21-D33</f>
        <v>4.3999999999999986</v>
      </c>
      <c r="E34" s="373">
        <f t="shared" si="1"/>
        <v>3.2769999999999975</v>
      </c>
      <c r="F34" s="373">
        <f t="shared" si="1"/>
        <v>3.4220000000000006</v>
      </c>
      <c r="G34" s="373">
        <f t="shared" si="1"/>
        <v>1.2190000000000012</v>
      </c>
      <c r="H34" s="373">
        <f t="shared" si="1"/>
        <v>4.00000000000027E-2</v>
      </c>
      <c r="I34" s="373">
        <f t="shared" si="1"/>
        <v>-1.1330000000000009</v>
      </c>
      <c r="J34" s="373">
        <f t="shared" si="1"/>
        <v>-1.3970000000000002</v>
      </c>
      <c r="K34" s="373">
        <f t="shared" si="1"/>
        <v>-3.3470000000000013</v>
      </c>
      <c r="L34" s="373">
        <f t="shared" si="1"/>
        <v>-4.0060000000000002</v>
      </c>
      <c r="M34" s="16"/>
    </row>
    <row r="35" spans="1:13">
      <c r="A35" s="374" t="str">
        <f>BS!A41</f>
        <v>Total Liabilities &amp; Shareholders' Equity</v>
      </c>
      <c r="B35" s="12"/>
      <c r="C35" s="374">
        <f>C33+C34</f>
        <v>28.913</v>
      </c>
      <c r="D35" s="374">
        <f t="shared" ref="D35:L35" si="2">D33+D34</f>
        <v>27.759</v>
      </c>
      <c r="E35" s="374">
        <f t="shared" si="2"/>
        <v>21.882999999999999</v>
      </c>
      <c r="F35" s="374">
        <f t="shared" si="2"/>
        <v>20.275717500034453</v>
      </c>
      <c r="G35" s="374">
        <f t="shared" si="2"/>
        <v>17.318105942407065</v>
      </c>
      <c r="H35" s="374">
        <f t="shared" si="2"/>
        <v>15.18463649734926</v>
      </c>
      <c r="I35" s="374">
        <f t="shared" si="2"/>
        <v>12.074193894957823</v>
      </c>
      <c r="J35" s="374">
        <f t="shared" si="2"/>
        <v>10.974565768315594</v>
      </c>
      <c r="K35" s="374">
        <f t="shared" si="2"/>
        <v>10.505772274430747</v>
      </c>
      <c r="L35" s="374">
        <f t="shared" si="2"/>
        <v>11.4459787805459</v>
      </c>
      <c r="M35" s="16"/>
    </row>
    <row r="36" spans="1:13">
      <c r="A36" s="353"/>
      <c r="C36" s="376"/>
      <c r="D36" s="376"/>
      <c r="E36" s="376"/>
      <c r="F36" s="376"/>
      <c r="G36" s="376"/>
      <c r="H36" s="376"/>
      <c r="I36" s="376"/>
      <c r="J36" s="376"/>
      <c r="K36" s="376"/>
      <c r="L36" s="376"/>
      <c r="M36" s="16"/>
    </row>
    <row r="37" spans="1:13">
      <c r="A37" s="353" t="s">
        <v>450</v>
      </c>
      <c r="C37" s="376" t="str">
        <f>C5</f>
        <v>12/2020</v>
      </c>
      <c r="D37" s="376" t="str">
        <f t="shared" ref="D37:L37" si="3">D5</f>
        <v>12/2019</v>
      </c>
      <c r="E37" s="376" t="str">
        <f t="shared" si="3"/>
        <v>12/2018</v>
      </c>
      <c r="F37" s="376" t="str">
        <f t="shared" si="3"/>
        <v>12/2017</v>
      </c>
      <c r="G37" s="376" t="str">
        <f t="shared" si="3"/>
        <v>12/2016</v>
      </c>
      <c r="H37" s="376" t="str">
        <f t="shared" si="3"/>
        <v>12/2015</v>
      </c>
      <c r="I37" s="376" t="str">
        <f t="shared" si="3"/>
        <v>12/2014</v>
      </c>
      <c r="J37" s="376" t="str">
        <f t="shared" si="3"/>
        <v>12/2013</v>
      </c>
      <c r="K37" s="376" t="str">
        <f t="shared" si="3"/>
        <v>12/2012</v>
      </c>
      <c r="L37" s="376" t="str">
        <f t="shared" si="3"/>
        <v>12/2011</v>
      </c>
      <c r="M37" s="16"/>
    </row>
    <row r="38" spans="1:13">
      <c r="A38" s="385" t="str">
        <f>A10</f>
        <v>Short-Term Receivables</v>
      </c>
      <c r="B38" s="385"/>
      <c r="C38" s="523">
        <f>C10</f>
        <v>0.64400000000000002</v>
      </c>
      <c r="D38" s="523">
        <f t="shared" ref="D38:L38" si="4">D10</f>
        <v>0.92600000000000005</v>
      </c>
      <c r="E38" s="523">
        <f t="shared" si="4"/>
        <v>0.79600000000000004</v>
      </c>
      <c r="F38" s="523">
        <f t="shared" si="4"/>
        <v>0.81399999999999995</v>
      </c>
      <c r="G38" s="523">
        <f t="shared" si="4"/>
        <v>0.70699999999999996</v>
      </c>
      <c r="H38" s="523">
        <f t="shared" si="4"/>
        <v>0.79700000000000004</v>
      </c>
      <c r="I38" s="523">
        <f t="shared" si="4"/>
        <v>0.65600000000000003</v>
      </c>
      <c r="J38" s="523">
        <f t="shared" si="4"/>
        <v>0.58899999999999997</v>
      </c>
      <c r="K38" s="523">
        <f t="shared" si="4"/>
        <v>0.55000000000000004</v>
      </c>
      <c r="L38" s="523">
        <f t="shared" si="4"/>
        <v>0.71199999999999997</v>
      </c>
      <c r="M38" s="16"/>
    </row>
    <row r="39" spans="1:13">
      <c r="A39" s="385" t="str">
        <f>A11</f>
        <v>Inventories</v>
      </c>
      <c r="B39" s="385"/>
      <c r="C39" s="523">
        <f t="shared" ref="C39:L40" si="5">C11</f>
        <v>0.16600000000000001</v>
      </c>
      <c r="D39" s="523">
        <f t="shared" si="5"/>
        <v>0.21199999999999999</v>
      </c>
      <c r="E39" s="523">
        <f t="shared" si="5"/>
        <v>0.22</v>
      </c>
      <c r="F39" s="523">
        <f t="shared" si="5"/>
        <v>0.20599999999999999</v>
      </c>
      <c r="G39" s="523">
        <f t="shared" si="5"/>
        <v>0.186</v>
      </c>
      <c r="H39" s="523">
        <f t="shared" si="5"/>
        <v>0.182</v>
      </c>
      <c r="I39" s="523">
        <f t="shared" si="5"/>
        <v>0.16300000000000001</v>
      </c>
      <c r="J39" s="523">
        <f t="shared" si="5"/>
        <v>0.13600000000000001</v>
      </c>
      <c r="K39" s="523">
        <f t="shared" si="5"/>
        <v>0.15</v>
      </c>
      <c r="L39" s="523">
        <f t="shared" si="5"/>
        <v>0.185</v>
      </c>
      <c r="M39" s="16"/>
    </row>
    <row r="40" spans="1:13">
      <c r="A40" s="385" t="str">
        <f>A12</f>
        <v>Other Current Assets</v>
      </c>
      <c r="B40" s="385"/>
      <c r="C40" s="523">
        <f t="shared" si="5"/>
        <v>0.33200000000000002</v>
      </c>
      <c r="D40" s="523">
        <f t="shared" si="5"/>
        <v>0.41699999999999998</v>
      </c>
      <c r="E40" s="523">
        <f t="shared" si="5"/>
        <v>0.42499999999999999</v>
      </c>
      <c r="F40" s="523">
        <f t="shared" si="5"/>
        <v>0.34899999999999998</v>
      </c>
      <c r="G40" s="523">
        <f t="shared" si="5"/>
        <v>0.38300000000000001</v>
      </c>
      <c r="H40" s="523">
        <f t="shared" si="5"/>
        <v>0.29499999999999998</v>
      </c>
      <c r="I40" s="523">
        <f t="shared" si="5"/>
        <v>0.26300000000000001</v>
      </c>
      <c r="J40" s="523">
        <f t="shared" si="5"/>
        <v>0.23200000000000001</v>
      </c>
      <c r="K40" s="523">
        <f t="shared" si="5"/>
        <v>0.24399999999999999</v>
      </c>
      <c r="L40" s="523">
        <f t="shared" si="5"/>
        <v>0.27900000000000003</v>
      </c>
      <c r="M40" s="16"/>
    </row>
    <row r="41" spans="1:13">
      <c r="A41" s="522" t="s">
        <v>451</v>
      </c>
      <c r="B41" s="522"/>
      <c r="C41" s="524">
        <f>SUM(C38:C40)</f>
        <v>1.1420000000000001</v>
      </c>
      <c r="D41" s="524">
        <f t="shared" ref="D41:L41" si="6">SUM(D38:D40)</f>
        <v>1.5550000000000002</v>
      </c>
      <c r="E41" s="524">
        <f t="shared" si="6"/>
        <v>1.4410000000000001</v>
      </c>
      <c r="F41" s="524">
        <f t="shared" si="6"/>
        <v>1.369</v>
      </c>
      <c r="G41" s="524">
        <f t="shared" si="6"/>
        <v>1.276</v>
      </c>
      <c r="H41" s="524">
        <f t="shared" si="6"/>
        <v>1.274</v>
      </c>
      <c r="I41" s="524">
        <f t="shared" si="6"/>
        <v>1.0820000000000001</v>
      </c>
      <c r="J41" s="524">
        <f t="shared" si="6"/>
        <v>0.95699999999999996</v>
      </c>
      <c r="K41" s="524">
        <f t="shared" si="6"/>
        <v>0.94400000000000006</v>
      </c>
      <c r="L41" s="524">
        <f t="shared" si="6"/>
        <v>1.1760000000000002</v>
      </c>
      <c r="M41" s="16"/>
    </row>
    <row r="42" spans="1:13">
      <c r="A42" s="522" t="s">
        <v>452</v>
      </c>
      <c r="B42" s="522"/>
      <c r="C42" s="327">
        <f>C41-D41</f>
        <v>-0.41300000000000003</v>
      </c>
      <c r="D42" s="327">
        <f t="shared" ref="D42:L42" si="7">D41-E41</f>
        <v>0.1140000000000001</v>
      </c>
      <c r="E42" s="327">
        <f t="shared" si="7"/>
        <v>7.2000000000000064E-2</v>
      </c>
      <c r="F42" s="327">
        <f t="shared" si="7"/>
        <v>9.2999999999999972E-2</v>
      </c>
      <c r="G42" s="327">
        <f t="shared" si="7"/>
        <v>2.0000000000000018E-3</v>
      </c>
      <c r="H42" s="327">
        <f t="shared" si="7"/>
        <v>0.19199999999999995</v>
      </c>
      <c r="I42" s="327">
        <f t="shared" si="7"/>
        <v>0.12500000000000011</v>
      </c>
      <c r="J42" s="327">
        <f t="shared" si="7"/>
        <v>1.2999999999999901E-2</v>
      </c>
      <c r="K42" s="327">
        <f t="shared" si="7"/>
        <v>-0.2320000000000001</v>
      </c>
      <c r="L42" s="327">
        <f t="shared" si="7"/>
        <v>1.1760000000000002</v>
      </c>
      <c r="M42" s="16"/>
    </row>
    <row r="43" spans="1:13">
      <c r="A43" s="522" t="s">
        <v>453</v>
      </c>
      <c r="B43" s="522"/>
      <c r="C43" s="327"/>
      <c r="D43" s="327"/>
      <c r="E43" s="327"/>
      <c r="F43" s="327"/>
      <c r="G43" s="327"/>
      <c r="H43" s="327"/>
      <c r="I43" s="327"/>
      <c r="J43" s="327"/>
      <c r="K43" s="327"/>
      <c r="L43" s="327"/>
      <c r="M43" s="16"/>
    </row>
    <row r="44" spans="1:13" ht="15" customHeight="1">
      <c r="A44" s="385" t="str">
        <f>A24</f>
        <v>Accounts Payable</v>
      </c>
      <c r="B44" s="385"/>
      <c r="C44" s="523">
        <f t="shared" ref="C44:L46" si="8">C24</f>
        <v>2.456</v>
      </c>
      <c r="D44" s="523">
        <f t="shared" si="8"/>
        <v>1.911</v>
      </c>
      <c r="E44" s="523">
        <f t="shared" si="8"/>
        <v>1.8149999999999999</v>
      </c>
      <c r="F44" s="523">
        <f t="shared" si="8"/>
        <v>1.4710000000000001</v>
      </c>
      <c r="G44" s="523">
        <f t="shared" si="8"/>
        <v>1.468</v>
      </c>
      <c r="H44" s="523">
        <f t="shared" si="8"/>
        <v>1.23</v>
      </c>
      <c r="I44" s="523">
        <f t="shared" si="8"/>
        <v>1.1000000000000001</v>
      </c>
      <c r="J44" s="523">
        <f t="shared" si="8"/>
        <v>1.1000000000000001</v>
      </c>
      <c r="K44" s="523">
        <f t="shared" si="8"/>
        <v>1.103</v>
      </c>
      <c r="L44" s="523">
        <f t="shared" si="8"/>
        <v>1.1120000000000001</v>
      </c>
      <c r="M44" s="16"/>
    </row>
    <row r="45" spans="1:13" ht="15" customHeight="1">
      <c r="A45" s="385" t="str">
        <f>A25</f>
        <v>Income Tax Payable</v>
      </c>
      <c r="B45" s="385"/>
      <c r="C45" s="523">
        <f t="shared" si="8"/>
        <v>0</v>
      </c>
      <c r="D45" s="523">
        <f t="shared" si="8"/>
        <v>0</v>
      </c>
      <c r="E45" s="523">
        <f t="shared" si="8"/>
        <v>0</v>
      </c>
      <c r="F45" s="523">
        <f t="shared" si="8"/>
        <v>0</v>
      </c>
      <c r="G45" s="523">
        <f t="shared" si="8"/>
        <v>0</v>
      </c>
      <c r="H45" s="523">
        <f t="shared" si="8"/>
        <v>0</v>
      </c>
      <c r="I45" s="523">
        <f t="shared" si="8"/>
        <v>0</v>
      </c>
      <c r="J45" s="523">
        <f t="shared" si="8"/>
        <v>0</v>
      </c>
      <c r="K45" s="523">
        <f t="shared" si="8"/>
        <v>0</v>
      </c>
      <c r="L45" s="523">
        <f t="shared" si="8"/>
        <v>0</v>
      </c>
      <c r="M45" s="16"/>
    </row>
    <row r="46" spans="1:13" ht="15" customHeight="1">
      <c r="A46" s="385" t="str">
        <f>A26</f>
        <v>Other Current Liabilities</v>
      </c>
      <c r="B46" s="385"/>
      <c r="C46" s="523">
        <f t="shared" si="8"/>
        <v>4.101</v>
      </c>
      <c r="D46" s="523">
        <f>D26</f>
        <v>2.7170000000000001</v>
      </c>
      <c r="E46" s="523">
        <f t="shared" si="8"/>
        <v>2.6150000000000002</v>
      </c>
      <c r="F46" s="523">
        <f t="shared" si="8"/>
        <v>2.246</v>
      </c>
      <c r="G46" s="523">
        <f t="shared" si="8"/>
        <v>1.837</v>
      </c>
      <c r="H46" s="523">
        <f t="shared" si="8"/>
        <v>1.823</v>
      </c>
      <c r="I46" s="523">
        <f t="shared" si="8"/>
        <v>1.716</v>
      </c>
      <c r="J46" s="523">
        <f t="shared" si="8"/>
        <v>1.66</v>
      </c>
      <c r="K46" s="523">
        <f t="shared" si="8"/>
        <v>1.6259999999999999</v>
      </c>
      <c r="L46" s="523">
        <f t="shared" si="8"/>
        <v>1.4450000000000001</v>
      </c>
      <c r="M46" s="16"/>
    </row>
    <row r="47" spans="1:13" s="522" customFormat="1" ht="12.75">
      <c r="A47" s="522" t="s">
        <v>454</v>
      </c>
      <c r="C47" s="524">
        <f>SUM(C44:C46)</f>
        <v>6.5570000000000004</v>
      </c>
      <c r="D47" s="524">
        <f t="shared" ref="D47:L47" si="9">SUM(D44:D46)</f>
        <v>4.6280000000000001</v>
      </c>
      <c r="E47" s="524">
        <f t="shared" si="9"/>
        <v>4.43</v>
      </c>
      <c r="F47" s="524">
        <f t="shared" si="9"/>
        <v>3.7170000000000001</v>
      </c>
      <c r="G47" s="524">
        <f t="shared" si="9"/>
        <v>3.3049999999999997</v>
      </c>
      <c r="H47" s="524">
        <f t="shared" si="9"/>
        <v>3.0529999999999999</v>
      </c>
      <c r="I47" s="524">
        <f t="shared" si="9"/>
        <v>2.8159999999999998</v>
      </c>
      <c r="J47" s="524">
        <f t="shared" si="9"/>
        <v>2.76</v>
      </c>
      <c r="K47" s="524">
        <f t="shared" si="9"/>
        <v>2.7290000000000001</v>
      </c>
      <c r="L47" s="524">
        <f t="shared" si="9"/>
        <v>2.5570000000000004</v>
      </c>
    </row>
    <row r="48" spans="1:13">
      <c r="A48" s="522" t="s">
        <v>452</v>
      </c>
      <c r="B48" s="522"/>
      <c r="C48" s="327">
        <f>C47-D47</f>
        <v>1.9290000000000003</v>
      </c>
      <c r="D48" s="327">
        <f t="shared" ref="D48:L48" si="10">D47-E47</f>
        <v>0.1980000000000004</v>
      </c>
      <c r="E48" s="327">
        <f t="shared" si="10"/>
        <v>0.71299999999999963</v>
      </c>
      <c r="F48" s="327">
        <f t="shared" si="10"/>
        <v>0.41200000000000037</v>
      </c>
      <c r="G48" s="327">
        <f t="shared" si="10"/>
        <v>0.25199999999999978</v>
      </c>
      <c r="H48" s="327">
        <f t="shared" si="10"/>
        <v>0.2370000000000001</v>
      </c>
      <c r="I48" s="327">
        <f t="shared" si="10"/>
        <v>5.600000000000005E-2</v>
      </c>
      <c r="J48" s="327">
        <f t="shared" si="10"/>
        <v>3.0999999999999694E-2</v>
      </c>
      <c r="K48" s="327">
        <f t="shared" si="10"/>
        <v>0.17199999999999971</v>
      </c>
      <c r="L48" s="327">
        <f t="shared" si="10"/>
        <v>2.5570000000000004</v>
      </c>
      <c r="M48" s="16"/>
    </row>
    <row r="49" spans="1:13">
      <c r="A49" s="526" t="s">
        <v>455</v>
      </c>
      <c r="B49" s="526"/>
      <c r="C49" s="327"/>
      <c r="D49" s="327"/>
      <c r="E49" s="327"/>
      <c r="F49" s="327"/>
      <c r="G49" s="327"/>
      <c r="H49" s="327"/>
      <c r="I49" s="327"/>
      <c r="J49" s="327"/>
      <c r="K49" s="327"/>
      <c r="L49" s="327"/>
      <c r="M49" s="16"/>
    </row>
    <row r="50" spans="1:13">
      <c r="A50" s="372" t="s">
        <v>456</v>
      </c>
      <c r="B50" s="372"/>
      <c r="C50" s="525">
        <f>C41-C47</f>
        <v>-5.415</v>
      </c>
      <c r="D50" s="525">
        <f t="shared" ref="D50:L50" si="11">D41-D47</f>
        <v>-3.073</v>
      </c>
      <c r="E50" s="525">
        <f t="shared" si="11"/>
        <v>-2.9889999999999999</v>
      </c>
      <c r="F50" s="525">
        <f t="shared" si="11"/>
        <v>-2.3479999999999999</v>
      </c>
      <c r="G50" s="525">
        <f t="shared" si="11"/>
        <v>-2.0289999999999999</v>
      </c>
      <c r="H50" s="525">
        <f t="shared" si="11"/>
        <v>-1.7789999999999999</v>
      </c>
      <c r="I50" s="525">
        <f t="shared" si="11"/>
        <v>-1.7339999999999998</v>
      </c>
      <c r="J50" s="525">
        <f t="shared" si="11"/>
        <v>-1.8029999999999999</v>
      </c>
      <c r="K50" s="525">
        <f t="shared" si="11"/>
        <v>-1.7850000000000001</v>
      </c>
      <c r="L50" s="525">
        <f t="shared" si="11"/>
        <v>-1.3810000000000002</v>
      </c>
      <c r="M50" s="16"/>
    </row>
    <row r="51" spans="1:13">
      <c r="A51" s="372" t="s">
        <v>457</v>
      </c>
      <c r="B51" s="372"/>
      <c r="C51" s="527">
        <f>C50/IS!C14</f>
        <v>-0.3167592863410354</v>
      </c>
      <c r="D51" s="527">
        <f>D50/IS!D14</f>
        <v>-6.5374633025571199E-2</v>
      </c>
      <c r="E51" s="527">
        <f>E50/IS!E14</f>
        <v>-6.7257712472716627E-2</v>
      </c>
      <c r="F51" s="527">
        <f>F50/IS!F14</f>
        <v>-5.6943299219091033E-2</v>
      </c>
      <c r="G51" s="527">
        <f>G50/IS!G14</f>
        <v>-5.123478612191304E-2</v>
      </c>
      <c r="H51" s="527">
        <f>H50/IS!H14</f>
        <v>-4.3919419345282179E-2</v>
      </c>
      <c r="I51" s="527">
        <f>I50/IS!I14</f>
        <v>-4.313003681225748E-2</v>
      </c>
      <c r="J51" s="527">
        <f>J50/IS!J14</f>
        <v>-4.7903714331260963E-2</v>
      </c>
      <c r="K51" s="527">
        <f>K50/IS!K14</f>
        <v>-4.8644229459054368E-2</v>
      </c>
      <c r="L51" s="527">
        <f>L50/IS!L14</f>
        <v>-3.9327922540224977E-2</v>
      </c>
      <c r="M51" s="16"/>
    </row>
    <row r="52" spans="1:13">
      <c r="A52" s="377" t="s">
        <v>458</v>
      </c>
      <c r="C52" s="327">
        <f>C50-D50</f>
        <v>-2.3420000000000001</v>
      </c>
      <c r="D52" s="327">
        <f t="shared" ref="D52:L52" si="12">D50-E50</f>
        <v>-8.4000000000000075E-2</v>
      </c>
      <c r="E52" s="327">
        <f t="shared" si="12"/>
        <v>-0.64100000000000001</v>
      </c>
      <c r="F52" s="327">
        <f t="shared" si="12"/>
        <v>-0.31899999999999995</v>
      </c>
      <c r="G52" s="327">
        <f t="shared" si="12"/>
        <v>-0.25</v>
      </c>
      <c r="H52" s="327">
        <f t="shared" si="12"/>
        <v>-4.5000000000000151E-2</v>
      </c>
      <c r="I52" s="327">
        <f t="shared" si="12"/>
        <v>6.9000000000000172E-2</v>
      </c>
      <c r="J52" s="327">
        <f t="shared" si="12"/>
        <v>-1.7999999999999794E-2</v>
      </c>
      <c r="K52" s="327">
        <f t="shared" si="12"/>
        <v>-0.40399999999999991</v>
      </c>
      <c r="L52" s="327">
        <f t="shared" si="12"/>
        <v>-1.3810000000000002</v>
      </c>
      <c r="M52" s="16"/>
    </row>
    <row r="53" spans="1:13">
      <c r="A53" s="526" t="s">
        <v>459</v>
      </c>
      <c r="C53" s="327"/>
      <c r="D53" s="327"/>
      <c r="E53" s="327"/>
      <c r="F53" s="327"/>
      <c r="G53" s="327"/>
      <c r="H53" s="327"/>
      <c r="I53" s="327"/>
      <c r="J53" s="327"/>
      <c r="K53" s="327"/>
      <c r="L53" s="327"/>
    </row>
    <row r="54" spans="1:13">
      <c r="A54" s="327"/>
    </row>
    <row r="55" spans="1:13">
      <c r="A55" s="327"/>
    </row>
    <row r="56" spans="1:13">
      <c r="A56" s="327"/>
    </row>
    <row r="57" spans="1:13">
      <c r="A57" s="327"/>
    </row>
    <row r="58" spans="1:13">
      <c r="A58" s="327"/>
    </row>
    <row r="59" spans="1:13">
      <c r="A59" s="327"/>
    </row>
    <row r="60" spans="1:13">
      <c r="A60" s="327"/>
    </row>
    <row r="61" spans="1:13">
      <c r="A61" s="327"/>
    </row>
    <row r="62" spans="1:13">
      <c r="A62" s="327"/>
    </row>
    <row r="63" spans="1:13">
      <c r="A63" s="327"/>
    </row>
    <row r="64" spans="1:13">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row r="163" spans="1:1">
      <c r="A163" s="327"/>
    </row>
  </sheetData>
  <pageMargins left="0.7" right="0.7" top="0.78740157499999996" bottom="0.78740157499999996"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367A8-DB28-4B5B-889C-8DA2A10E6179}">
  <sheetPr>
    <tabColor theme="2" tint="-0.499984740745262"/>
  </sheetPr>
  <dimension ref="A1:N163"/>
  <sheetViews>
    <sheetView zoomScaleNormal="100" workbookViewId="0">
      <selection activeCell="C22" sqref="C22"/>
    </sheetView>
  </sheetViews>
  <sheetFormatPr defaultColWidth="11.28515625" defaultRowHeight="15"/>
  <cols>
    <col min="1" max="1" width="40.7109375" style="3" customWidth="1"/>
    <col min="2" max="2" width="5" style="3" customWidth="1"/>
    <col min="3" max="12" width="11.28515625" style="3"/>
  </cols>
  <sheetData>
    <row r="1" spans="1:13" s="340" customFormat="1" ht="26.1" customHeight="1">
      <c r="A1" s="371" t="str">
        <f>BS!A5</f>
        <v>Balance Sheet</v>
      </c>
    </row>
    <row r="2" spans="1:13">
      <c r="A2" s="327" t="str">
        <f>IS!A8</f>
        <v>Ticker</v>
      </c>
      <c r="B2" s="327" t="str">
        <f>'Industry Ratios'!F3</f>
        <v>AAL-US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BS!A13</f>
        <v>Balance Sheet</v>
      </c>
      <c r="B7" s="327"/>
      <c r="C7" s="327"/>
      <c r="D7" s="327"/>
      <c r="E7" s="327"/>
      <c r="F7" s="327"/>
      <c r="G7" s="327"/>
      <c r="H7" s="327"/>
      <c r="I7" s="327"/>
      <c r="J7" s="327"/>
      <c r="K7" s="327"/>
      <c r="L7" s="327"/>
      <c r="M7" s="16"/>
    </row>
    <row r="8" spans="1:13">
      <c r="A8" s="353" t="str">
        <f>BS!A14</f>
        <v>Assets</v>
      </c>
      <c r="B8" s="327"/>
      <c r="C8" s="1059" t="s">
        <v>447</v>
      </c>
      <c r="D8" s="327"/>
      <c r="E8" s="327"/>
      <c r="F8" s="327"/>
      <c r="G8" s="327"/>
      <c r="H8" s="327"/>
      <c r="I8" s="327"/>
      <c r="J8" s="327"/>
      <c r="K8" s="327"/>
      <c r="L8" s="327"/>
      <c r="M8" s="16"/>
    </row>
    <row r="9" spans="1:13">
      <c r="A9" s="347" t="str">
        <f>BS!A15</f>
        <v>Cash &amp; Short-Term Investments</v>
      </c>
      <c r="C9" s="1118" cm="1">
        <f t="array" ref="C9">_xll.FDS($B2,"FF_CASH_ST(ANN_R,"&amp;C5&amp;",,,,,B,""FILING_DATE=1"")")</f>
        <v>3.984</v>
      </c>
      <c r="D9" s="1118" cm="1">
        <f t="array" ref="D9">_xll.FDS($B2,"FF_CASH_ST(ANN_R,"&amp;D5&amp;",,,,,B,""FILING_DATE=1"")")</f>
        <v>4.9139999999999997</v>
      </c>
      <c r="E9" s="1118" cm="1">
        <f t="array" ref="E9">_xll.FDS($B2,"FF_CASH_ST(ANN_R,"&amp;E5&amp;",,,,,B,""FILING_DATE=1"")")</f>
        <v>5.3840000000000003</v>
      </c>
      <c r="F9" s="1118" cm="1">
        <f t="array" ref="F9">_xll.FDS($B2,"FF_CASH_ST(ANN_R,"&amp;F5&amp;",,,,,B,""FILING_DATE=1"")")</f>
        <v>6.9969999999999999</v>
      </c>
      <c r="G9" s="1118" cm="1">
        <f t="array" ref="G9">_xll.FDS($B2,"FF_CASH_ST(ANN_R,"&amp;G5&amp;",,,,,B,""FILING_DATE=1"")")</f>
        <v>6.9489999999999998</v>
      </c>
      <c r="H9" s="1118" cm="1">
        <f t="array" ref="H9">_xll.FDS($B2,"FF_CASH_ST(ANN_R,"&amp;H5&amp;",,,,,B,""FILING_DATE=1"")")</f>
        <v>8.077</v>
      </c>
      <c r="I9" s="1118" cm="1">
        <f t="array" ref="I9">_xll.FDS($B2,"FF_CASH_ST(ANN_R,"&amp;I5&amp;",,,,,B,""FILING_DATE=1"")")</f>
        <v>10.286</v>
      </c>
      <c r="J9" s="1118" cm="1">
        <f t="array" ref="J9">_xll.FDS($B2,"FF_CASH_ST(ANN_R,"&amp;J5&amp;",,,,,B,""FILING_DATE=1"")")</f>
        <v>4.8070000000000004</v>
      </c>
      <c r="K9" s="1118" cm="1">
        <f t="array" ref="K9">_xll.FDS($B2,"FF_CASH_ST(ANN_R,"&amp;K5&amp;",,,,,B,""FILING_DATE=1"")")</f>
        <v>4.7389999999999999</v>
      </c>
      <c r="L9" s="1118" cm="1">
        <f t="array" ref="L9">_xll.FDS($B2,"FF_CASH_ST(ANN_R,"&amp;L5&amp;",,,,,B,""FILING_DATE=1"")")</f>
        <v>4.9459999999999997</v>
      </c>
      <c r="M9" s="16"/>
    </row>
    <row r="10" spans="1:13">
      <c r="A10" s="347" t="str">
        <f>BS!A16</f>
        <v>Short-Term Receivables</v>
      </c>
      <c r="C10" s="1118" cm="1">
        <f t="array" ref="C10">_xll.FDS($B2,"FF_RECEIV_ST(ANN_R,"&amp;C5&amp;",,,,,B)")</f>
        <v>1.3420000000000001</v>
      </c>
      <c r="D10" s="1118" cm="1">
        <f t="array" ref="D10">_xll.FDS($B2,"FF_RECEIV_ST(ANN_R,"&amp;D5&amp;",,,,,B)")</f>
        <v>1.75</v>
      </c>
      <c r="E10" s="1118" cm="1">
        <f t="array" ref="E10">_xll.FDS($B2,"FF_RECEIV_ST(ANN_R,"&amp;E5&amp;",,,,,B)")</f>
        <v>1.706</v>
      </c>
      <c r="F10" s="1118" cm="1">
        <f t="array" ref="F10">_xll.FDS($B2,"FF_RECEIV_ST(ANN_R,"&amp;F5&amp;",,,,,B)")</f>
        <v>1.752</v>
      </c>
      <c r="G10" s="1118" cm="1">
        <f t="array" ref="G10">_xll.FDS($B2,"FF_RECEIV_ST(ANN_R,"&amp;G5&amp;",,,,,B)")</f>
        <v>1.5940000000000001</v>
      </c>
      <c r="H10" s="1118" cm="1">
        <f t="array" ref="H10">_xll.FDS($B2,"FF_RECEIV_ST(ANN_R,"&amp;H5&amp;",,,,,B)")</f>
        <v>1.425</v>
      </c>
      <c r="I10" s="1118" cm="1">
        <f t="array" ref="I10">_xll.FDS($B2,"FF_RECEIV_ST(ANN_R,"&amp;I5&amp;",,,,,B)")</f>
        <v>1.7709999999999999</v>
      </c>
      <c r="J10" s="1118" cm="1">
        <f t="array" ref="J10">_xll.FDS($B2,"FF_RECEIV_ST(ANN_R,"&amp;J5&amp;",,,,,B)")</f>
        <v>1.56</v>
      </c>
      <c r="K10" s="1118" cm="1">
        <f t="array" ref="K10">_xll.FDS($B2,"FF_RECEIV_ST(ANN_R,"&amp;K5&amp;",,,,,B)")</f>
        <v>1.1240000000000001</v>
      </c>
      <c r="L10" s="1118" cm="1">
        <f t="array" ref="L10">_xll.FDS($B2,"FF_RECEIV_ST(ANN_R,"&amp;L5&amp;",,,,,B)")</f>
        <v>0.999</v>
      </c>
      <c r="M10" s="16"/>
    </row>
    <row r="11" spans="1:13">
      <c r="A11" s="347" t="str">
        <f>BS!A17</f>
        <v>Inventories</v>
      </c>
      <c r="C11" s="1118" cm="1">
        <f t="array" ref="C11">_xll.FDS($B2,"FF_INVEN(ANN_R,"&amp;C5&amp;",,,,,B)")</f>
        <v>1.6140000000000001</v>
      </c>
      <c r="D11" s="1118" cm="1">
        <f t="array" ref="D11">_xll.FDS($B2,"FF_INVEN(ANN_R,"&amp;D5&amp;",,,,,B)")</f>
        <v>1.851</v>
      </c>
      <c r="E11" s="1118" cm="1">
        <f t="array" ref="E11">_xll.FDS($B2,"FF_INVEN(ANN_R,"&amp;E5&amp;",,,,,B)")</f>
        <v>1.522</v>
      </c>
      <c r="F11" s="1118" cm="1">
        <f t="array" ref="F11">_xll.FDS($B2,"FF_INVEN(ANN_R,"&amp;F5&amp;",,,,,B)")</f>
        <v>1.359</v>
      </c>
      <c r="G11" s="1118" cm="1">
        <f t="array" ref="G11">_xll.FDS($B2,"FF_INVEN(ANN_R,"&amp;G5&amp;",,,,,B)")</f>
        <v>1.0940000000000001</v>
      </c>
      <c r="H11" s="1118" cm="1">
        <f t="array" ref="H11">_xll.FDS($B2,"FF_INVEN(ANN_R,"&amp;H5&amp;",,,,,B)")</f>
        <v>0.86299999999999999</v>
      </c>
      <c r="I11" s="1118" cm="1">
        <f t="array" ref="I11">_xll.FDS($B2,"FF_INVEN(ANN_R,"&amp;I5&amp;",,,,,B)")</f>
        <v>1.004</v>
      </c>
      <c r="J11" s="1118" cm="1">
        <f t="array" ref="J11">_xll.FDS($B2,"FF_INVEN(ANN_R,"&amp;J5&amp;",,,,,B)")</f>
        <v>1.012</v>
      </c>
      <c r="K11" s="1118" cm="1">
        <f t="array" ref="K11">_xll.FDS($B2,"FF_INVEN(ANN_R,"&amp;K5&amp;",,,,,B)")</f>
        <v>0.57999999999999996</v>
      </c>
      <c r="L11" s="1118" cm="1">
        <f t="array" ref="L11">_xll.FDS($B2,"FF_INVEN(ANN_R,"&amp;L5&amp;",,,,,B)")</f>
        <v>0.61699999999999999</v>
      </c>
      <c r="M11" s="16"/>
    </row>
    <row r="12" spans="1:13">
      <c r="A12" s="347" t="str">
        <f>BS!A18</f>
        <v>Other Current Assets</v>
      </c>
      <c r="C12" s="1118" cm="1">
        <f t="array" ref="C12">_xll.FDS($B2,"FF_ASSETS_CURR_OTH(ANN_R,"&amp;C5&amp;",,,,,B,""FILING_DATE=1"")")</f>
        <v>0.621</v>
      </c>
      <c r="D12" s="1118" cm="1">
        <f t="array" ref="D12">_xll.FDS($B2,"FF_ASSETS_CURR_OTH(ANN_R,"&amp;D5&amp;",,,,,B,""FILING_DATE=1"")")</f>
        <v>0.495</v>
      </c>
      <c r="E12" s="1118" cm="1">
        <f t="array" ref="E12">_xll.FDS($B2,"FF_ASSETS_CURR_OTH(ANN_R,"&amp;E5&amp;",,,,,B,""FILING_DATE=1"")")</f>
        <v>0.65100000000000002</v>
      </c>
      <c r="F12" s="1118" cm="1">
        <f t="array" ref="F12">_xll.FDS($B2,"FF_ASSETS_CURR_OTH(ANN_R,"&amp;F5&amp;",,,,,B,""FILING_DATE=1"")")</f>
        <v>0.63900000000000001</v>
      </c>
      <c r="G12" s="1118" cm="1">
        <f t="array" ref="G12">_xll.FDS($B2,"FF_ASSETS_CURR_OTH(ANN_R,"&amp;G5&amp;",,,,,B,""FILING_DATE=1"")")</f>
        <v>0.748</v>
      </c>
      <c r="H12" s="1118" cm="1">
        <f t="array" ref="H12">_xll.FDS($B2,"FF_ASSETS_CURR_OTH(ANN_R,"&amp;H5&amp;",,,,,B,""FILING_DATE=1"")")</f>
        <v>0.89800000000000002</v>
      </c>
      <c r="I12" s="1118" cm="1">
        <f t="array" ref="I12">_xll.FDS($B2,"FF_ASSETS_CURR_OTH(ANN_R,"&amp;I5&amp;",,,,,B,""FILING_DATE=1"")")</f>
        <v>1.4650000000000001</v>
      </c>
      <c r="J12" s="1118" cm="1">
        <f t="array" ref="J12">_xll.FDS($B2,"FF_ASSETS_CURR_OTH(ANN_R,"&amp;J5&amp;",,,,,B,""FILING_DATE=1"")")</f>
        <v>0.56100000000000005</v>
      </c>
      <c r="K12" s="1118" cm="1">
        <f t="array" ref="K12">_xll.FDS($B2,"FF_ASSETS_CURR_OTH(ANN_R,"&amp;K5&amp;",,,,,B,""FILING_DATE=1"")")</f>
        <v>0.40200000000000002</v>
      </c>
      <c r="L12" s="1118" cm="1">
        <f t="array" ref="L12">_xll.FDS($B2,"FF_ASSETS_CURR_OTH(ANN_R,"&amp;L5&amp;",,,,,B,""FILING_DATE=1"")")</f>
        <v>0.56000000000000005</v>
      </c>
      <c r="M12" s="16"/>
    </row>
    <row r="13" spans="1:13" s="17" customFormat="1">
      <c r="A13" s="344" t="str">
        <f>BS!A19</f>
        <v>Total Current Assets</v>
      </c>
      <c r="B13" s="372"/>
      <c r="C13" s="1119" cm="1">
        <f t="array" ref="C13">_xll.FDS($B2,"FF_ASSETS_CURR(ANN_R,"&amp;C5&amp;",,,,,B,""FILING_DATE=1"")")</f>
        <v>8.2059999999999995</v>
      </c>
      <c r="D13" s="1119" cm="1">
        <f t="array" ref="D13">_xll.FDS($B2,"FF_ASSETS_CURR(ANN_R,"&amp;D5&amp;",,,,,B,""FILING_DATE=1"")")</f>
        <v>8.6370000000000005</v>
      </c>
      <c r="E13" s="1119" cm="1">
        <f t="array" ref="E13">_xll.FDS($B2,"FF_ASSETS_CURR(ANN_R,"&amp;E5&amp;",,,,,B,""FILING_DATE=1"")")</f>
        <v>9.1460000000000008</v>
      </c>
      <c r="F13" s="1119" cm="1">
        <f t="array" ref="F13">_xll.FDS($B2,"FF_ASSETS_CURR(ANN_R,"&amp;F5&amp;",,,,,B,""FILING_DATE=1"")")</f>
        <v>10.324</v>
      </c>
      <c r="G13" s="1119" cm="1">
        <f t="array" ref="G13">_xll.FDS($B2,"FF_ASSETS_CURR(ANN_R,"&amp;G5&amp;",,,,,B,""FILING_DATE=1"")")</f>
        <v>9.9849999999999994</v>
      </c>
      <c r="H13" s="1119" cm="1">
        <f t="array" ref="H13">_xll.FDS($B2,"FF_ASSETS_CURR(ANN_R,"&amp;H5&amp;",,,,,B,""FILING_DATE=1"")")</f>
        <v>11.75</v>
      </c>
      <c r="I13" s="1119" cm="1">
        <f t="array" ref="I13">_xll.FDS($B2,"FF_ASSETS_CURR(ANN_R,"&amp;I5&amp;",,,,,B,""FILING_DATE=1"")")</f>
        <v>14.323</v>
      </c>
      <c r="J13" s="1119" cm="1">
        <f t="array" ref="J13">_xll.FDS($B2,"FF_ASSETS_CURR(ANN_R,"&amp;J5&amp;",,,,,B,""FILING_DATE=1"")")</f>
        <v>7.0720000000000001</v>
      </c>
      <c r="K13" s="1119" cm="1">
        <f t="array" ref="K13">_xll.FDS($B2,"FF_ASSETS_CURR(ANN_R,"&amp;K5&amp;",,,,,B,""FILING_DATE=1"")")</f>
        <v>6.7569999999999997</v>
      </c>
      <c r="L13" s="1119" cm="1">
        <f t="array" ref="L13">_xll.FDS($B2,"FF_ASSETS_CURR(ANN_R,"&amp;L5&amp;",,,,,B,""FILING_DATE=1"")")</f>
        <v>6.8380000000000001</v>
      </c>
      <c r="M13" s="18"/>
    </row>
    <row r="14" spans="1:13">
      <c r="A14" s="347" t="str">
        <f>BS!A20</f>
        <v>Net Property, Plant &amp; Equipment</v>
      </c>
      <c r="C14" s="1118" cm="1">
        <f t="array" ref="C14">_xll.FDS($B2,"FF_PPE_NET(ANN_R,"&amp;C5&amp;",,,,,B,""FILING_DATE=1"")")</f>
        <v>43.731999999999999</v>
      </c>
      <c r="D14" s="1118" cm="1">
        <f t="array" ref="D14">_xll.FDS($B2,"FF_PPE_NET(ANN_R,"&amp;D5&amp;",,,,,B,""FILING_DATE=1"")")</f>
        <v>43.249000000000002</v>
      </c>
      <c r="E14" s="1118" cm="1">
        <f t="array" ref="E14">_xll.FDS($B2,"FF_PPE_NET(ANN_R,"&amp;E5&amp;",,,,,B,""FILING_DATE=1"")")</f>
        <v>34.155999999999999</v>
      </c>
      <c r="F14" s="1118" cm="1">
        <f t="array" ref="F14">_xll.FDS($B2,"FF_PPE_NET(ANN_R,"&amp;F5&amp;",,,,,B,""FILING_DATE=1"")")</f>
        <v>31.158999999999999</v>
      </c>
      <c r="G14" s="1118" cm="1">
        <f t="array" ref="G14">_xll.FDS($B2,"FF_PPE_NET(ANN_R,"&amp;G5&amp;",,,,,B,""FILING_DATE=1"")")</f>
        <v>27.51</v>
      </c>
      <c r="H14" s="1118" cm="1">
        <f t="array" ref="H14">_xll.FDS($B2,"FF_PPE_NET(ANN_R,"&amp;H5&amp;",,,,,B,""FILING_DATE=1"")")</f>
        <v>23.084</v>
      </c>
      <c r="I14" s="1118" cm="1">
        <f t="array" ref="I14">_xll.FDS($B2,"FF_PPE_NET(ANN_R,"&amp;I5&amp;",,,,,B,""FILING_DATE=1"")")</f>
        <v>19.259</v>
      </c>
      <c r="J14" s="1118" cm="1">
        <f t="array" ref="J14">_xll.FDS($B2,"FF_PPE_NET(ANN_R,"&amp;J5&amp;",,,,,B,""FILING_DATE=1"")")</f>
        <v>13.401999999999999</v>
      </c>
      <c r="K14" s="1118" cm="1">
        <f t="array" ref="K14">_xll.FDS($B2,"FF_PPE_NET(ANN_R,"&amp;K5&amp;",,,,,B,""FILING_DATE=1"")")</f>
        <v>14.305999999999999</v>
      </c>
      <c r="L14" s="1118" cm="1">
        <f t="array" ref="L14">_xll.FDS($B2,"FF_PPE_NET(ANN_R,"&amp;L5&amp;",,,,,B,""FILING_DATE=1"")")</f>
        <v>14.707000000000001</v>
      </c>
      <c r="M14" s="16"/>
    </row>
    <row r="15" spans="1:13">
      <c r="A15" s="373" t="s">
        <v>448</v>
      </c>
      <c r="B15" s="12"/>
      <c r="C15" s="373">
        <f>'AAL-US R&amp;D'!C34</f>
        <v>0</v>
      </c>
      <c r="D15" s="373">
        <f>'AAL-US R&amp;D'!D34</f>
        <v>0</v>
      </c>
      <c r="E15" s="373">
        <f>'AAL-US R&amp;D'!E34</f>
        <v>0</v>
      </c>
      <c r="F15" s="373">
        <f>'AAL-US R&amp;D'!F34</f>
        <v>0</v>
      </c>
      <c r="G15" s="373">
        <f>'AAL-US R&amp;D'!G34</f>
        <v>0</v>
      </c>
      <c r="H15" s="373">
        <f>'AAL-US R&amp;D'!H34</f>
        <v>0</v>
      </c>
      <c r="I15" s="373">
        <f>'AAL-US R&amp;D'!I34</f>
        <v>0</v>
      </c>
      <c r="J15" s="373">
        <f>'AAL-US R&amp;D'!J34</f>
        <v>0</v>
      </c>
      <c r="K15" s="373">
        <f>'AAL-US R&amp;D'!K34</f>
        <v>0</v>
      </c>
      <c r="L15" s="373">
        <f>'AAL-US R&amp;D'!L34</f>
        <v>0</v>
      </c>
      <c r="M15" s="16"/>
    </row>
    <row r="16" spans="1:13">
      <c r="A16" s="373" t="s">
        <v>449</v>
      </c>
      <c r="B16" s="12"/>
      <c r="C16" s="373">
        <f>'AAL-US Lease'!C33</f>
        <v>0</v>
      </c>
      <c r="D16" s="373">
        <f>'AAL-US Lease'!D33</f>
        <v>0</v>
      </c>
      <c r="E16" s="373">
        <f>'AAL-US Lease'!E33</f>
        <v>0</v>
      </c>
      <c r="F16" s="373">
        <f>'AAL-US Lease'!F33</f>
        <v>11.981555590849464</v>
      </c>
      <c r="G16" s="373">
        <f>'AAL-US Lease'!G33</f>
        <v>10.865573210508892</v>
      </c>
      <c r="H16" s="373">
        <f>'AAL-US Lease'!H33</f>
        <v>11.734514500111086</v>
      </c>
      <c r="I16" s="373">
        <f>'AAL-US Lease'!I33</f>
        <v>12.373303086902194</v>
      </c>
      <c r="J16" s="373">
        <f>'AAL-US Lease'!J33</f>
        <v>12.911218375532943</v>
      </c>
      <c r="K16" s="373">
        <f>'AAL-US Lease'!K33</f>
        <v>7.222285535285657</v>
      </c>
      <c r="L16" s="373">
        <f>'AAL-US Lease'!L33</f>
        <v>8.3393064618251049</v>
      </c>
      <c r="M16" s="16"/>
    </row>
    <row r="17" spans="1:14" s="17" customFormat="1">
      <c r="A17" s="347" t="str">
        <f>BS!A21</f>
        <v>Total Investments and Advances</v>
      </c>
      <c r="B17" s="3"/>
      <c r="C17" s="16" cm="1">
        <f t="array" ref="C17">_xll.FDS($B2,"FF_INVEST_ADV(ANN_R,"&amp;C5&amp;",,,,,B)")</f>
        <v>0.161</v>
      </c>
      <c r="D17" s="16" cm="1">
        <f t="array" ref="D17">_xll.FDS($B2,"FF_INVEST_ADV(ANN_R,"&amp;D5&amp;",,,,,B)")</f>
        <v>0.20399999999999999</v>
      </c>
      <c r="E17" s="16" cm="1">
        <f t="array" ref="E17">_xll.FDS($B2,"FF_INVEST_ADV(ANN_R,"&amp;E5&amp;",,,,,B)")</f>
        <v>0</v>
      </c>
      <c r="F17" s="16" cm="1">
        <f t="array" ref="F17">_xll.FDS($B2,"FF_INVEST_ADV(ANN_R,"&amp;F5&amp;",,,,,B)")</f>
        <v>0</v>
      </c>
      <c r="G17" s="16" cm="1">
        <f t="array" ref="G17">_xll.FDS($B2,"FF_INVEST_ADV(ANN_R,"&amp;G5&amp;",,,,,B)")</f>
        <v>0</v>
      </c>
      <c r="H17" s="16" cm="1">
        <f t="array" ref="H17">_xll.FDS($B2,"FF_INVEST_ADV(ANN_R,"&amp;H5&amp;",,,,,B)")</f>
        <v>0</v>
      </c>
      <c r="I17" s="16" cm="1">
        <f t="array" ref="I17">_xll.FDS($B2,"FF_INVEST_ADV(ANN_R,"&amp;I5&amp;",,,,,B)")</f>
        <v>0</v>
      </c>
      <c r="J17" s="16" cm="1">
        <f t="array" ref="J17">_xll.FDS($B2,"FF_INVEST_ADV(ANN_R,"&amp;J5&amp;",,,,,B)")</f>
        <v>0</v>
      </c>
      <c r="K17" s="16" cm="1">
        <f t="array" ref="K17">_xll.FDS($B2,"FF_INVEST_ADV(ANN_R,"&amp;K5&amp;",,,,,B)")</f>
        <v>0</v>
      </c>
      <c r="L17" s="16" cm="1">
        <f t="array" ref="L17">_xll.FDS($B2,"FF_INVEST_ADV(ANN_R,"&amp;L5&amp;",,,,,B)")</f>
        <v>0</v>
      </c>
      <c r="M17" s="18"/>
    </row>
    <row r="18" spans="1:14">
      <c r="A18" s="347" t="str">
        <f>BS!A22</f>
        <v>Intangible Assets</v>
      </c>
      <c r="C18" s="1118" cm="1">
        <f t="array" ref="C18">_xll.FDS($B2,"FF_INTANG_ASSETS(ANN,"&amp;C5&amp;",,,,,B)")</f>
        <v>0</v>
      </c>
      <c r="D18" s="1118" cm="1">
        <f t="array" ref="D18">_xll.FDS($B2,"FF_INTANG_ASSETS(ANN,"&amp;D5&amp;",,,,,B)")</f>
        <v>0</v>
      </c>
      <c r="E18" s="1118" cm="1">
        <f t="array" ref="E18">_xll.FDS($B2,"FF_INTANG_ASSETS(ANN,"&amp;E5&amp;",,,,,B)")</f>
        <v>6.2279996999999998</v>
      </c>
      <c r="F18" s="1118" cm="1">
        <f t="array" ref="F18">_xll.FDS($B2,"FF_INTANG_ASSETS(ANN,"&amp;F5&amp;",,,,,B)")</f>
        <v>6.2939999999999996</v>
      </c>
      <c r="G18" s="1118" cm="1">
        <f t="array" ref="G18">_xll.FDS($B2,"FF_INTANG_ASSETS(ANN,"&amp;G5&amp;",,,,,B)")</f>
        <v>6.2640000000000002</v>
      </c>
      <c r="H18" s="1118" cm="1">
        <f t="array" ref="H18">_xll.FDS($B2,"FF_INTANG_ASSETS(ANN,"&amp;H5&amp;",,,,,B)")</f>
        <v>6.3399996999999999</v>
      </c>
      <c r="I18" s="1118" cm="1">
        <f t="array" ref="I18">_xll.FDS($B2,"FF_INTANG_ASSETS(ANN,"&amp;I5&amp;",,,,,B)")</f>
        <v>6.3310000000000004</v>
      </c>
      <c r="J18" s="1118" cm="1">
        <f t="array" ref="J18">_xll.FDS($B2,"FF_INTANG_ASSETS(ANN,"&amp;J5&amp;",,,,,B)")</f>
        <v>6.3970000000000002</v>
      </c>
      <c r="K18" s="1118" cm="1">
        <f t="array" ref="K18">_xll.FDS($B2,"FF_INTANG_ASSETS(ANN,"&amp;K5&amp;",,,,,B)")</f>
        <v>0.161</v>
      </c>
      <c r="L18" s="1118" cm="1">
        <f t="array" ref="L18">_xll.FDS($B2,"FF_INTANG_ASSETS(ANN,"&amp;L5&amp;",,,,,B)")</f>
        <v>0.186</v>
      </c>
    </row>
    <row r="19" spans="1:14">
      <c r="A19" s="347" t="str">
        <f>BS!A23</f>
        <v>Deferred Tax Assets</v>
      </c>
      <c r="C19" s="1118" cm="1">
        <f t="array" ref="C19">IFERROR(_xll.FDS($B2,"FF_DFD_TAX_DB(ANN_R,"&amp;C5&amp;",,,,,B)"),0)</f>
        <v>3.2389999999999999</v>
      </c>
      <c r="D19" s="1118" cm="1">
        <f t="array" ref="D19">IFERROR(_xll.FDS($B2,"FF_DFD_TAX_DB(ANN_R,"&amp;D5&amp;",,,,,B)"),0)</f>
        <v>0.64500000000000002</v>
      </c>
      <c r="E19" s="1118" cm="1">
        <f t="array" ref="E19">IFERROR(_xll.FDS($B2,"FF_DFD_TAX_DB(ANN_R,"&amp;E5&amp;",,,,,B)"),0)</f>
        <v>1.145</v>
      </c>
      <c r="F19" s="1118" cm="1">
        <f t="array" ref="F19">IFERROR(_xll.FDS($B2,"FF_DFD_TAX_DB(ANN_R,"&amp;F5&amp;",,,,,B)"),0)</f>
        <v>1.8160000000000001</v>
      </c>
      <c r="G19" s="1118" cm="1">
        <f t="array" ref="G19">IFERROR(_xll.FDS($B2,"FF_DFD_TAX_DB(ANN_R,"&amp;G5&amp;",,,,,B)"),0)</f>
        <v>1.498</v>
      </c>
      <c r="H19" s="1118" cm="1">
        <f t="array" ref="H19">IFERROR(_xll.FDS($B2,"FF_DFD_TAX_DB(ANN_R,"&amp;H5&amp;",,,,,B)"),0)</f>
        <v>2.4769999999999999</v>
      </c>
      <c r="I19" s="1118" cm="1">
        <f t="array" ref="I19">IFERROR(_xll.FDS($B2,"FF_DFD_TAX_DB(ANN_R,"&amp;I5&amp;",,,,,B)"),0)</f>
        <v>0</v>
      </c>
      <c r="J19" s="1118" cm="1">
        <f t="array" ref="J19">IFERROR(_xll.FDS($B2,"FF_DFD_TAX_DB(ANN_R,"&amp;J5&amp;",,,,,B)"),0)</f>
        <v>0</v>
      </c>
      <c r="K19" s="1118" cm="1">
        <f t="array" ref="K19">IFERROR(_xll.FDS($B2,"FF_DFD_TAX_DB(ANN_R,"&amp;K5&amp;",,,,,B)"),0)</f>
        <v>0</v>
      </c>
      <c r="L19" s="1118" cm="1">
        <f t="array" ref="L19">IFERROR(_xll.FDS($B2,"FF_DFD_TAX_DB(ANN_R,"&amp;L5&amp;",,,,,B)"),0)</f>
        <v>0</v>
      </c>
      <c r="M19" s="16"/>
    </row>
    <row r="20" spans="1:14">
      <c r="A20" s="347" t="str">
        <f>BS!A24</f>
        <v>Other Assets</v>
      </c>
      <c r="C20" s="1118" cm="1">
        <f t="array" ref="C20">_xll.FDS($B2,"FF_ASSETS_CURR_OTH(ANN_R,"&amp;C5&amp;",,,,,B,""FILING_DATE=1"")")</f>
        <v>0.621</v>
      </c>
      <c r="D20" s="1118" cm="1">
        <f t="array" ref="D20">_xll.FDS($B2,"FF_ASSETS_CURR_OTH(ANN_R,"&amp;D5&amp;",,,,,B,""FILING_DATE=1"")")</f>
        <v>0.495</v>
      </c>
      <c r="E20" s="1118" cm="1">
        <f t="array" ref="E20">_xll.FDS($B2,"FF_ASSETS_CURR_OTH(ANN_R,"&amp;E5&amp;",,,,,B,""FILING_DATE=1"")")</f>
        <v>0.65100000000000002</v>
      </c>
      <c r="F20" s="1118" cm="1">
        <f t="array" ref="F20">_xll.FDS($B2,"FF_ASSETS_CURR_OTH(ANN_R,"&amp;F5&amp;",,,,,B,""FILING_DATE=1"")")</f>
        <v>0.63900000000000001</v>
      </c>
      <c r="G20" s="1118" cm="1">
        <f t="array" ref="G20">_xll.FDS($B2,"FF_ASSETS_CURR_OTH(ANN_R,"&amp;G5&amp;",,,,,B,""FILING_DATE=1"")")</f>
        <v>0.748</v>
      </c>
      <c r="H20" s="1118" cm="1">
        <f t="array" ref="H20">_xll.FDS($B2,"FF_ASSETS_CURR_OTH(ANN_R,"&amp;H5&amp;",,,,,B,""FILING_DATE=1"")")</f>
        <v>0.89800000000000002</v>
      </c>
      <c r="I20" s="1118" cm="1">
        <f t="array" ref="I20">_xll.FDS($B2,"FF_ASSETS_CURR_OTH(ANN_R,"&amp;I5&amp;",,,,,B,""FILING_DATE=1"")")</f>
        <v>1.4650000000000001</v>
      </c>
      <c r="J20" s="1118" cm="1">
        <f t="array" ref="J20">_xll.FDS($B2,"FF_ASSETS_CURR_OTH(ANN_R,"&amp;J5&amp;",,,,,B,""FILING_DATE=1"")")</f>
        <v>0.56100000000000005</v>
      </c>
      <c r="K20" s="1118" cm="1">
        <f t="array" ref="K20">_xll.FDS($B2,"FF_ASSETS_CURR_OTH(ANN_R,"&amp;K5&amp;",,,,,B,""FILING_DATE=1"")")</f>
        <v>0.40200000000000002</v>
      </c>
      <c r="L20" s="1118" cm="1">
        <f t="array" ref="L20">_xll.FDS($B2,"FF_ASSETS_CURR_OTH(ANN_R,"&amp;L5&amp;",,,,,B,""FILING_DATE=1"")")</f>
        <v>0.56000000000000005</v>
      </c>
      <c r="M20" s="16"/>
    </row>
    <row r="21" spans="1:14" s="17" customFormat="1">
      <c r="A21" s="374" t="str">
        <f>BS!A25</f>
        <v>Total Assets</v>
      </c>
      <c r="B21" s="12"/>
      <c r="C21" s="1120" cm="1">
        <f t="array" ref="C21">_xll.FDS($B2,"FF_ASSETS(ANN_R,"&amp;C5&amp;",,,,,B)")+SUM(C15:C16)</f>
        <v>62.008000000000003</v>
      </c>
      <c r="D21" s="1120" cm="1">
        <f t="array" ref="D21">_xll.FDS($B2,"FF_ASSETS(ANN_R,"&amp;D5&amp;",,,,,B)")+SUM(D15:D16)</f>
        <v>59.994999999999997</v>
      </c>
      <c r="E21" s="1120" cm="1">
        <f t="array" ref="E21">_xll.FDS($B2,"FF_ASSETS(ANN_R,"&amp;E5&amp;",,,,,B)")+SUM(E15:E16)</f>
        <v>60.58</v>
      </c>
      <c r="F21" s="1120" cm="1">
        <f t="array" ref="F21">_xll.FDS($B2,"FF_ASSETS(ANN_R,"&amp;F5&amp;",,,,,B)")+SUM(F15:F16)</f>
        <v>64.766555590849464</v>
      </c>
      <c r="G21" s="1120" cm="1">
        <f t="array" ref="G21">_xll.FDS($B2,"FF_ASSETS(ANN_R,"&amp;G5&amp;",,,,,B)")+SUM(G15:G16)</f>
        <v>62.139573210508892</v>
      </c>
      <c r="H21" s="1120" cm="1">
        <f t="array" ref="H21">_xll.FDS($B2,"FF_ASSETS(ANN_R,"&amp;H5&amp;",,,,,B)")+SUM(H15:H16)</f>
        <v>60.149514500111081</v>
      </c>
      <c r="I21" s="1120" cm="1">
        <f t="array" ref="I21">_xll.FDS($B2,"FF_ASSETS(ANN_R,"&amp;I5&amp;",,,,,B)")+SUM(I15:I16)</f>
        <v>55.598303086902192</v>
      </c>
      <c r="J21" s="1120" cm="1">
        <f t="array" ref="J21">_xll.FDS($B2,"FF_ASSETS(ANN_R,"&amp;J5&amp;",,,,,B)")+SUM(J15:J16)</f>
        <v>55.189218375532946</v>
      </c>
      <c r="K21" s="1120" cm="1">
        <f t="array" ref="K21">_xll.FDS($B2,"FF_ASSETS(ANN_R,"&amp;K5&amp;",,,,,B)")+SUM(K15:K16)</f>
        <v>30.732285535285659</v>
      </c>
      <c r="L21" s="1120" cm="1">
        <f t="array" ref="L21">_xll.FDS($B2,"FF_ASSETS(ANN_R,"&amp;L5&amp;",,,,,B)")+SUM(L15:L16)</f>
        <v>32.187306461825102</v>
      </c>
      <c r="M21" s="18"/>
    </row>
    <row r="22" spans="1:14">
      <c r="A22" s="344" t="str">
        <f>BS!A26</f>
        <v>Liabilities &amp; Shareholders' Equity</v>
      </c>
      <c r="C22" s="1118"/>
      <c r="D22" s="347"/>
      <c r="E22" s="347"/>
      <c r="F22" s="347"/>
      <c r="G22" s="347"/>
      <c r="H22" s="347"/>
      <c r="I22" s="347"/>
      <c r="J22" s="347"/>
      <c r="K22" s="347"/>
      <c r="L22" s="347"/>
      <c r="M22" s="16"/>
    </row>
    <row r="23" spans="1:14">
      <c r="A23" s="347" t="str">
        <f>BS!A27</f>
        <v>ST Debt &amp; Curr. Portion LT Debt</v>
      </c>
      <c r="C23" s="1118" cm="1">
        <f t="array" ref="C23">_xll.FDS($B2,"FF_DEBT_ST(ANN_R,"&amp;C5&amp;",,,,,B,""FILING_DATE=1"")")</f>
        <v>4.569</v>
      </c>
      <c r="D23" s="1118" cm="1">
        <f t="array" ref="D23">_xll.FDS($B2,"FF_DEBT_ST(ANN_R,"&amp;D5&amp;",,,,,B,""FILING_DATE=1"")")</f>
        <v>4.9480000000000004</v>
      </c>
      <c r="E23" s="1118" cm="1">
        <f t="array" ref="E23">_xll.FDS($B2,"FF_DEBT_ST(ANN_R,"&amp;E5&amp;",,,,,B,""FILING_DATE=1"")")</f>
        <v>2.5539999999999998</v>
      </c>
      <c r="F23" s="1118" cm="1">
        <f t="array" ref="F23">_xll.FDS($B2,"FF_DEBT_ST(ANN_R,"&amp;F5&amp;",,,,,B,""FILING_DATE=1"")")</f>
        <v>1.855</v>
      </c>
      <c r="G23" s="1118" cm="1">
        <f t="array" ref="G23">_xll.FDS($B2,"FF_DEBT_ST(ANN_R,"&amp;G5&amp;",,,,,B,""FILING_DATE=1"")")</f>
        <v>2.2309999999999999</v>
      </c>
      <c r="H23" s="1118" cm="1">
        <f t="array" ref="H23">_xll.FDS($B2,"FF_DEBT_ST(ANN_R,"&amp;H5&amp;",,,,,B,""FILING_DATE=1"")")</f>
        <v>1.677</v>
      </c>
      <c r="I23" s="1118" cm="1">
        <f t="array" ref="I23">_xll.FDS($B2,"FF_DEBT_ST(ANN_R,"&amp;I5&amp;",,,,,B,""FILING_DATE=1"")")</f>
        <v>1.446</v>
      </c>
      <c r="J23" s="1118" cm="1">
        <f t="array" ref="J23">_xll.FDS($B2,"FF_DEBT_ST(ANN_R,"&amp;J5&amp;",,,,,B,""FILING_DATE=1"")")</f>
        <v>1.419</v>
      </c>
      <c r="K23" s="1118" cm="1">
        <f t="array" ref="K23">_xll.FDS($B2,"FF_DEBT_ST(ANN_R,"&amp;K5&amp;",,,,,B,""FILING_DATE=1"")")</f>
        <v>1.518</v>
      </c>
      <c r="L23" s="1118" cm="1">
        <f t="array" ref="L23">_xll.FDS($B2,"FF_DEBT_ST(ANN_R,"&amp;L5&amp;",,,,,B,""FILING_DATE=1"")")</f>
        <v>1.883</v>
      </c>
      <c r="M23" s="16"/>
    </row>
    <row r="24" spans="1:14">
      <c r="A24" s="347" t="str">
        <f>BS!A28</f>
        <v>Accounts Payable</v>
      </c>
      <c r="C24" s="1118" cm="1">
        <f t="array" ref="C24">_xll.FDS($B2,"FF_PAY_ACCT(ANN_R,"&amp;C5&amp;",,,,,B,""FILING_DATE=1"")")</f>
        <v>2.0619999999999998</v>
      </c>
      <c r="D24" s="1118" cm="1">
        <f t="array" ref="D24">_xll.FDS($B2,"FF_PAY_ACCT(ANN_R,"&amp;D5&amp;",,,,,B,""FILING_DATE=1"")")</f>
        <v>1.7729999999999999</v>
      </c>
      <c r="E24" s="1118" cm="1">
        <f t="array" ref="E24">_xll.FDS($B2,"FF_PAY_ACCT(ANN_R,"&amp;E5&amp;",,,,,B,""FILING_DATE=1"")")</f>
        <v>1.6879999999999999</v>
      </c>
      <c r="F24" s="1118" cm="1">
        <f t="array" ref="F24">_xll.FDS($B2,"FF_PAY_ACCT(ANN_R,"&amp;F5&amp;",,,,,B,""FILING_DATE=1"")")</f>
        <v>1.5920000000000001</v>
      </c>
      <c r="G24" s="1118" cm="1">
        <f t="array" ref="G24">_xll.FDS($B2,"FF_PAY_ACCT(ANN_R,"&amp;G5&amp;",,,,,B,""FILING_DATE=1"")")</f>
        <v>1.5629999999999999</v>
      </c>
      <c r="H24" s="1118" cm="1">
        <f t="array" ref="H24">_xll.FDS($B2,"FF_PAY_ACCT(ANN_R,"&amp;H5&amp;",,,,,B,""FILING_DATE=1"")")</f>
        <v>1.377</v>
      </c>
      <c r="I24" s="1118" cm="1">
        <f t="array" ref="I24">_xll.FDS($B2,"FF_PAY_ACCT(ANN_R,"&amp;I5&amp;",,,,,B,""FILING_DATE=1"")")</f>
        <v>1.3680000000000001</v>
      </c>
      <c r="J24" s="1118" cm="1">
        <f t="array" ref="J24">_xll.FDS($B2,"FF_PAY_ACCT(ANN_R,"&amp;J5&amp;",,,,,B,""FILING_DATE=1"")")</f>
        <v>1.244</v>
      </c>
      <c r="K24" s="1118" cm="1">
        <f t="array" ref="K24">_xll.FDS($B2,"FF_PAY_ACCT(ANN_R,"&amp;K5&amp;",,,,,B,""FILING_DATE=1"")")</f>
        <v>1.0069999999999999</v>
      </c>
      <c r="L24" s="1118" cm="1">
        <f t="array" ref="L24">_xll.FDS($B2,"FF_PAY_ACCT(ANN_R,"&amp;L5&amp;",,,,,B,""FILING_DATE=1"")")</f>
        <v>1.1559999999999999</v>
      </c>
      <c r="M24" s="16"/>
    </row>
    <row r="25" spans="1:14">
      <c r="A25" s="347" t="str">
        <f>BS!A29</f>
        <v>Income Tax Payable</v>
      </c>
      <c r="C25" s="1118" cm="1">
        <f t="array" ref="C25">IFERROR(_xll.FDS($B2,"FF_INC_PAY_TAX(ANN_R,"&amp;C5&amp;",,,,,B,""FILING_DATE=1"")"),0)</f>
        <v>0</v>
      </c>
      <c r="D25" s="1118" cm="1">
        <f t="array" ref="D25">IFERROR(_xll.FDS($B2,"FF_INC_PAY_TAX(ANN_R,"&amp;D5&amp;",,,,,B,""FILING_DATE=1"")"),0)</f>
        <v>0</v>
      </c>
      <c r="E25" s="1118" cm="1">
        <f t="array" ref="E25">IFERROR(_xll.FDS($B2,"FF_INC_PAY_TAX(ANN_R,"&amp;E5&amp;",,,,,B,""FILING_DATE=1"")"),0)</f>
        <v>0</v>
      </c>
      <c r="F25" s="1118" cm="1">
        <f t="array" ref="F25">IFERROR(_xll.FDS($B2,"FF_INC_PAY_TAX(ANN_R,"&amp;F5&amp;",,,,,B,""FILING_DATE=1"")"),0)</f>
        <v>0</v>
      </c>
      <c r="G25" s="1118" cm="1">
        <f t="array" ref="G25">IFERROR(_xll.FDS($B2,"FF_INC_PAY_TAX(ANN_R,"&amp;G5&amp;",,,,,B,""FILING_DATE=1"")"),0)</f>
        <v>0</v>
      </c>
      <c r="H25" s="1118" cm="1">
        <f t="array" ref="H25">IFERROR(_xll.FDS($B2,"FF_INC_PAY_TAX(ANN_R,"&amp;H5&amp;",,,,,B,""FILING_DATE=1"")"),0)</f>
        <v>0</v>
      </c>
      <c r="I25" s="1118" cm="1">
        <f t="array" ref="I25">IFERROR(_xll.FDS($B2,"FF_INC_PAY_TAX(ANN_R,"&amp;I5&amp;",,,,,B,""FILING_DATE=1"")"),0)</f>
        <v>0</v>
      </c>
      <c r="J25" s="1118" cm="1">
        <f t="array" ref="J25">IFERROR(_xll.FDS($B2,"FF_INC_PAY_TAX(ANN_R,"&amp;J5&amp;",,,,,B,""FILING_DATE=1"")"),0)</f>
        <v>0</v>
      </c>
      <c r="K25" s="1118" cm="1">
        <f t="array" ref="K25">IFERROR(_xll.FDS($B2,"FF_INC_PAY_TAX(ANN_R,"&amp;K5&amp;",,,,,B,""FILING_DATE=1"")"),0)</f>
        <v>0</v>
      </c>
      <c r="L25" s="1118" cm="1">
        <f t="array" ref="L25">IFERROR(_xll.FDS($B2,"FF_INC_PAY_TAX(ANN_R,"&amp;L5&amp;",,,,,B,""FILING_DATE=1"")"),0)</f>
        <v>0</v>
      </c>
      <c r="M25" s="16"/>
    </row>
    <row r="26" spans="1:14">
      <c r="A26" s="347" t="str">
        <f>BS!A30</f>
        <v>Other Current Liabilities</v>
      </c>
      <c r="C26" s="1118" cm="1">
        <f t="array" ref="C26">_xll.FDS($B2,"FF_LIABS_CURR_OTH(ANN_R,"&amp;C5&amp;",,,,,B,""FILING_DATE=1"")")</f>
        <v>11.68</v>
      </c>
      <c r="D26" s="1118" cm="1">
        <f t="array" ref="D26">_xll.FDS($B2,"FF_LIABS_CURR_OTH(ANN_R,"&amp;D5&amp;",,,,,B,""FILING_DATE=1"")")</f>
        <v>11.375</v>
      </c>
      <c r="E26" s="1118" cm="1">
        <f t="array" ref="E26">_xll.FDS($B2,"FF_LIABS_CURR_OTH(ANN_R,"&amp;E5&amp;",,,,,B,""FILING_DATE=1"")")</f>
        <v>11.116</v>
      </c>
      <c r="F26" s="1118" cm="1">
        <f t="array" ref="F26">_xll.FDS($B2,"FF_LIABS_CURR_OTH(ANN_R,"&amp;F5&amp;",,,,,B,""FILING_DATE=1"")")</f>
        <v>10.425000000000001</v>
      </c>
      <c r="G26" s="1118" cm="1">
        <f t="array" ref="G26">_xll.FDS($B2,"FF_LIABS_CURR_OTH(ANN_R,"&amp;G5&amp;",,,,,B,""FILING_DATE=1"")")</f>
        <v>9.8109999999999999</v>
      </c>
      <c r="H26" s="1118" cm="1">
        <f t="array" ref="H26">_xll.FDS($B2,"FF_LIABS_CURR_OTH(ANN_R,"&amp;H5&amp;",,,,,B,""FILING_DATE=1"")")</f>
        <v>10.35</v>
      </c>
      <c r="I26" s="1118" cm="1">
        <f t="array" ref="I26">_xll.FDS($B2,"FF_LIABS_CURR_OTH(ANN_R,"&amp;I5&amp;",,,,,B,""FILING_DATE=1"")")</f>
        <v>10.992000000000001</v>
      </c>
      <c r="J26" s="1118" cm="1">
        <f t="array" ref="J26">_xll.FDS($B2,"FF_LIABS_CURR_OTH(ANN_R,"&amp;J5&amp;",,,,,B,""FILING_DATE=1"")")</f>
        <v>6.641</v>
      </c>
      <c r="K26" s="1118" cm="1">
        <f t="array" ref="K26">_xll.FDS($B2,"FF_LIABS_CURR_OTH(ANN_R,"&amp;K5&amp;",,,,,B,""FILING_DATE=1"")")</f>
        <v>6.1050000000000004</v>
      </c>
      <c r="L26" s="1118" cm="1">
        <f t="array" ref="L26">_xll.FDS($B2,"FF_LIABS_CURR_OTH(ANN_R,"&amp;L5&amp;",,,,,B,""FILING_DATE=1"")")</f>
        <v>5.7409999999999997</v>
      </c>
      <c r="M26" s="16"/>
    </row>
    <row r="27" spans="1:14" s="17" customFormat="1">
      <c r="A27" s="344" t="str">
        <f>BS!A31</f>
        <v>Total Current Liabilities</v>
      </c>
      <c r="B27" s="372"/>
      <c r="C27" s="1119" cm="1">
        <f t="array" ref="C27">_xll.FDS($B2,"FF_LIABS_CURR(ANN_R,"&amp;C5&amp;",,,,,B,""FILING_DATE=1"")")</f>
        <v>18.311</v>
      </c>
      <c r="D27" s="1119" cm="1">
        <f t="array" ref="D27">_xll.FDS($B2,"FF_LIABS_CURR(ANN_R,"&amp;D5&amp;",,,,,B,""FILING_DATE=1"")")</f>
        <v>18.096</v>
      </c>
      <c r="E27" s="1119" cm="1">
        <f t="array" ref="E27">_xll.FDS($B2,"FF_LIABS_CURR(ANN_R,"&amp;E5&amp;",,,,,B,""FILING_DATE=1"")")</f>
        <v>15.358000000000001</v>
      </c>
      <c r="F27" s="1119" cm="1">
        <f t="array" ref="F27">_xll.FDS($B2,"FF_LIABS_CURR(ANN_R,"&amp;F5&amp;",,,,,B,""FILING_DATE=1"")")</f>
        <v>13.872</v>
      </c>
      <c r="G27" s="1119" cm="1">
        <f t="array" ref="G27">_xll.FDS($B2,"FF_LIABS_CURR(ANN_R,"&amp;G5&amp;",,,,,B,""FILING_DATE=1"")")</f>
        <v>13.605</v>
      </c>
      <c r="H27" s="1119" cm="1">
        <f t="array" ref="H27">_xll.FDS($B2,"FF_LIABS_CURR(ANN_R,"&amp;H5&amp;",,,,,B,""FILING_DATE=1"")")</f>
        <v>13.404</v>
      </c>
      <c r="I27" s="1119" cm="1">
        <f t="array" ref="I27">_xll.FDS($B2,"FF_LIABS_CURR(ANN_R,"&amp;I5&amp;",,,,,B,""FILING_DATE=1"")")</f>
        <v>13.805999999999999</v>
      </c>
      <c r="J27" s="1119" cm="1">
        <f t="array" ref="J27">_xll.FDS($B2,"FF_LIABS_CURR(ANN_R,"&amp;J5&amp;",,,,,B,""FILING_DATE=1"")")</f>
        <v>9.3040000000000003</v>
      </c>
      <c r="K27" s="1119" cm="1">
        <f t="array" ref="K27">_xll.FDS($B2,"FF_LIABS_CURR(ANN_R,"&amp;K5&amp;",,,,,B,""FILING_DATE=1"")")</f>
        <v>8.6300000000000008</v>
      </c>
      <c r="L27" s="1119" cm="1">
        <f t="array" ref="L27">_xll.FDS($B2,"FF_LIABS_CURR(ANN_R,"&amp;L5&amp;",,,,,B,""FILING_DATE=1"")")</f>
        <v>8.7799999999999994</v>
      </c>
      <c r="M27" s="18"/>
      <c r="N27" s="1121"/>
    </row>
    <row r="28" spans="1:14">
      <c r="A28" s="347" t="str">
        <f>BS!A32</f>
        <v>Long-Term Debt</v>
      </c>
      <c r="C28" s="1118" cm="1">
        <f t="array" ref="C28">_xll.FDS($B2,"FF_DEBT_LT(ANN_R,"&amp;C5&amp;",,,,,B,""FILING_DATE=1"")")</f>
        <v>28.875</v>
      </c>
      <c r="D28" s="1118" cm="1">
        <f t="array" ref="D28">_xll.FDS($B2,"FF_DEBT_LT(ANN_R,"&amp;D5&amp;",,,,,B,""FILING_DATE=1"")")</f>
        <v>29.081</v>
      </c>
      <c r="E28" s="1118" cm="1">
        <f t="array" ref="E28">_xll.FDS($B2,"FF_DEBT_LT(ANN_R,"&amp;E5&amp;",,,,,B,""FILING_DATE=1"")")</f>
        <v>22.510999999999999</v>
      </c>
      <c r="F28" s="1118" cm="1">
        <f t="array" ref="F28">_xll.FDS($B2,"FF_DEBT_LT(ANN_R,"&amp;F5&amp;",,,,,B,""FILING_DATE=1"")")</f>
        <v>22.489000000000001</v>
      </c>
      <c r="G28" s="1118" cm="1">
        <f t="array" ref="G28">_xll.FDS($B2,"FF_DEBT_LT(ANN_R,"&amp;G5&amp;",,,,,B,""FILING_DATE=1"")")</f>
        <v>18.329999999999998</v>
      </c>
      <c r="H28" s="1118" cm="1">
        <f t="array" ref="H28">_xll.FDS($B2,"FF_DEBT_LT(ANN_R,"&amp;H5&amp;",,,,,B,""FILING_DATE=1"")")</f>
        <v>16.042999999999999</v>
      </c>
      <c r="I28" s="1118" cm="1">
        <f t="array" ref="I28">_xll.FDS($B2,"FF_DEBT_LT(ANN_R,"&amp;I5&amp;",,,,,B,""FILING_DATE=1"")")</f>
        <v>19.186</v>
      </c>
      <c r="J28" s="1118" cm="1">
        <f t="array" ref="J28">_xll.FDS($B2,"FF_DEBT_LT(ANN_R,"&amp;J5&amp;",,,,,B,""FILING_DATE=1"")")</f>
        <v>7.1159999999999997</v>
      </c>
      <c r="K28" s="1118" cm="1">
        <f t="array" ref="K28">_xll.FDS($B2,"FF_DEBT_LT(ANN_R,"&amp;K5&amp;",,,,,B,""FILING_DATE=1"")")</f>
        <v>6.702</v>
      </c>
      <c r="L28" s="1118" cm="1">
        <f t="array" ref="L28">_xll.FDS($B2,"FF_DEBT_LT(ANN_R,"&amp;L5&amp;",,,,,B,""FILING_DATE=1"")")</f>
        <v>9.2530000000000001</v>
      </c>
      <c r="M28" s="16"/>
    </row>
    <row r="29" spans="1:14">
      <c r="A29" s="375" t="str">
        <f>'DAL-US Lease'!B33</f>
        <v>Lease adj. to Total Debt outstanding</v>
      </c>
      <c r="B29" s="375"/>
      <c r="C29" s="375">
        <f t="shared" ref="C29:L29" si="0">C16</f>
        <v>0</v>
      </c>
      <c r="D29" s="375">
        <f t="shared" si="0"/>
        <v>0</v>
      </c>
      <c r="E29" s="375">
        <f t="shared" si="0"/>
        <v>0</v>
      </c>
      <c r="F29" s="375">
        <f t="shared" si="0"/>
        <v>11.981555590849464</v>
      </c>
      <c r="G29" s="375">
        <f t="shared" si="0"/>
        <v>10.865573210508892</v>
      </c>
      <c r="H29" s="375">
        <f t="shared" si="0"/>
        <v>11.734514500111086</v>
      </c>
      <c r="I29" s="375">
        <f t="shared" si="0"/>
        <v>12.373303086902194</v>
      </c>
      <c r="J29" s="375">
        <f t="shared" si="0"/>
        <v>12.911218375532943</v>
      </c>
      <c r="K29" s="375">
        <f t="shared" si="0"/>
        <v>7.222285535285657</v>
      </c>
      <c r="L29" s="375">
        <f t="shared" si="0"/>
        <v>8.3393064618251049</v>
      </c>
      <c r="M29" s="16"/>
    </row>
    <row r="30" spans="1:14">
      <c r="A30" s="347" t="str">
        <f>BS!A33</f>
        <v>Provision for Risks &amp; Charges</v>
      </c>
      <c r="C30" s="1118" cm="1">
        <f t="array" ref="C30">_xll.FDS($B2,"FF_PROV_RISK(ANN_R,"&amp;C5&amp;",,,,,B)")</f>
        <v>7.069</v>
      </c>
      <c r="D30" s="1118" cm="1">
        <f t="array" ref="D30">_xll.FDS($B2,"FF_PROV_RISK(ANN_R,"&amp;D5&amp;",,,,,B)")</f>
        <v>6.0519999999999996</v>
      </c>
      <c r="E30" s="1118" cm="1">
        <f t="array" ref="E30">_xll.FDS($B2,"FF_PROV_RISK(ANN_R,"&amp;E5&amp;",,,,,B)")</f>
        <v>6.907</v>
      </c>
      <c r="F30" s="1118" cm="1">
        <f t="array" ref="F30">_xll.FDS($B2,"FF_PROV_RISK(ANN_R,"&amp;F5&amp;",,,,,B)")</f>
        <v>7.4969999999999999</v>
      </c>
      <c r="G30" s="1118" cm="1">
        <f t="array" ref="G30">_xll.FDS($B2,"FF_PROV_RISK(ANN_R,"&amp;G5&amp;",,,,,B)")</f>
        <v>7.8419999999999996</v>
      </c>
      <c r="H30" s="1118" cm="1">
        <f t="array" ref="H30">_xll.FDS($B2,"FF_PROV_RISK(ANN_R,"&amp;H5&amp;",,,,,B)")</f>
        <v>7.45</v>
      </c>
      <c r="I30" s="1118" cm="1">
        <f t="array" ref="I30">_xll.FDS($B2,"FF_PROV_RISK(ANN_R,"&amp;I5&amp;",,,,,B)")</f>
        <v>7.5620000000000003</v>
      </c>
      <c r="J30" s="1118" cm="1">
        <f t="array" ref="J30">_xll.FDS($B2,"FF_PROV_RISK(ANN_R,"&amp;J5&amp;",,,,,B)")</f>
        <v>5.8280000000000003</v>
      </c>
      <c r="K30" s="1118" cm="1">
        <f t="array" ref="K30">_xll.FDS($B2,"FF_PROV_RISK(ANN_R,"&amp;K5&amp;",,,,,B)")</f>
        <v>6.78</v>
      </c>
      <c r="L30" s="1118" cm="1">
        <f t="array" ref="L30">_xll.FDS($B2,"FF_PROV_RISK(ANN_R,"&amp;L5&amp;",,,,,B)")</f>
        <v>9.2040000000000006</v>
      </c>
      <c r="M30" s="16"/>
    </row>
    <row r="31" spans="1:14">
      <c r="A31" s="347" t="str">
        <f>BS!A34</f>
        <v>Deferred Tax Liabilities</v>
      </c>
      <c r="C31" s="1118" cm="1">
        <f t="array" ref="C31">IFERROR(_xll.FDS($B2,"FF_DFD_TAX_CR(ANN_R,"&amp;C5&amp;",,,,,B,""FILING_DATE=1"")"),0)</f>
        <v>0</v>
      </c>
      <c r="D31" s="1118" cm="1">
        <f t="array" ref="D31">IFERROR(_xll.FDS($B2,"FF_DFD_TAX_CR(ANN_R,"&amp;D5&amp;",,,,,B,""FILING_DATE=1"")"),0)</f>
        <v>0</v>
      </c>
      <c r="E31" s="1118" cm="1">
        <f t="array" ref="E31">IFERROR(_xll.FDS($B2,"FF_DFD_TAX_CR(ANN_R,"&amp;E5&amp;",,,,,B,""FILING_DATE=1"")"),0)</f>
        <v>0</v>
      </c>
      <c r="F31" s="1118" cm="1">
        <f t="array" ref="F31">IFERROR(_xll.FDS($B2,"FF_DFD_TAX_CR(ANN_R,"&amp;F5&amp;",,,,,B,""FILING_DATE=1"")"),0)</f>
        <v>0</v>
      </c>
      <c r="G31" s="1118" cm="1">
        <f t="array" ref="G31">IFERROR(_xll.FDS($B2,"FF_DFD_TAX_CR(ANN_R,"&amp;G5&amp;",,,,,B,""FILING_DATE=1"")"),0)</f>
        <v>0</v>
      </c>
      <c r="H31" s="1118" cm="1">
        <f t="array" ref="H31">IFERROR(_xll.FDS($B2,"FF_DFD_TAX_CR(ANN_R,"&amp;H5&amp;",,,,,B,""FILING_DATE=1"")"),0)</f>
        <v>0</v>
      </c>
      <c r="I31" s="1118" cm="1">
        <f t="array" ref="I31">IFERROR(_xll.FDS($B2,"FF_DFD_TAX_CR(ANN_R,"&amp;I5&amp;",,,,,B,""FILING_DATE=1"")"),0)</f>
        <v>0</v>
      </c>
      <c r="J31" s="1118" cm="1">
        <f t="array" ref="J31">IFERROR(_xll.FDS($B2,"FF_DFD_TAX_CR(ANN_R,"&amp;J5&amp;",,,,,B,""FILING_DATE=1"")"),0)</f>
        <v>0</v>
      </c>
      <c r="K31" s="1118" cm="1">
        <f t="array" ref="K31">IFERROR(_xll.FDS($B2,"FF_DFD_TAX_CR(ANN_R,"&amp;K5&amp;",,,,,B,""FILING_DATE=1"")"),0)</f>
        <v>0</v>
      </c>
      <c r="L31" s="1118" cm="1">
        <f t="array" ref="L31">IFERROR(_xll.FDS($B2,"FF_DFD_TAX_CR(ANN_R,"&amp;L5&amp;",,,,,B,""FILING_DATE=1"")"),0)</f>
        <v>0</v>
      </c>
      <c r="M31" s="16"/>
    </row>
    <row r="32" spans="1:14">
      <c r="A32" s="347" t="str">
        <f>BS!A35</f>
        <v>Other Liabilities</v>
      </c>
      <c r="C32" s="1118" cm="1">
        <f t="array" ref="C32">_xll.FDS($B2,"FF_LIABS_OTH(ANN_R,"&amp;C5&amp;",,,,,B,""FILING_DATE=1"")")</f>
        <v>6.875</v>
      </c>
      <c r="D32" s="1118" cm="1">
        <f t="array" ref="D32">_xll.FDS($B2,"FF_LIABS_OTH(ANN_R,"&amp;D5&amp;",,,,,B,""FILING_DATE=1"")")</f>
        <v>6.665</v>
      </c>
      <c r="E32" s="1118" cm="1">
        <f t="array" ref="E32">_xll.FDS($B2,"FF_LIABS_OTH(ANN_R,"&amp;E5&amp;",,,,,B,""FILING_DATE=1"")")</f>
        <v>8.1989999999999998</v>
      </c>
      <c r="F32" s="1118" cm="1">
        <f t="array" ref="F32">_xll.FDS($B2,"FF_LIABS_OTH(ANN_R,"&amp;F5&amp;",,,,,B,""FILING_DATE=1"")")</f>
        <v>3.286</v>
      </c>
      <c r="G32" s="1118" cm="1">
        <f t="array" ref="G32">_xll.FDS($B2,"FF_LIABS_OTH(ANN_R,"&amp;G5&amp;",,,,,B,""FILING_DATE=1"")")</f>
        <v>3.395</v>
      </c>
      <c r="H32" s="1118" cm="1">
        <f t="array" ref="H32">_xll.FDS($B2,"FF_LIABS_OTH(ANN_R,"&amp;H5&amp;",,,,,B,""FILING_DATE=1"")")</f>
        <v>4.1950000000000003</v>
      </c>
      <c r="I32" s="1118" cm="1">
        <f t="array" ref="I32">_xll.FDS($B2,"FF_LIABS_OTH(ANN_R,"&amp;I5&amp;",,,,,B,""FILING_DATE=1"")")</f>
        <v>6.1890000000000001</v>
      </c>
      <c r="J32" s="1118" cm="1">
        <f t="array" ref="J32">_xll.FDS($B2,"FF_LIABS_OTH(ANN_R,"&amp;J5&amp;",,,,,B,""FILING_DATE=1"")")</f>
        <v>8.2970000000000006</v>
      </c>
      <c r="K32" s="1118" cm="1">
        <f t="array" ref="K32">_xll.FDS($B2,"FF_LIABS_OTH(ANN_R,"&amp;K5&amp;",,,,,B,""FILING_DATE=1"")")</f>
        <v>6.423</v>
      </c>
      <c r="L32" s="1118" cm="1">
        <f t="array" ref="L32">_xll.FDS($B2,"FF_LIABS_OTH(ANN_R,"&amp;L5&amp;",,,,,B,""FILING_DATE=1"")")</f>
        <v>3.1230000000000002</v>
      </c>
      <c r="M32" s="16"/>
    </row>
    <row r="33" spans="1:13">
      <c r="A33" s="344" t="str">
        <f>BS!A36</f>
        <v>Total Liabilities</v>
      </c>
      <c r="C33" s="1119" cm="1">
        <f t="array" ref="C33">_xll.FDS($B2,"FF_LIABS(ANN_R,"&amp;C5&amp;",,,,,B)")+C29</f>
        <v>68.875</v>
      </c>
      <c r="D33" s="1119" cm="1">
        <f t="array" ref="D33">_xll.FDS($B2,"FF_LIABS(ANN_R,"&amp;D5&amp;",,,,,B)")+D29</f>
        <v>60.113</v>
      </c>
      <c r="E33" s="1119" cm="1">
        <f t="array" ref="E33">_xll.FDS($B2,"FF_LIABS(ANN_R,"&amp;E5&amp;",,,,,B)")+E29</f>
        <v>60.749000000000002</v>
      </c>
      <c r="F33" s="1119" cm="1">
        <f t="array" ref="F33">_xll.FDS($B2,"FF_LIABS(ANN_R,"&amp;F5&amp;",,,,,B)")+F29</f>
        <v>65.546555590849465</v>
      </c>
      <c r="G33" s="1119" cm="1">
        <f t="array" ref="G33">_xll.FDS($B2,"FF_LIABS(ANN_R,"&amp;G5&amp;",,,,,B)")+G29</f>
        <v>58.354573210508889</v>
      </c>
      <c r="H33" s="1119" cm="1">
        <f t="array" ref="H33">_xll.FDS($B2,"FF_LIABS(ANN_R,"&amp;H5&amp;",,,,,B)")+H29</f>
        <v>54.51451450011109</v>
      </c>
      <c r="I33" s="1119" cm="1">
        <f t="array" ref="I33">_xll.FDS($B2,"FF_LIABS(ANN_R,"&amp;I5&amp;",,,,,B)")+I29</f>
        <v>53.577303086902191</v>
      </c>
      <c r="J33" s="1119" cm="1">
        <f t="array" ref="J33">_xll.FDS($B2,"FF_LIABS(ANN_R,"&amp;J5&amp;",,,,,B)")+J29</f>
        <v>57.92021837553294</v>
      </c>
      <c r="K33" s="1119" cm="1">
        <f t="array" ref="K33">_xll.FDS($B2,"FF_LIABS(ANN_R,"&amp;K5&amp;",,,,,B)")+K29</f>
        <v>38.719285535285657</v>
      </c>
      <c r="L33" s="1119" cm="1">
        <f t="array" ref="L33">_xll.FDS($B2,"FF_LIABS(ANN_R,"&amp;L5&amp;",,,,,B)")+L29</f>
        <v>39.298306461825106</v>
      </c>
      <c r="M33" s="16"/>
    </row>
    <row r="34" spans="1:13">
      <c r="A34" s="373" t="str">
        <f>BS!A40</f>
        <v>Total Equity</v>
      </c>
      <c r="B34" s="12"/>
      <c r="C34" s="373">
        <f>C21-C33</f>
        <v>-6.8669999999999973</v>
      </c>
      <c r="D34" s="373">
        <f t="shared" ref="D34:L34" si="1">D21-D33</f>
        <v>-0.1180000000000021</v>
      </c>
      <c r="E34" s="373">
        <f t="shared" si="1"/>
        <v>-0.16900000000000404</v>
      </c>
      <c r="F34" s="373">
        <f t="shared" si="1"/>
        <v>-0.78000000000000114</v>
      </c>
      <c r="G34" s="373">
        <f t="shared" si="1"/>
        <v>3.7850000000000037</v>
      </c>
      <c r="H34" s="373">
        <f t="shared" si="1"/>
        <v>5.6349999999999909</v>
      </c>
      <c r="I34" s="373">
        <f t="shared" si="1"/>
        <v>2.0210000000000008</v>
      </c>
      <c r="J34" s="373">
        <f t="shared" si="1"/>
        <v>-2.7309999999999945</v>
      </c>
      <c r="K34" s="373">
        <f t="shared" si="1"/>
        <v>-7.9869999999999983</v>
      </c>
      <c r="L34" s="373">
        <f t="shared" si="1"/>
        <v>-7.1110000000000042</v>
      </c>
      <c r="M34" s="16"/>
    </row>
    <row r="35" spans="1:13">
      <c r="A35" s="374" t="str">
        <f>BS!A41</f>
        <v>Total Liabilities &amp; Shareholders' Equity</v>
      </c>
      <c r="B35" s="12"/>
      <c r="C35" s="374">
        <f>C33+C34</f>
        <v>62.008000000000003</v>
      </c>
      <c r="D35" s="374">
        <f t="shared" ref="D35:L35" si="2">D33+D34</f>
        <v>59.994999999999997</v>
      </c>
      <c r="E35" s="374">
        <f t="shared" si="2"/>
        <v>60.58</v>
      </c>
      <c r="F35" s="374">
        <f t="shared" si="2"/>
        <v>64.766555590849464</v>
      </c>
      <c r="G35" s="374">
        <f t="shared" si="2"/>
        <v>62.139573210508892</v>
      </c>
      <c r="H35" s="374">
        <f t="shared" si="2"/>
        <v>60.149514500111081</v>
      </c>
      <c r="I35" s="374">
        <f t="shared" si="2"/>
        <v>55.598303086902192</v>
      </c>
      <c r="J35" s="374">
        <f t="shared" si="2"/>
        <v>55.189218375532946</v>
      </c>
      <c r="K35" s="374">
        <f t="shared" si="2"/>
        <v>30.732285535285659</v>
      </c>
      <c r="L35" s="374">
        <f t="shared" si="2"/>
        <v>32.187306461825102</v>
      </c>
      <c r="M35" s="16"/>
    </row>
    <row r="36" spans="1:13">
      <c r="A36" s="353"/>
      <c r="C36" s="376"/>
      <c r="D36" s="376"/>
      <c r="E36" s="376"/>
      <c r="F36" s="376"/>
      <c r="G36" s="376"/>
      <c r="H36" s="376"/>
      <c r="I36" s="376"/>
      <c r="J36" s="376"/>
      <c r="K36" s="376"/>
      <c r="L36" s="376"/>
      <c r="M36" s="16"/>
    </row>
    <row r="37" spans="1:13">
      <c r="A37" s="353" t="s">
        <v>450</v>
      </c>
      <c r="C37" s="376" t="str">
        <f>C5</f>
        <v>12/2020</v>
      </c>
      <c r="D37" s="376" t="str">
        <f t="shared" ref="D37:L37" si="3">D5</f>
        <v>12/2019</v>
      </c>
      <c r="E37" s="376" t="str">
        <f t="shared" si="3"/>
        <v>12/2018</v>
      </c>
      <c r="F37" s="376" t="str">
        <f t="shared" si="3"/>
        <v>12/2017</v>
      </c>
      <c r="G37" s="376" t="str">
        <f t="shared" si="3"/>
        <v>12/2016</v>
      </c>
      <c r="H37" s="376" t="str">
        <f t="shared" si="3"/>
        <v>12/2015</v>
      </c>
      <c r="I37" s="376" t="str">
        <f t="shared" si="3"/>
        <v>12/2014</v>
      </c>
      <c r="J37" s="376" t="str">
        <f t="shared" si="3"/>
        <v>12/2013</v>
      </c>
      <c r="K37" s="376" t="str">
        <f t="shared" si="3"/>
        <v>12/2012</v>
      </c>
      <c r="L37" s="376" t="str">
        <f t="shared" si="3"/>
        <v>12/2011</v>
      </c>
      <c r="M37" s="16"/>
    </row>
    <row r="38" spans="1:13">
      <c r="A38" s="385" t="str">
        <f>A10</f>
        <v>Short-Term Receivables</v>
      </c>
      <c r="B38" s="385"/>
      <c r="C38" s="523">
        <f>C10</f>
        <v>1.3420000000000001</v>
      </c>
      <c r="D38" s="523">
        <f t="shared" ref="D38:L38" si="4">D10</f>
        <v>1.75</v>
      </c>
      <c r="E38" s="523">
        <f t="shared" si="4"/>
        <v>1.706</v>
      </c>
      <c r="F38" s="523">
        <f t="shared" si="4"/>
        <v>1.752</v>
      </c>
      <c r="G38" s="523">
        <f t="shared" si="4"/>
        <v>1.5940000000000001</v>
      </c>
      <c r="H38" s="523">
        <f t="shared" si="4"/>
        <v>1.425</v>
      </c>
      <c r="I38" s="523">
        <f t="shared" si="4"/>
        <v>1.7709999999999999</v>
      </c>
      <c r="J38" s="523">
        <f t="shared" si="4"/>
        <v>1.56</v>
      </c>
      <c r="K38" s="523">
        <f t="shared" si="4"/>
        <v>1.1240000000000001</v>
      </c>
      <c r="L38" s="523">
        <f t="shared" si="4"/>
        <v>0.999</v>
      </c>
      <c r="M38" s="16"/>
    </row>
    <row r="39" spans="1:13">
      <c r="A39" s="385" t="str">
        <f>A11</f>
        <v>Inventories</v>
      </c>
      <c r="B39" s="385"/>
      <c r="C39" s="523">
        <f t="shared" ref="C39:L40" si="5">C11</f>
        <v>1.6140000000000001</v>
      </c>
      <c r="D39" s="523">
        <f t="shared" si="5"/>
        <v>1.851</v>
      </c>
      <c r="E39" s="523">
        <f t="shared" si="5"/>
        <v>1.522</v>
      </c>
      <c r="F39" s="523">
        <f t="shared" si="5"/>
        <v>1.359</v>
      </c>
      <c r="G39" s="523">
        <f t="shared" si="5"/>
        <v>1.0940000000000001</v>
      </c>
      <c r="H39" s="523">
        <f t="shared" si="5"/>
        <v>0.86299999999999999</v>
      </c>
      <c r="I39" s="523">
        <f t="shared" si="5"/>
        <v>1.004</v>
      </c>
      <c r="J39" s="523">
        <f t="shared" si="5"/>
        <v>1.012</v>
      </c>
      <c r="K39" s="523">
        <f t="shared" si="5"/>
        <v>0.57999999999999996</v>
      </c>
      <c r="L39" s="523">
        <f t="shared" si="5"/>
        <v>0.61699999999999999</v>
      </c>
      <c r="M39" s="16"/>
    </row>
    <row r="40" spans="1:13">
      <c r="A40" s="385" t="str">
        <f>A12</f>
        <v>Other Current Assets</v>
      </c>
      <c r="B40" s="385"/>
      <c r="C40" s="523">
        <f t="shared" si="5"/>
        <v>0.621</v>
      </c>
      <c r="D40" s="523">
        <f t="shared" si="5"/>
        <v>0.495</v>
      </c>
      <c r="E40" s="523">
        <f t="shared" si="5"/>
        <v>0.65100000000000002</v>
      </c>
      <c r="F40" s="523">
        <f t="shared" si="5"/>
        <v>0.63900000000000001</v>
      </c>
      <c r="G40" s="523">
        <f t="shared" si="5"/>
        <v>0.748</v>
      </c>
      <c r="H40" s="523">
        <f t="shared" si="5"/>
        <v>0.89800000000000002</v>
      </c>
      <c r="I40" s="523">
        <f t="shared" si="5"/>
        <v>1.4650000000000001</v>
      </c>
      <c r="J40" s="523">
        <f t="shared" si="5"/>
        <v>0.56100000000000005</v>
      </c>
      <c r="K40" s="523">
        <f t="shared" si="5"/>
        <v>0.40200000000000002</v>
      </c>
      <c r="L40" s="523">
        <f t="shared" si="5"/>
        <v>0.56000000000000005</v>
      </c>
      <c r="M40" s="16"/>
    </row>
    <row r="41" spans="1:13">
      <c r="A41" s="522" t="s">
        <v>451</v>
      </c>
      <c r="B41" s="522"/>
      <c r="C41" s="524">
        <f>SUM(C38:C40)</f>
        <v>3.5770000000000004</v>
      </c>
      <c r="D41" s="524">
        <f t="shared" ref="D41:L41" si="6">SUM(D38:D40)</f>
        <v>4.0960000000000001</v>
      </c>
      <c r="E41" s="524">
        <f t="shared" si="6"/>
        <v>3.8789999999999996</v>
      </c>
      <c r="F41" s="524">
        <f t="shared" si="6"/>
        <v>3.75</v>
      </c>
      <c r="G41" s="524">
        <f t="shared" si="6"/>
        <v>3.4359999999999999</v>
      </c>
      <c r="H41" s="524">
        <f t="shared" si="6"/>
        <v>3.1860000000000004</v>
      </c>
      <c r="I41" s="524">
        <f t="shared" si="6"/>
        <v>4.24</v>
      </c>
      <c r="J41" s="524">
        <f t="shared" si="6"/>
        <v>3.133</v>
      </c>
      <c r="K41" s="524">
        <f t="shared" si="6"/>
        <v>2.1060000000000003</v>
      </c>
      <c r="L41" s="524">
        <f t="shared" si="6"/>
        <v>2.1760000000000002</v>
      </c>
      <c r="M41" s="16"/>
    </row>
    <row r="42" spans="1:13">
      <c r="A42" s="522" t="s">
        <v>452</v>
      </c>
      <c r="B42" s="522"/>
      <c r="C42" s="327">
        <f>C41-D41</f>
        <v>-0.51899999999999968</v>
      </c>
      <c r="D42" s="327">
        <f t="shared" ref="D42:L42" si="7">D41-E41</f>
        <v>0.21700000000000053</v>
      </c>
      <c r="E42" s="327">
        <f t="shared" si="7"/>
        <v>0.12899999999999956</v>
      </c>
      <c r="F42" s="327">
        <f t="shared" si="7"/>
        <v>0.31400000000000006</v>
      </c>
      <c r="G42" s="327">
        <f t="shared" si="7"/>
        <v>0.24999999999999956</v>
      </c>
      <c r="H42" s="327">
        <f t="shared" si="7"/>
        <v>-1.0539999999999998</v>
      </c>
      <c r="I42" s="327">
        <f t="shared" si="7"/>
        <v>1.1070000000000002</v>
      </c>
      <c r="J42" s="327">
        <f t="shared" si="7"/>
        <v>1.0269999999999997</v>
      </c>
      <c r="K42" s="327">
        <f t="shared" si="7"/>
        <v>-6.999999999999984E-2</v>
      </c>
      <c r="L42" s="327">
        <f t="shared" si="7"/>
        <v>2.1760000000000002</v>
      </c>
      <c r="M42" s="16"/>
    </row>
    <row r="43" spans="1:13">
      <c r="A43" s="522" t="s">
        <v>453</v>
      </c>
      <c r="B43" s="522"/>
      <c r="C43" s="327"/>
      <c r="D43" s="327"/>
      <c r="E43" s="327"/>
      <c r="F43" s="327"/>
      <c r="G43" s="327"/>
      <c r="H43" s="327"/>
      <c r="I43" s="327"/>
      <c r="J43" s="327"/>
      <c r="K43" s="327"/>
      <c r="L43" s="327"/>
      <c r="M43" s="16"/>
    </row>
    <row r="44" spans="1:13" ht="15" customHeight="1">
      <c r="A44" s="385" t="str">
        <f>A24</f>
        <v>Accounts Payable</v>
      </c>
      <c r="B44" s="385"/>
      <c r="C44" s="523">
        <f t="shared" ref="C44:L46" si="8">C24</f>
        <v>2.0619999999999998</v>
      </c>
      <c r="D44" s="523">
        <f t="shared" si="8"/>
        <v>1.7729999999999999</v>
      </c>
      <c r="E44" s="523">
        <f t="shared" si="8"/>
        <v>1.6879999999999999</v>
      </c>
      <c r="F44" s="523">
        <f t="shared" si="8"/>
        <v>1.5920000000000001</v>
      </c>
      <c r="G44" s="523">
        <f t="shared" si="8"/>
        <v>1.5629999999999999</v>
      </c>
      <c r="H44" s="523">
        <f t="shared" si="8"/>
        <v>1.377</v>
      </c>
      <c r="I44" s="523">
        <f t="shared" si="8"/>
        <v>1.3680000000000001</v>
      </c>
      <c r="J44" s="523">
        <f t="shared" si="8"/>
        <v>1.244</v>
      </c>
      <c r="K44" s="523">
        <f t="shared" si="8"/>
        <v>1.0069999999999999</v>
      </c>
      <c r="L44" s="523">
        <f t="shared" si="8"/>
        <v>1.1559999999999999</v>
      </c>
      <c r="M44" s="16"/>
    </row>
    <row r="45" spans="1:13" ht="15" customHeight="1">
      <c r="A45" s="385" t="str">
        <f>A25</f>
        <v>Income Tax Payable</v>
      </c>
      <c r="B45" s="385"/>
      <c r="C45" s="523">
        <f t="shared" si="8"/>
        <v>0</v>
      </c>
      <c r="D45" s="523">
        <f t="shared" si="8"/>
        <v>0</v>
      </c>
      <c r="E45" s="523">
        <f t="shared" si="8"/>
        <v>0</v>
      </c>
      <c r="F45" s="523">
        <f t="shared" si="8"/>
        <v>0</v>
      </c>
      <c r="G45" s="523">
        <f t="shared" si="8"/>
        <v>0</v>
      </c>
      <c r="H45" s="523">
        <f t="shared" si="8"/>
        <v>0</v>
      </c>
      <c r="I45" s="523">
        <f t="shared" si="8"/>
        <v>0</v>
      </c>
      <c r="J45" s="523">
        <f t="shared" si="8"/>
        <v>0</v>
      </c>
      <c r="K45" s="523">
        <f t="shared" si="8"/>
        <v>0</v>
      </c>
      <c r="L45" s="523">
        <f t="shared" si="8"/>
        <v>0</v>
      </c>
      <c r="M45" s="16"/>
    </row>
    <row r="46" spans="1:13" ht="15" customHeight="1">
      <c r="A46" s="385" t="str">
        <f>A26</f>
        <v>Other Current Liabilities</v>
      </c>
      <c r="B46" s="385"/>
      <c r="C46" s="523">
        <f t="shared" si="8"/>
        <v>11.68</v>
      </c>
      <c r="D46" s="523">
        <f>D26</f>
        <v>11.375</v>
      </c>
      <c r="E46" s="523">
        <f t="shared" si="8"/>
        <v>11.116</v>
      </c>
      <c r="F46" s="523">
        <f t="shared" si="8"/>
        <v>10.425000000000001</v>
      </c>
      <c r="G46" s="523">
        <f t="shared" si="8"/>
        <v>9.8109999999999999</v>
      </c>
      <c r="H46" s="523">
        <f t="shared" si="8"/>
        <v>10.35</v>
      </c>
      <c r="I46" s="523">
        <f t="shared" si="8"/>
        <v>10.992000000000001</v>
      </c>
      <c r="J46" s="523">
        <f t="shared" si="8"/>
        <v>6.641</v>
      </c>
      <c r="K46" s="523">
        <f t="shared" si="8"/>
        <v>6.1050000000000004</v>
      </c>
      <c r="L46" s="523">
        <f t="shared" si="8"/>
        <v>5.7409999999999997</v>
      </c>
      <c r="M46" s="16"/>
    </row>
    <row r="47" spans="1:13" s="522" customFormat="1" ht="12.75">
      <c r="A47" s="522" t="s">
        <v>454</v>
      </c>
      <c r="C47" s="524">
        <f>SUM(C44:C46)</f>
        <v>13.741999999999999</v>
      </c>
      <c r="D47" s="524">
        <f t="shared" ref="D47:L47" si="9">SUM(D44:D46)</f>
        <v>13.148</v>
      </c>
      <c r="E47" s="524">
        <f t="shared" si="9"/>
        <v>12.804</v>
      </c>
      <c r="F47" s="524">
        <f t="shared" si="9"/>
        <v>12.017000000000001</v>
      </c>
      <c r="G47" s="524">
        <f t="shared" si="9"/>
        <v>11.374000000000001</v>
      </c>
      <c r="H47" s="524">
        <f t="shared" si="9"/>
        <v>11.727</v>
      </c>
      <c r="I47" s="524">
        <f t="shared" si="9"/>
        <v>12.360000000000001</v>
      </c>
      <c r="J47" s="524">
        <f t="shared" si="9"/>
        <v>7.8849999999999998</v>
      </c>
      <c r="K47" s="524">
        <f t="shared" si="9"/>
        <v>7.1120000000000001</v>
      </c>
      <c r="L47" s="524">
        <f t="shared" si="9"/>
        <v>6.8969999999999994</v>
      </c>
    </row>
    <row r="48" spans="1:13">
      <c r="A48" s="522" t="s">
        <v>452</v>
      </c>
      <c r="B48" s="522"/>
      <c r="C48" s="327">
        <f>C47-D47</f>
        <v>0.59399999999999942</v>
      </c>
      <c r="D48" s="327">
        <f t="shared" ref="D48:L48" si="10">D47-E47</f>
        <v>0.34399999999999942</v>
      </c>
      <c r="E48" s="327">
        <f t="shared" si="10"/>
        <v>0.78699999999999903</v>
      </c>
      <c r="F48" s="327">
        <f t="shared" si="10"/>
        <v>0.64300000000000068</v>
      </c>
      <c r="G48" s="327">
        <f t="shared" si="10"/>
        <v>-0.35299999999999976</v>
      </c>
      <c r="H48" s="327">
        <f t="shared" si="10"/>
        <v>-0.6330000000000009</v>
      </c>
      <c r="I48" s="327">
        <f t="shared" si="10"/>
        <v>4.4750000000000014</v>
      </c>
      <c r="J48" s="327">
        <f t="shared" si="10"/>
        <v>0.77299999999999969</v>
      </c>
      <c r="K48" s="327">
        <f t="shared" si="10"/>
        <v>0.21500000000000075</v>
      </c>
      <c r="L48" s="327">
        <f t="shared" si="10"/>
        <v>6.8969999999999994</v>
      </c>
      <c r="M48" s="16"/>
    </row>
    <row r="49" spans="1:13">
      <c r="A49" s="526" t="s">
        <v>455</v>
      </c>
      <c r="B49" s="526"/>
      <c r="C49" s="327"/>
      <c r="D49" s="327"/>
      <c r="E49" s="327"/>
      <c r="F49" s="327"/>
      <c r="G49" s="327"/>
      <c r="H49" s="327"/>
      <c r="I49" s="327"/>
      <c r="J49" s="327"/>
      <c r="K49" s="327"/>
      <c r="L49" s="327"/>
      <c r="M49" s="16"/>
    </row>
    <row r="50" spans="1:13">
      <c r="A50" s="372" t="s">
        <v>456</v>
      </c>
      <c r="B50" s="372"/>
      <c r="C50" s="525">
        <f>C41-C47</f>
        <v>-10.164999999999999</v>
      </c>
      <c r="D50" s="525">
        <f t="shared" ref="D50:L50" si="11">D41-D47</f>
        <v>-9.0519999999999996</v>
      </c>
      <c r="E50" s="525">
        <f t="shared" si="11"/>
        <v>-8.9250000000000007</v>
      </c>
      <c r="F50" s="525">
        <f t="shared" si="11"/>
        <v>-8.2670000000000012</v>
      </c>
      <c r="G50" s="525">
        <f t="shared" si="11"/>
        <v>-7.9380000000000006</v>
      </c>
      <c r="H50" s="525">
        <f t="shared" si="11"/>
        <v>-8.5410000000000004</v>
      </c>
      <c r="I50" s="525">
        <f t="shared" si="11"/>
        <v>-8.120000000000001</v>
      </c>
      <c r="J50" s="525">
        <f t="shared" si="11"/>
        <v>-4.7519999999999998</v>
      </c>
      <c r="K50" s="525">
        <f t="shared" si="11"/>
        <v>-5.0060000000000002</v>
      </c>
      <c r="L50" s="525">
        <f t="shared" si="11"/>
        <v>-4.7209999999999992</v>
      </c>
      <c r="M50" s="16"/>
    </row>
    <row r="51" spans="1:13">
      <c r="A51" s="372" t="s">
        <v>457</v>
      </c>
      <c r="B51" s="372"/>
      <c r="C51" s="527">
        <f>C50/IS!C14</f>
        <v>-0.59461830944720673</v>
      </c>
      <c r="D51" s="527">
        <f>D50/IS!D14</f>
        <v>-0.19257116112836659</v>
      </c>
      <c r="E51" s="527">
        <f>E50/IS!E14</f>
        <v>-0.20082806417497356</v>
      </c>
      <c r="F51" s="527">
        <f>F50/IS!F14</f>
        <v>-0.2004898869864675</v>
      </c>
      <c r="G51" s="527">
        <f>G50/IS!G14</f>
        <v>-0.20044442199888898</v>
      </c>
      <c r="H51" s="527">
        <f>H50/IS!H14</f>
        <v>-0.21085765071841209</v>
      </c>
      <c r="I51" s="527">
        <f>I50/IS!I14</f>
        <v>-0.20196995323848377</v>
      </c>
      <c r="J51" s="527">
        <f>J50/IS!J14</f>
        <v>-0.12625538020086083</v>
      </c>
      <c r="K51" s="527">
        <f>K50/IS!K14</f>
        <v>-0.13642185583867011</v>
      </c>
      <c r="L51" s="527">
        <f>L50/IS!L14</f>
        <v>-0.13444396981347001</v>
      </c>
      <c r="M51" s="16"/>
    </row>
    <row r="52" spans="1:13">
      <c r="A52" s="377" t="s">
        <v>458</v>
      </c>
      <c r="C52" s="327">
        <f>C50-D50</f>
        <v>-1.1129999999999995</v>
      </c>
      <c r="D52" s="327">
        <f t="shared" ref="D52:L52" si="12">D50-E50</f>
        <v>-0.12699999999999889</v>
      </c>
      <c r="E52" s="327">
        <f t="shared" si="12"/>
        <v>-0.65799999999999947</v>
      </c>
      <c r="F52" s="327">
        <f t="shared" si="12"/>
        <v>-0.32900000000000063</v>
      </c>
      <c r="G52" s="327">
        <f t="shared" si="12"/>
        <v>0.60299999999999976</v>
      </c>
      <c r="H52" s="327">
        <f t="shared" si="12"/>
        <v>-0.42099999999999937</v>
      </c>
      <c r="I52" s="327">
        <f t="shared" si="12"/>
        <v>-3.3680000000000012</v>
      </c>
      <c r="J52" s="327">
        <f t="shared" si="12"/>
        <v>0.25400000000000045</v>
      </c>
      <c r="K52" s="327">
        <f t="shared" si="12"/>
        <v>-0.28500000000000103</v>
      </c>
      <c r="L52" s="327">
        <f t="shared" si="12"/>
        <v>-4.7209999999999992</v>
      </c>
      <c r="M52" s="16"/>
    </row>
    <row r="53" spans="1:13">
      <c r="A53" s="526" t="s">
        <v>459</v>
      </c>
      <c r="C53" s="327"/>
      <c r="D53" s="327"/>
      <c r="E53" s="327"/>
      <c r="F53" s="327"/>
      <c r="G53" s="327"/>
      <c r="H53" s="327"/>
      <c r="I53" s="327"/>
      <c r="J53" s="327"/>
      <c r="K53" s="327"/>
      <c r="L53" s="327"/>
    </row>
    <row r="54" spans="1:13">
      <c r="A54" s="327"/>
    </row>
    <row r="55" spans="1:13">
      <c r="A55" s="327"/>
    </row>
    <row r="56" spans="1:13">
      <c r="A56" s="327"/>
    </row>
    <row r="57" spans="1:13">
      <c r="A57" s="327"/>
    </row>
    <row r="58" spans="1:13">
      <c r="A58" s="327"/>
    </row>
    <row r="59" spans="1:13">
      <c r="A59" s="327"/>
    </row>
    <row r="60" spans="1:13">
      <c r="A60" s="327"/>
    </row>
    <row r="61" spans="1:13">
      <c r="A61" s="327"/>
    </row>
    <row r="62" spans="1:13">
      <c r="A62" s="327"/>
    </row>
    <row r="63" spans="1:13">
      <c r="A63" s="327"/>
    </row>
    <row r="64" spans="1:13">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row r="163" spans="1:1">
      <c r="A163" s="327"/>
    </row>
  </sheetData>
  <pageMargins left="0.7" right="0.7" top="0.78740157499999996" bottom="0.78740157499999996"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D4079-0529-4BFF-8570-CE026CDA5972}">
  <sheetPr>
    <tabColor theme="2" tint="-0.499984740745262"/>
  </sheetPr>
  <dimension ref="A1:N163"/>
  <sheetViews>
    <sheetView zoomScaleNormal="100" workbookViewId="0">
      <selection activeCell="C36" sqref="C36"/>
    </sheetView>
  </sheetViews>
  <sheetFormatPr defaultColWidth="11.28515625" defaultRowHeight="15"/>
  <cols>
    <col min="1" max="1" width="40.7109375" style="3" customWidth="1"/>
    <col min="2" max="2" width="5" style="3" customWidth="1"/>
    <col min="3" max="12" width="11.28515625" style="3"/>
  </cols>
  <sheetData>
    <row r="1" spans="1:13" s="340" customFormat="1" ht="26.1" customHeight="1">
      <c r="A1" s="371" t="str">
        <f>BS!A5</f>
        <v>Balance Sheet</v>
      </c>
    </row>
    <row r="2" spans="1:13">
      <c r="A2" s="327" t="str">
        <f>IS!A8</f>
        <v>Ticker</v>
      </c>
      <c r="B2" s="327" t="str">
        <f>'Industry Ratios'!G3</f>
        <v>LUV-US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BS!A13</f>
        <v>Balance Sheet</v>
      </c>
      <c r="B7" s="327"/>
      <c r="C7" s="327"/>
      <c r="D7" s="327"/>
      <c r="E7" s="327"/>
      <c r="F7" s="327"/>
      <c r="G7" s="327"/>
      <c r="H7" s="327"/>
      <c r="I7" s="327"/>
      <c r="J7" s="327"/>
      <c r="K7" s="327"/>
      <c r="L7" s="327"/>
      <c r="M7" s="16"/>
    </row>
    <row r="8" spans="1:13">
      <c r="A8" s="353" t="str">
        <f>BS!A14</f>
        <v>Assets</v>
      </c>
      <c r="B8" s="327"/>
      <c r="C8" s="1059" t="s">
        <v>447</v>
      </c>
      <c r="D8" s="327"/>
      <c r="E8" s="327"/>
      <c r="F8" s="327"/>
      <c r="G8" s="327"/>
      <c r="H8" s="327"/>
      <c r="I8" s="327"/>
      <c r="J8" s="327"/>
      <c r="K8" s="327"/>
      <c r="L8" s="327"/>
      <c r="M8" s="16"/>
    </row>
    <row r="9" spans="1:13">
      <c r="A9" s="347" t="str">
        <f>BS!A15</f>
        <v>Cash &amp; Short-Term Investments</v>
      </c>
      <c r="C9" s="1118" cm="1">
        <f t="array" ref="C9">_xll.FDS($B2,"FF_CASH_ST(ANN_R,"&amp;C5&amp;",,,,,B,""FILING_DATE=1"")")</f>
        <v>4.0720000000000001</v>
      </c>
      <c r="D9" s="1118" cm="1">
        <f t="array" ref="D9">_xll.FDS($B2,"FF_CASH_ST(ANN_R,"&amp;D5&amp;",,,,,B,""FILING_DATE=1"")")</f>
        <v>3.6890000000000001</v>
      </c>
      <c r="E9" s="1118" cm="1">
        <f t="array" ref="E9">_xll.FDS($B2,"FF_CASH_ST(ANN_R,"&amp;E5&amp;",,,,,B,""FILING_DATE=1"")")</f>
        <v>3.2730000000000001</v>
      </c>
      <c r="F9" s="1118" cm="1">
        <f t="array" ref="F9">_xll.FDS($B2,"FF_CASH_ST(ANN_R,"&amp;F5&amp;",,,,,B,""FILING_DATE=1"")")</f>
        <v>3.3050000000000002</v>
      </c>
      <c r="G9" s="1118" cm="1">
        <f t="array" ref="G9">_xll.FDS($B2,"FF_CASH_ST(ANN_R,"&amp;G5&amp;",,,,,B,""FILING_DATE=1"")")</f>
        <v>3.0510000000000002</v>
      </c>
      <c r="H9" s="1118" cm="1">
        <f t="array" ref="H9">_xll.FDS($B2,"FF_CASH_ST(ANN_R,"&amp;H5&amp;",,,,,B,""FILING_DATE=1"")")</f>
        <v>2.988</v>
      </c>
      <c r="I9" s="1118" cm="1">
        <f t="array" ref="I9">_xll.FDS($B2,"FF_CASH_ST(ANN_R,"&amp;I5&amp;",,,,,B,""FILING_DATE=1"")")</f>
        <v>3.1520000000000001</v>
      </c>
      <c r="J9" s="1118" cm="1">
        <f t="array" ref="J9">_xll.FDS($B2,"FF_CASH_ST(ANN_R,"&amp;J5&amp;",,,,,B,""FILING_DATE=1"")")</f>
        <v>2.97</v>
      </c>
      <c r="K9" s="1118" cm="1">
        <f t="array" ref="K9">_xll.FDS($B2,"FF_CASH_ST(ANN_R,"&amp;K5&amp;",,,,,B,""FILING_DATE=1"")")</f>
        <v>3.1440000000000001</v>
      </c>
      <c r="L9" s="1118" cm="1">
        <f t="array" ref="L9">_xll.FDS($B2,"FF_CASH_ST(ANN_R,"&amp;L5&amp;",,,,,B,""FILING_DATE=1"")")</f>
        <v>3.5379999999999998</v>
      </c>
      <c r="M9" s="16"/>
    </row>
    <row r="10" spans="1:13">
      <c r="A10" s="347" t="str">
        <f>BS!A16</f>
        <v>Short-Term Receivables</v>
      </c>
      <c r="C10" s="1118" cm="1">
        <f t="array" ref="C10">_xll.FDS($B2,"FF_RECEIV_ST(ANN_R,"&amp;C5&amp;",,,,,B)")</f>
        <v>1.1299999999999999</v>
      </c>
      <c r="D10" s="1118" cm="1">
        <f t="array" ref="D10">_xll.FDS($B2,"FF_RECEIV_ST(ANN_R,"&amp;D5&amp;",,,,,B)")</f>
        <v>1.0860000000000001</v>
      </c>
      <c r="E10" s="1118" cm="1">
        <f t="array" ref="E10">_xll.FDS($B2,"FF_RECEIV_ST(ANN_R,"&amp;E5&amp;",,,,,B)")</f>
        <v>0.56799999999999995</v>
      </c>
      <c r="F10" s="1118" cm="1">
        <f t="array" ref="F10">_xll.FDS($B2,"FF_RECEIV_ST(ANN_R,"&amp;F5&amp;",,,,,B)")</f>
        <v>0.66200000000000003</v>
      </c>
      <c r="G10" s="1118" cm="1">
        <f t="array" ref="G10">_xll.FDS($B2,"FF_RECEIV_ST(ANN_R,"&amp;G5&amp;",,,,,B)")</f>
        <v>0.54600000000000004</v>
      </c>
      <c r="H10" s="1118" cm="1">
        <f t="array" ref="H10">_xll.FDS($B2,"FF_RECEIV_ST(ANN_R,"&amp;H5&amp;",,,,,B)")</f>
        <v>0.47399999999999998</v>
      </c>
      <c r="I10" s="1118" cm="1">
        <f t="array" ref="I10">_xll.FDS($B2,"FF_RECEIV_ST(ANN_R,"&amp;I5&amp;",,,,,B)")</f>
        <v>0.36499999999999999</v>
      </c>
      <c r="J10" s="1118" cm="1">
        <f t="array" ref="J10">_xll.FDS($B2,"FF_RECEIV_ST(ANN_R,"&amp;J5&amp;",,,,,B)")</f>
        <v>0.41899999999999998</v>
      </c>
      <c r="K10" s="1118" cm="1">
        <f t="array" ref="K10">_xll.FDS($B2,"FF_RECEIV_ST(ANN_R,"&amp;K5&amp;",,,,,B)")</f>
        <v>0.33200000000000002</v>
      </c>
      <c r="L10" s="1118" cm="1">
        <f t="array" ref="L10">_xll.FDS($B2,"FF_RECEIV_ST(ANN_R,"&amp;L5&amp;",,,,,B)")</f>
        <v>0.29899999999999999</v>
      </c>
      <c r="M10" s="16"/>
    </row>
    <row r="11" spans="1:13">
      <c r="A11" s="347" t="str">
        <f>BS!A17</f>
        <v>Inventories</v>
      </c>
      <c r="C11" s="1118" cm="1">
        <f t="array" ref="C11">_xll.FDS($B2,"FF_INVEN(ANN_R,"&amp;C5&amp;",,,,,B)")</f>
        <v>0.41399999999999998</v>
      </c>
      <c r="D11" s="1118" cm="1">
        <f t="array" ref="D11">_xll.FDS($B2,"FF_INVEN(ANN_R,"&amp;D5&amp;",,,,,B)")</f>
        <v>0.52900000000000003</v>
      </c>
      <c r="E11" s="1118" cm="1">
        <f t="array" ref="E11">_xll.FDS($B2,"FF_INVEN(ANN_R,"&amp;E5&amp;",,,,,B)")</f>
        <v>0.46100000000000002</v>
      </c>
      <c r="F11" s="1118" cm="1">
        <f t="array" ref="F11">_xll.FDS($B2,"FF_INVEN(ANN_R,"&amp;F5&amp;",,,,,B)")</f>
        <v>0.42</v>
      </c>
      <c r="G11" s="1118" cm="1">
        <f t="array" ref="G11">_xll.FDS($B2,"FF_INVEN(ANN_R,"&amp;G5&amp;",,,,,B)")</f>
        <v>0.33700000000000002</v>
      </c>
      <c r="H11" s="1118" cm="1">
        <f t="array" ref="H11">_xll.FDS($B2,"FF_INVEN(ANN_R,"&amp;H5&amp;",,,,,B)")</f>
        <v>0.311</v>
      </c>
      <c r="I11" s="1118" cm="1">
        <f t="array" ref="I11">_xll.FDS($B2,"FF_INVEN(ANN_R,"&amp;I5&amp;",,,,,B)")</f>
        <v>0.34200000000000003</v>
      </c>
      <c r="J11" s="1118" cm="1">
        <f t="array" ref="J11">_xll.FDS($B2,"FF_INVEN(ANN_R,"&amp;J5&amp;",,,,,B)")</f>
        <v>0.46700000000000003</v>
      </c>
      <c r="K11" s="1118" cm="1">
        <f t="array" ref="K11">_xll.FDS($B2,"FF_INVEN(ANN_R,"&amp;K5&amp;",,,,,B)")</f>
        <v>0.46899999999999997</v>
      </c>
      <c r="L11" s="1118" cm="1">
        <f t="array" ref="L11">_xll.FDS($B2,"FF_INVEN(ANN_R,"&amp;L5&amp;",,,,,B)")</f>
        <v>0.40100000000000002</v>
      </c>
      <c r="M11" s="16"/>
    </row>
    <row r="12" spans="1:13">
      <c r="A12" s="347" t="str">
        <f>BS!A18</f>
        <v>Other Current Assets</v>
      </c>
      <c r="C12" s="1118" cm="1">
        <f t="array" ref="C12">_xll.FDS($B2,"FF_ASSETS_CURR_OTH(ANN_R,"&amp;C5&amp;",,,,,B,""FILING_DATE=1"")")</f>
        <v>0.28699999999999998</v>
      </c>
      <c r="D12" s="1118" cm="1">
        <f t="array" ref="D12">_xll.FDS($B2,"FF_ASSETS_CURR_OTH(ANN_R,"&amp;D5&amp;",,,,,B,""FILING_DATE=1"")")</f>
        <v>0.31</v>
      </c>
      <c r="E12" s="1118" cm="1">
        <f t="array" ref="E12">_xll.FDS($B2,"FF_ASSETS_CURR_OTH(ANN_R,"&amp;E5&amp;",,,,,B,""FILING_DATE=1"")")</f>
        <v>0.46</v>
      </c>
      <c r="F12" s="1118" cm="1">
        <f t="array" ref="F12">_xll.FDS($B2,"FF_ASSETS_CURR_OTH(ANN_R,"&amp;F5&amp;",,,,,B,""FILING_DATE=1"")")</f>
        <v>0.31</v>
      </c>
      <c r="G12" s="1118" cm="1">
        <f t="array" ref="G12">_xll.FDS($B2,"FF_ASSETS_CURR_OTH(ANN_R,"&amp;G5&amp;",,,,,B,""FILING_DATE=1"")")</f>
        <v>0.188</v>
      </c>
      <c r="H12" s="1118" cm="1">
        <f t="array" ref="H12">_xll.FDS($B2,"FF_ASSETS_CURR_OTH(ANN_R,"&amp;H5&amp;",,,,,B,""FILING_DATE=1"")")</f>
        <v>0.70899999999999996</v>
      </c>
      <c r="I12" s="1118" cm="1">
        <f t="array" ref="I12">_xll.FDS($B2,"FF_ASSETS_CURR_OTH(ANN_R,"&amp;I5&amp;",,,,,B,""FILING_DATE=1"")")</f>
        <v>0.41799999999999998</v>
      </c>
      <c r="J12" s="1118" cm="1">
        <f t="array" ref="J12">_xll.FDS($B2,"FF_ASSETS_CURR_OTH(ANN_R,"&amp;J5&amp;",,,,,B,""FILING_DATE=1"")")</f>
        <v>0.45600000000000002</v>
      </c>
      <c r="K12" s="1118" cm="1">
        <f t="array" ref="K12">_xll.FDS($B2,"FF_ASSETS_CURR_OTH(ANN_R,"&amp;K5&amp;",,,,,B,""FILING_DATE=1"")")</f>
        <v>0.501</v>
      </c>
      <c r="L12" s="1118" cm="1">
        <f t="array" ref="L12">_xll.FDS($B2,"FF_ASSETS_CURR_OTH(ANN_R,"&amp;L5&amp;",,,,,B,""FILING_DATE=1"")")</f>
        <v>0.30299999999999999</v>
      </c>
      <c r="M12" s="16"/>
    </row>
    <row r="13" spans="1:13" s="17" customFormat="1">
      <c r="A13" s="344" t="str">
        <f>BS!A19</f>
        <v>Total Current Assets</v>
      </c>
      <c r="B13" s="372"/>
      <c r="C13" s="1119" cm="1">
        <f t="array" ref="C13">_xll.FDS($B2,"FF_ASSETS_CURR(ANN_R,"&amp;C5&amp;",,,,,B,""FILING_DATE=1"")")</f>
        <v>5.9740000000000002</v>
      </c>
      <c r="D13" s="1119" cm="1">
        <f t="array" ref="D13">_xll.FDS($B2,"FF_ASSETS_CURR(ANN_R,"&amp;D5&amp;",,,,,B,""FILING_DATE=1"")")</f>
        <v>5.0279999999999996</v>
      </c>
      <c r="E13" s="1119" cm="1">
        <f t="array" ref="E13">_xll.FDS($B2,"FF_ASSETS_CURR(ANN_R,"&amp;E5&amp;",,,,,B,""FILING_DATE=1"")")</f>
        <v>4.8150000000000004</v>
      </c>
      <c r="F13" s="1119" cm="1">
        <f t="array" ref="F13">_xll.FDS($B2,"FF_ASSETS_CURR(ANN_R,"&amp;F5&amp;",,,,,B,""FILING_DATE=1"")")</f>
        <v>4.4980000000000002</v>
      </c>
      <c r="G13" s="1119" cm="1">
        <f t="array" ref="G13">_xll.FDS($B2,"FF_ASSETS_CURR(ANN_R,"&amp;G5&amp;",,,,,B,""FILING_DATE=1"")")</f>
        <v>4.024</v>
      </c>
      <c r="H13" s="1119" cm="1">
        <f t="array" ref="H13">_xll.FDS($B2,"FF_ASSETS_CURR(ANN_R,"&amp;H5&amp;",,,,,B,""FILING_DATE=1"")")</f>
        <v>4.4039999999999999</v>
      </c>
      <c r="I13" s="1119" cm="1">
        <f t="array" ref="I13">_xll.FDS($B2,"FF_ASSETS_CURR(ANN_R,"&amp;I5&amp;",,,,,B,""FILING_DATE=1"")")</f>
        <v>4.4560000000000004</v>
      </c>
      <c r="J13" s="1119" cm="1">
        <f t="array" ref="J13">_xll.FDS($B2,"FF_ASSETS_CURR(ANN_R,"&amp;J5&amp;",,,,,B,""FILING_DATE=1"")")</f>
        <v>4.2270000000000003</v>
      </c>
      <c r="K13" s="1119" cm="1">
        <f t="array" ref="K13">_xll.FDS($B2,"FF_ASSETS_CURR(ANN_R,"&amp;K5&amp;",,,,,B,""FILING_DATE=1"")")</f>
        <v>4.3449999999999998</v>
      </c>
      <c r="L13" s="1119" cm="1">
        <f t="array" ref="L13">_xll.FDS($B2,"FF_ASSETS_CURR(ANN_R,"&amp;L5&amp;",,,,,B,""FILING_DATE=1"")")</f>
        <v>4.2789999999999999</v>
      </c>
      <c r="M13" s="18"/>
    </row>
    <row r="14" spans="1:13">
      <c r="A14" s="347" t="str">
        <f>BS!A20</f>
        <v>Net Property, Plant &amp; Equipment</v>
      </c>
      <c r="C14" s="1118" cm="1">
        <f t="array" ref="C14">_xll.FDS($B2,"FF_PPE_NET(ANN_R,"&amp;C5&amp;",,,,,B,""FILING_DATE=1"")")</f>
        <v>18.373999999999999</v>
      </c>
      <c r="D14" s="1118" cm="1">
        <f t="array" ref="D14">_xll.FDS($B2,"FF_PPE_NET(ANN_R,"&amp;D5&amp;",,,,,B,""FILING_DATE=1"")")</f>
        <v>19.524999999999999</v>
      </c>
      <c r="E14" s="1118" cm="1">
        <f t="array" ref="E14">_xll.FDS($B2,"FF_PPE_NET(ANN_R,"&amp;E5&amp;",,,,,B,""FILING_DATE=1"")")</f>
        <v>18.539000000000001</v>
      </c>
      <c r="F14" s="1118" cm="1">
        <f t="array" ref="F14">_xll.FDS($B2,"FF_PPE_NET(ANN_R,"&amp;F5&amp;",,,,,B,""FILING_DATE=1"")")</f>
        <v>17.044</v>
      </c>
      <c r="G14" s="1118" cm="1">
        <f t="array" ref="G14">_xll.FDS($B2,"FF_PPE_NET(ANN_R,"&amp;G5&amp;",,,,,B,""FILING_DATE=1"")")</f>
        <v>15.601000000000001</v>
      </c>
      <c r="H14" s="1118" cm="1">
        <f t="array" ref="H14">_xll.FDS($B2,"FF_PPE_NET(ANN_R,"&amp;H5&amp;",,,,,B,""FILING_DATE=1"")")</f>
        <v>14.292</v>
      </c>
      <c r="I14" s="1118" cm="1">
        <f t="array" ref="I14">_xll.FDS($B2,"FF_PPE_NET(ANN_R,"&amp;I5&amp;",,,,,B,""FILING_DATE=1"")")</f>
        <v>13.388999999999999</v>
      </c>
      <c r="J14" s="1118" cm="1">
        <f t="array" ref="J14">_xll.FDS($B2,"FF_PPE_NET(ANN_R,"&amp;J5&amp;",,,,,B,""FILING_DATE=1"")")</f>
        <v>12.766</v>
      </c>
      <c r="K14" s="1118" cm="1">
        <f t="array" ref="K14">_xll.FDS($B2,"FF_PPE_NET(ANN_R,"&amp;K5&amp;",,,,,B,""FILING_DATE=1"")")</f>
        <v>12.127000000000001</v>
      </c>
      <c r="L14" s="1118" cm="1">
        <f t="array" ref="L14">_xll.FDS($B2,"FF_PPE_NET(ANN_R,"&amp;L5&amp;",,,,,B,""FILING_DATE=1"")")</f>
        <v>10.577999999999999</v>
      </c>
      <c r="M14" s="16"/>
    </row>
    <row r="15" spans="1:13">
      <c r="A15" s="373" t="s">
        <v>448</v>
      </c>
      <c r="B15" s="12"/>
      <c r="C15" s="373">
        <f>'LUV-US R&amp;D'!C34</f>
        <v>0</v>
      </c>
      <c r="D15" s="373">
        <f>'LUV-US R&amp;D'!D34</f>
        <v>0</v>
      </c>
      <c r="E15" s="373">
        <f>'LUV-US R&amp;D'!E34</f>
        <v>0</v>
      </c>
      <c r="F15" s="373">
        <f>'LUV-US R&amp;D'!F34</f>
        <v>0</v>
      </c>
      <c r="G15" s="373">
        <f>'LUV-US R&amp;D'!G34</f>
        <v>0</v>
      </c>
      <c r="H15" s="373">
        <f>'LUV-US R&amp;D'!H34</f>
        <v>0</v>
      </c>
      <c r="I15" s="373">
        <f>'LUV-US R&amp;D'!I34</f>
        <v>0</v>
      </c>
      <c r="J15" s="373">
        <f>'LUV-US R&amp;D'!J34</f>
        <v>0</v>
      </c>
      <c r="K15" s="373">
        <f>'LUV-US R&amp;D'!K34</f>
        <v>0</v>
      </c>
      <c r="L15" s="373">
        <f>'LUV-US R&amp;D'!L34</f>
        <v>0</v>
      </c>
      <c r="M15" s="16"/>
    </row>
    <row r="16" spans="1:13">
      <c r="A16" s="373" t="s">
        <v>449</v>
      </c>
      <c r="B16" s="12"/>
      <c r="C16" s="373">
        <f>'LUV-US Lease'!C33</f>
        <v>0</v>
      </c>
      <c r="D16" s="373">
        <f>'LUV-US Lease'!D33</f>
        <v>0</v>
      </c>
      <c r="E16" s="373">
        <f>'LUV-US Lease'!E33</f>
        <v>1.2664264711690825</v>
      </c>
      <c r="F16" s="373">
        <f>'LUV-US Lease'!F33</f>
        <v>1.9383055602778914</v>
      </c>
      <c r="G16" s="373">
        <f>'LUV-US Lease'!G33</f>
        <v>2.6101846493867003</v>
      </c>
      <c r="H16" s="373">
        <f>'LUV-US Lease'!H33</f>
        <v>3.1344076301290573</v>
      </c>
      <c r="I16" s="373">
        <f>'LUV-US Lease'!I33</f>
        <v>3.1694432851675565</v>
      </c>
      <c r="J16" s="373">
        <f>'LUV-US Lease'!J33</f>
        <v>3.2044789402060552</v>
      </c>
      <c r="K16" s="373">
        <f>'LUV-US Lease'!K33</f>
        <v>3.5721320552546048</v>
      </c>
      <c r="L16" s="373">
        <f>'LUV-US Lease'!L33</f>
        <v>4.4806338183820582</v>
      </c>
      <c r="M16" s="16"/>
    </row>
    <row r="17" spans="1:14" s="17" customFormat="1">
      <c r="A17" s="347" t="str">
        <f>BS!A21</f>
        <v>Total Investments and Advances</v>
      </c>
      <c r="B17" s="3"/>
      <c r="C17" s="16" cm="1">
        <f t="array" ref="C17">_xll.FDS($B2,"FF_INVEST_ADV(ANN_R,"&amp;C5&amp;",,,,,B)")</f>
        <v>0.21099999999999999</v>
      </c>
      <c r="D17" s="16" cm="1">
        <f t="array" ref="D17">_xll.FDS($B2,"FF_INVEST_ADV(ANN_R,"&amp;D5&amp;",,,,,B)")</f>
        <v>4.9000000000000002E-2</v>
      </c>
      <c r="E17" s="16" cm="1">
        <f t="array" ref="E17">_xll.FDS($B2,"FF_INVEST_ADV(ANN_R,"&amp;E5&amp;",,,,,B)")</f>
        <v>9.5000000000000001E-2</v>
      </c>
      <c r="F17" s="16" cm="1">
        <f t="array" ref="F17">_xll.FDS($B2,"FF_INVEST_ADV(ANN_R,"&amp;F5&amp;",,,,,B)")</f>
        <v>0.13600000000000001</v>
      </c>
      <c r="G17" s="16" cm="1">
        <f t="array" ref="G17">_xll.FDS($B2,"FF_INVEST_ADV(ANN_R,"&amp;G5&amp;",,,,,B)")</f>
        <v>0.12</v>
      </c>
      <c r="H17" s="16" cm="1">
        <f t="array" ref="H17">_xll.FDS($B2,"FF_INVEST_ADV(ANN_R,"&amp;H5&amp;",,,,,B)")</f>
        <v>4.9000000000000002E-2</v>
      </c>
      <c r="I17" s="16" cm="1">
        <f t="array" ref="I17">_xll.FDS($B2,"FF_INVEST_ADV(ANN_R,"&amp;I5&amp;",,,,,B)")</f>
        <v>4.8000000000000001E-2</v>
      </c>
      <c r="J17" s="16" cm="1">
        <f t="array" ref="J17">_xll.FDS($B2,"FF_INVEST_ADV(ANN_R,"&amp;J5&amp;",,,,,B)")</f>
        <v>0.189</v>
      </c>
      <c r="K17" s="16" cm="1">
        <f t="array" ref="K17">_xll.FDS($B2,"FF_INVEST_ADV(ANN_R,"&amp;K5&amp;",,,,,B)")</f>
        <v>0.34699999999999998</v>
      </c>
      <c r="L17" s="16" cm="1">
        <f t="array" ref="L17">_xll.FDS($B2,"FF_INVEST_ADV(ANN_R,"&amp;L5&amp;",,,,,B)")</f>
        <v>0.35</v>
      </c>
      <c r="M17" s="18"/>
    </row>
    <row r="18" spans="1:14">
      <c r="A18" s="347" t="str">
        <f>BS!A22</f>
        <v>Intangible Assets</v>
      </c>
      <c r="C18" s="1118" cm="1">
        <f t="array" ref="C18">_xll.FDS($B2,"FF_INTANG_ASSETS(ANN,"&amp;C5&amp;",,,,,B)")</f>
        <v>0</v>
      </c>
      <c r="D18" s="1118" cm="1">
        <f t="array" ref="D18">_xll.FDS($B2,"FF_INTANG_ASSETS(ANN,"&amp;D5&amp;",,,,,B)")</f>
        <v>0</v>
      </c>
      <c r="E18" s="1118" cm="1">
        <f t="array" ref="E18">_xll.FDS($B2,"FF_INTANG_ASSETS(ANN,"&amp;E5&amp;",,,,,B)")</f>
        <v>1.37</v>
      </c>
      <c r="F18" s="1118" cm="1">
        <f t="array" ref="F18">_xll.FDS($B2,"FF_INTANG_ASSETS(ANN,"&amp;F5&amp;",,,,,B)")</f>
        <v>1.3830001000000001</v>
      </c>
      <c r="G18" s="1118" cm="1">
        <f t="array" ref="G18">_xll.FDS($B2,"FF_INTANG_ASSETS(ANN,"&amp;G5&amp;",,,,,B)")</f>
        <v>1.3959999999999999</v>
      </c>
      <c r="H18" s="1118" cm="1">
        <f t="array" ref="H18">_xll.FDS($B2,"FF_INTANG_ASSETS(ANN,"&amp;H5&amp;",,,,,B)")</f>
        <v>1.4339999999999999</v>
      </c>
      <c r="I18" s="1118" cm="1">
        <f t="array" ref="I18">_xll.FDS($B2,"FF_INTANG_ASSETS(ANN,"&amp;I5&amp;",,,,,B)")</f>
        <v>1.3329998000000001</v>
      </c>
      <c r="J18" s="1118" cm="1">
        <f t="array" ref="J18">_xll.FDS($B2,"FF_INTANG_ASSETS(ANN,"&amp;J5&amp;",,,,,B)")</f>
        <v>1.1359999999999999</v>
      </c>
      <c r="K18" s="1118" cm="1">
        <f t="array" ref="K18">_xll.FDS($B2,"FF_INTANG_ASSETS(ANN,"&amp;K5&amp;",,,,,B)")</f>
        <v>1.1080000000000001</v>
      </c>
      <c r="L18" s="1118" cm="1">
        <f t="array" ref="L18">_xll.FDS($B2,"FF_INTANG_ASSETS(ANN,"&amp;L5&amp;",,,,,B)")</f>
        <v>1.125</v>
      </c>
    </row>
    <row r="19" spans="1:14">
      <c r="A19" s="347" t="str">
        <f>BS!A23</f>
        <v>Deferred Tax Assets</v>
      </c>
      <c r="C19" s="1118" cm="1">
        <f t="array" ref="C19">IFERROR(_xll.FDS($B2,"FF_DFD_TAX_DB(ANN_R,"&amp;C5&amp;",,,,,B)"),0)</f>
        <v>1.9850000000000001</v>
      </c>
      <c r="D19" s="1118" cm="1">
        <f t="array" ref="D19">IFERROR(_xll.FDS($B2,"FF_DFD_TAX_DB(ANN_R,"&amp;D5&amp;",,,,,B)"),0)</f>
        <v>1.1180000000000001</v>
      </c>
      <c r="E19" s="1118" cm="1">
        <f t="array" ref="E19">IFERROR(_xll.FDS($B2,"FF_DFD_TAX_DB(ANN_R,"&amp;E5&amp;",,,,,B)"),0)</f>
        <v>1.06</v>
      </c>
      <c r="F19" s="1118" cm="1">
        <f t="array" ref="F19">IFERROR(_xll.FDS($B2,"FF_DFD_TAX_DB(ANN_R,"&amp;F5&amp;",,,,,B)"),0)</f>
        <v>1.087</v>
      </c>
      <c r="G19" s="1118" cm="1">
        <f t="array" ref="G19">IFERROR(_xll.FDS($B2,"FF_DFD_TAX_DB(ANN_R,"&amp;G5&amp;",,,,,B)"),0)</f>
        <v>1.486</v>
      </c>
      <c r="H19" s="1118" cm="1">
        <f t="array" ref="H19">IFERROR(_xll.FDS($B2,"FF_DFD_TAX_DB(ANN_R,"&amp;H5&amp;",,,,,B)"),0)</f>
        <v>2.0009999999999999</v>
      </c>
      <c r="I19" s="1118" cm="1">
        <f t="array" ref="I19">IFERROR(_xll.FDS($B2,"FF_DFD_TAX_DB(ANN_R,"&amp;I5&amp;",,,,,B)"),0)</f>
        <v>0</v>
      </c>
      <c r="J19" s="1118" cm="1">
        <f t="array" ref="J19">IFERROR(_xll.FDS($B2,"FF_DFD_TAX_DB(ANN_R,"&amp;J5&amp;",,,,,B)"),0)</f>
        <v>0</v>
      </c>
      <c r="K19" s="1118" cm="1">
        <f t="array" ref="K19">IFERROR(_xll.FDS($B2,"FF_DFD_TAX_DB(ANN_R,"&amp;K5&amp;",,,,,B)"),0)</f>
        <v>0</v>
      </c>
      <c r="L19" s="1118" cm="1">
        <f t="array" ref="L19">IFERROR(_xll.FDS($B2,"FF_DFD_TAX_DB(ANN_R,"&amp;L5&amp;",,,,,B)"),0)</f>
        <v>0</v>
      </c>
      <c r="M19" s="16"/>
    </row>
    <row r="20" spans="1:14">
      <c r="A20" s="347" t="str">
        <f>BS!A24</f>
        <v>Other Assets</v>
      </c>
      <c r="C20" s="1118" cm="1">
        <f t="array" ref="C20">_xll.FDS($B2,"FF_ASSETS_CURR_OTH(ANN_R,"&amp;C5&amp;",,,,,B,""FILING_DATE=1"")")</f>
        <v>0.28699999999999998</v>
      </c>
      <c r="D20" s="1118" cm="1">
        <f t="array" ref="D20">_xll.FDS($B2,"FF_ASSETS_CURR_OTH(ANN_R,"&amp;D5&amp;",,,,,B,""FILING_DATE=1"")")</f>
        <v>0.31</v>
      </c>
      <c r="E20" s="1118" cm="1">
        <f t="array" ref="E20">_xll.FDS($B2,"FF_ASSETS_CURR_OTH(ANN_R,"&amp;E5&amp;",,,,,B,""FILING_DATE=1"")")</f>
        <v>0.46</v>
      </c>
      <c r="F20" s="1118" cm="1">
        <f t="array" ref="F20">_xll.FDS($B2,"FF_ASSETS_CURR_OTH(ANN_R,"&amp;F5&amp;",,,,,B,""FILING_DATE=1"")")</f>
        <v>0.31</v>
      </c>
      <c r="G20" s="1118" cm="1">
        <f t="array" ref="G20">_xll.FDS($B2,"FF_ASSETS_CURR_OTH(ANN_R,"&amp;G5&amp;",,,,,B,""FILING_DATE=1"")")</f>
        <v>0.188</v>
      </c>
      <c r="H20" s="1118" cm="1">
        <f t="array" ref="H20">_xll.FDS($B2,"FF_ASSETS_CURR_OTH(ANN_R,"&amp;H5&amp;",,,,,B,""FILING_DATE=1"")")</f>
        <v>0.70899999999999996</v>
      </c>
      <c r="I20" s="1118" cm="1">
        <f t="array" ref="I20">_xll.FDS($B2,"FF_ASSETS_CURR_OTH(ANN_R,"&amp;I5&amp;",,,,,B,""FILING_DATE=1"")")</f>
        <v>0.41799999999999998</v>
      </c>
      <c r="J20" s="1118" cm="1">
        <f t="array" ref="J20">_xll.FDS($B2,"FF_ASSETS_CURR_OTH(ANN_R,"&amp;J5&amp;",,,,,B,""FILING_DATE=1"")")</f>
        <v>0.45600000000000002</v>
      </c>
      <c r="K20" s="1118" cm="1">
        <f t="array" ref="K20">_xll.FDS($B2,"FF_ASSETS_CURR_OTH(ANN_R,"&amp;K5&amp;",,,,,B,""FILING_DATE=1"")")</f>
        <v>0.501</v>
      </c>
      <c r="L20" s="1118" cm="1">
        <f t="array" ref="L20">_xll.FDS($B2,"FF_ASSETS_CURR_OTH(ANN_R,"&amp;L5&amp;",,,,,B,""FILING_DATE=1"")")</f>
        <v>0.30299999999999999</v>
      </c>
      <c r="M20" s="16"/>
    </row>
    <row r="21" spans="1:14" s="17" customFormat="1">
      <c r="A21" s="374" t="str">
        <f>BS!A25</f>
        <v>Total Assets</v>
      </c>
      <c r="B21" s="12"/>
      <c r="C21" s="1120" cm="1">
        <f t="array" ref="C21">_xll.FDS($B2,"FF_ASSETS(ANN_R,"&amp;C5&amp;",,,,,B)")+SUM(C15:C16)</f>
        <v>36.573</v>
      </c>
      <c r="D21" s="1120" cm="1">
        <f t="array" ref="D21">_xll.FDS($B2,"FF_ASSETS(ANN_R,"&amp;D5&amp;",,,,,B)")+SUM(D15:D16)</f>
        <v>27.013000000000002</v>
      </c>
      <c r="E21" s="1120" cm="1">
        <f t="array" ref="E21">_xll.FDS($B2,"FF_ASSETS(ANN_R,"&amp;E5&amp;",,,,,B)")+SUM(E15:E16)</f>
        <v>28.569426471169084</v>
      </c>
      <c r="F21" s="1120" cm="1">
        <f t="array" ref="F21">_xll.FDS($B2,"FF_ASSETS(ANN_R,"&amp;F5&amp;",,,,,B)")+SUM(F15:F16)</f>
        <v>28.135305560277892</v>
      </c>
      <c r="G21" s="1120" cm="1">
        <f t="array" ref="G21">_xll.FDS($B2,"FF_ASSETS(ANN_R,"&amp;G5&amp;",,,,,B)")+SUM(G15:G16)</f>
        <v>27.382184649386698</v>
      </c>
      <c r="H21" s="1120" cm="1">
        <f t="array" ref="H21">_xll.FDS($B2,"FF_ASSETS(ANN_R,"&amp;H5&amp;",,,,,B)")+SUM(H15:H16)</f>
        <v>26.447407630129057</v>
      </c>
      <c r="I21" s="1120" cm="1">
        <f t="array" ref="I21">_xll.FDS($B2,"FF_ASSETS(ANN_R,"&amp;I5&amp;",,,,,B)")+SUM(I15:I16)</f>
        <v>23.369443285167556</v>
      </c>
      <c r="J21" s="1120" cm="1">
        <f t="array" ref="J21">_xll.FDS($B2,"FF_ASSETS(ANN_R,"&amp;J5&amp;",,,,,B)")+SUM(J15:J16)</f>
        <v>22.549478940206054</v>
      </c>
      <c r="K21" s="1120" cm="1">
        <f t="array" ref="K21">_xll.FDS($B2,"FF_ASSETS(ANN_R,"&amp;K5&amp;",,,,,B)")+SUM(K15:K16)</f>
        <v>22.168132055254606</v>
      </c>
      <c r="L21" s="1120" cm="1">
        <f t="array" ref="L21">_xll.FDS($B2,"FF_ASSETS(ANN_R,"&amp;L5&amp;",,,,,B)")+SUM(L15:L16)</f>
        <v>22.548633818382058</v>
      </c>
      <c r="M21" s="18"/>
    </row>
    <row r="22" spans="1:14">
      <c r="A22" s="344" t="str">
        <f>BS!A26</f>
        <v>Liabilities &amp; Shareholders' Equity</v>
      </c>
      <c r="C22" s="1118"/>
      <c r="D22" s="347"/>
      <c r="E22" s="347"/>
      <c r="F22" s="347"/>
      <c r="G22" s="347"/>
      <c r="H22" s="347"/>
      <c r="I22" s="347"/>
      <c r="J22" s="347"/>
      <c r="K22" s="347"/>
      <c r="L22" s="347"/>
      <c r="M22" s="16"/>
    </row>
    <row r="23" spans="1:14">
      <c r="A23" s="347" t="str">
        <f>BS!A27</f>
        <v>ST Debt &amp; Curr. Portion LT Debt</v>
      </c>
      <c r="C23" s="1118" cm="1">
        <f t="array" ref="C23">_xll.FDS($B2,"FF_DEBT_ST(ANN_R,"&amp;C5&amp;",,,,,B,""FILING_DATE=1"")")</f>
        <v>1.1719999999999999</v>
      </c>
      <c r="D23" s="1118" cm="1">
        <f t="array" ref="D23">_xll.FDS($B2,"FF_DEBT_ST(ANN_R,"&amp;D5&amp;",,,,,B,""FILING_DATE=1"")")</f>
        <v>0.60599999999999998</v>
      </c>
      <c r="E23" s="1118" cm="1">
        <f t="array" ref="E23">_xll.FDS($B2,"FF_DEBT_ST(ANN_R,"&amp;E5&amp;",,,,,B,""FILING_DATE=1"")")</f>
        <v>0.34799999999999998</v>
      </c>
      <c r="F23" s="1118" cm="1">
        <f t="array" ref="F23">_xll.FDS($B2,"FF_DEBT_ST(ANN_R,"&amp;F5&amp;",,,,,B,""FILING_DATE=1"")")</f>
        <v>0.56599999999999995</v>
      </c>
      <c r="G23" s="1118" cm="1">
        <f t="array" ref="G23">_xll.FDS($B2,"FF_DEBT_ST(ANN_R,"&amp;G5&amp;",,,,,B,""FILING_DATE=1"")")</f>
        <v>0.63700000000000001</v>
      </c>
      <c r="H23" s="1118" cm="1">
        <f t="array" ref="H23">_xll.FDS($B2,"FF_DEBT_ST(ANN_R,"&amp;H5&amp;",,,,,B,""FILING_DATE=1"")")</f>
        <v>0.25800000000000001</v>
      </c>
      <c r="I23" s="1118" cm="1">
        <f t="array" ref="I23">_xll.FDS($B2,"FF_DEBT_ST(ANN_R,"&amp;I5&amp;",,,,,B,""FILING_DATE=1"")")</f>
        <v>0.629</v>
      </c>
      <c r="J23" s="1118" cm="1">
        <f t="array" ref="J23">_xll.FDS($B2,"FF_DEBT_ST(ANN_R,"&amp;J5&amp;",,,,,B,""FILING_DATE=1"")")</f>
        <v>0.27100000000000002</v>
      </c>
      <c r="K23" s="1118" cm="1">
        <f t="array" ref="K23">_xll.FDS($B2,"FF_DEBT_ST(ANN_R,"&amp;K5&amp;",,,,,B,""FILING_DATE=1"")")</f>
        <v>0.64400000000000002</v>
      </c>
      <c r="L23" s="1118" cm="1">
        <f t="array" ref="L23">_xll.FDS($B2,"FF_DEBT_ST(ANN_R,"&amp;L5&amp;",,,,,B,""FILING_DATE=1"")")</f>
        <v>0.505</v>
      </c>
      <c r="M23" s="16"/>
    </row>
    <row r="24" spans="1:14">
      <c r="A24" s="347" t="str">
        <f>BS!A28</f>
        <v>Accounts Payable</v>
      </c>
      <c r="C24" s="1118" cm="1">
        <f t="array" ref="C24">_xll.FDS($B2,"FF_PAY_ACCT(ANN_R,"&amp;C5&amp;",,,,,B,""FILING_DATE=1"")")</f>
        <v>0.59499999999999997</v>
      </c>
      <c r="D24" s="1118" cm="1">
        <f t="array" ref="D24">_xll.FDS($B2,"FF_PAY_ACCT(ANN_R,"&amp;D5&amp;",,,,,B,""FILING_DATE=1"")")</f>
        <v>0.45400000000000001</v>
      </c>
      <c r="E24" s="1118" cm="1">
        <f t="array" ref="E24">_xll.FDS($B2,"FF_PAY_ACCT(ANN_R,"&amp;E5&amp;",,,,,B,""FILING_DATE=1"")")</f>
        <v>0.34699999999999998</v>
      </c>
      <c r="F24" s="1118" cm="1">
        <f t="array" ref="F24">_xll.FDS($B2,"FF_PAY_ACCT(ANN_R,"&amp;F5&amp;",,,,,B,""FILING_DATE=1"")")</f>
        <v>0.25900000000000001</v>
      </c>
      <c r="G24" s="1118" cm="1">
        <f t="array" ref="G24">_xll.FDS($B2,"FF_PAY_ACCT(ANN_R,"&amp;G5&amp;",,,,,B,""FILING_DATE=1"")")</f>
        <v>0.39400000000000002</v>
      </c>
      <c r="H24" s="1118" cm="1">
        <f t="array" ref="H24">_xll.FDS($B2,"FF_PAY_ACCT(ANN_R,"&amp;H5&amp;",,,,,B,""FILING_DATE=1"")")</f>
        <v>0.52200000000000002</v>
      </c>
      <c r="I24" s="1118" cm="1">
        <f t="array" ref="I24">_xll.FDS($B2,"FF_PAY_ACCT(ANN_R,"&amp;I5&amp;",,,,,B,""FILING_DATE=1"")")</f>
        <v>0.622</v>
      </c>
      <c r="J24" s="1118" cm="1">
        <f t="array" ref="J24">_xll.FDS($B2,"FF_PAY_ACCT(ANN_R,"&amp;J5&amp;",,,,,B,""FILING_DATE=1"")")</f>
        <v>1.107</v>
      </c>
      <c r="K24" s="1118" cm="1">
        <f t="array" ref="K24">_xll.FDS($B2,"FF_PAY_ACCT(ANN_R,"&amp;K5&amp;",,,,,B,""FILING_DATE=1"")")</f>
        <v>1.0569999999999999</v>
      </c>
      <c r="L24" s="1118" cm="1">
        <f t="array" ref="L24">_xll.FDS($B2,"FF_PAY_ACCT(ANN_R,"&amp;L5&amp;",,,,,B,""FILING_DATE=1"")")</f>
        <v>0.73899999999999999</v>
      </c>
      <c r="M24" s="16"/>
    </row>
    <row r="25" spans="1:14">
      <c r="A25" s="347" t="str">
        <f>BS!A29</f>
        <v>Income Tax Payable</v>
      </c>
      <c r="C25" s="1118" cm="1">
        <f t="array" ref="C25">IFERROR(_xll.FDS($B2,"FF_INC_PAY_TAX(ANN_R,"&amp;C5&amp;",,,,,B,""FILING_DATE=1"")"),0)</f>
        <v>0</v>
      </c>
      <c r="D25" s="1118" cm="1">
        <f t="array" ref="D25">IFERROR(_xll.FDS($B2,"FF_INC_PAY_TAX(ANN_R,"&amp;D5&amp;",,,,,B,""FILING_DATE=1"")"),0)</f>
        <v>0</v>
      </c>
      <c r="E25" s="1118" cm="1">
        <f t="array" ref="E25">IFERROR(_xll.FDS($B2,"FF_INC_PAY_TAX(ANN_R,"&amp;E5&amp;",,,,,B,""FILING_DATE=1"")"),0)</f>
        <v>0</v>
      </c>
      <c r="F25" s="1118" cm="1">
        <f t="array" ref="F25">IFERROR(_xll.FDS($B2,"FF_INC_PAY_TAX(ANN_R,"&amp;F5&amp;",,,,,B,""FILING_DATE=1"")"),0)</f>
        <v>0</v>
      </c>
      <c r="G25" s="1118" cm="1">
        <f t="array" ref="G25">IFERROR(_xll.FDS($B2,"FF_INC_PAY_TAX(ANN_R,"&amp;G5&amp;",,,,,B,""FILING_DATE=1"")"),0)</f>
        <v>0</v>
      </c>
      <c r="H25" s="1118" cm="1">
        <f t="array" ref="H25">IFERROR(_xll.FDS($B2,"FF_INC_PAY_TAX(ANN_R,"&amp;H5&amp;",,,,,B,""FILING_DATE=1"")"),0)</f>
        <v>0</v>
      </c>
      <c r="I25" s="1118" cm="1">
        <f t="array" ref="I25">IFERROR(_xll.FDS($B2,"FF_INC_PAY_TAX(ANN_R,"&amp;I5&amp;",,,,,B,""FILING_DATE=1"")"),0)</f>
        <v>0</v>
      </c>
      <c r="J25" s="1118" cm="1">
        <f t="array" ref="J25">IFERROR(_xll.FDS($B2,"FF_INC_PAY_TAX(ANN_R,"&amp;J5&amp;",,,,,B,""FILING_DATE=1"")"),0)</f>
        <v>0</v>
      </c>
      <c r="K25" s="1118" cm="1">
        <f t="array" ref="K25">IFERROR(_xll.FDS($B2,"FF_INC_PAY_TAX(ANN_R,"&amp;K5&amp;",,,,,B,""FILING_DATE=1"")"),0)</f>
        <v>0</v>
      </c>
      <c r="L25" s="1118" cm="1">
        <f t="array" ref="L25">IFERROR(_xll.FDS($B2,"FF_INC_PAY_TAX(ANN_R,"&amp;L5&amp;",,,,,B,""FILING_DATE=1"")"),0)</f>
        <v>0</v>
      </c>
      <c r="M25" s="16"/>
    </row>
    <row r="26" spans="1:14">
      <c r="A26" s="347" t="str">
        <f>BS!A30</f>
        <v>Other Current Liabilities</v>
      </c>
      <c r="C26" s="1118" cm="1">
        <f t="array" ref="C26">_xll.FDS($B2,"FF_LIABS_CURR_OTH(ANN_R,"&amp;C5&amp;",,,,,B,""FILING_DATE=1"")")</f>
        <v>7.1059999999999999</v>
      </c>
      <c r="D26" s="1118" cm="1">
        <f t="array" ref="D26">_xll.FDS($B2,"FF_LIABS_CURR_OTH(ANN_R,"&amp;D5&amp;",,,,,B,""FILING_DATE=1"")")</f>
        <v>6.625</v>
      </c>
      <c r="E26" s="1118" cm="1">
        <f t="array" ref="E26">_xll.FDS($B2,"FF_LIABS_CURR_OTH(ANN_R,"&amp;E5&amp;",,,,,B,""FILING_DATE=1"")")</f>
        <v>5.9649999999999999</v>
      </c>
      <c r="F26" s="1118" cm="1">
        <f t="array" ref="F26">_xll.FDS($B2,"FF_LIABS_CURR_OTH(ANN_R,"&amp;F5&amp;",,,,,B,""FILING_DATE=1"")")</f>
        <v>5.835</v>
      </c>
      <c r="G26" s="1118" cm="1">
        <f t="array" ref="G26">_xll.FDS($B2,"FF_LIABS_CURR_OTH(ANN_R,"&amp;G5&amp;",,,,,B,""FILING_DATE=1"")")</f>
        <v>6.1959999999999997</v>
      </c>
      <c r="H26" s="1118" cm="1">
        <f t="array" ref="H26">_xll.FDS($B2,"FF_LIABS_CURR_OTH(ANN_R,"&amp;H5&amp;",,,,,B,""FILING_DATE=1"")")</f>
        <v>4.9800000000000004</v>
      </c>
      <c r="I26" s="1118" cm="1">
        <f t="array" ref="I26">_xll.FDS($B2,"FF_LIABS_CURR_OTH(ANN_R,"&amp;I5&amp;",,,,,B,""FILING_DATE=1"")")</f>
        <v>4.2789999999999999</v>
      </c>
      <c r="J26" s="1118" cm="1">
        <f t="array" ref="J26">_xll.FDS($B2,"FF_LIABS_CURR_OTH(ANN_R,"&amp;J5&amp;",,,,,B,""FILING_DATE=1"")")</f>
        <v>3.2719999999999998</v>
      </c>
      <c r="K26" s="1118" cm="1">
        <f t="array" ref="K26">_xll.FDS($B2,"FF_LIABS_CURR_OTH(ANN_R,"&amp;K5&amp;",,,,,B,""FILING_DATE=1"")")</f>
        <v>2.8319999999999999</v>
      </c>
      <c r="L26" s="1118" cm="1">
        <f t="array" ref="L26">_xll.FDS($B2,"FF_LIABS_CURR_OTH(ANN_R,"&amp;L5&amp;",,,,,B,""FILING_DATE=1"")")</f>
        <v>2.0609999999999999</v>
      </c>
      <c r="M26" s="16"/>
    </row>
    <row r="27" spans="1:14" s="17" customFormat="1">
      <c r="A27" s="344" t="str">
        <f>BS!A31</f>
        <v>Total Current Liabilities</v>
      </c>
      <c r="B27" s="372"/>
      <c r="C27" s="1119" cm="1">
        <f t="array" ref="C27">_xll.FDS($B2,"FF_LIABS_CURR(ANN_R,"&amp;C5&amp;",,,,,B,""FILING_DATE=1"")")</f>
        <v>8.952</v>
      </c>
      <c r="D27" s="1119" cm="1">
        <f t="array" ref="D27">_xll.FDS($B2,"FF_LIABS_CURR(ANN_R,"&amp;D5&amp;",,,,,B,""FILING_DATE=1"")")</f>
        <v>7.9050000000000002</v>
      </c>
      <c r="E27" s="1119" cm="1">
        <f t="array" ref="E27">_xll.FDS($B2,"FF_LIABS_CURR(ANN_R,"&amp;E5&amp;",,,,,B,""FILING_DATE=1"")")</f>
        <v>6.8630000000000004</v>
      </c>
      <c r="F27" s="1119" cm="1">
        <f t="array" ref="F27">_xll.FDS($B2,"FF_LIABS_CURR(ANN_R,"&amp;F5&amp;",,,,,B,""FILING_DATE=1"")")</f>
        <v>6.8440000000000003</v>
      </c>
      <c r="G27" s="1119" cm="1">
        <f t="array" ref="G27">_xll.FDS($B2,"FF_LIABS_CURR(ANN_R,"&amp;G5&amp;",,,,,B,""FILING_DATE=1"")")</f>
        <v>7.4059999999999997</v>
      </c>
      <c r="H27" s="1119" cm="1">
        <f t="array" ref="H27">_xll.FDS($B2,"FF_LIABS_CURR(ANN_R,"&amp;H5&amp;",,,,,B,""FILING_DATE=1"")")</f>
        <v>5.923</v>
      </c>
      <c r="I27" s="1119" cm="1">
        <f t="array" ref="I27">_xll.FDS($B2,"FF_LIABS_CURR(ANN_R,"&amp;I5&amp;",,,,,B,""FILING_DATE=1"")")</f>
        <v>5.6760000000000002</v>
      </c>
      <c r="J27" s="1119" cm="1">
        <f t="array" ref="J27">_xll.FDS($B2,"FF_LIABS_CURR(ANN_R,"&amp;J5&amp;",,,,,B,""FILING_DATE=1"")")</f>
        <v>4.6500000000000004</v>
      </c>
      <c r="K27" s="1119" cm="1">
        <f t="array" ref="K27">_xll.FDS($B2,"FF_LIABS_CURR(ANN_R,"&amp;K5&amp;",,,,,B,""FILING_DATE=1"")")</f>
        <v>4.5330000000000004</v>
      </c>
      <c r="L27" s="1119" cm="1">
        <f t="array" ref="L27">_xll.FDS($B2,"FF_LIABS_CURR(ANN_R,"&amp;L5&amp;",,,,,B,""FILING_DATE=1"")")</f>
        <v>3.3050000000000002</v>
      </c>
      <c r="M27" s="18"/>
      <c r="N27" s="1121"/>
    </row>
    <row r="28" spans="1:14">
      <c r="A28" s="347" t="str">
        <f>BS!A32</f>
        <v>Long-Term Debt</v>
      </c>
      <c r="C28" s="1118" cm="1">
        <f t="array" ref="C28">_xll.FDS($B2,"FF_DEBT_LT(ANN_R,"&amp;C5&amp;",,,,,B,""FILING_DATE=1"")")</f>
        <v>2.8239999999999998</v>
      </c>
      <c r="D28" s="1118" cm="1">
        <f t="array" ref="D28">_xll.FDS($B2,"FF_DEBT_LT(ANN_R,"&amp;D5&amp;",,,,,B,""FILING_DATE=1"")")</f>
        <v>2.819</v>
      </c>
      <c r="E28" s="1118" cm="1">
        <f t="array" ref="E28">_xll.FDS($B2,"FF_DEBT_LT(ANN_R,"&amp;E5&amp;",,,,,B,""FILING_DATE=1"")")</f>
        <v>3.4049999999999998</v>
      </c>
      <c r="F28" s="1118" cm="1">
        <f t="array" ref="F28">_xll.FDS($B2,"FF_DEBT_LT(ANN_R,"&amp;F5&amp;",,,,,B,""FILING_DATE=1"")")</f>
        <v>2.9460000000000002</v>
      </c>
      <c r="G28" s="1118" cm="1">
        <f t="array" ref="G28">_xll.FDS($B2,"FF_DEBT_LT(ANN_R,"&amp;G5&amp;",,,,,B,""FILING_DATE=1"")")</f>
        <v>2.706</v>
      </c>
      <c r="H28" s="1118" cm="1">
        <f t="array" ref="H28">_xll.FDS($B2,"FF_DEBT_LT(ANN_R,"&amp;H5&amp;",,,,,B,""FILING_DATE=1"")")</f>
        <v>2.6269999999999998</v>
      </c>
      <c r="I28" s="1118" cm="1">
        <f t="array" ref="I28">_xll.FDS($B2,"FF_DEBT_LT(ANN_R,"&amp;I5&amp;",,,,,B,""FILING_DATE=1"")")</f>
        <v>2.4809999999999999</v>
      </c>
      <c r="J28" s="1118" cm="1">
        <f t="array" ref="J28">_xll.FDS($B2,"FF_DEBT_LT(ANN_R,"&amp;J5&amp;",,,,,B,""FILING_DATE=1"")")</f>
        <v>3.2589999999999999</v>
      </c>
      <c r="K28" s="1118" cm="1">
        <f t="array" ref="K28">_xll.FDS($B2,"FF_DEBT_LT(ANN_R,"&amp;K5&amp;",,,,,B,""FILING_DATE=1"")")</f>
        <v>3.4180000000000001</v>
      </c>
      <c r="L28" s="1118" cm="1">
        <f t="array" ref="L28">_xll.FDS($B2,"FF_DEBT_LT(ANN_R,"&amp;L5&amp;",,,,,B,""FILING_DATE=1"")")</f>
        <v>2.875</v>
      </c>
      <c r="M28" s="16"/>
    </row>
    <row r="29" spans="1:14">
      <c r="A29" s="375" t="str">
        <f>'DAL-US Lease'!B33</f>
        <v>Lease adj. to Total Debt outstanding</v>
      </c>
      <c r="B29" s="375"/>
      <c r="C29" s="375">
        <f>C16</f>
        <v>0</v>
      </c>
      <c r="D29" s="375">
        <f t="shared" ref="D29:L29" si="0">D16</f>
        <v>0</v>
      </c>
      <c r="E29" s="375">
        <f t="shared" si="0"/>
        <v>1.2664264711690825</v>
      </c>
      <c r="F29" s="375">
        <f t="shared" si="0"/>
        <v>1.9383055602778914</v>
      </c>
      <c r="G29" s="375">
        <f t="shared" si="0"/>
        <v>2.6101846493867003</v>
      </c>
      <c r="H29" s="375">
        <f t="shared" si="0"/>
        <v>3.1344076301290573</v>
      </c>
      <c r="I29" s="375">
        <f t="shared" si="0"/>
        <v>3.1694432851675565</v>
      </c>
      <c r="J29" s="375">
        <f t="shared" si="0"/>
        <v>3.2044789402060552</v>
      </c>
      <c r="K29" s="375">
        <f t="shared" si="0"/>
        <v>3.5721320552546048</v>
      </c>
      <c r="L29" s="375">
        <f t="shared" si="0"/>
        <v>4.4806338183820582</v>
      </c>
      <c r="M29" s="16"/>
    </row>
    <row r="30" spans="1:14">
      <c r="A30" s="347" t="str">
        <f>BS!A33</f>
        <v>Provision for Risks &amp; Charges</v>
      </c>
      <c r="C30" s="1118" cm="1">
        <f t="array" ref="C30">_xll.FDS($B2,"FF_PROV_RISK(ANN_R,"&amp;C5&amp;",,,,,B)")</f>
        <v>0.42799999999999999</v>
      </c>
      <c r="D30" s="1118" cm="1">
        <f t="array" ref="D30">_xll.FDS($B2,"FF_PROV_RISK(ANN_R,"&amp;D5&amp;",,,,,B)")</f>
        <v>0.28799999999999998</v>
      </c>
      <c r="E30" s="1118" cm="1">
        <f t="array" ref="E30">_xll.FDS($B2,"FF_PROV_RISK(ANN_R,"&amp;E5&amp;",,,,,B)")</f>
        <v>0.23200000000000001</v>
      </c>
      <c r="F30" s="1118" cm="1">
        <f t="array" ref="F30">_xll.FDS($B2,"FF_PROV_RISK(ANN_R,"&amp;F5&amp;",,,,,B)")</f>
        <v>0.27500000000000002</v>
      </c>
      <c r="G30" s="1118" cm="1">
        <f t="array" ref="G30">_xll.FDS($B2,"FF_PROV_RISK(ANN_R,"&amp;G5&amp;",,,,,B)")</f>
        <v>0.25600000000000001</v>
      </c>
      <c r="H30" s="1118" cm="1">
        <f t="array" ref="H30">_xll.FDS($B2,"FF_PROV_RISK(ANN_R,"&amp;H5&amp;",,,,,B)")</f>
        <v>0.20100000000000001</v>
      </c>
      <c r="I30" s="1118" cm="1">
        <f t="array" ref="I30">_xll.FDS($B2,"FF_PROV_RISK(ANN_R,"&amp;I5&amp;",,,,,B)")</f>
        <v>0.16900000000000001</v>
      </c>
      <c r="J30" s="1118" cm="1">
        <f t="array" ref="J30">_xll.FDS($B2,"FF_PROV_RISK(ANN_R,"&amp;J5&amp;",,,,,B)")</f>
        <v>0.13800000000000001</v>
      </c>
      <c r="K30" s="1118" cm="1">
        <f t="array" ref="K30">_xll.FDS($B2,"FF_PROV_RISK(ANN_R,"&amp;K5&amp;",,,,,B)")</f>
        <v>0.14799999999999999</v>
      </c>
      <c r="L30" s="1118" cm="1">
        <f t="array" ref="L30">_xll.FDS($B2,"FF_PROV_RISK(ANN_R,"&amp;L5&amp;",,,,,B)")</f>
        <v>0.107</v>
      </c>
      <c r="M30" s="16"/>
    </row>
    <row r="31" spans="1:14">
      <c r="A31" s="347" t="str">
        <f>BS!A34</f>
        <v>Deferred Tax Liabilities</v>
      </c>
      <c r="C31" s="1118" cm="1">
        <f t="array" ref="C31">IFERROR(_xll.FDS($B2,"FF_DFD_TAX_CR(ANN_R,"&amp;C5&amp;",,,,,B,""FILING_DATE=1"")"),0)</f>
        <v>3.4820000000000002</v>
      </c>
      <c r="D31" s="1118" cm="1">
        <f t="array" ref="D31">IFERROR(_xll.FDS($B2,"FF_DFD_TAX_CR(ANN_R,"&amp;D5&amp;",,,,,B,""FILING_DATE=1"")"),0)</f>
        <v>3.4870000000000001</v>
      </c>
      <c r="E31" s="1118" cm="1">
        <f t="array" ref="E31">IFERROR(_xll.FDS($B2,"FF_DFD_TAX_CR(ANN_R,"&amp;E5&amp;",,,,,B,""FILING_DATE=1"")"),0)</f>
        <v>3.206</v>
      </c>
      <c r="F31" s="1118" cm="1">
        <f t="array" ref="F31">IFERROR(_xll.FDS($B2,"FF_DFD_TAX_CR(ANN_R,"&amp;F5&amp;",,,,,B,""FILING_DATE=1"")"),0)</f>
        <v>4.8600000000000003</v>
      </c>
      <c r="G31" s="1118" cm="1">
        <f t="array" ref="G31">IFERROR(_xll.FDS($B2,"FF_DFD_TAX_CR(ANN_R,"&amp;G5&amp;",,,,,B,""FILING_DATE=1"")"),0)</f>
        <v>4.4909999999999997</v>
      </c>
      <c r="H31" s="1118" cm="1">
        <f t="array" ref="H31">IFERROR(_xll.FDS($B2,"FF_DFD_TAX_CR(ANN_R,"&amp;H5&amp;",,,,,B,""FILING_DATE=1"")"),0)</f>
        <v>3.2589999999999999</v>
      </c>
      <c r="I31" s="1118" cm="1">
        <f t="array" ref="I31">IFERROR(_xll.FDS($B2,"FF_DFD_TAX_CR(ANN_R,"&amp;I5&amp;",,,,,B,""FILING_DATE=1"")"),0)</f>
        <v>2.9340000000000002</v>
      </c>
      <c r="J31" s="1118" cm="1">
        <f t="array" ref="J31">IFERROR(_xll.FDS($B2,"FF_DFD_TAX_CR(ANN_R,"&amp;J5&amp;",,,,,B,""FILING_DATE=1"")"),0)</f>
        <v>2.8839999999999999</v>
      </c>
      <c r="K31" s="1118" cm="1">
        <f t="array" ref="K31">IFERROR(_xll.FDS($B2,"FF_DFD_TAX_CR(ANN_R,"&amp;K5&amp;",,,,,B,""FILING_DATE=1"")"),0)</f>
        <v>2.5659999999999998</v>
      </c>
      <c r="L31" s="1118" cm="1">
        <f t="array" ref="L31">IFERROR(_xll.FDS($B2,"FF_DFD_TAX_CR(ANN_R,"&amp;L5&amp;",,,,,B,""FILING_DATE=1"")"),0)</f>
        <v>2.4929999999999999</v>
      </c>
      <c r="M31" s="16"/>
    </row>
    <row r="32" spans="1:14">
      <c r="A32" s="347" t="str">
        <f>BS!A35</f>
        <v>Other Liabilities</v>
      </c>
      <c r="C32" s="1118" cm="1">
        <f t="array" ref="C32">_xll.FDS($B2,"FF_LIABS_OTH(ANN_R,"&amp;C5&amp;",,,,,B,""FILING_DATE=1"")")</f>
        <v>1.635</v>
      </c>
      <c r="D32" s="1118" cm="1">
        <f t="array" ref="D32">_xll.FDS($B2,"FF_LIABS_OTH(ANN_R,"&amp;D5&amp;",,,,,B,""FILING_DATE=1"")")</f>
        <v>3.0070000000000001</v>
      </c>
      <c r="E32" s="1118" cm="1">
        <f t="array" ref="E32">_xll.FDS($B2,"FF_LIABS_OTH(ANN_R,"&amp;E5&amp;",,,,,B,""FILING_DATE=1"")")</f>
        <v>2.8069999999999999</v>
      </c>
      <c r="F32" s="1118" cm="1">
        <f t="array" ref="F32">_xll.FDS($B2,"FF_LIABS_OTH(ANN_R,"&amp;F5&amp;",,,,,B,""FILING_DATE=1"")")</f>
        <v>1.425</v>
      </c>
      <c r="G32" s="1118" cm="1">
        <f t="array" ref="G32">_xll.FDS($B2,"FF_LIABS_OTH(ANN_R,"&amp;G5&amp;",,,,,B,""FILING_DATE=1"")")</f>
        <v>1.151</v>
      </c>
      <c r="H32" s="1118" cm="1">
        <f t="array" ref="H32">_xll.FDS($B2,"FF_LIABS_OTH(ANN_R,"&amp;H5&amp;",,,,,B,""FILING_DATE=1"")")</f>
        <v>1.4470000000000001</v>
      </c>
      <c r="I32" s="1118" cm="1">
        <f t="array" ref="I32">_xll.FDS($B2,"FF_LIABS_OTH(ANN_R,"&amp;I5&amp;",,,,,B,""FILING_DATE=1"")")</f>
        <v>0.78</v>
      </c>
      <c r="J32" s="1118" cm="1">
        <f t="array" ref="J32">_xll.FDS($B2,"FF_LIABS_OTH(ANN_R,"&amp;J5&amp;",,,,,B,""FILING_DATE=1"")")</f>
        <v>0.66300000000000003</v>
      </c>
      <c r="K32" s="1118" cm="1">
        <f t="array" ref="K32">_xll.FDS($B2,"FF_LIABS_OTH(ANN_R,"&amp;K5&amp;",,,,,B,""FILING_DATE=1"")")</f>
        <v>0.56699999999999995</v>
      </c>
      <c r="L32" s="1118" cm="1">
        <f t="array" ref="L32">_xll.FDS($B2,"FF_LIABS_OTH(ANN_R,"&amp;L5&amp;",,,,,B,""FILING_DATE=1"")")</f>
        <v>0.46200000000000002</v>
      </c>
      <c r="M32" s="16"/>
    </row>
    <row r="33" spans="1:13">
      <c r="A33" s="344" t="str">
        <f>BS!A36</f>
        <v>Total Liabilities</v>
      </c>
      <c r="C33" s="1119" cm="1">
        <f t="array" ref="C33">_xll.FDS($B2,"FF_LIABS(ANN_R,"&amp;C5&amp;",,,,,B)")+C29</f>
        <v>27.696999999999999</v>
      </c>
      <c r="D33" s="1119" cm="1">
        <f t="array" ref="D33">_xll.FDS($B2,"FF_LIABS(ANN_R,"&amp;D5&amp;",,,,,B)")+D29</f>
        <v>17.181000000000001</v>
      </c>
      <c r="E33" s="1119" cm="1">
        <f t="array" ref="E33">_xll.FDS($B2,"FF_LIABS(ANN_R,"&amp;E5&amp;",,,,,B)")+E29</f>
        <v>18.716426471169083</v>
      </c>
      <c r="F33" s="1119" cm="1">
        <f t="array" ref="F33">_xll.FDS($B2,"FF_LIABS(ANN_R,"&amp;F5&amp;",,,,,B)")+F29</f>
        <v>18.494305560277894</v>
      </c>
      <c r="G33" s="1119" cm="1">
        <f t="array" ref="G33">_xll.FDS($B2,"FF_LIABS(ANN_R,"&amp;G5&amp;",,,,,B)")+G29</f>
        <v>18.941184649386699</v>
      </c>
      <c r="H33" s="1119" cm="1">
        <f t="array" ref="H33">_xll.FDS($B2,"FF_LIABS(ANN_R,"&amp;H5&amp;",,,,,B)")+H29</f>
        <v>19.089407630129056</v>
      </c>
      <c r="I33" s="1119" cm="1">
        <f t="array" ref="I33">_xll.FDS($B2,"FF_LIABS(ANN_R,"&amp;I5&amp;",,,,,B)")+I29</f>
        <v>16.594443285167557</v>
      </c>
      <c r="J33" s="1119" cm="1">
        <f t="array" ref="J33">_xll.FDS($B2,"FF_LIABS(ANN_R,"&amp;J5&amp;",,,,,B)")+J29</f>
        <v>15.213478940206056</v>
      </c>
      <c r="K33" s="1119" cm="1">
        <f t="array" ref="K33">_xll.FDS($B2,"FF_LIABS(ANN_R,"&amp;K5&amp;",,,,,B)")+K29</f>
        <v>15.176132055254604</v>
      </c>
      <c r="L33" s="1119" cm="1">
        <f t="array" ref="L33">_xll.FDS($B2,"FF_LIABS(ANN_R,"&amp;L5&amp;",,,,,B)")+L29</f>
        <v>15.671633818382059</v>
      </c>
      <c r="M33" s="16"/>
    </row>
    <row r="34" spans="1:13">
      <c r="A34" s="373" t="str">
        <f>BS!A40</f>
        <v>Total Equity</v>
      </c>
      <c r="B34" s="12"/>
      <c r="C34" s="373">
        <f>C21-C33</f>
        <v>8.8760000000000012</v>
      </c>
      <c r="D34" s="373">
        <f t="shared" ref="D34:L34" si="1">D21-D33</f>
        <v>9.8320000000000007</v>
      </c>
      <c r="E34" s="373">
        <f t="shared" si="1"/>
        <v>9.8530000000000015</v>
      </c>
      <c r="F34" s="373">
        <f t="shared" si="1"/>
        <v>9.6409999999999982</v>
      </c>
      <c r="G34" s="373">
        <f t="shared" si="1"/>
        <v>8.4409999999999989</v>
      </c>
      <c r="H34" s="373">
        <f t="shared" si="1"/>
        <v>7.3580000000000005</v>
      </c>
      <c r="I34" s="373">
        <f t="shared" si="1"/>
        <v>6.7749999999999986</v>
      </c>
      <c r="J34" s="373">
        <f t="shared" si="1"/>
        <v>7.3359999999999985</v>
      </c>
      <c r="K34" s="373">
        <f t="shared" si="1"/>
        <v>6.9920000000000027</v>
      </c>
      <c r="L34" s="373">
        <f t="shared" si="1"/>
        <v>6.8769999999999989</v>
      </c>
      <c r="M34" s="16"/>
    </row>
    <row r="35" spans="1:13">
      <c r="A35" s="374" t="str">
        <f>BS!A41</f>
        <v>Total Liabilities &amp; Shareholders' Equity</v>
      </c>
      <c r="B35" s="12"/>
      <c r="C35" s="374">
        <f>C33+C34</f>
        <v>36.573</v>
      </c>
      <c r="D35" s="374">
        <f t="shared" ref="D35:L35" si="2">D33+D34</f>
        <v>27.013000000000002</v>
      </c>
      <c r="E35" s="374">
        <f t="shared" si="2"/>
        <v>28.569426471169084</v>
      </c>
      <c r="F35" s="374">
        <f t="shared" si="2"/>
        <v>28.135305560277892</v>
      </c>
      <c r="G35" s="374">
        <f t="shared" si="2"/>
        <v>27.382184649386698</v>
      </c>
      <c r="H35" s="374">
        <f t="shared" si="2"/>
        <v>26.447407630129057</v>
      </c>
      <c r="I35" s="374">
        <f t="shared" si="2"/>
        <v>23.369443285167556</v>
      </c>
      <c r="J35" s="374">
        <f t="shared" si="2"/>
        <v>22.549478940206054</v>
      </c>
      <c r="K35" s="374">
        <f t="shared" si="2"/>
        <v>22.168132055254606</v>
      </c>
      <c r="L35" s="374">
        <f t="shared" si="2"/>
        <v>22.548633818382058</v>
      </c>
      <c r="M35" s="16"/>
    </row>
    <row r="36" spans="1:13">
      <c r="A36" s="353"/>
      <c r="C36" s="376"/>
      <c r="D36" s="376"/>
      <c r="E36" s="376"/>
      <c r="F36" s="376"/>
      <c r="G36" s="376"/>
      <c r="H36" s="376"/>
      <c r="I36" s="376"/>
      <c r="J36" s="376"/>
      <c r="K36" s="376"/>
      <c r="L36" s="376"/>
      <c r="M36" s="16"/>
    </row>
    <row r="37" spans="1:13">
      <c r="A37" s="353" t="s">
        <v>450</v>
      </c>
      <c r="C37" s="376" t="str">
        <f>C5</f>
        <v>12/2020</v>
      </c>
      <c r="D37" s="376" t="str">
        <f t="shared" ref="D37:L37" si="3">D5</f>
        <v>12/2019</v>
      </c>
      <c r="E37" s="376" t="str">
        <f t="shared" si="3"/>
        <v>12/2018</v>
      </c>
      <c r="F37" s="376" t="str">
        <f t="shared" si="3"/>
        <v>12/2017</v>
      </c>
      <c r="G37" s="376" t="str">
        <f t="shared" si="3"/>
        <v>12/2016</v>
      </c>
      <c r="H37" s="376" t="str">
        <f t="shared" si="3"/>
        <v>12/2015</v>
      </c>
      <c r="I37" s="376" t="str">
        <f t="shared" si="3"/>
        <v>12/2014</v>
      </c>
      <c r="J37" s="376" t="str">
        <f t="shared" si="3"/>
        <v>12/2013</v>
      </c>
      <c r="K37" s="376" t="str">
        <f t="shared" si="3"/>
        <v>12/2012</v>
      </c>
      <c r="L37" s="376" t="str">
        <f t="shared" si="3"/>
        <v>12/2011</v>
      </c>
      <c r="M37" s="16"/>
    </row>
    <row r="38" spans="1:13">
      <c r="A38" s="385" t="str">
        <f>A10</f>
        <v>Short-Term Receivables</v>
      </c>
      <c r="B38" s="385"/>
      <c r="C38" s="523">
        <f>C10</f>
        <v>1.1299999999999999</v>
      </c>
      <c r="D38" s="523">
        <f t="shared" ref="D38:L38" si="4">D10</f>
        <v>1.0860000000000001</v>
      </c>
      <c r="E38" s="523">
        <f t="shared" si="4"/>
        <v>0.56799999999999995</v>
      </c>
      <c r="F38" s="523">
        <f t="shared" si="4"/>
        <v>0.66200000000000003</v>
      </c>
      <c r="G38" s="523">
        <f t="shared" si="4"/>
        <v>0.54600000000000004</v>
      </c>
      <c r="H38" s="523">
        <f t="shared" si="4"/>
        <v>0.47399999999999998</v>
      </c>
      <c r="I38" s="523">
        <f t="shared" si="4"/>
        <v>0.36499999999999999</v>
      </c>
      <c r="J38" s="523">
        <f t="shared" si="4"/>
        <v>0.41899999999999998</v>
      </c>
      <c r="K38" s="523">
        <f t="shared" si="4"/>
        <v>0.33200000000000002</v>
      </c>
      <c r="L38" s="523">
        <f t="shared" si="4"/>
        <v>0.29899999999999999</v>
      </c>
      <c r="M38" s="16"/>
    </row>
    <row r="39" spans="1:13">
      <c r="A39" s="385" t="str">
        <f>A11</f>
        <v>Inventories</v>
      </c>
      <c r="B39" s="385"/>
      <c r="C39" s="523">
        <f t="shared" ref="C39:L40" si="5">C11</f>
        <v>0.41399999999999998</v>
      </c>
      <c r="D39" s="523">
        <f t="shared" si="5"/>
        <v>0.52900000000000003</v>
      </c>
      <c r="E39" s="523">
        <f t="shared" si="5"/>
        <v>0.46100000000000002</v>
      </c>
      <c r="F39" s="523">
        <f t="shared" si="5"/>
        <v>0.42</v>
      </c>
      <c r="G39" s="523">
        <f t="shared" si="5"/>
        <v>0.33700000000000002</v>
      </c>
      <c r="H39" s="523">
        <f t="shared" si="5"/>
        <v>0.311</v>
      </c>
      <c r="I39" s="523">
        <f t="shared" si="5"/>
        <v>0.34200000000000003</v>
      </c>
      <c r="J39" s="523">
        <f t="shared" si="5"/>
        <v>0.46700000000000003</v>
      </c>
      <c r="K39" s="523">
        <f t="shared" si="5"/>
        <v>0.46899999999999997</v>
      </c>
      <c r="L39" s="523">
        <f t="shared" si="5"/>
        <v>0.40100000000000002</v>
      </c>
      <c r="M39" s="16"/>
    </row>
    <row r="40" spans="1:13">
      <c r="A40" s="385" t="str">
        <f>A12</f>
        <v>Other Current Assets</v>
      </c>
      <c r="B40" s="385"/>
      <c r="C40" s="523">
        <f t="shared" si="5"/>
        <v>0.28699999999999998</v>
      </c>
      <c r="D40" s="523">
        <f t="shared" si="5"/>
        <v>0.31</v>
      </c>
      <c r="E40" s="523">
        <f t="shared" si="5"/>
        <v>0.46</v>
      </c>
      <c r="F40" s="523">
        <f t="shared" si="5"/>
        <v>0.31</v>
      </c>
      <c r="G40" s="523">
        <f t="shared" si="5"/>
        <v>0.188</v>
      </c>
      <c r="H40" s="523">
        <f t="shared" si="5"/>
        <v>0.70899999999999996</v>
      </c>
      <c r="I40" s="523">
        <f t="shared" si="5"/>
        <v>0.41799999999999998</v>
      </c>
      <c r="J40" s="523">
        <f t="shared" si="5"/>
        <v>0.45600000000000002</v>
      </c>
      <c r="K40" s="523">
        <f t="shared" si="5"/>
        <v>0.501</v>
      </c>
      <c r="L40" s="523">
        <f t="shared" si="5"/>
        <v>0.30299999999999999</v>
      </c>
      <c r="M40" s="16"/>
    </row>
    <row r="41" spans="1:13">
      <c r="A41" s="522" t="s">
        <v>451</v>
      </c>
      <c r="B41" s="522"/>
      <c r="C41" s="524">
        <f>SUM(C38:C40)</f>
        <v>1.8309999999999997</v>
      </c>
      <c r="D41" s="524">
        <f t="shared" ref="D41:L41" si="6">SUM(D38:D40)</f>
        <v>1.9250000000000003</v>
      </c>
      <c r="E41" s="524">
        <f t="shared" si="6"/>
        <v>1.4889999999999999</v>
      </c>
      <c r="F41" s="524">
        <f t="shared" si="6"/>
        <v>1.3920000000000001</v>
      </c>
      <c r="G41" s="524">
        <f t="shared" si="6"/>
        <v>1.071</v>
      </c>
      <c r="H41" s="524">
        <f t="shared" si="6"/>
        <v>1.4939999999999998</v>
      </c>
      <c r="I41" s="524">
        <f t="shared" si="6"/>
        <v>1.125</v>
      </c>
      <c r="J41" s="524">
        <f t="shared" si="6"/>
        <v>1.3420000000000001</v>
      </c>
      <c r="K41" s="524">
        <f t="shared" si="6"/>
        <v>1.302</v>
      </c>
      <c r="L41" s="524">
        <f t="shared" si="6"/>
        <v>1.0029999999999999</v>
      </c>
      <c r="M41" s="16"/>
    </row>
    <row r="42" spans="1:13">
      <c r="A42" s="522" t="s">
        <v>452</v>
      </c>
      <c r="B42" s="522"/>
      <c r="C42" s="327">
        <f>C41-D41</f>
        <v>-9.4000000000000528E-2</v>
      </c>
      <c r="D42" s="327">
        <f t="shared" ref="D42:L42" si="7">D41-E41</f>
        <v>0.43600000000000039</v>
      </c>
      <c r="E42" s="327">
        <f t="shared" si="7"/>
        <v>9.6999999999999753E-2</v>
      </c>
      <c r="F42" s="327">
        <f t="shared" si="7"/>
        <v>0.32100000000000017</v>
      </c>
      <c r="G42" s="327">
        <f t="shared" si="7"/>
        <v>-0.42299999999999982</v>
      </c>
      <c r="H42" s="327">
        <f t="shared" si="7"/>
        <v>0.36899999999999977</v>
      </c>
      <c r="I42" s="327">
        <f t="shared" si="7"/>
        <v>-0.21700000000000008</v>
      </c>
      <c r="J42" s="327">
        <f t="shared" si="7"/>
        <v>4.0000000000000036E-2</v>
      </c>
      <c r="K42" s="327">
        <f t="shared" si="7"/>
        <v>0.29900000000000015</v>
      </c>
      <c r="L42" s="327">
        <f t="shared" si="7"/>
        <v>1.0029999999999999</v>
      </c>
      <c r="M42" s="16"/>
    </row>
    <row r="43" spans="1:13">
      <c r="A43" s="522" t="s">
        <v>453</v>
      </c>
      <c r="B43" s="522"/>
      <c r="C43" s="327"/>
      <c r="D43" s="327"/>
      <c r="E43" s="327"/>
      <c r="F43" s="327"/>
      <c r="G43" s="327"/>
      <c r="H43" s="327"/>
      <c r="I43" s="327"/>
      <c r="J43" s="327"/>
      <c r="K43" s="327"/>
      <c r="L43" s="327"/>
      <c r="M43" s="16"/>
    </row>
    <row r="44" spans="1:13" ht="15" customHeight="1">
      <c r="A44" s="385" t="str">
        <f>A24</f>
        <v>Accounts Payable</v>
      </c>
      <c r="B44" s="385"/>
      <c r="C44" s="523">
        <f t="shared" ref="C44:L46" si="8">C24</f>
        <v>0.59499999999999997</v>
      </c>
      <c r="D44" s="523">
        <f t="shared" si="8"/>
        <v>0.45400000000000001</v>
      </c>
      <c r="E44" s="523">
        <f t="shared" si="8"/>
        <v>0.34699999999999998</v>
      </c>
      <c r="F44" s="523">
        <f t="shared" si="8"/>
        <v>0.25900000000000001</v>
      </c>
      <c r="G44" s="523">
        <f t="shared" si="8"/>
        <v>0.39400000000000002</v>
      </c>
      <c r="H44" s="523">
        <f t="shared" si="8"/>
        <v>0.52200000000000002</v>
      </c>
      <c r="I44" s="523">
        <f t="shared" si="8"/>
        <v>0.622</v>
      </c>
      <c r="J44" s="523">
        <f t="shared" si="8"/>
        <v>1.107</v>
      </c>
      <c r="K44" s="523">
        <f t="shared" si="8"/>
        <v>1.0569999999999999</v>
      </c>
      <c r="L44" s="523">
        <f t="shared" si="8"/>
        <v>0.73899999999999999</v>
      </c>
      <c r="M44" s="16"/>
    </row>
    <row r="45" spans="1:13" ht="15" customHeight="1">
      <c r="A45" s="385" t="str">
        <f>A25</f>
        <v>Income Tax Payable</v>
      </c>
      <c r="B45" s="385"/>
      <c r="C45" s="523">
        <f t="shared" si="8"/>
        <v>0</v>
      </c>
      <c r="D45" s="523">
        <f t="shared" si="8"/>
        <v>0</v>
      </c>
      <c r="E45" s="523">
        <f t="shared" si="8"/>
        <v>0</v>
      </c>
      <c r="F45" s="523">
        <f t="shared" si="8"/>
        <v>0</v>
      </c>
      <c r="G45" s="523">
        <f t="shared" si="8"/>
        <v>0</v>
      </c>
      <c r="H45" s="523">
        <f t="shared" si="8"/>
        <v>0</v>
      </c>
      <c r="I45" s="523">
        <f t="shared" si="8"/>
        <v>0</v>
      </c>
      <c r="J45" s="523">
        <f t="shared" si="8"/>
        <v>0</v>
      </c>
      <c r="K45" s="523">
        <f t="shared" si="8"/>
        <v>0</v>
      </c>
      <c r="L45" s="523">
        <f t="shared" si="8"/>
        <v>0</v>
      </c>
      <c r="M45" s="16"/>
    </row>
    <row r="46" spans="1:13" ht="15" customHeight="1">
      <c r="A46" s="385" t="str">
        <f>A26</f>
        <v>Other Current Liabilities</v>
      </c>
      <c r="B46" s="385"/>
      <c r="C46" s="523">
        <f t="shared" si="8"/>
        <v>7.1059999999999999</v>
      </c>
      <c r="D46" s="523">
        <f>D26</f>
        <v>6.625</v>
      </c>
      <c r="E46" s="523">
        <f t="shared" si="8"/>
        <v>5.9649999999999999</v>
      </c>
      <c r="F46" s="523">
        <f t="shared" si="8"/>
        <v>5.835</v>
      </c>
      <c r="G46" s="523">
        <f t="shared" si="8"/>
        <v>6.1959999999999997</v>
      </c>
      <c r="H46" s="523">
        <f t="shared" si="8"/>
        <v>4.9800000000000004</v>
      </c>
      <c r="I46" s="523">
        <f t="shared" si="8"/>
        <v>4.2789999999999999</v>
      </c>
      <c r="J46" s="523">
        <f t="shared" si="8"/>
        <v>3.2719999999999998</v>
      </c>
      <c r="K46" s="523">
        <f t="shared" si="8"/>
        <v>2.8319999999999999</v>
      </c>
      <c r="L46" s="523">
        <f t="shared" si="8"/>
        <v>2.0609999999999999</v>
      </c>
      <c r="M46" s="16"/>
    </row>
    <row r="47" spans="1:13" s="522" customFormat="1" ht="12.75">
      <c r="A47" s="522" t="s">
        <v>454</v>
      </c>
      <c r="C47" s="524">
        <f>SUM(C44:C46)</f>
        <v>7.7009999999999996</v>
      </c>
      <c r="D47" s="524">
        <f t="shared" ref="D47:L47" si="9">SUM(D44:D46)</f>
        <v>7.0789999999999997</v>
      </c>
      <c r="E47" s="524">
        <f t="shared" si="9"/>
        <v>6.3119999999999994</v>
      </c>
      <c r="F47" s="524">
        <f t="shared" si="9"/>
        <v>6.0940000000000003</v>
      </c>
      <c r="G47" s="524">
        <f t="shared" si="9"/>
        <v>6.59</v>
      </c>
      <c r="H47" s="524">
        <f t="shared" si="9"/>
        <v>5.5020000000000007</v>
      </c>
      <c r="I47" s="524">
        <f t="shared" si="9"/>
        <v>4.9009999999999998</v>
      </c>
      <c r="J47" s="524">
        <f t="shared" si="9"/>
        <v>4.3789999999999996</v>
      </c>
      <c r="K47" s="524">
        <f t="shared" si="9"/>
        <v>3.8889999999999998</v>
      </c>
      <c r="L47" s="524">
        <f t="shared" si="9"/>
        <v>2.8</v>
      </c>
    </row>
    <row r="48" spans="1:13">
      <c r="A48" s="522" t="s">
        <v>452</v>
      </c>
      <c r="B48" s="522"/>
      <c r="C48" s="327">
        <f>C47-D47</f>
        <v>0.62199999999999989</v>
      </c>
      <c r="D48" s="327">
        <f t="shared" ref="D48:L48" si="10">D47-E47</f>
        <v>0.76700000000000035</v>
      </c>
      <c r="E48" s="327">
        <f t="shared" si="10"/>
        <v>0.21799999999999908</v>
      </c>
      <c r="F48" s="327">
        <f t="shared" si="10"/>
        <v>-0.49599999999999955</v>
      </c>
      <c r="G48" s="327">
        <f t="shared" si="10"/>
        <v>1.0879999999999992</v>
      </c>
      <c r="H48" s="327">
        <f t="shared" si="10"/>
        <v>0.60100000000000087</v>
      </c>
      <c r="I48" s="327">
        <f t="shared" si="10"/>
        <v>0.52200000000000024</v>
      </c>
      <c r="J48" s="327">
        <f t="shared" si="10"/>
        <v>0.48999999999999977</v>
      </c>
      <c r="K48" s="327">
        <f t="shared" si="10"/>
        <v>1.089</v>
      </c>
      <c r="L48" s="327">
        <f t="shared" si="10"/>
        <v>2.8</v>
      </c>
      <c r="M48" s="16"/>
    </row>
    <row r="49" spans="1:13">
      <c r="A49" s="526" t="s">
        <v>455</v>
      </c>
      <c r="B49" s="526"/>
      <c r="C49" s="327"/>
      <c r="D49" s="327"/>
      <c r="E49" s="327"/>
      <c r="F49" s="327"/>
      <c r="G49" s="327"/>
      <c r="H49" s="327"/>
      <c r="I49" s="327"/>
      <c r="J49" s="327"/>
      <c r="K49" s="327"/>
      <c r="L49" s="327"/>
      <c r="M49" s="16"/>
    </row>
    <row r="50" spans="1:13">
      <c r="A50" s="372" t="s">
        <v>456</v>
      </c>
      <c r="B50" s="372"/>
      <c r="C50" s="525">
        <f>C41-C47</f>
        <v>-5.87</v>
      </c>
      <c r="D50" s="525">
        <f t="shared" ref="D50:L50" si="11">D41-D47</f>
        <v>-5.1539999999999999</v>
      </c>
      <c r="E50" s="525">
        <f t="shared" si="11"/>
        <v>-4.8229999999999995</v>
      </c>
      <c r="F50" s="525">
        <f t="shared" si="11"/>
        <v>-4.702</v>
      </c>
      <c r="G50" s="525">
        <f t="shared" si="11"/>
        <v>-5.5190000000000001</v>
      </c>
      <c r="H50" s="525">
        <f t="shared" si="11"/>
        <v>-4.0080000000000009</v>
      </c>
      <c r="I50" s="525">
        <f t="shared" si="11"/>
        <v>-3.7759999999999998</v>
      </c>
      <c r="J50" s="525">
        <f t="shared" si="11"/>
        <v>-3.0369999999999995</v>
      </c>
      <c r="K50" s="525">
        <f t="shared" si="11"/>
        <v>-2.5869999999999997</v>
      </c>
      <c r="L50" s="525">
        <f t="shared" si="11"/>
        <v>-1.7969999999999999</v>
      </c>
      <c r="M50" s="16"/>
    </row>
    <row r="51" spans="1:13">
      <c r="A51" s="372" t="s">
        <v>457</v>
      </c>
      <c r="B51" s="372"/>
      <c r="C51" s="527">
        <f>C50/IS!C14</f>
        <v>-0.34337525592278445</v>
      </c>
      <c r="D51" s="527">
        <f>D50/IS!D14</f>
        <v>-0.10964557716036251</v>
      </c>
      <c r="E51" s="527">
        <f>E50/IS!E14</f>
        <v>-0.10852591075808374</v>
      </c>
      <c r="F51" s="527">
        <f>F50/IS!F14</f>
        <v>-0.11403210942426152</v>
      </c>
      <c r="G51" s="527">
        <f>G50/IS!G14</f>
        <v>-0.1393616484015959</v>
      </c>
      <c r="H51" s="527">
        <f>H50/IS!H14</f>
        <v>-9.894830395496966E-2</v>
      </c>
      <c r="I51" s="527">
        <f>I50/IS!I14</f>
        <v>-9.3921002885285043E-2</v>
      </c>
      <c r="J51" s="527">
        <f>J50/IS!J14</f>
        <v>-8.0689728465912103E-2</v>
      </c>
      <c r="K51" s="527">
        <f>K50/IS!K14</f>
        <v>-7.0500068129172908E-2</v>
      </c>
      <c r="L51" s="527">
        <f>L50/IS!L14</f>
        <v>-5.1174711661683039E-2</v>
      </c>
      <c r="M51" s="16"/>
    </row>
    <row r="52" spans="1:13">
      <c r="A52" s="377" t="s">
        <v>458</v>
      </c>
      <c r="C52" s="327">
        <f>C50-D50</f>
        <v>-0.71600000000000019</v>
      </c>
      <c r="D52" s="327">
        <f t="shared" ref="D52:L52" si="12">D50-E50</f>
        <v>-0.33100000000000041</v>
      </c>
      <c r="E52" s="327">
        <f t="shared" si="12"/>
        <v>-0.12099999999999955</v>
      </c>
      <c r="F52" s="327">
        <f t="shared" si="12"/>
        <v>0.81700000000000017</v>
      </c>
      <c r="G52" s="327">
        <f t="shared" si="12"/>
        <v>-1.5109999999999992</v>
      </c>
      <c r="H52" s="327">
        <f t="shared" si="12"/>
        <v>-0.23200000000000109</v>
      </c>
      <c r="I52" s="327">
        <f t="shared" si="12"/>
        <v>-0.73900000000000032</v>
      </c>
      <c r="J52" s="327">
        <f t="shared" si="12"/>
        <v>-0.44999999999999973</v>
      </c>
      <c r="K52" s="327">
        <f t="shared" si="12"/>
        <v>-0.78999999999999981</v>
      </c>
      <c r="L52" s="327">
        <f t="shared" si="12"/>
        <v>-1.7969999999999999</v>
      </c>
      <c r="M52" s="16"/>
    </row>
    <row r="53" spans="1:13">
      <c r="A53" s="526" t="s">
        <v>459</v>
      </c>
      <c r="C53" s="327"/>
      <c r="D53" s="327"/>
      <c r="E53" s="327"/>
      <c r="F53" s="327"/>
      <c r="G53" s="327"/>
      <c r="H53" s="327"/>
      <c r="I53" s="327"/>
      <c r="J53" s="327"/>
      <c r="K53" s="327"/>
      <c r="L53" s="327"/>
    </row>
    <row r="54" spans="1:13">
      <c r="A54" s="327"/>
    </row>
    <row r="55" spans="1:13">
      <c r="A55" s="327"/>
    </row>
    <row r="56" spans="1:13">
      <c r="A56" s="327"/>
    </row>
    <row r="57" spans="1:13">
      <c r="A57" s="327"/>
    </row>
    <row r="58" spans="1:13">
      <c r="A58" s="327"/>
    </row>
    <row r="59" spans="1:13">
      <c r="A59" s="327"/>
    </row>
    <row r="60" spans="1:13">
      <c r="A60" s="327"/>
    </row>
    <row r="61" spans="1:13">
      <c r="A61" s="327"/>
    </row>
    <row r="62" spans="1:13">
      <c r="A62" s="327"/>
    </row>
    <row r="63" spans="1:13">
      <c r="A63" s="327"/>
    </row>
    <row r="64" spans="1:13">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row r="163" spans="1:1">
      <c r="A163" s="327"/>
    </row>
  </sheetData>
  <pageMargins left="0.7" right="0.7" top="0.78740157499999996" bottom="0.78740157499999996"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2B58C-2458-4972-B618-9264DE340951}">
  <sheetPr>
    <tabColor theme="2" tint="-0.499984740745262"/>
  </sheetPr>
  <dimension ref="A1:N163"/>
  <sheetViews>
    <sheetView zoomScaleNormal="100" workbookViewId="0">
      <selection activeCell="O10" sqref="O10"/>
    </sheetView>
  </sheetViews>
  <sheetFormatPr defaultColWidth="11.28515625" defaultRowHeight="15"/>
  <cols>
    <col min="1" max="1" width="40.7109375" style="3" customWidth="1"/>
    <col min="2" max="2" width="5" style="3" customWidth="1"/>
    <col min="3" max="12" width="11.28515625" style="3"/>
  </cols>
  <sheetData>
    <row r="1" spans="1:13" s="340" customFormat="1" ht="26.1" customHeight="1">
      <c r="A1" s="371" t="str">
        <f>BS!A5</f>
        <v>Balance Sheet</v>
      </c>
    </row>
    <row r="2" spans="1:13">
      <c r="A2" s="327" t="str">
        <f>IS!A8</f>
        <v>Ticker</v>
      </c>
      <c r="B2" s="327" t="str">
        <f>'Industry Ratios'!H3</f>
        <v>ALK-US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BS!A13</f>
        <v>Balance Sheet</v>
      </c>
      <c r="B7" s="327"/>
      <c r="C7" s="327"/>
      <c r="D7" s="327"/>
      <c r="E7" s="327"/>
      <c r="F7" s="327"/>
      <c r="G7" s="327"/>
      <c r="H7" s="327"/>
      <c r="I7" s="327"/>
      <c r="J7" s="327"/>
      <c r="K7" s="327"/>
      <c r="L7" s="327"/>
      <c r="M7" s="16"/>
    </row>
    <row r="8" spans="1:13">
      <c r="A8" s="353" t="str">
        <f>BS!A14</f>
        <v>Assets</v>
      </c>
      <c r="B8" s="327"/>
      <c r="C8" s="1059" t="s">
        <v>447</v>
      </c>
      <c r="D8" s="327"/>
      <c r="E8" s="327"/>
      <c r="F8" s="327"/>
      <c r="G8" s="327"/>
      <c r="H8" s="327"/>
      <c r="I8" s="327"/>
      <c r="J8" s="327"/>
      <c r="K8" s="327"/>
      <c r="L8" s="327"/>
      <c r="M8" s="16"/>
    </row>
    <row r="9" spans="1:13">
      <c r="A9" s="347" t="str">
        <f>BS!A15</f>
        <v>Cash &amp; Short-Term Investments</v>
      </c>
      <c r="C9" s="1118" cm="1">
        <f t="array" ref="C9">_xll.FDS($B2,"FF_CASH_ST(ANN_R,"&amp;C5&amp;",,,,,B,""FILING_DATE=1"")")</f>
        <v>1.5209999999999999</v>
      </c>
      <c r="D9" s="1118" cm="1">
        <f t="array" ref="D9">_xll.FDS($B2,"FF_CASH_ST(ANN_R,"&amp;D5&amp;",,,,,B,""FILING_DATE=1"")")</f>
        <v>1.236</v>
      </c>
      <c r="E9" s="1118" cm="1">
        <f t="array" ref="E9">_xll.FDS($B2,"FF_CASH_ST(ANN_R,"&amp;E5&amp;",,,,,B,""FILING_DATE=1"")")</f>
        <v>1.621</v>
      </c>
      <c r="F9" s="1118" cm="1">
        <f t="array" ref="F9">_xll.FDS($B2,"FF_CASH_ST(ANN_R,"&amp;F5&amp;",,,,,B,""FILING_DATE=1"")")</f>
        <v>1.58</v>
      </c>
      <c r="G9" s="1118" cm="1">
        <f t="array" ref="G9">_xll.FDS($B2,"FF_CASH_ST(ANN_R,"&amp;G5&amp;",,,,,B,""FILING_DATE=1"")")</f>
        <v>1.3280000000000001</v>
      </c>
      <c r="H9" s="1118" cm="1">
        <f t="array" ref="H9">_xll.FDS($B2,"FF_CASH_ST(ANN_R,"&amp;H5&amp;",,,,,B,""FILING_DATE=1"")")</f>
        <v>1.2170000000000001</v>
      </c>
      <c r="I9" s="1118" cm="1">
        <f t="array" ref="I9">_xll.FDS($B2,"FF_CASH_ST(ANN_R,"&amp;I5&amp;",,,,,B,""FILING_DATE=1"")")</f>
        <v>1.3420000000000001</v>
      </c>
      <c r="J9" s="1118" cm="1">
        <f t="array" ref="J9">_xll.FDS($B2,"FF_CASH_ST(ANN_R,"&amp;J5&amp;",,,,,B,""FILING_DATE=1"")")</f>
        <v>1.278</v>
      </c>
      <c r="K9" s="1118" cm="1">
        <f t="array" ref="K9">_xll.FDS($B2,"FF_CASH_ST(ANN_R,"&amp;K5&amp;",,,,,B,""FILING_DATE=1"")")</f>
        <v>1.1876</v>
      </c>
      <c r="L9" s="1118" cm="1">
        <f t="array" ref="L9">_xll.FDS($B2,"FF_CASH_ST(ANN_R,"&amp;L5&amp;",,,,,B,""FILING_DATE=1"")")</f>
        <v>1.2696000000000001</v>
      </c>
      <c r="M9" s="16"/>
    </row>
    <row r="10" spans="1:13">
      <c r="A10" s="347" t="str">
        <f>BS!A16</f>
        <v>Short-Term Receivables</v>
      </c>
      <c r="C10" s="1118" cm="1">
        <f t="array" ref="C10">_xll.FDS($B2,"FF_RECEIV_ST(ANN_R,"&amp;C5&amp;",,,,,B)")</f>
        <v>0.48</v>
      </c>
      <c r="D10" s="1118" cm="1">
        <f t="array" ref="D10">_xll.FDS($B2,"FF_RECEIV_ST(ANN_R,"&amp;D5&amp;",,,,,B)")</f>
        <v>0.32300000000000001</v>
      </c>
      <c r="E10" s="1118" cm="1">
        <f t="array" ref="E10">_xll.FDS($B2,"FF_RECEIV_ST(ANN_R,"&amp;E5&amp;",,,,,B)")</f>
        <v>0.36599999999999999</v>
      </c>
      <c r="F10" s="1118" cm="1">
        <f t="array" ref="F10">_xll.FDS($B2,"FF_RECEIV_ST(ANN_R,"&amp;F5&amp;",,,,,B)")</f>
        <v>0.34100000000000003</v>
      </c>
      <c r="G10" s="1118" cm="1">
        <f t="array" ref="G10">_xll.FDS($B2,"FF_RECEIV_ST(ANN_R,"&amp;G5&amp;",,,,,B)")</f>
        <v>0.30199999999999999</v>
      </c>
      <c r="H10" s="1118" cm="1">
        <f t="array" ref="H10">_xll.FDS($B2,"FF_RECEIV_ST(ANN_R,"&amp;H5&amp;",,,,,B)")</f>
        <v>0.21199999999999999</v>
      </c>
      <c r="I10" s="1118" cm="1">
        <f t="array" ref="I10">_xll.FDS($B2,"FF_RECEIV_ST(ANN_R,"&amp;I5&amp;",,,,,B)")</f>
        <v>0.25900000000000001</v>
      </c>
      <c r="J10" s="1118" cm="1">
        <f t="array" ref="J10">_xll.FDS($B2,"FF_RECEIV_ST(ANN_R,"&amp;J5&amp;",,,,,B)")</f>
        <v>0.152</v>
      </c>
      <c r="K10" s="1118" cm="1">
        <f t="array" ref="K10">_xll.FDS($B2,"FF_RECEIV_ST(ANN_R,"&amp;K5&amp;",,,,,B)")</f>
        <v>0.13</v>
      </c>
      <c r="L10" s="1118" cm="1">
        <f t="array" ref="L10">_xll.FDS($B2,"FF_RECEIV_ST(ANN_R,"&amp;L5&amp;",,,,,B)")</f>
        <v>0.13639999999999999</v>
      </c>
      <c r="M10" s="16"/>
    </row>
    <row r="11" spans="1:13">
      <c r="A11" s="347" t="str">
        <f>BS!A17</f>
        <v>Inventories</v>
      </c>
      <c r="C11" s="1118" cm="1">
        <f t="array" ref="C11">_xll.FDS($B2,"FF_INVEN(ANN_R,"&amp;C5&amp;",,,,,B)")</f>
        <v>5.7000000000000002E-2</v>
      </c>
      <c r="D11" s="1118" cm="1">
        <f t="array" ref="D11">_xll.FDS($B2,"FF_INVEN(ANN_R,"&amp;D5&amp;",,,,,B)")</f>
        <v>7.1999999999999995E-2</v>
      </c>
      <c r="E11" s="1118" cm="1">
        <f t="array" ref="E11">_xll.FDS($B2,"FF_INVEN(ANN_R,"&amp;E5&amp;",,,,,B)")</f>
        <v>0.06</v>
      </c>
      <c r="F11" s="1118" cm="1">
        <f t="array" ref="F11">_xll.FDS($B2,"FF_INVEN(ANN_R,"&amp;F5&amp;",,,,,B)")</f>
        <v>5.7000000000000002E-2</v>
      </c>
      <c r="G11" s="1118" cm="1">
        <f t="array" ref="G11">_xll.FDS($B2,"FF_INVEN(ANN_R,"&amp;G5&amp;",,,,,B)")</f>
        <v>4.7E-2</v>
      </c>
      <c r="H11" s="1118" cm="1">
        <f t="array" ref="H11">_xll.FDS($B2,"FF_INVEN(ANN_R,"&amp;H5&amp;",,,,,B)")</f>
        <v>5.0999999999999997E-2</v>
      </c>
      <c r="I11" s="1118" cm="1">
        <f t="array" ref="I11">_xll.FDS($B2,"FF_INVEN(ANN_R,"&amp;I5&amp;",,,,,B)")</f>
        <v>5.8000000000000003E-2</v>
      </c>
      <c r="J11" s="1118" cm="1">
        <f t="array" ref="J11">_xll.FDS($B2,"FF_INVEN(ANN_R,"&amp;J5&amp;",,,,,B)")</f>
        <v>0.06</v>
      </c>
      <c r="K11" s="1118" cm="1">
        <f t="array" ref="K11">_xll.FDS($B2,"FF_INVEN(ANN_R,"&amp;K5&amp;",,,,,B)")</f>
        <v>5.8000000000000003E-2</v>
      </c>
      <c r="L11" s="1118" cm="1">
        <f t="array" ref="L11">_xll.FDS($B2,"FF_INVEN(ANN_R,"&amp;L5&amp;",,,,,B)")</f>
        <v>4.4299999999999999E-2</v>
      </c>
      <c r="M11" s="16"/>
    </row>
    <row r="12" spans="1:13">
      <c r="A12" s="347" t="str">
        <f>BS!A18</f>
        <v>Other Current Assets</v>
      </c>
      <c r="C12" s="1118" cm="1">
        <f t="array" ref="C12">_xll.FDS($B2,"FF_ASSETS_CURR_OTH(ANN_R,"&amp;C5&amp;",,,,,B,""FILING_DATE=1"")")</f>
        <v>0.121</v>
      </c>
      <c r="D12" s="1118" cm="1">
        <f t="array" ref="D12">_xll.FDS($B2,"FF_ASSETS_CURR_OTH(ANN_R,"&amp;D5&amp;",,,,,B,""FILING_DATE=1"")")</f>
        <v>0.125</v>
      </c>
      <c r="E12" s="1118" cm="1">
        <f t="array" ref="E12">_xll.FDS($B2,"FF_ASSETS_CURR_OTH(ANN_R,"&amp;E5&amp;",,,,,B,""FILING_DATE=1"")")</f>
        <v>0.13300000000000001</v>
      </c>
      <c r="F12" s="1118" cm="1">
        <f t="array" ref="F12">_xll.FDS($B2,"FF_ASSETS_CURR_OTH(ANN_R,"&amp;F5&amp;",,,,,B,""FILING_DATE=1"")")</f>
        <v>0.121</v>
      </c>
      <c r="G12" s="1118" cm="1">
        <f t="array" ref="G12">_xll.FDS($B2,"FF_ASSETS_CURR_OTH(ANN_R,"&amp;G5&amp;",,,,,B,""FILING_DATE=1"")")</f>
        <v>7.1999999999999995E-2</v>
      </c>
      <c r="H12" s="1118" cm="1">
        <f t="array" ref="H12">_xll.FDS($B2,"FF_ASSETS_CURR_OTH(ANN_R,"&amp;H5&amp;",,,,,B,""FILING_DATE=1"")")</f>
        <v>0.222</v>
      </c>
      <c r="I12" s="1118" cm="1">
        <f t="array" ref="I12">_xll.FDS($B2,"FF_ASSETS_CURR_OTH(ANN_R,"&amp;I5&amp;",,,,,B,""FILING_DATE=1"")")</f>
        <v>0.20799999999999999</v>
      </c>
      <c r="J12" s="1118" cm="1">
        <f t="array" ref="J12">_xll.FDS($B2,"FF_ASSETS_CURR_OTH(ANN_R,"&amp;J5&amp;",,,,,B,""FILING_DATE=1"")")</f>
        <v>0.27100000000000002</v>
      </c>
      <c r="K12" s="1118" cm="1">
        <f t="array" ref="K12">_xll.FDS($B2,"FF_ASSETS_CURR_OTH(ANN_R,"&amp;K5&amp;",,,,,B,""FILING_DATE=1"")")</f>
        <v>0.22720000000000001</v>
      </c>
      <c r="L12" s="1118" cm="1">
        <f t="array" ref="L12">_xll.FDS($B2,"FF_ASSETS_CURR_OTH(ANN_R,"&amp;L5&amp;",,,,,B,""FILING_DATE=1"")")</f>
        <v>0.22720000000000001</v>
      </c>
      <c r="M12" s="16"/>
    </row>
    <row r="13" spans="1:13" s="17" customFormat="1">
      <c r="A13" s="344" t="str">
        <f>BS!A19</f>
        <v>Total Current Assets</v>
      </c>
      <c r="B13" s="372"/>
      <c r="C13" s="1119" cm="1">
        <f t="array" ref="C13">_xll.FDS($B2,"FF_ASSETS_CURR(ANN_R,"&amp;C5&amp;",,,,,B,""FILING_DATE=1"")")</f>
        <v>2.0369999999999999</v>
      </c>
      <c r="D13" s="1119" cm="1">
        <f t="array" ref="D13">_xll.FDS($B2,"FF_ASSETS_CURR(ANN_R,"&amp;D5&amp;",,,,,B,""FILING_DATE=1"")")</f>
        <v>1.7869999999999999</v>
      </c>
      <c r="E13" s="1119" cm="1">
        <f t="array" ref="E13">_xll.FDS($B2,"FF_ASSETS_CURR(ANN_R,"&amp;E5&amp;",,,,,B,""FILING_DATE=1"")")</f>
        <v>2.1520000000000001</v>
      </c>
      <c r="F13" s="1119" cm="1">
        <f t="array" ref="F13">_xll.FDS($B2,"FF_ASSETS_CURR(ANN_R,"&amp;F5&amp;",,,,,B,""FILING_DATE=1"")")</f>
        <v>2.0499999999999998</v>
      </c>
      <c r="G13" s="1119" cm="1">
        <f t="array" ref="G13">_xll.FDS($B2,"FF_ASSETS_CURR(ANN_R,"&amp;G5&amp;",,,,,B,""FILING_DATE=1"")")</f>
        <v>1.663</v>
      </c>
      <c r="H13" s="1119" cm="1">
        <f t="array" ref="H13">_xll.FDS($B2,"FF_ASSETS_CURR(ANN_R,"&amp;H5&amp;",,,,,B,""FILING_DATE=1"")")</f>
        <v>1.756</v>
      </c>
      <c r="I13" s="1119" cm="1">
        <f t="array" ref="I13">_xll.FDS($B2,"FF_ASSETS_CURR(ANN_R,"&amp;I5&amp;",,,,,B,""FILING_DATE=1"")")</f>
        <v>1.762</v>
      </c>
      <c r="J13" s="1119" cm="1">
        <f t="array" ref="J13">_xll.FDS($B2,"FF_ASSETS_CURR(ANN_R,"&amp;J5&amp;",,,,,B,""FILING_DATE=1"")")</f>
        <v>1.7370000000000001</v>
      </c>
      <c r="K13" s="1119" cm="1">
        <f t="array" ref="K13">_xll.FDS($B2,"FF_ASSETS_CURR(ANN_R,"&amp;K5&amp;",,,,,B,""FILING_DATE=1"")")</f>
        <v>1.5954999999999999</v>
      </c>
      <c r="L13" s="1119" cm="1">
        <f t="array" ref="L13">_xll.FDS($B2,"FF_ASSETS_CURR(ANN_R,"&amp;L5&amp;",,,,,B,""FILING_DATE=1"")")</f>
        <v>1.6619999999999999</v>
      </c>
      <c r="M13" s="18"/>
    </row>
    <row r="14" spans="1:13">
      <c r="A14" s="347" t="str">
        <f>BS!A20</f>
        <v>Net Property, Plant &amp; Equipment</v>
      </c>
      <c r="C14" s="1118" cm="1">
        <f t="array" ref="C14">_xll.FDS($B2,"FF_PPE_NET(ANN_R,"&amp;C5&amp;",,,,,B,""FILING_DATE=1"")")</f>
        <v>8.6129999999999995</v>
      </c>
      <c r="D14" s="1118" cm="1">
        <f t="array" ref="D14">_xll.FDS($B2,"FF_PPE_NET(ANN_R,"&amp;D5&amp;",,,,,B,""FILING_DATE=1"")")</f>
        <v>6.7809999999999997</v>
      </c>
      <c r="E14" s="1118" cm="1">
        <f t="array" ref="E14">_xll.FDS($B2,"FF_PPE_NET(ANN_R,"&amp;E5&amp;",,,,,B,""FILING_DATE=1"")")</f>
        <v>6.2839999999999998</v>
      </c>
      <c r="F14" s="1118" cm="1">
        <f t="array" ref="F14">_xll.FDS($B2,"FF_PPE_NET(ANN_R,"&amp;F5&amp;",,,,,B,""FILING_DATE=1"")")</f>
        <v>5.6660000000000004</v>
      </c>
      <c r="G14" s="1118" cm="1">
        <f t="array" ref="G14">_xll.FDS($B2,"FF_PPE_NET(ANN_R,"&amp;G5&amp;",,,,,B,""FILING_DATE=1"")")</f>
        <v>4.8019999999999996</v>
      </c>
      <c r="H14" s="1118" cm="1">
        <f t="array" ref="H14">_xll.FDS($B2,"FF_PPE_NET(ANN_R,"&amp;H5&amp;",,,,,B,""FILING_DATE=1"")")</f>
        <v>4.2990000000000004</v>
      </c>
      <c r="I14" s="1118" cm="1">
        <f t="array" ref="I14">_xll.FDS($B2,"FF_PPE_NET(ANN_R,"&amp;I5&amp;",,,,,B,""FILING_DATE=1"")")</f>
        <v>3.8929999999999998</v>
      </c>
      <c r="J14" s="1118" cm="1">
        <f t="array" ref="J14">_xll.FDS($B2,"FF_PPE_NET(ANN_R,"&amp;J5&amp;",,,,,B,""FILING_DATE=1"")")</f>
        <v>3.609</v>
      </c>
      <c r="K14" s="1118" cm="1">
        <f t="array" ref="K14">_xll.FDS($B2,"FF_PPE_NET(ANN_R,"&amp;K5&amp;",,,,,B,""FILING_DATE=1"")")</f>
        <v>3.4015</v>
      </c>
      <c r="L14" s="1118" cm="1">
        <f t="array" ref="L14">_xll.FDS($B2,"FF_PPE_NET(ANN_R,"&amp;L5&amp;",,,,,B,""FILING_DATE=1"")")</f>
        <v>3.1171000000000002</v>
      </c>
      <c r="M14" s="16"/>
    </row>
    <row r="15" spans="1:13">
      <c r="A15" s="373" t="s">
        <v>448</v>
      </c>
      <c r="B15" s="12"/>
      <c r="C15" s="373">
        <f>'ALK-US R&amp;D'!C34</f>
        <v>0</v>
      </c>
      <c r="D15" s="373">
        <f>'ALK-US R&amp;D'!D34</f>
        <v>0</v>
      </c>
      <c r="E15" s="373">
        <f>'ALK-US R&amp;D'!E34</f>
        <v>0</v>
      </c>
      <c r="F15" s="373">
        <f>'ALK-US R&amp;D'!F34</f>
        <v>0</v>
      </c>
      <c r="G15" s="373">
        <f>'ALK-US R&amp;D'!G34</f>
        <v>0</v>
      </c>
      <c r="H15" s="373">
        <f>'ALK-US R&amp;D'!H34</f>
        <v>0</v>
      </c>
      <c r="I15" s="373">
        <f>'ALK-US R&amp;D'!I34</f>
        <v>0</v>
      </c>
      <c r="J15" s="373">
        <f>'ALK-US R&amp;D'!J34</f>
        <v>0</v>
      </c>
      <c r="K15" s="373">
        <f>'ALK-US R&amp;D'!K34</f>
        <v>0</v>
      </c>
      <c r="L15" s="373">
        <f>'ALK-US R&amp;D'!L34</f>
        <v>0</v>
      </c>
      <c r="M15" s="16"/>
    </row>
    <row r="16" spans="1:13">
      <c r="A16" s="373" t="s">
        <v>449</v>
      </c>
      <c r="B16" s="12"/>
      <c r="C16" s="373">
        <f>'ALK-US Lease'!C33</f>
        <v>0</v>
      </c>
      <c r="D16" s="373">
        <f>'ALK-US Lease'!D33</f>
        <v>0</v>
      </c>
      <c r="E16" s="373">
        <f>'ALK-US Lease'!E33</f>
        <v>2.0900763009175436</v>
      </c>
      <c r="F16" s="373">
        <f>'ALK-US Lease'!F33</f>
        <v>2.391756162676359</v>
      </c>
      <c r="G16" s="373">
        <f>'ALK-US Lease'!G33</f>
        <v>2.6934360244351749</v>
      </c>
      <c r="H16" s="373">
        <f>'ALK-US Lease'!H33</f>
        <v>1.8586466038066278</v>
      </c>
      <c r="I16" s="373">
        <f>'ALK-US Lease'!I33</f>
        <v>1.0269204360598478</v>
      </c>
      <c r="J16" s="373">
        <f>'ALK-US Lease'!J33</f>
        <v>0.8429562155901511</v>
      </c>
      <c r="K16" s="373">
        <f>'ALK-US Lease'!K33</f>
        <v>0.81694314822540304</v>
      </c>
      <c r="L16" s="373">
        <f>'ALK-US Lease'!L33</f>
        <v>0.90920098750045508</v>
      </c>
      <c r="M16" s="16"/>
    </row>
    <row r="17" spans="1:14" s="17" customFormat="1">
      <c r="A17" s="347" t="str">
        <f>BS!A21</f>
        <v>Total Investments and Advances</v>
      </c>
      <c r="B17" s="3"/>
      <c r="C17" s="16" cm="1">
        <f t="array" ref="C17">_xll.FDS($B2,"FF_INVEST_ADV(ANN_R,"&amp;C5&amp;",,,,,B)")</f>
        <v>0.02</v>
      </c>
      <c r="D17" s="16" cm="1">
        <f t="array" ref="D17">_xll.FDS($B2,"FF_INVEST_ADV(ANN_R,"&amp;D5&amp;",,,,,B)")</f>
        <v>1.6E-2</v>
      </c>
      <c r="E17" s="16" cm="1">
        <f t="array" ref="E17">_xll.FDS($B2,"FF_INVEST_ADV(ANN_R,"&amp;E5&amp;",,,,,B)")</f>
        <v>1.7999999999999999E-2</v>
      </c>
      <c r="F17" s="16" cm="1">
        <f t="array" ref="F17">_xll.FDS($B2,"FF_INVEST_ADV(ANN_R,"&amp;F5&amp;",,,,,B)")</f>
        <v>1.4E-2</v>
      </c>
      <c r="G17" s="16" cm="1">
        <f t="array" ref="G17">_xll.FDS($B2,"FF_INVEST_ADV(ANN_R,"&amp;G5&amp;",,,,,B)")</f>
        <v>3.0000000000000001E-3</v>
      </c>
      <c r="H17" s="16" cm="1">
        <f t="array" ref="H17">_xll.FDS($B2,"FF_INVEST_ADV(ANN_R,"&amp;H5&amp;",,,,,B)")</f>
        <v>0</v>
      </c>
      <c r="I17" s="16" cm="1">
        <f t="array" ref="I17">_xll.FDS($B2,"FF_INVEST_ADV(ANN_R,"&amp;I5&amp;",,,,,B)")</f>
        <v>4.0000000000000001E-3</v>
      </c>
      <c r="J17" s="16" cm="1">
        <f t="array" ref="J17">_xll.FDS($B2,"FF_INVEST_ADV(ANN_R,"&amp;J5&amp;",,,,,B)")</f>
        <v>4.0000000000000001E-3</v>
      </c>
      <c r="K17" s="16" cm="1">
        <f t="array" ref="K17">_xll.FDS($B2,"FF_INVEST_ADV(ANN_R,"&amp;K5&amp;",,,,,B)")</f>
        <v>3.9E-2</v>
      </c>
      <c r="L17" s="16" cm="1">
        <f t="array" ref="L17">_xll.FDS($B2,"FF_INVEST_ADV(ANN_R,"&amp;L5&amp;",,,,,B)")</f>
        <v>0.1532</v>
      </c>
      <c r="M17" s="18"/>
    </row>
    <row r="18" spans="1:14">
      <c r="A18" s="347" t="str">
        <f>BS!A22</f>
        <v>Intangible Assets</v>
      </c>
      <c r="C18" s="1118" cm="1">
        <f t="array" ref="C18">_xll.FDS($B2,"FF_INTANG_ASSETS(ANN,"&amp;C5&amp;",,,,,B)")</f>
        <v>0</v>
      </c>
      <c r="D18" s="1118" cm="1">
        <f t="array" ref="D18">_xll.FDS($B2,"FF_INTANG_ASSETS(ANN,"&amp;D5&amp;",,,,,B)")</f>
        <v>0</v>
      </c>
      <c r="E18" s="1118" cm="1">
        <f t="array" ref="E18">_xll.FDS($B2,"FF_INTANG_ASSETS(ANN,"&amp;E5&amp;",,,,,B)")</f>
        <v>2.0699999999999998</v>
      </c>
      <c r="F18" s="1118" cm="1">
        <f t="array" ref="F18">_xll.FDS($B2,"FF_INTANG_ASSETS(ANN,"&amp;F5&amp;",,,,,B)")</f>
        <v>2.0760000000000001</v>
      </c>
      <c r="G18" s="1118" cm="1">
        <f t="array" ref="G18">_xll.FDS($B2,"FF_INTANG_ASSETS(ANN,"&amp;G5&amp;",,,,,B)")</f>
        <v>2.077</v>
      </c>
      <c r="H18" s="1118" cm="1">
        <f t="array" ref="H18">_xll.FDS($B2,"FF_INTANG_ASSETS(ANN,"&amp;H5&amp;",,,,,B)")</f>
        <v>0</v>
      </c>
      <c r="I18" s="1118" cm="1">
        <f t="array" ref="I18">_xll.FDS($B2,"FF_INTANG_ASSETS(ANN,"&amp;I5&amp;",,,,,B)")</f>
        <v>0</v>
      </c>
      <c r="J18" s="1118" cm="1">
        <f t="array" ref="J18">_xll.FDS($B2,"FF_INTANG_ASSETS(ANN,"&amp;J5&amp;",,,,,B)")</f>
        <v>0</v>
      </c>
      <c r="K18" s="1118" cm="1">
        <f t="array" ref="K18">_xll.FDS($B2,"FF_INTANG_ASSETS(ANN,"&amp;K5&amp;",,,,,B)")</f>
        <v>0</v>
      </c>
      <c r="L18" s="1118" cm="1">
        <f t="array" ref="L18">_xll.FDS($B2,"FF_INTANG_ASSETS(ANN,"&amp;L5&amp;",,,,,B)")</f>
        <v>0</v>
      </c>
    </row>
    <row r="19" spans="1:14">
      <c r="A19" s="347" t="str">
        <f>BS!A23</f>
        <v>Deferred Tax Assets</v>
      </c>
      <c r="C19" s="1118" cm="1">
        <f t="array" ref="C19">IFERROR(_xll.FDS($B2,"FF_DFD_TAX_DB(ANN_R,"&amp;C5&amp;",,,,,B)"),0)</f>
        <v>1.1819999999999999</v>
      </c>
      <c r="D19" s="1118" cm="1">
        <f t="array" ref="D19">IFERROR(_xll.FDS($B2,"FF_DFD_TAX_DB(ANN_R,"&amp;D5&amp;",,,,,B)"),0)</f>
        <v>1.008</v>
      </c>
      <c r="E19" s="1118" cm="1">
        <f t="array" ref="E19">IFERROR(_xll.FDS($B2,"FF_DFD_TAX_DB(ANN_R,"&amp;E5&amp;",,,,,B)"),0)</f>
        <v>0.61199999999999999</v>
      </c>
      <c r="F19" s="1118" cm="1">
        <f t="array" ref="F19">IFERROR(_xll.FDS($B2,"FF_DFD_TAX_DB(ANN_R,"&amp;F5&amp;",,,,,B)"),0)</f>
        <v>0.69599999999999995</v>
      </c>
      <c r="G19" s="1118" cm="1">
        <f t="array" ref="G19">IFERROR(_xll.FDS($B2,"FF_DFD_TAX_DB(ANN_R,"&amp;G5&amp;",,,,,B)"),0)</f>
        <v>0</v>
      </c>
      <c r="H19" s="1118" cm="1">
        <f t="array" ref="H19">IFERROR(_xll.FDS($B2,"FF_DFD_TAX_DB(ANN_R,"&amp;H5&amp;",,,,,B)"),0)</f>
        <v>0</v>
      </c>
      <c r="I19" s="1118" cm="1">
        <f t="array" ref="I19">IFERROR(_xll.FDS($B2,"FF_DFD_TAX_DB(ANN_R,"&amp;I5&amp;",,,,,B)"),0)</f>
        <v>0</v>
      </c>
      <c r="J19" s="1118" cm="1">
        <f t="array" ref="J19">IFERROR(_xll.FDS($B2,"FF_DFD_TAX_DB(ANN_R,"&amp;J5&amp;",,,,,B)"),0)</f>
        <v>0</v>
      </c>
      <c r="K19" s="1118" cm="1">
        <f t="array" ref="K19">IFERROR(_xll.FDS($B2,"FF_DFD_TAX_DB(ANN_R,"&amp;K5&amp;",,,,,B)"),0)</f>
        <v>0</v>
      </c>
      <c r="L19" s="1118" cm="1">
        <f t="array" ref="L19">IFERROR(_xll.FDS($B2,"FF_DFD_TAX_DB(ANN_R,"&amp;L5&amp;",,,,,B)"),0)</f>
        <v>0</v>
      </c>
      <c r="M19" s="16"/>
    </row>
    <row r="20" spans="1:14">
      <c r="A20" s="347" t="str">
        <f>BS!A24</f>
        <v>Other Assets</v>
      </c>
      <c r="C20" s="1118" cm="1">
        <f t="array" ref="C20">_xll.FDS($B2,"FF_ASSETS_CURR_OTH(ANN_R,"&amp;C5&amp;",,,,,B,""FILING_DATE=1"")")</f>
        <v>0.121</v>
      </c>
      <c r="D20" s="1118" cm="1">
        <f t="array" ref="D20">_xll.FDS($B2,"FF_ASSETS_CURR_OTH(ANN_R,"&amp;D5&amp;",,,,,B,""FILING_DATE=1"")")</f>
        <v>0.125</v>
      </c>
      <c r="E20" s="1118" cm="1">
        <f t="array" ref="E20">_xll.FDS($B2,"FF_ASSETS_CURR_OTH(ANN_R,"&amp;E5&amp;",,,,,B,""FILING_DATE=1"")")</f>
        <v>0.13300000000000001</v>
      </c>
      <c r="F20" s="1118" cm="1">
        <f t="array" ref="F20">_xll.FDS($B2,"FF_ASSETS_CURR_OTH(ANN_R,"&amp;F5&amp;",,,,,B,""FILING_DATE=1"")")</f>
        <v>0.121</v>
      </c>
      <c r="G20" s="1118" cm="1">
        <f t="array" ref="G20">_xll.FDS($B2,"FF_ASSETS_CURR_OTH(ANN_R,"&amp;G5&amp;",,,,,B,""FILING_DATE=1"")")</f>
        <v>7.1999999999999995E-2</v>
      </c>
      <c r="H20" s="1118" cm="1">
        <f t="array" ref="H20">_xll.FDS($B2,"FF_ASSETS_CURR_OTH(ANN_R,"&amp;H5&amp;",,,,,B,""FILING_DATE=1"")")</f>
        <v>0.222</v>
      </c>
      <c r="I20" s="1118" cm="1">
        <f t="array" ref="I20">_xll.FDS($B2,"FF_ASSETS_CURR_OTH(ANN_R,"&amp;I5&amp;",,,,,B,""FILING_DATE=1"")")</f>
        <v>0.20799999999999999</v>
      </c>
      <c r="J20" s="1118" cm="1">
        <f t="array" ref="J20">_xll.FDS($B2,"FF_ASSETS_CURR_OTH(ANN_R,"&amp;J5&amp;",,,,,B,""FILING_DATE=1"")")</f>
        <v>0.27100000000000002</v>
      </c>
      <c r="K20" s="1118" cm="1">
        <f t="array" ref="K20">_xll.FDS($B2,"FF_ASSETS_CURR_OTH(ANN_R,"&amp;K5&amp;",,,,,B,""FILING_DATE=1"")")</f>
        <v>0.22720000000000001</v>
      </c>
      <c r="L20" s="1118" cm="1">
        <f t="array" ref="L20">_xll.FDS($B2,"FF_ASSETS_CURR_OTH(ANN_R,"&amp;L5&amp;",,,,,B,""FILING_DATE=1"")")</f>
        <v>0.22720000000000001</v>
      </c>
      <c r="M20" s="16"/>
    </row>
    <row r="21" spans="1:14" s="17" customFormat="1">
      <c r="A21" s="374" t="str">
        <f>BS!A25</f>
        <v>Total Assets</v>
      </c>
      <c r="B21" s="12"/>
      <c r="C21" s="1120" cm="1">
        <f t="array" ref="C21">_xll.FDS($B2,"FF_ASSETS(ANN_R,"&amp;C5&amp;",,,,,B)")+SUM(C15:C16)</f>
        <v>15.228</v>
      </c>
      <c r="D21" s="1120" cm="1">
        <f t="array" ref="D21">_xll.FDS($B2,"FF_ASSETS(ANN_R,"&amp;D5&amp;",,,,,B)")+SUM(D15:D16)</f>
        <v>14.000999999999999</v>
      </c>
      <c r="E21" s="1120" cm="1">
        <f t="array" ref="E21">_xll.FDS($B2,"FF_ASSETS(ANN_R,"&amp;E5&amp;",,,,,B)")+SUM(E15:E16)</f>
        <v>13.614076300917542</v>
      </c>
      <c r="F21" s="1120" cm="1">
        <f t="array" ref="F21">_xll.FDS($B2,"FF_ASSETS(ANN_R,"&amp;F5&amp;",,,,,B)")+SUM(F15:F16)</f>
        <v>13.833756162676359</v>
      </c>
      <c r="G21" s="1120" cm="1">
        <f t="array" ref="G21">_xll.FDS($B2,"FF_ASSETS(ANN_R,"&amp;G5&amp;",,,,,B)")+SUM(G15:G16)</f>
        <v>12.655436024435176</v>
      </c>
      <c r="H21" s="1120" cm="1">
        <f t="array" ref="H21">_xll.FDS($B2,"FF_ASSETS(ANN_R,"&amp;H5&amp;",,,,,B)")+SUM(H15:H16)</f>
        <v>8.3886466038066274</v>
      </c>
      <c r="I21" s="1120" cm="1">
        <f t="array" ref="I21">_xll.FDS($B2,"FF_ASSETS(ANN_R,"&amp;I5&amp;",,,,,B)")+SUM(I15:I16)</f>
        <v>7.2079204360598474</v>
      </c>
      <c r="J21" s="1120" cm="1">
        <f t="array" ref="J21">_xll.FDS($B2,"FF_ASSETS(ANN_R,"&amp;J5&amp;",,,,,B)")+SUM(J15:J16)</f>
        <v>6.6809562155901512</v>
      </c>
      <c r="K21" s="1120" cm="1">
        <f t="array" ref="K21">_xll.FDS($B2,"FF_ASSETS(ANN_R,"&amp;K5&amp;",,,,,B)")+SUM(K15:K16)</f>
        <v>6.3219431482254027</v>
      </c>
      <c r="L21" s="1120" cm="1">
        <f t="array" ref="L21">_xll.FDS($B2,"FF_ASSETS(ANN_R,"&amp;L5&amp;",,,,,B)")+SUM(L15:L16)</f>
        <v>6.1042009875004553</v>
      </c>
      <c r="M21" s="18"/>
    </row>
    <row r="22" spans="1:14">
      <c r="A22" s="344" t="str">
        <f>BS!A26</f>
        <v>Liabilities &amp; Shareholders' Equity</v>
      </c>
      <c r="C22" s="1118"/>
      <c r="D22" s="347"/>
      <c r="E22" s="347"/>
      <c r="F22" s="347"/>
      <c r="G22" s="347"/>
      <c r="H22" s="347"/>
      <c r="I22" s="347"/>
      <c r="J22" s="347"/>
      <c r="K22" s="347"/>
      <c r="L22" s="347"/>
      <c r="M22" s="16"/>
    </row>
    <row r="23" spans="1:14">
      <c r="A23" s="347" t="str">
        <f>BS!A27</f>
        <v>ST Debt &amp; Curr. Portion LT Debt</v>
      </c>
      <c r="C23" s="1118" cm="1">
        <f t="array" ref="C23">_xll.FDS($B2,"FF_DEBT_ST(ANN_R,"&amp;C5&amp;",,,,,B,""FILING_DATE=1"")")</f>
        <v>0.504</v>
      </c>
      <c r="D23" s="1118" cm="1">
        <f t="array" ref="D23">_xll.FDS($B2,"FF_DEBT_ST(ANN_R,"&amp;D5&amp;",,,,,B,""FILING_DATE=1"")")</f>
        <v>0.48599999999999999</v>
      </c>
      <c r="E23" s="1118" cm="1">
        <f t="array" ref="E23">_xll.FDS($B2,"FF_DEBT_ST(ANN_R,"&amp;E5&amp;",,,,,B,""FILING_DATE=1"")")</f>
        <v>0.307</v>
      </c>
      <c r="F23" s="1118" cm="1">
        <f t="array" ref="F23">_xll.FDS($B2,"FF_DEBT_ST(ANN_R,"&amp;F5&amp;",,,,,B,""FILING_DATE=1"")")</f>
        <v>0.31900000000000001</v>
      </c>
      <c r="G23" s="1118" cm="1">
        <f t="array" ref="G23">_xll.FDS($B2,"FF_DEBT_ST(ANN_R,"&amp;G5&amp;",,,,,B,""FILING_DATE=1"")")</f>
        <v>0.114</v>
      </c>
      <c r="H23" s="1118" cm="1">
        <f t="array" ref="H23">_xll.FDS($B2,"FF_DEBT_ST(ANN_R,"&amp;H5&amp;",,,,,B,""FILING_DATE=1"")")</f>
        <v>0.11700000000000001</v>
      </c>
      <c r="I23" s="1118" cm="1">
        <f t="array" ref="I23">_xll.FDS($B2,"FF_DEBT_ST(ANN_R,"&amp;I5&amp;",,,,,B,""FILING_DATE=1"")")</f>
        <v>0.11700000000000001</v>
      </c>
      <c r="J23" s="1118" cm="1">
        <f t="array" ref="J23">_xll.FDS($B2,"FF_DEBT_ST(ANN_R,"&amp;J5&amp;",,,,,B,""FILING_DATE=1"")")</f>
        <v>0.161</v>
      </c>
      <c r="K23" s="1118" cm="1">
        <f t="array" ref="K23">_xll.FDS($B2,"FF_DEBT_ST(ANN_R,"&amp;K5&amp;",,,,,B,""FILING_DATE=1"")")</f>
        <v>0.2079</v>
      </c>
      <c r="L23" s="1118" cm="1">
        <f t="array" ref="L23">_xll.FDS($B2,"FF_DEBT_ST(ANN_R,"&amp;L5&amp;",,,,,B,""FILING_DATE=1"")")</f>
        <v>0.22120000000000001</v>
      </c>
      <c r="M23" s="16"/>
    </row>
    <row r="24" spans="1:14">
      <c r="A24" s="347" t="str">
        <f>BS!A28</f>
        <v>Accounts Payable</v>
      </c>
      <c r="C24" s="1118" cm="1">
        <f t="array" ref="C24">_xll.FDS($B2,"FF_PAY_ACCT(ANN_R,"&amp;C5&amp;",,,,,B,""FILING_DATE=1"")")</f>
        <v>0.14599999999999999</v>
      </c>
      <c r="D24" s="1118" cm="1">
        <f t="array" ref="D24">_xll.FDS($B2,"FF_PAY_ACCT(ANN_R,"&amp;D5&amp;",,,,,B,""FILING_DATE=1"")")</f>
        <v>0.13200000000000001</v>
      </c>
      <c r="E24" s="1118" cm="1">
        <f t="array" ref="E24">_xll.FDS($B2,"FF_PAY_ACCT(ANN_R,"&amp;E5&amp;",,,,,B,""FILING_DATE=1"")")</f>
        <v>0.12</v>
      </c>
      <c r="F24" s="1118" cm="1">
        <f t="array" ref="F24">_xll.FDS($B2,"FF_PAY_ACCT(ANN_R,"&amp;F5&amp;",,,,,B,""FILING_DATE=1"")")</f>
        <v>9.1999999999999998E-2</v>
      </c>
      <c r="G24" s="1118" cm="1">
        <f t="array" ref="G24">_xll.FDS($B2,"FF_PAY_ACCT(ANN_R,"&amp;G5&amp;",,,,,B,""FILING_DATE=1"")")</f>
        <v>6.3E-2</v>
      </c>
      <c r="H24" s="1118" cm="1">
        <f t="array" ref="H24">_xll.FDS($B2,"FF_PAY_ACCT(ANN_R,"&amp;H5&amp;",,,,,B,""FILING_DATE=1"")")</f>
        <v>6.2E-2</v>
      </c>
      <c r="I24" s="1118" cm="1">
        <f t="array" ref="I24">_xll.FDS($B2,"FF_PAY_ACCT(ANN_R,"&amp;I5&amp;",,,,,B,""FILING_DATE=1"")")</f>
        <v>6.4000000000000001E-2</v>
      </c>
      <c r="J24" s="1118" cm="1">
        <f t="array" ref="J24">_xll.FDS($B2,"FF_PAY_ACCT(ANN_R,"&amp;J5&amp;",,,,,B,""FILING_DATE=1"")")</f>
        <v>6.5000000000000002E-2</v>
      </c>
      <c r="K24" s="1118" cm="1">
        <f t="array" ref="K24">_xll.FDS($B2,"FF_PAY_ACCT(ANN_R,"&amp;K5&amp;",,,,,B,""FILING_DATE=1"")")</f>
        <v>0.1036</v>
      </c>
      <c r="L24" s="1118" cm="1">
        <f t="array" ref="L24">_xll.FDS($B2,"FF_PAY_ACCT(ANN_R,"&amp;L5&amp;",,,,,B,""FILING_DATE=1"")")</f>
        <v>6.0199999999999997E-2</v>
      </c>
      <c r="M24" s="16"/>
    </row>
    <row r="25" spans="1:14">
      <c r="A25" s="347" t="str">
        <f>BS!A29</f>
        <v>Income Tax Payable</v>
      </c>
      <c r="C25" s="1118" cm="1">
        <f t="array" ref="C25">IFERROR(_xll.FDS($B2,"FF_INC_PAY_TAX(ANN_R,"&amp;C5&amp;",,,,,B,""FILING_DATE=1"")"),0)</f>
        <v>0</v>
      </c>
      <c r="D25" s="1118" cm="1">
        <f t="array" ref="D25">IFERROR(_xll.FDS($B2,"FF_INC_PAY_TAX(ANN_R,"&amp;D5&amp;",,,,,B,""FILING_DATE=1"")"),0)</f>
        <v>0</v>
      </c>
      <c r="E25" s="1118" cm="1">
        <f t="array" ref="E25">IFERROR(_xll.FDS($B2,"FF_INC_PAY_TAX(ANN_R,"&amp;E5&amp;",,,,,B,""FILING_DATE=1"")"),0)</f>
        <v>0</v>
      </c>
      <c r="F25" s="1118" cm="1">
        <f t="array" ref="F25">IFERROR(_xll.FDS($B2,"FF_INC_PAY_TAX(ANN_R,"&amp;F5&amp;",,,,,B,""FILING_DATE=1"")"),0)</f>
        <v>0</v>
      </c>
      <c r="G25" s="1118" cm="1">
        <f t="array" ref="G25">IFERROR(_xll.FDS($B2,"FF_INC_PAY_TAX(ANN_R,"&amp;G5&amp;",,,,,B,""FILING_DATE=1"")"),0)</f>
        <v>0</v>
      </c>
      <c r="H25" s="1118" cm="1">
        <f t="array" ref="H25">IFERROR(_xll.FDS($B2,"FF_INC_PAY_TAX(ANN_R,"&amp;H5&amp;",,,,,B,""FILING_DATE=1"")"),0)</f>
        <v>0</v>
      </c>
      <c r="I25" s="1118" cm="1">
        <f t="array" ref="I25">IFERROR(_xll.FDS($B2,"FF_INC_PAY_TAX(ANN_R,"&amp;I5&amp;",,,,,B,""FILING_DATE=1"")"),0)</f>
        <v>0</v>
      </c>
      <c r="J25" s="1118" cm="1">
        <f t="array" ref="J25">IFERROR(_xll.FDS($B2,"FF_INC_PAY_TAX(ANN_R,"&amp;J5&amp;",,,,,B,""FILING_DATE=1"")"),0)</f>
        <v>0</v>
      </c>
      <c r="K25" s="1118" cm="1">
        <f t="array" ref="K25">IFERROR(_xll.FDS($B2,"FF_INC_PAY_TAX(ANN_R,"&amp;K5&amp;",,,,,B,""FILING_DATE=1"")"),0)</f>
        <v>0</v>
      </c>
      <c r="L25" s="1118" cm="1">
        <f t="array" ref="L25">IFERROR(_xll.FDS($B2,"FF_INC_PAY_TAX(ANN_R,"&amp;L5&amp;",,,,,B,""FILING_DATE=1"")"),0)</f>
        <v>0</v>
      </c>
      <c r="M25" s="16"/>
    </row>
    <row r="26" spans="1:14">
      <c r="A26" s="347" t="str">
        <f>BS!A30</f>
        <v>Other Current Liabilities</v>
      </c>
      <c r="C26" s="1118" cm="1">
        <f t="array" ref="C26">_xll.FDS($B2,"FF_LIABS_CURR_OTH(ANN_R,"&amp;C5&amp;",,,,,B,""FILING_DATE=1"")")</f>
        <v>2.5510000000000002</v>
      </c>
      <c r="D26" s="1118" cm="1">
        <f t="array" ref="D26">_xll.FDS($B2,"FF_LIABS_CURR_OTH(ANN_R,"&amp;D5&amp;",,,,,B,""FILING_DATE=1"")")</f>
        <v>2.3239999999999998</v>
      </c>
      <c r="E26" s="1118" cm="1">
        <f t="array" ref="E26">_xll.FDS($B2,"FF_LIABS_CURR_OTH(ANN_R,"&amp;E5&amp;",,,,,B,""FILING_DATE=1"")")</f>
        <v>2.2589999999999999</v>
      </c>
      <c r="F26" s="1118" cm="1">
        <f t="array" ref="F26">_xll.FDS($B2,"FF_LIABS_CURR_OTH(ANN_R,"&amp;F5&amp;",,,,,B,""FILING_DATE=1"")")</f>
        <v>2.1240000000000001</v>
      </c>
      <c r="G26" s="1118" cm="1">
        <f t="array" ref="G26">_xll.FDS($B2,"FF_LIABS_CURR_OTH(ANN_R,"&amp;G5&amp;",,,,,B,""FILING_DATE=1"")")</f>
        <v>1.6279999999999999</v>
      </c>
      <c r="H26" s="1118" cm="1">
        <f t="array" ref="H26">_xll.FDS($B2,"FF_LIABS_CURR_OTH(ANN_R,"&amp;H5&amp;",,,,,B,""FILING_DATE=1"")")</f>
        <v>1.492</v>
      </c>
      <c r="I26" s="1118" cm="1">
        <f t="array" ref="I26">_xll.FDS($B2,"FF_LIABS_CURR_OTH(ANN_R,"&amp;I5&amp;",,,,,B,""FILING_DATE=1"")")</f>
        <v>1.399</v>
      </c>
      <c r="J26" s="1118" cm="1">
        <f t="array" ref="J26">_xll.FDS($B2,"FF_LIABS_CURR_OTH(ANN_R,"&amp;J5&amp;",,,,,B,""FILING_DATE=1"")")</f>
        <v>1.2749999999999999</v>
      </c>
      <c r="K26" s="1118" cm="1">
        <f t="array" ref="K26">_xll.FDS($B2,"FF_LIABS_CURR_OTH(ANN_R,"&amp;K5&amp;",,,,,B,""FILING_DATE=1"")")</f>
        <v>1.1980999999999999</v>
      </c>
      <c r="L26" s="1118" cm="1">
        <f t="array" ref="L26">_xll.FDS($B2,"FF_LIABS_CURR_OTH(ANN_R,"&amp;L5&amp;",,,,,B,""FILING_DATE=1"")")</f>
        <v>1.1433</v>
      </c>
      <c r="M26" s="16"/>
    </row>
    <row r="27" spans="1:14" s="17" customFormat="1">
      <c r="A27" s="344" t="str">
        <f>BS!A31</f>
        <v>Total Current Liabilities</v>
      </c>
      <c r="B27" s="372"/>
      <c r="C27" s="1119" cm="1">
        <f t="array" ref="C27">_xll.FDS($B2,"FF_LIABS_CURR(ANN_R,"&amp;C5&amp;",,,,,B,""FILING_DATE=1"")")</f>
        <v>3.2010000000000001</v>
      </c>
      <c r="D27" s="1119" cm="1">
        <f t="array" ref="D27">_xll.FDS($B2,"FF_LIABS_CURR(ANN_R,"&amp;D5&amp;",,,,,B,""FILING_DATE=1"")")</f>
        <v>2.9420000000000002</v>
      </c>
      <c r="E27" s="1119" cm="1">
        <f t="array" ref="E27">_xll.FDS($B2,"FF_LIABS_CURR(ANN_R,"&amp;E5&amp;",,,,,B,""FILING_DATE=1"")")</f>
        <v>2.6859999999999999</v>
      </c>
      <c r="F27" s="1119" cm="1">
        <f t="array" ref="F27">_xll.FDS($B2,"FF_LIABS_CURR(ANN_R,"&amp;F5&amp;",,,,,B,""FILING_DATE=1"")")</f>
        <v>2.5350000000000001</v>
      </c>
      <c r="G27" s="1119" cm="1">
        <f t="array" ref="G27">_xll.FDS($B2,"FF_LIABS_CURR(ANN_R,"&amp;G5&amp;",,,,,B,""FILING_DATE=1"")")</f>
        <v>1.8049999999999999</v>
      </c>
      <c r="H27" s="1119" cm="1">
        <f t="array" ref="H27">_xll.FDS($B2,"FF_LIABS_CURR(ANN_R,"&amp;H5&amp;",,,,,B,""FILING_DATE=1"")")</f>
        <v>1.671</v>
      </c>
      <c r="I27" s="1119" cm="1">
        <f t="array" ref="I27">_xll.FDS($B2,"FF_LIABS_CURR(ANN_R,"&amp;I5&amp;",,,,,B,""FILING_DATE=1"")")</f>
        <v>1.58</v>
      </c>
      <c r="J27" s="1119" cm="1">
        <f t="array" ref="J27">_xll.FDS($B2,"FF_LIABS_CURR(ANN_R,"&amp;J5&amp;",,,,,B,""FILING_DATE=1"")")</f>
        <v>1.5009999999999999</v>
      </c>
      <c r="K27" s="1119" cm="1">
        <f t="array" ref="K27">_xll.FDS($B2,"FF_LIABS_CURR(ANN_R,"&amp;K5&amp;",,,,,B,""FILING_DATE=1"")")</f>
        <v>1.5096000000000001</v>
      </c>
      <c r="L27" s="1119" cm="1">
        <f t="array" ref="L27">_xll.FDS($B2,"FF_LIABS_CURR(ANN_R,"&amp;L5&amp;",,,,,B,""FILING_DATE=1"")")</f>
        <v>1.4247000000000001</v>
      </c>
      <c r="M27" s="18"/>
      <c r="N27" s="1121"/>
    </row>
    <row r="28" spans="1:14">
      <c r="A28" s="347" t="str">
        <f>BS!A32</f>
        <v>Long-Term Debt</v>
      </c>
      <c r="C28" s="1118" cm="1">
        <f t="array" ref="C28">_xll.FDS($B2,"FF_DEBT_LT(ANN_R,"&amp;C5&amp;",,,,,B,""FILING_DATE=1"")")</f>
        <v>2.7029999999999998</v>
      </c>
      <c r="D28" s="1118" cm="1">
        <f t="array" ref="D28">_xll.FDS($B2,"FF_DEBT_LT(ANN_R,"&amp;D5&amp;",,,,,B,""FILING_DATE=1"")")</f>
        <v>1.617</v>
      </c>
      <c r="E28" s="1118" cm="1">
        <f t="array" ref="E28">_xll.FDS($B2,"FF_DEBT_LT(ANN_R,"&amp;E5&amp;",,,,,B,""FILING_DATE=1"")")</f>
        <v>2.262</v>
      </c>
      <c r="F28" s="1118" cm="1">
        <f t="array" ref="F28">_xll.FDS($B2,"FF_DEBT_LT(ANN_R,"&amp;F5&amp;",,,,,B,""FILING_DATE=1"")")</f>
        <v>2.645</v>
      </c>
      <c r="G28" s="1118" cm="1">
        <f t="array" ref="G28">_xll.FDS($B2,"FF_DEBT_LT(ANN_R,"&amp;G5&amp;",,,,,B,""FILING_DATE=1"")")</f>
        <v>0.56899999999999995</v>
      </c>
      <c r="H28" s="1118" cm="1">
        <f t="array" ref="H28">_xll.FDS($B2,"FF_DEBT_LT(ANN_R,"&amp;H5&amp;",,,,,B,""FILING_DATE=1"")")</f>
        <v>0.68600000000000005</v>
      </c>
      <c r="I28" s="1118" cm="1">
        <f t="array" ref="I28">_xll.FDS($B2,"FF_DEBT_LT(ANN_R,"&amp;I5&amp;",,,,,B,""FILING_DATE=1"")")</f>
        <v>0.754</v>
      </c>
      <c r="J28" s="1118" cm="1">
        <f t="array" ref="J28">_xll.FDS($B2,"FF_DEBT_LT(ANN_R,"&amp;J5&amp;",,,,,B,""FILING_DATE=1"")")</f>
        <v>0.871</v>
      </c>
      <c r="K28" s="1118" cm="1">
        <f t="array" ref="K28">_xll.FDS($B2,"FF_DEBT_LT(ANN_R,"&amp;K5&amp;",,,,,B,""FILING_DATE=1"")")</f>
        <v>1.099</v>
      </c>
      <c r="L28" s="1118" cm="1">
        <f t="array" ref="L28">_xll.FDS($B2,"FF_DEBT_LT(ANN_R,"&amp;L5&amp;",,,,,B,""FILING_DATE=1"")")</f>
        <v>1.3129999999999999</v>
      </c>
      <c r="M28" s="16"/>
    </row>
    <row r="29" spans="1:14">
      <c r="A29" s="375" t="str">
        <f>'DAL-US Lease'!B33</f>
        <v>Lease adj. to Total Debt outstanding</v>
      </c>
      <c r="B29" s="375"/>
      <c r="C29" s="375">
        <f t="shared" ref="C29:L29" si="0">C16</f>
        <v>0</v>
      </c>
      <c r="D29" s="375">
        <f t="shared" si="0"/>
        <v>0</v>
      </c>
      <c r="E29" s="375">
        <f t="shared" si="0"/>
        <v>2.0900763009175436</v>
      </c>
      <c r="F29" s="375">
        <f t="shared" si="0"/>
        <v>2.391756162676359</v>
      </c>
      <c r="G29" s="375">
        <f t="shared" si="0"/>
        <v>2.6934360244351749</v>
      </c>
      <c r="H29" s="375">
        <f t="shared" si="0"/>
        <v>1.8586466038066278</v>
      </c>
      <c r="I29" s="375">
        <f t="shared" si="0"/>
        <v>1.0269204360598478</v>
      </c>
      <c r="J29" s="375">
        <f t="shared" si="0"/>
        <v>0.8429562155901511</v>
      </c>
      <c r="K29" s="375">
        <f t="shared" si="0"/>
        <v>0.81694314822540304</v>
      </c>
      <c r="L29" s="375">
        <f t="shared" si="0"/>
        <v>0.90920098750045508</v>
      </c>
      <c r="M29" s="16"/>
    </row>
    <row r="30" spans="1:14">
      <c r="A30" s="347" t="str">
        <f>BS!A33</f>
        <v>Provision for Risks &amp; Charges</v>
      </c>
      <c r="C30" s="1118" cm="1">
        <f t="array" ref="C30">_xll.FDS($B2,"FF_PROV_RISK(ANN_R,"&amp;C5&amp;",,,,,B)")</f>
        <v>0.66500000000000004</v>
      </c>
      <c r="D30" s="1118" cm="1">
        <f t="array" ref="D30">_xll.FDS($B2,"FF_PROV_RISK(ANN_R,"&amp;D5&amp;",,,,,B)")</f>
        <v>0.57099999999999995</v>
      </c>
      <c r="E30" s="1118" cm="1">
        <f t="array" ref="E30">_xll.FDS($B2,"FF_PROV_RISK(ANN_R,"&amp;E5&amp;",,,,,B)")</f>
        <v>0.503</v>
      </c>
      <c r="F30" s="1118" cm="1">
        <f t="array" ref="F30">_xll.FDS($B2,"FF_PROV_RISK(ANN_R,"&amp;F5&amp;",,,,,B)")</f>
        <v>0.45300000000000001</v>
      </c>
      <c r="G30" s="1118" cm="1">
        <f t="array" ref="G30">_xll.FDS($B2,"FF_PROV_RISK(ANN_R,"&amp;G5&amp;",,,,,B)")</f>
        <v>0.33100000000000002</v>
      </c>
      <c r="H30" s="1118" cm="1">
        <f t="array" ref="H30">_xll.FDS($B2,"FF_PROV_RISK(ANN_R,"&amp;H5&amp;",,,,,B)")</f>
        <v>0.27</v>
      </c>
      <c r="I30" s="1118" cm="1">
        <f t="array" ref="I30">_xll.FDS($B2,"FF_PROV_RISK(ANN_R,"&amp;I5&amp;",,,,,B)")</f>
        <v>0.246</v>
      </c>
      <c r="J30" s="1118" cm="1">
        <f t="array" ref="J30">_xll.FDS($B2,"FF_PROV_RISK(ANN_R,"&amp;J5&amp;",,,,,B)")</f>
        <v>0.123</v>
      </c>
      <c r="K30" s="1118" cm="1">
        <f t="array" ref="K30">_xll.FDS($B2,"FF_PROV_RISK(ANN_R,"&amp;K5&amp;",,,,,B)")</f>
        <v>0.48899999999999999</v>
      </c>
      <c r="L30" s="1118" cm="1">
        <f t="array" ref="L30">_xll.FDS($B2,"FF_PROV_RISK(ANN_R,"&amp;L5&amp;",,,,,B)")</f>
        <v>0.46339999999999998</v>
      </c>
      <c r="M30" s="16"/>
    </row>
    <row r="31" spans="1:14">
      <c r="A31" s="347" t="str">
        <f>BS!A34</f>
        <v>Deferred Tax Liabilities</v>
      </c>
      <c r="C31" s="1118" cm="1">
        <f t="array" ref="C31">IFERROR(_xll.FDS($B2,"FF_DFD_TAX_CR(ANN_R,"&amp;C5&amp;",,,,,B,""FILING_DATE=1"")"),0)</f>
        <v>1.7230000000000001</v>
      </c>
      <c r="D31" s="1118" cm="1">
        <f t="array" ref="D31">IFERROR(_xll.FDS($B2,"FF_DFD_TAX_CR(ANN_R,"&amp;D5&amp;",,,,,B,""FILING_DATE=1"")"),0)</f>
        <v>1.1240000000000001</v>
      </c>
      <c r="E31" s="1118" cm="1">
        <f t="array" ref="E31">IFERROR(_xll.FDS($B2,"FF_DFD_TAX_CR(ANN_R,"&amp;E5&amp;",,,,,B,""FILING_DATE=1"")"),0)</f>
        <v>1.0660000000000001</v>
      </c>
      <c r="F31" s="1118" cm="1">
        <f t="array" ref="F31">IFERROR(_xll.FDS($B2,"FF_DFD_TAX_CR(ANN_R,"&amp;F5&amp;",,,,,B,""FILING_DATE=1"")"),0)</f>
        <v>0.46300000000000002</v>
      </c>
      <c r="G31" s="1118" cm="1">
        <f t="array" ref="G31">IFERROR(_xll.FDS($B2,"FF_DFD_TAX_CR(ANN_R,"&amp;G5&amp;",,,,,B,""FILING_DATE=1"")"),0)</f>
        <v>0.68200000000000005</v>
      </c>
      <c r="H31" s="1118" cm="1">
        <f t="array" ref="H31">IFERROR(_xll.FDS($B2,"FF_DFD_TAX_CR(ANN_R,"&amp;H5&amp;",,,,,B,""FILING_DATE=1"")"),0)</f>
        <v>0.75</v>
      </c>
      <c r="I31" s="1118" cm="1">
        <f t="array" ref="I31">IFERROR(_xll.FDS($B2,"FF_DFD_TAX_CR(ANN_R,"&amp;I5&amp;",,,,,B,""FILING_DATE=1"")"),0)</f>
        <v>0.70899999999999996</v>
      </c>
      <c r="J31" s="1118" cm="1">
        <f t="array" ref="J31">IFERROR(_xll.FDS($B2,"FF_DFD_TAX_CR(ANN_R,"&amp;J5&amp;",,,,,B,""FILING_DATE=1"")"),0)</f>
        <v>0.44600000000000001</v>
      </c>
      <c r="K31" s="1118" cm="1">
        <f t="array" ref="K31">IFERROR(_xll.FDS($B2,"FF_DFD_TAX_CR(ANN_R,"&amp;K5&amp;",,,,,B,""FILING_DATE=1"")"),0)</f>
        <v>0.3629</v>
      </c>
      <c r="L31" s="1118" cm="1">
        <f t="array" ref="L31">IFERROR(_xll.FDS($B2,"FF_DFD_TAX_CR(ANN_R,"&amp;L5&amp;",,,,,B,""FILING_DATE=1"")"),0)</f>
        <v>0.27989999999999998</v>
      </c>
      <c r="M31" s="16"/>
    </row>
    <row r="32" spans="1:14">
      <c r="A32" s="347" t="str">
        <f>BS!A35</f>
        <v>Other Liabilities</v>
      </c>
      <c r="C32" s="1118" cm="1">
        <f t="array" ref="C32">_xll.FDS($B2,"FF_LIABS_OTH(ANN_R,"&amp;C5&amp;",,,,,B,""FILING_DATE=1"")")</f>
        <v>1.472</v>
      </c>
      <c r="D32" s="1118" cm="1">
        <f t="array" ref="D32">_xll.FDS($B2,"FF_LIABS_OTH(ANN_R,"&amp;D5&amp;",,,,,B,""FILING_DATE=1"")")</f>
        <v>1.587</v>
      </c>
      <c r="E32" s="1118" cm="1">
        <f t="array" ref="E32">_xll.FDS($B2,"FF_LIABS_OTH(ANN_R,"&amp;E5&amp;",,,,,B,""FILING_DATE=1"")")</f>
        <v>1.5149999999999999</v>
      </c>
      <c r="F32" s="1118" cm="1">
        <f t="array" ref="F32">_xll.FDS($B2,"FF_LIABS_OTH(ANN_R,"&amp;F5&amp;",,,,,B,""FILING_DATE=1"")")</f>
        <v>1.0569999999999999</v>
      </c>
      <c r="G32" s="1118" cm="1">
        <f t="array" ref="G32">_xll.FDS($B2,"FF_LIABS_OTH(ANN_R,"&amp;G5&amp;",,,,,B,""FILING_DATE=1"")")</f>
        <v>0.79300000000000004</v>
      </c>
      <c r="H32" s="1118" cm="1">
        <f t="array" ref="H32">_xll.FDS($B2,"FF_LIABS_OTH(ANN_R,"&amp;H5&amp;",,,,,B,""FILING_DATE=1"")")</f>
        <v>0.70099999999999996</v>
      </c>
      <c r="I32" s="1118" cm="1">
        <f t="array" ref="I32">_xll.FDS($B2,"FF_LIABS_OTH(ANN_R,"&amp;I5&amp;",,,,,B,""FILING_DATE=1"")")</f>
        <v>0.64300000000000002</v>
      </c>
      <c r="J32" s="1118" cm="1">
        <f t="array" ref="J32">_xll.FDS($B2,"FF_LIABS_OTH(ANN_R,"&amp;J5&amp;",,,,,B,""FILING_DATE=1"")")</f>
        <v>0.77700000000000002</v>
      </c>
      <c r="K32" s="1118" cm="1">
        <f t="array" ref="K32">_xll.FDS($B2,"FF_LIABS_OTH(ANN_R,"&amp;K5&amp;",,,,,B,""FILING_DATE=1"")")</f>
        <v>0.58689999999999998</v>
      </c>
      <c r="L32" s="1118" cm="1">
        <f t="array" ref="L32">_xll.FDS($B2,"FF_LIABS_OTH(ANN_R,"&amp;L5&amp;",,,,,B,""FILING_DATE=1"")")</f>
        <v>0.52649999999999997</v>
      </c>
      <c r="M32" s="16"/>
    </row>
    <row r="33" spans="1:13">
      <c r="A33" s="344" t="str">
        <f>BS!A36</f>
        <v>Total Liabilities</v>
      </c>
      <c r="C33" s="1119" cm="1">
        <f t="array" ref="C33">_xll.FDS($B2,"FF_LIABS(ANN_R,"&amp;C5&amp;",,,,,B)")+C29</f>
        <v>12.24</v>
      </c>
      <c r="D33" s="1119" cm="1">
        <f t="array" ref="D33">_xll.FDS($B2,"FF_LIABS(ANN_R,"&amp;D5&amp;",,,,,B)")+D29</f>
        <v>9.67</v>
      </c>
      <c r="E33" s="1119" cm="1">
        <f t="array" ref="E33">_xll.FDS($B2,"FF_LIABS(ANN_R,"&amp;E5&amp;",,,,,B)")+E29</f>
        <v>9.8630763009175428</v>
      </c>
      <c r="F33" s="1119" cm="1">
        <f t="array" ref="F33">_xll.FDS($B2,"FF_LIABS(ANN_R,"&amp;F5&amp;",,,,,B)")+F29</f>
        <v>10.37375616267636</v>
      </c>
      <c r="G33" s="1119" cm="1">
        <f t="array" ref="G33">_xll.FDS($B2,"FF_LIABS(ANN_R,"&amp;G5&amp;",,,,,B)")+G29</f>
        <v>9.7244360244351746</v>
      </c>
      <c r="H33" s="1119" cm="1">
        <f t="array" ref="H33">_xll.FDS($B2,"FF_LIABS(ANN_R,"&amp;H5&amp;",,,,,B)")+H29</f>
        <v>5.9776466038066278</v>
      </c>
      <c r="I33" s="1119" cm="1">
        <f t="array" ref="I33">_xll.FDS($B2,"FF_LIABS(ANN_R,"&amp;I5&amp;",,,,,B)")+I29</f>
        <v>5.0809204360598486</v>
      </c>
      <c r="J33" s="1119" cm="1">
        <f t="array" ref="J33">_xll.FDS($B2,"FF_LIABS(ANN_R,"&amp;J5&amp;",,,,,B)")+J29</f>
        <v>4.6519562155901513</v>
      </c>
      <c r="K33" s="1119" cm="1">
        <f t="array" ref="K33">_xll.FDS($B2,"FF_LIABS(ANN_R,"&amp;K5&amp;",,,,,B)")+K29</f>
        <v>4.9009431482254024</v>
      </c>
      <c r="L33" s="1119" cm="1">
        <f t="array" ref="L33">_xll.FDS($B2,"FF_LIABS(ANN_R,"&amp;L5&amp;",,,,,B)")+L29</f>
        <v>4.9310009875004548</v>
      </c>
      <c r="M33" s="16"/>
    </row>
    <row r="34" spans="1:13">
      <c r="A34" s="373" t="str">
        <f>BS!A40</f>
        <v>Total Equity</v>
      </c>
      <c r="B34" s="12"/>
      <c r="C34" s="373">
        <f>C21-C33</f>
        <v>2.9879999999999995</v>
      </c>
      <c r="D34" s="373">
        <f t="shared" ref="D34:L34" si="1">D21-D33</f>
        <v>4.3309999999999995</v>
      </c>
      <c r="E34" s="373">
        <f t="shared" si="1"/>
        <v>3.7509999999999994</v>
      </c>
      <c r="F34" s="373">
        <f t="shared" si="1"/>
        <v>3.4599999999999991</v>
      </c>
      <c r="G34" s="373">
        <f t="shared" si="1"/>
        <v>2.9310000000000009</v>
      </c>
      <c r="H34" s="373">
        <f t="shared" si="1"/>
        <v>2.4109999999999996</v>
      </c>
      <c r="I34" s="373">
        <f t="shared" si="1"/>
        <v>2.1269999999999989</v>
      </c>
      <c r="J34" s="373">
        <f t="shared" si="1"/>
        <v>2.0289999999999999</v>
      </c>
      <c r="K34" s="373">
        <f t="shared" si="1"/>
        <v>1.4210000000000003</v>
      </c>
      <c r="L34" s="373">
        <f t="shared" si="1"/>
        <v>1.1732000000000005</v>
      </c>
      <c r="M34" s="16"/>
    </row>
    <row r="35" spans="1:13">
      <c r="A35" s="374" t="str">
        <f>BS!A41</f>
        <v>Total Liabilities &amp; Shareholders' Equity</v>
      </c>
      <c r="B35" s="12"/>
      <c r="C35" s="374">
        <f>C33+C34</f>
        <v>15.228</v>
      </c>
      <c r="D35" s="374">
        <f t="shared" ref="D35:L35" si="2">D33+D34</f>
        <v>14.000999999999999</v>
      </c>
      <c r="E35" s="374">
        <f t="shared" si="2"/>
        <v>13.614076300917542</v>
      </c>
      <c r="F35" s="374">
        <f t="shared" si="2"/>
        <v>13.833756162676359</v>
      </c>
      <c r="G35" s="374">
        <f t="shared" si="2"/>
        <v>12.655436024435176</v>
      </c>
      <c r="H35" s="374">
        <f t="shared" si="2"/>
        <v>8.3886466038066274</v>
      </c>
      <c r="I35" s="374">
        <f t="shared" si="2"/>
        <v>7.2079204360598474</v>
      </c>
      <c r="J35" s="374">
        <f t="shared" si="2"/>
        <v>6.6809562155901512</v>
      </c>
      <c r="K35" s="374">
        <f t="shared" si="2"/>
        <v>6.3219431482254027</v>
      </c>
      <c r="L35" s="374">
        <f t="shared" si="2"/>
        <v>6.1042009875004553</v>
      </c>
      <c r="M35" s="16"/>
    </row>
    <row r="36" spans="1:13">
      <c r="A36" s="353"/>
      <c r="C36" s="376"/>
      <c r="D36" s="376"/>
      <c r="E36" s="376"/>
      <c r="F36" s="376"/>
      <c r="G36" s="376"/>
      <c r="H36" s="376"/>
      <c r="I36" s="376"/>
      <c r="J36" s="376"/>
      <c r="K36" s="376"/>
      <c r="L36" s="376"/>
      <c r="M36" s="16"/>
    </row>
    <row r="37" spans="1:13">
      <c r="A37" s="353" t="s">
        <v>450</v>
      </c>
      <c r="C37" s="376" t="str">
        <f>C5</f>
        <v>12/2020</v>
      </c>
      <c r="D37" s="376" t="str">
        <f t="shared" ref="D37:L37" si="3">D5</f>
        <v>12/2019</v>
      </c>
      <c r="E37" s="376" t="str">
        <f t="shared" si="3"/>
        <v>12/2018</v>
      </c>
      <c r="F37" s="376" t="str">
        <f t="shared" si="3"/>
        <v>12/2017</v>
      </c>
      <c r="G37" s="376" t="str">
        <f t="shared" si="3"/>
        <v>12/2016</v>
      </c>
      <c r="H37" s="376" t="str">
        <f t="shared" si="3"/>
        <v>12/2015</v>
      </c>
      <c r="I37" s="376" t="str">
        <f t="shared" si="3"/>
        <v>12/2014</v>
      </c>
      <c r="J37" s="376" t="str">
        <f t="shared" si="3"/>
        <v>12/2013</v>
      </c>
      <c r="K37" s="376" t="str">
        <f t="shared" si="3"/>
        <v>12/2012</v>
      </c>
      <c r="L37" s="376" t="str">
        <f t="shared" si="3"/>
        <v>12/2011</v>
      </c>
      <c r="M37" s="16"/>
    </row>
    <row r="38" spans="1:13">
      <c r="A38" s="385" t="str">
        <f>A10</f>
        <v>Short-Term Receivables</v>
      </c>
      <c r="B38" s="385"/>
      <c r="C38" s="523">
        <f>C10</f>
        <v>0.48</v>
      </c>
      <c r="D38" s="523">
        <f t="shared" ref="D38:L38" si="4">D10</f>
        <v>0.32300000000000001</v>
      </c>
      <c r="E38" s="523">
        <f t="shared" si="4"/>
        <v>0.36599999999999999</v>
      </c>
      <c r="F38" s="523">
        <f t="shared" si="4"/>
        <v>0.34100000000000003</v>
      </c>
      <c r="G38" s="523">
        <f t="shared" si="4"/>
        <v>0.30199999999999999</v>
      </c>
      <c r="H38" s="523">
        <f t="shared" si="4"/>
        <v>0.21199999999999999</v>
      </c>
      <c r="I38" s="523">
        <f t="shared" si="4"/>
        <v>0.25900000000000001</v>
      </c>
      <c r="J38" s="523">
        <f t="shared" si="4"/>
        <v>0.152</v>
      </c>
      <c r="K38" s="523">
        <f t="shared" si="4"/>
        <v>0.13</v>
      </c>
      <c r="L38" s="523">
        <f t="shared" si="4"/>
        <v>0.13639999999999999</v>
      </c>
      <c r="M38" s="16"/>
    </row>
    <row r="39" spans="1:13">
      <c r="A39" s="385" t="str">
        <f>A11</f>
        <v>Inventories</v>
      </c>
      <c r="B39" s="385"/>
      <c r="C39" s="523">
        <f t="shared" ref="C39:L40" si="5">C11</f>
        <v>5.7000000000000002E-2</v>
      </c>
      <c r="D39" s="523">
        <f t="shared" si="5"/>
        <v>7.1999999999999995E-2</v>
      </c>
      <c r="E39" s="523">
        <f t="shared" si="5"/>
        <v>0.06</v>
      </c>
      <c r="F39" s="523">
        <f t="shared" si="5"/>
        <v>5.7000000000000002E-2</v>
      </c>
      <c r="G39" s="523">
        <f t="shared" si="5"/>
        <v>4.7E-2</v>
      </c>
      <c r="H39" s="523">
        <f t="shared" si="5"/>
        <v>5.0999999999999997E-2</v>
      </c>
      <c r="I39" s="523">
        <f t="shared" si="5"/>
        <v>5.8000000000000003E-2</v>
      </c>
      <c r="J39" s="523">
        <f t="shared" si="5"/>
        <v>0.06</v>
      </c>
      <c r="K39" s="523">
        <f t="shared" si="5"/>
        <v>5.8000000000000003E-2</v>
      </c>
      <c r="L39" s="523">
        <f t="shared" si="5"/>
        <v>4.4299999999999999E-2</v>
      </c>
      <c r="M39" s="16"/>
    </row>
    <row r="40" spans="1:13">
      <c r="A40" s="385" t="str">
        <f>A12</f>
        <v>Other Current Assets</v>
      </c>
      <c r="B40" s="385"/>
      <c r="C40" s="523">
        <f t="shared" si="5"/>
        <v>0.121</v>
      </c>
      <c r="D40" s="523">
        <f t="shared" si="5"/>
        <v>0.125</v>
      </c>
      <c r="E40" s="523">
        <f t="shared" si="5"/>
        <v>0.13300000000000001</v>
      </c>
      <c r="F40" s="523">
        <f t="shared" si="5"/>
        <v>0.121</v>
      </c>
      <c r="G40" s="523">
        <f t="shared" si="5"/>
        <v>7.1999999999999995E-2</v>
      </c>
      <c r="H40" s="523">
        <f t="shared" si="5"/>
        <v>0.222</v>
      </c>
      <c r="I40" s="523">
        <f t="shared" si="5"/>
        <v>0.20799999999999999</v>
      </c>
      <c r="J40" s="523">
        <f t="shared" si="5"/>
        <v>0.27100000000000002</v>
      </c>
      <c r="K40" s="523">
        <f t="shared" si="5"/>
        <v>0.22720000000000001</v>
      </c>
      <c r="L40" s="523">
        <f t="shared" si="5"/>
        <v>0.22720000000000001</v>
      </c>
      <c r="M40" s="16"/>
    </row>
    <row r="41" spans="1:13">
      <c r="A41" s="522" t="s">
        <v>451</v>
      </c>
      <c r="B41" s="522"/>
      <c r="C41" s="524">
        <f>SUM(C38:C40)</f>
        <v>0.65800000000000003</v>
      </c>
      <c r="D41" s="524">
        <f t="shared" ref="D41:L41" si="6">SUM(D38:D40)</f>
        <v>0.52</v>
      </c>
      <c r="E41" s="524">
        <f t="shared" si="6"/>
        <v>0.55899999999999994</v>
      </c>
      <c r="F41" s="524">
        <f t="shared" si="6"/>
        <v>0.51900000000000002</v>
      </c>
      <c r="G41" s="524">
        <f t="shared" si="6"/>
        <v>0.42099999999999999</v>
      </c>
      <c r="H41" s="524">
        <f t="shared" si="6"/>
        <v>0.48499999999999999</v>
      </c>
      <c r="I41" s="524">
        <f t="shared" si="6"/>
        <v>0.52500000000000002</v>
      </c>
      <c r="J41" s="524">
        <f t="shared" si="6"/>
        <v>0.48299999999999998</v>
      </c>
      <c r="K41" s="524">
        <f t="shared" si="6"/>
        <v>0.41520000000000001</v>
      </c>
      <c r="L41" s="524">
        <f t="shared" si="6"/>
        <v>0.40790000000000004</v>
      </c>
      <c r="M41" s="16"/>
    </row>
    <row r="42" spans="1:13">
      <c r="A42" s="522" t="s">
        <v>452</v>
      </c>
      <c r="B42" s="522"/>
      <c r="C42" s="327">
        <f>C41-D41</f>
        <v>0.13800000000000001</v>
      </c>
      <c r="D42" s="327">
        <f t="shared" ref="D42:L42" si="7">D41-E41</f>
        <v>-3.8999999999999924E-2</v>
      </c>
      <c r="E42" s="327">
        <f t="shared" si="7"/>
        <v>3.9999999999999925E-2</v>
      </c>
      <c r="F42" s="327">
        <f t="shared" si="7"/>
        <v>9.8000000000000032E-2</v>
      </c>
      <c r="G42" s="327">
        <f t="shared" si="7"/>
        <v>-6.4000000000000001E-2</v>
      </c>
      <c r="H42" s="327">
        <f t="shared" si="7"/>
        <v>-4.0000000000000036E-2</v>
      </c>
      <c r="I42" s="327">
        <f t="shared" si="7"/>
        <v>4.2000000000000037E-2</v>
      </c>
      <c r="J42" s="327">
        <f t="shared" si="7"/>
        <v>6.7799999999999971E-2</v>
      </c>
      <c r="K42" s="327">
        <f t="shared" si="7"/>
        <v>7.2999999999999732E-3</v>
      </c>
      <c r="L42" s="327">
        <f t="shared" si="7"/>
        <v>0.40790000000000004</v>
      </c>
      <c r="M42" s="16"/>
    </row>
    <row r="43" spans="1:13">
      <c r="A43" s="522" t="s">
        <v>453</v>
      </c>
      <c r="B43" s="522"/>
      <c r="C43" s="327"/>
      <c r="D43" s="327"/>
      <c r="E43" s="327"/>
      <c r="F43" s="327"/>
      <c r="G43" s="327"/>
      <c r="H43" s="327"/>
      <c r="I43" s="327"/>
      <c r="J43" s="327"/>
      <c r="K43" s="327"/>
      <c r="L43" s="327"/>
      <c r="M43" s="16"/>
    </row>
    <row r="44" spans="1:13" ht="15" customHeight="1">
      <c r="A44" s="385" t="str">
        <f>A24</f>
        <v>Accounts Payable</v>
      </c>
      <c r="B44" s="385"/>
      <c r="C44" s="523">
        <f t="shared" ref="C44:L46" si="8">C24</f>
        <v>0.14599999999999999</v>
      </c>
      <c r="D44" s="523">
        <f t="shared" si="8"/>
        <v>0.13200000000000001</v>
      </c>
      <c r="E44" s="523">
        <f t="shared" si="8"/>
        <v>0.12</v>
      </c>
      <c r="F44" s="523">
        <f t="shared" si="8"/>
        <v>9.1999999999999998E-2</v>
      </c>
      <c r="G44" s="523">
        <f t="shared" si="8"/>
        <v>6.3E-2</v>
      </c>
      <c r="H44" s="523">
        <f t="shared" si="8"/>
        <v>6.2E-2</v>
      </c>
      <c r="I44" s="523">
        <f t="shared" si="8"/>
        <v>6.4000000000000001E-2</v>
      </c>
      <c r="J44" s="523">
        <f t="shared" si="8"/>
        <v>6.5000000000000002E-2</v>
      </c>
      <c r="K44" s="523">
        <f t="shared" si="8"/>
        <v>0.1036</v>
      </c>
      <c r="L44" s="523">
        <f t="shared" si="8"/>
        <v>6.0199999999999997E-2</v>
      </c>
      <c r="M44" s="16"/>
    </row>
    <row r="45" spans="1:13" ht="15" customHeight="1">
      <c r="A45" s="385" t="str">
        <f>A25</f>
        <v>Income Tax Payable</v>
      </c>
      <c r="B45" s="385"/>
      <c r="C45" s="523">
        <f t="shared" si="8"/>
        <v>0</v>
      </c>
      <c r="D45" s="523">
        <f t="shared" si="8"/>
        <v>0</v>
      </c>
      <c r="E45" s="523">
        <f t="shared" si="8"/>
        <v>0</v>
      </c>
      <c r="F45" s="523">
        <f t="shared" si="8"/>
        <v>0</v>
      </c>
      <c r="G45" s="523">
        <f t="shared" si="8"/>
        <v>0</v>
      </c>
      <c r="H45" s="523">
        <f t="shared" si="8"/>
        <v>0</v>
      </c>
      <c r="I45" s="523">
        <f t="shared" si="8"/>
        <v>0</v>
      </c>
      <c r="J45" s="523">
        <f t="shared" si="8"/>
        <v>0</v>
      </c>
      <c r="K45" s="523">
        <f t="shared" si="8"/>
        <v>0</v>
      </c>
      <c r="L45" s="523">
        <f t="shared" si="8"/>
        <v>0</v>
      </c>
      <c r="M45" s="16"/>
    </row>
    <row r="46" spans="1:13" ht="15" customHeight="1">
      <c r="A46" s="385" t="str">
        <f>A26</f>
        <v>Other Current Liabilities</v>
      </c>
      <c r="B46" s="385"/>
      <c r="C46" s="523">
        <f t="shared" si="8"/>
        <v>2.5510000000000002</v>
      </c>
      <c r="D46" s="523">
        <f>D26</f>
        <v>2.3239999999999998</v>
      </c>
      <c r="E46" s="523">
        <f t="shared" si="8"/>
        <v>2.2589999999999999</v>
      </c>
      <c r="F46" s="523">
        <f t="shared" si="8"/>
        <v>2.1240000000000001</v>
      </c>
      <c r="G46" s="523">
        <f t="shared" si="8"/>
        <v>1.6279999999999999</v>
      </c>
      <c r="H46" s="523">
        <f t="shared" si="8"/>
        <v>1.492</v>
      </c>
      <c r="I46" s="523">
        <f t="shared" si="8"/>
        <v>1.399</v>
      </c>
      <c r="J46" s="523">
        <f t="shared" si="8"/>
        <v>1.2749999999999999</v>
      </c>
      <c r="K46" s="523">
        <f t="shared" si="8"/>
        <v>1.1980999999999999</v>
      </c>
      <c r="L46" s="523">
        <f t="shared" si="8"/>
        <v>1.1433</v>
      </c>
      <c r="M46" s="16"/>
    </row>
    <row r="47" spans="1:13" s="522" customFormat="1" ht="12.75">
      <c r="A47" s="522" t="s">
        <v>454</v>
      </c>
      <c r="C47" s="524">
        <f>SUM(C44:C46)</f>
        <v>2.6970000000000001</v>
      </c>
      <c r="D47" s="524">
        <f t="shared" ref="D47:L47" si="9">SUM(D44:D46)</f>
        <v>2.456</v>
      </c>
      <c r="E47" s="524">
        <f t="shared" si="9"/>
        <v>2.379</v>
      </c>
      <c r="F47" s="524">
        <f t="shared" si="9"/>
        <v>2.2160000000000002</v>
      </c>
      <c r="G47" s="524">
        <f t="shared" si="9"/>
        <v>1.6909999999999998</v>
      </c>
      <c r="H47" s="524">
        <f t="shared" si="9"/>
        <v>1.554</v>
      </c>
      <c r="I47" s="524">
        <f t="shared" si="9"/>
        <v>1.4630000000000001</v>
      </c>
      <c r="J47" s="524">
        <f t="shared" si="9"/>
        <v>1.3399999999999999</v>
      </c>
      <c r="K47" s="524">
        <f t="shared" si="9"/>
        <v>1.3016999999999999</v>
      </c>
      <c r="L47" s="524">
        <f t="shared" si="9"/>
        <v>1.2035</v>
      </c>
    </row>
    <row r="48" spans="1:13">
      <c r="A48" s="522" t="s">
        <v>452</v>
      </c>
      <c r="B48" s="522"/>
      <c r="C48" s="327">
        <f>C47-D47</f>
        <v>0.2410000000000001</v>
      </c>
      <c r="D48" s="327">
        <f t="shared" ref="D48:L48" si="10">D47-E47</f>
        <v>7.6999999999999957E-2</v>
      </c>
      <c r="E48" s="327">
        <f t="shared" si="10"/>
        <v>0.16299999999999981</v>
      </c>
      <c r="F48" s="327">
        <f t="shared" si="10"/>
        <v>0.52500000000000036</v>
      </c>
      <c r="G48" s="327">
        <f t="shared" si="10"/>
        <v>0.13699999999999979</v>
      </c>
      <c r="H48" s="327">
        <f t="shared" si="10"/>
        <v>9.099999999999997E-2</v>
      </c>
      <c r="I48" s="327">
        <f t="shared" si="10"/>
        <v>0.12300000000000022</v>
      </c>
      <c r="J48" s="327">
        <f t="shared" si="10"/>
        <v>3.8300000000000001E-2</v>
      </c>
      <c r="K48" s="327">
        <f t="shared" si="10"/>
        <v>9.8199999999999843E-2</v>
      </c>
      <c r="L48" s="327">
        <f t="shared" si="10"/>
        <v>1.2035</v>
      </c>
      <c r="M48" s="16"/>
    </row>
    <row r="49" spans="1:13">
      <c r="A49" s="526" t="s">
        <v>455</v>
      </c>
      <c r="B49" s="526"/>
      <c r="C49" s="327"/>
      <c r="D49" s="327"/>
      <c r="E49" s="327"/>
      <c r="F49" s="327"/>
      <c r="G49" s="327"/>
      <c r="H49" s="327"/>
      <c r="I49" s="327"/>
      <c r="J49" s="327"/>
      <c r="K49" s="327"/>
      <c r="L49" s="327"/>
      <c r="M49" s="16"/>
    </row>
    <row r="50" spans="1:13">
      <c r="A50" s="372" t="s">
        <v>456</v>
      </c>
      <c r="B50" s="372"/>
      <c r="C50" s="525">
        <f>C41-C47</f>
        <v>-2.0390000000000001</v>
      </c>
      <c r="D50" s="525">
        <f t="shared" ref="D50:L50" si="11">D41-D47</f>
        <v>-1.9359999999999999</v>
      </c>
      <c r="E50" s="525">
        <f t="shared" si="11"/>
        <v>-1.82</v>
      </c>
      <c r="F50" s="525">
        <f t="shared" si="11"/>
        <v>-1.6970000000000001</v>
      </c>
      <c r="G50" s="525">
        <f t="shared" si="11"/>
        <v>-1.2699999999999998</v>
      </c>
      <c r="H50" s="525">
        <f t="shared" si="11"/>
        <v>-1.069</v>
      </c>
      <c r="I50" s="525">
        <f t="shared" si="11"/>
        <v>-0.93800000000000006</v>
      </c>
      <c r="J50" s="525">
        <f t="shared" si="11"/>
        <v>-0.85699999999999987</v>
      </c>
      <c r="K50" s="525">
        <f t="shared" si="11"/>
        <v>-0.88649999999999984</v>
      </c>
      <c r="L50" s="525">
        <f t="shared" si="11"/>
        <v>-0.79559999999999997</v>
      </c>
      <c r="M50" s="16"/>
    </row>
    <row r="51" spans="1:13">
      <c r="A51" s="372" t="s">
        <v>457</v>
      </c>
      <c r="B51" s="372"/>
      <c r="C51" s="527">
        <f>C50/IS!C14</f>
        <v>-0.1192746417081018</v>
      </c>
      <c r="D51" s="527">
        <f>D50/IS!D14</f>
        <v>-4.1186231544909156E-2</v>
      </c>
      <c r="E51" s="527">
        <f>E50/IS!E14</f>
        <v>-4.0953173870975003E-2</v>
      </c>
      <c r="F51" s="527">
        <f>F50/IS!F14</f>
        <v>-4.1155357229470828E-2</v>
      </c>
      <c r="G51" s="527">
        <f>G50/IS!G14</f>
        <v>-3.206908741982728E-2</v>
      </c>
      <c r="H51" s="527">
        <f>H50/IS!H14</f>
        <v>-2.6391151928109414E-2</v>
      </c>
      <c r="I51" s="527">
        <f>I50/IS!I14</f>
        <v>-2.333101183961795E-2</v>
      </c>
      <c r="J51" s="527">
        <f>J50/IS!J14</f>
        <v>-2.2769541420904402E-2</v>
      </c>
      <c r="K51" s="527">
        <f>K50/IS!K14</f>
        <v>-2.4158604714538762E-2</v>
      </c>
      <c r="L51" s="527">
        <f>L50/IS!L14</f>
        <v>-2.2656984194788551E-2</v>
      </c>
      <c r="M51" s="16"/>
    </row>
    <row r="52" spans="1:13">
      <c r="A52" s="377" t="s">
        <v>458</v>
      </c>
      <c r="C52" s="327">
        <f>C50-D50</f>
        <v>-0.1030000000000002</v>
      </c>
      <c r="D52" s="327">
        <f t="shared" ref="D52:L52" si="12">D50-E50</f>
        <v>-0.11599999999999988</v>
      </c>
      <c r="E52" s="327">
        <f t="shared" si="12"/>
        <v>-0.123</v>
      </c>
      <c r="F52" s="327">
        <f t="shared" si="12"/>
        <v>-0.42700000000000027</v>
      </c>
      <c r="G52" s="327">
        <f t="shared" si="12"/>
        <v>-0.20099999999999985</v>
      </c>
      <c r="H52" s="327">
        <f t="shared" si="12"/>
        <v>-0.13099999999999989</v>
      </c>
      <c r="I52" s="327">
        <f t="shared" si="12"/>
        <v>-8.1000000000000183E-2</v>
      </c>
      <c r="J52" s="327">
        <f t="shared" si="12"/>
        <v>2.9499999999999971E-2</v>
      </c>
      <c r="K52" s="327">
        <f t="shared" si="12"/>
        <v>-9.089999999999987E-2</v>
      </c>
      <c r="L52" s="327">
        <f t="shared" si="12"/>
        <v>-0.79559999999999997</v>
      </c>
      <c r="M52" s="16"/>
    </row>
    <row r="53" spans="1:13">
      <c r="A53" s="526" t="s">
        <v>459</v>
      </c>
      <c r="C53" s="327"/>
      <c r="D53" s="327"/>
      <c r="E53" s="327"/>
      <c r="F53" s="327"/>
      <c r="G53" s="327"/>
      <c r="H53" s="327"/>
      <c r="I53" s="327"/>
      <c r="J53" s="327"/>
      <c r="K53" s="327"/>
      <c r="L53" s="327"/>
    </row>
    <row r="54" spans="1:13">
      <c r="A54" s="327"/>
    </row>
    <row r="55" spans="1:13">
      <c r="A55" s="327"/>
    </row>
    <row r="56" spans="1:13">
      <c r="A56" s="327"/>
    </row>
    <row r="57" spans="1:13">
      <c r="A57" s="327"/>
    </row>
    <row r="58" spans="1:13">
      <c r="A58" s="327"/>
    </row>
    <row r="59" spans="1:13">
      <c r="A59" s="327"/>
    </row>
    <row r="60" spans="1:13">
      <c r="A60" s="327"/>
    </row>
    <row r="61" spans="1:13">
      <c r="A61" s="327"/>
    </row>
    <row r="62" spans="1:13">
      <c r="A62" s="327"/>
    </row>
    <row r="63" spans="1:13">
      <c r="A63" s="327"/>
    </row>
    <row r="64" spans="1:13">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row r="163" spans="1:1">
      <c r="A163" s="327"/>
    </row>
  </sheetData>
  <pageMargins left="0.7" right="0.7" top="0.78740157499999996" bottom="0.78740157499999996"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4C27C-E4F6-4157-82D9-383252DBFD50}">
  <sheetPr>
    <tabColor theme="2" tint="-0.499984740745262"/>
  </sheetPr>
  <dimension ref="A1:N163"/>
  <sheetViews>
    <sheetView topLeftCell="A4" zoomScaleNormal="100" workbookViewId="0">
      <selection activeCell="C22" sqref="C22"/>
    </sheetView>
  </sheetViews>
  <sheetFormatPr defaultColWidth="11.28515625" defaultRowHeight="15"/>
  <cols>
    <col min="1" max="1" width="40.7109375" style="3" customWidth="1"/>
    <col min="2" max="2" width="5" style="3" customWidth="1"/>
    <col min="3" max="12" width="11.28515625" style="3"/>
  </cols>
  <sheetData>
    <row r="1" spans="1:13" s="340" customFormat="1" ht="26.1" customHeight="1">
      <c r="A1" s="371" t="str">
        <f>BS!A5</f>
        <v>Balance Sheet</v>
      </c>
    </row>
    <row r="2" spans="1:13">
      <c r="A2" s="327" t="str">
        <f>IS!A8</f>
        <v>Ticker</v>
      </c>
      <c r="B2" s="327" t="str">
        <f>'Industry Ratios'!I3</f>
        <v>skyw-US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BS!A13</f>
        <v>Balance Sheet</v>
      </c>
      <c r="B7" s="327"/>
      <c r="C7" s="327"/>
      <c r="D7" s="327"/>
      <c r="E7" s="327"/>
      <c r="F7" s="327"/>
      <c r="G7" s="327"/>
      <c r="H7" s="327"/>
      <c r="I7" s="327"/>
      <c r="J7" s="327"/>
      <c r="K7" s="327"/>
      <c r="L7" s="327"/>
      <c r="M7" s="16"/>
    </row>
    <row r="8" spans="1:13">
      <c r="A8" s="353" t="str">
        <f>BS!A14</f>
        <v>Assets</v>
      </c>
      <c r="B8" s="327"/>
      <c r="C8" s="1059" t="s">
        <v>447</v>
      </c>
      <c r="D8" s="327"/>
      <c r="E8" s="327"/>
      <c r="F8" s="327"/>
      <c r="G8" s="327"/>
      <c r="H8" s="327"/>
      <c r="I8" s="327"/>
      <c r="J8" s="327"/>
      <c r="K8" s="327"/>
      <c r="L8" s="327"/>
      <c r="M8" s="16"/>
    </row>
    <row r="9" spans="1:13">
      <c r="A9" s="347" t="str">
        <f>BS!A15</f>
        <v>Cash &amp; Short-Term Investments</v>
      </c>
      <c r="C9" s="1118" cm="1">
        <f t="array" ref="C9">_xll.FDS($B2,"FF_CASH_ST(ANN_R,"&amp;C5&amp;",,,,,B,""FILING_DATE=1"")")</f>
        <v>0.52017199999999997</v>
      </c>
      <c r="D9" s="1118" cm="1">
        <f t="array" ref="D9">_xll.FDS($B2,"FF_CASH_ST(ANN_R,"&amp;D5&amp;",,,,,B,""FILING_DATE=1"")")</f>
        <v>0.68932899999999997</v>
      </c>
      <c r="E9" s="1118" cm="1">
        <f t="array" ref="E9">_xll.FDS($B2,"FF_CASH_ST(ANN_R,"&amp;E5&amp;",,,,,B,""FILING_DATE=1"")")</f>
        <v>0.68529499999999999</v>
      </c>
      <c r="F9" s="1118" cm="1">
        <f t="array" ref="F9">_xll.FDS($B2,"FF_CASH_ST(ANN_R,"&amp;F5&amp;",,,,,B,""FILING_DATE=1"")")</f>
        <v>0.56490700000000005</v>
      </c>
      <c r="G9" s="1118" cm="1">
        <f t="array" ref="G9">_xll.FDS($B2,"FF_CASH_ST(ANN_R,"&amp;G5&amp;",,,,,B,""FILING_DATE=1"")")</f>
        <v>0.497919</v>
      </c>
      <c r="H9" s="1118" cm="1">
        <f t="array" ref="H9">_xll.FDS($B2,"FF_CASH_ST(ANN_R,"&amp;H5&amp;",,,,,B,""FILING_DATE=1"")")</f>
        <v>0.55913000000000002</v>
      </c>
      <c r="I9" s="1118" cm="1">
        <f t="array" ref="I9">_xll.FDS($B2,"FF_CASH_ST(ANN_R,"&amp;I5&amp;",,,,,B,""FILING_DATE=1"")")</f>
        <v>0.67009399999999997</v>
      </c>
      <c r="J9" s="1118" cm="1">
        <f t="array" ref="J9">_xll.FDS($B2,"FF_CASH_ST(ANN_R,"&amp;J5&amp;",,,,,B,""FILING_DATE=1"")")</f>
        <v>0.70944200000000002</v>
      </c>
      <c r="K9" s="1118" cm="1">
        <f t="array" ref="K9">_xll.FDS($B2,"FF_CASH_ST(ANN_R,"&amp;K5&amp;",,,,,B,""FILING_DATE=1"")")</f>
        <v>0.64651199999999998</v>
      </c>
      <c r="L9" s="1118" cm="1">
        <f t="array" ref="L9">_xll.FDS($B2,"FF_CASH_ST(ANN_R,"&amp;L5&amp;",,,,,B,""FILING_DATE=1"")")</f>
        <v>0.80485200000000001</v>
      </c>
      <c r="M9" s="16"/>
    </row>
    <row r="10" spans="1:13">
      <c r="A10" s="347" t="str">
        <f>BS!A16</f>
        <v>Short-Term Receivables</v>
      </c>
      <c r="C10" s="1118" cm="1">
        <f t="array" ref="C10">_xll.FDS($B2,"FF_RECEIV_ST(ANN_R,"&amp;C5&amp;",,,,,B)")</f>
        <v>3.8378000000000002E-2</v>
      </c>
      <c r="D10" s="1118" cm="1">
        <f t="array" ref="D10">_xll.FDS($B2,"FF_RECEIV_ST(ANN_R,"&amp;D5&amp;",,,,,B)")</f>
        <v>9.4117999999999993E-2</v>
      </c>
      <c r="E10" s="1118" cm="1">
        <f t="array" ref="E10">_xll.FDS($B2,"FF_RECEIV_ST(ANN_R,"&amp;E5&amp;",,,,,B)")</f>
        <v>9.0130000000000002E-2</v>
      </c>
      <c r="F10" s="1118" cm="1">
        <f t="array" ref="F10">_xll.FDS($B2,"FF_RECEIV_ST(ANN_R,"&amp;F5&amp;",,,,,B)")</f>
        <v>4.8046999999999999E-2</v>
      </c>
      <c r="G10" s="1118" cm="1">
        <f t="array" ref="G10">_xll.FDS($B2,"FF_RECEIV_ST(ANN_R,"&amp;G5&amp;",,,,,B)")</f>
        <v>5.3905000000000002E-2</v>
      </c>
      <c r="H10" s="1118" cm="1">
        <f t="array" ref="H10">_xll.FDS($B2,"FF_RECEIV_ST(ANN_R,"&amp;H5&amp;",,,,,B)")</f>
        <v>6.5032999999999994E-2</v>
      </c>
      <c r="I10" s="1118" cm="1">
        <f t="array" ref="I10">_xll.FDS($B2,"FF_RECEIV_ST(ANN_R,"&amp;I5&amp;",,,,,B)")</f>
        <v>8.5877999999999996E-2</v>
      </c>
      <c r="J10" s="1118" cm="1">
        <f t="array" ref="J10">_xll.FDS($B2,"FF_RECEIV_ST(ANN_R,"&amp;J5&amp;",,,,,B)")</f>
        <v>0.112026</v>
      </c>
      <c r="K10" s="1118" cm="1">
        <f t="array" ref="K10">_xll.FDS($B2,"FF_RECEIV_ST(ANN_R,"&amp;K5&amp;",,,,,B)")</f>
        <v>8.1101999999999994E-2</v>
      </c>
      <c r="L10" s="1118" cm="1">
        <f t="array" ref="L10">_xll.FDS($B2,"FF_RECEIV_ST(ANN_R,"&amp;L5&amp;",,,,,B)")</f>
        <v>0.132078</v>
      </c>
      <c r="M10" s="16"/>
    </row>
    <row r="11" spans="1:13">
      <c r="A11" s="347" t="str">
        <f>BS!A17</f>
        <v>Inventories</v>
      </c>
      <c r="C11" s="1118" cm="1">
        <f t="array" ref="C11">_xll.FDS($B2,"FF_INVEN(ANN_R,"&amp;C5&amp;",,,,,B)")</f>
        <v>9.1195999999999999E-2</v>
      </c>
      <c r="D11" s="1118" cm="1">
        <f t="array" ref="D11">_xll.FDS($B2,"FF_INVEN(ANN_R,"&amp;D5&amp;",,,,,B)")</f>
        <v>0.110503</v>
      </c>
      <c r="E11" s="1118" cm="1">
        <f t="array" ref="E11">_xll.FDS($B2,"FF_INVEN(ANN_R,"&amp;E5&amp;",,,,,B)")</f>
        <v>0.12769</v>
      </c>
      <c r="F11" s="1118" cm="1">
        <f t="array" ref="F11">_xll.FDS($B2,"FF_INVEN(ANN_R,"&amp;F5&amp;",,,,,B)")</f>
        <v>0.119755</v>
      </c>
      <c r="G11" s="1118" cm="1">
        <f t="array" ref="G11">_xll.FDS($B2,"FF_INVEN(ANN_R,"&amp;G5&amp;",,,,,B)")</f>
        <v>0.118509</v>
      </c>
      <c r="H11" s="1118" cm="1">
        <f t="array" ref="H11">_xll.FDS($B2,"FF_INVEN(ANN_R,"&amp;H5&amp;",,,,,B)")</f>
        <v>0.14031199999999999</v>
      </c>
      <c r="I11" s="1118" cm="1">
        <f t="array" ref="I11">_xll.FDS($B2,"FF_INVEN(ANN_R,"&amp;I5&amp;",,,,,B)")</f>
        <v>0.13745199999999999</v>
      </c>
      <c r="J11" s="1118" cm="1">
        <f t="array" ref="J11">_xll.FDS($B2,"FF_INVEN(ANN_R,"&amp;J5&amp;",,,,,B)")</f>
        <v>0.13809399999999999</v>
      </c>
      <c r="K11" s="1118" cm="1">
        <f t="array" ref="K11">_xll.FDS($B2,"FF_INVEN(ANN_R,"&amp;K5&amp;",,,,,B)")</f>
        <v>0.113581</v>
      </c>
      <c r="L11" s="1118" cm="1">
        <f t="array" ref="L11">_xll.FDS($B2,"FF_INVEN(ANN_R,"&amp;L5&amp;",,,,,B)")</f>
        <v>0.11521099999999999</v>
      </c>
      <c r="M11" s="16"/>
    </row>
    <row r="12" spans="1:13">
      <c r="A12" s="347" t="str">
        <f>BS!A18</f>
        <v>Other Current Assets</v>
      </c>
      <c r="C12" s="1118" cm="1">
        <f t="array" ref="C12">_xll.FDS($B2,"FF_ASSETS_CURR_OTH(ANN_R,"&amp;C5&amp;",,,,,B,""FILING_DATE=1"")")</f>
        <v>3.5553000000000001E-2</v>
      </c>
      <c r="D12" s="1118" cm="1">
        <f t="array" ref="D12">_xll.FDS($B2,"FF_ASSETS_CURR_OTH(ANN_R,"&amp;D5&amp;",,,,,B,""FILING_DATE=1"")")</f>
        <v>0.113645</v>
      </c>
      <c r="E12" s="1118" cm="1">
        <f t="array" ref="E12">_xll.FDS($B2,"FF_ASSETS_CURR_OTH(ANN_R,"&amp;E5&amp;",,,,,B,""FILING_DATE=1"")")</f>
        <v>0.142036</v>
      </c>
      <c r="F12" s="1118" cm="1">
        <f t="array" ref="F12">_xll.FDS($B2,"FF_ASSETS_CURR_OTH(ANN_R,"&amp;F5&amp;",,,,,B,""FILING_DATE=1"")")</f>
        <v>0.18047099999999999</v>
      </c>
      <c r="G12" s="1118" cm="1">
        <f t="array" ref="G12">_xll.FDS($B2,"FF_ASSETS_CURR_OTH(ANN_R,"&amp;G5&amp;",,,,,B,""FILING_DATE=1"")")</f>
        <v>0.31430599999999997</v>
      </c>
      <c r="H12" s="1118" cm="1">
        <f t="array" ref="H12">_xll.FDS($B2,"FF_ASSETS_CURR_OTH(ANN_R,"&amp;H5&amp;",,,,,B,""FILING_DATE=1"")")</f>
        <v>0.50854299999999997</v>
      </c>
      <c r="I12" s="1118" cm="1">
        <f t="array" ref="I12">_xll.FDS($B2,"FF_ASSETS_CURR_OTH(ANN_R,"&amp;I5&amp;",,,,,B,""FILING_DATE=1"")")</f>
        <v>0.54422300000000001</v>
      </c>
      <c r="J12" s="1118" cm="1">
        <f t="array" ref="J12">_xll.FDS($B2,"FF_ASSETS_CURR_OTH(ANN_R,"&amp;J5&amp;",,,,,B,""FILING_DATE=1"")")</f>
        <v>0.48091499999999998</v>
      </c>
      <c r="K12" s="1118" cm="1">
        <f t="array" ref="K12">_xll.FDS($B2,"FF_ASSETS_CURR_OTH(ANN_R,"&amp;K5&amp;",,,,,B,""FILING_DATE=1"")")</f>
        <v>0.38666299999999998</v>
      </c>
      <c r="L12" s="1118" cm="1">
        <f t="array" ref="L12">_xll.FDS($B2,"FF_ASSETS_CURR_OTH(ANN_R,"&amp;L5&amp;",,,,,B,""FILING_DATE=1"")")</f>
        <v>0.344578</v>
      </c>
      <c r="M12" s="16"/>
    </row>
    <row r="13" spans="1:13" s="17" customFormat="1">
      <c r="A13" s="344" t="str">
        <f>BS!A19</f>
        <v>Total Current Assets</v>
      </c>
      <c r="B13" s="372"/>
      <c r="C13" s="1119" cm="1">
        <f t="array" ref="C13">_xll.FDS($B2,"FF_ASSETS_CURR(ANN_R,"&amp;C5&amp;",,,,,B,""FILING_DATE=1"")")</f>
        <v>0.76034599999999997</v>
      </c>
      <c r="D13" s="1119" cm="1">
        <f t="array" ref="D13">_xll.FDS($B2,"FF_ASSETS_CURR(ANN_R,"&amp;D5&amp;",,,,,B,""FILING_DATE=1"")")</f>
        <v>1.020794</v>
      </c>
      <c r="E13" s="1119" cm="1">
        <f t="array" ref="E13">_xll.FDS($B2,"FF_ASSETS_CURR(ANN_R,"&amp;E5&amp;",,,,,B,""FILING_DATE=1"")")</f>
        <v>0.99513300000000005</v>
      </c>
      <c r="F13" s="1119" cm="1">
        <f t="array" ref="F13">_xll.FDS($B2,"FF_ASSETS_CURR(ANN_R,"&amp;F5&amp;",,,,,B,""FILING_DATE=1"")")</f>
        <v>0.91779200000000005</v>
      </c>
      <c r="G13" s="1119" cm="1">
        <f t="array" ref="G13">_xll.FDS($B2,"FF_ASSETS_CURR(ANN_R,"&amp;G5&amp;",,,,,B,""FILING_DATE=1"")")</f>
        <v>1.0175700000000001</v>
      </c>
      <c r="H13" s="1119" cm="1">
        <f t="array" ref="H13">_xll.FDS($B2,"FF_ASSETS_CURR(ANN_R,"&amp;H5&amp;",,,,,B,""FILING_DATE=1"")")</f>
        <v>1.2910029999999999</v>
      </c>
      <c r="I13" s="1119" cm="1">
        <f t="array" ref="I13">_xll.FDS($B2,"FF_ASSETS_CURR(ANN_R,"&amp;I5&amp;",,,,,B,""FILING_DATE=1"")")</f>
        <v>1.464437</v>
      </c>
      <c r="J13" s="1119" cm="1">
        <f t="array" ref="J13">_xll.FDS($B2,"FF_ASSETS_CURR(ANN_R,"&amp;J5&amp;",,,,,B,""FILING_DATE=1"")")</f>
        <v>1.38504</v>
      </c>
      <c r="K13" s="1119" cm="1">
        <f t="array" ref="K13">_xll.FDS($B2,"FF_ASSETS_CURR(ANN_R,"&amp;K5&amp;",,,,,B,""FILING_DATE=1"")")</f>
        <v>1.280464</v>
      </c>
      <c r="L13" s="1119" cm="1">
        <f t="array" ref="L13">_xll.FDS($B2,"FF_ASSETS_CURR(ANN_R,"&amp;L5&amp;",,,,,B,""FILING_DATE=1"")")</f>
        <v>1.3695649999999999</v>
      </c>
      <c r="M13" s="18"/>
    </row>
    <row r="14" spans="1:13">
      <c r="A14" s="347" t="str">
        <f>BS!A20</f>
        <v>Net Property, Plant &amp; Equipment</v>
      </c>
      <c r="C14" s="1118" cm="1">
        <f t="array" ref="C14">_xll.FDS($B2,"FF_PPE_NET(ANN_R,"&amp;C5&amp;",,,,,B,""FILING_DATE=1"")")</f>
        <v>5.7306900000000001</v>
      </c>
      <c r="D14" s="1118" cm="1">
        <f t="array" ref="D14">_xll.FDS($B2,"FF_PPE_NET(ANN_R,"&amp;D5&amp;",,,,,B,""FILING_DATE=1"")")</f>
        <v>5.005744</v>
      </c>
      <c r="E14" s="1118" cm="1">
        <f t="array" ref="E14">_xll.FDS($B2,"FF_PPE_NET(ANN_R,"&amp;E5&amp;",,,,,B,""FILING_DATE=1"")")</f>
        <v>4.1830030000000002</v>
      </c>
      <c r="F14" s="1118" cm="1">
        <f t="array" ref="F14">_xll.FDS($B2,"FF_PPE_NET(ANN_R,"&amp;F5&amp;",,,,,B,""FILING_DATE=1"")")</f>
        <v>3.8216969999999999</v>
      </c>
      <c r="G14" s="1118" cm="1">
        <f t="array" ref="G14">_xll.FDS($B2,"FF_PPE_NET(ANN_R,"&amp;G5&amp;",,,,,B,""FILING_DATE=1"")")</f>
        <v>3.4707469999999998</v>
      </c>
      <c r="H14" s="1118" cm="1">
        <f t="array" ref="H14">_xll.FDS($B2,"FF_PPE_NET(ANN_R,"&amp;H5&amp;",,,,,B,""FILING_DATE=1"")")</f>
        <v>3.021188</v>
      </c>
      <c r="I14" s="1118" cm="1">
        <f t="array" ref="I14">_xll.FDS($B2,"FF_PPE_NET(ANN_R,"&amp;I5&amp;",,,,,B,""FILING_DATE=1"")")</f>
        <v>2.6517930000000001</v>
      </c>
      <c r="J14" s="1118" cm="1">
        <f t="array" ref="J14">_xll.FDS($B2,"FF_PPE_NET(ANN_R,"&amp;J5&amp;",,,,,B,""FILING_DATE=1"")")</f>
        <v>2.7109960000000002</v>
      </c>
      <c r="K14" s="1118" cm="1">
        <f t="array" ref="K14">_xll.FDS($B2,"FF_PPE_NET(ANN_R,"&amp;K5&amp;",,,,,B,""FILING_DATE=1"")")</f>
        <v>2.8834749999999998</v>
      </c>
      <c r="L14" s="1118" cm="1">
        <f t="array" ref="L14">_xll.FDS($B2,"FF_PPE_NET(ANN_R,"&amp;L5&amp;",,,,,B,""FILING_DATE=1"")")</f>
        <v>2.9428190000000001</v>
      </c>
      <c r="M14" s="16"/>
    </row>
    <row r="15" spans="1:13">
      <c r="A15" s="373" t="s">
        <v>448</v>
      </c>
      <c r="B15" s="12"/>
      <c r="C15" s="373">
        <f>'skyw-US R&amp;D'!C34</f>
        <v>0</v>
      </c>
      <c r="D15" s="373">
        <f>'skyw-US R&amp;D'!D34</f>
        <v>0</v>
      </c>
      <c r="E15" s="373">
        <f>'skyw-US R&amp;D'!E34</f>
        <v>0</v>
      </c>
      <c r="F15" s="373">
        <f>'skyw-US R&amp;D'!F34</f>
        <v>0</v>
      </c>
      <c r="G15" s="373">
        <f>'skyw-US R&amp;D'!G34</f>
        <v>0</v>
      </c>
      <c r="H15" s="373">
        <f>'skyw-US R&amp;D'!H34</f>
        <v>0</v>
      </c>
      <c r="I15" s="373">
        <f>'skyw-US R&amp;D'!I34</f>
        <v>0</v>
      </c>
      <c r="J15" s="373">
        <f>'skyw-US R&amp;D'!J34</f>
        <v>0</v>
      </c>
      <c r="K15" s="373">
        <f>'skyw-US R&amp;D'!K34</f>
        <v>0</v>
      </c>
      <c r="L15" s="373">
        <f>'skyw-US R&amp;D'!L34</f>
        <v>0</v>
      </c>
      <c r="M15" s="16"/>
    </row>
    <row r="16" spans="1:13">
      <c r="A16" s="373" t="s">
        <v>449</v>
      </c>
      <c r="B16" s="12"/>
      <c r="C16" s="373">
        <f>'skyw-US Lease'!C33</f>
        <v>0</v>
      </c>
      <c r="D16" s="373">
        <f>'skyw-US Lease'!D33</f>
        <v>0</v>
      </c>
      <c r="E16" s="373">
        <f>'skyw-US Lease'!E33</f>
        <v>0.40372131537090389</v>
      </c>
      <c r="F16" s="373">
        <f>'skyw-US Lease'!F33</f>
        <v>0</v>
      </c>
      <c r="G16" s="373">
        <f>'skyw-US Lease'!G33</f>
        <v>0</v>
      </c>
      <c r="H16" s="373">
        <f>'skyw-US Lease'!H33</f>
        <v>0</v>
      </c>
      <c r="I16" s="373">
        <f>'skyw-US Lease'!I33</f>
        <v>1.271056945848974</v>
      </c>
      <c r="J16" s="373">
        <f>'skyw-US Lease'!J33</f>
        <v>1.5561887078527152</v>
      </c>
      <c r="K16" s="373">
        <f>'skyw-US Lease'!K33</f>
        <v>1.7976847770720936</v>
      </c>
      <c r="L16" s="373">
        <f>'skyw-US Lease'!L33</f>
        <v>2.0544329105000614</v>
      </c>
      <c r="M16" s="16"/>
    </row>
    <row r="17" spans="1:14" s="17" customFormat="1">
      <c r="A17" s="347" t="str">
        <f>BS!A21</f>
        <v>Total Investments and Advances</v>
      </c>
      <c r="B17" s="3"/>
      <c r="C17" s="16" cm="1">
        <f t="array" ref="C17">_xll.FDS($B2,"FF_INVEST_ADV(ANN_R,"&amp;C5&amp;",,,,,B)")</f>
        <v>2.5499999999999998E-2</v>
      </c>
      <c r="D17" s="16" cm="1">
        <f t="array" ref="D17">_xll.FDS($B2,"FF_INVEST_ADV(ANN_R,"&amp;D5&amp;",,,,,B)")</f>
        <v>2.3900000000000001E-2</v>
      </c>
      <c r="E17" s="16" cm="1">
        <f t="array" ref="E17">_xll.FDS($B2,"FF_INVEST_ADV(ANN_R,"&amp;E5&amp;",,,,,B)")</f>
        <v>0</v>
      </c>
      <c r="F17" s="16" cm="1">
        <f t="array" ref="F17">_xll.FDS($B2,"FF_INVEST_ADV(ANN_R,"&amp;F5&amp;",,,,,B)")</f>
        <v>0</v>
      </c>
      <c r="G17" s="16" cm="1">
        <f t="array" ref="G17">_xll.FDS($B2,"FF_INVEST_ADV(ANN_R,"&amp;G5&amp;",,,,,B)")</f>
        <v>0</v>
      </c>
      <c r="H17" s="16" cm="1">
        <f t="array" ref="H17">_xll.FDS($B2,"FF_INVEST_ADV(ANN_R,"&amp;H5&amp;",,,,,B)")</f>
        <v>2.3E-3</v>
      </c>
      <c r="I17" s="16" cm="1">
        <f t="array" ref="I17">_xll.FDS($B2,"FF_INVEST_ADV(ANN_R,"&amp;I5&amp;",,,,,B)")</f>
        <v>2.3089999999999999E-3</v>
      </c>
      <c r="J17" s="16" cm="1">
        <f t="array" ref="J17">_xll.FDS($B2,"FF_INVEST_ADV(ANN_R,"&amp;J5&amp;",,,,,B)")</f>
        <v>2.1299999999999999E-2</v>
      </c>
      <c r="K17" s="16" cm="1">
        <f t="array" ref="K17">_xll.FDS($B2,"FF_INVEST_ADV(ANN_R,"&amp;K5&amp;",,,,,B)")</f>
        <v>5.5440000000000003E-3</v>
      </c>
      <c r="L17" s="16" cm="1">
        <f t="array" ref="L17">_xll.FDS($B2,"FF_INVEST_ADV(ANN_R,"&amp;L5&amp;",,,,,B)")</f>
        <v>3.8E-3</v>
      </c>
      <c r="M17" s="18"/>
    </row>
    <row r="18" spans="1:14">
      <c r="A18" s="347" t="str">
        <f>BS!A22</f>
        <v>Intangible Assets</v>
      </c>
      <c r="C18" s="1118" cm="1">
        <f t="array" ref="C18">_xll.FDS($B2,"FF_INTANG_ASSETS(ANN,"&amp;C5&amp;",,,,,B)")</f>
        <v>0</v>
      </c>
      <c r="D18" s="1118" cm="1">
        <f t="array" ref="D18">_xll.FDS($B2,"FF_INTANG_ASSETS(ANN,"&amp;D5&amp;",,,,,B)")</f>
        <v>0</v>
      </c>
      <c r="E18" s="1118" cm="1">
        <f t="array" ref="E18">_xll.FDS($B2,"FF_INTANG_ASSETS(ANN,"&amp;E5&amp;",,,,,B)")</f>
        <v>0</v>
      </c>
      <c r="F18" s="1118" cm="1">
        <f t="array" ref="F18">_xll.FDS($B2,"FF_INTANG_ASSETS(ANN,"&amp;F5&amp;",,,,,B)")</f>
        <v>0</v>
      </c>
      <c r="G18" s="1118" cm="1">
        <f t="array" ref="G18">_xll.FDS($B2,"FF_INTANG_ASSETS(ANN,"&amp;G5&amp;",,,,,B)")</f>
        <v>8.2489999999999994E-3</v>
      </c>
      <c r="H18" s="1118" cm="1">
        <f t="array" ref="H18">_xll.FDS($B2,"FF_INTANG_ASSETS(ANN,"&amp;H5&amp;",,,,,B)")</f>
        <v>1.0499E-2</v>
      </c>
      <c r="I18" s="1118" cm="1">
        <f t="array" ref="I18">_xll.FDS($B2,"FF_INTANG_ASSETS(ANN,"&amp;I5&amp;",,,,,B)")</f>
        <v>1.2748000000000001E-2</v>
      </c>
      <c r="J18" s="1118" cm="1">
        <f t="array" ref="J18">_xll.FDS($B2,"FF_INTANG_ASSETS(ANN,"&amp;J5&amp;",,,,,B)")</f>
        <v>1.4997999999999999E-2</v>
      </c>
      <c r="K18" s="1118" cm="1">
        <f t="array" ref="K18">_xll.FDS($B2,"FF_INTANG_ASSETS(ANN,"&amp;K5&amp;",,,,,B)")</f>
        <v>1.7247999999999999E-2</v>
      </c>
      <c r="L18" s="1118" cm="1">
        <f t="array" ref="L18">_xll.FDS($B2,"FF_INTANG_ASSETS(ANN,"&amp;L5&amp;",,,,,B)")</f>
        <v>1.9497E-2</v>
      </c>
    </row>
    <row r="19" spans="1:14">
      <c r="A19" s="347" t="str">
        <f>BS!A23</f>
        <v>Deferred Tax Assets</v>
      </c>
      <c r="C19" s="1118" cm="1">
        <f t="array" ref="C19">IFERROR(_xll.FDS($B2,"FF_DFD_TAX_DB(ANN_R,"&amp;C5&amp;",,,,,B)"),0)</f>
        <v>0.32413999999999998</v>
      </c>
      <c r="D19" s="1118" cm="1">
        <f t="array" ref="D19">IFERROR(_xll.FDS($B2,"FF_DFD_TAX_DB(ANN_R,"&amp;D5&amp;",,,,,B)"),0)</f>
        <v>0</v>
      </c>
      <c r="E19" s="1118" cm="1">
        <f t="array" ref="E19">IFERROR(_xll.FDS($B2,"FF_DFD_TAX_DB(ANN_R,"&amp;E5&amp;",,,,,B)"),0)</f>
        <v>0</v>
      </c>
      <c r="F19" s="1118" cm="1">
        <f t="array" ref="F19">IFERROR(_xll.FDS($B2,"FF_DFD_TAX_DB(ANN_R,"&amp;F5&amp;",,,,,B)"),0)</f>
        <v>0</v>
      </c>
      <c r="G19" s="1118" cm="1">
        <f t="array" ref="G19">IFERROR(_xll.FDS($B2,"FF_DFD_TAX_DB(ANN_R,"&amp;G5&amp;",,,,,B)"),0)</f>
        <v>0</v>
      </c>
      <c r="H19" s="1118" cm="1">
        <f t="array" ref="H19">IFERROR(_xll.FDS($B2,"FF_DFD_TAX_DB(ANN_R,"&amp;H5&amp;",,,,,B)"),0)</f>
        <v>0</v>
      </c>
      <c r="I19" s="1118" cm="1">
        <f t="array" ref="I19">IFERROR(_xll.FDS($B2,"FF_DFD_TAX_DB(ANN_R,"&amp;I5&amp;",,,,,B)"),0)</f>
        <v>0</v>
      </c>
      <c r="J19" s="1118" cm="1">
        <f t="array" ref="J19">IFERROR(_xll.FDS($B2,"FF_DFD_TAX_DB(ANN_R,"&amp;J5&amp;",,,,,B)"),0)</f>
        <v>0</v>
      </c>
      <c r="K19" s="1118" cm="1">
        <f t="array" ref="K19">IFERROR(_xll.FDS($B2,"FF_DFD_TAX_DB(ANN_R,"&amp;K5&amp;",,,,,B)"),0)</f>
        <v>0</v>
      </c>
      <c r="L19" s="1118" cm="1">
        <f t="array" ref="L19">IFERROR(_xll.FDS($B2,"FF_DFD_TAX_DB(ANN_R,"&amp;L5&amp;",,,,,B)"),0)</f>
        <v>0</v>
      </c>
      <c r="M19" s="16"/>
    </row>
    <row r="20" spans="1:14">
      <c r="A20" s="347" t="str">
        <f>BS!A24</f>
        <v>Other Assets</v>
      </c>
      <c r="C20" s="1118" cm="1">
        <f t="array" ref="C20">_xll.FDS($B2,"FF_ASSETS_CURR_OTH(ANN_R,"&amp;C5&amp;",,,,,B,""FILING_DATE=1"")")</f>
        <v>3.5553000000000001E-2</v>
      </c>
      <c r="D20" s="1118" cm="1">
        <f t="array" ref="D20">_xll.FDS($B2,"FF_ASSETS_CURR_OTH(ANN_R,"&amp;D5&amp;",,,,,B,""FILING_DATE=1"")")</f>
        <v>0.113645</v>
      </c>
      <c r="E20" s="1118" cm="1">
        <f t="array" ref="E20">_xll.FDS($B2,"FF_ASSETS_CURR_OTH(ANN_R,"&amp;E5&amp;",,,,,B,""FILING_DATE=1"")")</f>
        <v>0.142036</v>
      </c>
      <c r="F20" s="1118" cm="1">
        <f t="array" ref="F20">_xll.FDS($B2,"FF_ASSETS_CURR_OTH(ANN_R,"&amp;F5&amp;",,,,,B,""FILING_DATE=1"")")</f>
        <v>0.18047099999999999</v>
      </c>
      <c r="G20" s="1118" cm="1">
        <f t="array" ref="G20">_xll.FDS($B2,"FF_ASSETS_CURR_OTH(ANN_R,"&amp;G5&amp;",,,,,B,""FILING_DATE=1"")")</f>
        <v>0.31430599999999997</v>
      </c>
      <c r="H20" s="1118" cm="1">
        <f t="array" ref="H20">_xll.FDS($B2,"FF_ASSETS_CURR_OTH(ANN_R,"&amp;H5&amp;",,,,,B,""FILING_DATE=1"")")</f>
        <v>0.50854299999999997</v>
      </c>
      <c r="I20" s="1118" cm="1">
        <f t="array" ref="I20">_xll.FDS($B2,"FF_ASSETS_CURR_OTH(ANN_R,"&amp;I5&amp;",,,,,B,""FILING_DATE=1"")")</f>
        <v>0.54422300000000001</v>
      </c>
      <c r="J20" s="1118" cm="1">
        <f t="array" ref="J20">_xll.FDS($B2,"FF_ASSETS_CURR_OTH(ANN_R,"&amp;J5&amp;",,,,,B,""FILING_DATE=1"")")</f>
        <v>0.48091499999999998</v>
      </c>
      <c r="K20" s="1118" cm="1">
        <f t="array" ref="K20">_xll.FDS($B2,"FF_ASSETS_CURR_OTH(ANN_R,"&amp;K5&amp;",,,,,B,""FILING_DATE=1"")")</f>
        <v>0.38666299999999998</v>
      </c>
      <c r="L20" s="1118" cm="1">
        <f t="array" ref="L20">_xll.FDS($B2,"FF_ASSETS_CURR_OTH(ANN_R,"&amp;L5&amp;",,,,,B,""FILING_DATE=1"")")</f>
        <v>0.344578</v>
      </c>
      <c r="M20" s="16"/>
    </row>
    <row r="21" spans="1:14" s="17" customFormat="1">
      <c r="A21" s="374" t="str">
        <f>BS!A25</f>
        <v>Total Assets</v>
      </c>
      <c r="B21" s="12"/>
      <c r="C21" s="1120" cm="1">
        <f t="array" ref="C21">_xll.FDS($B2,"FF_ASSETS(ANN_R,"&amp;C5&amp;",,,,,B)")+SUM(C15:C16)</f>
        <v>7.2117620000000002</v>
      </c>
      <c r="D21" s="1120" cm="1">
        <f t="array" ref="D21">_xll.FDS($B2,"FF_ASSETS(ANN_R,"&amp;D5&amp;",,,,,B)")+SUM(D15:D16)</f>
        <v>6.6571290000000003</v>
      </c>
      <c r="E21" s="1120" cm="1">
        <f t="array" ref="E21">_xll.FDS($B2,"FF_ASSETS(ANN_R,"&amp;E5&amp;",,,,,B)")+SUM(E15:E16)</f>
        <v>6.7169333153709037</v>
      </c>
      <c r="F21" s="1120" cm="1">
        <f t="array" ref="F21">_xll.FDS($B2,"FF_ASSETS(ANN_R,"&amp;F5&amp;",,,,,B)")+SUM(F15:F16)</f>
        <v>5.4744000000000002</v>
      </c>
      <c r="G21" s="1120" cm="1">
        <f t="array" ref="G21">_xll.FDS($B2,"FF_ASSETS(ANN_R,"&amp;G5&amp;",,,,,B)")+SUM(G15:G16)</f>
        <v>5.0079659999999997</v>
      </c>
      <c r="H21" s="1120" cm="1">
        <f t="array" ref="H21">_xll.FDS($B2,"FF_ASSETS(ANN_R,"&amp;H5&amp;",,,,,B)")+SUM(H15:H16)</f>
        <v>4.7819839999999996</v>
      </c>
      <c r="I21" s="1120" cm="1">
        <f t="array" ref="I21">_xll.FDS($B2,"FF_ASSETS(ANN_R,"&amp;I5&amp;",,,,,B)")+SUM(I15:I16)</f>
        <v>5.6809849458489738</v>
      </c>
      <c r="J21" s="1120" cm="1">
        <f t="array" ref="J21">_xll.FDS($B2,"FF_ASSETS(ANN_R,"&amp;J5&amp;",,,,,B)")+SUM(J15:J16)</f>
        <v>5.7894077078527157</v>
      </c>
      <c r="K21" s="1120" cm="1">
        <f t="array" ref="K21">_xll.FDS($B2,"FF_ASSETS(ANN_R,"&amp;K5&amp;",,,,,B)")+SUM(K15:K16)</f>
        <v>6.052321777072093</v>
      </c>
      <c r="L21" s="1120" cm="1">
        <f t="array" ref="L21">_xll.FDS($B2,"FF_ASSETS(ANN_R,"&amp;L5&amp;",,,,,B)")+SUM(L15:L16)</f>
        <v>6.336340910500061</v>
      </c>
      <c r="M21" s="18"/>
    </row>
    <row r="22" spans="1:14">
      <c r="A22" s="344" t="str">
        <f>BS!A26</f>
        <v>Liabilities &amp; Shareholders' Equity</v>
      </c>
      <c r="C22" s="1118"/>
      <c r="D22" s="347"/>
      <c r="E22" s="347"/>
      <c r="F22" s="347"/>
      <c r="G22" s="347"/>
      <c r="H22" s="347"/>
      <c r="I22" s="347"/>
      <c r="J22" s="347"/>
      <c r="K22" s="347"/>
      <c r="L22" s="347"/>
      <c r="M22" s="16"/>
    </row>
    <row r="23" spans="1:14">
      <c r="A23" s="347" t="str">
        <f>BS!A27</f>
        <v>ST Debt &amp; Curr. Portion LT Debt</v>
      </c>
      <c r="C23" s="1118" cm="1">
        <f t="array" ref="C23">_xll.FDS($B2,"FF_DEBT_ST(ANN_R,"&amp;C5&amp;",,,,,B,""FILING_DATE=1"")")</f>
        <v>0.45893200000000001</v>
      </c>
      <c r="D23" s="1118" cm="1">
        <f t="array" ref="D23">_xll.FDS($B2,"FF_DEBT_ST(ANN_R,"&amp;D5&amp;",,,,,B,""FILING_DATE=1"")")</f>
        <v>0.35020600000000002</v>
      </c>
      <c r="E23" s="1118" cm="1">
        <f t="array" ref="E23">_xll.FDS($B2,"FF_DEBT_ST(ANN_R,"&amp;E5&amp;",,,,,B,""FILING_DATE=1"")")</f>
        <v>0.30967800000000001</v>
      </c>
      <c r="F23" s="1118" cm="1">
        <f t="array" ref="F23">_xll.FDS($B2,"FF_DEBT_ST(ANN_R,"&amp;F5&amp;",,,,,B,""FILING_DATE=1"")")</f>
        <v>0.30546000000000001</v>
      </c>
      <c r="G23" s="1118" cm="1">
        <f t="array" ref="G23">_xll.FDS($B2,"FF_DEBT_ST(ANN_R,"&amp;G5&amp;",,,,,B,""FILING_DATE=1"")")</f>
        <v>0.26866699999999999</v>
      </c>
      <c r="H23" s="1118" cm="1">
        <f t="array" ref="H23">_xll.FDS($B2,"FF_DEBT_ST(ANN_R,"&amp;H5&amp;",,,,,B,""FILING_DATE=1"")")</f>
        <v>0.21182100000000001</v>
      </c>
      <c r="I23" s="1118" cm="1">
        <f t="array" ref="I23">_xll.FDS($B2,"FF_DEBT_ST(ANN_R,"&amp;I5&amp;",,,,,B,""FILING_DATE=1"")")</f>
        <v>0.17738899999999999</v>
      </c>
      <c r="J23" s="1118" cm="1">
        <f t="array" ref="J23">_xll.FDS($B2,"FF_DEBT_ST(ANN_R,"&amp;J5&amp;",,,,,B,""FILING_DATE=1"")")</f>
        <v>0.171454</v>
      </c>
      <c r="K23" s="1118" cm="1">
        <f t="array" ref="K23">_xll.FDS($B2,"FF_DEBT_ST(ANN_R,"&amp;K5&amp;",,,,,B,""FILING_DATE=1"")")</f>
        <v>0.208398</v>
      </c>
      <c r="L23" s="1118" cm="1">
        <f t="array" ref="L23">_xll.FDS($B2,"FF_DEBT_ST(ANN_R,"&amp;L5&amp;",,,,,B,""FILING_DATE=1"")")</f>
        <v>0.15903900000000001</v>
      </c>
      <c r="M23" s="16"/>
    </row>
    <row r="24" spans="1:14">
      <c r="A24" s="347" t="str">
        <f>BS!A28</f>
        <v>Accounts Payable</v>
      </c>
      <c r="C24" s="1118" cm="1">
        <f t="array" ref="C24">_xll.FDS($B2,"FF_PAY_ACCT(ANN_R,"&amp;C5&amp;",,,,,B,""FILING_DATE=1"")")</f>
        <v>0.28447299999999998</v>
      </c>
      <c r="D24" s="1118" cm="1">
        <f t="array" ref="D24">_xll.FDS($B2,"FF_PAY_ACCT(ANN_R,"&amp;D5&amp;",,,,,B,""FILING_DATE=1"")")</f>
        <v>0.331982</v>
      </c>
      <c r="E24" s="1118" cm="1">
        <f t="array" ref="E24">_xll.FDS($B2,"FF_PAY_ACCT(ANN_R,"&amp;E5&amp;",,,,,B,""FILING_DATE=1"")")</f>
        <v>0.28890399999999999</v>
      </c>
      <c r="F24" s="1118" cm="1">
        <f t="array" ref="F24">_xll.FDS($B2,"FF_PAY_ACCT(ANN_R,"&amp;F5&amp;",,,,,B,""FILING_DATE=1"")")</f>
        <v>0.24121500000000001</v>
      </c>
      <c r="G24" s="1118" cm="1">
        <f t="array" ref="G24">_xll.FDS($B2,"FF_PAY_ACCT(ANN_R,"&amp;G5&amp;",,,,,B,""FILING_DATE=1"")")</f>
        <v>0.279864</v>
      </c>
      <c r="H24" s="1118" cm="1">
        <f t="array" ref="H24">_xll.FDS($B2,"FF_PAY_ACCT(ANN_R,"&amp;H5&amp;",,,,,B,""FILING_DATE=1"")")</f>
        <v>0.27009699999999998</v>
      </c>
      <c r="I24" s="1118" cm="1">
        <f t="array" ref="I24">_xll.FDS($B2,"FF_PAY_ACCT(ANN_R,"&amp;I5&amp;",,,,,B,""FILING_DATE=1"")")</f>
        <v>0.24551799999999999</v>
      </c>
      <c r="J24" s="1118" cm="1">
        <f t="array" ref="J24">_xll.FDS($B2,"FF_PAY_ACCT(ANN_R,"&amp;J5&amp;",,,,,B,""FILING_DATE=1"")")</f>
        <v>0.22267100000000001</v>
      </c>
      <c r="K24" s="1118" cm="1">
        <f t="array" ref="K24">_xll.FDS($B2,"FF_PAY_ACCT(ANN_R,"&amp;K5&amp;",,,,,B,""FILING_DATE=1"")")</f>
        <v>0.22078400000000001</v>
      </c>
      <c r="L24" s="1118" cm="1">
        <f t="array" ref="L24">_xll.FDS($B2,"FF_PAY_ACCT(ANN_R,"&amp;L5&amp;",,,,,B,""FILING_DATE=1"")")</f>
        <v>0.20649000000000001</v>
      </c>
      <c r="M24" s="16"/>
    </row>
    <row r="25" spans="1:14">
      <c r="A25" s="347" t="str">
        <f>BS!A29</f>
        <v>Income Tax Payable</v>
      </c>
      <c r="C25" s="1118" cm="1">
        <f t="array" ref="C25">IFERROR(_xll.FDS($B2,"FF_INC_PAY_TAX(ANN_R,"&amp;C5&amp;",,,,,B,""FILING_DATE=1"")"),0)</f>
        <v>0</v>
      </c>
      <c r="D25" s="1118" cm="1">
        <f t="array" ref="D25">IFERROR(_xll.FDS($B2,"FF_INC_PAY_TAX(ANN_R,"&amp;D5&amp;",,,,,B,""FILING_DATE=1"")"),0)</f>
        <v>0</v>
      </c>
      <c r="E25" s="1118" cm="1">
        <f t="array" ref="E25">IFERROR(_xll.FDS($B2,"FF_INC_PAY_TAX(ANN_R,"&amp;E5&amp;",,,,,B,""FILING_DATE=1"")"),0)</f>
        <v>0</v>
      </c>
      <c r="F25" s="1118" cm="1">
        <f t="array" ref="F25">IFERROR(_xll.FDS($B2,"FF_INC_PAY_TAX(ANN_R,"&amp;F5&amp;",,,,,B,""FILING_DATE=1"")"),0)</f>
        <v>0</v>
      </c>
      <c r="G25" s="1118" cm="1">
        <f t="array" ref="G25">IFERROR(_xll.FDS($B2,"FF_INC_PAY_TAX(ANN_R,"&amp;G5&amp;",,,,,B,""FILING_DATE=1"")"),0)</f>
        <v>0</v>
      </c>
      <c r="H25" s="1118" cm="1">
        <f t="array" ref="H25">IFERROR(_xll.FDS($B2,"FF_INC_PAY_TAX(ANN_R,"&amp;H5&amp;",,,,,B,""FILING_DATE=1"")"),0)</f>
        <v>0</v>
      </c>
      <c r="I25" s="1118" cm="1">
        <f t="array" ref="I25">IFERROR(_xll.FDS($B2,"FF_INC_PAY_TAX(ANN_R,"&amp;I5&amp;",,,,,B,""FILING_DATE=1"")"),0)</f>
        <v>0</v>
      </c>
      <c r="J25" s="1118" cm="1">
        <f t="array" ref="J25">IFERROR(_xll.FDS($B2,"FF_INC_PAY_TAX(ANN_R,"&amp;J5&amp;",,,,,B,""FILING_DATE=1"")"),0)</f>
        <v>0</v>
      </c>
      <c r="K25" s="1118" cm="1">
        <f t="array" ref="K25">IFERROR(_xll.FDS($B2,"FF_INC_PAY_TAX(ANN_R,"&amp;K5&amp;",,,,,B,""FILING_DATE=1"")"),0)</f>
        <v>0</v>
      </c>
      <c r="L25" s="1118" cm="1">
        <f t="array" ref="L25">IFERROR(_xll.FDS($B2,"FF_INC_PAY_TAX(ANN_R,"&amp;L5&amp;",,,,,B,""FILING_DATE=1"")"),0)</f>
        <v>0</v>
      </c>
      <c r="M25" s="16"/>
    </row>
    <row r="26" spans="1:14">
      <c r="A26" s="347" t="str">
        <f>BS!A30</f>
        <v>Other Current Liabilities</v>
      </c>
      <c r="C26" s="1118" cm="1">
        <f t="array" ref="C26">_xll.FDS($B2,"FF_LIABS_CURR_OTH(ANN_R,"&amp;C5&amp;",,,,,B,""FILING_DATE=1"")")</f>
        <v>0.18127099999999999</v>
      </c>
      <c r="D26" s="1118" cm="1">
        <f t="array" ref="D26">_xll.FDS($B2,"FF_LIABS_CURR_OTH(ANN_R,"&amp;D5&amp;",,,,,B,""FILING_DATE=1"")")</f>
        <v>0.24263799999999999</v>
      </c>
      <c r="E26" s="1118" cm="1">
        <f t="array" ref="E26">_xll.FDS($B2,"FF_LIABS_CURR_OTH(ANN_R,"&amp;E5&amp;",,,,,B,""FILING_DATE=1"")")</f>
        <v>0.222243</v>
      </c>
      <c r="F26" s="1118" cm="1">
        <f t="array" ref="F26">_xll.FDS($B2,"FF_LIABS_CURR_OTH(ANN_R,"&amp;F5&amp;",,,,,B,""FILING_DATE=1"")")</f>
        <v>0.20058999999999999</v>
      </c>
      <c r="G26" s="1118" cm="1">
        <f t="array" ref="G26">_xll.FDS($B2,"FF_LIABS_CURR_OTH(ANN_R,"&amp;G5&amp;",,,,,B,""FILING_DATE=1"")")</f>
        <v>0.19949500000000001</v>
      </c>
      <c r="H26" s="1118" cm="1">
        <f t="array" ref="H26">_xll.FDS($B2,"FF_LIABS_CURR_OTH(ANN_R,"&amp;H5&amp;",,,,,B,""FILING_DATE=1"")")</f>
        <v>0.20243700000000001</v>
      </c>
      <c r="I26" s="1118" cm="1">
        <f t="array" ref="I26">_xll.FDS($B2,"FF_LIABS_CURR_OTH(ANN_R,"&amp;I5&amp;",,,,,B,""FILING_DATE=1"")")</f>
        <v>0.19755700000000001</v>
      </c>
      <c r="J26" s="1118" cm="1">
        <f t="array" ref="J26">_xll.FDS($B2,"FF_LIABS_CURR_OTH(ANN_R,"&amp;J5&amp;",,,,,B,""FILING_DATE=1"")")</f>
        <v>0.196045</v>
      </c>
      <c r="K26" s="1118" cm="1">
        <f t="array" ref="K26">_xll.FDS($B2,"FF_LIABS_CURR_OTH(ANN_R,"&amp;K5&amp;",,,,,B,""FILING_DATE=1"")")</f>
        <v>0.17377999999999999</v>
      </c>
      <c r="L26" s="1118" cm="1">
        <f t="array" ref="L26">_xll.FDS($B2,"FF_LIABS_CURR_OTH(ANN_R,"&amp;L5&amp;",,,,,B,""FILING_DATE=1"")")</f>
        <v>0.17196500000000001</v>
      </c>
      <c r="M26" s="16"/>
    </row>
    <row r="27" spans="1:14" s="17" customFormat="1">
      <c r="A27" s="344" t="str">
        <f>BS!A31</f>
        <v>Total Current Liabilities</v>
      </c>
      <c r="B27" s="372"/>
      <c r="C27" s="1119" cm="1">
        <f t="array" ref="C27">_xll.FDS($B2,"FF_LIABS_CURR(ANN_R,"&amp;C5&amp;",,,,,B,""FILING_DATE=1"")")</f>
        <v>0.92467600000000005</v>
      </c>
      <c r="D27" s="1119" cm="1">
        <f t="array" ref="D27">_xll.FDS($B2,"FF_LIABS_CURR(ANN_R,"&amp;D5&amp;",,,,,B,""FILING_DATE=1"")")</f>
        <v>0.92482600000000004</v>
      </c>
      <c r="E27" s="1119" cm="1">
        <f t="array" ref="E27">_xll.FDS($B2,"FF_LIABS_CURR(ANN_R,"&amp;E5&amp;",,,,,B,""FILING_DATE=1"")")</f>
        <v>0.82082500000000003</v>
      </c>
      <c r="F27" s="1119" cm="1">
        <f t="array" ref="F27">_xll.FDS($B2,"FF_LIABS_CURR(ANN_R,"&amp;F5&amp;",,,,,B,""FILING_DATE=1"")")</f>
        <v>0.74726499999999996</v>
      </c>
      <c r="G27" s="1119" cm="1">
        <f t="array" ref="G27">_xll.FDS($B2,"FF_LIABS_CURR(ANN_R,"&amp;G5&amp;",,,,,B,""FILING_DATE=1"")")</f>
        <v>0.74802599999999997</v>
      </c>
      <c r="H27" s="1119" cm="1">
        <f t="array" ref="H27">_xll.FDS($B2,"FF_LIABS_CURR(ANN_R,"&amp;H5&amp;",,,,,B,""FILING_DATE=1"")")</f>
        <v>0.68435500000000005</v>
      </c>
      <c r="I27" s="1119" cm="1">
        <f t="array" ref="I27">_xll.FDS($B2,"FF_LIABS_CURR(ANN_R,"&amp;I5&amp;",,,,,B,""FILING_DATE=1"")")</f>
        <v>0.62046400000000002</v>
      </c>
      <c r="J27" s="1119" cm="1">
        <f t="array" ref="J27">_xll.FDS($B2,"FF_LIABS_CURR(ANN_R,"&amp;J5&amp;",,,,,B,""FILING_DATE=1"")")</f>
        <v>0.59142499999999998</v>
      </c>
      <c r="K27" s="1119" cm="1">
        <f t="array" ref="K27">_xll.FDS($B2,"FF_LIABS_CURR(ANN_R,"&amp;K5&amp;",,,,,B,""FILING_DATE=1"")")</f>
        <v>0.62414800000000004</v>
      </c>
      <c r="L27" s="1119" cm="1">
        <f t="array" ref="L27">_xll.FDS($B2,"FF_LIABS_CURR(ANN_R,"&amp;L5&amp;",,,,,B,""FILING_DATE=1"")")</f>
        <v>0.56264000000000003</v>
      </c>
      <c r="M27" s="18"/>
      <c r="N27" s="1121"/>
    </row>
    <row r="28" spans="1:14">
      <c r="A28" s="347" t="str">
        <f>BS!A32</f>
        <v>Long-Term Debt</v>
      </c>
      <c r="C28" s="1118" cm="1">
        <f t="array" ref="C28">_xll.FDS($B2,"FF_DEBT_LT(ANN_R,"&amp;C5&amp;",,,,,B,""FILING_DATE=1"")")</f>
        <v>2.888226</v>
      </c>
      <c r="D28" s="1118" cm="1">
        <f t="array" ref="D28">_xll.FDS($B2,"FF_DEBT_LT(ANN_R,"&amp;D5&amp;",,,,,B,""FILING_DATE=1"")")</f>
        <v>2.809768</v>
      </c>
      <c r="E28" s="1118" cm="1">
        <f t="array" ref="E28">_xll.FDS($B2,"FF_DEBT_LT(ANN_R,"&amp;E5&amp;",,,,,B,""FILING_DATE=1"")")</f>
        <v>2.3773460000000002</v>
      </c>
      <c r="F28" s="1118" cm="1">
        <f t="array" ref="F28">_xll.FDS($B2,"FF_DEBT_LT(ANN_R,"&amp;F5&amp;",,,,,B,""FILING_DATE=1"")")</f>
        <v>2.2400509999999998</v>
      </c>
      <c r="G28" s="1118" cm="1">
        <f t="array" ref="G28">_xll.FDS($B2,"FF_DEBT_LT(ANN_R,"&amp;G5&amp;",,,,,B,""FILING_DATE=1"")")</f>
        <v>1.6592340000000001</v>
      </c>
      <c r="H28" s="1118" cm="1">
        <f t="array" ref="H28">_xll.FDS($B2,"FF_DEBT_LT(ANN_R,"&amp;H5&amp;",,,,,B,""FILING_DATE=1"")")</f>
        <v>1.53399</v>
      </c>
      <c r="I28" s="1118" cm="1">
        <f t="array" ref="I28">_xll.FDS($B2,"FF_DEBT_LT(ANN_R,"&amp;I5&amp;",,,,,B,""FILING_DATE=1"")")</f>
        <v>1.2931790000000001</v>
      </c>
      <c r="J28" s="1118" cm="1">
        <f t="array" ref="J28">_xll.FDS($B2,"FF_DEBT_LT(ANN_R,"&amp;J5&amp;",,,,,B,""FILING_DATE=1"")")</f>
        <v>1.4705680000000001</v>
      </c>
      <c r="K28" s="1118" cm="1">
        <f t="array" ref="K28">_xll.FDS($B2,"FF_DEBT_LT(ANN_R,"&amp;K5&amp;",,,,,B,""FILING_DATE=1"")")</f>
        <v>1.6069929999999999</v>
      </c>
      <c r="L28" s="1118" cm="1">
        <f t="array" ref="L28">_xll.FDS($B2,"FF_DEBT_LT(ANN_R,"&amp;L5&amp;",,,,,B,""FILING_DATE=1"")")</f>
        <v>1.738936</v>
      </c>
      <c r="M28" s="16"/>
    </row>
    <row r="29" spans="1:14">
      <c r="A29" s="375" t="str">
        <f>'DAL-US Lease'!B33</f>
        <v>Lease adj. to Total Debt outstanding</v>
      </c>
      <c r="B29" s="375"/>
      <c r="C29" s="375">
        <f t="shared" ref="C29:L29" si="0">C16</f>
        <v>0</v>
      </c>
      <c r="D29" s="375">
        <f t="shared" si="0"/>
        <v>0</v>
      </c>
      <c r="E29" s="375">
        <f t="shared" si="0"/>
        <v>0.40372131537090389</v>
      </c>
      <c r="F29" s="375">
        <f t="shared" si="0"/>
        <v>0</v>
      </c>
      <c r="G29" s="375">
        <f t="shared" si="0"/>
        <v>0</v>
      </c>
      <c r="H29" s="375">
        <f t="shared" si="0"/>
        <v>0</v>
      </c>
      <c r="I29" s="375">
        <f t="shared" si="0"/>
        <v>1.271056945848974</v>
      </c>
      <c r="J29" s="375">
        <f t="shared" si="0"/>
        <v>1.5561887078527152</v>
      </c>
      <c r="K29" s="375">
        <f t="shared" si="0"/>
        <v>1.7976847770720936</v>
      </c>
      <c r="L29" s="375">
        <f t="shared" si="0"/>
        <v>2.0544329105000614</v>
      </c>
      <c r="M29" s="16"/>
    </row>
    <row r="30" spans="1:14">
      <c r="A30" s="347" t="str">
        <f>BS!A33</f>
        <v>Provision for Risks &amp; Charges</v>
      </c>
      <c r="C30" s="1118" cm="1">
        <f t="array" ref="C30">_xll.FDS($B2,"FF_PROV_RISK(ANN_R,"&amp;C5&amp;",,,,,B)")</f>
        <v>0</v>
      </c>
      <c r="D30" s="1118" cm="1">
        <f t="array" ref="D30">_xll.FDS($B2,"FF_PROV_RISK(ANN_R,"&amp;D5&amp;",,,,,B)")</f>
        <v>0</v>
      </c>
      <c r="E30" s="1118" cm="1">
        <f t="array" ref="E30">_xll.FDS($B2,"FF_PROV_RISK(ANN_R,"&amp;E5&amp;",,,,,B)")</f>
        <v>0</v>
      </c>
      <c r="F30" s="1118" cm="1">
        <f t="array" ref="F30">_xll.FDS($B2,"FF_PROV_RISK(ANN_R,"&amp;F5&amp;",,,,,B)")</f>
        <v>0</v>
      </c>
      <c r="G30" s="1118" cm="1">
        <f t="array" ref="G30">_xll.FDS($B2,"FF_PROV_RISK(ANN_R,"&amp;G5&amp;",,,,,B)")</f>
        <v>0</v>
      </c>
      <c r="H30" s="1118" cm="1">
        <f t="array" ref="H30">_xll.FDS($B2,"FF_PROV_RISK(ANN_R,"&amp;H5&amp;",,,,,B)")</f>
        <v>0</v>
      </c>
      <c r="I30" s="1118" cm="1">
        <f t="array" ref="I30">_xll.FDS($B2,"FF_PROV_RISK(ANN_R,"&amp;I5&amp;",,,,,B)")</f>
        <v>0</v>
      </c>
      <c r="J30" s="1118" cm="1">
        <f t="array" ref="J30">_xll.FDS($B2,"FF_PROV_RISK(ANN_R,"&amp;J5&amp;",,,,,B)")</f>
        <v>0</v>
      </c>
      <c r="K30" s="1118" cm="1">
        <f t="array" ref="K30">_xll.FDS($B2,"FF_PROV_RISK(ANN_R,"&amp;K5&amp;",,,,,B)")</f>
        <v>0</v>
      </c>
      <c r="L30" s="1118" cm="1">
        <f t="array" ref="L30">_xll.FDS($B2,"FF_PROV_RISK(ANN_R,"&amp;L5&amp;",,,,,B)")</f>
        <v>0</v>
      </c>
      <c r="M30" s="16"/>
    </row>
    <row r="31" spans="1:14">
      <c r="A31" s="347" t="str">
        <f>BS!A34</f>
        <v>Deferred Tax Liabilities</v>
      </c>
      <c r="C31" s="1118" cm="1">
        <f t="array" ref="C31">IFERROR(_xll.FDS($B2,"FF_DFD_TAX_CR(ANN_R,"&amp;C5&amp;",,,,,B,""FILING_DATE=1"")"),0)</f>
        <v>0.62358000000000002</v>
      </c>
      <c r="D31" s="1118" cm="1">
        <f t="array" ref="D31">IFERROR(_xll.FDS($B2,"FF_DFD_TAX_CR(ANN_R,"&amp;D5&amp;",,,,,B,""FILING_DATE=1"")"),0)</f>
        <v>0.51815900000000004</v>
      </c>
      <c r="E31" s="1118" cm="1">
        <f t="array" ref="E31">IFERROR(_xll.FDS($B2,"FF_DFD_TAX_CR(ANN_R,"&amp;E5&amp;",,,,,B,""FILING_DATE=1"")"),0)</f>
        <v>0.41902</v>
      </c>
      <c r="F31" s="1118" cm="1">
        <f t="array" ref="F31">IFERROR(_xll.FDS($B2,"FF_DFD_TAX_CR(ANN_R,"&amp;F5&amp;",,,,,B,""FILING_DATE=1"")"),0)</f>
        <v>0.56540400000000002</v>
      </c>
      <c r="G31" s="1118" cm="1">
        <f t="array" ref="G31">IFERROR(_xll.FDS($B2,"FF_DFD_TAX_CR(ANN_R,"&amp;G5&amp;",,,,,B,""FILING_DATE=1"")"),0)</f>
        <v>0.74957499999999999</v>
      </c>
      <c r="H31" s="1118" cm="1">
        <f t="array" ref="H31">IFERROR(_xll.FDS($B2,"FF_DFD_TAX_CR(ANN_R,"&amp;H5&amp;",,,,,B,""FILING_DATE=1"")"),0)</f>
        <v>0.66938500000000001</v>
      </c>
      <c r="I31" s="1118" cm="1">
        <f t="array" ref="I31">IFERROR(_xll.FDS($B2,"FF_DFD_TAX_CR(ANN_R,"&amp;I5&amp;",,,,,B,""FILING_DATE=1"")"),0)</f>
        <v>0.72735799999999995</v>
      </c>
      <c r="J31" s="1118" cm="1">
        <f t="array" ref="J31">IFERROR(_xll.FDS($B2,"FF_DFD_TAX_CR(ANN_R,"&amp;J5&amp;",,,,,B,""FILING_DATE=1"")"),0)</f>
        <v>0.65761999999999998</v>
      </c>
      <c r="K31" s="1118" cm="1">
        <f t="array" ref="K31">IFERROR(_xll.FDS($B2,"FF_DFD_TAX_CR(ANN_R,"&amp;K5&amp;",,,,,B,""FILING_DATE=1"")"),0)</f>
        <v>0.56787399999999999</v>
      </c>
      <c r="L31" s="1118" cm="1">
        <f t="array" ref="L31">IFERROR(_xll.FDS($B2,"FF_DFD_TAX_CR(ANN_R,"&amp;L5&amp;",,,,,B,""FILING_DATE=1"")"),0)</f>
        <v>0.56984699999999999</v>
      </c>
      <c r="M31" s="16"/>
    </row>
    <row r="32" spans="1:14">
      <c r="A32" s="347" t="str">
        <f>BS!A35</f>
        <v>Other Liabilities</v>
      </c>
      <c r="C32" s="1118" cm="1">
        <f t="array" ref="C32">_xll.FDS($B2,"FF_LIABS_OTH(ANN_R,"&amp;C5&amp;",,,,,B,""FILING_DATE=1"")")</f>
        <v>4.5629999999999997E-2</v>
      </c>
      <c r="D32" s="1118" cm="1">
        <f t="array" ref="D32">_xll.FDS($B2,"FF_LIABS_OTH(ANN_R,"&amp;D5&amp;",,,,,B,""FILING_DATE=1"")")</f>
        <v>9.6180000000000002E-2</v>
      </c>
      <c r="E32" s="1118" cm="1">
        <f t="array" ref="E32">_xll.FDS($B2,"FF_LIABS_OTH(ANN_R,"&amp;E5&amp;",,,,,B,""FILING_DATE=1"")")</f>
        <v>0.10289</v>
      </c>
      <c r="F32" s="1118" cm="1">
        <f t="array" ref="F32">_xll.FDS($B2,"FF_LIABS_OTH(ANN_R,"&amp;F5&amp;",,,,,B,""FILING_DATE=1"")")</f>
        <v>0.1043</v>
      </c>
      <c r="G32" s="1118" cm="1">
        <f t="array" ref="G32">_xll.FDS($B2,"FF_LIABS_OTH(ANN_R,"&amp;G5&amp;",,,,,B,""FILING_DATE=1"")")</f>
        <v>0.11871</v>
      </c>
      <c r="H32" s="1118" cm="1">
        <f t="array" ref="H32">_xll.FDS($B2,"FF_LIABS_OTH(ANN_R,"&amp;H5&amp;",,,,,B,""FILING_DATE=1"")")</f>
        <v>0.12185</v>
      </c>
      <c r="I32" s="1118" cm="1">
        <f t="array" ref="I32">_xll.FDS($B2,"FF_LIABS_OTH(ANN_R,"&amp;I5&amp;",,,,,B,""FILING_DATE=1"")")</f>
        <v>0.15728</v>
      </c>
      <c r="J32" s="1118" cm="1">
        <f t="array" ref="J32">_xll.FDS($B2,"FF_LIABS_OTH(ANN_R,"&amp;J5&amp;",,,,,B,""FILING_DATE=1"")")</f>
        <v>0.14785000000000001</v>
      </c>
      <c r="K32" s="1118" cm="1">
        <f t="array" ref="K32">_xll.FDS($B2,"FF_LIABS_OTH(ANN_R,"&amp;K5&amp;",,,,,B,""FILING_DATE=1"")")</f>
        <v>0.14863000000000001</v>
      </c>
      <c r="L32" s="1118" cm="1">
        <f t="array" ref="L32">_xll.FDS($B2,"FF_LIABS_OTH(ANN_R,"&amp;L5&amp;",,,,,B,""FILING_DATE=1"")")</f>
        <v>0.15415999999999999</v>
      </c>
      <c r="M32" s="16"/>
    </row>
    <row r="33" spans="1:13">
      <c r="A33" s="344" t="str">
        <f>BS!A36</f>
        <v>Total Liabilities</v>
      </c>
      <c r="C33" s="1119" cm="1">
        <f t="array" ref="C33">_xll.FDS($B2,"FF_LIABS(ANN_R,"&amp;C5&amp;",,,,,B)")+C29</f>
        <v>5.0722170000000002</v>
      </c>
      <c r="D33" s="1119" cm="1">
        <f t="array" ref="D33">_xll.FDS($B2,"FF_LIABS(ANN_R,"&amp;D5&amp;",,,,,B)")+D29</f>
        <v>4.4821150000000003</v>
      </c>
      <c r="E33" s="1119" cm="1">
        <f t="array" ref="E33">_xll.FDS($B2,"FF_LIABS(ANN_R,"&amp;E5&amp;",,,,,B)")+E29</f>
        <v>4.7526523153709039</v>
      </c>
      <c r="F33" s="1119" cm="1">
        <f t="array" ref="F33">_xll.FDS($B2,"FF_LIABS(ANN_R,"&amp;F5&amp;",,,,,B)")+F29</f>
        <v>3.720078</v>
      </c>
      <c r="G33" s="1119" cm="1">
        <f t="array" ref="G33">_xll.FDS($B2,"FF_LIABS(ANN_R,"&amp;G5&amp;",,,,,B)")+G29</f>
        <v>3.6570230000000001</v>
      </c>
      <c r="H33" s="1119" cm="1">
        <f t="array" ref="H33">_xll.FDS($B2,"FF_LIABS(ANN_R,"&amp;H5&amp;",,,,,B)")+H29</f>
        <v>3.2755489999999998</v>
      </c>
      <c r="I33" s="1119" cm="1">
        <f t="array" ref="I33">_xll.FDS($B2,"FF_LIABS(ANN_R,"&amp;I5&amp;",,,,,B)")+I29</f>
        <v>4.280638945848974</v>
      </c>
      <c r="J33" s="1119" cm="1">
        <f t="array" ref="J33">_xll.FDS($B2,"FF_LIABS(ANN_R,"&amp;J5&amp;",,,,,B)")+J29</f>
        <v>4.3544687078527158</v>
      </c>
      <c r="K33" s="1119" cm="1">
        <f t="array" ref="K33">_xll.FDS($B2,"FF_LIABS(ANN_R,"&amp;K5&amp;",,,,,B)")+K29</f>
        <v>4.6651467770720938</v>
      </c>
      <c r="L33" s="1119" cm="1">
        <f t="array" ref="L33">_xll.FDS($B2,"FF_LIABS(ANN_R,"&amp;L5&amp;",,,,,B)")+L29</f>
        <v>5.0020799105000613</v>
      </c>
      <c r="M33" s="16"/>
    </row>
    <row r="34" spans="1:13">
      <c r="A34" s="373" t="str">
        <f>BS!A40</f>
        <v>Total Equity</v>
      </c>
      <c r="B34" s="12"/>
      <c r="C34" s="373">
        <f>C21-C33</f>
        <v>2.139545</v>
      </c>
      <c r="D34" s="373">
        <f t="shared" ref="D34:L34" si="1">D21-D33</f>
        <v>2.175014</v>
      </c>
      <c r="E34" s="373">
        <f t="shared" si="1"/>
        <v>1.9642809999999997</v>
      </c>
      <c r="F34" s="373">
        <f t="shared" si="1"/>
        <v>1.7543220000000002</v>
      </c>
      <c r="G34" s="373">
        <f t="shared" si="1"/>
        <v>1.3509429999999996</v>
      </c>
      <c r="H34" s="373">
        <f t="shared" si="1"/>
        <v>1.5064349999999997</v>
      </c>
      <c r="I34" s="373">
        <f t="shared" si="1"/>
        <v>1.4003459999999999</v>
      </c>
      <c r="J34" s="373">
        <f t="shared" si="1"/>
        <v>1.434939</v>
      </c>
      <c r="K34" s="373">
        <f t="shared" si="1"/>
        <v>1.3871749999999992</v>
      </c>
      <c r="L34" s="373">
        <f t="shared" si="1"/>
        <v>1.3342609999999997</v>
      </c>
      <c r="M34" s="16"/>
    </row>
    <row r="35" spans="1:13">
      <c r="A35" s="374" t="str">
        <f>BS!A41</f>
        <v>Total Liabilities &amp; Shareholders' Equity</v>
      </c>
      <c r="B35" s="12"/>
      <c r="C35" s="374">
        <f>C33+C34</f>
        <v>7.2117620000000002</v>
      </c>
      <c r="D35" s="374">
        <f t="shared" ref="D35:L35" si="2">D33+D34</f>
        <v>6.6571290000000003</v>
      </c>
      <c r="E35" s="374">
        <f t="shared" si="2"/>
        <v>6.7169333153709037</v>
      </c>
      <c r="F35" s="374">
        <f t="shared" si="2"/>
        <v>5.4744000000000002</v>
      </c>
      <c r="G35" s="374">
        <f t="shared" si="2"/>
        <v>5.0079659999999997</v>
      </c>
      <c r="H35" s="374">
        <f t="shared" si="2"/>
        <v>4.7819839999999996</v>
      </c>
      <c r="I35" s="374">
        <f t="shared" si="2"/>
        <v>5.6809849458489738</v>
      </c>
      <c r="J35" s="374">
        <f t="shared" si="2"/>
        <v>5.7894077078527157</v>
      </c>
      <c r="K35" s="374">
        <f t="shared" si="2"/>
        <v>6.052321777072093</v>
      </c>
      <c r="L35" s="374">
        <f t="shared" si="2"/>
        <v>6.336340910500061</v>
      </c>
      <c r="M35" s="16"/>
    </row>
    <row r="36" spans="1:13">
      <c r="A36" s="353"/>
      <c r="C36" s="376"/>
      <c r="D36" s="376"/>
      <c r="E36" s="376"/>
      <c r="F36" s="376"/>
      <c r="G36" s="376"/>
      <c r="H36" s="376"/>
      <c r="I36" s="376"/>
      <c r="J36" s="376"/>
      <c r="K36" s="376"/>
      <c r="L36" s="376"/>
      <c r="M36" s="16"/>
    </row>
    <row r="37" spans="1:13">
      <c r="A37" s="353" t="s">
        <v>450</v>
      </c>
      <c r="C37" s="376" t="str">
        <f>C5</f>
        <v>12/2020</v>
      </c>
      <c r="D37" s="376" t="str">
        <f t="shared" ref="D37:L37" si="3">D5</f>
        <v>12/2019</v>
      </c>
      <c r="E37" s="376" t="str">
        <f t="shared" si="3"/>
        <v>12/2018</v>
      </c>
      <c r="F37" s="376" t="str">
        <f t="shared" si="3"/>
        <v>12/2017</v>
      </c>
      <c r="G37" s="376" t="str">
        <f t="shared" si="3"/>
        <v>12/2016</v>
      </c>
      <c r="H37" s="376" t="str">
        <f t="shared" si="3"/>
        <v>12/2015</v>
      </c>
      <c r="I37" s="376" t="str">
        <f t="shared" si="3"/>
        <v>12/2014</v>
      </c>
      <c r="J37" s="376" t="str">
        <f t="shared" si="3"/>
        <v>12/2013</v>
      </c>
      <c r="K37" s="376" t="str">
        <f t="shared" si="3"/>
        <v>12/2012</v>
      </c>
      <c r="L37" s="376" t="str">
        <f t="shared" si="3"/>
        <v>12/2011</v>
      </c>
      <c r="M37" s="16"/>
    </row>
    <row r="38" spans="1:13">
      <c r="A38" s="385" t="str">
        <f>A10</f>
        <v>Short-Term Receivables</v>
      </c>
      <c r="B38" s="385"/>
      <c r="C38" s="523">
        <f>C10</f>
        <v>3.8378000000000002E-2</v>
      </c>
      <c r="D38" s="523">
        <f t="shared" ref="D38:L38" si="4">D10</f>
        <v>9.4117999999999993E-2</v>
      </c>
      <c r="E38" s="523">
        <f t="shared" si="4"/>
        <v>9.0130000000000002E-2</v>
      </c>
      <c r="F38" s="523">
        <f t="shared" si="4"/>
        <v>4.8046999999999999E-2</v>
      </c>
      <c r="G38" s="523">
        <f t="shared" si="4"/>
        <v>5.3905000000000002E-2</v>
      </c>
      <c r="H38" s="523">
        <f t="shared" si="4"/>
        <v>6.5032999999999994E-2</v>
      </c>
      <c r="I38" s="523">
        <f t="shared" si="4"/>
        <v>8.5877999999999996E-2</v>
      </c>
      <c r="J38" s="523">
        <f t="shared" si="4"/>
        <v>0.112026</v>
      </c>
      <c r="K38" s="523">
        <f t="shared" si="4"/>
        <v>8.1101999999999994E-2</v>
      </c>
      <c r="L38" s="523">
        <f t="shared" si="4"/>
        <v>0.132078</v>
      </c>
      <c r="M38" s="16"/>
    </row>
    <row r="39" spans="1:13">
      <c r="A39" s="385" t="str">
        <f>A11</f>
        <v>Inventories</v>
      </c>
      <c r="B39" s="385"/>
      <c r="C39" s="523">
        <f t="shared" ref="C39:L40" si="5">C11</f>
        <v>9.1195999999999999E-2</v>
      </c>
      <c r="D39" s="523">
        <f t="shared" si="5"/>
        <v>0.110503</v>
      </c>
      <c r="E39" s="523">
        <f t="shared" si="5"/>
        <v>0.12769</v>
      </c>
      <c r="F39" s="523">
        <f t="shared" si="5"/>
        <v>0.119755</v>
      </c>
      <c r="G39" s="523">
        <f t="shared" si="5"/>
        <v>0.118509</v>
      </c>
      <c r="H39" s="523">
        <f t="shared" si="5"/>
        <v>0.14031199999999999</v>
      </c>
      <c r="I39" s="523">
        <f t="shared" si="5"/>
        <v>0.13745199999999999</v>
      </c>
      <c r="J39" s="523">
        <f t="shared" si="5"/>
        <v>0.13809399999999999</v>
      </c>
      <c r="K39" s="523">
        <f t="shared" si="5"/>
        <v>0.113581</v>
      </c>
      <c r="L39" s="523">
        <f t="shared" si="5"/>
        <v>0.11521099999999999</v>
      </c>
      <c r="M39" s="16"/>
    </row>
    <row r="40" spans="1:13">
      <c r="A40" s="385" t="str">
        <f>A12</f>
        <v>Other Current Assets</v>
      </c>
      <c r="B40" s="385"/>
      <c r="C40" s="523">
        <f t="shared" si="5"/>
        <v>3.5553000000000001E-2</v>
      </c>
      <c r="D40" s="523">
        <f t="shared" si="5"/>
        <v>0.113645</v>
      </c>
      <c r="E40" s="523">
        <f t="shared" si="5"/>
        <v>0.142036</v>
      </c>
      <c r="F40" s="523">
        <f t="shared" si="5"/>
        <v>0.18047099999999999</v>
      </c>
      <c r="G40" s="523">
        <f t="shared" si="5"/>
        <v>0.31430599999999997</v>
      </c>
      <c r="H40" s="523">
        <f t="shared" si="5"/>
        <v>0.50854299999999997</v>
      </c>
      <c r="I40" s="523">
        <f t="shared" si="5"/>
        <v>0.54422300000000001</v>
      </c>
      <c r="J40" s="523">
        <f t="shared" si="5"/>
        <v>0.48091499999999998</v>
      </c>
      <c r="K40" s="523">
        <f t="shared" si="5"/>
        <v>0.38666299999999998</v>
      </c>
      <c r="L40" s="523">
        <f t="shared" si="5"/>
        <v>0.344578</v>
      </c>
      <c r="M40" s="16"/>
    </row>
    <row r="41" spans="1:13">
      <c r="A41" s="522" t="s">
        <v>451</v>
      </c>
      <c r="B41" s="522"/>
      <c r="C41" s="524">
        <f>SUM(C38:C40)</f>
        <v>0.165127</v>
      </c>
      <c r="D41" s="524">
        <f t="shared" ref="D41:L41" si="6">SUM(D38:D40)</f>
        <v>0.31826599999999999</v>
      </c>
      <c r="E41" s="524">
        <f t="shared" si="6"/>
        <v>0.35985600000000001</v>
      </c>
      <c r="F41" s="524">
        <f t="shared" si="6"/>
        <v>0.348273</v>
      </c>
      <c r="G41" s="524">
        <f t="shared" si="6"/>
        <v>0.48671999999999999</v>
      </c>
      <c r="H41" s="524">
        <f t="shared" si="6"/>
        <v>0.71388799999999997</v>
      </c>
      <c r="I41" s="524">
        <f t="shared" si="6"/>
        <v>0.76755299999999993</v>
      </c>
      <c r="J41" s="524">
        <f t="shared" si="6"/>
        <v>0.73103499999999999</v>
      </c>
      <c r="K41" s="524">
        <f t="shared" si="6"/>
        <v>0.58134599999999992</v>
      </c>
      <c r="L41" s="524">
        <f t="shared" si="6"/>
        <v>0.59186699999999992</v>
      </c>
      <c r="M41" s="16"/>
    </row>
    <row r="42" spans="1:13">
      <c r="A42" s="522" t="s">
        <v>452</v>
      </c>
      <c r="B42" s="522"/>
      <c r="C42" s="327">
        <f>C41-D41</f>
        <v>-0.153139</v>
      </c>
      <c r="D42" s="327">
        <f t="shared" ref="D42:L42" si="7">D41-E41</f>
        <v>-4.1590000000000016E-2</v>
      </c>
      <c r="E42" s="327">
        <f t="shared" si="7"/>
        <v>1.158300000000001E-2</v>
      </c>
      <c r="F42" s="327">
        <f t="shared" si="7"/>
        <v>-0.13844699999999999</v>
      </c>
      <c r="G42" s="327">
        <f t="shared" si="7"/>
        <v>-0.22716799999999998</v>
      </c>
      <c r="H42" s="327">
        <f t="shared" si="7"/>
        <v>-5.3664999999999963E-2</v>
      </c>
      <c r="I42" s="327">
        <f t="shared" si="7"/>
        <v>3.6517999999999939E-2</v>
      </c>
      <c r="J42" s="327">
        <f t="shared" si="7"/>
        <v>0.14968900000000007</v>
      </c>
      <c r="K42" s="327">
        <f t="shared" si="7"/>
        <v>-1.0521000000000003E-2</v>
      </c>
      <c r="L42" s="327">
        <f t="shared" si="7"/>
        <v>0.59186699999999992</v>
      </c>
      <c r="M42" s="16"/>
    </row>
    <row r="43" spans="1:13">
      <c r="A43" s="522" t="s">
        <v>453</v>
      </c>
      <c r="B43" s="522"/>
      <c r="C43" s="327"/>
      <c r="D43" s="327"/>
      <c r="E43" s="327"/>
      <c r="F43" s="327"/>
      <c r="G43" s="327"/>
      <c r="H43" s="327"/>
      <c r="I43" s="327"/>
      <c r="J43" s="327"/>
      <c r="K43" s="327"/>
      <c r="L43" s="327"/>
      <c r="M43" s="16"/>
    </row>
    <row r="44" spans="1:13" ht="15" customHeight="1">
      <c r="A44" s="385" t="str">
        <f>A24</f>
        <v>Accounts Payable</v>
      </c>
      <c r="B44" s="385"/>
      <c r="C44" s="523">
        <f t="shared" ref="C44:L46" si="8">C24</f>
        <v>0.28447299999999998</v>
      </c>
      <c r="D44" s="523">
        <f t="shared" si="8"/>
        <v>0.331982</v>
      </c>
      <c r="E44" s="523">
        <f t="shared" si="8"/>
        <v>0.28890399999999999</v>
      </c>
      <c r="F44" s="523">
        <f t="shared" si="8"/>
        <v>0.24121500000000001</v>
      </c>
      <c r="G44" s="523">
        <f t="shared" si="8"/>
        <v>0.279864</v>
      </c>
      <c r="H44" s="523">
        <f t="shared" si="8"/>
        <v>0.27009699999999998</v>
      </c>
      <c r="I44" s="523">
        <f t="shared" si="8"/>
        <v>0.24551799999999999</v>
      </c>
      <c r="J44" s="523">
        <f t="shared" si="8"/>
        <v>0.22267100000000001</v>
      </c>
      <c r="K44" s="523">
        <f t="shared" si="8"/>
        <v>0.22078400000000001</v>
      </c>
      <c r="L44" s="523">
        <f t="shared" si="8"/>
        <v>0.20649000000000001</v>
      </c>
      <c r="M44" s="16"/>
    </row>
    <row r="45" spans="1:13" ht="15" customHeight="1">
      <c r="A45" s="385" t="str">
        <f>A25</f>
        <v>Income Tax Payable</v>
      </c>
      <c r="B45" s="385"/>
      <c r="C45" s="523">
        <f t="shared" si="8"/>
        <v>0</v>
      </c>
      <c r="D45" s="523">
        <f t="shared" si="8"/>
        <v>0</v>
      </c>
      <c r="E45" s="523">
        <f t="shared" si="8"/>
        <v>0</v>
      </c>
      <c r="F45" s="523">
        <f t="shared" si="8"/>
        <v>0</v>
      </c>
      <c r="G45" s="523">
        <f t="shared" si="8"/>
        <v>0</v>
      </c>
      <c r="H45" s="523">
        <f t="shared" si="8"/>
        <v>0</v>
      </c>
      <c r="I45" s="523">
        <f t="shared" si="8"/>
        <v>0</v>
      </c>
      <c r="J45" s="523">
        <f t="shared" si="8"/>
        <v>0</v>
      </c>
      <c r="K45" s="523">
        <f t="shared" si="8"/>
        <v>0</v>
      </c>
      <c r="L45" s="523">
        <f t="shared" si="8"/>
        <v>0</v>
      </c>
      <c r="M45" s="16"/>
    </row>
    <row r="46" spans="1:13" ht="15" customHeight="1">
      <c r="A46" s="385" t="str">
        <f>A26</f>
        <v>Other Current Liabilities</v>
      </c>
      <c r="B46" s="385"/>
      <c r="C46" s="523">
        <f t="shared" si="8"/>
        <v>0.18127099999999999</v>
      </c>
      <c r="D46" s="523">
        <f>D26</f>
        <v>0.24263799999999999</v>
      </c>
      <c r="E46" s="523">
        <f t="shared" si="8"/>
        <v>0.222243</v>
      </c>
      <c r="F46" s="523">
        <f t="shared" si="8"/>
        <v>0.20058999999999999</v>
      </c>
      <c r="G46" s="523">
        <f t="shared" si="8"/>
        <v>0.19949500000000001</v>
      </c>
      <c r="H46" s="523">
        <f t="shared" si="8"/>
        <v>0.20243700000000001</v>
      </c>
      <c r="I46" s="523">
        <f t="shared" si="8"/>
        <v>0.19755700000000001</v>
      </c>
      <c r="J46" s="523">
        <f t="shared" si="8"/>
        <v>0.196045</v>
      </c>
      <c r="K46" s="523">
        <f t="shared" si="8"/>
        <v>0.17377999999999999</v>
      </c>
      <c r="L46" s="523">
        <f t="shared" si="8"/>
        <v>0.17196500000000001</v>
      </c>
      <c r="M46" s="16"/>
    </row>
    <row r="47" spans="1:13" s="522" customFormat="1" ht="12.75">
      <c r="A47" s="522" t="s">
        <v>454</v>
      </c>
      <c r="C47" s="524">
        <f>SUM(C44:C46)</f>
        <v>0.46574399999999994</v>
      </c>
      <c r="D47" s="524">
        <f t="shared" ref="D47:L47" si="9">SUM(D44:D46)</f>
        <v>0.57462000000000002</v>
      </c>
      <c r="E47" s="524">
        <f t="shared" si="9"/>
        <v>0.51114700000000002</v>
      </c>
      <c r="F47" s="524">
        <f t="shared" si="9"/>
        <v>0.441805</v>
      </c>
      <c r="G47" s="524">
        <f t="shared" si="9"/>
        <v>0.47935899999999998</v>
      </c>
      <c r="H47" s="524">
        <f t="shared" si="9"/>
        <v>0.47253400000000001</v>
      </c>
      <c r="I47" s="524">
        <f t="shared" si="9"/>
        <v>0.443075</v>
      </c>
      <c r="J47" s="524">
        <f t="shared" si="9"/>
        <v>0.41871599999999998</v>
      </c>
      <c r="K47" s="524">
        <f t="shared" si="9"/>
        <v>0.39456400000000003</v>
      </c>
      <c r="L47" s="524">
        <f t="shared" si="9"/>
        <v>0.37845499999999999</v>
      </c>
    </row>
    <row r="48" spans="1:13">
      <c r="A48" s="522" t="s">
        <v>452</v>
      </c>
      <c r="B48" s="522"/>
      <c r="C48" s="327">
        <f>C47-D47</f>
        <v>-0.10887600000000008</v>
      </c>
      <c r="D48" s="327">
        <f t="shared" ref="D48:L48" si="10">D47-E47</f>
        <v>6.3473000000000002E-2</v>
      </c>
      <c r="E48" s="327">
        <f t="shared" si="10"/>
        <v>6.9342000000000015E-2</v>
      </c>
      <c r="F48" s="327">
        <f t="shared" si="10"/>
        <v>-3.7553999999999976E-2</v>
      </c>
      <c r="G48" s="327">
        <f t="shared" si="10"/>
        <v>6.82499999999997E-3</v>
      </c>
      <c r="H48" s="327">
        <f t="shared" si="10"/>
        <v>2.9459000000000013E-2</v>
      </c>
      <c r="I48" s="327">
        <f t="shared" si="10"/>
        <v>2.435900000000002E-2</v>
      </c>
      <c r="J48" s="327">
        <f t="shared" si="10"/>
        <v>2.4151999999999951E-2</v>
      </c>
      <c r="K48" s="327">
        <f t="shared" si="10"/>
        <v>1.610900000000004E-2</v>
      </c>
      <c r="L48" s="327">
        <f t="shared" si="10"/>
        <v>0.37845499999999999</v>
      </c>
      <c r="M48" s="16"/>
    </row>
    <row r="49" spans="1:13">
      <c r="A49" s="526" t="s">
        <v>455</v>
      </c>
      <c r="B49" s="526"/>
      <c r="C49" s="327"/>
      <c r="D49" s="327"/>
      <c r="E49" s="327"/>
      <c r="F49" s="327"/>
      <c r="G49" s="327"/>
      <c r="H49" s="327"/>
      <c r="I49" s="327"/>
      <c r="J49" s="327"/>
      <c r="K49" s="327"/>
      <c r="L49" s="327"/>
      <c r="M49" s="16"/>
    </row>
    <row r="50" spans="1:13">
      <c r="A50" s="372" t="s">
        <v>456</v>
      </c>
      <c r="B50" s="372"/>
      <c r="C50" s="525">
        <f>C41-C47</f>
        <v>-0.30061699999999991</v>
      </c>
      <c r="D50" s="525">
        <f t="shared" ref="D50:L50" si="11">D41-D47</f>
        <v>-0.25635400000000003</v>
      </c>
      <c r="E50" s="525">
        <f t="shared" si="11"/>
        <v>-0.15129100000000001</v>
      </c>
      <c r="F50" s="525">
        <f t="shared" si="11"/>
        <v>-9.3532000000000004E-2</v>
      </c>
      <c r="G50" s="525">
        <f t="shared" si="11"/>
        <v>7.3610000000000064E-3</v>
      </c>
      <c r="H50" s="525">
        <f t="shared" si="11"/>
        <v>0.24135399999999996</v>
      </c>
      <c r="I50" s="525">
        <f t="shared" si="11"/>
        <v>0.32447799999999993</v>
      </c>
      <c r="J50" s="525">
        <f t="shared" si="11"/>
        <v>0.31231900000000001</v>
      </c>
      <c r="K50" s="525">
        <f t="shared" si="11"/>
        <v>0.18678199999999989</v>
      </c>
      <c r="L50" s="525">
        <f t="shared" si="11"/>
        <v>0.21341199999999994</v>
      </c>
      <c r="M50" s="16"/>
    </row>
    <row r="51" spans="1:13">
      <c r="A51" s="372" t="s">
        <v>457</v>
      </c>
      <c r="B51" s="372"/>
      <c r="C51" s="527">
        <f>C50/IS!C14</f>
        <v>-1.7585083357706928E-2</v>
      </c>
      <c r="D51" s="527">
        <f>D50/IS!D14</f>
        <v>-5.4536442156320475E-3</v>
      </c>
      <c r="E51" s="527">
        <f>E50/IS!E14</f>
        <v>-3.4043113341283948E-3</v>
      </c>
      <c r="F51" s="527">
        <f>F50/IS!F14</f>
        <v>-2.2683222583305038E-3</v>
      </c>
      <c r="G51" s="527">
        <f>G50/IS!G14</f>
        <v>1.8587445078531404E-4</v>
      </c>
      <c r="H51" s="527">
        <f>H50/IS!H14</f>
        <v>5.9584752876117109E-3</v>
      </c>
      <c r="I51" s="527">
        <f>I50/IS!I14</f>
        <v>8.0707889762212694E-3</v>
      </c>
      <c r="J51" s="527">
        <f>J50/IS!J14</f>
        <v>8.2979701365641107E-3</v>
      </c>
      <c r="K51" s="527">
        <f>K50/IS!K14</f>
        <v>5.0901212699277802E-3</v>
      </c>
      <c r="L51" s="527">
        <f>L50/IS!L14</f>
        <v>6.0775167307418462E-3</v>
      </c>
      <c r="M51" s="16"/>
    </row>
    <row r="52" spans="1:13">
      <c r="A52" s="377" t="s">
        <v>458</v>
      </c>
      <c r="C52" s="327">
        <f>C50-D50</f>
        <v>-4.4262999999999886E-2</v>
      </c>
      <c r="D52" s="327">
        <f t="shared" ref="D52:L52" si="12">D50-E50</f>
        <v>-0.10506300000000002</v>
      </c>
      <c r="E52" s="327">
        <f t="shared" si="12"/>
        <v>-5.7759000000000005E-2</v>
      </c>
      <c r="F52" s="327">
        <f t="shared" si="12"/>
        <v>-0.10089300000000001</v>
      </c>
      <c r="G52" s="327">
        <f t="shared" si="12"/>
        <v>-0.23399299999999995</v>
      </c>
      <c r="H52" s="327">
        <f t="shared" si="12"/>
        <v>-8.3123999999999976E-2</v>
      </c>
      <c r="I52" s="327">
        <f t="shared" si="12"/>
        <v>1.215899999999992E-2</v>
      </c>
      <c r="J52" s="327">
        <f t="shared" si="12"/>
        <v>0.12553700000000012</v>
      </c>
      <c r="K52" s="327">
        <f t="shared" si="12"/>
        <v>-2.6630000000000043E-2</v>
      </c>
      <c r="L52" s="327">
        <f t="shared" si="12"/>
        <v>0.21341199999999994</v>
      </c>
      <c r="M52" s="16"/>
    </row>
    <row r="53" spans="1:13">
      <c r="A53" s="526" t="s">
        <v>459</v>
      </c>
      <c r="C53" s="327"/>
      <c r="D53" s="327"/>
      <c r="E53" s="327"/>
      <c r="F53" s="327"/>
      <c r="G53" s="327"/>
      <c r="H53" s="327"/>
      <c r="I53" s="327"/>
      <c r="J53" s="327"/>
      <c r="K53" s="327"/>
      <c r="L53" s="327"/>
    </row>
    <row r="54" spans="1:13">
      <c r="A54" s="327"/>
    </row>
    <row r="55" spans="1:13">
      <c r="A55" s="327"/>
    </row>
    <row r="56" spans="1:13">
      <c r="A56" s="327"/>
    </row>
    <row r="57" spans="1:13">
      <c r="A57" s="327"/>
    </row>
    <row r="58" spans="1:13">
      <c r="A58" s="327"/>
    </row>
    <row r="59" spans="1:13">
      <c r="A59" s="327"/>
    </row>
    <row r="60" spans="1:13">
      <c r="A60" s="327"/>
    </row>
    <row r="61" spans="1:13">
      <c r="A61" s="327"/>
    </row>
    <row r="62" spans="1:13">
      <c r="A62" s="327"/>
    </row>
    <row r="63" spans="1:13">
      <c r="A63" s="327"/>
    </row>
    <row r="64" spans="1:13">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row r="163" spans="1:1">
      <c r="A163" s="327"/>
    </row>
  </sheetData>
  <pageMargins left="0.7" right="0.7" top="0.78740157499999996" bottom="0.78740157499999996"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8">
    <tabColor theme="2" tint="-0.499984740745262"/>
  </sheetPr>
  <dimension ref="A1:O157"/>
  <sheetViews>
    <sheetView topLeftCell="A4" workbookViewId="0">
      <selection activeCell="C11" sqref="C11"/>
    </sheetView>
  </sheetViews>
  <sheetFormatPr defaultColWidth="11.28515625" defaultRowHeight="15"/>
  <cols>
    <col min="1" max="1" width="32.7109375" style="3" customWidth="1"/>
    <col min="2" max="2" width="1.28515625" style="3" customWidth="1"/>
    <col min="3" max="12" width="11.28515625" style="3"/>
  </cols>
  <sheetData>
    <row r="1" spans="1:15" s="340" customFormat="1" ht="26.1" customHeight="1">
      <c r="A1" s="371" t="s">
        <v>460</v>
      </c>
    </row>
    <row r="2" spans="1:15">
      <c r="A2" s="327" t="str">
        <f>IS!A8</f>
        <v>Ticker</v>
      </c>
      <c r="B2" s="491" t="str">
        <f>IS!B8</f>
        <v>DAL-US</v>
      </c>
      <c r="C2" s="327"/>
      <c r="D2" s="327"/>
      <c r="E2" s="327"/>
      <c r="F2" s="327"/>
      <c r="G2" s="327"/>
      <c r="H2" s="327"/>
      <c r="I2" s="327"/>
      <c r="J2" s="327"/>
      <c r="K2" s="327"/>
      <c r="L2" s="327"/>
      <c r="M2" s="16"/>
    </row>
    <row r="3" spans="1:15">
      <c r="A3" s="327"/>
      <c r="B3" s="327"/>
      <c r="C3" s="1055" t="s">
        <v>355</v>
      </c>
      <c r="D3" s="327"/>
      <c r="E3" s="327"/>
      <c r="F3" s="327"/>
      <c r="G3" s="327"/>
      <c r="H3" s="327"/>
      <c r="I3" s="327"/>
      <c r="J3" s="327"/>
      <c r="K3" s="327"/>
      <c r="L3" s="327"/>
      <c r="M3" s="16"/>
    </row>
    <row r="4" spans="1:15">
      <c r="A4" s="327"/>
      <c r="B4" s="327"/>
      <c r="C4" s="327"/>
      <c r="D4" s="327"/>
      <c r="E4" s="327"/>
      <c r="F4" s="327"/>
      <c r="G4" s="327"/>
      <c r="H4" s="327"/>
      <c r="I4" s="327"/>
      <c r="J4" s="327"/>
      <c r="K4" s="327"/>
      <c r="L4" s="327"/>
      <c r="M4" s="16"/>
    </row>
    <row r="5" spans="1:15">
      <c r="A5" s="327"/>
      <c r="B5" s="327">
        <f>IS!B11</f>
        <v>0</v>
      </c>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5">
      <c r="A6" s="327"/>
      <c r="B6" s="327">
        <f>IS!B12</f>
        <v>0</v>
      </c>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5">
      <c r="A7" s="377" t="str">
        <f>IS!A13</f>
        <v>Income Statement</v>
      </c>
      <c r="B7" s="327"/>
      <c r="C7" s="1059" t="s">
        <v>447</v>
      </c>
      <c r="D7" s="327"/>
      <c r="E7" s="327"/>
      <c r="F7" s="327"/>
      <c r="G7" s="327"/>
      <c r="H7" s="327"/>
      <c r="I7" s="327"/>
      <c r="J7" s="327"/>
      <c r="K7" s="327"/>
      <c r="L7" s="327"/>
      <c r="M7" s="16"/>
    </row>
    <row r="8" spans="1:15">
      <c r="A8" s="377" t="str">
        <f>IS!A14</f>
        <v>Sales</v>
      </c>
      <c r="B8" s="327">
        <f>IF(ISNUMBER(IS!B14),IS!B14,0)</f>
        <v>24.402999999999999</v>
      </c>
      <c r="C8" s="327">
        <f>IF(ISNUMBER(IS!C14),IS!C14,0)</f>
        <v>17.094999999999999</v>
      </c>
      <c r="D8" s="327">
        <f>IF(ISNUMBER(IS!D14),IS!D14,0)</f>
        <v>47.006</v>
      </c>
      <c r="E8" s="327">
        <f>IF(ISNUMBER(IS!E14),IS!E14,0)</f>
        <v>44.441000000000003</v>
      </c>
      <c r="F8" s="327">
        <f>IF(ISNUMBER(IS!F14),IS!F14,0)</f>
        <v>41.234000000000002</v>
      </c>
      <c r="G8" s="327">
        <f>IF(ISNUMBER(IS!G14),IS!G14,0)</f>
        <v>39.601999999999997</v>
      </c>
      <c r="H8" s="327">
        <f>IF(ISNUMBER(IS!H14),IS!H14,0)</f>
        <v>40.506</v>
      </c>
      <c r="I8" s="327">
        <f>IF(ISNUMBER(IS!I14),IS!I14,0)</f>
        <v>40.204000000000001</v>
      </c>
      <c r="J8" s="327">
        <f>IF(ISNUMBER(IS!J14),IS!J14,0)</f>
        <v>37.637999999999998</v>
      </c>
      <c r="K8" s="327">
        <f>IF(ISNUMBER(IS!K14),IS!K14,0)</f>
        <v>36.695</v>
      </c>
      <c r="L8" s="327">
        <f>IF(ISNUMBER(IS!L14),IS!L14,0)</f>
        <v>35.115000000000002</v>
      </c>
      <c r="M8" s="16"/>
    </row>
    <row r="9" spans="1:15">
      <c r="A9" s="373" t="str">
        <f>IS!A15</f>
        <v>Cost of Goods Sold (COGS) incl. D&amp;A</v>
      </c>
      <c r="B9" s="379">
        <f>IF(ISNUMBER(IS!B15),IS!B15,0)</f>
        <v>27.09</v>
      </c>
      <c r="C9" s="1060">
        <f>IF(ISNUMBER(IS!C15),IS!C15,0)+'DAL-US R&amp;D'!C47+'DAL-US Lease'!C30</f>
        <v>23.631</v>
      </c>
      <c r="D9" s="379">
        <f>IF(ISNUMBER(IS!D15),IS!D15,0)+'DAL-US R&amp;D'!D47+'DAL-US Lease'!D30</f>
        <v>36.584000000000003</v>
      </c>
      <c r="E9" s="379">
        <f>IF(ISNUMBER(IS!E15),IS!E15,0)+'DAL-US R&amp;D'!E47+'DAL-US Lease'!E30</f>
        <v>35.51</v>
      </c>
      <c r="F9" s="379">
        <f>IF(ISNUMBER(IS!F15),IS!F15,0)+'DAL-US R&amp;D'!F47+'DAL-US Lease'!F30</f>
        <v>31.013000000000002</v>
      </c>
      <c r="G9" s="379">
        <f>IF(ISNUMBER(IS!G15),IS!G15,0)+'DAL-US R&amp;D'!G47+'DAL-US Lease'!G30</f>
        <v>28.625</v>
      </c>
      <c r="H9" s="379">
        <f>IF(ISNUMBER(IS!H15),IS!H15,0)+'DAL-US R&amp;D'!H47+'DAL-US Lease'!H30</f>
        <v>28.456</v>
      </c>
      <c r="I9" s="379">
        <f>IF(ISNUMBER(IS!I15),IS!I15,0)+'DAL-US R&amp;D'!I47+'DAL-US Lease'!I30</f>
        <v>31.943000000000001</v>
      </c>
      <c r="J9" s="379">
        <f>IF(ISNUMBER(IS!J15),IS!J15,0)+'DAL-US R&amp;D'!J47+'DAL-US Lease'!J30</f>
        <v>31.341000000000001</v>
      </c>
      <c r="K9" s="379">
        <f>IF(ISNUMBER(IS!K15),IS!K15,0)+'DAL-US R&amp;D'!K47+'DAL-US Lease'!K30</f>
        <v>30.795000000000002</v>
      </c>
      <c r="L9" s="379">
        <f>IF(ISNUMBER(IS!L15),IS!L15,0)+'DAL-US R&amp;D'!L47+'DAL-US Lease'!L30</f>
        <v>29.744</v>
      </c>
      <c r="M9" s="16"/>
    </row>
    <row r="10" spans="1:15">
      <c r="A10" s="373" t="str">
        <f>IS!A17</f>
        <v>SG&amp;A Expense</v>
      </c>
      <c r="B10" s="379">
        <f>IF(ISNUMBER(IS!B17),IS!B17,0)</f>
        <v>0.72399999999999998</v>
      </c>
      <c r="C10" s="1060">
        <f>IF(ISNUMBER(IS!C17),IS!C17,0)-'DAL-US R&amp;D'!C10-'DAL-US Lease'!C31</f>
        <v>0.58199999999999996</v>
      </c>
      <c r="D10" s="379">
        <f>IF(ISNUMBER(IS!D17),IS!D17,0)-'DAL-US R&amp;D'!D10-'DAL-US Lease'!D31</f>
        <v>1.9930000000000001</v>
      </c>
      <c r="E10" s="379">
        <f>IF(ISNUMBER(IS!E17),IS!E17,0)-'DAL-US R&amp;D'!E10-'DAL-US Lease'!E31</f>
        <v>1.9410000000000001</v>
      </c>
      <c r="F10" s="379">
        <f>IF(ISNUMBER(IS!F17),IS!F17,0)-'DAL-US R&amp;D'!F10-'DAL-US Lease'!F31</f>
        <v>1.7869999999999999</v>
      </c>
      <c r="G10" s="379">
        <f>IF(ISNUMBER(IS!G17),IS!G17,0)-'DAL-US R&amp;D'!G10-'DAL-US Lease'!G31</f>
        <v>1.71</v>
      </c>
      <c r="H10" s="379">
        <f>IF(ISNUMBER(IS!H17),IS!H17,0)-'DAL-US R&amp;D'!H10-'DAL-US Lease'!H31</f>
        <v>1.6719999999999999</v>
      </c>
      <c r="I10" s="379">
        <f>IF(ISNUMBER(IS!I17),IS!I17,0)-'DAL-US R&amp;D'!I10-'DAL-US Lease'!I31</f>
        <v>1.7</v>
      </c>
      <c r="J10" s="379">
        <f>IF(ISNUMBER(IS!J17),IS!J17,0)-'DAL-US R&amp;D'!J10-'DAL-US Lease'!J31</f>
        <v>1.603</v>
      </c>
      <c r="K10" s="379">
        <f>IF(ISNUMBER(IS!K17),IS!K17,0)-'DAL-US R&amp;D'!K10-'DAL-US Lease'!K31</f>
        <v>1.59</v>
      </c>
      <c r="L10" s="379">
        <f>IF(ISNUMBER(IS!L17),IS!L17,0)-'DAL-US R&amp;D'!L10-'DAL-US Lease'!L31</f>
        <v>1.6819999999999999</v>
      </c>
      <c r="M10" s="16"/>
      <c r="O10" s="16"/>
    </row>
    <row r="11" spans="1:15">
      <c r="A11" s="255" t="str">
        <f>IS!A18</f>
        <v>EBIT (Operating Income)</v>
      </c>
      <c r="B11" s="327"/>
      <c r="C11" s="380">
        <f t="shared" ref="C11:L11" si="0">C8-C9-C10</f>
        <v>-7.1180000000000012</v>
      </c>
      <c r="D11" s="380">
        <f t="shared" si="0"/>
        <v>8.4289999999999967</v>
      </c>
      <c r="E11" s="380">
        <f t="shared" si="0"/>
        <v>6.9900000000000047</v>
      </c>
      <c r="F11" s="380">
        <f t="shared" si="0"/>
        <v>8.4340000000000011</v>
      </c>
      <c r="G11" s="380">
        <f t="shared" si="0"/>
        <v>9.2669999999999959</v>
      </c>
      <c r="H11" s="380">
        <f t="shared" si="0"/>
        <v>10.378</v>
      </c>
      <c r="I11" s="380">
        <f t="shared" si="0"/>
        <v>6.5609999999999991</v>
      </c>
      <c r="J11" s="380">
        <f t="shared" si="0"/>
        <v>4.6939999999999973</v>
      </c>
      <c r="K11" s="380">
        <f t="shared" si="0"/>
        <v>4.3099999999999987</v>
      </c>
      <c r="L11" s="380">
        <f t="shared" si="0"/>
        <v>3.6890000000000023</v>
      </c>
      <c r="M11" s="16"/>
    </row>
    <row r="12" spans="1:15">
      <c r="A12" s="259" t="str">
        <f>IS!A20</f>
        <v>Interest Expense</v>
      </c>
      <c r="B12" s="327"/>
      <c r="C12" s="327">
        <f>IF(ISNUMBER(IS!C20),IS!C20,0)</f>
        <v>0.92900000000000005</v>
      </c>
      <c r="D12" s="327">
        <f>IF(ISNUMBER(IS!D20),IS!D20,0)</f>
        <v>0.30099999999999999</v>
      </c>
      <c r="E12" s="327">
        <f>IF(ISNUMBER(IS!E20),IS!E20,0)</f>
        <v>0.311</v>
      </c>
      <c r="F12" s="327">
        <f>IF(ISNUMBER(IS!F20),IS!F20,0)</f>
        <v>0.39600000000000002</v>
      </c>
      <c r="G12" s="327">
        <f>IF(ISNUMBER(IS!G20),IS!G20,0)</f>
        <v>0.38800000000000001</v>
      </c>
      <c r="H12" s="327">
        <f>IF(ISNUMBER(IS!H20),IS!H20,0)</f>
        <v>0.48099999999999998</v>
      </c>
      <c r="I12" s="327">
        <f>IF(ISNUMBER(IS!I20),IS!I20,0)</f>
        <v>0.61899999999999999</v>
      </c>
      <c r="J12" s="327">
        <f>IF(ISNUMBER(IS!J20),IS!J20,0)</f>
        <v>0.85199999999999998</v>
      </c>
      <c r="K12" s="327">
        <f>IF(ISNUMBER(IS!K20),IS!K20,0)</f>
        <v>1</v>
      </c>
      <c r="L12" s="327">
        <f>IF(ISNUMBER(IS!L20),IS!L20,0)</f>
        <v>1.0940000000000001</v>
      </c>
      <c r="M12" s="16"/>
    </row>
    <row r="13" spans="1:15">
      <c r="A13" s="259" t="str">
        <f>IS!A22&amp;" (at marginal tax rate)"</f>
        <v>Income Taxes (at marginal tax rate)</v>
      </c>
      <c r="B13" s="327"/>
      <c r="C13" s="327">
        <f>C20*('DAL-US IS-adj'!C11-'DAL-US IS-adj'!C12)</f>
        <v>-2.3336299999999999</v>
      </c>
      <c r="D13" s="327">
        <f>D20*('DAL-US IS-adj'!D11-'DAL-US IS-adj'!D12)</f>
        <v>2.3571199999999988</v>
      </c>
      <c r="E13" s="327">
        <f>E20*('DAL-US IS-adj'!E11-'DAL-US IS-adj'!E12)</f>
        <v>1.9369100000000012</v>
      </c>
      <c r="F13" s="327">
        <f>F20*('DAL-US IS-adj'!F11-'DAL-US IS-adj'!F12)</f>
        <v>2.3310200000000001</v>
      </c>
      <c r="G13" s="327">
        <f>G20*('DAL-US IS-adj'!G11-'DAL-US IS-adj'!G12)</f>
        <v>2.5749099999999987</v>
      </c>
      <c r="H13" s="327">
        <f>H20*('DAL-US IS-adj'!H11-'DAL-US IS-adj'!H12)</f>
        <v>2.8701300000000001</v>
      </c>
      <c r="I13" s="327">
        <f>I20*('DAL-US IS-adj'!I11-'DAL-US IS-adj'!I12)</f>
        <v>1.7231799999999997</v>
      </c>
      <c r="J13" s="327">
        <f>J20*('DAL-US IS-adj'!J11-'DAL-US IS-adj'!J12)</f>
        <v>1.1141799999999993</v>
      </c>
      <c r="K13" s="327">
        <f>K20*('DAL-US IS-adj'!K11-'DAL-US IS-adj'!K12)</f>
        <v>0.95989999999999953</v>
      </c>
      <c r="L13" s="327">
        <f>L20*('DAL-US IS-adj'!L11-'DAL-US IS-adj'!L12)</f>
        <v>0.75255000000000061</v>
      </c>
      <c r="M13" s="16"/>
    </row>
    <row r="14" spans="1:15" s="17" customFormat="1">
      <c r="A14" s="255" t="s">
        <v>461</v>
      </c>
      <c r="B14" s="380"/>
      <c r="C14" s="380">
        <f>C11-C12-C13</f>
        <v>-5.7133700000000012</v>
      </c>
      <c r="D14" s="380">
        <f t="shared" ref="D14:L14" si="1">D11-D12-D13</f>
        <v>5.7708799999999982</v>
      </c>
      <c r="E14" s="380">
        <f t="shared" si="1"/>
        <v>4.7420900000000037</v>
      </c>
      <c r="F14" s="380">
        <f t="shared" si="1"/>
        <v>5.7069799999999997</v>
      </c>
      <c r="G14" s="380">
        <f t="shared" si="1"/>
        <v>6.3040899999999969</v>
      </c>
      <c r="H14" s="380">
        <f t="shared" si="1"/>
        <v>7.0268700000000006</v>
      </c>
      <c r="I14" s="380">
        <f t="shared" si="1"/>
        <v>4.2188199999999991</v>
      </c>
      <c r="J14" s="380">
        <f t="shared" si="1"/>
        <v>2.7278199999999981</v>
      </c>
      <c r="K14" s="380">
        <f t="shared" si="1"/>
        <v>2.3500999999999994</v>
      </c>
      <c r="L14" s="380">
        <f t="shared" si="1"/>
        <v>1.8424500000000017</v>
      </c>
      <c r="M14" s="18"/>
    </row>
    <row r="15" spans="1:15">
      <c r="A15" s="373" t="str">
        <f>IS!A19</f>
        <v>Nonoperating Income - Net</v>
      </c>
      <c r="B15" s="379"/>
      <c r="C15" s="379">
        <f>IF(ISNUMBER(IS!C19),IS!C19,0)</f>
        <v>0.27400000000000002</v>
      </c>
      <c r="D15" s="379">
        <f>IF(ISNUMBER(IS!D19),IS!D19,0)</f>
        <v>-0.128</v>
      </c>
      <c r="E15" s="379">
        <f>IF(ISNUMBER(IS!E19),IS!E19,0)</f>
        <v>0.18099999999999999</v>
      </c>
      <c r="F15" s="379">
        <f>IF(ISNUMBER(IS!F19),IS!F19,0)</f>
        <v>-7.0000000000000001E-3</v>
      </c>
      <c r="G15" s="379">
        <f>IF(ISNUMBER(IS!G19),IS!G19,0)</f>
        <v>-6.0000000000000001E-3</v>
      </c>
      <c r="H15" s="379">
        <f>IF(ISNUMBER(IS!H19),IS!H19,0)</f>
        <v>8.0000000000000002E-3</v>
      </c>
      <c r="I15" s="379">
        <f>IF(ISNUMBER(IS!I19),IS!I19,0)</f>
        <v>4.4999999999999998E-2</v>
      </c>
      <c r="J15" s="379">
        <f>IF(ISNUMBER(IS!J19),IS!J19,0)</f>
        <v>0.114</v>
      </c>
      <c r="K15" s="379">
        <f>IF(ISNUMBER(IS!K19),IS!K19,0)</f>
        <v>-4.2000000000000003E-2</v>
      </c>
      <c r="L15" s="379">
        <f>IF(ISNUMBER(IS!L19),IS!L19,0)</f>
        <v>-1E-3</v>
      </c>
      <c r="M15" s="16"/>
    </row>
    <row r="16" spans="1:15">
      <c r="A16" s="373" t="str">
        <f>IS!A21</f>
        <v>Unusual Expense - Net</v>
      </c>
      <c r="B16" s="379"/>
      <c r="C16" s="379">
        <f>IF(ISNUMBER(IS!C21),IS!C21,0)</f>
        <v>6.6509999999999998</v>
      </c>
      <c r="D16" s="379">
        <f>IF(ISNUMBER(IS!D21),IS!D21,0)</f>
        <v>3.1E-2</v>
      </c>
      <c r="E16" s="379">
        <f>IF(ISNUMBER(IS!E21),IS!E21,0)</f>
        <v>-1.4E-2</v>
      </c>
      <c r="F16" s="379">
        <f>IF(ISNUMBER(IS!F21),IS!F21,0)</f>
        <v>8.1000000000000003E-2</v>
      </c>
      <c r="G16" s="379">
        <f>IF(ISNUMBER(IS!G21),IS!G21,0)</f>
        <v>0.251</v>
      </c>
      <c r="H16" s="379">
        <f>IF(ISNUMBER(IS!H21),IS!H21,0)</f>
        <v>0.75</v>
      </c>
      <c r="I16" s="379">
        <f>IF(ISNUMBER(IS!I21),IS!I21,0)</f>
        <v>3.1179999999999999</v>
      </c>
      <c r="J16" s="379">
        <f>IF(ISNUMBER(IS!J21),IS!J21,0)</f>
        <v>-9.0999999999999998E-2</v>
      </c>
      <c r="K16" s="379">
        <f>IF(ISNUMBER(IS!K21),IS!K21,0)</f>
        <v>0.65100000000000002</v>
      </c>
      <c r="L16" s="379">
        <f>IF(ISNUMBER(IS!L21),IS!L21,0)</f>
        <v>-6.7000000000000004E-2</v>
      </c>
      <c r="M16" s="16"/>
    </row>
    <row r="17" spans="1:13">
      <c r="A17" s="259" t="s">
        <v>462</v>
      </c>
      <c r="B17" s="259"/>
      <c r="C17" s="327">
        <f>(C15-C16)*C20</f>
        <v>-1.8493299999999999</v>
      </c>
      <c r="D17" s="327">
        <f t="shared" ref="D17:L17" si="2">(D15-D16)*D20</f>
        <v>-4.6109999999999998E-2</v>
      </c>
      <c r="E17" s="327">
        <f t="shared" si="2"/>
        <v>5.6549999999999996E-2</v>
      </c>
      <c r="F17" s="327">
        <f t="shared" si="2"/>
        <v>-2.5520000000000001E-2</v>
      </c>
      <c r="G17" s="327">
        <f t="shared" si="2"/>
        <v>-7.4529999999999999E-2</v>
      </c>
      <c r="H17" s="327">
        <f t="shared" si="2"/>
        <v>-0.21517999999999998</v>
      </c>
      <c r="I17" s="327">
        <f t="shared" si="2"/>
        <v>-0.89116999999999991</v>
      </c>
      <c r="J17" s="327">
        <f t="shared" si="2"/>
        <v>5.9450000000000003E-2</v>
      </c>
      <c r="K17" s="327">
        <f t="shared" si="2"/>
        <v>-0.20097000000000001</v>
      </c>
      <c r="L17" s="327">
        <f t="shared" si="2"/>
        <v>1.9140000000000001E-2</v>
      </c>
      <c r="M17" s="16"/>
    </row>
    <row r="18" spans="1:13" s="17" customFormat="1">
      <c r="A18" s="255" t="s">
        <v>463</v>
      </c>
      <c r="B18" s="380"/>
      <c r="C18" s="380">
        <f>C14+C15-C16-C17</f>
        <v>-10.24104</v>
      </c>
      <c r="D18" s="380">
        <f t="shared" ref="D18:L18" si="3">D14+D15-D16-D17</f>
        <v>5.6579899999999981</v>
      </c>
      <c r="E18" s="380">
        <f t="shared" si="3"/>
        <v>4.8805400000000043</v>
      </c>
      <c r="F18" s="380">
        <f t="shared" si="3"/>
        <v>5.6444999999999999</v>
      </c>
      <c r="G18" s="380">
        <f t="shared" si="3"/>
        <v>6.1216199999999965</v>
      </c>
      <c r="H18" s="380">
        <f t="shared" si="3"/>
        <v>6.5000500000000008</v>
      </c>
      <c r="I18" s="380">
        <f t="shared" si="3"/>
        <v>2.036989999999999</v>
      </c>
      <c r="J18" s="380">
        <f t="shared" si="3"/>
        <v>2.8733699999999982</v>
      </c>
      <c r="K18" s="380">
        <f t="shared" si="3"/>
        <v>1.8580699999999997</v>
      </c>
      <c r="L18" s="380">
        <f t="shared" si="3"/>
        <v>1.8893100000000018</v>
      </c>
      <c r="M18" s="18"/>
    </row>
    <row r="19" spans="1:13">
      <c r="A19" s="677" t="s">
        <v>464</v>
      </c>
      <c r="B19" s="473"/>
      <c r="C19" s="473">
        <f>IS!C22/(IS!C18+IS!C19-IF(ISNUMBER(IS!C20),IS!C20,0)-IF(ISNUMBER(IS!C21),IS!C21,0))</f>
        <v>0.20542759992301274</v>
      </c>
      <c r="D19" s="473">
        <f>IS!D22/(IS!D18+IS!D19-IS!D20-IF(ISNUMBER(IS!D21),IS!D21,0))</f>
        <v>0.2308809293320426</v>
      </c>
      <c r="E19" s="473">
        <f>IS!E22/(IS!E18+IS!E19-IS!E20-IF(ISNUMBER(IS!E21),IS!E21,0))</f>
        <v>0.23607066589011838</v>
      </c>
      <c r="F19" s="473">
        <f>IS!F22/(IS!F18+IS!F19-IS!F20-IF(ISNUMBER(IS!F21),IS!F21,0))</f>
        <v>0.37256621645325388</v>
      </c>
      <c r="G19" s="473">
        <f>IS!G22/(IS!G18+IS!G19-IS!G20-IF(ISNUMBER(IS!G21),IS!G21,0))</f>
        <v>0.34101868595539486</v>
      </c>
      <c r="H19" s="473">
        <f>IS!H22/(IS!H18+IS!H19-IS!H20-IF(ISNUMBER(IS!H21),IS!H21,0))</f>
        <v>0.36761212798658655</v>
      </c>
      <c r="I19" s="473">
        <f>IS!I22/(IS!I18+IS!I19-IS!I20-IF(ISNUMBER(IS!I21),IS!I21,0))</f>
        <v>0.38526119402985054</v>
      </c>
      <c r="J19" s="473">
        <f>IS!J22/(IS!J18+IS!J19-IS!J20-IF(ISNUMBER(IS!J21),IS!J21,0))</f>
        <v>-3.1709537000395724</v>
      </c>
      <c r="K19" s="473">
        <f>IS!K22/(IS!K18+IS!K19-IS!K20-IF(ISNUMBER(IS!K21),IS!K21,0))</f>
        <v>1.5609756097560974E-2</v>
      </c>
      <c r="L19" s="473">
        <f>IS!L22/(IS!L18+IS!L19-IS!L20-IF(ISNUMBER(IS!L21),IS!L21,0))</f>
        <v>-0.11053315994798442</v>
      </c>
      <c r="M19" s="16"/>
    </row>
    <row r="20" spans="1:13">
      <c r="A20" s="382" t="s">
        <v>465</v>
      </c>
      <c r="B20" s="383"/>
      <c r="C20" s="1109">
        <f>'DAL-US R&amp;D'!$B5</f>
        <v>0.28999999999999998</v>
      </c>
      <c r="D20" s="1109">
        <f>'DAL-US R&amp;D'!$B5</f>
        <v>0.28999999999999998</v>
      </c>
      <c r="E20" s="1109">
        <f>'DAL-US R&amp;D'!$B5</f>
        <v>0.28999999999999998</v>
      </c>
      <c r="F20" s="1109">
        <f>'DAL-US R&amp;D'!$B5</f>
        <v>0.28999999999999998</v>
      </c>
      <c r="G20" s="1109">
        <f>'DAL-US R&amp;D'!$B5</f>
        <v>0.28999999999999998</v>
      </c>
      <c r="H20" s="1109">
        <f>'DAL-US R&amp;D'!$B5</f>
        <v>0.28999999999999998</v>
      </c>
      <c r="I20" s="1109">
        <f>'DAL-US R&amp;D'!$B5</f>
        <v>0.28999999999999998</v>
      </c>
      <c r="J20" s="1109">
        <f>'DAL-US R&amp;D'!$B5</f>
        <v>0.28999999999999998</v>
      </c>
      <c r="K20" s="1109">
        <f>'DAL-US R&amp;D'!$B5</f>
        <v>0.28999999999999998</v>
      </c>
      <c r="L20" s="1109">
        <f>'DAL-US R&amp;D'!$B5</f>
        <v>0.28999999999999998</v>
      </c>
      <c r="M20" s="16"/>
    </row>
    <row r="21" spans="1:13">
      <c r="A21" s="255" t="str">
        <f>IS!A31</f>
        <v>EBITDA</v>
      </c>
      <c r="B21" s="327"/>
      <c r="C21" s="491" cm="1">
        <f t="array" ref="C21">_xll.FDS($B2,"FF_EBITDA_OPER(ANN_R,"&amp;'AAL-US IS-adj'!C5&amp;",,,,,B)")</f>
        <v>-5.9690000000000003</v>
      </c>
      <c r="D21" s="491" cm="1">
        <f t="array" ref="D21">_xll.FDS($B2,"FF_EBITDA_OPER(ANN_R,"&amp;'AAL-US IS-adj'!D5&amp;",,,,,B)")</f>
        <v>9.2390000000000008</v>
      </c>
      <c r="E21" s="491" cm="1">
        <f t="array" ref="E21">_xll.FDS($B2,"FF_EBITDA_OPER(ANN_R,"&amp;'AAL-US IS-adj'!E5&amp;",,,,,B)")</f>
        <v>7.5960000000000001</v>
      </c>
      <c r="F21" s="491" cm="1">
        <f t="array" ref="F21">_xll.FDS($B2,"FF_EBITDA_OPER(ANN_R,"&amp;'AAL-US IS-adj'!F5&amp;",,,,,B)")</f>
        <v>8.2590000000000003</v>
      </c>
      <c r="G21" s="491" cm="1">
        <f t="array" ref="G21">_xll.FDS($B2,"FF_EBITDA_OPER(ANN_R,"&amp;'AAL-US IS-adj'!G5&amp;",,,,,B)")</f>
        <v>9.1829999999999998</v>
      </c>
      <c r="H21" s="491" cm="1">
        <f t="array" ref="H21">_xll.FDS($B2,"FF_EBITDA_OPER(ANN_R,"&amp;'AAL-US IS-adj'!H5&amp;",,,,,B)")</f>
        <v>10.215</v>
      </c>
      <c r="I21" s="491" cm="1">
        <f t="array" ref="I21">_xll.FDS($B2,"FF_EBITDA_OPER(ANN_R,"&amp;'AAL-US IS-adj'!I5&amp;",,,,,B)")</f>
        <v>6.5350000000000001</v>
      </c>
      <c r="J21" s="491" cm="1">
        <f t="array" ref="J21">_xll.FDS($B2,"FF_EBITDA_OPER(ANN_R,"&amp;'AAL-US IS-adj'!J5&amp;",,,,,B)")</f>
        <v>4.8319999999999999</v>
      </c>
      <c r="K21" s="491" cm="1">
        <f t="array" ref="K21">_xll.FDS($B2,"FF_EBITDA_OPER(ANN_R,"&amp;'AAL-US IS-adj'!K5&amp;",,,,,B)")</f>
        <v>4.2830000000000004</v>
      </c>
      <c r="L21" s="491" cm="1">
        <f t="array" ref="L21">_xll.FDS($B2,"FF_EBITDA_OPER(ANN_R,"&amp;'AAL-US IS-adj'!L5&amp;",,,,,B)")</f>
        <v>3.32</v>
      </c>
      <c r="M21" s="16"/>
    </row>
    <row r="22" spans="1:13">
      <c r="A22" s="255" t="s">
        <v>466</v>
      </c>
      <c r="B22" s="380"/>
      <c r="C22" s="380">
        <f>SUM(C11,'DAL-US CFS-adj'!C10:C12)</f>
        <v>-4.8060000000000009</v>
      </c>
      <c r="D22" s="380">
        <f>SUM(D11,'DAL-US CFS-adj'!D10:D12)</f>
        <v>11.009999999999996</v>
      </c>
      <c r="E22" s="380">
        <f>SUM(E11,'DAL-US CFS-adj'!E10:E12)</f>
        <v>9.3190000000000044</v>
      </c>
      <c r="F22" s="380">
        <f>SUM(F11,'DAL-US CFS-adj'!F10:F12)</f>
        <v>10.669</v>
      </c>
      <c r="G22" s="380">
        <f>SUM(G11,'DAL-US CFS-adj'!G10:G12)</f>
        <v>11.168999999999995</v>
      </c>
      <c r="H22" s="380">
        <f>SUM(H11,'DAL-US CFS-adj'!H10:H12)</f>
        <v>12.213000000000001</v>
      </c>
      <c r="I22" s="380">
        <f>SUM(I11,'DAL-US CFS-adj'!I10:I12)</f>
        <v>8.331999999999999</v>
      </c>
      <c r="J22" s="380">
        <f>SUM(J11,'DAL-US CFS-adj'!J10:J12)</f>
        <v>6.3519999999999968</v>
      </c>
      <c r="K22" s="380">
        <f>SUM(K11,'DAL-US CFS-adj'!K10:K12)</f>
        <v>5.8749999999999982</v>
      </c>
      <c r="L22" s="380">
        <f>SUM(L11,'DAL-US CFS-adj'!L10:L12)</f>
        <v>5.2120000000000024</v>
      </c>
      <c r="M22" s="16"/>
    </row>
    <row r="23" spans="1:13">
      <c r="A23" s="259"/>
      <c r="B23" s="327"/>
      <c r="C23" s="327"/>
      <c r="D23" s="327"/>
      <c r="E23" s="327"/>
      <c r="F23" s="327"/>
      <c r="G23" s="327"/>
      <c r="H23" s="327"/>
      <c r="I23" s="327"/>
      <c r="J23" s="327"/>
      <c r="K23" s="327"/>
      <c r="L23" s="327"/>
      <c r="M23" s="16"/>
    </row>
    <row r="24" spans="1:13">
      <c r="A24" s="385" t="str">
        <f>IS!A58</f>
        <v>Shs Outstanding (M) - Basic</v>
      </c>
      <c r="B24" s="327"/>
      <c r="C24" s="386">
        <f>IS!C58</f>
        <v>636</v>
      </c>
      <c r="D24" s="386">
        <f>IS!D58</f>
        <v>651</v>
      </c>
      <c r="E24" s="386">
        <f>IS!E58</f>
        <v>691</v>
      </c>
      <c r="F24" s="386">
        <f>IS!F58</f>
        <v>720</v>
      </c>
      <c r="G24" s="386">
        <f>IS!G58</f>
        <v>751</v>
      </c>
      <c r="H24" s="386">
        <f>IS!H58</f>
        <v>797</v>
      </c>
      <c r="I24" s="386">
        <f>IS!I58</f>
        <v>836</v>
      </c>
      <c r="J24" s="386">
        <f>IS!J58</f>
        <v>849</v>
      </c>
      <c r="K24" s="386">
        <f>IS!K58</f>
        <v>845</v>
      </c>
      <c r="L24" s="386">
        <f>IS!L58</f>
        <v>838</v>
      </c>
      <c r="M24" s="16"/>
    </row>
    <row r="25" spans="1:13">
      <c r="A25" s="259" t="s">
        <v>467</v>
      </c>
      <c r="B25" s="327"/>
      <c r="C25" s="327">
        <f t="shared" ref="C25:L25" si="4">C11/C8</f>
        <v>-0.41637905820415338</v>
      </c>
      <c r="D25" s="327">
        <f t="shared" si="4"/>
        <v>0.17931753393183841</v>
      </c>
      <c r="E25" s="327">
        <f t="shared" si="4"/>
        <v>0.15728718975720629</v>
      </c>
      <c r="F25" s="327">
        <f t="shared" si="4"/>
        <v>0.20453994276567883</v>
      </c>
      <c r="G25" s="327">
        <f t="shared" si="4"/>
        <v>0.23400333316499158</v>
      </c>
      <c r="H25" s="327">
        <f t="shared" si="4"/>
        <v>0.25620895669777316</v>
      </c>
      <c r="I25" s="327">
        <f t="shared" si="4"/>
        <v>0.16319271714257286</v>
      </c>
      <c r="J25" s="327">
        <f t="shared" si="4"/>
        <v>0.12471438439874588</v>
      </c>
      <c r="K25" s="327">
        <f t="shared" si="4"/>
        <v>0.11745469410001359</v>
      </c>
      <c r="L25" s="327">
        <f t="shared" si="4"/>
        <v>0.10505481987754527</v>
      </c>
      <c r="M25" s="16"/>
    </row>
    <row r="26" spans="1:13">
      <c r="A26" s="259"/>
      <c r="B26" s="327"/>
      <c r="C26" s="387"/>
      <c r="D26" s="327"/>
      <c r="E26" s="327"/>
      <c r="F26" s="327"/>
      <c r="G26" s="327"/>
      <c r="H26" s="327"/>
      <c r="I26" s="327"/>
      <c r="J26" s="327"/>
      <c r="K26" s="327"/>
      <c r="L26" s="327"/>
      <c r="M26" s="16"/>
    </row>
    <row r="27" spans="1:13">
      <c r="A27" s="259"/>
      <c r="B27" s="327"/>
      <c r="C27" s="387"/>
      <c r="D27" s="327"/>
      <c r="E27" s="327"/>
      <c r="F27" s="327"/>
      <c r="G27" s="327"/>
      <c r="H27" s="327"/>
      <c r="I27" s="327"/>
      <c r="J27" s="327"/>
      <c r="K27" s="327"/>
      <c r="L27" s="327"/>
      <c r="M27" s="16"/>
    </row>
    <row r="28" spans="1:13">
      <c r="A28" s="259"/>
      <c r="B28" s="327"/>
      <c r="C28" s="387"/>
      <c r="D28" s="327"/>
      <c r="E28" s="327"/>
      <c r="F28" s="327"/>
      <c r="G28" s="327"/>
      <c r="H28" s="327"/>
      <c r="I28" s="327"/>
      <c r="J28" s="327"/>
      <c r="K28" s="327"/>
      <c r="L28" s="327"/>
      <c r="M28" s="16"/>
    </row>
    <row r="29" spans="1:13">
      <c r="A29" s="259"/>
      <c r="B29" s="327"/>
      <c r="C29" s="387"/>
      <c r="D29" s="327"/>
      <c r="E29" s="327"/>
      <c r="F29" s="327"/>
      <c r="G29" s="327"/>
      <c r="H29" s="327"/>
      <c r="I29" s="327"/>
      <c r="J29" s="327"/>
      <c r="K29" s="327"/>
      <c r="L29" s="327"/>
      <c r="M29" s="16"/>
    </row>
    <row r="30" spans="1:13">
      <c r="A30" s="259"/>
      <c r="B30" s="327"/>
      <c r="C30" s="387"/>
      <c r="D30" s="327"/>
      <c r="E30" s="327"/>
      <c r="F30" s="327"/>
      <c r="G30" s="327"/>
      <c r="H30" s="327"/>
      <c r="I30" s="327"/>
      <c r="J30" s="327"/>
      <c r="K30" s="327"/>
      <c r="L30" s="327"/>
      <c r="M30" s="16"/>
    </row>
    <row r="31" spans="1:13">
      <c r="A31" s="259"/>
      <c r="B31" s="327"/>
      <c r="C31" s="327"/>
      <c r="D31" s="327"/>
      <c r="E31" s="327"/>
      <c r="F31" s="327"/>
      <c r="G31" s="327"/>
      <c r="H31" s="327"/>
      <c r="I31" s="327"/>
      <c r="J31" s="327"/>
      <c r="K31" s="327"/>
      <c r="L31" s="327"/>
      <c r="M31" s="16"/>
    </row>
    <row r="32" spans="1:13">
      <c r="A32" s="255"/>
      <c r="B32" s="327"/>
      <c r="C32" s="327"/>
      <c r="D32" s="327"/>
      <c r="E32" s="327"/>
      <c r="F32" s="327"/>
      <c r="G32" s="327"/>
      <c r="H32" s="327"/>
      <c r="I32" s="327"/>
      <c r="J32" s="327"/>
      <c r="K32" s="327"/>
      <c r="L32" s="327"/>
      <c r="M32" s="16"/>
    </row>
    <row r="33" spans="1:13">
      <c r="A33" s="259"/>
      <c r="B33" s="327"/>
      <c r="C33" s="327"/>
      <c r="D33" s="327"/>
      <c r="E33" s="327"/>
      <c r="F33" s="327"/>
      <c r="G33" s="327"/>
      <c r="H33" s="327"/>
      <c r="I33" s="327"/>
      <c r="J33" s="327"/>
      <c r="K33" s="327"/>
      <c r="L33" s="327"/>
      <c r="M33" s="16"/>
    </row>
    <row r="34" spans="1:13">
      <c r="A34" s="259"/>
      <c r="B34" s="327"/>
      <c r="C34" s="327"/>
      <c r="D34" s="327"/>
      <c r="E34" s="327"/>
      <c r="F34" s="327"/>
      <c r="G34" s="327"/>
      <c r="H34" s="327"/>
      <c r="I34" s="327"/>
      <c r="J34" s="327"/>
      <c r="K34" s="327"/>
      <c r="L34" s="327"/>
      <c r="M34" s="16"/>
    </row>
    <row r="35" spans="1:13">
      <c r="A35" s="259"/>
      <c r="B35" s="327"/>
      <c r="C35" s="327"/>
      <c r="D35" s="327"/>
      <c r="E35" s="327"/>
      <c r="F35" s="327"/>
      <c r="G35" s="327"/>
      <c r="H35" s="327"/>
      <c r="I35" s="327"/>
      <c r="J35" s="327"/>
      <c r="K35" s="327"/>
      <c r="L35" s="327"/>
      <c r="M35" s="16"/>
    </row>
    <row r="36" spans="1:13">
      <c r="A36" s="259"/>
      <c r="B36" s="327"/>
      <c r="C36" s="327"/>
      <c r="D36" s="327"/>
      <c r="E36" s="327"/>
      <c r="F36" s="327"/>
      <c r="G36" s="327"/>
      <c r="H36" s="327"/>
      <c r="I36" s="327"/>
      <c r="J36" s="327"/>
      <c r="K36" s="327"/>
      <c r="L36" s="327"/>
      <c r="M36" s="16"/>
    </row>
    <row r="37" spans="1:13">
      <c r="A37" s="259"/>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5"/>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9"/>
      <c r="B44" s="327"/>
      <c r="C44" s="327"/>
      <c r="D44" s="327"/>
      <c r="E44" s="327"/>
      <c r="F44" s="327"/>
      <c r="G44" s="327"/>
      <c r="H44" s="327"/>
      <c r="I44" s="327"/>
      <c r="J44" s="327"/>
      <c r="K44" s="327"/>
      <c r="L44" s="327"/>
      <c r="M44" s="16"/>
    </row>
    <row r="45" spans="1:13">
      <c r="A45" s="259"/>
      <c r="B45" s="327"/>
      <c r="C45" s="327"/>
      <c r="D45" s="327"/>
      <c r="E45" s="327"/>
      <c r="F45" s="327"/>
      <c r="G45" s="327"/>
      <c r="H45" s="327"/>
      <c r="I45" s="327"/>
      <c r="J45" s="327"/>
      <c r="K45" s="327"/>
      <c r="L45" s="327"/>
      <c r="M45" s="16"/>
    </row>
    <row r="46" spans="1:13">
      <c r="A46" s="252"/>
      <c r="B46" s="327"/>
      <c r="C46" s="327"/>
      <c r="D46" s="327"/>
      <c r="E46" s="327"/>
      <c r="F46" s="327"/>
      <c r="G46" s="327"/>
      <c r="H46" s="327"/>
      <c r="I46" s="327"/>
      <c r="J46" s="327"/>
      <c r="K46" s="327"/>
      <c r="L46" s="327"/>
      <c r="M46" s="16"/>
    </row>
    <row r="48" spans="1:13">
      <c r="A48" s="327"/>
    </row>
    <row r="49" spans="1:1">
      <c r="A49" s="327"/>
    </row>
    <row r="50" spans="1:1">
      <c r="A50" s="327"/>
    </row>
    <row r="51" spans="1:1">
      <c r="A51" s="327"/>
    </row>
    <row r="52" spans="1:1">
      <c r="A52" s="327"/>
    </row>
    <row r="53" spans="1:1">
      <c r="A53" s="327"/>
    </row>
    <row r="54" spans="1:1">
      <c r="A54" s="327"/>
    </row>
    <row r="55" spans="1:1">
      <c r="A55" s="327"/>
    </row>
    <row r="56" spans="1:1">
      <c r="A56" s="327"/>
    </row>
    <row r="57" spans="1:1">
      <c r="A57" s="327"/>
    </row>
    <row r="58" spans="1:1">
      <c r="A58" s="327"/>
    </row>
    <row r="59" spans="1:1">
      <c r="A59" s="327"/>
    </row>
    <row r="60" spans="1:1">
      <c r="A60" s="327"/>
    </row>
    <row r="61" spans="1:1">
      <c r="A61" s="327"/>
    </row>
    <row r="62" spans="1:1">
      <c r="A62" s="327"/>
    </row>
    <row r="63" spans="1:1">
      <c r="A63" s="327"/>
    </row>
    <row r="64" spans="1:1">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sheetData>
  <pageMargins left="0.7" right="0.7" top="0.78740157499999996" bottom="0.78740157499999996"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40848-4C6B-476D-AC20-2977BCDF3CC9}">
  <sheetPr>
    <tabColor theme="2" tint="-0.499984740745262"/>
  </sheetPr>
  <dimension ref="A1:N157"/>
  <sheetViews>
    <sheetView workbookViewId="0">
      <selection activeCell="C21" sqref="C21"/>
    </sheetView>
  </sheetViews>
  <sheetFormatPr defaultColWidth="11.28515625" defaultRowHeight="15"/>
  <cols>
    <col min="1" max="1" width="32.7109375" style="3" customWidth="1"/>
    <col min="2" max="2" width="7.42578125" style="3" customWidth="1"/>
    <col min="3" max="12" width="11.28515625" style="3"/>
  </cols>
  <sheetData>
    <row r="1" spans="1:14" s="340" customFormat="1" ht="26.1" customHeight="1">
      <c r="A1" s="371" t="s">
        <v>460</v>
      </c>
    </row>
    <row r="2" spans="1:14">
      <c r="A2" s="327" t="str">
        <f>IS!A8</f>
        <v>Ticker</v>
      </c>
      <c r="B2" s="327" t="str">
        <f>'Industry Ratios'!E3</f>
        <v>AC-CA</v>
      </c>
      <c r="C2" s="327"/>
      <c r="D2" s="327"/>
      <c r="E2" s="327"/>
      <c r="F2" s="327"/>
      <c r="G2" s="327"/>
      <c r="H2" s="327"/>
      <c r="I2" s="327"/>
      <c r="J2" s="327"/>
      <c r="K2" s="327"/>
      <c r="L2" s="327"/>
      <c r="M2" s="16"/>
    </row>
    <row r="3" spans="1:14">
      <c r="A3" s="327"/>
      <c r="B3" s="327"/>
      <c r="C3" s="1055" t="s">
        <v>355</v>
      </c>
      <c r="D3" s="327"/>
      <c r="E3" s="327"/>
      <c r="F3" s="327"/>
      <c r="G3" s="327"/>
      <c r="H3" s="327"/>
      <c r="I3" s="327"/>
      <c r="J3" s="327"/>
      <c r="K3" s="327"/>
      <c r="L3" s="327"/>
      <c r="M3" s="16"/>
    </row>
    <row r="4" spans="1:14">
      <c r="A4" s="327"/>
      <c r="B4" s="327"/>
      <c r="C4" s="327"/>
      <c r="D4" s="327"/>
      <c r="E4" s="327"/>
      <c r="F4" s="327"/>
      <c r="G4" s="327"/>
      <c r="H4" s="327"/>
      <c r="I4" s="327"/>
      <c r="J4" s="327"/>
      <c r="K4" s="327"/>
      <c r="L4" s="327"/>
      <c r="M4" s="16"/>
    </row>
    <row r="5" spans="1:14">
      <c r="A5" s="327"/>
      <c r="B5" s="327"/>
      <c r="C5" s="491"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4">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4">
      <c r="A7" s="377" t="str">
        <f>IS!A13</f>
        <v>Income Statement</v>
      </c>
      <c r="B7" s="327"/>
      <c r="C7" s="1059" t="s">
        <v>447</v>
      </c>
      <c r="D7" s="327"/>
      <c r="E7" s="327"/>
      <c r="F7" s="327"/>
      <c r="G7" s="327"/>
      <c r="H7" s="327"/>
      <c r="I7" s="327"/>
      <c r="J7" s="327"/>
      <c r="K7" s="327"/>
      <c r="L7" s="327"/>
      <c r="M7" s="16"/>
    </row>
    <row r="8" spans="1:14">
      <c r="A8" s="377" t="str">
        <f>IS!A14</f>
        <v>Sales</v>
      </c>
      <c r="B8" s="327"/>
      <c r="C8" s="491" cm="1">
        <f t="array" ref="C8">_xll.FDS($B2,"FF_SALES(ANN_R,"&amp;C5&amp;",,,,,B)")</f>
        <v>5.8330000000000002</v>
      </c>
      <c r="D8" s="491" cm="1">
        <f t="array" ref="D8">_xll.FDS($B2,"FF_SALES(ANN_R,"&amp;D5&amp;",,,,,B)")</f>
        <v>19.131</v>
      </c>
      <c r="E8" s="491" cm="1">
        <f t="array" ref="E8">_xll.FDS($B2,"FF_SALES(ANN_R,"&amp;E5&amp;",,,,,B)")</f>
        <v>18.003</v>
      </c>
      <c r="F8" s="491" cm="1">
        <f t="array" ref="F8">_xll.FDS($B2,"FF_SALES(ANN_R,"&amp;F5&amp;",,,,,B)")</f>
        <v>16.251999999999999</v>
      </c>
      <c r="G8" s="491" cm="1">
        <f t="array" ref="G8">_xll.FDS($B2,"FF_SALES(ANN_R,"&amp;G5&amp;",,,,,B)")</f>
        <v>14.677</v>
      </c>
      <c r="H8" s="491" cm="1">
        <f t="array" ref="H8">_xll.FDS($B2,"FF_SALES(ANN_R,"&amp;H5&amp;",,,,,B)")</f>
        <v>13.868</v>
      </c>
      <c r="I8" s="491" cm="1">
        <f t="array" ref="I8">_xll.FDS($B2,"FF_SALES(ANN_R,"&amp;I5&amp;",,,,,B)")</f>
        <v>13.272</v>
      </c>
      <c r="J8" s="491" cm="1">
        <f t="array" ref="J8">_xll.FDS($B2,"FF_SALES(ANN_R,"&amp;J5&amp;",,,,,B)")</f>
        <v>12.382</v>
      </c>
      <c r="K8" s="491" cm="1">
        <f t="array" ref="K8">_xll.FDS($B2,"FF_SALES(ANN_R,"&amp;K5&amp;",,,,,B)")</f>
        <v>12.114000000000001</v>
      </c>
      <c r="L8" s="491" cm="1">
        <f t="array" ref="L8">_xll.FDS($B2,"FF_SALES(ANN_R,"&amp;L5&amp;",,,,,B)")</f>
        <v>11.612</v>
      </c>
      <c r="M8" s="16"/>
    </row>
    <row r="9" spans="1:14">
      <c r="A9" s="373" t="str">
        <f>IS!A15</f>
        <v>Cost of Goods Sold (COGS) incl. D&amp;A</v>
      </c>
      <c r="B9" s="379"/>
      <c r="C9" s="1125" cm="1">
        <f t="array" ref="C9">_xll.FDS($B2,"FF_COGS(ANN_R,"&amp;C5&amp;",,,,,B)")+'DAL-US R&amp;D'!C47+'DAL-US Lease'!C30</f>
        <v>7.66</v>
      </c>
      <c r="D9" s="1125" cm="1">
        <f t="array" ref="D9">_xll.FDS($B2,"FF_COGS(ANN_R,"&amp;D5&amp;",,,,,B)")+'DAL-US R&amp;D'!D47+'DAL-US Lease'!D30</f>
        <v>13.869</v>
      </c>
      <c r="E9" s="1125" cm="1">
        <f t="array" ref="E9">_xll.FDS($B2,"FF_COGS(ANN_R,"&amp;E5&amp;",,,,,B)")+'DAL-US R&amp;D'!E47+'DAL-US Lease'!E30</f>
        <v>13.304</v>
      </c>
      <c r="F9" s="1125" cm="1">
        <f t="array" ref="F9">_xll.FDS($B2,"FF_COGS(ANN_R,"&amp;F5&amp;",,,,,B)")+'DAL-US R&amp;D'!F47+'DAL-US Lease'!F30</f>
        <v>12.545999999999999</v>
      </c>
      <c r="G9" s="1125" cm="1">
        <f t="array" ref="G9">_xll.FDS($B2,"FF_COGS(ANN_R,"&amp;G5&amp;",,,,,B)")+'DAL-US R&amp;D'!G47+'DAL-US Lease'!G30</f>
        <v>11.093999999999999</v>
      </c>
      <c r="H9" s="1125" cm="1">
        <f t="array" ref="H9">_xll.FDS($B2,"FF_COGS(ANN_R,"&amp;H5&amp;",,,,,B)")+'DAL-US R&amp;D'!H47+'DAL-US Lease'!H30</f>
        <v>10.414</v>
      </c>
      <c r="I9" s="1125" cm="1">
        <f t="array" ref="I9">_xll.FDS($B2,"FF_COGS(ANN_R,"&amp;I5&amp;",,,,,B)")+'DAL-US R&amp;D'!I47+'DAL-US Lease'!I30</f>
        <v>9.7899999999999991</v>
      </c>
      <c r="J9" s="1125" cm="1">
        <f t="array" ref="J9">_xll.FDS($B2,"FF_COGS(ANN_R,"&amp;J5&amp;",,,,,B)")+'DAL-US R&amp;D'!J47+'DAL-US Lease'!J30</f>
        <v>9.40899997</v>
      </c>
      <c r="K9" s="1125" cm="1">
        <f t="array" ref="K9">_xll.FDS($B2,"FF_COGS(ANN_R,"&amp;K5&amp;",,,,,B)")+'DAL-US R&amp;D'!K47+'DAL-US Lease'!K30</f>
        <v>9.3689999999999998</v>
      </c>
      <c r="L9" s="1125" cm="1">
        <f t="array" ref="L9">_xll.FDS($B2,"FF_COGS(ANN_R,"&amp;L5&amp;",,,,,B)")+'DAL-US R&amp;D'!L47+'DAL-US Lease'!L30</f>
        <v>9.0939999999999994</v>
      </c>
      <c r="M9" s="16"/>
    </row>
    <row r="10" spans="1:14">
      <c r="A10" s="373" t="str">
        <f>IS!A17</f>
        <v>SG&amp;A Expense</v>
      </c>
      <c r="B10" s="379"/>
      <c r="C10" s="1125" cm="1">
        <f t="array" ref="C10">_xll.FDS($B2,"FF_SGA(ANN_R,"&amp;C5&amp;",,,,,B)")-'AAL-US R&amp;D'!C10-'AAL-US Lease'!C31</f>
        <v>2.0510000000000002</v>
      </c>
      <c r="D10" s="1125" cm="1">
        <f t="array" ref="D10">_xll.FDS($B2,"FF_SGA(ANN_R,"&amp;D5&amp;",,,,,B)")-'AAL-US R&amp;D'!D10-'AAL-US Lease'!D31</f>
        <v>2.8919999999999999</v>
      </c>
      <c r="E10" s="1125" cm="1">
        <f t="array" ref="E10">_xll.FDS($B2,"FF_SGA(ANN_R,"&amp;E5&amp;",,,,,B)")-'AAL-US R&amp;D'!E10-'AAL-US Lease'!E31</f>
        <v>2.6110000000000002</v>
      </c>
      <c r="F10" s="1125" cm="1">
        <f t="array" ref="F10">_xll.FDS($B2,"FF_SGA(ANN_R,"&amp;F5&amp;",,,,,B)")-'AAL-US R&amp;D'!F10-'AAL-US Lease'!F31</f>
        <v>-0.51200000000000001</v>
      </c>
      <c r="G10" s="1125" cm="1">
        <f t="array" ref="G10">_xll.FDS($B2,"FF_SGA(ANN_R,"&amp;G5&amp;",,,,,B)")-'AAL-US R&amp;D'!G10-'AAL-US Lease'!G31</f>
        <v>-0.60899999999999999</v>
      </c>
      <c r="H10" s="1125" cm="1">
        <f t="array" ref="H10">_xll.FDS($B2,"FF_SGA(ANN_R,"&amp;H5&amp;",,,,,B)")-'AAL-US R&amp;D'!H10-'AAL-US Lease'!H31</f>
        <v>-0.81749999999999989</v>
      </c>
      <c r="I10" s="1125" cm="1">
        <f t="array" ref="I10">_xll.FDS($B2,"FF_SGA(ANN_R,"&amp;I5&amp;",,,,,B)")-'AAL-US R&amp;D'!I10-'AAL-US Lease'!I31</f>
        <v>-0.70499999999999985</v>
      </c>
      <c r="J10" s="1125" cm="1">
        <f t="array" ref="J10">_xll.FDS($B2,"FF_SGA(ANN_R,"&amp;J5&amp;",,,,,B)")-'AAL-US R&amp;D'!J10-'AAL-US Lease'!J31</f>
        <v>5.9000000000000163E-2</v>
      </c>
      <c r="K10" s="1125" cm="1">
        <f t="array" ref="K10">_xll.FDS($B2,"FF_SGA(ANN_R,"&amp;K5&amp;",,,,,B)")-'AAL-US R&amp;D'!K10-'AAL-US Lease'!K31</f>
        <v>-9.3999999999999861E-2</v>
      </c>
      <c r="L10" s="1125" cm="1">
        <f t="array" ref="L10">_xll.FDS($B2,"FF_SGA(ANN_R,"&amp;L5&amp;",,,,,B)")-'AAL-US R&amp;D'!L10-'AAL-US Lease'!L31</f>
        <v>-0.17100000000000004</v>
      </c>
      <c r="M10" s="16"/>
    </row>
    <row r="11" spans="1:14">
      <c r="A11" s="255" t="str">
        <f>IS!A18</f>
        <v>EBIT (Operating Income)</v>
      </c>
      <c r="B11" s="327"/>
      <c r="C11" s="380">
        <f>C8-C9-C10</f>
        <v>-3.8780000000000001</v>
      </c>
      <c r="D11" s="380">
        <f t="shared" ref="D11:L11" si="0">D8-D9-D10</f>
        <v>2.3700000000000006</v>
      </c>
      <c r="E11" s="380">
        <f t="shared" si="0"/>
        <v>2.0879999999999996</v>
      </c>
      <c r="F11" s="380">
        <f t="shared" si="0"/>
        <v>4.218</v>
      </c>
      <c r="G11" s="380">
        <f t="shared" si="0"/>
        <v>4.1920000000000002</v>
      </c>
      <c r="H11" s="380">
        <f t="shared" si="0"/>
        <v>4.2715000000000005</v>
      </c>
      <c r="I11" s="380">
        <f t="shared" si="0"/>
        <v>4.1870000000000012</v>
      </c>
      <c r="J11" s="380">
        <f t="shared" si="0"/>
        <v>2.9140000299999995</v>
      </c>
      <c r="K11" s="380">
        <f t="shared" si="0"/>
        <v>2.8390000000000009</v>
      </c>
      <c r="L11" s="380">
        <f t="shared" si="0"/>
        <v>2.6890000000000009</v>
      </c>
      <c r="M11" s="16"/>
    </row>
    <row r="12" spans="1:14">
      <c r="A12" s="259" t="str">
        <f>IS!A20</f>
        <v>Interest Expense</v>
      </c>
      <c r="B12" s="327"/>
      <c r="C12" s="491" cm="1">
        <f t="array" ref="C12">_xll.FDS($B2,"FF_INT_EXP_NET(ANN_R,"&amp;C5&amp;",,,,,B)")</f>
        <v>0.63100000000000001</v>
      </c>
      <c r="D12" s="491" cm="1">
        <f t="array" ref="D12">_xll.FDS($B2,"FF_INT_EXP_NET(ANN_R,"&amp;D5&amp;",,,,,B)")</f>
        <v>0.48</v>
      </c>
      <c r="E12" s="491" cm="1">
        <f t="array" ref="E12">_xll.FDS($B2,"FF_INT_EXP_NET(ANN_R,"&amp;E5&amp;",,,,,B)")</f>
        <v>0.53200000000000003</v>
      </c>
      <c r="F12" s="491" cm="1">
        <f t="array" ref="F12">_xll.FDS($B2,"FF_INT_EXP_NET(ANN_R,"&amp;F5&amp;",,,,,B)")</f>
        <v>0.27500000000000002</v>
      </c>
      <c r="G12" s="491" cm="1">
        <f t="array" ref="G12">_xll.FDS($B2,"FF_INT_EXP_NET(ANN_R,"&amp;G5&amp;",,,,,B)")</f>
        <v>0.316</v>
      </c>
      <c r="H12" s="491" cm="1">
        <f t="array" ref="H12">_xll.FDS($B2,"FF_INT_EXP_NET(ANN_R,"&amp;H5&amp;",,,,,B)")</f>
        <v>0.33200000000000002</v>
      </c>
      <c r="I12" s="491" cm="1">
        <f t="array" ref="I12">_xll.FDS($B2,"FF_INT_EXP_NET(ANN_R,"&amp;I5&amp;",,,,,B)")</f>
        <v>0.29199999999999998</v>
      </c>
      <c r="J12" s="491" cm="1">
        <f t="array" ref="J12">_xll.FDS($B2,"FF_INT_EXP_NET(ANN_R,"&amp;J5&amp;",,,,,B)")</f>
        <v>0.35099999999999998</v>
      </c>
      <c r="K12" s="491" cm="1">
        <f t="array" ref="K12">_xll.FDS($B2,"FF_INT_EXP_NET(ANN_R,"&amp;K5&amp;",,,,,B)")</f>
        <v>0.28599999999999998</v>
      </c>
      <c r="L12" s="491" cm="1">
        <f t="array" ref="L12">_xll.FDS($B2,"FF_INT_EXP_NET(ANN_R,"&amp;L5&amp;",,,,,B)")</f>
        <v>0.32</v>
      </c>
      <c r="M12" s="16"/>
    </row>
    <row r="13" spans="1:14">
      <c r="A13" s="259" t="str">
        <f>IS!A22&amp;" (at marginal tax rate)"</f>
        <v>Income Taxes (at marginal tax rate)</v>
      </c>
      <c r="B13" s="327"/>
      <c r="C13" s="327">
        <f>(C11-C12)*C20</f>
        <v>-1.2625200000000003</v>
      </c>
      <c r="D13" s="327">
        <f t="shared" ref="D13:L13" si="1">(D11-D12)*D20</f>
        <v>0.52920000000000023</v>
      </c>
      <c r="E13" s="327">
        <f t="shared" si="1"/>
        <v>0.43567999999999996</v>
      </c>
      <c r="F13" s="327">
        <f t="shared" si="1"/>
        <v>1.1040400000000001</v>
      </c>
      <c r="G13" s="327">
        <f t="shared" si="1"/>
        <v>1.0852800000000002</v>
      </c>
      <c r="H13" s="327">
        <f t="shared" si="1"/>
        <v>1.1030600000000004</v>
      </c>
      <c r="I13" s="327">
        <f t="shared" si="1"/>
        <v>1.0906000000000005</v>
      </c>
      <c r="J13" s="327">
        <f t="shared" si="1"/>
        <v>0.71764000839999997</v>
      </c>
      <c r="K13" s="327">
        <f t="shared" si="1"/>
        <v>0.71484000000000025</v>
      </c>
      <c r="L13" s="327">
        <f t="shared" si="1"/>
        <v>0.66332000000000035</v>
      </c>
      <c r="M13" s="16"/>
    </row>
    <row r="14" spans="1:14" s="17" customFormat="1">
      <c r="A14" s="255" t="s">
        <v>461</v>
      </c>
      <c r="B14" s="380"/>
      <c r="C14" s="380">
        <f>C11-C12-C13</f>
        <v>-3.24648</v>
      </c>
      <c r="D14" s="380">
        <f t="shared" ref="D14:L14" si="2">D11-D12-D13</f>
        <v>1.3608000000000002</v>
      </c>
      <c r="E14" s="380">
        <f t="shared" si="2"/>
        <v>1.1203199999999995</v>
      </c>
      <c r="F14" s="380">
        <f t="shared" si="2"/>
        <v>2.8389600000000002</v>
      </c>
      <c r="G14" s="380">
        <f t="shared" si="2"/>
        <v>2.7907200000000003</v>
      </c>
      <c r="H14" s="380">
        <f t="shared" si="2"/>
        <v>2.8364400000000005</v>
      </c>
      <c r="I14" s="380">
        <f t="shared" si="2"/>
        <v>2.8044000000000011</v>
      </c>
      <c r="J14" s="380">
        <f t="shared" si="2"/>
        <v>1.8453600215999995</v>
      </c>
      <c r="K14" s="380">
        <f t="shared" si="2"/>
        <v>1.8381600000000007</v>
      </c>
      <c r="L14" s="380">
        <f t="shared" si="2"/>
        <v>1.7056800000000008</v>
      </c>
      <c r="M14" s="18"/>
      <c r="N14"/>
    </row>
    <row r="15" spans="1:14">
      <c r="A15" s="373" t="str">
        <f>IS!A19</f>
        <v>Nonoperating Income - Net</v>
      </c>
      <c r="B15" s="379"/>
      <c r="C15" s="1126" cm="1">
        <f t="array" ref="C15">_xll.FDS($B2,"FF_NON_OPER_INC(ANN_R,"&amp;C5&amp;",,,,,B)")</f>
        <v>-0.2</v>
      </c>
      <c r="D15" s="1126" cm="1">
        <f t="array" ref="D15">_xll.FDS($B2,"FF_NON_OPER_INC(ANN_R,"&amp;D5&amp;",,,,,B)")</f>
        <v>-0.125</v>
      </c>
      <c r="E15" s="1126" cm="1">
        <f t="array" ref="E15">_xll.FDS($B2,"FF_NON_OPER_INC(ANN_R,"&amp;E5&amp;",,,,,B)")</f>
        <v>-1.32</v>
      </c>
      <c r="F15" s="1126" cm="1">
        <f t="array" ref="F15">_xll.FDS($B2,"FF_NON_OPER_INC(ANN_R,"&amp;F5&amp;",,,,,B)")</f>
        <v>-0.42099999999999999</v>
      </c>
      <c r="G15" s="1126" cm="1">
        <f t="array" ref="G15">_xll.FDS($B2,"FF_NON_OPER_INC(ANN_R,"&amp;G5&amp;",,,,,B)")</f>
        <v>-0.625</v>
      </c>
      <c r="H15" s="1126" cm="1">
        <f t="array" ref="H15">_xll.FDS($B2,"FF_NON_OPER_INC(ANN_R,"&amp;H5&amp;",,,,,B)")</f>
        <v>-0.83599999999999997</v>
      </c>
      <c r="I15" s="1126" cm="1">
        <f t="array" ref="I15">_xll.FDS($B2,"FF_NON_OPER_INC(ANN_R,"&amp;I5&amp;",,,,,B)")</f>
        <v>-0.51100000000000001</v>
      </c>
      <c r="J15" s="1126" cm="1">
        <f t="array" ref="J15">_xll.FDS($B2,"FF_NON_OPER_INC(ANN_R,"&amp;J5&amp;",,,,,B)")</f>
        <v>-0.309</v>
      </c>
      <c r="K15" s="1126" cm="1">
        <f t="array" ref="K15">_xll.FDS($B2,"FF_NON_OPER_INC(ANN_R,"&amp;K5&amp;",,,,,B)")</f>
        <v>-0.255</v>
      </c>
      <c r="L15" s="1126" cm="1">
        <f t="array" ref="L15">_xll.FDS($B2,"FF_NON_OPER_INC(ANN_R,"&amp;L5&amp;",,,,,B)")</f>
        <v>-7.1999999999999995E-2</v>
      </c>
      <c r="M15" s="16"/>
    </row>
    <row r="16" spans="1:14">
      <c r="A16" s="373" t="str">
        <f>IS!A21</f>
        <v>Unusual Expense - Net</v>
      </c>
      <c r="B16" s="379"/>
      <c r="C16" s="1126" cm="1">
        <f t="array" ref="C16">_xll.FDS($B2,"FF_UNUSUAL_EXP(ANN_R,"&amp;C5&amp;",,,,,B)")</f>
        <v>0.13</v>
      </c>
      <c r="D16" s="1126" cm="1">
        <f t="array" ref="D16">_xll.FDS($B2,"FF_UNUSUAL_EXP(ANN_R,"&amp;D5&amp;",,,,,B)")</f>
        <v>-2.9000000000000001E-2</v>
      </c>
      <c r="E16" s="1126" cm="1">
        <f t="array" ref="E16">_xll.FDS($B2,"FF_UNUSUAL_EXP(ANN_R,"&amp;E5&amp;",,,,,B)")</f>
        <v>-8.0000000000000002E-3</v>
      </c>
      <c r="F16" s="1126" cm="1">
        <f t="array" ref="F16">_xll.FDS($B2,"FF_UNUSUAL_EXP(ANN_R,"&amp;F5&amp;",,,,,B)")</f>
        <v>-1.4E-2</v>
      </c>
      <c r="G16" s="1126" cm="1">
        <f t="array" ref="G16">_xll.FDS($B2,"FF_UNUSUAL_EXP(ANN_R,"&amp;G5&amp;",,,,,B)")</f>
        <v>0.17599999999999999</v>
      </c>
      <c r="H16" s="1126" cm="1">
        <f t="array" ref="H16">_xll.FDS($B2,"FF_UNUSUAL_EXP(ANN_R,"&amp;H5&amp;",,,,,B)")</f>
        <v>5.2999999999999999E-2</v>
      </c>
      <c r="I16" s="1126" cm="1">
        <f t="array" ref="I16">_xll.FDS($B2,"FF_UNUSUAL_EXP(ANN_R,"&amp;I5&amp;",,,,,B)")</f>
        <v>-5.7000000000000002E-2</v>
      </c>
      <c r="J16" s="1126" cm="1">
        <f t="array" ref="J16">_xll.FDS($B2,"FF_UNUSUAL_EXP(ANN_R,"&amp;J5&amp;",,,,,B)")</f>
        <v>-0.11899997</v>
      </c>
      <c r="K16" s="1126" cm="1">
        <f t="array" ref="K16">_xll.FDS($B2,"FF_UNUSUAL_EXP(ANN_R,"&amp;K5&amp;",,,,,B)")</f>
        <v>-0.10299999999999999</v>
      </c>
      <c r="L16" s="1126" cm="1">
        <f t="array" ref="L16">_xll.FDS($B2,"FF_UNUSUAL_EXP(ANN_R,"&amp;L5&amp;",,,,,B)")</f>
        <v>6.3E-2</v>
      </c>
      <c r="M16" s="16"/>
    </row>
    <row r="17" spans="1:13">
      <c r="A17" s="259" t="s">
        <v>462</v>
      </c>
      <c r="B17" s="259"/>
      <c r="C17" s="327">
        <f>(C15-C16)*C20</f>
        <v>-9.240000000000001E-2</v>
      </c>
      <c r="D17" s="327">
        <f t="shared" ref="D17:L17" si="3">(D15-D16)*D20</f>
        <v>-2.6880000000000005E-2</v>
      </c>
      <c r="E17" s="327">
        <f t="shared" si="3"/>
        <v>-0.36736000000000008</v>
      </c>
      <c r="F17" s="327">
        <f t="shared" si="3"/>
        <v>-0.11396000000000001</v>
      </c>
      <c r="G17" s="327">
        <f t="shared" si="3"/>
        <v>-0.22428000000000001</v>
      </c>
      <c r="H17" s="327">
        <f t="shared" si="3"/>
        <v>-0.24892000000000003</v>
      </c>
      <c r="I17" s="327">
        <f t="shared" si="3"/>
        <v>-0.12712000000000001</v>
      </c>
      <c r="J17" s="327">
        <f t="shared" si="3"/>
        <v>-5.3200008399999998E-2</v>
      </c>
      <c r="K17" s="327">
        <f t="shared" si="3"/>
        <v>-4.2560000000000008E-2</v>
      </c>
      <c r="L17" s="327">
        <f t="shared" si="3"/>
        <v>-3.7800000000000007E-2</v>
      </c>
      <c r="M17" s="16"/>
    </row>
    <row r="18" spans="1:13" s="17" customFormat="1">
      <c r="A18" s="255" t="s">
        <v>463</v>
      </c>
      <c r="B18" s="380"/>
      <c r="C18" s="380">
        <f>C14+C15-C16-C17</f>
        <v>-3.4840800000000001</v>
      </c>
      <c r="D18" s="380">
        <f t="shared" ref="D18:L18" si="4">D14+D15-D16-D17</f>
        <v>1.2916800000000002</v>
      </c>
      <c r="E18" s="380">
        <f t="shared" si="4"/>
        <v>0.17567999999999956</v>
      </c>
      <c r="F18" s="380">
        <f t="shared" si="4"/>
        <v>2.5459200000000002</v>
      </c>
      <c r="G18" s="380">
        <f t="shared" si="4"/>
        <v>2.2140000000000004</v>
      </c>
      <c r="H18" s="380">
        <f t="shared" si="4"/>
        <v>2.1963600000000008</v>
      </c>
      <c r="I18" s="380">
        <f t="shared" si="4"/>
        <v>2.4775200000000011</v>
      </c>
      <c r="J18" s="380">
        <f t="shared" si="4"/>
        <v>1.7085599999999994</v>
      </c>
      <c r="K18" s="380">
        <f t="shared" si="4"/>
        <v>1.7287200000000007</v>
      </c>
      <c r="L18" s="380">
        <f t="shared" si="4"/>
        <v>1.6084800000000008</v>
      </c>
      <c r="M18" s="18"/>
    </row>
    <row r="19" spans="1:13">
      <c r="A19" s="677" t="s">
        <v>464</v>
      </c>
      <c r="B19" s="473"/>
      <c r="C19" s="633" cm="1">
        <f t="array" ref="C19">_xll.FDS($B2,"FF_INC_TAX(ANN_R,"&amp;C5&amp;",,,,,B)")/(_xll.FDS($B2,"FF_EBIT_OPER(ANN_R,"&amp;C5&amp;",,,,,B)")+C15-C12-C16)</f>
        <v>4.2447970327632395E-2</v>
      </c>
      <c r="D19" s="633" cm="1">
        <f t="array" ref="D19">_xll.FDS($B2,"FF_INC_TAX(ANN_R,"&amp;D5&amp;",,,,,B)")/(_xll.FDS($B2,"FF_EBIT_OPER(ANN_R,"&amp;D5&amp;",,,,,B)")+D15-D12-D16)</f>
        <v>0.1684507042253521</v>
      </c>
      <c r="E19" s="633" cm="1">
        <f t="array" ref="E19">_xll.FDS($B2,"FF_INC_TAX(ANN_R,"&amp;E5&amp;",,,,,B)")/(_xll.FDS($B2,"FF_EBIT_OPER(ANN_R,"&amp;E5&amp;",,,,,B)")+E15-E12-E16)</f>
        <v>0.83771929824561409</v>
      </c>
      <c r="F19" s="633" cm="1">
        <f t="array" ref="F19">_xll.FDS($B2,"FF_INC_TAX(ANN_R,"&amp;F5&amp;",,,,,B)")/(_xll.FDS($B2,"FF_EBIT_OPER(ANN_R,"&amp;F5&amp;",,,,,B)")+F15-F12-F16)</f>
        <v>-0.57776049766718518</v>
      </c>
      <c r="G19" s="633" cm="1">
        <f t="array" ref="G19">_xll.FDS($B2,"FF_INC_TAX(ANN_R,"&amp;G5&amp;",,,,,B)")/(_xll.FDS($B2,"FF_EBIT_OPER(ANN_R,"&amp;G5&amp;",,,,,B)")+G15-G12-G16)</f>
        <v>1.1402508551881414E-3</v>
      </c>
      <c r="H19" s="633" cm="1">
        <f t="array" ref="H19">_xll.FDS($B2,"FF_INC_TAX(ANN_R,"&amp;H5&amp;",,,,,B)")/(_xll.FDS($B2,"FF_EBIT_OPER(ANN_R,"&amp;H5&amp;",,,,,B)")+H15-H12-H16)</f>
        <v>0</v>
      </c>
      <c r="I19" s="633" cm="1">
        <f t="array" ref="I19">_xll.FDS($B2,"FF_INC_TAX(ANN_R,"&amp;I5&amp;",,,,,B)")/(_xll.FDS($B2,"FF_EBIT_OPER(ANN_R,"&amp;I5&amp;",,,,,B)")+I15-I12-I16)</f>
        <v>0</v>
      </c>
      <c r="J19" s="633" cm="1">
        <f t="array" ref="J19">_xll.FDS($B2,"FF_INC_TAX(ANN_R,"&amp;J5&amp;",,,,,B)")/(_xll.FDS($B2,"FF_EBIT_OPER(ANN_R,"&amp;J5&amp;",,,,,B)")+J15-J12-J16)</f>
        <v>-4.0000600008998948</v>
      </c>
      <c r="K19" s="633" cm="1">
        <f t="array" ref="K19">_xll.FDS($B2,"FF_INC_TAX(ANN_R,"&amp;K5&amp;",,,,,B)")/(_xll.FDS($B2,"FF_EBIT_OPER(ANN_R,"&amp;K5&amp;",,,,,B)")+K15-K12-K16)</f>
        <v>-1.2500000000000001E-2</v>
      </c>
      <c r="L19" s="633" cm="1">
        <f t="array" ref="L19">_xll.FDS($B2,"FF_INC_TAX(ANN_R,"&amp;L5&amp;",,,,,B)")/(_xll.FDS($B2,"FF_EBIT_OPER(ANN_R,"&amp;L5&amp;",,,,,B)")+L15-L12-L16)</f>
        <v>4.0000000000000001E-3</v>
      </c>
      <c r="M19" s="16"/>
    </row>
    <row r="20" spans="1:13">
      <c r="A20" s="382" t="s">
        <v>465</v>
      </c>
      <c r="B20" s="383"/>
      <c r="C20" s="1109">
        <f>'AC-CA R&amp;D'!$B5</f>
        <v>0.28000000000000003</v>
      </c>
      <c r="D20" s="1109">
        <f>'AC-CA R&amp;D'!$B5</f>
        <v>0.28000000000000003</v>
      </c>
      <c r="E20" s="1109">
        <f>'AC-CA R&amp;D'!$B5</f>
        <v>0.28000000000000003</v>
      </c>
      <c r="F20" s="1109">
        <f>'AC-CA R&amp;D'!$B5</f>
        <v>0.28000000000000003</v>
      </c>
      <c r="G20" s="1109">
        <f>'AC-CA R&amp;D'!$B5</f>
        <v>0.28000000000000003</v>
      </c>
      <c r="H20" s="1109">
        <f>'AC-CA R&amp;D'!$B5</f>
        <v>0.28000000000000003</v>
      </c>
      <c r="I20" s="1109">
        <f>'AC-CA R&amp;D'!$B5</f>
        <v>0.28000000000000003</v>
      </c>
      <c r="J20" s="1109">
        <f>'AC-CA R&amp;D'!$B5</f>
        <v>0.28000000000000003</v>
      </c>
      <c r="K20" s="1109">
        <f>'AC-CA R&amp;D'!$B5</f>
        <v>0.28000000000000003</v>
      </c>
      <c r="L20" s="1109">
        <f>'AC-CA R&amp;D'!$B5</f>
        <v>0.28000000000000003</v>
      </c>
      <c r="M20" s="16"/>
    </row>
    <row r="21" spans="1:13">
      <c r="A21" s="255" t="str">
        <f>IS!A31</f>
        <v>EBITDA</v>
      </c>
      <c r="B21" s="327"/>
      <c r="C21" s="491" cm="1">
        <f t="array" ref="C21">_xll.FDS($B2,"FF_EBITDA_OPER(ANN_R,"&amp;C5&amp;",,,,,B)")</f>
        <v>-2.0569999999999999</v>
      </c>
      <c r="D21" s="491" cm="1">
        <f t="array" ref="D21">_xll.FDS($B2,"FF_EBITDA_OPER(ANN_R,"&amp;D5&amp;",,,,,B)")</f>
        <v>4.3179999999999996</v>
      </c>
      <c r="E21" s="491" cm="1">
        <f t="array" ref="E21">_xll.FDS($B2,"FF_EBITDA_OPER(ANN_R,"&amp;E5&amp;",,,,,B)")</f>
        <v>3.7730000000000001</v>
      </c>
      <c r="F21" s="491" cm="1">
        <f t="array" ref="F21">_xll.FDS($B2,"FF_EBITDA_OPER(ANN_R,"&amp;F5&amp;",,,,,B)")</f>
        <v>2.952</v>
      </c>
      <c r="G21" s="491" cm="1">
        <f t="array" ref="G21">_xll.FDS($B2,"FF_EBITDA_OPER(ANN_R,"&amp;G5&amp;",,,,,B)")</f>
        <v>2.81</v>
      </c>
      <c r="H21" s="491" cm="1">
        <f t="array" ref="H21">_xll.FDS($B2,"FF_EBITDA_OPER(ANN_R,"&amp;H5&amp;",,,,,B)")</f>
        <v>2.1859999999999999</v>
      </c>
      <c r="I21" s="491" cm="1">
        <f t="array" ref="I21">_xll.FDS($B2,"FF_EBITDA_OPER(ANN_R,"&amp;I5&amp;",,,,,B)")</f>
        <v>1.3939999999999999</v>
      </c>
      <c r="J21" s="491" cm="1">
        <f t="array" ref="J21">_xll.FDS($B2,"FF_EBITDA_OPER(ANN_R,"&amp;J5&amp;",,,,,B)")</f>
        <v>1.121</v>
      </c>
      <c r="K21" s="491" cm="1">
        <f t="array" ref="K21">_xll.FDS($B2,"FF_EBITDA_OPER(ANN_R,"&amp;K5&amp;",,,,,B)")</f>
        <v>1.0269999999999999</v>
      </c>
      <c r="L21" s="491" cm="1">
        <f t="array" ref="L21">_xll.FDS($B2,"FF_EBITDA_OPER(ANN_R,"&amp;L5&amp;",,,,,B)")</f>
        <v>0.93300000000000005</v>
      </c>
      <c r="M21" s="16"/>
    </row>
    <row r="22" spans="1:13">
      <c r="A22" s="259" t="s">
        <v>466</v>
      </c>
      <c r="B22" s="327"/>
      <c r="C22" s="327">
        <f>SUM(C11,'DAL-US CFS-adj'!C10:C12)</f>
        <v>-1.5660000000000003</v>
      </c>
      <c r="D22" s="327">
        <f>SUM(D11,'DAL-US CFS-adj'!D10:D12)</f>
        <v>4.9510000000000005</v>
      </c>
      <c r="E22" s="327">
        <f>SUM(E11,'DAL-US CFS-adj'!E10:E12)</f>
        <v>4.4169999999999998</v>
      </c>
      <c r="F22" s="327">
        <f>SUM(F11,'DAL-US CFS-adj'!F10:F12)</f>
        <v>6.4529999999999994</v>
      </c>
      <c r="G22" s="327">
        <f>SUM(G11,'DAL-US CFS-adj'!G10:G12)</f>
        <v>6.0940000000000003</v>
      </c>
      <c r="H22" s="327">
        <f>SUM(H11,'DAL-US CFS-adj'!H10:H12)</f>
        <v>6.1065000000000005</v>
      </c>
      <c r="I22" s="327">
        <f>SUM(I11,'DAL-US CFS-adj'!I10:I12)</f>
        <v>5.9580000000000011</v>
      </c>
      <c r="J22" s="327">
        <f>SUM(J11,'DAL-US CFS-adj'!J10:J12)</f>
        <v>4.5720000299999999</v>
      </c>
      <c r="K22" s="327">
        <f>SUM(K11,'DAL-US CFS-adj'!K10:K12)</f>
        <v>4.4040000000000008</v>
      </c>
      <c r="L22" s="327">
        <f>SUM(L11,'DAL-US CFS-adj'!L10:L12)</f>
        <v>4.2120000000000006</v>
      </c>
      <c r="M22" s="16"/>
    </row>
    <row r="23" spans="1:13">
      <c r="A23" s="259"/>
      <c r="B23" s="327"/>
      <c r="C23"/>
      <c r="D23" s="327"/>
      <c r="E23" s="327"/>
      <c r="F23" s="327"/>
      <c r="G23" s="327"/>
      <c r="H23" s="327"/>
      <c r="I23" s="327"/>
      <c r="J23" s="327"/>
      <c r="K23" s="327"/>
      <c r="L23" s="327"/>
      <c r="M23" s="16"/>
    </row>
    <row r="24" spans="1:13">
      <c r="A24" s="385" t="str">
        <f>IS!A58</f>
        <v>Shs Outstanding (M) - Basic</v>
      </c>
      <c r="B24" s="327"/>
      <c r="C24" s="1124" cm="1">
        <f t="array" ref="C24">_xll.FDS($B2,"FF_COM_SHS_OUT(ANN_R,"&amp;C5&amp;")")</f>
        <v>332.17228799999998</v>
      </c>
      <c r="D24" s="1124" cm="1">
        <f t="array" ref="D24">_xll.FDS($B2,"FF_COM_SHS_OUT(ANN_R,"&amp;D5&amp;")")</f>
        <v>263.81657799999999</v>
      </c>
      <c r="E24" s="1124" cm="1">
        <f t="array" ref="E24">_xll.FDS($B2,"FF_COM_SHS_OUT(ANN_R,"&amp;E5&amp;")")</f>
        <v>270.72991100000002</v>
      </c>
      <c r="F24" s="1124" cm="1">
        <f t="array" ref="F24">_xll.FDS($B2,"FF_COM_SHS_OUT(ANN_R,"&amp;F5&amp;")")</f>
        <v>273.07664599999998</v>
      </c>
      <c r="G24" s="1124" cm="1">
        <f t="array" ref="G24">_xll.FDS($B2,"FF_COM_SHS_OUT(ANN_R,"&amp;G5&amp;")")</f>
        <v>273.21280200000001</v>
      </c>
      <c r="H24" s="1124" cm="1">
        <f t="array" ref="H24">_xll.FDS($B2,"FF_COM_SHS_OUT(ANN_R,"&amp;H5&amp;")")</f>
        <v>282.78217799999999</v>
      </c>
      <c r="I24" s="1124" cm="1">
        <f t="array" ref="I24">_xll.FDS($B2,"FF_COM_SHS_OUT(ANN_R,"&amp;I5&amp;")")</f>
        <v>286.48929399999997</v>
      </c>
      <c r="J24" s="1124" cm="1">
        <f t="array" ref="J24">_xll.FDS($B2,"FF_COM_SHS_OUT(ANN_R,"&amp;J5&amp;")")</f>
        <v>284.53243900000001</v>
      </c>
      <c r="K24" s="1124" cm="1">
        <f t="array" ref="K24">_xll.FDS($B2,"FF_COM_SHS_OUT(ANN_R,"&amp;K5&amp;")")</f>
        <v>274.443803</v>
      </c>
      <c r="L24" s="1124" cm="1">
        <f t="array" ref="L24">_xll.FDS($B2,"FF_COM_SHS_OUT(ANN_R,"&amp;L5&amp;")")</f>
        <v>277.37149299999999</v>
      </c>
      <c r="M24" s="16"/>
    </row>
    <row r="25" spans="1:13">
      <c r="A25" s="259" t="s">
        <v>467</v>
      </c>
      <c r="B25" s="327"/>
      <c r="C25" s="327">
        <f>C11/C8</f>
        <v>-0.66483799074232808</v>
      </c>
      <c r="D25" s="327">
        <f t="shared" ref="D25:L25" si="5">D11/D8</f>
        <v>0.12388270346557945</v>
      </c>
      <c r="E25" s="327">
        <f t="shared" si="5"/>
        <v>0.11598066988835191</v>
      </c>
      <c r="F25" s="327">
        <f t="shared" si="5"/>
        <v>0.25953728771843465</v>
      </c>
      <c r="G25" s="327">
        <f t="shared" si="5"/>
        <v>0.28561695169312534</v>
      </c>
      <c r="H25" s="327">
        <f t="shared" si="5"/>
        <v>0.30801124891837328</v>
      </c>
      <c r="I25" s="327">
        <f t="shared" si="5"/>
        <v>0.31547619047619058</v>
      </c>
      <c r="J25" s="327">
        <f t="shared" si="5"/>
        <v>0.23534162736230008</v>
      </c>
      <c r="K25" s="327">
        <f t="shared" si="5"/>
        <v>0.23435694238071658</v>
      </c>
      <c r="L25" s="327">
        <f t="shared" si="5"/>
        <v>0.23157078883913201</v>
      </c>
      <c r="M25" s="16"/>
    </row>
    <row r="26" spans="1:13">
      <c r="A26" s="259"/>
      <c r="B26" s="327"/>
      <c r="C26" s="387"/>
      <c r="D26" s="327"/>
      <c r="E26" s="327"/>
      <c r="F26" s="327"/>
      <c r="G26" s="327"/>
      <c r="H26" s="327"/>
      <c r="I26" s="327"/>
      <c r="J26" s="327"/>
      <c r="K26" s="327"/>
      <c r="L26" s="327"/>
      <c r="M26" s="16"/>
    </row>
    <row r="27" spans="1:13">
      <c r="A27" s="259"/>
      <c r="B27" s="327"/>
      <c r="C27" s="641"/>
      <c r="D27" s="641"/>
      <c r="E27" s="641"/>
      <c r="F27" s="641"/>
      <c r="G27" s="641"/>
      <c r="H27" s="641"/>
      <c r="I27" s="641"/>
      <c r="J27" s="641"/>
      <c r="K27" s="641"/>
      <c r="L27" s="327"/>
      <c r="M27" s="16"/>
    </row>
    <row r="28" spans="1:13">
      <c r="A28" s="259"/>
      <c r="B28" s="327"/>
      <c r="C28" s="387"/>
      <c r="D28" s="327"/>
      <c r="E28" s="327"/>
      <c r="F28" s="327"/>
      <c r="G28" s="327"/>
      <c r="H28" s="327"/>
      <c r="I28" s="327"/>
      <c r="J28" s="327"/>
      <c r="K28" s="327"/>
      <c r="L28" s="327"/>
      <c r="M28" s="16"/>
    </row>
    <row r="29" spans="1:13">
      <c r="A29" s="259"/>
      <c r="B29" s="327"/>
      <c r="C29" s="387"/>
      <c r="D29" s="327"/>
      <c r="E29" s="327"/>
      <c r="F29" s="327"/>
      <c r="G29" s="327"/>
      <c r="H29" s="327"/>
      <c r="I29" s="327"/>
      <c r="J29" s="327"/>
      <c r="K29" s="327"/>
      <c r="L29" s="327"/>
      <c r="M29" s="16"/>
    </row>
    <row r="30" spans="1:13">
      <c r="A30" s="259"/>
      <c r="B30" s="327"/>
      <c r="C30" s="387"/>
      <c r="D30" s="327"/>
      <c r="E30" s="327"/>
      <c r="F30" s="327"/>
      <c r="G30" s="327"/>
      <c r="H30" s="327"/>
      <c r="I30" s="327"/>
      <c r="J30" s="327"/>
      <c r="K30" s="327"/>
      <c r="L30" s="327"/>
      <c r="M30" s="16"/>
    </row>
    <row r="31" spans="1:13">
      <c r="A31" s="259"/>
      <c r="B31" s="327"/>
      <c r="C31" s="327"/>
      <c r="D31" s="327"/>
      <c r="E31" s="327"/>
      <c r="F31" s="327"/>
      <c r="G31" s="327"/>
      <c r="H31" s="327"/>
      <c r="I31" s="327"/>
      <c r="J31" s="327"/>
      <c r="K31" s="327"/>
      <c r="L31" s="327"/>
      <c r="M31" s="16"/>
    </row>
    <row r="32" spans="1:13">
      <c r="A32" s="255"/>
      <c r="B32" s="327"/>
      <c r="C32" s="327"/>
      <c r="D32" s="327"/>
      <c r="E32" s="327"/>
      <c r="F32" s="327"/>
      <c r="G32" s="327"/>
      <c r="H32" s="327"/>
      <c r="I32" s="327"/>
      <c r="J32" s="327"/>
      <c r="K32" s="327"/>
      <c r="L32" s="327"/>
      <c r="M32" s="16"/>
    </row>
    <row r="33" spans="1:13">
      <c r="A33" s="259"/>
      <c r="B33" s="327"/>
      <c r="C33" s="327"/>
      <c r="D33" s="327"/>
      <c r="E33" s="327"/>
      <c r="F33" s="327"/>
      <c r="G33" s="327"/>
      <c r="H33" s="327"/>
      <c r="I33" s="327"/>
      <c r="J33" s="327"/>
      <c r="K33" s="327"/>
      <c r="L33" s="327"/>
      <c r="M33" s="16"/>
    </row>
    <row r="34" spans="1:13">
      <c r="A34" s="259"/>
      <c r="B34" s="327"/>
      <c r="C34" s="327"/>
      <c r="D34" s="327"/>
      <c r="E34" s="327"/>
      <c r="F34" s="327"/>
      <c r="G34" s="327"/>
      <c r="H34" s="327"/>
      <c r="I34" s="327"/>
      <c r="J34" s="327"/>
      <c r="K34" s="327"/>
      <c r="L34" s="327"/>
      <c r="M34" s="16"/>
    </row>
    <row r="35" spans="1:13">
      <c r="A35" s="259"/>
      <c r="B35" s="327"/>
      <c r="C35" s="327"/>
      <c r="D35" s="327"/>
      <c r="E35" s="327"/>
      <c r="F35" s="327"/>
      <c r="G35" s="327"/>
      <c r="H35" s="327"/>
      <c r="I35" s="327"/>
      <c r="J35" s="327"/>
      <c r="K35" s="327"/>
      <c r="L35" s="327"/>
      <c r="M35" s="16"/>
    </row>
    <row r="36" spans="1:13">
      <c r="A36" s="259"/>
      <c r="B36" s="327"/>
      <c r="C36" s="327"/>
      <c r="D36" s="327"/>
      <c r="E36" s="327"/>
      <c r="F36" s="327"/>
      <c r="G36" s="327"/>
      <c r="H36" s="327"/>
      <c r="I36" s="327"/>
      <c r="J36" s="327"/>
      <c r="K36" s="327"/>
      <c r="L36" s="327"/>
      <c r="M36" s="16"/>
    </row>
    <row r="37" spans="1:13">
      <c r="A37" s="259"/>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5"/>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9"/>
      <c r="B44" s="327"/>
      <c r="C44" s="327"/>
      <c r="D44" s="327"/>
      <c r="E44" s="327"/>
      <c r="F44" s="327"/>
      <c r="G44" s="327"/>
      <c r="H44" s="327"/>
      <c r="I44" s="327"/>
      <c r="J44" s="327"/>
      <c r="K44" s="327"/>
      <c r="L44" s="327"/>
      <c r="M44" s="16"/>
    </row>
    <row r="45" spans="1:13">
      <c r="A45" s="259"/>
      <c r="B45" s="327"/>
      <c r="C45" s="327"/>
      <c r="D45" s="327"/>
      <c r="E45" s="327"/>
      <c r="F45" s="327"/>
      <c r="G45" s="327"/>
      <c r="H45" s="327"/>
      <c r="I45" s="327"/>
      <c r="J45" s="327"/>
      <c r="K45" s="327"/>
      <c r="L45" s="327"/>
      <c r="M45" s="16"/>
    </row>
    <row r="46" spans="1:13">
      <c r="A46" s="252"/>
      <c r="B46" s="327"/>
      <c r="C46" s="327"/>
      <c r="D46" s="327"/>
      <c r="E46" s="327"/>
      <c r="F46" s="327"/>
      <c r="G46" s="327"/>
      <c r="H46" s="327"/>
      <c r="I46" s="327"/>
      <c r="J46" s="327"/>
      <c r="K46" s="327"/>
      <c r="L46" s="327"/>
      <c r="M46" s="16"/>
    </row>
    <row r="48" spans="1:13">
      <c r="A48" s="327"/>
    </row>
    <row r="49" spans="1:1">
      <c r="A49" s="327"/>
    </row>
    <row r="50" spans="1:1">
      <c r="A50" s="327"/>
    </row>
    <row r="51" spans="1:1">
      <c r="A51" s="327"/>
    </row>
    <row r="52" spans="1:1">
      <c r="A52" s="327"/>
    </row>
    <row r="53" spans="1:1">
      <c r="A53" s="327"/>
    </row>
    <row r="54" spans="1:1">
      <c r="A54" s="327"/>
    </row>
    <row r="55" spans="1:1">
      <c r="A55" s="327"/>
    </row>
    <row r="56" spans="1:1">
      <c r="A56" s="327"/>
    </row>
    <row r="57" spans="1:1">
      <c r="A57" s="327"/>
    </row>
    <row r="58" spans="1:1">
      <c r="A58" s="327"/>
    </row>
    <row r="59" spans="1:1">
      <c r="A59" s="327"/>
    </row>
    <row r="60" spans="1:1">
      <c r="A60" s="327"/>
    </row>
    <row r="61" spans="1:1">
      <c r="A61" s="327"/>
    </row>
    <row r="62" spans="1:1">
      <c r="A62" s="327"/>
    </row>
    <row r="63" spans="1:1">
      <c r="A63" s="327"/>
    </row>
    <row r="64" spans="1:1">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sheetData>
  <pageMargins left="0.7" right="0.7" top="0.78740157499999996" bottom="0.78740157499999996"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A84A-D5F8-4E9D-B7E6-8B3B31300354}">
  <sheetPr>
    <tabColor theme="2" tint="-0.499984740745262"/>
  </sheetPr>
  <dimension ref="A1:N157"/>
  <sheetViews>
    <sheetView workbookViewId="0">
      <selection activeCell="C20" sqref="C20:L20"/>
    </sheetView>
  </sheetViews>
  <sheetFormatPr defaultColWidth="11.28515625" defaultRowHeight="15"/>
  <cols>
    <col min="1" max="1" width="32.7109375" style="3" customWidth="1"/>
    <col min="2" max="2" width="7.42578125" style="3" customWidth="1"/>
    <col min="3" max="12" width="11.28515625" style="3"/>
  </cols>
  <sheetData>
    <row r="1" spans="1:14" s="340" customFormat="1" ht="26.1" customHeight="1">
      <c r="A1" s="371" t="s">
        <v>460</v>
      </c>
    </row>
    <row r="2" spans="1:14">
      <c r="A2" s="327" t="str">
        <f>IS!A8</f>
        <v>Ticker</v>
      </c>
      <c r="B2" s="327" t="str">
        <f>'Industry Ratios'!F3</f>
        <v>AAL-US</v>
      </c>
      <c r="C2" s="327"/>
      <c r="D2" s="327"/>
      <c r="E2" s="327"/>
      <c r="F2" s="327"/>
      <c r="G2" s="327"/>
      <c r="H2" s="327"/>
      <c r="I2" s="327"/>
      <c r="J2" s="327"/>
      <c r="K2" s="327"/>
      <c r="L2" s="327"/>
      <c r="M2" s="16"/>
    </row>
    <row r="3" spans="1:14">
      <c r="A3" s="327"/>
      <c r="B3" s="327"/>
      <c r="C3" s="1055" t="s">
        <v>355</v>
      </c>
      <c r="D3" s="327"/>
      <c r="E3" s="327"/>
      <c r="F3" s="327"/>
      <c r="G3" s="327"/>
      <c r="H3" s="327"/>
      <c r="I3" s="327"/>
      <c r="J3" s="327"/>
      <c r="K3" s="327"/>
      <c r="L3" s="327"/>
      <c r="M3" s="16"/>
    </row>
    <row r="4" spans="1:14">
      <c r="A4" s="327"/>
      <c r="B4" s="327"/>
      <c r="C4" s="327"/>
      <c r="D4" s="327"/>
      <c r="E4" s="327"/>
      <c r="F4" s="327"/>
      <c r="G4" s="327"/>
      <c r="H4" s="327"/>
      <c r="I4" s="327"/>
      <c r="J4" s="327"/>
      <c r="K4" s="327"/>
      <c r="L4" s="327"/>
      <c r="M4" s="16"/>
    </row>
    <row r="5" spans="1:14">
      <c r="A5" s="327"/>
      <c r="B5" s="327"/>
      <c r="C5" s="491"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4">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4">
      <c r="A7" s="377" t="str">
        <f>IS!A13</f>
        <v>Income Statement</v>
      </c>
      <c r="B7" s="327"/>
      <c r="C7" s="1059" t="s">
        <v>447</v>
      </c>
      <c r="D7" s="327"/>
      <c r="E7" s="327"/>
      <c r="F7" s="327"/>
      <c r="G7" s="327"/>
      <c r="H7" s="327"/>
      <c r="I7" s="327"/>
      <c r="J7" s="327"/>
      <c r="K7" s="327"/>
      <c r="L7" s="327"/>
      <c r="M7" s="16"/>
    </row>
    <row r="8" spans="1:14">
      <c r="A8" s="377" t="str">
        <f>IS!A14</f>
        <v>Sales</v>
      </c>
      <c r="B8" s="327"/>
      <c r="C8" s="491" cm="1">
        <f t="array" ref="C8">_xll.FDS($B2,"FF_SALES(ANN_R,"&amp;C5&amp;",,,,,B)")</f>
        <v>17.337</v>
      </c>
      <c r="D8" s="491" cm="1">
        <f t="array" ref="D8">_xll.FDS($B2,"FF_SALES(ANN_R,"&amp;D5&amp;",,,,,B)")</f>
        <v>45.768000000000001</v>
      </c>
      <c r="E8" s="491" cm="1">
        <f t="array" ref="E8">_xll.FDS($B2,"FF_SALES(ANN_R,"&amp;E5&amp;",,,,,B)")</f>
        <v>44.540999999999997</v>
      </c>
      <c r="F8" s="491" cm="1">
        <f t="array" ref="F8">_xll.FDS($B2,"FF_SALES(ANN_R,"&amp;F5&amp;",,,,,B)")</f>
        <v>42.622</v>
      </c>
      <c r="G8" s="491" cm="1">
        <f t="array" ref="G8">_xll.FDS($B2,"FF_SALES(ANN_R,"&amp;G5&amp;",,,,,B)")</f>
        <v>40.18</v>
      </c>
      <c r="H8" s="491" cm="1">
        <f t="array" ref="H8">_xll.FDS($B2,"FF_SALES(ANN_R,"&amp;H5&amp;",,,,,B)")</f>
        <v>40.99</v>
      </c>
      <c r="I8" s="491" cm="1">
        <f t="array" ref="I8">_xll.FDS($B2,"FF_SALES(ANN_R,"&amp;I5&amp;",,,,,B)")</f>
        <v>42.65</v>
      </c>
      <c r="J8" s="491" cm="1">
        <f t="array" ref="J8">_xll.FDS($B2,"FF_SALES(ANN_R,"&amp;J5&amp;",,,,,B)")</f>
        <v>26.742999999999999</v>
      </c>
      <c r="K8" s="491" cm="1">
        <f t="array" ref="K8">_xll.FDS($B2,"FF_SALES(ANN_R,"&amp;K5&amp;",,,,,B)")</f>
        <v>24.855</v>
      </c>
      <c r="L8" s="491" cm="1">
        <f t="array" ref="L8">_xll.FDS($B2,"FF_SALES(ANN_R,"&amp;L5&amp;",,,,,B)")</f>
        <v>23.978999999999999</v>
      </c>
      <c r="M8" s="16"/>
    </row>
    <row r="9" spans="1:14">
      <c r="A9" s="373" t="str">
        <f>IS!A15</f>
        <v>Cost of Goods Sold (COGS) incl. D&amp;A</v>
      </c>
      <c r="B9" s="379"/>
      <c r="C9" s="1125" cm="1">
        <f t="array" ref="C9">_xll.FDS($B2,"FF_COGS(ANN_R,"&amp;C5&amp;",,,,,B)")+'DAL-US R&amp;D'!C47+'DAL-US Lease'!C30</f>
        <v>24.655000000000001</v>
      </c>
      <c r="D9" s="1125" cm="1">
        <f t="array" ref="D9">_xll.FDS($B2,"FF_COGS(ANN_R,"&amp;D5&amp;",,,,,B)")+'DAL-US R&amp;D'!D47+'DAL-US Lease'!D30</f>
        <v>34.344999999999999</v>
      </c>
      <c r="E9" s="1125" cm="1">
        <f t="array" ref="E9">_xll.FDS($B2,"FF_COGS(ANN_R,"&amp;E5&amp;",,,,,B)")+'DAL-US R&amp;D'!E47+'DAL-US Lease'!E30</f>
        <v>33.521999999999998</v>
      </c>
      <c r="F9" s="1125" cm="1">
        <f t="array" ref="F9">_xll.FDS($B2,"FF_COGS(ANN_R,"&amp;F5&amp;",,,,,B)")+'DAL-US R&amp;D'!F47+'DAL-US Lease'!F30</f>
        <v>30.417000000000002</v>
      </c>
      <c r="G9" s="1125" cm="1">
        <f t="array" ref="G9">_xll.FDS($B2,"FF_COGS(ANN_R,"&amp;G5&amp;",,,,,B)")+'DAL-US R&amp;D'!G47+'DAL-US Lease'!G30</f>
        <v>27.521000000000001</v>
      </c>
      <c r="H9" s="1125" cm="1">
        <f t="array" ref="H9">_xll.FDS($B2,"FF_COGS(ANN_R,"&amp;H5&amp;",,,,,B)")+'DAL-US R&amp;D'!H47+'DAL-US Lease'!H30</f>
        <v>27.013999999999999</v>
      </c>
      <c r="I9" s="1125" cm="1">
        <f t="array" ref="I9">_xll.FDS($B2,"FF_COGS(ANN_R,"&amp;I5&amp;",,,,,B)")+'DAL-US R&amp;D'!I47+'DAL-US Lease'!I30</f>
        <v>31.081</v>
      </c>
      <c r="J9" s="1125" cm="1">
        <f t="array" ref="J9">_xll.FDS($B2,"FF_COGS(ANN_R,"&amp;J5&amp;",,,,,B)")+'DAL-US R&amp;D'!J47+'DAL-US Lease'!J30</f>
        <v>20.138999999999999</v>
      </c>
      <c r="K9" s="1125" cm="1">
        <f t="array" ref="K9">_xll.FDS($B2,"FF_COGS(ANN_R,"&amp;K5&amp;",,,,,B)")+'DAL-US R&amp;D'!K47+'DAL-US Lease'!K30</f>
        <v>19.879000000000001</v>
      </c>
      <c r="L9" s="1125" cm="1">
        <f t="array" ref="L9">_xll.FDS($B2,"FF_COGS(ANN_R,"&amp;L5&amp;",,,,,B)")+'DAL-US R&amp;D'!L47+'DAL-US Lease'!L30</f>
        <v>20.68</v>
      </c>
      <c r="M9" s="16"/>
    </row>
    <row r="10" spans="1:14">
      <c r="A10" s="373" t="str">
        <f>IS!A17</f>
        <v>SG&amp;A Expense</v>
      </c>
      <c r="B10" s="379"/>
      <c r="C10" s="1125" cm="1">
        <f t="array" ref="C10">_xll.FDS($B2,"FF_SGA(ANN_R,"&amp;C5&amp;",,,,,B)")-'AAL-US R&amp;D'!C10-'AAL-US Lease'!C31</f>
        <v>0.66600000000000004</v>
      </c>
      <c r="D10" s="1125" cm="1">
        <f t="array" ref="D10">_xll.FDS($B2,"FF_SGA(ANN_R,"&amp;D5&amp;",,,,,B)")-'AAL-US R&amp;D'!D10-'AAL-US Lease'!D31</f>
        <v>2.004</v>
      </c>
      <c r="E10" s="1125" cm="1">
        <f t="array" ref="E10">_xll.FDS($B2,"FF_SGA(ANN_R,"&amp;E5&amp;",,,,,B)")-'AAL-US R&amp;D'!E10-'AAL-US Lease'!E31</f>
        <v>1.889</v>
      </c>
      <c r="F10" s="1125" cm="1">
        <f t="array" ref="F10">_xll.FDS($B2,"FF_SGA(ANN_R,"&amp;F5&amp;",,,,,B)")-'AAL-US R&amp;D'!F10-'AAL-US Lease'!F31</f>
        <v>-0.41199999999999992</v>
      </c>
      <c r="G10" s="1125" cm="1">
        <f t="array" ref="G10">_xll.FDS($B2,"FF_SGA(ANN_R,"&amp;G5&amp;",,,,,B)")-'AAL-US R&amp;D'!G10-'AAL-US Lease'!G31</f>
        <v>-0.52800000000000002</v>
      </c>
      <c r="H10" s="1125" cm="1">
        <f t="array" ref="H10">_xll.FDS($B2,"FF_SGA(ANN_R,"&amp;H5&amp;",,,,,B)")-'AAL-US R&amp;D'!H10-'AAL-US Lease'!H31</f>
        <v>-0.50549999999999984</v>
      </c>
      <c r="I10" s="1125" cm="1">
        <f t="array" ref="I10">_xll.FDS($B2,"FF_SGA(ANN_R,"&amp;I5&amp;",,,,,B)")-'AAL-US R&amp;D'!I10-'AAL-US Lease'!I31</f>
        <v>-0.41599999999999993</v>
      </c>
      <c r="J10" s="1125" cm="1">
        <f t="array" ref="J10">_xll.FDS($B2,"FF_SGA(ANN_R,"&amp;J5&amp;",,,,,B)")-'AAL-US R&amp;D'!J10-'AAL-US Lease'!J31</f>
        <v>0.27900000000000014</v>
      </c>
      <c r="K10" s="1125" cm="1">
        <f t="array" ref="K10">_xll.FDS($B2,"FF_SGA(ANN_R,"&amp;K5&amp;",,,,,B)")-'AAL-US R&amp;D'!K10-'AAL-US Lease'!K31</f>
        <v>0.41000000000000014</v>
      </c>
      <c r="L10" s="1125" cm="1">
        <f t="array" ref="L10">_xll.FDS($B2,"FF_SGA(ANN_R,"&amp;L5&amp;",,,,,B)")-'AAL-US R&amp;D'!L10-'AAL-US Lease'!L31</f>
        <v>-0.19199999999999995</v>
      </c>
      <c r="M10" s="16"/>
    </row>
    <row r="11" spans="1:14">
      <c r="A11" s="255" t="str">
        <f>IS!A18</f>
        <v>EBIT (Operating Income)</v>
      </c>
      <c r="B11" s="327"/>
      <c r="C11" s="380">
        <f>C8-C9-C10</f>
        <v>-7.9840000000000018</v>
      </c>
      <c r="D11" s="380">
        <f t="shared" ref="D11:L11" si="0">D8-D9-D10</f>
        <v>9.4190000000000023</v>
      </c>
      <c r="E11" s="380">
        <f t="shared" si="0"/>
        <v>9.129999999999999</v>
      </c>
      <c r="F11" s="380">
        <f t="shared" si="0"/>
        <v>12.616999999999997</v>
      </c>
      <c r="G11" s="380">
        <f t="shared" si="0"/>
        <v>13.186999999999999</v>
      </c>
      <c r="H11" s="380">
        <f t="shared" si="0"/>
        <v>14.481500000000002</v>
      </c>
      <c r="I11" s="380">
        <f t="shared" si="0"/>
        <v>11.984999999999999</v>
      </c>
      <c r="J11" s="380">
        <f t="shared" si="0"/>
        <v>6.3249999999999993</v>
      </c>
      <c r="K11" s="380">
        <f t="shared" si="0"/>
        <v>4.5659999999999989</v>
      </c>
      <c r="L11" s="380">
        <f t="shared" si="0"/>
        <v>3.4909999999999997</v>
      </c>
      <c r="M11" s="16"/>
    </row>
    <row r="12" spans="1:14">
      <c r="A12" s="259" t="str">
        <f>IS!A20</f>
        <v>Interest Expense</v>
      </c>
      <c r="B12" s="327"/>
      <c r="C12" s="491" cm="1">
        <f t="array" ref="C12">_xll.FDS($B2,"FF_INT_EXP_NET(ANN_R,"&amp;C5&amp;",,,,,B)")</f>
        <v>1.2270000000000001</v>
      </c>
      <c r="D12" s="491" cm="1">
        <f t="array" ref="D12">_xll.FDS($B2,"FF_INT_EXP_NET(ANN_R,"&amp;D5&amp;",,,,,B)")</f>
        <v>1.095</v>
      </c>
      <c r="E12" s="491" cm="1">
        <f t="array" ref="E12">_xll.FDS($B2,"FF_INT_EXP_NET(ANN_R,"&amp;E5&amp;",,,,,B)")</f>
        <v>1.056</v>
      </c>
      <c r="F12" s="491" cm="1">
        <f t="array" ref="F12">_xll.FDS($B2,"FF_INT_EXP_NET(ANN_R,"&amp;F5&amp;",,,,,B)")</f>
        <v>1.0529999999999999</v>
      </c>
      <c r="G12" s="491" cm="1">
        <f t="array" ref="G12">_xll.FDS($B2,"FF_INT_EXP_NET(ANN_R,"&amp;G5&amp;",,,,,B)")</f>
        <v>0.99099999999999999</v>
      </c>
      <c r="H12" s="491" cm="1">
        <f t="array" ref="H12">_xll.FDS($B2,"FF_INT_EXP_NET(ANN_R,"&amp;H5&amp;",,,,,B)")</f>
        <v>0.88</v>
      </c>
      <c r="I12" s="491" cm="1">
        <f t="array" ref="I12">_xll.FDS($B2,"FF_INT_EXP_NET(ANN_R,"&amp;I5&amp;",,,,,B)")</f>
        <v>0.88700000000000001</v>
      </c>
      <c r="J12" s="491" cm="1">
        <f t="array" ref="J12">_xll.FDS($B2,"FF_INT_EXP_NET(ANN_R,"&amp;J5&amp;",,,,,B)")</f>
        <v>0.85599999999999998</v>
      </c>
      <c r="K12" s="491" cm="1">
        <f t="array" ref="K12">_xll.FDS($B2,"FF_INT_EXP_NET(ANN_R,"&amp;K5&amp;",,,,,B)")</f>
        <v>0.61199999999999999</v>
      </c>
      <c r="L12" s="491" cm="1">
        <f t="array" ref="L12">_xll.FDS($B2,"FF_INT_EXP_NET(ANN_R,"&amp;L5&amp;",,,,,B)")</f>
        <v>0.78600000000000003</v>
      </c>
      <c r="M12" s="16"/>
    </row>
    <row r="13" spans="1:14">
      <c r="A13" s="259" t="str">
        <f>IS!A22&amp;" (at marginal tax rate)"</f>
        <v>Income Taxes (at marginal tax rate)</v>
      </c>
      <c r="B13" s="327"/>
      <c r="C13" s="327">
        <f>(C11-C12)*C20</f>
        <v>-2.5790800000000007</v>
      </c>
      <c r="D13" s="327">
        <f t="shared" ref="D13:L13" si="1">(D11-D12)*D20</f>
        <v>2.3307200000000008</v>
      </c>
      <c r="E13" s="327">
        <f t="shared" si="1"/>
        <v>2.2607199999999996</v>
      </c>
      <c r="F13" s="327">
        <f t="shared" si="1"/>
        <v>3.2379199999999995</v>
      </c>
      <c r="G13" s="327">
        <f t="shared" si="1"/>
        <v>3.4148800000000001</v>
      </c>
      <c r="H13" s="327">
        <f t="shared" si="1"/>
        <v>3.8084200000000008</v>
      </c>
      <c r="I13" s="327">
        <f t="shared" si="1"/>
        <v>3.10744</v>
      </c>
      <c r="J13" s="327">
        <f t="shared" si="1"/>
        <v>1.53132</v>
      </c>
      <c r="K13" s="327">
        <f t="shared" si="1"/>
        <v>1.1071199999999999</v>
      </c>
      <c r="L13" s="327">
        <f t="shared" si="1"/>
        <v>0.75739999999999996</v>
      </c>
      <c r="M13" s="16"/>
    </row>
    <row r="14" spans="1:14" s="17" customFormat="1">
      <c r="A14" s="255" t="s">
        <v>461</v>
      </c>
      <c r="B14" s="380"/>
      <c r="C14" s="380">
        <f>C11-C12-C13</f>
        <v>-6.6319200000000009</v>
      </c>
      <c r="D14" s="380">
        <f t="shared" ref="D14:L14" si="2">D11-D12-D13</f>
        <v>5.9932800000000004</v>
      </c>
      <c r="E14" s="380">
        <f t="shared" si="2"/>
        <v>5.8132799999999989</v>
      </c>
      <c r="F14" s="380">
        <f t="shared" si="2"/>
        <v>8.3260799999999975</v>
      </c>
      <c r="G14" s="380">
        <f t="shared" si="2"/>
        <v>8.7811199999999996</v>
      </c>
      <c r="H14" s="380">
        <f t="shared" si="2"/>
        <v>9.7930799999999998</v>
      </c>
      <c r="I14" s="380">
        <f t="shared" si="2"/>
        <v>7.9905599999999986</v>
      </c>
      <c r="J14" s="380">
        <f t="shared" si="2"/>
        <v>3.9376799999999994</v>
      </c>
      <c r="K14" s="380">
        <f t="shared" si="2"/>
        <v>2.8468799999999987</v>
      </c>
      <c r="L14" s="380">
        <f t="shared" si="2"/>
        <v>1.9475999999999996</v>
      </c>
      <c r="M14" s="18"/>
      <c r="N14"/>
    </row>
    <row r="15" spans="1:14">
      <c r="A15" s="373" t="str">
        <f>IS!A19</f>
        <v>Nonoperating Income - Net</v>
      </c>
      <c r="B15" s="379"/>
      <c r="C15" s="1126" cm="1">
        <f t="array" ref="C15">_xll.FDS($B2,"FF_NON_OPER_INC(ANN_R,"&amp;C5&amp;",,,,,B)")</f>
        <v>0.36499999999999999</v>
      </c>
      <c r="D15" s="1126" cm="1">
        <f t="array" ref="D15">_xll.FDS($B2,"FF_NON_OPER_INC(ANN_R,"&amp;D5&amp;",,,,,B)")</f>
        <v>0.28899999999999998</v>
      </c>
      <c r="E15" s="1126" cm="1">
        <f t="array" ref="E15">_xll.FDS($B2,"FF_NON_OPER_INC(ANN_R,"&amp;E5&amp;",,,,,B)")</f>
        <v>0.39700000000000002</v>
      </c>
      <c r="F15" s="1126" cm="1">
        <f t="array" ref="F15">_xll.FDS($B2,"FF_NON_OPER_INC(ANN_R,"&amp;F5&amp;",,,,,B)")</f>
        <v>0.23899999999999999</v>
      </c>
      <c r="G15" s="1126" cm="1">
        <f t="array" ref="G15">_xll.FDS($B2,"FF_NON_OPER_INC(ANN_R,"&amp;G5&amp;",,,,,B)")</f>
        <v>5.5E-2</v>
      </c>
      <c r="H15" s="1126" cm="1">
        <f t="array" ref="H15">_xll.FDS($B2,"FF_NON_OPER_INC(ANN_R,"&amp;H5&amp;",,,,,B)")</f>
        <v>-0.71699999999999997</v>
      </c>
      <c r="I15" s="1126" cm="1">
        <f t="array" ref="I15">_xll.FDS($B2,"FF_NON_OPER_INC(ANN_R,"&amp;I5&amp;",,,,,B)")</f>
        <v>2.4E-2</v>
      </c>
      <c r="J15" s="1126" cm="1">
        <f t="array" ref="J15">_xll.FDS($B2,"FF_NON_OPER_INC(ANN_R,"&amp;J5&amp;",,,,,B)")</f>
        <v>-3.4000000000000002E-2</v>
      </c>
      <c r="K15" s="1126" cm="1">
        <f t="array" ref="K15">_xll.FDS($B2,"FF_NON_OPER_INC(ANN_R,"&amp;K5&amp;",,,,,B)")</f>
        <v>0.26500000000000001</v>
      </c>
      <c r="L15" s="1126" cm="1">
        <f t="array" ref="L15">_xll.FDS($B2,"FF_NON_OPER_INC(ANN_R,"&amp;L5&amp;",,,,,B)")</f>
        <v>-0.746</v>
      </c>
      <c r="M15" s="16"/>
    </row>
    <row r="16" spans="1:14">
      <c r="A16" s="373" t="str">
        <f>IS!A21</f>
        <v>Unusual Expense - Net</v>
      </c>
      <c r="B16" s="379"/>
      <c r="C16" s="1126" cm="1">
        <f t="array" ref="C16">_xll.FDS($B2,"FF_UNUSUAL_EXP(ANN_R,"&amp;C5&amp;",,,,,B)")</f>
        <v>-0.79600000000000004</v>
      </c>
      <c r="D16" s="1126" cm="1">
        <f t="array" ref="D16">_xll.FDS($B2,"FF_UNUSUAL_EXP(ANN_R,"&amp;D5&amp;",,,,,B)")</f>
        <v>0.64400000000000002</v>
      </c>
      <c r="E16" s="1126" cm="1">
        <f t="array" ref="E16">_xll.FDS($B2,"FF_UNUSUAL_EXP(ANN_R,"&amp;E5&amp;",,,,,B)")</f>
        <v>0.90600000000000003</v>
      </c>
      <c r="F16" s="1126" cm="1">
        <f t="array" ref="F16">_xll.FDS($B2,"FF_UNUSUAL_EXP(ANN_R,"&amp;F5&amp;",,,,,B)")</f>
        <v>0.75600000000000001</v>
      </c>
      <c r="G16" s="1126" cm="1">
        <f t="array" ref="G16">_xll.FDS($B2,"FF_UNUSUAL_EXP(ANN_R,"&amp;G5&amp;",,,,,B)")</f>
        <v>0.77200000000000002</v>
      </c>
      <c r="H16" s="1126" cm="1">
        <f t="array" ref="H16">_xll.FDS($B2,"FF_UNUSUAL_EXP(ANN_R,"&amp;H5&amp;",,,,,B)")</f>
        <v>1.08</v>
      </c>
      <c r="I16" s="1126" cm="1">
        <f t="array" ref="I16">_xll.FDS($B2,"FF_UNUSUAL_EXP(ANN_R,"&amp;I5&amp;",,,,,B)")</f>
        <v>0.82399999999999995</v>
      </c>
      <c r="J16" s="1126" cm="1">
        <f t="array" ref="J16">_xll.FDS($B2,"FF_UNUSUAL_EXP(ANN_R,"&amp;J5&amp;",,,,,B)")</f>
        <v>3.222</v>
      </c>
      <c r="K16" s="1126" cm="1">
        <f t="array" ref="K16">_xll.FDS($B2,"FF_UNUSUAL_EXP(ANN_R,"&amp;K5&amp;",,,,,B)")</f>
        <v>2.5960000000000001</v>
      </c>
      <c r="L16" s="1126" cm="1">
        <f t="array" ref="L16">_xll.FDS($B2,"FF_UNUSUAL_EXP(ANN_R,"&amp;L5&amp;",,,,,B)")</f>
        <v>0.502</v>
      </c>
      <c r="M16" s="16"/>
    </row>
    <row r="17" spans="1:13">
      <c r="A17" s="259" t="s">
        <v>462</v>
      </c>
      <c r="B17" s="259"/>
      <c r="C17" s="327">
        <f>(C15-C16)*C20</f>
        <v>0.32508000000000004</v>
      </c>
      <c r="D17" s="327">
        <f t="shared" ref="D17:L17" si="3">(D15-D16)*D20</f>
        <v>-9.9400000000000016E-2</v>
      </c>
      <c r="E17" s="327">
        <f t="shared" si="3"/>
        <v>-0.14252000000000001</v>
      </c>
      <c r="F17" s="327">
        <f t="shared" si="3"/>
        <v>-0.14476000000000003</v>
      </c>
      <c r="G17" s="327">
        <f t="shared" si="3"/>
        <v>-0.20076000000000002</v>
      </c>
      <c r="H17" s="327">
        <f t="shared" si="3"/>
        <v>-0.50316000000000005</v>
      </c>
      <c r="I17" s="327">
        <f t="shared" si="3"/>
        <v>-0.224</v>
      </c>
      <c r="J17" s="327">
        <f t="shared" si="3"/>
        <v>-0.91168000000000005</v>
      </c>
      <c r="K17" s="327">
        <f t="shared" si="3"/>
        <v>-0.65268000000000004</v>
      </c>
      <c r="L17" s="327">
        <f t="shared" si="3"/>
        <v>-0.34944000000000003</v>
      </c>
      <c r="M17" s="16"/>
    </row>
    <row r="18" spans="1:13" s="17" customFormat="1">
      <c r="A18" s="255" t="s">
        <v>463</v>
      </c>
      <c r="B18" s="380"/>
      <c r="C18" s="380">
        <f>C14+C15-C16-C17</f>
        <v>-5.7960000000000003</v>
      </c>
      <c r="D18" s="380">
        <f t="shared" ref="D18:L18" si="4">D14+D15-D16-D17</f>
        <v>5.7376800000000001</v>
      </c>
      <c r="E18" s="380">
        <f t="shared" si="4"/>
        <v>5.4467999999999996</v>
      </c>
      <c r="F18" s="380">
        <f t="shared" si="4"/>
        <v>7.9538399999999978</v>
      </c>
      <c r="G18" s="380">
        <f t="shared" si="4"/>
        <v>8.2648799999999998</v>
      </c>
      <c r="H18" s="380">
        <f t="shared" si="4"/>
        <v>8.4992399999999986</v>
      </c>
      <c r="I18" s="380">
        <f t="shared" si="4"/>
        <v>7.414559999999998</v>
      </c>
      <c r="J18" s="380">
        <f t="shared" si="4"/>
        <v>1.5933599999999997</v>
      </c>
      <c r="K18" s="380">
        <f t="shared" si="4"/>
        <v>1.1685599999999989</v>
      </c>
      <c r="L18" s="380">
        <f t="shared" si="4"/>
        <v>1.0490399999999995</v>
      </c>
      <c r="M18" s="18"/>
    </row>
    <row r="19" spans="1:13">
      <c r="A19" s="677" t="s">
        <v>464</v>
      </c>
      <c r="B19" s="473"/>
      <c r="C19" s="633" cm="1">
        <f t="array" ref="C19">_xll.FDS($B2,"FF_INC_TAX(ANN_R,"&amp;C5&amp;",,,,,B)")/(_xll.FDS($B2,"FF_EBIT_OPER(ANN_R,"&amp;C5&amp;",,,,,B)")+C15-C12-C16)</f>
        <v>0.2242207281934864</v>
      </c>
      <c r="D19" s="633" cm="1">
        <f t="array" ref="D19">_xll.FDS($B2,"FF_INC_TAX(ANN_R,"&amp;D5&amp;",,,,,B)")/(_xll.FDS($B2,"FF_EBIT_OPER(ANN_R,"&amp;D5&amp;",,,,,B)")+D15-D12-D16)</f>
        <v>0.25265957446808507</v>
      </c>
      <c r="E19" s="633" cm="1">
        <f t="array" ref="E19">_xll.FDS($B2,"FF_INC_TAX(ANN_R,"&amp;E5&amp;",,,,,B)")/(_xll.FDS($B2,"FF_EBIT_OPER(ANN_R,"&amp;E5&amp;",,,,,B)")+E15-E12-E16)</f>
        <v>0.2505307855626327</v>
      </c>
      <c r="F19" s="633" cm="1">
        <f t="array" ref="F19">_xll.FDS($B2,"FF_INC_TAX(ANN_R,"&amp;F5&amp;",,,,,B)")/(_xll.FDS($B2,"FF_EBIT_OPER(ANN_R,"&amp;F5&amp;",,,,,B)")+F15-F12-F16)</f>
        <v>0.62238586156111941</v>
      </c>
      <c r="G19" s="633" cm="1">
        <f t="array" ref="G19">_xll.FDS($B2,"FF_INC_TAX(ANN_R,"&amp;G5&amp;",,,,,B)")/(_xll.FDS($B2,"FF_EBIT_OPER(ANN_R,"&amp;G5&amp;",,,,,B)")+G15-G12-G16)</f>
        <v>0.37752965806001398</v>
      </c>
      <c r="H19" s="633" cm="1">
        <f t="array" ref="H19">_xll.FDS($B2,"FF_INC_TAX(ANN_R,"&amp;H5&amp;",,,,,B)")/(_xll.FDS($B2,"FF_EBIT_OPER(ANN_R,"&amp;H5&amp;",,,,,B)")+H15-H12-H16)</f>
        <v>-0.64861351819757362</v>
      </c>
      <c r="I19" s="633" cm="1">
        <f t="array" ref="I19">_xll.FDS($B2,"FF_INC_TAX(ANN_R,"&amp;I5&amp;",,,,,B)")/(_xll.FDS($B2,"FF_EBIT_OPER(ANN_R,"&amp;I5&amp;",,,,,B)")+I15-I12-I16)</f>
        <v>9.7345132743362817E-2</v>
      </c>
      <c r="J19" s="633" cm="1">
        <f t="array" ref="J19">_xll.FDS($B2,"FF_INC_TAX(ANN_R,"&amp;J5&amp;",,,,,B)")/(_xll.FDS($B2,"FF_EBIT_OPER(ANN_R,"&amp;J5&amp;",,,,,B)")+J15-J12-J16)</f>
        <v>0.15871559633027521</v>
      </c>
      <c r="K19" s="633" cm="1">
        <f t="array" ref="K19">_xll.FDS($B2,"FF_INC_TAX(ANN_R,"&amp;K5&amp;",,,,,B)")/(_xll.FDS($B2,"FF_EBIT_OPER(ANN_R,"&amp;K5&amp;",,,,,B)")+K15-K12-K16)</f>
        <v>0.23271983640081795</v>
      </c>
      <c r="L19" s="633" cm="1">
        <f t="array" ref="L19">_xll.FDS($B2,"FF_INC_TAX(ANN_R,"&amp;L5&amp;",,,,,B)")/(_xll.FDS($B2,"FF_EBIT_OPER(ANN_R,"&amp;L5&amp;",,,,,B)")+L15-L12-L16)</f>
        <v>0</v>
      </c>
      <c r="M19" s="16"/>
    </row>
    <row r="20" spans="1:13">
      <c r="A20" s="382" t="s">
        <v>465</v>
      </c>
      <c r="B20" s="383"/>
      <c r="C20" s="1109">
        <f>'AAL-US R&amp;D'!$B5</f>
        <v>0.28000000000000003</v>
      </c>
      <c r="D20" s="1109">
        <f>'AAL-US R&amp;D'!$B5</f>
        <v>0.28000000000000003</v>
      </c>
      <c r="E20" s="1109">
        <f>'AAL-US R&amp;D'!$B5</f>
        <v>0.28000000000000003</v>
      </c>
      <c r="F20" s="1109">
        <f>'AAL-US R&amp;D'!$B5</f>
        <v>0.28000000000000003</v>
      </c>
      <c r="G20" s="1109">
        <f>'AAL-US R&amp;D'!$B5</f>
        <v>0.28000000000000003</v>
      </c>
      <c r="H20" s="1109">
        <f>'AAL-US R&amp;D'!$B5</f>
        <v>0.28000000000000003</v>
      </c>
      <c r="I20" s="1109">
        <f>'AAL-US R&amp;D'!$B5</f>
        <v>0.28000000000000003</v>
      </c>
      <c r="J20" s="1109">
        <f>'AAL-US R&amp;D'!$B5</f>
        <v>0.28000000000000003</v>
      </c>
      <c r="K20" s="1109">
        <f>'AAL-US R&amp;D'!$B5</f>
        <v>0.28000000000000003</v>
      </c>
      <c r="L20" s="1109">
        <f>'AAL-US R&amp;D'!$B5</f>
        <v>0.28000000000000003</v>
      </c>
      <c r="M20" s="16"/>
    </row>
    <row r="21" spans="1:13">
      <c r="A21" s="255" t="str">
        <f>IS!A31</f>
        <v>EBITDA</v>
      </c>
      <c r="B21" s="327"/>
      <c r="C21" s="491" cm="1">
        <f t="array" ref="C21">_xll.FDS($B2,"FF_EBITDA_OPER(ANN_R,"&amp;C5&amp;",,,,,B)")</f>
        <v>-9.0220000000000002</v>
      </c>
      <c r="D21" s="491" cm="1">
        <f t="array" ref="D21">_xll.FDS($B2,"FF_EBITDA_OPER(ANN_R,"&amp;D5&amp;",,,,,B)")</f>
        <v>6.024</v>
      </c>
      <c r="E21" s="491" cm="1">
        <f t="array" ref="E21">_xll.FDS($B2,"FF_EBITDA_OPER(ANN_R,"&amp;E5&amp;",,,,,B)")</f>
        <v>5.6059999999999999</v>
      </c>
      <c r="F21" s="491" cm="1">
        <f t="array" ref="F21">_xll.FDS($B2,"FF_EBITDA_OPER(ANN_R,"&amp;F5&amp;",,,,,B)")</f>
        <v>6.9820000000000002</v>
      </c>
      <c r="G21" s="491" cm="1">
        <f t="array" ref="G21">_xll.FDS($B2,"FF_EBITDA_OPER(ANN_R,"&amp;G5&amp;",,,,,B)")</f>
        <v>7.8330000000000002</v>
      </c>
      <c r="H21" s="491" cm="1">
        <f t="array" ref="H21">_xll.FDS($B2,"FF_EBITDA_OPER(ANN_R,"&amp;H5&amp;",,,,,B)")</f>
        <v>8.9</v>
      </c>
      <c r="I21" s="491" cm="1">
        <f t="array" ref="I21">_xll.FDS($B2,"FF_EBITDA_OPER(ANN_R,"&amp;I5&amp;",,,,,B)")</f>
        <v>6.5890000000000004</v>
      </c>
      <c r="J21" s="491" cm="1">
        <f t="array" ref="J21">_xll.FDS($B2,"FF_EBITDA_OPER(ANN_R,"&amp;J5&amp;",,,,,B)")</f>
        <v>2.9529999999999998</v>
      </c>
      <c r="K21" s="491" cm="1">
        <f t="array" ref="K21">_xll.FDS($B2,"FF_EBITDA_OPER(ANN_R,"&amp;K5&amp;",,,,,B)")</f>
        <v>1.5129999999999999</v>
      </c>
      <c r="L21" s="491" cm="1">
        <f t="array" ref="L21">_xll.FDS($B2,"FF_EBITDA_OPER(ANN_R,"&amp;L5&amp;",,,,,B)")</f>
        <v>1.141</v>
      </c>
      <c r="M21" s="16"/>
    </row>
    <row r="22" spans="1:13">
      <c r="A22" s="259" t="s">
        <v>466</v>
      </c>
      <c r="B22" s="327"/>
      <c r="C22" s="327">
        <f>SUM(C11,'DAL-US CFS-adj'!C10:C12)</f>
        <v>-5.6720000000000024</v>
      </c>
      <c r="D22" s="327">
        <f>SUM(D11,'DAL-US CFS-adj'!D10:D12)</f>
        <v>12.000000000000002</v>
      </c>
      <c r="E22" s="327">
        <f>SUM(E11,'DAL-US CFS-adj'!E10:E12)</f>
        <v>11.459</v>
      </c>
      <c r="F22" s="327">
        <f>SUM(F11,'DAL-US CFS-adj'!F10:F12)</f>
        <v>14.851999999999997</v>
      </c>
      <c r="G22" s="327">
        <f>SUM(G11,'DAL-US CFS-adj'!G10:G12)</f>
        <v>15.088999999999999</v>
      </c>
      <c r="H22" s="327">
        <f>SUM(H11,'DAL-US CFS-adj'!H10:H12)</f>
        <v>16.316500000000001</v>
      </c>
      <c r="I22" s="327">
        <f>SUM(I11,'DAL-US CFS-adj'!I10:I12)</f>
        <v>13.756</v>
      </c>
      <c r="J22" s="327">
        <f>SUM(J11,'DAL-US CFS-adj'!J10:J12)</f>
        <v>7.9829999999999988</v>
      </c>
      <c r="K22" s="327">
        <f>SUM(K11,'DAL-US CFS-adj'!K10:K12)</f>
        <v>6.1309999999999985</v>
      </c>
      <c r="L22" s="327">
        <f>SUM(L11,'DAL-US CFS-adj'!L10:L12)</f>
        <v>5.0139999999999993</v>
      </c>
      <c r="M22" s="16"/>
    </row>
    <row r="23" spans="1:13">
      <c r="A23" s="259"/>
      <c r="B23" s="327"/>
      <c r="C23"/>
      <c r="D23" s="327"/>
      <c r="E23" s="327"/>
      <c r="F23" s="327"/>
      <c r="G23" s="327"/>
      <c r="H23" s="327"/>
      <c r="I23" s="327"/>
      <c r="J23" s="327"/>
      <c r="K23" s="327"/>
      <c r="L23" s="327"/>
      <c r="M23" s="16"/>
    </row>
    <row r="24" spans="1:13">
      <c r="A24" s="385" t="str">
        <f>IS!A58</f>
        <v>Shs Outstanding (M) - Basic</v>
      </c>
      <c r="B24" s="327"/>
      <c r="C24" s="1124" cm="1">
        <f t="array" ref="C24">_xll.FDS($B2,"FF_COM_SHS_OUT(ANN_R,"&amp;C5&amp;")")</f>
        <v>621.47952199999997</v>
      </c>
      <c r="D24" s="1124" cm="1">
        <f t="array" ref="D24">_xll.FDS($B2,"FF_COM_SHS_OUT(ANN_R,"&amp;D5&amp;")")</f>
        <v>428.20250600000003</v>
      </c>
      <c r="E24" s="1124" cm="1">
        <f t="array" ref="E24">_xll.FDS($B2,"FF_COM_SHS_OUT(ANN_R,"&amp;E5&amp;")")</f>
        <v>460.61086999999998</v>
      </c>
      <c r="F24" s="1124" cm="1">
        <f t="array" ref="F24">_xll.FDS($B2,"FF_COM_SHS_OUT(ANN_R,"&amp;F5&amp;")")</f>
        <v>475.50788699999998</v>
      </c>
      <c r="G24" s="1124" cm="1">
        <f t="array" ref="G24">_xll.FDS($B2,"FF_COM_SHS_OUT(ANN_R,"&amp;G5&amp;")")</f>
        <v>507.29415299999999</v>
      </c>
      <c r="H24" s="1124" cm="1">
        <f t="array" ref="H24">_xll.FDS($B2,"FF_COM_SHS_OUT(ANN_R,"&amp;H5&amp;")")</f>
        <v>624.62238100000002</v>
      </c>
      <c r="I24" s="1124" cm="1">
        <f t="array" ref="I24">_xll.FDS($B2,"FF_COM_SHS_OUT(ANN_R,"&amp;I5&amp;")")</f>
        <v>697.47453499999995</v>
      </c>
      <c r="J24" s="1124" cm="1">
        <f t="array" ref="J24">_xll.FDS($B2,"FF_COM_SHS_OUT(ANN_R,"&amp;J5&amp;")")</f>
        <v>261.06900000000002</v>
      </c>
      <c r="K24" s="1124" cm="1">
        <f t="array" ref="K24">_xll.FDS($B2,"FF_COM_SHS_OUT(ANN_R,"&amp;K5&amp;")")</f>
        <v>335.292238</v>
      </c>
      <c r="L24" s="1124" cm="1">
        <f t="array" ref="L24">_xll.FDS($B2,"FF_COM_SHS_OUT(ANN_R,"&amp;L5&amp;")")</f>
        <v>335.26739800000001</v>
      </c>
      <c r="M24" s="16"/>
    </row>
    <row r="25" spans="1:13">
      <c r="A25" s="259" t="s">
        <v>467</v>
      </c>
      <c r="B25" s="327"/>
      <c r="C25" s="327">
        <f>C11/C8</f>
        <v>-0.46051796735306005</v>
      </c>
      <c r="D25" s="327">
        <f t="shared" ref="D25:L25" si="5">D11/D8</f>
        <v>0.20579881139660902</v>
      </c>
      <c r="E25" s="327">
        <f t="shared" si="5"/>
        <v>0.20497968164163355</v>
      </c>
      <c r="F25" s="327">
        <f t="shared" si="5"/>
        <v>0.29602083431091919</v>
      </c>
      <c r="G25" s="327">
        <f t="shared" si="5"/>
        <v>0.32819810851169734</v>
      </c>
      <c r="H25" s="327">
        <f t="shared" si="5"/>
        <v>0.35329348621615031</v>
      </c>
      <c r="I25" s="327">
        <f t="shared" si="5"/>
        <v>0.28100820633059787</v>
      </c>
      <c r="J25" s="327">
        <f t="shared" si="5"/>
        <v>0.23651048872602176</v>
      </c>
      <c r="K25" s="327">
        <f t="shared" si="5"/>
        <v>0.18370549185274587</v>
      </c>
      <c r="L25" s="327">
        <f t="shared" si="5"/>
        <v>0.14558572083906751</v>
      </c>
      <c r="M25" s="16"/>
    </row>
    <row r="26" spans="1:13">
      <c r="A26" s="259"/>
      <c r="B26" s="327"/>
      <c r="C26" s="387"/>
      <c r="D26" s="327"/>
      <c r="E26" s="327"/>
      <c r="F26" s="327"/>
      <c r="G26" s="327"/>
      <c r="H26" s="327"/>
      <c r="I26" s="327"/>
      <c r="J26" s="327"/>
      <c r="K26" s="327"/>
      <c r="L26" s="327"/>
      <c r="M26" s="16"/>
    </row>
    <row r="27" spans="1:13">
      <c r="A27" s="259"/>
      <c r="B27" s="327"/>
      <c r="C27" s="641"/>
      <c r="D27" s="641"/>
      <c r="E27" s="641"/>
      <c r="F27" s="641"/>
      <c r="G27" s="641"/>
      <c r="H27" s="641"/>
      <c r="I27" s="641"/>
      <c r="J27" s="641"/>
      <c r="K27" s="641"/>
      <c r="L27" s="327"/>
      <c r="M27" s="16"/>
    </row>
    <row r="28" spans="1:13">
      <c r="A28" s="259"/>
      <c r="B28" s="327"/>
      <c r="C28" s="387"/>
      <c r="D28" s="327"/>
      <c r="E28" s="327"/>
      <c r="F28" s="327"/>
      <c r="G28" s="327"/>
      <c r="H28" s="327"/>
      <c r="I28" s="327"/>
      <c r="J28" s="327"/>
      <c r="K28" s="327"/>
      <c r="L28" s="327"/>
      <c r="M28" s="16"/>
    </row>
    <row r="29" spans="1:13">
      <c r="A29" s="259"/>
      <c r="B29" s="327"/>
      <c r="C29" s="387"/>
      <c r="D29" s="327"/>
      <c r="E29" s="327"/>
      <c r="F29" s="327"/>
      <c r="G29" s="327"/>
      <c r="H29" s="327"/>
      <c r="I29" s="327"/>
      <c r="J29" s="327"/>
      <c r="K29" s="327"/>
      <c r="L29" s="327"/>
      <c r="M29" s="16"/>
    </row>
    <row r="30" spans="1:13">
      <c r="A30" s="259"/>
      <c r="B30" s="327"/>
      <c r="C30" s="387"/>
      <c r="D30" s="327"/>
      <c r="E30" s="327"/>
      <c r="F30" s="327"/>
      <c r="G30" s="327"/>
      <c r="H30" s="327"/>
      <c r="I30" s="327"/>
      <c r="J30" s="327"/>
      <c r="K30" s="327"/>
      <c r="L30" s="327"/>
      <c r="M30" s="16"/>
    </row>
    <row r="31" spans="1:13">
      <c r="A31" s="259"/>
      <c r="B31" s="327"/>
      <c r="C31" s="327"/>
      <c r="D31" s="327"/>
      <c r="E31" s="327"/>
      <c r="F31" s="327"/>
      <c r="G31" s="327"/>
      <c r="H31" s="327"/>
      <c r="I31" s="327"/>
      <c r="J31" s="327"/>
      <c r="K31" s="327"/>
      <c r="L31" s="327"/>
      <c r="M31" s="16"/>
    </row>
    <row r="32" spans="1:13">
      <c r="A32" s="255"/>
      <c r="B32" s="327"/>
      <c r="C32" s="327"/>
      <c r="D32" s="327"/>
      <c r="E32" s="327"/>
      <c r="F32" s="327"/>
      <c r="G32" s="327"/>
      <c r="H32" s="327"/>
      <c r="I32" s="327"/>
      <c r="J32" s="327"/>
      <c r="K32" s="327"/>
      <c r="L32" s="327"/>
      <c r="M32" s="16"/>
    </row>
    <row r="33" spans="1:13">
      <c r="A33" s="259"/>
      <c r="B33" s="327"/>
      <c r="C33" s="327"/>
      <c r="D33" s="327"/>
      <c r="E33" s="327"/>
      <c r="F33" s="327"/>
      <c r="G33" s="327"/>
      <c r="H33" s="327"/>
      <c r="I33" s="327"/>
      <c r="J33" s="327"/>
      <c r="K33" s="327"/>
      <c r="L33" s="327"/>
      <c r="M33" s="16"/>
    </row>
    <row r="34" spans="1:13">
      <c r="A34" s="259"/>
      <c r="B34" s="327"/>
      <c r="C34" s="327"/>
      <c r="D34" s="327"/>
      <c r="E34" s="327"/>
      <c r="F34" s="327"/>
      <c r="G34" s="327"/>
      <c r="H34" s="327"/>
      <c r="I34" s="327"/>
      <c r="J34" s="327"/>
      <c r="K34" s="327"/>
      <c r="L34" s="327"/>
      <c r="M34" s="16"/>
    </row>
    <row r="35" spans="1:13">
      <c r="A35" s="259"/>
      <c r="B35" s="327"/>
      <c r="C35" s="327"/>
      <c r="D35" s="327"/>
      <c r="E35" s="327"/>
      <c r="F35" s="327"/>
      <c r="G35" s="327"/>
      <c r="H35" s="327"/>
      <c r="I35" s="327"/>
      <c r="J35" s="327"/>
      <c r="K35" s="327"/>
      <c r="L35" s="327"/>
      <c r="M35" s="16"/>
    </row>
    <row r="36" spans="1:13">
      <c r="A36" s="259"/>
      <c r="B36" s="327"/>
      <c r="C36" s="327"/>
      <c r="D36" s="327"/>
      <c r="E36" s="327"/>
      <c r="F36" s="327"/>
      <c r="G36" s="327"/>
      <c r="H36" s="327"/>
      <c r="I36" s="327"/>
      <c r="J36" s="327"/>
      <c r="K36" s="327"/>
      <c r="L36" s="327"/>
      <c r="M36" s="16"/>
    </row>
    <row r="37" spans="1:13">
      <c r="A37" s="259"/>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5"/>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9"/>
      <c r="B44" s="327"/>
      <c r="C44" s="327"/>
      <c r="D44" s="327"/>
      <c r="E44" s="327"/>
      <c r="F44" s="327"/>
      <c r="G44" s="327"/>
      <c r="H44" s="327"/>
      <c r="I44" s="327"/>
      <c r="J44" s="327"/>
      <c r="K44" s="327"/>
      <c r="L44" s="327"/>
      <c r="M44" s="16"/>
    </row>
    <row r="45" spans="1:13">
      <c r="A45" s="259"/>
      <c r="B45" s="327"/>
      <c r="C45" s="327"/>
      <c r="D45" s="327"/>
      <c r="E45" s="327"/>
      <c r="F45" s="327"/>
      <c r="G45" s="327"/>
      <c r="H45" s="327"/>
      <c r="I45" s="327"/>
      <c r="J45" s="327"/>
      <c r="K45" s="327"/>
      <c r="L45" s="327"/>
      <c r="M45" s="16"/>
    </row>
    <row r="46" spans="1:13">
      <c r="A46" s="252"/>
      <c r="B46" s="327"/>
      <c r="C46" s="327"/>
      <c r="D46" s="327"/>
      <c r="E46" s="327"/>
      <c r="F46" s="327"/>
      <c r="G46" s="327"/>
      <c r="H46" s="327"/>
      <c r="I46" s="327"/>
      <c r="J46" s="327"/>
      <c r="K46" s="327"/>
      <c r="L46" s="327"/>
      <c r="M46" s="16"/>
    </row>
    <row r="48" spans="1:13">
      <c r="A48" s="327"/>
    </row>
    <row r="49" spans="1:1">
      <c r="A49" s="327"/>
    </row>
    <row r="50" spans="1:1">
      <c r="A50" s="327"/>
    </row>
    <row r="51" spans="1:1">
      <c r="A51" s="327"/>
    </row>
    <row r="52" spans="1:1">
      <c r="A52" s="327"/>
    </row>
    <row r="53" spans="1:1">
      <c r="A53" s="327"/>
    </row>
    <row r="54" spans="1:1">
      <c r="A54" s="327"/>
    </row>
    <row r="55" spans="1:1">
      <c r="A55" s="327"/>
    </row>
    <row r="56" spans="1:1">
      <c r="A56" s="327"/>
    </row>
    <row r="57" spans="1:1">
      <c r="A57" s="327"/>
    </row>
    <row r="58" spans="1:1">
      <c r="A58" s="327"/>
    </row>
    <row r="59" spans="1:1">
      <c r="A59" s="327"/>
    </row>
    <row r="60" spans="1:1">
      <c r="A60" s="327"/>
    </row>
    <row r="61" spans="1:1">
      <c r="A61" s="327"/>
    </row>
    <row r="62" spans="1:1">
      <c r="A62" s="327"/>
    </row>
    <row r="63" spans="1:1">
      <c r="A63" s="327"/>
    </row>
    <row r="64" spans="1:1">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sheetData>
  <pageMargins left="0.7" right="0.7" top="0.78740157499999996" bottom="0.78740157499999996"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8B5DC-4233-4E7D-94D6-0A2C780C0F0B}">
  <sheetPr>
    <tabColor theme="2" tint="-0.499984740745262"/>
  </sheetPr>
  <dimension ref="A1:N157"/>
  <sheetViews>
    <sheetView workbookViewId="0">
      <selection activeCell="C20" sqref="C20:L20"/>
    </sheetView>
  </sheetViews>
  <sheetFormatPr defaultColWidth="11.28515625" defaultRowHeight="15"/>
  <cols>
    <col min="1" max="1" width="32.7109375" style="3" customWidth="1"/>
    <col min="2" max="2" width="7.42578125" style="3" customWidth="1"/>
    <col min="3" max="12" width="11.28515625" style="3"/>
  </cols>
  <sheetData>
    <row r="1" spans="1:14" s="340" customFormat="1" ht="26.1" customHeight="1">
      <c r="A1" s="371" t="s">
        <v>460</v>
      </c>
    </row>
    <row r="2" spans="1:14">
      <c r="A2" s="327" t="str">
        <f>IS!A8</f>
        <v>Ticker</v>
      </c>
      <c r="B2" s="327" t="str">
        <f>'Industry Ratios'!G3</f>
        <v>LUV-US</v>
      </c>
      <c r="C2" s="327"/>
      <c r="D2" s="327"/>
      <c r="E2" s="327"/>
      <c r="F2" s="327"/>
      <c r="G2" s="327"/>
      <c r="H2" s="327"/>
      <c r="I2" s="327"/>
      <c r="J2" s="327"/>
      <c r="K2" s="327"/>
      <c r="L2" s="327"/>
      <c r="M2" s="16"/>
    </row>
    <row r="3" spans="1:14">
      <c r="A3" s="327"/>
      <c r="B3" s="327"/>
      <c r="C3" s="1055" t="s">
        <v>355</v>
      </c>
      <c r="D3" s="327"/>
      <c r="E3" s="327"/>
      <c r="F3" s="327"/>
      <c r="G3" s="327"/>
      <c r="H3" s="327"/>
      <c r="I3" s="327"/>
      <c r="J3" s="327"/>
      <c r="K3" s="327"/>
      <c r="L3" s="327"/>
      <c r="M3" s="16"/>
    </row>
    <row r="4" spans="1:14">
      <c r="A4" s="327"/>
      <c r="B4" s="327"/>
      <c r="C4" s="327"/>
      <c r="D4" s="327"/>
      <c r="E4" s="327"/>
      <c r="F4" s="327"/>
      <c r="G4" s="327"/>
      <c r="H4" s="327"/>
      <c r="I4" s="327"/>
      <c r="J4" s="327"/>
      <c r="K4" s="327"/>
      <c r="L4" s="327"/>
      <c r="M4" s="16"/>
    </row>
    <row r="5" spans="1:14">
      <c r="A5" s="327"/>
      <c r="B5" s="327"/>
      <c r="C5" s="491"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4">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4">
      <c r="A7" s="377" t="str">
        <f>IS!A13</f>
        <v>Income Statement</v>
      </c>
      <c r="B7" s="327"/>
      <c r="C7" s="1059" t="s">
        <v>447</v>
      </c>
      <c r="D7" s="327"/>
      <c r="E7" s="327"/>
      <c r="F7" s="327"/>
      <c r="G7" s="327"/>
      <c r="H7" s="327"/>
      <c r="I7" s="327"/>
      <c r="J7" s="327"/>
      <c r="K7" s="327"/>
      <c r="L7" s="327"/>
      <c r="M7" s="16"/>
    </row>
    <row r="8" spans="1:14">
      <c r="A8" s="377" t="str">
        <f>IS!A14</f>
        <v>Sales</v>
      </c>
      <c r="B8" s="327"/>
      <c r="C8" s="491" cm="1">
        <f t="array" ref="C8">_xll.FDS($B2,"FF_SALES(ANN_R,"&amp;C5&amp;",,,,,B)")</f>
        <v>9.048</v>
      </c>
      <c r="D8" s="491" cm="1">
        <f t="array" ref="D8">_xll.FDS($B2,"FF_SALES(ANN_R,"&amp;D5&amp;",,,,,B)")</f>
        <v>22.428000000000001</v>
      </c>
      <c r="E8" s="491" cm="1">
        <f t="array" ref="E8">_xll.FDS($B2,"FF_SALES(ANN_R,"&amp;E5&amp;",,,,,B)")</f>
        <v>21.965</v>
      </c>
      <c r="F8" s="491" cm="1">
        <f t="array" ref="F8">_xll.FDS($B2,"FF_SALES(ANN_R,"&amp;F5&amp;",,,,,B)")</f>
        <v>21.146000000000001</v>
      </c>
      <c r="G8" s="491" cm="1">
        <f t="array" ref="G8">_xll.FDS($B2,"FF_SALES(ANN_R,"&amp;G5&amp;",,,,,B)")</f>
        <v>20.289000000000001</v>
      </c>
      <c r="H8" s="491" cm="1">
        <f t="array" ref="H8">_xll.FDS($B2,"FF_SALES(ANN_R,"&amp;H5&amp;",,,,,B)")</f>
        <v>19.82</v>
      </c>
      <c r="I8" s="491" cm="1">
        <f t="array" ref="I8">_xll.FDS($B2,"FF_SALES(ANN_R,"&amp;I5&amp;",,,,,B)")</f>
        <v>18.605</v>
      </c>
      <c r="J8" s="491" cm="1">
        <f t="array" ref="J8">_xll.FDS($B2,"FF_SALES(ANN_R,"&amp;J5&amp;",,,,,B)")</f>
        <v>17.699000000000002</v>
      </c>
      <c r="K8" s="491" cm="1">
        <f t="array" ref="K8">_xll.FDS($B2,"FF_SALES(ANN_R,"&amp;K5&amp;",,,,,B)")</f>
        <v>17.088000000000001</v>
      </c>
      <c r="L8" s="491" cm="1">
        <f t="array" ref="L8">_xll.FDS($B2,"FF_SALES(ANN_R,"&amp;L5&amp;",,,,,B)")</f>
        <v>15.657999999999999</v>
      </c>
      <c r="M8" s="16"/>
    </row>
    <row r="9" spans="1:14">
      <c r="A9" s="373" t="str">
        <f>IS!A15</f>
        <v>Cost of Goods Sold (COGS) incl. D&amp;A</v>
      </c>
      <c r="B9" s="379"/>
      <c r="C9" s="1125" cm="1">
        <f t="array" ref="C9">_xll.FDS($B2,"FF_COGS(ANN_R,"&amp;C5&amp;",,,,,B)")+'DAL-US R&amp;D'!C47+'DAL-US Lease'!C30</f>
        <v>11.835000000000001</v>
      </c>
      <c r="D9" s="1125" cm="1">
        <f t="array" ref="D9">_xll.FDS($B2,"FF_COGS(ANN_R,"&amp;D5&amp;",,,,,B)")+'DAL-US R&amp;D'!D47+'DAL-US Lease'!D30</f>
        <v>16.396999999999998</v>
      </c>
      <c r="E9" s="1125" cm="1">
        <f t="array" ref="E9">_xll.FDS($B2,"FF_COGS(ANN_R,"&amp;E5&amp;",,,,,B)")+'DAL-US R&amp;D'!E47+'DAL-US Lease'!E30</f>
        <v>15.94</v>
      </c>
      <c r="F9" s="1125" cm="1">
        <f t="array" ref="F9">_xll.FDS($B2,"FF_COGS(ANN_R,"&amp;F5&amp;",,,,,B)")+'DAL-US R&amp;D'!F47+'DAL-US Lease'!F30</f>
        <v>14.34</v>
      </c>
      <c r="G9" s="1125" cm="1">
        <f t="array" ref="G9">_xll.FDS($B2,"FF_COGS(ANN_R,"&amp;G5&amp;",,,,,B)")+'DAL-US R&amp;D'!G47+'DAL-US Lease'!G30</f>
        <v>14.064</v>
      </c>
      <c r="H9" s="1125" cm="1">
        <f t="array" ref="H9">_xll.FDS($B2,"FF_COGS(ANN_R,"&amp;H5&amp;",,,,,B)")+'DAL-US R&amp;D'!H47+'DAL-US Lease'!H30</f>
        <v>13.045</v>
      </c>
      <c r="I9" s="1125" cm="1">
        <f t="array" ref="I9">_xll.FDS($B2,"FF_COGS(ANN_R,"&amp;I5&amp;",,,,,B)")+'DAL-US R&amp;D'!I47+'DAL-US Lease'!I30</f>
        <v>14.083</v>
      </c>
      <c r="J9" s="1125" cm="1">
        <f t="array" ref="J9">_xll.FDS($B2,"FF_COGS(ANN_R,"&amp;J5&amp;",,,,,B)")+'DAL-US R&amp;D'!J47+'DAL-US Lease'!J30</f>
        <v>14.374000000000001</v>
      </c>
      <c r="K9" s="1125" cm="1">
        <f t="array" ref="K9">_xll.FDS($B2,"FF_COGS(ANN_R,"&amp;K5&amp;",,,,,B)")+'DAL-US R&amp;D'!K47+'DAL-US Lease'!K30</f>
        <v>14.141999999999999</v>
      </c>
      <c r="L9" s="1125" cm="1">
        <f t="array" ref="L9">_xll.FDS($B2,"FF_COGS(ANN_R,"&amp;L5&amp;",,,,,B)")+'DAL-US R&amp;D'!L47+'DAL-US Lease'!L30</f>
        <v>12.840999999999999</v>
      </c>
      <c r="M9" s="16"/>
    </row>
    <row r="10" spans="1:14">
      <c r="A10" s="373" t="str">
        <f>IS!A17</f>
        <v>SG&amp;A Expense</v>
      </c>
      <c r="B10" s="379"/>
      <c r="C10" s="1125" cm="1">
        <f t="array" ref="C10">_xll.FDS($B2,"FF_SGA(ANN_R,"&amp;C5&amp;",,,,,B)")-'AAL-US R&amp;D'!C10-'AAL-US Lease'!C31</f>
        <v>1.9259999999999999</v>
      </c>
      <c r="D10" s="1125" cm="1">
        <f t="array" ref="D10">_xll.FDS($B2,"FF_SGA(ANN_R,"&amp;D5&amp;",,,,,B)")-'AAL-US R&amp;D'!D10-'AAL-US Lease'!D31</f>
        <v>3.0259999999999998</v>
      </c>
      <c r="E10" s="1125" cm="1">
        <f t="array" ref="E10">_xll.FDS($B2,"FF_SGA(ANN_R,"&amp;E5&amp;",,,,,B)")-'AAL-US R&amp;D'!E10-'AAL-US Lease'!E31</f>
        <v>2.8519999999999999</v>
      </c>
      <c r="F10" s="1125" cm="1">
        <f t="array" ref="F10">_xll.FDS($B2,"FF_SGA(ANN_R,"&amp;F5&amp;",,,,,B)")-'AAL-US R&amp;D'!F10-'AAL-US Lease'!F31</f>
        <v>0.59699999999999998</v>
      </c>
      <c r="G10" s="1125" cm="1">
        <f t="array" ref="G10">_xll.FDS($B2,"FF_SGA(ANN_R,"&amp;G5&amp;",,,,,B)")-'AAL-US R&amp;D'!G10-'AAL-US Lease'!G31</f>
        <v>0.50499999999999989</v>
      </c>
      <c r="H10" s="1125" cm="1">
        <f t="array" ref="H10">_xll.FDS($B2,"FF_SGA(ANN_R,"&amp;H5&amp;",,,,,B)")-'AAL-US R&amp;D'!H10-'AAL-US Lease'!H31</f>
        <v>-2.7499999999999858E-2</v>
      </c>
      <c r="I10" s="1125" cm="1">
        <f t="array" ref="I10">_xll.FDS($B2,"FF_SGA(ANN_R,"&amp;I5&amp;",,,,,B)")-'AAL-US R&amp;D'!I10-'AAL-US Lease'!I31</f>
        <v>-6.1999999999999833E-2</v>
      </c>
      <c r="J10" s="1125" cm="1">
        <f t="array" ref="J10">_xll.FDS($B2,"FF_SGA(ANN_R,"&amp;J5&amp;",,,,,B)")-'AAL-US R&amp;D'!J10-'AAL-US Lease'!J31</f>
        <v>1.093</v>
      </c>
      <c r="K10" s="1125" cm="1">
        <f t="array" ref="K10">_xll.FDS($B2,"FF_SGA(ANN_R,"&amp;K5&amp;",,,,,B)")-'AAL-US R&amp;D'!K10-'AAL-US Lease'!K31</f>
        <v>0.86300000000000021</v>
      </c>
      <c r="L10" s="1125" cm="1">
        <f t="array" ref="L10">_xll.FDS($B2,"FF_SGA(ANN_R,"&amp;L5&amp;",,,,,B)")-'AAL-US R&amp;D'!L10-'AAL-US Lease'!L31</f>
        <v>0.625</v>
      </c>
      <c r="M10" s="16"/>
    </row>
    <row r="11" spans="1:14">
      <c r="A11" s="255" t="str">
        <f>IS!A18</f>
        <v>EBIT (Operating Income)</v>
      </c>
      <c r="B11" s="327"/>
      <c r="C11" s="380">
        <f>C8-C9-C10</f>
        <v>-4.713000000000001</v>
      </c>
      <c r="D11" s="380">
        <f t="shared" ref="D11:L11" si="0">D8-D9-D10</f>
        <v>3.0050000000000026</v>
      </c>
      <c r="E11" s="380">
        <f t="shared" si="0"/>
        <v>3.1730000000000005</v>
      </c>
      <c r="F11" s="380">
        <f t="shared" si="0"/>
        <v>6.2090000000000014</v>
      </c>
      <c r="G11" s="380">
        <f t="shared" si="0"/>
        <v>5.7200000000000015</v>
      </c>
      <c r="H11" s="380">
        <f t="shared" si="0"/>
        <v>6.8025000000000002</v>
      </c>
      <c r="I11" s="380">
        <f t="shared" si="0"/>
        <v>4.5839999999999996</v>
      </c>
      <c r="J11" s="380">
        <f t="shared" si="0"/>
        <v>2.2320000000000011</v>
      </c>
      <c r="K11" s="380">
        <f t="shared" si="0"/>
        <v>2.0830000000000011</v>
      </c>
      <c r="L11" s="380">
        <f t="shared" si="0"/>
        <v>2.1920000000000002</v>
      </c>
      <c r="M11" s="16"/>
    </row>
    <row r="12" spans="1:14">
      <c r="A12" s="259" t="str">
        <f>IS!A20</f>
        <v>Interest Expense</v>
      </c>
      <c r="B12" s="327"/>
      <c r="C12" s="491" cm="1">
        <f t="array" ref="C12">_xll.FDS($B2,"FF_INT_EXP_NET(ANN_R,"&amp;C5&amp;",,,,,B)")</f>
        <v>0.30199999999999999</v>
      </c>
      <c r="D12" s="491" cm="1">
        <f t="array" ref="D12">_xll.FDS($B2,"FF_INT_EXP_NET(ANN_R,"&amp;D5&amp;",,,,,B)")</f>
        <v>5.2999999999999999E-2</v>
      </c>
      <c r="E12" s="491" cm="1">
        <f t="array" ref="E12">_xll.FDS($B2,"FF_INT_EXP_NET(ANN_R,"&amp;E5&amp;",,,,,B)")</f>
        <v>5.8000000000000003E-2</v>
      </c>
      <c r="F12" s="491" cm="1">
        <f t="array" ref="F12">_xll.FDS($B2,"FF_INT_EXP_NET(ANN_R,"&amp;F5&amp;",,,,,B)")</f>
        <v>3.5999999999999997E-2</v>
      </c>
      <c r="G12" s="491" cm="1">
        <f t="array" ref="G12">_xll.FDS($B2,"FF_INT_EXP_NET(ANN_R,"&amp;G5&amp;",,,,,B)")</f>
        <v>7.4999999999999997E-2</v>
      </c>
      <c r="H12" s="491" cm="1">
        <f t="array" ref="H12">_xll.FDS($B2,"FF_INT_EXP_NET(ANN_R,"&amp;H5&amp;",,,,,B)")</f>
        <v>7.0000000000000007E-2</v>
      </c>
      <c r="I12" s="491" cm="1">
        <f t="array" ref="I12">_xll.FDS($B2,"FF_INT_EXP_NET(ANN_R,"&amp;I5&amp;",,,,,B)")</f>
        <v>0.13</v>
      </c>
      <c r="J12" s="491" cm="1">
        <f t="array" ref="J12">_xll.FDS($B2,"FF_INT_EXP_NET(ANN_R,"&amp;J5&amp;",,,,,B)")</f>
        <v>0.13500000000000001</v>
      </c>
      <c r="K12" s="491" cm="1">
        <f t="array" ref="K12">_xll.FDS($B2,"FF_INT_EXP_NET(ANN_R,"&amp;K5&amp;",,,,,B)")</f>
        <v>0.126</v>
      </c>
      <c r="L12" s="491" cm="1">
        <f t="array" ref="L12">_xll.FDS($B2,"FF_INT_EXP_NET(ANN_R,"&amp;L5&amp;",,,,,B)")</f>
        <v>0.182</v>
      </c>
      <c r="M12" s="16"/>
    </row>
    <row r="13" spans="1:14">
      <c r="A13" s="259" t="str">
        <f>IS!A22&amp;" (at marginal tax rate)"</f>
        <v>Income Taxes (at marginal tax rate)</v>
      </c>
      <c r="B13" s="327"/>
      <c r="C13" s="327">
        <f>(C11-C12)*C20</f>
        <v>-1.3540500000000002</v>
      </c>
      <c r="D13" s="327">
        <f t="shared" ref="D13:L13" si="1">(D11-D12)*D20</f>
        <v>0.79704000000000075</v>
      </c>
      <c r="E13" s="327">
        <f t="shared" si="1"/>
        <v>0.84105000000000019</v>
      </c>
      <c r="F13" s="327">
        <f t="shared" si="1"/>
        <v>1.6667100000000006</v>
      </c>
      <c r="G13" s="327">
        <f t="shared" si="1"/>
        <v>1.5241500000000006</v>
      </c>
      <c r="H13" s="327">
        <f t="shared" si="1"/>
        <v>1.8177750000000001</v>
      </c>
      <c r="I13" s="327">
        <f t="shared" si="1"/>
        <v>1.20258</v>
      </c>
      <c r="J13" s="327">
        <f t="shared" si="1"/>
        <v>0.56619000000000042</v>
      </c>
      <c r="K13" s="327">
        <f t="shared" si="1"/>
        <v>0.52839000000000036</v>
      </c>
      <c r="L13" s="327">
        <f t="shared" si="1"/>
        <v>0.54270000000000007</v>
      </c>
      <c r="M13" s="16"/>
    </row>
    <row r="14" spans="1:14" s="17" customFormat="1">
      <c r="A14" s="255" t="s">
        <v>461</v>
      </c>
      <c r="B14" s="380"/>
      <c r="C14" s="380">
        <f>C11-C12-C13</f>
        <v>-3.6609500000000006</v>
      </c>
      <c r="D14" s="380">
        <f t="shared" ref="D14:L14" si="2">D11-D12-D13</f>
        <v>2.1549600000000018</v>
      </c>
      <c r="E14" s="380">
        <f t="shared" si="2"/>
        <v>2.2739500000000006</v>
      </c>
      <c r="F14" s="380">
        <f t="shared" si="2"/>
        <v>4.5062900000000017</v>
      </c>
      <c r="G14" s="380">
        <f t="shared" si="2"/>
        <v>4.1208500000000008</v>
      </c>
      <c r="H14" s="380">
        <f t="shared" si="2"/>
        <v>4.9147249999999998</v>
      </c>
      <c r="I14" s="380">
        <f t="shared" si="2"/>
        <v>3.2514199999999995</v>
      </c>
      <c r="J14" s="380">
        <f t="shared" si="2"/>
        <v>1.5308100000000009</v>
      </c>
      <c r="K14" s="380">
        <f t="shared" si="2"/>
        <v>1.4286100000000008</v>
      </c>
      <c r="L14" s="380">
        <f t="shared" si="2"/>
        <v>1.4673000000000003</v>
      </c>
      <c r="M14" s="18"/>
      <c r="N14"/>
    </row>
    <row r="15" spans="1:14">
      <c r="A15" s="373" t="str">
        <f>IS!A19</f>
        <v>Nonoperating Income - Net</v>
      </c>
      <c r="B15" s="379"/>
      <c r="C15" s="1126" cm="1">
        <f t="array" ref="C15">_xll.FDS($B2,"FF_NON_OPER_INC(ANN_R,"&amp;C5&amp;",,,,,B)")</f>
        <v>-0.14699999999999999</v>
      </c>
      <c r="D15" s="1126" cm="1">
        <f t="array" ref="D15">_xll.FDS($B2,"FF_NON_OPER_INC(ANN_R,"&amp;D5&amp;",,,,,B)")</f>
        <v>2.9000000000000001E-2</v>
      </c>
      <c r="E15" s="1126" cm="1">
        <f t="array" ref="E15">_xll.FDS($B2,"FF_NON_OPER_INC(ANN_R,"&amp;E5&amp;",,,,,B)")</f>
        <v>7.8E-2</v>
      </c>
      <c r="F15" s="1126" cm="1">
        <f t="array" ref="F15">_xll.FDS($B2,"FF_NON_OPER_INC(ANN_R,"&amp;F5&amp;",,,,,B)")</f>
        <v>-0.433</v>
      </c>
      <c r="G15" s="1126" cm="1">
        <f t="array" ref="G15">_xll.FDS($B2,"FF_NON_OPER_INC(ANN_R,"&amp;G5&amp;",,,,,B)")</f>
        <v>3.0000000000000001E-3</v>
      </c>
      <c r="H15" s="1126" cm="1">
        <f t="array" ref="H15">_xll.FDS($B2,"FF_NON_OPER_INC(ANN_R,"&amp;H5&amp;",,,,,B)")</f>
        <v>-3.3000000000000002E-2</v>
      </c>
      <c r="I15" s="1126" cm="1">
        <f t="array" ref="I15">_xll.FDS($B2,"FF_NON_OPER_INC(ANN_R,"&amp;I5&amp;",,,,,B)")</f>
        <v>0.26300000000000001</v>
      </c>
      <c r="J15" s="1126" cm="1">
        <f t="array" ref="J15">_xll.FDS($B2,"FF_NON_OPER_INC(ANN_R,"&amp;J5&amp;",,,,,B)")</f>
        <v>0.188</v>
      </c>
      <c r="K15" s="1126" cm="1">
        <f t="array" ref="K15">_xll.FDS($B2,"FF_NON_OPER_INC(ANN_R,"&amp;K5&amp;",,,,,B)")</f>
        <v>-0.17699999999999999</v>
      </c>
      <c r="L15" s="1126" cm="1">
        <f t="array" ref="L15">_xll.FDS($B2,"FF_NON_OPER_INC(ANN_R,"&amp;L5&amp;",,,,,B)")</f>
        <v>-0.17100000000000001</v>
      </c>
      <c r="M15" s="16"/>
    </row>
    <row r="16" spans="1:14">
      <c r="A16" s="373" t="str">
        <f>IS!A21</f>
        <v>Unusual Expense - Net</v>
      </c>
      <c r="B16" s="379"/>
      <c r="C16" s="1126" cm="1">
        <f t="array" ref="C16">_xll.FDS($B2,"FF_UNUSUAL_EXP(ANN_R,"&amp;C5&amp;",,,,,B)")</f>
        <v>-0.90600000000000003</v>
      </c>
      <c r="D16" s="1126" cm="1">
        <f t="array" ref="D16">_xll.FDS($B2,"FF_UNUSUAL_EXP(ANN_R,"&amp;D5&amp;",,,,,B)")</f>
        <v>2.4E-2</v>
      </c>
      <c r="E16" s="1126" cm="1">
        <f t="array" ref="E16">_xll.FDS($B2,"FF_UNUSUAL_EXP(ANN_R,"&amp;E5&amp;",,,,,B)")</f>
        <v>2.9000000000000001E-2</v>
      </c>
      <c r="F16" s="1126" cm="1">
        <f t="array" ref="F16">_xll.FDS($B2,"FF_UNUSUAL_EXP(ANN_R,"&amp;F5&amp;",,,,,B)")</f>
        <v>0.22500000000000001</v>
      </c>
      <c r="G16" s="1126">
        <f>(F16+H16)/2</f>
        <v>0.60650000000000004</v>
      </c>
      <c r="H16" s="1126" cm="1">
        <f t="array" ref="H16">_xll.FDS($B2,"FF_UNUSUAL_EXP(ANN_R,"&amp;H5&amp;",,,,,B)")</f>
        <v>0.98799999999999999</v>
      </c>
      <c r="I16" s="1126" cm="1">
        <f t="array" ref="I16">_xll.FDS($B2,"FF_UNUSUAL_EXP(ANN_R,"&amp;I5&amp;",,,,,B)")</f>
        <v>0.63400000000000001</v>
      </c>
      <c r="J16" s="1126" cm="1">
        <f t="array" ref="J16">_xll.FDS($B2,"FF_UNUSUAL_EXP(ANN_R,"&amp;J5&amp;",,,,,B)")</f>
        <v>4.2999999999999997E-2</v>
      </c>
      <c r="K16" s="1126" cm="1">
        <f t="array" ref="K16">_xll.FDS($B2,"FF_UNUSUAL_EXP(ANN_R,"&amp;K5&amp;",,,,,B)")</f>
        <v>-8.1000000000000003E-2</v>
      </c>
      <c r="L16" s="1126" cm="1">
        <f t="array" ref="L16">_xll.FDS($B2,"FF_UNUSUAL_EXP(ANN_R,"&amp;L5&amp;",,,,,B)")</f>
        <v>0.26200000000000001</v>
      </c>
      <c r="M16" s="16"/>
    </row>
    <row r="17" spans="1:13">
      <c r="A17" s="259" t="s">
        <v>462</v>
      </c>
      <c r="B17" s="259"/>
      <c r="C17" s="327">
        <f>(C15-C16)*C20</f>
        <v>0.20493000000000003</v>
      </c>
      <c r="D17" s="327">
        <f t="shared" ref="D17:L17" si="3">(D15-D16)*D20</f>
        <v>1.3500000000000003E-3</v>
      </c>
      <c r="E17" s="327">
        <f t="shared" si="3"/>
        <v>1.3230000000000002E-2</v>
      </c>
      <c r="F17" s="327">
        <f t="shared" si="3"/>
        <v>-0.17766000000000001</v>
      </c>
      <c r="G17" s="327">
        <f>(G15-G16)*G20</f>
        <v>-0.16294500000000003</v>
      </c>
      <c r="H17" s="327">
        <f t="shared" si="3"/>
        <v>-0.27566999999999997</v>
      </c>
      <c r="I17" s="327">
        <f t="shared" si="3"/>
        <v>-0.10017000000000001</v>
      </c>
      <c r="J17" s="327">
        <f t="shared" si="3"/>
        <v>3.9150000000000004E-2</v>
      </c>
      <c r="K17" s="327">
        <f t="shared" si="3"/>
        <v>-2.5919999999999999E-2</v>
      </c>
      <c r="L17" s="327">
        <f t="shared" si="3"/>
        <v>-0.11691000000000003</v>
      </c>
      <c r="M17" s="16"/>
    </row>
    <row r="18" spans="1:13" s="17" customFormat="1">
      <c r="A18" s="255" t="s">
        <v>463</v>
      </c>
      <c r="B18" s="380"/>
      <c r="C18" s="380">
        <f>C14+C15-C16-C17</f>
        <v>-3.1068800000000003</v>
      </c>
      <c r="D18" s="380">
        <f t="shared" ref="D18:L18" si="4">D14+D15-D16-D17</f>
        <v>2.1586100000000017</v>
      </c>
      <c r="E18" s="380">
        <f t="shared" si="4"/>
        <v>2.3097200000000004</v>
      </c>
      <c r="F18" s="380">
        <f t="shared" si="4"/>
        <v>4.0259500000000017</v>
      </c>
      <c r="G18" s="380">
        <f t="shared" si="4"/>
        <v>3.680295000000001</v>
      </c>
      <c r="H18" s="380">
        <f t="shared" si="4"/>
        <v>4.1693949999999997</v>
      </c>
      <c r="I18" s="380">
        <f t="shared" si="4"/>
        <v>2.9805899999999994</v>
      </c>
      <c r="J18" s="380">
        <f t="shared" si="4"/>
        <v>1.6366600000000009</v>
      </c>
      <c r="K18" s="380">
        <f t="shared" si="4"/>
        <v>1.3585300000000007</v>
      </c>
      <c r="L18" s="380">
        <f t="shared" si="4"/>
        <v>1.1512100000000003</v>
      </c>
      <c r="M18" s="18"/>
    </row>
    <row r="19" spans="1:13">
      <c r="A19" s="677" t="s">
        <v>464</v>
      </c>
      <c r="B19" s="473"/>
      <c r="C19" s="633" cm="1">
        <f t="array" ref="C19">_xll.FDS($B2,"FF_INC_TAX(ANN_R,"&amp;C5&amp;",,,,,B)")/(_xll.FDS($B2,"FF_EBIT_OPER(ANN_R,"&amp;C5&amp;",,,,,B)")+C15-C12-C16)</f>
        <v>0.27772556390977443</v>
      </c>
      <c r="D19" s="633" cm="1">
        <f t="array" ref="D19">_xll.FDS($B2,"FF_INC_TAX(ANN_R,"&amp;D5&amp;",,,,,B)")/(_xll.FDS($B2,"FF_EBIT_OPER(ANN_R,"&amp;D5&amp;",,,,,B)")+D15-D12-D16)</f>
        <v>0.22218464660128512</v>
      </c>
      <c r="E19" s="633" cm="1">
        <f t="array" ref="E19">_xll.FDS($B2,"FF_INC_TAX(ANN_R,"&amp;E5&amp;",,,,,B)")/(_xll.FDS($B2,"FF_EBIT_OPER(ANN_R,"&amp;E5&amp;",,,,,B)")+E15-E12-E16)</f>
        <v>0.22092288242730718</v>
      </c>
      <c r="F19" s="633" cm="1">
        <f t="array" ref="F19">_xll.FDS($B2,"FF_INC_TAX(ANN_R,"&amp;F5&amp;",,,,,B)")/(_xll.FDS($B2,"FF_EBIT_OPER(ANN_R,"&amp;F5&amp;",,,,,B)")+F15-F12-F16)</f>
        <v>-2.8177641653905051E-2</v>
      </c>
      <c r="G19" s="633" cm="1">
        <f t="array" ref="G19">_xll.FDS($B2,"FF_INC_TAX(ANN_R,"&amp;G5&amp;",,,,,B)")/(_xll.FDS($B2,"FF_EBIT_OPER(ANN_R,"&amp;G5&amp;",,,,,B)")+G15-G12-G16)</f>
        <v>0.44557763319852295</v>
      </c>
      <c r="H19" s="633" cm="1">
        <f t="array" ref="H19">_xll.FDS($B2,"FF_INC_TAX(ANN_R,"&amp;H5&amp;",,,,,B)")/(_xll.FDS($B2,"FF_EBIT_OPER(ANN_R,"&amp;H5&amp;",,,,,B)")+H15-H12-H16)</f>
        <v>0.37309571716010353</v>
      </c>
      <c r="I19" s="633" cm="1">
        <f t="array" ref="I19">_xll.FDS($B2,"FF_INC_TAX(ANN_R,"&amp;I5&amp;",,,,,B)")/(_xll.FDS($B2,"FF_EBIT_OPER(ANN_R,"&amp;I5&amp;",,,,,B)")+I15-I12-I16)</f>
        <v>0.37444933920704843</v>
      </c>
      <c r="J19" s="633" cm="1">
        <f t="array" ref="J19">_xll.FDS($B2,"FF_INC_TAX(ANN_R,"&amp;J5&amp;",,,,,B)")/(_xll.FDS($B2,"FF_EBIT_OPER(ANN_R,"&amp;J5&amp;",,,,,B)")+J15-J12-J16)</f>
        <v>0.37634408602150538</v>
      </c>
      <c r="K19" s="633" cm="1">
        <f t="array" ref="K19">_xll.FDS($B2,"FF_INC_TAX(ANN_R,"&amp;K5&amp;",,,,,B)")/(_xll.FDS($B2,"FF_EBIT_OPER(ANN_R,"&amp;K5&amp;",,,,,B)")+K15-K12-K16)</f>
        <v>0.38540145985401464</v>
      </c>
      <c r="L19" s="633" cm="1">
        <f t="array" ref="L19">_xll.FDS($B2,"FF_INC_TAX(ANN_R,"&amp;L5&amp;",,,,,B)")/(_xll.FDS($B2,"FF_EBIT_OPER(ANN_R,"&amp;L5&amp;",,,,,B)")+L15-L12-L16)</f>
        <v>0.44891640866873067</v>
      </c>
      <c r="M19" s="16"/>
    </row>
    <row r="20" spans="1:13">
      <c r="A20" s="382" t="s">
        <v>465</v>
      </c>
      <c r="B20" s="383"/>
      <c r="C20" s="1109">
        <f>'LUV-US R&amp;D'!$B5</f>
        <v>0.27</v>
      </c>
      <c r="D20" s="1109">
        <f>'LUV-US R&amp;D'!$B5</f>
        <v>0.27</v>
      </c>
      <c r="E20" s="1109">
        <f>'LUV-US R&amp;D'!$B5</f>
        <v>0.27</v>
      </c>
      <c r="F20" s="1109">
        <f>'LUV-US R&amp;D'!$B5</f>
        <v>0.27</v>
      </c>
      <c r="G20" s="1109">
        <f>'LUV-US R&amp;D'!$B5</f>
        <v>0.27</v>
      </c>
      <c r="H20" s="1109">
        <f>'LUV-US R&amp;D'!$B5</f>
        <v>0.27</v>
      </c>
      <c r="I20" s="1109">
        <f>'LUV-US R&amp;D'!$B5</f>
        <v>0.27</v>
      </c>
      <c r="J20" s="1109">
        <f>'LUV-US R&amp;D'!$B5</f>
        <v>0.27</v>
      </c>
      <c r="K20" s="1109">
        <f>'LUV-US R&amp;D'!$B5</f>
        <v>0.27</v>
      </c>
      <c r="L20" s="1109">
        <f>'LUV-US R&amp;D'!$B5</f>
        <v>0.27</v>
      </c>
      <c r="M20" s="16"/>
    </row>
    <row r="21" spans="1:13">
      <c r="A21" s="255" t="str">
        <f>IS!A31</f>
        <v>EBITDA</v>
      </c>
      <c r="B21" s="327"/>
      <c r="C21" s="491" cm="1">
        <f t="array" ref="C21">_xll.FDS($B2,"FF_EBITDA_OPER(ANN_R,"&amp;C5&amp;",,,,,B)")</f>
        <v>-3.4580000000000002</v>
      </c>
      <c r="D21" s="491" cm="1">
        <f t="array" ref="D21">_xll.FDS($B2,"FF_EBITDA_OPER(ANN_R,"&amp;D5&amp;",,,,,B)")</f>
        <v>4.2240000000000002</v>
      </c>
      <c r="E21" s="491" cm="1">
        <f t="array" ref="E21">_xll.FDS($B2,"FF_EBITDA_OPER(ANN_R,"&amp;E5&amp;",,,,,B)")</f>
        <v>4.3739999999999997</v>
      </c>
      <c r="F21" s="491" cm="1">
        <f t="array" ref="F21">_xll.FDS($B2,"FF_EBITDA_OPER(ANN_R,"&amp;F5&amp;",,,,,B)")</f>
        <v>5.1769999999999996</v>
      </c>
      <c r="G21" s="491" cm="1">
        <f t="array" ref="G21">_xll.FDS($B2,"FF_EBITDA_OPER(ANN_R,"&amp;G5&amp;",,,,,B)")</f>
        <v>4.7430000000000003</v>
      </c>
      <c r="H21" s="491" cm="1">
        <f t="array" ref="H21">_xll.FDS($B2,"FF_EBITDA_OPER(ANN_R,"&amp;H5&amp;",,,,,B)")</f>
        <v>5.585</v>
      </c>
      <c r="I21" s="491" cm="1">
        <f t="array" ref="I21">_xll.FDS($B2,"FF_EBITDA_OPER(ANN_R,"&amp;I5&amp;",,,,,B)")</f>
        <v>3.2549999999999999</v>
      </c>
      <c r="J21" s="491" cm="1">
        <f t="array" ref="J21">_xll.FDS($B2,"FF_EBITDA_OPER(ANN_R,"&amp;J5&amp;",,,,,B)")</f>
        <v>2.0659999999999998</v>
      </c>
      <c r="K21" s="491" cm="1">
        <f t="array" ref="K21">_xll.FDS($B2,"FF_EBITDA_OPER(ANN_R,"&amp;K5&amp;",,,,,B)")</f>
        <v>1.7509999999999999</v>
      </c>
      <c r="L21" s="491" cm="1">
        <f t="array" ref="L21">_xll.FDS($B2,"FF_EBITDA_OPER(ANN_R,"&amp;L5&amp;",,,,,B)")</f>
        <v>1.653</v>
      </c>
      <c r="M21" s="16"/>
    </row>
    <row r="22" spans="1:13">
      <c r="A22" s="259" t="s">
        <v>466</v>
      </c>
      <c r="B22" s="327"/>
      <c r="C22" s="327">
        <f>SUM(C11,'DAL-US CFS-adj'!C10:C12)</f>
        <v>-2.4010000000000011</v>
      </c>
      <c r="D22" s="327">
        <f>SUM(D11,'DAL-US CFS-adj'!D10:D12)</f>
        <v>5.5860000000000021</v>
      </c>
      <c r="E22" s="327">
        <f>SUM(E11,'DAL-US CFS-adj'!E10:E12)</f>
        <v>5.5020000000000007</v>
      </c>
      <c r="F22" s="327">
        <f>SUM(F11,'DAL-US CFS-adj'!F10:F12)</f>
        <v>8.4440000000000008</v>
      </c>
      <c r="G22" s="327">
        <f>SUM(G11,'DAL-US CFS-adj'!G10:G12)</f>
        <v>7.6220000000000017</v>
      </c>
      <c r="H22" s="327">
        <f>SUM(H11,'DAL-US CFS-adj'!H10:H12)</f>
        <v>8.6374999999999993</v>
      </c>
      <c r="I22" s="327">
        <f>SUM(I11,'DAL-US CFS-adj'!I10:I12)</f>
        <v>6.3549999999999995</v>
      </c>
      <c r="J22" s="327">
        <f>SUM(J11,'DAL-US CFS-adj'!J10:J12)</f>
        <v>3.890000000000001</v>
      </c>
      <c r="K22" s="327">
        <f>SUM(K11,'DAL-US CFS-adj'!K10:K12)</f>
        <v>3.648000000000001</v>
      </c>
      <c r="L22" s="327">
        <f>SUM(L11,'DAL-US CFS-adj'!L10:L12)</f>
        <v>3.7149999999999999</v>
      </c>
      <c r="M22" s="16"/>
    </row>
    <row r="23" spans="1:13">
      <c r="A23" s="259"/>
      <c r="B23" s="327"/>
      <c r="C23"/>
      <c r="D23" s="327"/>
      <c r="E23" s="327"/>
      <c r="F23" s="327"/>
      <c r="G23" s="327"/>
      <c r="H23" s="327"/>
      <c r="I23" s="327"/>
      <c r="J23" s="327"/>
      <c r="K23" s="327"/>
      <c r="L23" s="327"/>
      <c r="M23" s="16"/>
    </row>
    <row r="24" spans="1:13">
      <c r="A24" s="385" t="str">
        <f>IS!A58</f>
        <v>Shs Outstanding (M) - Basic</v>
      </c>
      <c r="B24" s="327"/>
      <c r="C24" s="1124" cm="1">
        <f t="array" ref="C24">_xll.FDS($B2,"FF_COM_SHS_OUT(ANN_R,"&amp;C5&amp;")")</f>
        <v>590.47433699999999</v>
      </c>
      <c r="D24" s="1124" cm="1">
        <f t="array" ref="D24">_xll.FDS($B2,"FF_COM_SHS_OUT(ANN_R,"&amp;D5&amp;")")</f>
        <v>519.06431599999996</v>
      </c>
      <c r="E24" s="1124" cm="1">
        <f t="array" ref="E24">_xll.FDS($B2,"FF_COM_SHS_OUT(ANN_R,"&amp;E5&amp;")")</f>
        <v>552.60335899999995</v>
      </c>
      <c r="F24" s="1124" cm="1">
        <f t="array" ref="F24">_xll.FDS($B2,"FF_COM_SHS_OUT(ANN_R,"&amp;F5&amp;")")</f>
        <v>588.55077800000004</v>
      </c>
      <c r="G24" s="1124" cm="1">
        <f t="array" ref="G24">_xll.FDS($B2,"FF_COM_SHS_OUT(ANN_R,"&amp;G5&amp;")")</f>
        <v>647.60161700000003</v>
      </c>
      <c r="H24" s="1124" cm="1">
        <f t="array" ref="H24">_xll.FDS($B2,"FF_COM_SHS_OUT(ANN_R,"&amp;H5&amp;")")</f>
        <v>647.60161700000003</v>
      </c>
      <c r="I24" s="1124" cm="1">
        <f t="array" ref="I24">_xll.FDS($B2,"FF_COM_SHS_OUT(ANN_R,"&amp;I5&amp;")")</f>
        <v>675.59408399999995</v>
      </c>
      <c r="J24" s="1124" cm="1">
        <f t="array" ref="J24">_xll.FDS($B2,"FF_COM_SHS_OUT(ANN_R,"&amp;J5&amp;")")</f>
        <v>700.47468800000001</v>
      </c>
      <c r="K24" s="1124" cm="1">
        <f t="array" ref="K24">_xll.FDS($B2,"FF_COM_SHS_OUT(ANN_R,"&amp;K5&amp;")")</f>
        <v>730.31948899999998</v>
      </c>
      <c r="L24" s="1124" cm="1">
        <f t="array" ref="L24">_xll.FDS($B2,"FF_COM_SHS_OUT(ANN_R,"&amp;L5&amp;")")</f>
        <v>772.56064300000003</v>
      </c>
      <c r="M24" s="16"/>
    </row>
    <row r="25" spans="1:13">
      <c r="A25" s="259" t="s">
        <v>467</v>
      </c>
      <c r="B25" s="327"/>
      <c r="C25" s="327">
        <f>C11/C8</f>
        <v>-0.52088859416445632</v>
      </c>
      <c r="D25" s="327">
        <f t="shared" ref="D25:L25" si="5">D11/D8</f>
        <v>0.13398430533262004</v>
      </c>
      <c r="E25" s="327">
        <f t="shared" si="5"/>
        <v>0.14445709082631461</v>
      </c>
      <c r="F25" s="327">
        <f t="shared" si="5"/>
        <v>0.29362527191903914</v>
      </c>
      <c r="G25" s="327">
        <f t="shared" si="5"/>
        <v>0.28192616688846178</v>
      </c>
      <c r="H25" s="327">
        <f t="shared" si="5"/>
        <v>0.34321392532795159</v>
      </c>
      <c r="I25" s="327">
        <f t="shared" si="5"/>
        <v>0.24638538027411983</v>
      </c>
      <c r="J25" s="327">
        <f t="shared" si="5"/>
        <v>0.12610881970732815</v>
      </c>
      <c r="K25" s="327">
        <f t="shared" si="5"/>
        <v>0.12189840823970043</v>
      </c>
      <c r="L25" s="327">
        <f t="shared" si="5"/>
        <v>0.13999233618597523</v>
      </c>
      <c r="M25" s="16"/>
    </row>
    <row r="26" spans="1:13">
      <c r="A26" s="259"/>
      <c r="B26" s="327"/>
      <c r="C26" s="387"/>
      <c r="D26" s="327"/>
      <c r="E26" s="327"/>
      <c r="F26" s="327"/>
      <c r="G26" s="327"/>
      <c r="H26" s="327"/>
      <c r="I26" s="327"/>
      <c r="J26" s="327"/>
      <c r="K26" s="327"/>
      <c r="L26" s="327"/>
      <c r="M26" s="16"/>
    </row>
    <row r="27" spans="1:13">
      <c r="A27" s="259"/>
      <c r="B27" s="327"/>
      <c r="C27" s="641"/>
      <c r="D27" s="641"/>
      <c r="E27" s="641"/>
      <c r="F27" s="641"/>
      <c r="G27" s="641"/>
      <c r="H27" s="641"/>
      <c r="I27" s="641"/>
      <c r="J27" s="641"/>
      <c r="K27" s="641"/>
      <c r="L27" s="327"/>
      <c r="M27" s="16"/>
    </row>
    <row r="28" spans="1:13">
      <c r="A28" s="259"/>
      <c r="B28" s="327"/>
      <c r="C28" s="387"/>
      <c r="D28" s="327"/>
      <c r="E28" s="327"/>
      <c r="F28" s="327"/>
      <c r="G28" s="327"/>
      <c r="H28" s="327"/>
      <c r="I28" s="327"/>
      <c r="J28" s="327"/>
      <c r="K28" s="327"/>
      <c r="L28" s="327"/>
      <c r="M28" s="16"/>
    </row>
    <row r="29" spans="1:13">
      <c r="A29" s="259"/>
      <c r="B29" s="327"/>
      <c r="C29" s="387"/>
      <c r="D29" s="327"/>
      <c r="E29" s="327"/>
      <c r="F29" s="327"/>
      <c r="G29" s="327"/>
      <c r="H29" s="327"/>
      <c r="I29" s="327"/>
      <c r="J29" s="327"/>
      <c r="K29" s="327"/>
      <c r="L29" s="327"/>
      <c r="M29" s="16"/>
    </row>
    <row r="30" spans="1:13">
      <c r="A30" s="259"/>
      <c r="B30" s="327"/>
      <c r="C30" s="387"/>
      <c r="D30" s="327"/>
      <c r="E30" s="327"/>
      <c r="F30" s="327"/>
      <c r="G30" s="327"/>
      <c r="H30" s="327"/>
      <c r="I30" s="327"/>
      <c r="J30" s="327"/>
      <c r="K30" s="327"/>
      <c r="L30" s="327"/>
      <c r="M30" s="16"/>
    </row>
    <row r="31" spans="1:13">
      <c r="A31" s="259"/>
      <c r="B31" s="327"/>
      <c r="C31" s="327"/>
      <c r="D31" s="327"/>
      <c r="E31" s="327"/>
      <c r="F31" s="327"/>
      <c r="G31" s="327"/>
      <c r="H31" s="327"/>
      <c r="I31" s="327"/>
      <c r="J31" s="327"/>
      <c r="K31" s="327"/>
      <c r="L31" s="327"/>
      <c r="M31" s="16"/>
    </row>
    <row r="32" spans="1:13">
      <c r="A32" s="255"/>
      <c r="B32" s="327"/>
      <c r="C32" s="327"/>
      <c r="D32" s="327"/>
      <c r="E32" s="327"/>
      <c r="F32" s="327"/>
      <c r="G32" s="327"/>
      <c r="H32" s="327"/>
      <c r="I32" s="327"/>
      <c r="J32" s="327"/>
      <c r="K32" s="327"/>
      <c r="L32" s="327"/>
      <c r="M32" s="16"/>
    </row>
    <row r="33" spans="1:13">
      <c r="A33" s="259"/>
      <c r="B33" s="327"/>
      <c r="C33" s="327"/>
      <c r="D33" s="327"/>
      <c r="E33" s="327"/>
      <c r="F33" s="327"/>
      <c r="G33" s="327"/>
      <c r="H33" s="327"/>
      <c r="I33" s="327"/>
      <c r="J33" s="327"/>
      <c r="K33" s="327"/>
      <c r="L33" s="327"/>
      <c r="M33" s="16"/>
    </row>
    <row r="34" spans="1:13">
      <c r="A34" s="259"/>
      <c r="B34" s="327"/>
      <c r="C34" s="327"/>
      <c r="D34" s="327"/>
      <c r="E34" s="327"/>
      <c r="F34" s="327"/>
      <c r="G34" s="327"/>
      <c r="H34" s="327"/>
      <c r="I34" s="327"/>
      <c r="J34" s="327"/>
      <c r="K34" s="327"/>
      <c r="L34" s="327"/>
      <c r="M34" s="16"/>
    </row>
    <row r="35" spans="1:13">
      <c r="A35" s="259"/>
      <c r="B35" s="327"/>
      <c r="C35" s="327"/>
      <c r="D35" s="327"/>
      <c r="E35" s="327"/>
      <c r="F35" s="327"/>
      <c r="G35" s="327"/>
      <c r="H35" s="327"/>
      <c r="I35" s="327"/>
      <c r="J35" s="327"/>
      <c r="K35" s="327"/>
      <c r="L35" s="327"/>
      <c r="M35" s="16"/>
    </row>
    <row r="36" spans="1:13">
      <c r="A36" s="259"/>
      <c r="B36" s="327"/>
      <c r="C36" s="327"/>
      <c r="D36" s="327"/>
      <c r="E36" s="327"/>
      <c r="F36" s="327"/>
      <c r="G36" s="327"/>
      <c r="H36" s="327"/>
      <c r="I36" s="327"/>
      <c r="J36" s="327"/>
      <c r="K36" s="327"/>
      <c r="L36" s="327"/>
      <c r="M36" s="16"/>
    </row>
    <row r="37" spans="1:13">
      <c r="A37" s="259"/>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5"/>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9"/>
      <c r="B44" s="327"/>
      <c r="C44" s="327"/>
      <c r="D44" s="327"/>
      <c r="E44" s="327"/>
      <c r="F44" s="327"/>
      <c r="G44" s="327"/>
      <c r="H44" s="327"/>
      <c r="I44" s="327"/>
      <c r="J44" s="327"/>
      <c r="K44" s="327"/>
      <c r="L44" s="327"/>
      <c r="M44" s="16"/>
    </row>
    <row r="45" spans="1:13">
      <c r="A45" s="259"/>
      <c r="B45" s="327"/>
      <c r="C45" s="327"/>
      <c r="D45" s="327"/>
      <c r="E45" s="327"/>
      <c r="F45" s="327"/>
      <c r="G45" s="327"/>
      <c r="H45" s="327"/>
      <c r="I45" s="327"/>
      <c r="J45" s="327"/>
      <c r="K45" s="327"/>
      <c r="L45" s="327"/>
      <c r="M45" s="16"/>
    </row>
    <row r="46" spans="1:13">
      <c r="A46" s="252"/>
      <c r="B46" s="327"/>
      <c r="C46" s="327"/>
      <c r="D46" s="327"/>
      <c r="E46" s="327"/>
      <c r="F46" s="327"/>
      <c r="G46" s="327"/>
      <c r="H46" s="327"/>
      <c r="I46" s="327"/>
      <c r="J46" s="327"/>
      <c r="K46" s="327"/>
      <c r="L46" s="327"/>
      <c r="M46" s="16"/>
    </row>
    <row r="48" spans="1:13">
      <c r="A48" s="327"/>
    </row>
    <row r="49" spans="1:1">
      <c r="A49" s="327"/>
    </row>
    <row r="50" spans="1:1">
      <c r="A50" s="327"/>
    </row>
    <row r="51" spans="1:1">
      <c r="A51" s="327"/>
    </row>
    <row r="52" spans="1:1">
      <c r="A52" s="327"/>
    </row>
    <row r="53" spans="1:1">
      <c r="A53" s="327"/>
    </row>
    <row r="54" spans="1:1">
      <c r="A54" s="327"/>
    </row>
    <row r="55" spans="1:1">
      <c r="A55" s="327"/>
    </row>
    <row r="56" spans="1:1">
      <c r="A56" s="327"/>
    </row>
    <row r="57" spans="1:1">
      <c r="A57" s="327"/>
    </row>
    <row r="58" spans="1:1">
      <c r="A58" s="327"/>
    </row>
    <row r="59" spans="1:1">
      <c r="A59" s="327"/>
    </row>
    <row r="60" spans="1:1">
      <c r="A60" s="327"/>
    </row>
    <row r="61" spans="1:1">
      <c r="A61" s="327"/>
    </row>
    <row r="62" spans="1:1">
      <c r="A62" s="327"/>
    </row>
    <row r="63" spans="1:1">
      <c r="A63" s="327"/>
    </row>
    <row r="64" spans="1:1">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sheetData>
  <pageMargins left="0.7" right="0.7" top="0.78740157499999996" bottom="0.78740157499999996"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AE68-D941-4BD3-87B1-F2B77F1EA520}">
  <sheetPr>
    <tabColor theme="2" tint="-0.499984740745262"/>
  </sheetPr>
  <dimension ref="A1:N157"/>
  <sheetViews>
    <sheetView workbookViewId="0">
      <selection activeCell="C20" sqref="C20:L20"/>
    </sheetView>
  </sheetViews>
  <sheetFormatPr defaultColWidth="11.28515625" defaultRowHeight="15"/>
  <cols>
    <col min="1" max="1" width="32.7109375" style="3" customWidth="1"/>
    <col min="2" max="2" width="7.42578125" style="3" customWidth="1"/>
    <col min="3" max="12" width="11.28515625" style="3"/>
  </cols>
  <sheetData>
    <row r="1" spans="1:14" s="340" customFormat="1" ht="26.1" customHeight="1">
      <c r="A1" s="371" t="s">
        <v>460</v>
      </c>
    </row>
    <row r="2" spans="1:14">
      <c r="A2" s="327" t="str">
        <f>IS!A8</f>
        <v>Ticker</v>
      </c>
      <c r="B2" s="327" t="str">
        <f>'Industry Ratios'!H3</f>
        <v>ALK-US</v>
      </c>
      <c r="C2" s="327"/>
      <c r="D2" s="327"/>
      <c r="E2" s="327"/>
      <c r="F2" s="327"/>
      <c r="G2" s="327"/>
      <c r="H2" s="327"/>
      <c r="I2" s="327"/>
      <c r="J2" s="327"/>
      <c r="K2" s="327"/>
      <c r="L2" s="327"/>
      <c r="M2" s="16"/>
    </row>
    <row r="3" spans="1:14">
      <c r="A3" s="327"/>
      <c r="B3" s="327"/>
      <c r="C3" s="1055" t="s">
        <v>355</v>
      </c>
      <c r="D3" s="327"/>
      <c r="E3" s="327"/>
      <c r="F3" s="327"/>
      <c r="G3" s="327"/>
      <c r="H3" s="327"/>
      <c r="I3" s="327"/>
      <c r="J3" s="327"/>
      <c r="K3" s="327"/>
      <c r="L3" s="327"/>
      <c r="M3" s="16"/>
    </row>
    <row r="4" spans="1:14">
      <c r="A4" s="327"/>
      <c r="B4" s="327"/>
      <c r="C4" s="327"/>
      <c r="D4" s="327"/>
      <c r="E4" s="327"/>
      <c r="F4" s="327"/>
      <c r="G4" s="327"/>
      <c r="H4" s="327"/>
      <c r="I4" s="327"/>
      <c r="J4" s="327"/>
      <c r="K4" s="327"/>
      <c r="L4" s="327"/>
      <c r="M4" s="16"/>
    </row>
    <row r="5" spans="1:14">
      <c r="A5" s="327"/>
      <c r="B5" s="327"/>
      <c r="C5" s="491"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4">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4">
      <c r="A7" s="377" t="str">
        <f>IS!A13</f>
        <v>Income Statement</v>
      </c>
      <c r="B7" s="327"/>
      <c r="C7" s="1059" t="s">
        <v>447</v>
      </c>
      <c r="D7" s="327"/>
      <c r="E7" s="327"/>
      <c r="F7" s="327"/>
      <c r="G7" s="327"/>
      <c r="H7" s="327"/>
      <c r="I7" s="327"/>
      <c r="J7" s="327"/>
      <c r="K7" s="327"/>
      <c r="L7" s="327"/>
      <c r="M7" s="16"/>
    </row>
    <row r="8" spans="1:14">
      <c r="A8" s="377" t="str">
        <f>IS!A14</f>
        <v>Sales</v>
      </c>
      <c r="B8" s="327"/>
      <c r="C8" s="491" cm="1">
        <f t="array" ref="C8">_xll.FDS($B2,"FF_SALES(ANN_R,"&amp;C5&amp;",,,,,B)")</f>
        <v>3.5659999999999998</v>
      </c>
      <c r="D8" s="491" cm="1">
        <f t="array" ref="D8">_xll.FDS($B2,"FF_SALES(ANN_R,"&amp;D5&amp;",,,,,B)")</f>
        <v>8.7810000000000006</v>
      </c>
      <c r="E8" s="491" cm="1">
        <f t="array" ref="E8">_xll.FDS($B2,"FF_SALES(ANN_R,"&amp;E5&amp;",,,,,B)")</f>
        <v>8.2639999999999993</v>
      </c>
      <c r="F8" s="491" cm="1">
        <f t="array" ref="F8">_xll.FDS($B2,"FF_SALES(ANN_R,"&amp;F5&amp;",,,,,B)")</f>
        <v>7.8940000000000001</v>
      </c>
      <c r="G8" s="491" cm="1">
        <f t="array" ref="G8">_xll.FDS($B2,"FF_SALES(ANN_R,"&amp;G5&amp;",,,,,B)")</f>
        <v>5.931</v>
      </c>
      <c r="H8" s="491" cm="1">
        <f t="array" ref="H8">_xll.FDS($B2,"FF_SALES(ANN_R,"&amp;H5&amp;",,,,,B)")</f>
        <v>5.5979999999999999</v>
      </c>
      <c r="I8" s="491" cm="1">
        <f t="array" ref="I8">_xll.FDS($B2,"FF_SALES(ANN_R,"&amp;I5&amp;",,,,,B)")</f>
        <v>5.3680000000000003</v>
      </c>
      <c r="J8" s="491" cm="1">
        <f t="array" ref="J8">_xll.FDS($B2,"FF_SALES(ANN_R,"&amp;J5&amp;",,,,,B)")</f>
        <v>4.9640000000000004</v>
      </c>
      <c r="K8" s="491" cm="1">
        <f t="array" ref="K8">_xll.FDS($B2,"FF_SALES(ANN_R,"&amp;K5&amp;",,,,,B)")</f>
        <v>4.657</v>
      </c>
      <c r="L8" s="491" cm="1">
        <f t="array" ref="L8">_xll.FDS($B2,"FF_SALES(ANN_R,"&amp;L5&amp;",,,,,B)")</f>
        <v>4.3178000000000001</v>
      </c>
      <c r="M8" s="16"/>
    </row>
    <row r="9" spans="1:14">
      <c r="A9" s="373" t="str">
        <f>IS!A15</f>
        <v>Cost of Goods Sold (COGS) incl. D&amp;A</v>
      </c>
      <c r="B9" s="379"/>
      <c r="C9" s="1125" cm="1">
        <f t="array" ref="C9">_xll.FDS($B2,"FF_COGS(ANN_R,"&amp;C5&amp;",,,,,B)")+'DAL-US R&amp;D'!C47+'DAL-US Lease'!C30</f>
        <v>4.7489999999999997</v>
      </c>
      <c r="D9" s="1125" cm="1">
        <f t="array" ref="D9">_xll.FDS($B2,"FF_COGS(ANN_R,"&amp;D5&amp;",,,,,B)")+'DAL-US R&amp;D'!D47+'DAL-US Lease'!D30</f>
        <v>6.7889999999999997</v>
      </c>
      <c r="E9" s="1125" cm="1">
        <f t="array" ref="E9">_xll.FDS($B2,"FF_COGS(ANN_R,"&amp;E5&amp;",,,,,B)")+'DAL-US R&amp;D'!E47+'DAL-US Lease'!E30</f>
        <v>6.6340000000000003</v>
      </c>
      <c r="F9" s="1125" cm="1">
        <f t="array" ref="F9">_xll.FDS($B2,"FF_COGS(ANN_R,"&amp;F5&amp;",,,,,B)")+'DAL-US R&amp;D'!F47+'DAL-US Lease'!F30</f>
        <v>5.625</v>
      </c>
      <c r="G9" s="1125" cm="1">
        <f t="array" ref="G9">_xll.FDS($B2,"FF_COGS(ANN_R,"&amp;G5&amp;",,,,,B)")+'DAL-US R&amp;D'!G47+'DAL-US Lease'!G30</f>
        <v>3.8660000000000001</v>
      </c>
      <c r="H9" s="1125" cm="1">
        <f t="array" ref="H9">_xll.FDS($B2,"FF_COGS(ANN_R,"&amp;H5&amp;",,,,,B)")+'DAL-US R&amp;D'!H47+'DAL-US Lease'!H30</f>
        <v>3.6760000000000002</v>
      </c>
      <c r="I9" s="1125" cm="1">
        <f t="array" ref="I9">_xll.FDS($B2,"FF_COGS(ANN_R,"&amp;I5&amp;",,,,,B)")+'DAL-US R&amp;D'!I47+'DAL-US Lease'!I30</f>
        <v>3.9049999999999998</v>
      </c>
      <c r="J9" s="1125" cm="1">
        <f t="array" ref="J9">_xll.FDS($B2,"FF_COGS(ANN_R,"&amp;J5&amp;",,,,,B)")+'DAL-US R&amp;D'!J47+'DAL-US Lease'!J30</f>
        <v>3.8109999999999999</v>
      </c>
      <c r="K9" s="1125" cm="1">
        <f t="array" ref="K9">_xll.FDS($B2,"FF_COGS(ANN_R,"&amp;K5&amp;",,,,,B)")+'DAL-US R&amp;D'!K47+'DAL-US Lease'!K30</f>
        <v>3.641</v>
      </c>
      <c r="L9" s="1125" cm="1">
        <f t="array" ref="L9">_xll.FDS($B2,"FF_COGS(ANN_R,"&amp;L5&amp;",,,,,B)")+'DAL-US R&amp;D'!L47+'DAL-US Lease'!L30</f>
        <v>3.4045000000000001</v>
      </c>
      <c r="M9" s="16"/>
    </row>
    <row r="10" spans="1:14">
      <c r="A10" s="373" t="str">
        <f>IS!A17</f>
        <v>SG&amp;A Expense</v>
      </c>
      <c r="B10" s="379"/>
      <c r="C10" s="1125" cm="1">
        <f t="array" ref="C10">_xll.FDS($B2,"FF_SGA(ANN_R,"&amp;C5&amp;",,,,,B)")-'AAL-US R&amp;D'!C10-'AAL-US Lease'!C31</f>
        <v>0.10100000000000001</v>
      </c>
      <c r="D10" s="1125" cm="1">
        <f t="array" ref="D10">_xll.FDS($B2,"FF_SGA(ANN_R,"&amp;D5&amp;",,,,,B)")-'AAL-US R&amp;D'!D10-'AAL-US Lease'!D31</f>
        <v>0.313</v>
      </c>
      <c r="E10" s="1125" cm="1">
        <f t="array" ref="E10">_xll.FDS($B2,"FF_SGA(ANN_R,"&amp;E5&amp;",,,,,B)")-'AAL-US R&amp;D'!E10-'AAL-US Lease'!E31</f>
        <v>0.32600000000000001</v>
      </c>
      <c r="F10" s="1125" cm="1">
        <f t="array" ref="F10">_xll.FDS($B2,"FF_SGA(ANN_R,"&amp;F5&amp;",,,,,B)")-'AAL-US R&amp;D'!F10-'AAL-US Lease'!F31</f>
        <v>-1.8820000000000001</v>
      </c>
      <c r="G10" s="1125" cm="1">
        <f t="array" ref="G10">_xll.FDS($B2,"FF_SGA(ANN_R,"&amp;G5&amp;",,,,,B)")-'AAL-US R&amp;D'!G10-'AAL-US Lease'!G31</f>
        <v>-1.9729999999999999</v>
      </c>
      <c r="H10" s="1125" cm="1">
        <f t="array" ref="H10">_xll.FDS($B2,"FF_SGA(ANN_R,"&amp;H5&amp;",,,,,B)")-'AAL-US R&amp;D'!H10-'AAL-US Lease'!H31</f>
        <v>-2.0215000000000001</v>
      </c>
      <c r="I10" s="1125" cm="1">
        <f t="array" ref="I10">_xll.FDS($B2,"FF_SGA(ANN_R,"&amp;I5&amp;",,,,,B)")-'AAL-US R&amp;D'!I10-'AAL-US Lease'!I31</f>
        <v>-2.0680000000000001</v>
      </c>
      <c r="J10" s="1125" cm="1">
        <f t="array" ref="J10">_xll.FDS($B2,"FF_SGA(ANN_R,"&amp;J5&amp;",,,,,B)")-'AAL-US R&amp;D'!J10-'AAL-US Lease'!J31</f>
        <v>-0.85399999999999987</v>
      </c>
      <c r="K10" s="1125" cm="1">
        <f t="array" ref="K10">_xll.FDS($B2,"FF_SGA(ANN_R,"&amp;K5&amp;",,,,,B)")-'AAL-US R&amp;D'!K10-'AAL-US Lease'!K31</f>
        <v>-1.008</v>
      </c>
      <c r="L10" s="1125" cm="1">
        <f t="array" ref="L10">_xll.FDS($B2,"FF_SGA(ANN_R,"&amp;L5&amp;",,,,,B)")-'AAL-US R&amp;D'!L10-'AAL-US Lease'!L31</f>
        <v>-1.0787</v>
      </c>
      <c r="M10" s="16"/>
    </row>
    <row r="11" spans="1:14">
      <c r="A11" s="255" t="str">
        <f>IS!A18</f>
        <v>EBIT (Operating Income)</v>
      </c>
      <c r="B11" s="327"/>
      <c r="C11" s="380">
        <f>C8-C9-C10</f>
        <v>-1.2839999999999998</v>
      </c>
      <c r="D11" s="380">
        <f t="shared" ref="D11:L11" si="0">D8-D9-D10</f>
        <v>1.6790000000000009</v>
      </c>
      <c r="E11" s="380">
        <f t="shared" si="0"/>
        <v>1.3039999999999989</v>
      </c>
      <c r="F11" s="380">
        <f t="shared" si="0"/>
        <v>4.1509999999999998</v>
      </c>
      <c r="G11" s="380">
        <f t="shared" si="0"/>
        <v>4.0380000000000003</v>
      </c>
      <c r="H11" s="380">
        <f t="shared" si="0"/>
        <v>3.9434999999999998</v>
      </c>
      <c r="I11" s="380">
        <f t="shared" si="0"/>
        <v>3.5310000000000006</v>
      </c>
      <c r="J11" s="380">
        <f t="shared" si="0"/>
        <v>2.0070000000000006</v>
      </c>
      <c r="K11" s="380">
        <f t="shared" si="0"/>
        <v>2.024</v>
      </c>
      <c r="L11" s="380">
        <f t="shared" si="0"/>
        <v>1.992</v>
      </c>
      <c r="M11" s="16"/>
    </row>
    <row r="12" spans="1:14">
      <c r="A12" s="259" t="str">
        <f>IS!A20</f>
        <v>Interest Expense</v>
      </c>
      <c r="B12" s="327"/>
      <c r="C12" s="491" cm="1">
        <f t="array" ref="C12">_xll.FDS($B2,"FF_INT_EXP_NET(ANN_R,"&amp;C5&amp;",,,,,B)")</f>
        <v>8.6999999999999994E-2</v>
      </c>
      <c r="D12" s="491" cm="1">
        <f t="array" ref="D12">_xll.FDS($B2,"FF_INT_EXP_NET(ANN_R,"&amp;D5&amp;",,,,,B)")</f>
        <v>6.3E-2</v>
      </c>
      <c r="E12" s="491" cm="1">
        <f t="array" ref="E12">_xll.FDS($B2,"FF_INT_EXP_NET(ANN_R,"&amp;E5&amp;",,,,,B)")</f>
        <v>7.2999999999999995E-2</v>
      </c>
      <c r="F12" s="491" cm="1">
        <f t="array" ref="F12">_xll.FDS($B2,"FF_INT_EXP_NET(ANN_R,"&amp;F5&amp;",,,,,B)")</f>
        <v>8.5999999999999993E-2</v>
      </c>
      <c r="G12" s="491" cm="1">
        <f t="array" ref="G12">_xll.FDS($B2,"FF_INT_EXP_NET(ANN_R,"&amp;G5&amp;",,,,,B)")</f>
        <v>0.03</v>
      </c>
      <c r="H12" s="491" cm="1">
        <f t="array" ref="H12">_xll.FDS($B2,"FF_INT_EXP_NET(ANN_R,"&amp;H5&amp;",,,,,B)")</f>
        <v>8.0000000000000002E-3</v>
      </c>
      <c r="I12" s="491" cm="1">
        <f t="array" ref="I12">_xll.FDS($B2,"FF_INT_EXP_NET(ANN_R,"&amp;I5&amp;",,,,,B)")</f>
        <v>2.8000000000000001E-2</v>
      </c>
      <c r="J12" s="491" cm="1">
        <f t="array" ref="J12">_xll.FDS($B2,"FF_INT_EXP_NET(ANN_R,"&amp;J5&amp;",,,,,B)")</f>
        <v>3.5000000000000003E-2</v>
      </c>
      <c r="K12" s="491" cm="1">
        <f t="array" ref="K12">_xll.FDS($B2,"FF_INT_EXP_NET(ANN_R,"&amp;K5&amp;",,,,,B)")</f>
        <v>4.5999999999999999E-2</v>
      </c>
      <c r="L12" s="491" cm="1">
        <f t="array" ref="L12">_xll.FDS($B2,"FF_INT_EXP_NET(ANN_R,"&amp;L5&amp;",,,,,B)")</f>
        <v>7.4800000000000005E-2</v>
      </c>
      <c r="M12" s="16"/>
    </row>
    <row r="13" spans="1:14">
      <c r="A13" s="259" t="str">
        <f>IS!A22&amp;" (at marginal tax rate)"</f>
        <v>Income Taxes (at marginal tax rate)</v>
      </c>
      <c r="B13" s="327"/>
      <c r="C13" s="327">
        <f>(C11-C12)*C20</f>
        <v>-0.37016999999999994</v>
      </c>
      <c r="D13" s="327">
        <f t="shared" ref="D13:L13" si="1">(D11-D12)*D20</f>
        <v>0.43632000000000032</v>
      </c>
      <c r="E13" s="327">
        <f t="shared" si="1"/>
        <v>0.33236999999999972</v>
      </c>
      <c r="F13" s="327">
        <f t="shared" si="1"/>
        <v>1.09755</v>
      </c>
      <c r="G13" s="327">
        <f t="shared" si="1"/>
        <v>1.08216</v>
      </c>
      <c r="H13" s="327">
        <f t="shared" si="1"/>
        <v>1.0625850000000001</v>
      </c>
      <c r="I13" s="327">
        <f t="shared" si="1"/>
        <v>0.94581000000000026</v>
      </c>
      <c r="J13" s="327">
        <f t="shared" si="1"/>
        <v>0.53244000000000025</v>
      </c>
      <c r="K13" s="327">
        <f t="shared" si="1"/>
        <v>0.53405999999999998</v>
      </c>
      <c r="L13" s="327">
        <f t="shared" si="1"/>
        <v>0.51764399999999999</v>
      </c>
      <c r="M13" s="16"/>
    </row>
    <row r="14" spans="1:14" s="17" customFormat="1">
      <c r="A14" s="255" t="s">
        <v>461</v>
      </c>
      <c r="B14" s="380"/>
      <c r="C14" s="380">
        <f>C11-C12-C13</f>
        <v>-1.0008299999999999</v>
      </c>
      <c r="D14" s="380">
        <f t="shared" ref="D14:L14" si="2">D11-D12-D13</f>
        <v>1.1796800000000007</v>
      </c>
      <c r="E14" s="380">
        <f t="shared" si="2"/>
        <v>0.89862999999999926</v>
      </c>
      <c r="F14" s="380">
        <f t="shared" si="2"/>
        <v>2.9674499999999995</v>
      </c>
      <c r="G14" s="380">
        <f t="shared" si="2"/>
        <v>2.92584</v>
      </c>
      <c r="H14" s="380">
        <f t="shared" si="2"/>
        <v>2.8729149999999999</v>
      </c>
      <c r="I14" s="380">
        <f t="shared" si="2"/>
        <v>2.5571900000000003</v>
      </c>
      <c r="J14" s="380">
        <f t="shared" si="2"/>
        <v>1.4395600000000004</v>
      </c>
      <c r="K14" s="380">
        <f t="shared" si="2"/>
        <v>1.44394</v>
      </c>
      <c r="L14" s="380">
        <f t="shared" si="2"/>
        <v>1.399556</v>
      </c>
      <c r="M14" s="18"/>
      <c r="N14"/>
    </row>
    <row r="15" spans="1:14">
      <c r="A15" s="373" t="str">
        <f>IS!A19</f>
        <v>Nonoperating Income - Net</v>
      </c>
      <c r="B15" s="379"/>
      <c r="C15" s="1126" cm="1">
        <f t="array" ref="C15">_xll.FDS($B2,"FF_NON_OPER_INC(ANN_R,"&amp;C5&amp;",,,,,B)")</f>
        <v>2.7E-2</v>
      </c>
      <c r="D15" s="1126" cm="1">
        <f t="array" ref="D15">_xll.FDS($B2,"FF_NON_OPER_INC(ANN_R,"&amp;D5&amp;",,,,,B)")</f>
        <v>-3.0000000000000001E-3</v>
      </c>
      <c r="E15" s="1126" cm="1">
        <f t="array" ref="E15">_xll.FDS($B2,"FF_NON_OPER_INC(ANN_R,"&amp;E5&amp;",,,,,B)")</f>
        <v>3.5999999999999997E-2</v>
      </c>
      <c r="F15" s="1126" cm="1">
        <f t="array" ref="F15">_xll.FDS($B2,"FF_NON_OPER_INC(ANN_R,"&amp;F5&amp;",,,,,B)")</f>
        <v>1.4999999999999999E-2</v>
      </c>
      <c r="G15" s="1126" cm="1">
        <f t="array" ref="G15">_xll.FDS($B2,"FF_NON_OPER_INC(ANN_R,"&amp;G5&amp;",,,,,B)")</f>
        <v>4.0000000000000001E-3</v>
      </c>
      <c r="H15" s="1126" cm="1">
        <f t="array" ref="H15">_xll.FDS($B2,"FF_NON_OPER_INC(ANN_R,"&amp;H5&amp;",,,,,B)")</f>
        <v>-3.0000000000000001E-3</v>
      </c>
      <c r="I15" s="1126" cm="1">
        <f t="array" ref="I15">_xll.FDS($B2,"FF_NON_OPER_INC(ANN_R,"&amp;I5&amp;",,,,,B)")</f>
        <v>-6.0000000000000001E-3</v>
      </c>
      <c r="J15" s="1126" cm="1">
        <f t="array" ref="J15">_xll.FDS($B2,"FF_NON_OPER_INC(ANN_R,"&amp;J5&amp;",,,,,B)")</f>
        <v>-4.4999999999999998E-2</v>
      </c>
      <c r="K15" s="1126" cm="1">
        <f t="array" ref="K15">_xll.FDS($B2,"FF_NON_OPER_INC(ANN_R,"&amp;K5&amp;",,,,,B)")</f>
        <v>-2E-3</v>
      </c>
      <c r="L15" s="1126" cm="1">
        <f t="array" ref="L15">_xll.FDS($B2,"FF_NON_OPER_INC(ANN_R,"&amp;L5&amp;",,,,,B)")</f>
        <v>1.09E-2</v>
      </c>
      <c r="M15" s="16"/>
    </row>
    <row r="16" spans="1:14">
      <c r="A16" s="373" t="str">
        <f>IS!A21</f>
        <v>Unusual Expense - Net</v>
      </c>
      <c r="B16" s="379"/>
      <c r="C16" s="1126" cm="1">
        <f t="array" ref="C16">_xll.FDS($B2,"FF_UNUSUAL_EXP(ANN_R,"&amp;C5&amp;",,,,,B)")</f>
        <v>8.8999999999999996E-2</v>
      </c>
      <c r="D16" s="1126" cm="1">
        <f t="array" ref="D16">_xll.FDS($B2,"FF_UNUSUAL_EXP(ANN_R,"&amp;D5&amp;",,,,,B)")</f>
        <v>3.7999999999999999E-2</v>
      </c>
      <c r="E16" s="1126" cm="1">
        <f t="array" ref="E16">_xll.FDS($B2,"FF_UNUSUAL_EXP(ANN_R,"&amp;E5&amp;",,,,,B)")</f>
        <v>0.11</v>
      </c>
      <c r="F16" s="1126" cm="1">
        <f t="array" ref="F16">_xll.FDS($B2,"FF_UNUSUAL_EXP(ANN_R,"&amp;F5&amp;",,,,,B)")</f>
        <v>0.109</v>
      </c>
      <c r="G16" s="1126" cm="1">
        <f t="array" ref="G16">_xll.FDS($B2,"FF_UNUSUAL_EXP(ANN_R,"&amp;G5&amp;",,,,,B)")</f>
        <v>0.104</v>
      </c>
      <c r="H16" s="1126" cm="1">
        <f t="array" ref="H16">_xll.FDS($B2,"FF_UNUSUAL_EXP(ANN_R,"&amp;H5&amp;",,,,,B)")</f>
        <v>3.2000000000000001E-2</v>
      </c>
      <c r="I16" s="1126" cm="1">
        <f t="array" ref="I16">_xll.FDS($B2,"FF_UNUSUAL_EXP(ANN_R,"&amp;I5&amp;",,,,,B)")</f>
        <v>-5.2999999999999999E-2</v>
      </c>
      <c r="J16" s="1126" cm="1">
        <f t="array" ref="J16">_xll.FDS($B2,"FF_UNUSUAL_EXP(ANN_R,"&amp;J5&amp;",,,,,B)")</f>
        <v>-0.2</v>
      </c>
      <c r="K16" s="1126" cm="1">
        <f t="array" ref="K16">_xll.FDS($B2,"FF_UNUSUAL_EXP(ANN_R,"&amp;K5&amp;",,,,,B)")</f>
        <v>3.7999999999999999E-2</v>
      </c>
      <c r="L16" s="1126" cm="1">
        <f t="array" ref="L16">_xll.FDS($B2,"FF_UNUSUAL_EXP(ANN_R,"&amp;L5&amp;",,,,,B)")</f>
        <v>4.5100000000000001E-2</v>
      </c>
      <c r="M16" s="16"/>
    </row>
    <row r="17" spans="1:13">
      <c r="A17" s="259" t="s">
        <v>462</v>
      </c>
      <c r="B17" s="259"/>
      <c r="C17" s="327">
        <f>(C15-C16)*C20</f>
        <v>-1.6740000000000001E-2</v>
      </c>
      <c r="D17" s="327">
        <f t="shared" ref="D17:L17" si="3">(D15-D16)*D20</f>
        <v>-1.1070000000000002E-2</v>
      </c>
      <c r="E17" s="327">
        <f t="shared" si="3"/>
        <v>-1.9980000000000005E-2</v>
      </c>
      <c r="F17" s="327">
        <f t="shared" si="3"/>
        <v>-2.5380000000000003E-2</v>
      </c>
      <c r="G17" s="327">
        <f>(G15-G16)*G20</f>
        <v>-2.7E-2</v>
      </c>
      <c r="H17" s="327">
        <f t="shared" si="3"/>
        <v>-9.4500000000000018E-3</v>
      </c>
      <c r="I17" s="327">
        <f t="shared" si="3"/>
        <v>1.2690000000000002E-2</v>
      </c>
      <c r="J17" s="327">
        <f t="shared" si="3"/>
        <v>4.1850000000000012E-2</v>
      </c>
      <c r="K17" s="327">
        <f t="shared" si="3"/>
        <v>-1.0800000000000001E-2</v>
      </c>
      <c r="L17" s="327">
        <f t="shared" si="3"/>
        <v>-9.2340000000000009E-3</v>
      </c>
      <c r="M17" s="16"/>
    </row>
    <row r="18" spans="1:13" s="17" customFormat="1">
      <c r="A18" s="255" t="s">
        <v>463</v>
      </c>
      <c r="B18" s="380"/>
      <c r="C18" s="380">
        <f>C14+C15-C16-C17</f>
        <v>-1.04609</v>
      </c>
      <c r="D18" s="380">
        <f t="shared" ref="D18:L18" si="4">D14+D15-D16-D17</f>
        <v>1.1497500000000007</v>
      </c>
      <c r="E18" s="380">
        <f t="shared" si="4"/>
        <v>0.84460999999999931</v>
      </c>
      <c r="F18" s="380">
        <f t="shared" si="4"/>
        <v>2.8988299999999998</v>
      </c>
      <c r="G18" s="380">
        <f t="shared" si="4"/>
        <v>2.85284</v>
      </c>
      <c r="H18" s="380">
        <f t="shared" si="4"/>
        <v>2.8473649999999999</v>
      </c>
      <c r="I18" s="380">
        <f t="shared" si="4"/>
        <v>2.5915000000000004</v>
      </c>
      <c r="J18" s="380">
        <f t="shared" si="4"/>
        <v>1.5527100000000005</v>
      </c>
      <c r="K18" s="380">
        <f t="shared" si="4"/>
        <v>1.4147399999999999</v>
      </c>
      <c r="L18" s="380">
        <f t="shared" si="4"/>
        <v>1.37459</v>
      </c>
      <c r="M18" s="18"/>
    </row>
    <row r="19" spans="1:13">
      <c r="A19" s="677" t="s">
        <v>464</v>
      </c>
      <c r="B19" s="473"/>
      <c r="C19" s="633" cm="1">
        <f t="array" ref="C19">_xll.FDS($B2,"FF_INC_TAX(ANN_R,"&amp;C5&amp;",,,,,B)")/(_xll.FDS($B2,"FF_EBIT_OPER(ANN_R,"&amp;C5&amp;",,,,,B)")+C15-C12-C16)</f>
        <v>0.28043478260869564</v>
      </c>
      <c r="D19" s="633" cm="1">
        <f t="array" ref="D19">_xll.FDS($B2,"FF_INC_TAX(ANN_R,"&amp;D5&amp;",,,,,B)")/(_xll.FDS($B2,"FF_EBIT_OPER(ANN_R,"&amp;D5&amp;",,,,,B)")+D15-D12-D16)</f>
        <v>0.24311023622047237</v>
      </c>
      <c r="E19" s="633" cm="1">
        <f t="array" ref="E19">_xll.FDS($B2,"FF_INC_TAX(ANN_R,"&amp;E5&amp;",,,,,B)")/(_xll.FDS($B2,"FF_EBIT_OPER(ANN_R,"&amp;E5&amp;",,,,,B)")+E15-E12-E16)</f>
        <v>0.25299145299145293</v>
      </c>
      <c r="F19" s="633" cm="1">
        <f t="array" ref="F19">_xll.FDS($B2,"FF_INC_TAX(ANN_R,"&amp;F5&amp;",,,,,B)")/(_xll.FDS($B2,"FF_EBIT_OPER(ANN_R,"&amp;F5&amp;",,,,,B)")+F15-F12-F16)</f>
        <v>0.17169974115616915</v>
      </c>
      <c r="G19" s="633" cm="1">
        <f t="array" ref="G19">_xll.FDS($B2,"FF_INC_TAX(ANN_R,"&amp;G5&amp;",,,,,B)")/(_xll.FDS($B2,"FF_EBIT_OPER(ANN_R,"&amp;G5&amp;",,,,,B)")+G15-G12-G16)</f>
        <v>0.39479553903345727</v>
      </c>
      <c r="H19" s="633" cm="1">
        <f t="array" ref="H19">_xll.FDS($B2,"FF_INC_TAX(ANN_R,"&amp;H5&amp;",,,,,B)")/(_xll.FDS($B2,"FF_EBIT_OPER(ANN_R,"&amp;H5&amp;",,,,,B)")+H15-H12-H16)</f>
        <v>0.35365853658536583</v>
      </c>
      <c r="I19" s="633" cm="1">
        <f t="array" ref="I19">_xll.FDS($B2,"FF_INC_TAX(ANN_R,"&amp;I5&amp;",,,,,B)")/(_xll.FDS($B2,"FF_EBIT_OPER(ANN_R,"&amp;I5&amp;",,,,,B)")+I15-I12-I16)</f>
        <v>0.37948717948717947</v>
      </c>
      <c r="J19" s="633" cm="1">
        <f t="array" ref="J19">_xll.FDS($B2,"FF_INC_TAX(ANN_R,"&amp;J5&amp;",,,,,B)")/(_xll.FDS($B2,"FF_EBIT_OPER(ANN_R,"&amp;J5&amp;",,,,,B)")+J15-J12-J16)</f>
        <v>0.37745098039215691</v>
      </c>
      <c r="K19" s="633" cm="1">
        <f t="array" ref="K19">_xll.FDS($B2,"FF_INC_TAX(ANN_R,"&amp;K5&amp;",,,,,B)")/(_xll.FDS($B2,"FF_EBIT_OPER(ANN_R,"&amp;K5&amp;",,,,,B)")+K15-K12-K16)</f>
        <v>0.38521400778210124</v>
      </c>
      <c r="L19" s="633" cm="1">
        <f t="array" ref="L19">_xll.FDS($B2,"FF_INC_TAX(ANN_R,"&amp;L5&amp;",,,,,B)")/(_xll.FDS($B2,"FF_EBIT_OPER(ANN_R,"&amp;L5&amp;",,,,,B)")+L15-L12-L16)</f>
        <v>0.37896875793751583</v>
      </c>
      <c r="M19" s="16"/>
    </row>
    <row r="20" spans="1:13">
      <c r="A20" s="382" t="s">
        <v>465</v>
      </c>
      <c r="B20" s="383"/>
      <c r="C20" s="1109">
        <f>'ALK-US R&amp;D'!$B5</f>
        <v>0.27</v>
      </c>
      <c r="D20" s="1109">
        <f>'ALK-US R&amp;D'!$B5</f>
        <v>0.27</v>
      </c>
      <c r="E20" s="1109">
        <f>'ALK-US R&amp;D'!$B5</f>
        <v>0.27</v>
      </c>
      <c r="F20" s="1109">
        <f>'ALK-US R&amp;D'!$B5</f>
        <v>0.27</v>
      </c>
      <c r="G20" s="1109">
        <f>'ALK-US R&amp;D'!$B5</f>
        <v>0.27</v>
      </c>
      <c r="H20" s="1109">
        <f>'ALK-US R&amp;D'!$B5</f>
        <v>0.27</v>
      </c>
      <c r="I20" s="1109">
        <f>'ALK-US R&amp;D'!$B5</f>
        <v>0.27</v>
      </c>
      <c r="J20" s="1109">
        <f>'ALK-US R&amp;D'!$B5</f>
        <v>0.27</v>
      </c>
      <c r="K20" s="1109">
        <f>'ALK-US R&amp;D'!$B5</f>
        <v>0.27</v>
      </c>
      <c r="L20" s="1109">
        <f>'ALK-US R&amp;D'!$B5</f>
        <v>0.27</v>
      </c>
      <c r="M20" s="16"/>
    </row>
    <row r="21" spans="1:13">
      <c r="A21" s="255" t="str">
        <f>IS!A31</f>
        <v>EBITDA</v>
      </c>
      <c r="B21" s="327"/>
      <c r="C21" s="491" cm="1">
        <f t="array" ref="C21">_xll.FDS($B2,"FF_EBITDA_OPER(ANN_R,"&amp;C5&amp;",,,,,B)")</f>
        <v>-1.2709999999999999</v>
      </c>
      <c r="D21" s="491" cm="1">
        <f t="array" ref="D21">_xll.FDS($B2,"FF_EBITDA_OPER(ANN_R,"&amp;D5&amp;",,,,,B)")</f>
        <v>1.5429999999999999</v>
      </c>
      <c r="E21" s="491" cm="1">
        <f t="array" ref="E21">_xll.FDS($B2,"FF_EBITDA_OPER(ANN_R,"&amp;E5&amp;",,,,,B)")</f>
        <v>1.1299999999999999</v>
      </c>
      <c r="F21" s="491" cm="1">
        <f t="array" ref="F21">_xll.FDS($B2,"FF_EBITDA_OPER(ANN_R,"&amp;F5&amp;",,,,,B)")</f>
        <v>1.7110000000000001</v>
      </c>
      <c r="G21" s="491" cm="1">
        <f t="array" ref="G21">_xll.FDS($B2,"FF_EBITDA_OPER(ANN_R,"&amp;G5&amp;",,,,,B)")</f>
        <v>1.8380000000000001</v>
      </c>
      <c r="H21" s="491" cm="1">
        <f t="array" ref="H21">_xll.FDS($B2,"FF_EBITDA_OPER(ANN_R,"&amp;H5&amp;",,,,,B)")</f>
        <v>1.675</v>
      </c>
      <c r="I21" s="491" cm="1">
        <f t="array" ref="I21">_xll.FDS($B2,"FF_EBITDA_OPER(ANN_R,"&amp;I5&amp;",,,,,B)")</f>
        <v>1.25</v>
      </c>
      <c r="J21" s="491" cm="1">
        <f t="array" ref="J21">_xll.FDS($B2,"FF_EBITDA_OPER(ANN_R,"&amp;J5&amp;",,,,,B)")</f>
        <v>0.96599999999999997</v>
      </c>
      <c r="K21" s="491" cm="1">
        <f t="array" ref="K21">_xll.FDS($B2,"FF_EBITDA_OPER(ANN_R,"&amp;K5&amp;",,,,,B)")</f>
        <v>0.86399999999999999</v>
      </c>
      <c r="L21" s="491" cm="1">
        <f t="array" ref="L21">_xll.FDS($B2,"FF_EBITDA_OPER(ANN_R,"&amp;L5&amp;",,,,,B)")</f>
        <v>0.74960000000000004</v>
      </c>
      <c r="M21" s="16"/>
    </row>
    <row r="22" spans="1:13">
      <c r="A22" s="259" t="s">
        <v>466</v>
      </c>
      <c r="B22" s="327"/>
      <c r="C22" s="327">
        <f>SUM(C11,'DAL-US CFS-adj'!C10:C12)</f>
        <v>1.028</v>
      </c>
      <c r="D22" s="327">
        <f>SUM(D11,'DAL-US CFS-adj'!D10:D12)</f>
        <v>4.2600000000000007</v>
      </c>
      <c r="E22" s="327">
        <f>SUM(E11,'DAL-US CFS-adj'!E10:E12)</f>
        <v>3.6329999999999991</v>
      </c>
      <c r="F22" s="327">
        <f>SUM(F11,'DAL-US CFS-adj'!F10:F12)</f>
        <v>6.3859999999999992</v>
      </c>
      <c r="G22" s="327">
        <f>SUM(G11,'DAL-US CFS-adj'!G10:G12)</f>
        <v>5.94</v>
      </c>
      <c r="H22" s="327">
        <f>SUM(H11,'DAL-US CFS-adj'!H10:H12)</f>
        <v>5.7784999999999993</v>
      </c>
      <c r="I22" s="327">
        <f>SUM(I11,'DAL-US CFS-adj'!I10:I12)</f>
        <v>5.3020000000000005</v>
      </c>
      <c r="J22" s="327">
        <f>SUM(J11,'DAL-US CFS-adj'!J10:J12)</f>
        <v>3.6650000000000005</v>
      </c>
      <c r="K22" s="327">
        <f>SUM(K11,'DAL-US CFS-adj'!K10:K12)</f>
        <v>3.589</v>
      </c>
      <c r="L22" s="327">
        <f>SUM(L11,'DAL-US CFS-adj'!L10:L12)</f>
        <v>3.5149999999999997</v>
      </c>
      <c r="M22" s="16"/>
    </row>
    <row r="23" spans="1:13">
      <c r="A23" s="259"/>
      <c r="B23" s="327"/>
      <c r="C23"/>
      <c r="D23" s="327"/>
      <c r="E23" s="327"/>
      <c r="F23" s="327"/>
      <c r="G23" s="327"/>
      <c r="H23" s="327"/>
      <c r="I23" s="327"/>
      <c r="J23" s="327"/>
      <c r="K23" s="327"/>
      <c r="L23" s="327"/>
      <c r="M23" s="16"/>
    </row>
    <row r="24" spans="1:13">
      <c r="A24" s="385" t="str">
        <f>IS!A58</f>
        <v>Shs Outstanding (M) - Basic</v>
      </c>
      <c r="B24" s="327"/>
      <c r="C24" s="1124" cm="1">
        <f t="array" ref="C24">_xll.FDS($B2,"FF_COM_SHS_OUT(ANN_R,"&amp;C5&amp;")")</f>
        <v>124.21759</v>
      </c>
      <c r="D24" s="1124" cm="1">
        <f t="array" ref="D24">_xll.FDS($B2,"FF_COM_SHS_OUT(ANN_R,"&amp;D5&amp;")")</f>
        <v>123.00030700000001</v>
      </c>
      <c r="E24" s="1124" cm="1">
        <f t="array" ref="E24">_xll.FDS($B2,"FF_COM_SHS_OUT(ANN_R,"&amp;E5&amp;")")</f>
        <v>123.19443</v>
      </c>
      <c r="F24" s="1124" cm="1">
        <f t="array" ref="F24">_xll.FDS($B2,"FF_COM_SHS_OUT(ANN_R,"&amp;F5&amp;")")</f>
        <v>123.060638</v>
      </c>
      <c r="G24" s="1124" cm="1">
        <f t="array" ref="G24">_xll.FDS($B2,"FF_COM_SHS_OUT(ANN_R,"&amp;G5&amp;")")</f>
        <v>123.328051</v>
      </c>
      <c r="H24" s="1124" cm="1">
        <f t="array" ref="H24">_xll.FDS($B2,"FF_COM_SHS_OUT(ANN_R,"&amp;H5&amp;")")</f>
        <v>125.175325</v>
      </c>
      <c r="I24" s="1124" cm="1">
        <f t="array" ref="I24">_xll.FDS($B2,"FF_COM_SHS_OUT(ANN_R,"&amp;I5&amp;")")</f>
        <v>131.48147299999999</v>
      </c>
      <c r="J24" s="1124" cm="1">
        <f t="array" ref="J24">_xll.FDS($B2,"FF_COM_SHS_OUT(ANN_R,"&amp;J5&amp;")")</f>
        <v>137.491906</v>
      </c>
      <c r="K24" s="1124" cm="1">
        <f t="array" ref="K24">_xll.FDS($B2,"FF_COM_SHS_OUT(ANN_R,"&amp;K5&amp;")")</f>
        <v>140.753086</v>
      </c>
      <c r="L24" s="1124" cm="1">
        <f t="array" ref="L24">_xll.FDS($B2,"FF_COM_SHS_OUT(ANN_R,"&amp;L5&amp;")")</f>
        <v>141.8991</v>
      </c>
      <c r="M24" s="16"/>
    </row>
    <row r="25" spans="1:13">
      <c r="A25" s="259" t="s">
        <v>467</v>
      </c>
      <c r="B25" s="327"/>
      <c r="C25" s="327">
        <f>C11/C8</f>
        <v>-0.36006730229949518</v>
      </c>
      <c r="D25" s="327">
        <f t="shared" ref="D25:L25" si="5">D11/D8</f>
        <v>0.19120829062749126</v>
      </c>
      <c r="E25" s="327">
        <f t="shared" si="5"/>
        <v>0.15779283639883823</v>
      </c>
      <c r="F25" s="327">
        <f t="shared" si="5"/>
        <v>0.52584241195844938</v>
      </c>
      <c r="G25" s="327">
        <f t="shared" si="5"/>
        <v>0.68082953970662619</v>
      </c>
      <c r="H25" s="327">
        <f t="shared" si="5"/>
        <v>0.70444801714898175</v>
      </c>
      <c r="I25" s="327">
        <f t="shared" si="5"/>
        <v>0.65778688524590168</v>
      </c>
      <c r="J25" s="327">
        <f t="shared" si="5"/>
        <v>0.40431103948428693</v>
      </c>
      <c r="K25" s="327">
        <f t="shared" si="5"/>
        <v>0.43461455872879534</v>
      </c>
      <c r="L25" s="327">
        <f t="shared" si="5"/>
        <v>0.46134605586178146</v>
      </c>
      <c r="M25" s="16"/>
    </row>
    <row r="26" spans="1:13">
      <c r="A26" s="259"/>
      <c r="B26" s="327"/>
      <c r="C26" s="387"/>
      <c r="D26" s="327"/>
      <c r="E26" s="327"/>
      <c r="F26" s="327"/>
      <c r="G26" s="327"/>
      <c r="H26" s="327"/>
      <c r="I26" s="327"/>
      <c r="J26" s="327"/>
      <c r="K26" s="327"/>
      <c r="L26" s="327"/>
      <c r="M26" s="16"/>
    </row>
    <row r="27" spans="1:13">
      <c r="A27" s="259"/>
      <c r="B27" s="327"/>
      <c r="C27" s="641"/>
      <c r="D27" s="641"/>
      <c r="E27" s="641"/>
      <c r="F27" s="641"/>
      <c r="G27" s="641"/>
      <c r="H27" s="641"/>
      <c r="I27" s="641"/>
      <c r="J27" s="641"/>
      <c r="K27" s="641"/>
      <c r="L27" s="327"/>
      <c r="M27" s="16"/>
    </row>
    <row r="28" spans="1:13">
      <c r="A28" s="259"/>
      <c r="B28" s="327"/>
      <c r="C28" s="387"/>
      <c r="D28" s="327"/>
      <c r="E28" s="327"/>
      <c r="F28" s="327"/>
      <c r="G28" s="327"/>
      <c r="H28" s="327"/>
      <c r="I28" s="327"/>
      <c r="J28" s="327"/>
      <c r="K28" s="327"/>
      <c r="L28" s="327"/>
      <c r="M28" s="16"/>
    </row>
    <row r="29" spans="1:13">
      <c r="A29" s="259"/>
      <c r="B29" s="327"/>
      <c r="C29" s="387"/>
      <c r="D29" s="327"/>
      <c r="E29" s="327"/>
      <c r="F29" s="327"/>
      <c r="G29" s="327"/>
      <c r="H29" s="327"/>
      <c r="I29" s="327"/>
      <c r="J29" s="327"/>
      <c r="K29" s="327"/>
      <c r="L29" s="327"/>
      <c r="M29" s="16"/>
    </row>
    <row r="30" spans="1:13">
      <c r="A30" s="259"/>
      <c r="B30" s="327"/>
      <c r="C30" s="387"/>
      <c r="D30" s="327"/>
      <c r="E30" s="327"/>
      <c r="F30" s="327"/>
      <c r="G30" s="327"/>
      <c r="H30" s="327"/>
      <c r="I30" s="327"/>
      <c r="J30" s="327"/>
      <c r="K30" s="327"/>
      <c r="L30" s="327"/>
      <c r="M30" s="16"/>
    </row>
    <row r="31" spans="1:13">
      <c r="A31" s="259"/>
      <c r="B31" s="327"/>
      <c r="C31" s="327"/>
      <c r="D31" s="327"/>
      <c r="E31" s="327"/>
      <c r="F31" s="327"/>
      <c r="G31" s="327"/>
      <c r="H31" s="327"/>
      <c r="I31" s="327"/>
      <c r="J31" s="327"/>
      <c r="K31" s="327"/>
      <c r="L31" s="327"/>
      <c r="M31" s="16"/>
    </row>
    <row r="32" spans="1:13">
      <c r="A32" s="255"/>
      <c r="B32" s="327"/>
      <c r="C32" s="327"/>
      <c r="D32" s="327"/>
      <c r="E32" s="327"/>
      <c r="F32" s="327"/>
      <c r="G32" s="327"/>
      <c r="H32" s="327"/>
      <c r="I32" s="327"/>
      <c r="J32" s="327"/>
      <c r="K32" s="327"/>
      <c r="L32" s="327"/>
      <c r="M32" s="16"/>
    </row>
    <row r="33" spans="1:13">
      <c r="A33" s="259"/>
      <c r="B33" s="327"/>
      <c r="C33" s="327"/>
      <c r="D33" s="327"/>
      <c r="E33" s="327"/>
      <c r="F33" s="327"/>
      <c r="G33" s="327"/>
      <c r="H33" s="327"/>
      <c r="I33" s="327"/>
      <c r="J33" s="327"/>
      <c r="K33" s="327"/>
      <c r="L33" s="327"/>
      <c r="M33" s="16"/>
    </row>
    <row r="34" spans="1:13">
      <c r="A34" s="259"/>
      <c r="B34" s="327"/>
      <c r="C34" s="327"/>
      <c r="D34" s="327"/>
      <c r="E34" s="327"/>
      <c r="F34" s="327"/>
      <c r="G34" s="327"/>
      <c r="H34" s="327"/>
      <c r="I34" s="327"/>
      <c r="J34" s="327"/>
      <c r="K34" s="327"/>
      <c r="L34" s="327"/>
      <c r="M34" s="16"/>
    </row>
    <row r="35" spans="1:13">
      <c r="A35" s="259"/>
      <c r="B35" s="327"/>
      <c r="C35" s="327"/>
      <c r="D35" s="327"/>
      <c r="E35" s="327"/>
      <c r="F35" s="327"/>
      <c r="G35" s="327"/>
      <c r="H35" s="327"/>
      <c r="I35" s="327"/>
      <c r="J35" s="327"/>
      <c r="K35" s="327"/>
      <c r="L35" s="327"/>
      <c r="M35" s="16"/>
    </row>
    <row r="36" spans="1:13">
      <c r="A36" s="259"/>
      <c r="B36" s="327"/>
      <c r="C36" s="327"/>
      <c r="D36" s="327"/>
      <c r="E36" s="327"/>
      <c r="F36" s="327"/>
      <c r="G36" s="327"/>
      <c r="H36" s="327"/>
      <c r="I36" s="327"/>
      <c r="J36" s="327"/>
      <c r="K36" s="327"/>
      <c r="L36" s="327"/>
      <c r="M36" s="16"/>
    </row>
    <row r="37" spans="1:13">
      <c r="A37" s="259"/>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5"/>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9"/>
      <c r="B44" s="327"/>
      <c r="C44" s="327"/>
      <c r="D44" s="327"/>
      <c r="E44" s="327"/>
      <c r="F44" s="327"/>
      <c r="G44" s="327"/>
      <c r="H44" s="327"/>
      <c r="I44" s="327"/>
      <c r="J44" s="327"/>
      <c r="K44" s="327"/>
      <c r="L44" s="327"/>
      <c r="M44" s="16"/>
    </row>
    <row r="45" spans="1:13">
      <c r="A45" s="259"/>
      <c r="B45" s="327"/>
      <c r="C45" s="327"/>
      <c r="D45" s="327"/>
      <c r="E45" s="327"/>
      <c r="F45" s="327"/>
      <c r="G45" s="327"/>
      <c r="H45" s="327"/>
      <c r="I45" s="327"/>
      <c r="J45" s="327"/>
      <c r="K45" s="327"/>
      <c r="L45" s="327"/>
      <c r="M45" s="16"/>
    </row>
    <row r="46" spans="1:13">
      <c r="A46" s="252"/>
      <c r="B46" s="327"/>
      <c r="C46" s="327"/>
      <c r="D46" s="327"/>
      <c r="E46" s="327"/>
      <c r="F46" s="327"/>
      <c r="G46" s="327"/>
      <c r="H46" s="327"/>
      <c r="I46" s="327"/>
      <c r="J46" s="327"/>
      <c r="K46" s="327"/>
      <c r="L46" s="327"/>
      <c r="M46" s="16"/>
    </row>
    <row r="48" spans="1:13">
      <c r="A48" s="327"/>
    </row>
    <row r="49" spans="1:1">
      <c r="A49" s="327"/>
    </row>
    <row r="50" spans="1:1">
      <c r="A50" s="327"/>
    </row>
    <row r="51" spans="1:1">
      <c r="A51" s="327"/>
    </row>
    <row r="52" spans="1:1">
      <c r="A52" s="327"/>
    </row>
    <row r="53" spans="1:1">
      <c r="A53" s="327"/>
    </row>
    <row r="54" spans="1:1">
      <c r="A54" s="327"/>
    </row>
    <row r="55" spans="1:1">
      <c r="A55" s="327"/>
    </row>
    <row r="56" spans="1:1">
      <c r="A56" s="327"/>
    </row>
    <row r="57" spans="1:1">
      <c r="A57" s="327"/>
    </row>
    <row r="58" spans="1:1">
      <c r="A58" s="327"/>
    </row>
    <row r="59" spans="1:1">
      <c r="A59" s="327"/>
    </row>
    <row r="60" spans="1:1">
      <c r="A60" s="327"/>
    </row>
    <row r="61" spans="1:1">
      <c r="A61" s="327"/>
    </row>
    <row r="62" spans="1:1">
      <c r="A62" s="327"/>
    </row>
    <row r="63" spans="1:1">
      <c r="A63" s="327"/>
    </row>
    <row r="64" spans="1:1">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sheetData>
  <pageMargins left="0.7" right="0.7" top="0.78740157499999996" bottom="0.78740157499999996"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08879-8D52-407F-BEB3-36E7182F5658}">
  <sheetPr>
    <tabColor theme="2" tint="-0.499984740745262"/>
  </sheetPr>
  <dimension ref="A1:N157"/>
  <sheetViews>
    <sheetView workbookViewId="0">
      <selection activeCell="C20" sqref="C20:L20"/>
    </sheetView>
  </sheetViews>
  <sheetFormatPr defaultColWidth="11.28515625" defaultRowHeight="15"/>
  <cols>
    <col min="1" max="1" width="32.7109375" style="3" customWidth="1"/>
    <col min="2" max="2" width="7.42578125" style="3" customWidth="1"/>
    <col min="3" max="12" width="11.28515625" style="3"/>
  </cols>
  <sheetData>
    <row r="1" spans="1:14" s="340" customFormat="1" ht="26.1" customHeight="1">
      <c r="A1" s="371" t="s">
        <v>460</v>
      </c>
    </row>
    <row r="2" spans="1:14">
      <c r="A2" s="327" t="str">
        <f>IS!A8</f>
        <v>Ticker</v>
      </c>
      <c r="B2" s="327" t="str">
        <f>'Industry Ratios'!I3</f>
        <v>skyw-US</v>
      </c>
      <c r="C2" s="327"/>
      <c r="D2" s="327"/>
      <c r="E2" s="327"/>
      <c r="F2" s="327"/>
      <c r="G2" s="327"/>
      <c r="H2" s="327"/>
      <c r="I2" s="327"/>
      <c r="J2" s="327"/>
      <c r="K2" s="327"/>
      <c r="L2" s="327"/>
      <c r="M2" s="16"/>
    </row>
    <row r="3" spans="1:14">
      <c r="A3" s="327"/>
      <c r="B3" s="327"/>
      <c r="C3" s="1055" t="s">
        <v>355</v>
      </c>
      <c r="D3" s="327"/>
      <c r="E3" s="327"/>
      <c r="F3" s="327"/>
      <c r="G3" s="327"/>
      <c r="H3" s="327"/>
      <c r="I3" s="327"/>
      <c r="J3" s="327"/>
      <c r="K3" s="327"/>
      <c r="L3" s="327"/>
      <c r="M3" s="16"/>
    </row>
    <row r="4" spans="1:14">
      <c r="A4" s="327"/>
      <c r="B4" s="327"/>
      <c r="C4" s="327"/>
      <c r="D4" s="327"/>
      <c r="E4" s="327"/>
      <c r="F4" s="327"/>
      <c r="G4" s="327"/>
      <c r="H4" s="327"/>
      <c r="I4" s="327"/>
      <c r="J4" s="327"/>
      <c r="K4" s="327"/>
      <c r="L4" s="327"/>
      <c r="M4" s="16"/>
    </row>
    <row r="5" spans="1:14">
      <c r="A5" s="327"/>
      <c r="B5" s="327"/>
      <c r="C5" s="491"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4">
      <c r="A6" s="327"/>
      <c r="B6" s="327"/>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4">
      <c r="A7" s="377" t="str">
        <f>IS!A13</f>
        <v>Income Statement</v>
      </c>
      <c r="B7" s="327"/>
      <c r="C7" s="1059" t="s">
        <v>447</v>
      </c>
      <c r="D7" s="327"/>
      <c r="E7" s="327"/>
      <c r="F7" s="327"/>
      <c r="G7" s="327"/>
      <c r="H7" s="327"/>
      <c r="I7" s="327"/>
      <c r="J7" s="327"/>
      <c r="K7" s="327"/>
      <c r="L7" s="327"/>
      <c r="M7" s="16"/>
    </row>
    <row r="8" spans="1:14">
      <c r="A8" s="377" t="str">
        <f>IS!A14</f>
        <v>Sales</v>
      </c>
      <c r="B8" s="327"/>
      <c r="C8" s="491" cm="1">
        <f t="array" ref="C8">_xll.FDS($B2,"FF_SALES(ANN_R,"&amp;C5&amp;",,,,,B)")</f>
        <v>2.1271059999999999</v>
      </c>
      <c r="D8" s="491" cm="1">
        <f t="array" ref="D8">_xll.FDS($B2,"FF_SALES(ANN_R,"&amp;D5&amp;",,,,,B)")</f>
        <v>2.9719630000000001</v>
      </c>
      <c r="E8" s="491" cm="1">
        <f t="array" ref="E8">_xll.FDS($B2,"FF_SALES(ANN_R,"&amp;E5&amp;",,,,,B)")</f>
        <v>3.221679</v>
      </c>
      <c r="F8" s="491" cm="1">
        <f t="array" ref="F8">_xll.FDS($B2,"FF_SALES(ANN_R,"&amp;F5&amp;",,,,,B)")</f>
        <v>3.122592</v>
      </c>
      <c r="G8" s="491" cm="1">
        <f t="array" ref="G8">_xll.FDS($B2,"FF_SALES(ANN_R,"&amp;G5&amp;",,,,,B)")</f>
        <v>3.1212059999999999</v>
      </c>
      <c r="H8" s="491" cm="1">
        <f t="array" ref="H8">_xll.FDS($B2,"FF_SALES(ANN_R,"&amp;H5&amp;",,,,,B)")</f>
        <v>3.0955629999999998</v>
      </c>
      <c r="I8" s="491" cm="1">
        <f t="array" ref="I8">_xll.FDS($B2,"FF_SALES(ANN_R,"&amp;I5&amp;",,,,,B)")</f>
        <v>3.237447</v>
      </c>
      <c r="J8" s="491" cm="1">
        <f t="array" ref="J8">_xll.FDS($B2,"FF_SALES(ANN_R,"&amp;J5&amp;",,,,,B)")</f>
        <v>3.2977249999999998</v>
      </c>
      <c r="K8" s="491" cm="1">
        <f t="array" ref="K8">_xll.FDS($B2,"FF_SALES(ANN_R,"&amp;K5&amp;",,,,,B)")</f>
        <v>3.5343719999999998</v>
      </c>
      <c r="L8" s="491" cm="1">
        <f t="array" ref="L8">_xll.FDS($B2,"FF_SALES(ANN_R,"&amp;L5&amp;",,,,,B)")</f>
        <v>3.6549230000000001</v>
      </c>
      <c r="M8" s="16"/>
    </row>
    <row r="9" spans="1:14">
      <c r="A9" s="373" t="str">
        <f>IS!A15</f>
        <v>Cost of Goods Sold (COGS) incl. D&amp;A</v>
      </c>
      <c r="B9" s="379"/>
      <c r="C9" s="1125" cm="1">
        <f t="array" ref="C9">_xll.FDS($B2,"FF_COGS(ANN_R,"&amp;C5&amp;",,,,,B)")+'DAL-US R&amp;D'!C47+'DAL-US Lease'!C30</f>
        <v>2.1409980000000002</v>
      </c>
      <c r="D9" s="1125" cm="1">
        <f t="array" ref="D9">_xll.FDS($B2,"FF_COGS(ANN_R,"&amp;D5&amp;",,,,,B)")+'DAL-US R&amp;D'!D47+'DAL-US Lease'!D30</f>
        <v>2.1941069999999998</v>
      </c>
      <c r="E9" s="1125" cm="1">
        <f t="array" ref="E9">_xll.FDS($B2,"FF_COGS(ANN_R,"&amp;E5&amp;",,,,,B)")+'DAL-US R&amp;D'!E47+'DAL-US Lease'!E30</f>
        <v>2.4745729999999999</v>
      </c>
      <c r="F9" s="1125" cm="1">
        <f t="array" ref="F9">_xll.FDS($B2,"FF_COGS(ANN_R,"&amp;F5&amp;",,,,,B)")+'DAL-US R&amp;D'!F47+'DAL-US Lease'!F30</f>
        <v>2.4836149999999999</v>
      </c>
      <c r="G9" s="1125" cm="1">
        <f t="array" ref="G9">_xll.FDS($B2,"FF_COGS(ANN_R,"&amp;G5&amp;",,,,,B)")+'DAL-US R&amp;D'!G47+'DAL-US Lease'!G30</f>
        <v>2.5232000000000001</v>
      </c>
      <c r="H9" s="1125" cm="1">
        <f t="array" ref="H9">_xll.FDS($B2,"FF_COGS(ANN_R,"&amp;H5&amp;",,,,,B)")+'DAL-US R&amp;D'!H47+'DAL-US Lease'!H30</f>
        <v>2.6013630000000001</v>
      </c>
      <c r="I9" s="1125" cm="1">
        <f t="array" ref="I9">_xll.FDS($B2,"FF_COGS(ANN_R,"&amp;I5&amp;",,,,,B)")+'DAL-US R&amp;D'!I47+'DAL-US Lease'!I30</f>
        <v>2.8740920000000001</v>
      </c>
      <c r="J9" s="1125" cm="1">
        <f t="array" ref="J9">_xll.FDS($B2,"FF_COGS(ANN_R,"&amp;J5&amp;",,,,,B)")+'DAL-US R&amp;D'!J47+'DAL-US Lease'!J30</f>
        <v>2.905373</v>
      </c>
      <c r="K9" s="1125" cm="1">
        <f t="array" ref="K9">_xll.FDS($B2,"FF_COGS(ANN_R,"&amp;K5&amp;",,,,,B)")+'DAL-US R&amp;D'!K47+'DAL-US Lease'!K30</f>
        <v>3.1385429999999999</v>
      </c>
      <c r="L9" s="1125" cm="1">
        <f t="array" ref="L9">_xll.FDS($B2,"FF_COGS(ANN_R,"&amp;L5&amp;",,,,,B)")+'DAL-US R&amp;D'!L47+'DAL-US Lease'!L30</f>
        <v>3.3678560000000002</v>
      </c>
      <c r="M9" s="16"/>
    </row>
    <row r="10" spans="1:14">
      <c r="A10" s="373" t="str">
        <f>IS!A17</f>
        <v>SG&amp;A Expense</v>
      </c>
      <c r="B10" s="379"/>
      <c r="C10" s="1125" cm="1">
        <f t="array" ref="C10">_xll.FDS($B2,"FF_SGA(ANN_R,"&amp;C5&amp;",,,,,B)")-'AAL-US R&amp;D'!C10-'AAL-US Lease'!C31</f>
        <v>0.222797</v>
      </c>
      <c r="D10" s="1125" cm="1">
        <f t="array" ref="D10">_xll.FDS($B2,"FF_SGA(ANN_R,"&amp;D5&amp;",,,,,B)")-'AAL-US R&amp;D'!D10-'AAL-US Lease'!D31</f>
        <v>0.243729</v>
      </c>
      <c r="E10" s="1125" cm="1">
        <f t="array" ref="E10">_xll.FDS($B2,"FF_SGA(ANN_R,"&amp;E5&amp;",,,,,B)")-'AAL-US R&amp;D'!E10-'AAL-US Lease'!E31</f>
        <v>0.27282699999999999</v>
      </c>
      <c r="F10" s="1125" cm="1">
        <f t="array" ref="F10">_xll.FDS($B2,"FF_SGA(ANN_R,"&amp;F5&amp;",,,,,B)")-'AAL-US R&amp;D'!F10-'AAL-US Lease'!F31</f>
        <v>-1.9992220000000001</v>
      </c>
      <c r="G10" s="1125" cm="1">
        <f t="array" ref="G10">_xll.FDS($B2,"FF_SGA(ANN_R,"&amp;G5&amp;",,,,,B)")-'AAL-US R&amp;D'!G10-'AAL-US Lease'!G31</f>
        <v>-1.8929589999999998</v>
      </c>
      <c r="H10" s="1125" cm="1">
        <f t="array" ref="H10">_xll.FDS($B2,"FF_SGA(ANN_R,"&amp;H5&amp;",,,,,B)")-'AAL-US R&amp;D'!H10-'AAL-US Lease'!H31</f>
        <v>-1.972815</v>
      </c>
      <c r="I10" s="1125" cm="1">
        <f t="array" ref="I10">_xll.FDS($B2,"FF_SGA(ANN_R,"&amp;I5&amp;",,,,,B)")-'AAL-US R&amp;D'!I10-'AAL-US Lease'!I31</f>
        <v>-2.0032699999999997</v>
      </c>
      <c r="J10" s="1125" cm="1">
        <f t="array" ref="J10">_xll.FDS($B2,"FF_SGA(ANN_R,"&amp;J5&amp;",,,,,B)")-'AAL-US R&amp;D'!J10-'AAL-US Lease'!J31</f>
        <v>-0.79375899999999988</v>
      </c>
      <c r="K10" s="1125">
        <f>MEDIAN(C10:J10)-'AAL-US R&amp;D'!K10-'AAL-US Lease'!K31</f>
        <v>-2.5193589999999997</v>
      </c>
      <c r="L10" s="1125">
        <f>MEDIAN(C10:J10)-'AAL-US R&amp;D'!L10-'AAL-US Lease'!L31</f>
        <v>-2.597359</v>
      </c>
      <c r="M10" s="16"/>
    </row>
    <row r="11" spans="1:14">
      <c r="A11" s="255" t="str">
        <f>IS!A18</f>
        <v>EBIT (Operating Income)</v>
      </c>
      <c r="B11" s="327"/>
      <c r="C11" s="380">
        <f>C8-C9-C10</f>
        <v>-0.23668900000000023</v>
      </c>
      <c r="D11" s="380">
        <f t="shared" ref="D11:L11" si="0">D8-D9-D10</f>
        <v>0.53412700000000035</v>
      </c>
      <c r="E11" s="380">
        <f t="shared" si="0"/>
        <v>0.47427900000000006</v>
      </c>
      <c r="F11" s="380">
        <f t="shared" si="0"/>
        <v>2.6381990000000002</v>
      </c>
      <c r="G11" s="380">
        <f t="shared" si="0"/>
        <v>2.4909649999999997</v>
      </c>
      <c r="H11" s="380">
        <f t="shared" si="0"/>
        <v>2.467015</v>
      </c>
      <c r="I11" s="380">
        <f t="shared" si="0"/>
        <v>2.3666249999999995</v>
      </c>
      <c r="J11" s="380">
        <f t="shared" si="0"/>
        <v>1.1861109999999997</v>
      </c>
      <c r="K11" s="380">
        <f t="shared" si="0"/>
        <v>2.9151879999999997</v>
      </c>
      <c r="L11" s="380">
        <f t="shared" si="0"/>
        <v>2.8844259999999999</v>
      </c>
      <c r="M11" s="16"/>
    </row>
    <row r="12" spans="1:14">
      <c r="A12" s="259" t="str">
        <f>IS!A20</f>
        <v>Interest Expense</v>
      </c>
      <c r="B12" s="327"/>
      <c r="C12" s="491" cm="1">
        <f t="array" ref="C12">_xll.FDS($B2,"FF_INT_EXP_NET(ANN_R,"&amp;C5&amp;",,,,,B)")</f>
        <v>0.123173</v>
      </c>
      <c r="D12" s="491" cm="1">
        <f t="array" ref="D12">_xll.FDS($B2,"FF_INT_EXP_NET(ANN_R,"&amp;D5&amp;",,,,,B)")</f>
        <v>0.12775500000000001</v>
      </c>
      <c r="E12" s="491" cm="1">
        <f t="array" ref="E12">_xll.FDS($B2,"FF_INT_EXP_NET(ANN_R,"&amp;E5&amp;",,,,,B)")</f>
        <v>0.120409</v>
      </c>
      <c r="F12" s="491" cm="1">
        <f t="array" ref="F12">_xll.FDS($B2,"FF_INT_EXP_NET(ANN_R,"&amp;F5&amp;",,,,,B)")</f>
        <v>0.104925</v>
      </c>
      <c r="G12" s="491" cm="1">
        <f t="array" ref="G12">_xll.FDS($B2,"FF_INT_EXP_NET(ANN_R,"&amp;G5&amp;",,,,,B)")</f>
        <v>7.8176999999999996E-2</v>
      </c>
      <c r="H12" s="491" cm="1">
        <f t="array" ref="H12">_xll.FDS($B2,"FF_INT_EXP_NET(ANN_R,"&amp;H5&amp;",,,,,B)")</f>
        <v>7.5850000000000001E-2</v>
      </c>
      <c r="I12" s="491" cm="1">
        <f t="array" ref="I12">_xll.FDS($B2,"FF_INT_EXP_NET(ANN_R,"&amp;I5&amp;",,,,,B)")</f>
        <v>6.5994999999999998E-2</v>
      </c>
      <c r="J12" s="491" cm="1">
        <f t="array" ref="J12">_xll.FDS($B2,"FF_INT_EXP_NET(ANN_R,"&amp;J5&amp;",,,,,B)")</f>
        <v>6.8657999999999997E-2</v>
      </c>
      <c r="K12" s="491" cm="1">
        <f t="array" ref="K12">_xll.FDS($B2,"FF_INT_EXP_NET(ANN_R,"&amp;K5&amp;",,,,,B)")</f>
        <v>7.7380000000000004E-2</v>
      </c>
      <c r="L12" s="491" cm="1">
        <f t="array" ref="L12">_xll.FDS($B2,"FF_INT_EXP_NET(ANN_R,"&amp;L5&amp;",,,,,B)")</f>
        <v>8.0382999999999996E-2</v>
      </c>
      <c r="M12" s="16"/>
    </row>
    <row r="13" spans="1:14">
      <c r="A13" s="259" t="str">
        <f>IS!A22&amp;" (at marginal tax rate)"</f>
        <v>Income Taxes (at marginal tax rate)</v>
      </c>
      <c r="B13" s="327"/>
      <c r="C13" s="327">
        <f>(C11-C12)*C20</f>
        <v>-9.7162740000000067E-2</v>
      </c>
      <c r="D13" s="327">
        <f t="shared" ref="D13:L13" si="1">(D11-D12)*D20</f>
        <v>0.1097204400000001</v>
      </c>
      <c r="E13" s="327">
        <f t="shared" si="1"/>
        <v>9.554490000000003E-2</v>
      </c>
      <c r="F13" s="327">
        <f t="shared" si="1"/>
        <v>0.68398398000000005</v>
      </c>
      <c r="G13" s="327">
        <f t="shared" si="1"/>
        <v>0.65145275999999985</v>
      </c>
      <c r="H13" s="327">
        <f t="shared" si="1"/>
        <v>0.64561455000000001</v>
      </c>
      <c r="I13" s="327">
        <f t="shared" si="1"/>
        <v>0.62117009999999995</v>
      </c>
      <c r="J13" s="327">
        <f t="shared" si="1"/>
        <v>0.30171230999999998</v>
      </c>
      <c r="K13" s="327">
        <f t="shared" si="1"/>
        <v>0.76620816000000003</v>
      </c>
      <c r="L13" s="327">
        <f t="shared" si="1"/>
        <v>0.75709161000000003</v>
      </c>
      <c r="M13" s="16"/>
    </row>
    <row r="14" spans="1:14" s="17" customFormat="1">
      <c r="A14" s="255" t="s">
        <v>461</v>
      </c>
      <c r="B14" s="380"/>
      <c r="C14" s="380">
        <f>C11-C12-C13</f>
        <v>-0.26269926000000016</v>
      </c>
      <c r="D14" s="380">
        <f t="shared" ref="D14:L14" si="2">D11-D12-D13</f>
        <v>0.29665156000000026</v>
      </c>
      <c r="E14" s="380">
        <f t="shared" si="2"/>
        <v>0.25832510000000003</v>
      </c>
      <c r="F14" s="380">
        <f t="shared" si="2"/>
        <v>1.84929002</v>
      </c>
      <c r="G14" s="380">
        <f t="shared" si="2"/>
        <v>1.7613352399999997</v>
      </c>
      <c r="H14" s="380">
        <f t="shared" si="2"/>
        <v>1.7455504500000001</v>
      </c>
      <c r="I14" s="380">
        <f t="shared" si="2"/>
        <v>1.6794598999999995</v>
      </c>
      <c r="J14" s="380">
        <f t="shared" si="2"/>
        <v>0.81574068999999982</v>
      </c>
      <c r="K14" s="380">
        <f t="shared" si="2"/>
        <v>2.0715998399999997</v>
      </c>
      <c r="L14" s="380">
        <f t="shared" si="2"/>
        <v>2.0469513900000003</v>
      </c>
      <c r="M14" s="18"/>
      <c r="N14"/>
    </row>
    <row r="15" spans="1:14">
      <c r="A15" s="373" t="str">
        <f>IS!A19</f>
        <v>Nonoperating Income - Net</v>
      </c>
      <c r="B15" s="379"/>
      <c r="C15" s="1126" cm="1">
        <f t="array" ref="C15">_xll.FDS($B2,"FF_NON_OPER_INC(ANN_R,"&amp;C5&amp;",,,,,B)")</f>
        <v>7.0390000000000001E-3</v>
      </c>
      <c r="D15" s="1126" cm="1">
        <f t="array" ref="D15">_xll.FDS($B2,"FF_NON_OPER_INC(ANN_R,"&amp;D5&amp;",,,,,B)")</f>
        <v>6.1801000000000002E-2</v>
      </c>
      <c r="E15" s="1126" cm="1">
        <f t="array" ref="E15">_xll.FDS($B2,"FF_NON_OPER_INC(ANN_R,"&amp;E5&amp;",,,,,B)")</f>
        <v>1.2442999999999999E-2</v>
      </c>
      <c r="F15" s="1126" cm="1">
        <f t="array" ref="F15">_xll.FDS($B2,"FF_NON_OPER_INC(ANN_R,"&amp;F5&amp;",,,,,B)")</f>
        <v>4.9090000000000002E-3</v>
      </c>
      <c r="G15" s="1126" cm="1">
        <f t="array" ref="G15">_xll.FDS($B2,"FF_NON_OPER_INC(ANN_R,"&amp;G5&amp;",,,,,B)")</f>
        <v>7.7300000000000003E-4</v>
      </c>
      <c r="H15" s="1126" cm="1">
        <f t="array" ref="H15">_xll.FDS($B2,"FF_NON_OPER_INC(ANN_R,"&amp;H5&amp;",,,,,B)")</f>
        <v>1.9970000000000001E-3</v>
      </c>
      <c r="I15" s="1126" cm="1">
        <f t="array" ref="I15">_xll.FDS($B2,"FF_NON_OPER_INC(ANN_R,"&amp;I5&amp;",,,,,B)")</f>
        <v>2.4806000000000002E-2</v>
      </c>
      <c r="J15" s="1126" cm="1">
        <f t="array" ref="J15">_xll.FDS($B2,"FF_NON_OPER_INC(ANN_R,"&amp;J5&amp;",,,,,B)")</f>
        <v>1.4079E-2</v>
      </c>
      <c r="K15" s="1126" cm="1">
        <f t="array" ref="K15">_xll.FDS($B2,"FF_NON_OPER_INC(ANN_R,"&amp;K5&amp;",,,,,B)")</f>
        <v>-2.712E-3</v>
      </c>
      <c r="L15" s="1126" cm="1">
        <f t="array" ref="L15">_xll.FDS($B2,"FF_NON_OPER_INC(ANN_R,"&amp;L5&amp;",,,,,B)")</f>
        <v>-5.1840000000000002E-3</v>
      </c>
      <c r="M15" s="16"/>
    </row>
    <row r="16" spans="1:14">
      <c r="A16" s="373" t="str">
        <f>IS!A21</f>
        <v>Unusual Expense - Net</v>
      </c>
      <c r="B16" s="379"/>
      <c r="C16" s="1126" cm="1">
        <f t="array" ref="C16">_xll.FDS($B2,"FF_UNUSUAL_EXP(ANN_R,"&amp;C5&amp;",,,,,B)")</f>
        <v>-0.34549099999999999</v>
      </c>
      <c r="D16" s="1126" cm="1">
        <f t="array" ref="D16">_xll.FDS($B2,"FF_UNUSUAL_EXP(ANN_R,"&amp;D5&amp;",,,,,B)")</f>
        <v>2.1869E-2</v>
      </c>
      <c r="E16" s="1126" cm="1">
        <f t="array" ref="E16">_xll.FDS($B2,"FF_UNUSUAL_EXP(ANN_R,"&amp;E5&amp;",,,,,B)")</f>
        <v>0</v>
      </c>
      <c r="F16" s="1126" cm="1">
        <f t="array" ref="F16">_xll.FDS($B2,"FF_UNUSUAL_EXP(ANN_R,"&amp;F5&amp;",,,,,B)")</f>
        <v>0</v>
      </c>
      <c r="G16" s="1126" cm="1">
        <f t="array" ref="G16">_xll.FDS($B2,"FF_UNUSUAL_EXP(ANN_R,"&amp;G5&amp;",,,,,B)")</f>
        <v>0.46437</v>
      </c>
      <c r="H16" s="1126" cm="1">
        <f t="array" ref="H16">_xll.FDS($B2,"FF_UNUSUAL_EXP(ANN_R,"&amp;H5&amp;",,,,,B)")</f>
        <v>-3.3660000000000002E-2</v>
      </c>
      <c r="I16" s="1126" cm="1">
        <f t="array" ref="I16">_xll.FDS($B2,"FF_UNUSUAL_EXP(ANN_R,"&amp;I5&amp;",,,,,B)")</f>
        <v>7.4776999999999996E-2</v>
      </c>
      <c r="J16" s="1126" cm="1">
        <f t="array" ref="J16">_xll.FDS($B2,"FF_UNUSUAL_EXP(ANN_R,"&amp;J5&amp;",,,,,B)")</f>
        <v>0</v>
      </c>
      <c r="K16" s="1126" cm="1">
        <f t="array" ref="K16">_xll.FDS($B2,"FF_UNUSUAL_EXP(ANN_R,"&amp;K5&amp;",,,,,B)")</f>
        <v>0</v>
      </c>
      <c r="L16" s="1126" cm="1">
        <f t="array" ref="L16">_xll.FDS($B2,"FF_UNUSUAL_EXP(ANN_R,"&amp;L5&amp;",,,,,B)")</f>
        <v>1.1481E-2</v>
      </c>
      <c r="M16" s="16"/>
    </row>
    <row r="17" spans="1:13">
      <c r="A17" s="259" t="s">
        <v>462</v>
      </c>
      <c r="B17" s="259"/>
      <c r="C17" s="327">
        <f>(C15-C16)*C20</f>
        <v>9.5183100000000007E-2</v>
      </c>
      <c r="D17" s="327">
        <f t="shared" ref="D17:L17" si="3">(D15-D16)*D20</f>
        <v>1.0781640000000002E-2</v>
      </c>
      <c r="E17" s="327">
        <f t="shared" si="3"/>
        <v>3.3596099999999999E-3</v>
      </c>
      <c r="F17" s="327">
        <f t="shared" si="3"/>
        <v>1.3254300000000001E-3</v>
      </c>
      <c r="G17" s="327">
        <f>(G15-G16)*G20</f>
        <v>-0.12517119000000002</v>
      </c>
      <c r="H17" s="327">
        <f t="shared" si="3"/>
        <v>9.6273900000000013E-3</v>
      </c>
      <c r="I17" s="327">
        <f t="shared" si="3"/>
        <v>-1.349217E-2</v>
      </c>
      <c r="J17" s="327">
        <f t="shared" si="3"/>
        <v>3.8013299999999999E-3</v>
      </c>
      <c r="K17" s="327">
        <f t="shared" si="3"/>
        <v>-7.3224E-4</v>
      </c>
      <c r="L17" s="327">
        <f t="shared" si="3"/>
        <v>-4.4995499999999997E-3</v>
      </c>
      <c r="M17" s="16"/>
    </row>
    <row r="18" spans="1:13" s="17" customFormat="1">
      <c r="A18" s="255" t="s">
        <v>463</v>
      </c>
      <c r="B18" s="380"/>
      <c r="C18" s="380">
        <f>C14+C15-C16-C17</f>
        <v>-5.3523600000001531E-3</v>
      </c>
      <c r="D18" s="380">
        <f t="shared" ref="D18:L18" si="4">D14+D15-D16-D17</f>
        <v>0.32580192000000024</v>
      </c>
      <c r="E18" s="380">
        <f t="shared" si="4"/>
        <v>0.26740849</v>
      </c>
      <c r="F18" s="380">
        <f t="shared" si="4"/>
        <v>1.85287359</v>
      </c>
      <c r="G18" s="380">
        <f t="shared" si="4"/>
        <v>1.4229094299999998</v>
      </c>
      <c r="H18" s="380">
        <f t="shared" si="4"/>
        <v>1.7715800600000002</v>
      </c>
      <c r="I18" s="380">
        <f t="shared" si="4"/>
        <v>1.6429810699999994</v>
      </c>
      <c r="J18" s="380">
        <f t="shared" si="4"/>
        <v>0.82601835999999973</v>
      </c>
      <c r="K18" s="380">
        <f t="shared" si="4"/>
        <v>2.06962008</v>
      </c>
      <c r="L18" s="380">
        <f t="shared" si="4"/>
        <v>2.0347859400000003</v>
      </c>
      <c r="M18" s="18"/>
    </row>
    <row r="19" spans="1:13">
      <c r="A19" s="677" t="s">
        <v>464</v>
      </c>
      <c r="B19" s="473"/>
      <c r="C19" s="633" cm="1">
        <f t="array" ref="C19">_xll.FDS($B2,"FF_INC_TAX(ANN_R,"&amp;C5&amp;",,,,,B)")/(_xll.FDS($B2,"FF_EBIT_OPER(ANN_R,"&amp;C5&amp;",,,,,B)")+C15-C12-C16)</f>
        <v>-0.16200736397108886</v>
      </c>
      <c r="D19" s="633" cm="1">
        <f t="array" ref="D19">_xll.FDS($B2,"FF_INC_TAX(ANN_R,"&amp;D5&amp;",,,,,B)")/(_xll.FDS($B2,"FF_EBIT_OPER(ANN_R,"&amp;D5&amp;",,,,,B)")+D15-D12-D16)</f>
        <v>0.23796624296728483</v>
      </c>
      <c r="E19" s="633" cm="1">
        <f t="array" ref="E19">_xll.FDS($B2,"FF_INC_TAX(ANN_R,"&amp;E5&amp;",,,,,B)")/(_xll.FDS($B2,"FF_EBIT_OPER(ANN_R,"&amp;E5&amp;",,,,,B)")+E15-E12-E16)</f>
        <v>0.23461292770683079</v>
      </c>
      <c r="F19" s="633" cm="1">
        <f t="array" ref="F19">_xll.FDS($B2,"FF_INC_TAX(ANN_R,"&amp;F5&amp;",,,,,B)")/(_xll.FDS($B2,"FF_EBIT_OPER(ANN_R,"&amp;F5&amp;",,,,,B)")+F15-F12-F16)</f>
        <v>-0.48831302223579376</v>
      </c>
      <c r="G19" s="633" cm="1">
        <f t="array" ref="G19">_xll.FDS($B2,"FF_INC_TAX(ANN_R,"&amp;G5&amp;",,,,,B)")/(_xll.FDS($B2,"FF_EBIT_OPER(ANN_R,"&amp;G5&amp;",,,,,B)")+G15-G12-G16)</f>
        <v>0.35058118036687519</v>
      </c>
      <c r="H19" s="633" cm="1">
        <f t="array" ref="H19">_xll.FDS($B2,"FF_INC_TAX(ANN_R,"&amp;H5&amp;",,,,,B)")/(_xll.FDS($B2,"FF_EBIT_OPER(ANN_R,"&amp;H5&amp;",,,,,B)")+H15-H12-H16)</f>
        <v>0.39371233602824257</v>
      </c>
      <c r="I19" s="633" cm="1">
        <f t="array" ref="I19">_xll.FDS($B2,"FF_INC_TAX(ANN_R,"&amp;I5&amp;",,,,,B)")/(_xll.FDS($B2,"FF_EBIT_OPER(ANN_R,"&amp;I5&amp;",,,,,B)")+I15-I12-I16)</f>
        <v>-0.47814642507345734</v>
      </c>
      <c r="J19" s="633" cm="1">
        <f t="array" ref="J19">_xll.FDS($B2,"FF_INC_TAX(ANN_R,"&amp;J5&amp;",,,,,B)")/(_xll.FDS($B2,"FF_EBIT_OPER(ANN_R,"&amp;J5&amp;",,,,,B)")+J15-J12-J16)</f>
        <v>0.40166039114593372</v>
      </c>
      <c r="K19" s="633" cm="1">
        <f t="array" ref="K19">_xll.FDS($B2,"FF_INC_TAX(ANN_R,"&amp;K5&amp;",,,,,B)")/(_xll.FDS($B2,"FF_EBIT_OPER(ANN_R,"&amp;K5&amp;",,,,,B)")+K15-K12-K16)</f>
        <v>0.40442152320193714</v>
      </c>
      <c r="L19" s="633" cm="1">
        <f t="array" ref="L19">_xll.FDS($B2,"FF_INC_TAX(ANN_R,"&amp;L5&amp;",,,,,B)")/(_xll.FDS($B2,"FF_EBIT_OPER(ANN_R,"&amp;L5&amp;",,,,,B)")+L15-L12-L16)</f>
        <v>0.45517062669430719</v>
      </c>
      <c r="M19" s="16"/>
    </row>
    <row r="20" spans="1:13">
      <c r="A20" s="382" t="s">
        <v>465</v>
      </c>
      <c r="B20" s="383"/>
      <c r="C20" s="1109">
        <f>'skyw-US R&amp;D'!$B5</f>
        <v>0.27</v>
      </c>
      <c r="D20" s="1109">
        <f>'skyw-US R&amp;D'!$B5</f>
        <v>0.27</v>
      </c>
      <c r="E20" s="1109">
        <f>'skyw-US R&amp;D'!$B5</f>
        <v>0.27</v>
      </c>
      <c r="F20" s="1109">
        <f>'skyw-US R&amp;D'!$B5</f>
        <v>0.27</v>
      </c>
      <c r="G20" s="1109">
        <f>'skyw-US R&amp;D'!$B5</f>
        <v>0.27</v>
      </c>
      <c r="H20" s="1109">
        <f>'skyw-US R&amp;D'!$B5</f>
        <v>0.27</v>
      </c>
      <c r="I20" s="1109">
        <f>'skyw-US R&amp;D'!$B5</f>
        <v>0.27</v>
      </c>
      <c r="J20" s="1109">
        <f>'skyw-US R&amp;D'!$B5</f>
        <v>0.27</v>
      </c>
      <c r="K20" s="1109">
        <f>'skyw-US R&amp;D'!$B5</f>
        <v>0.27</v>
      </c>
      <c r="L20" s="1109">
        <f>'skyw-US R&amp;D'!$B5</f>
        <v>0.27</v>
      </c>
      <c r="M20" s="16"/>
    </row>
    <row r="21" spans="1:13">
      <c r="A21" s="255" t="str">
        <f>IS!A31</f>
        <v>EBITDA</v>
      </c>
      <c r="B21" s="327"/>
      <c r="C21" s="491" cm="1">
        <f t="array" ref="C21">_xll.FDS($B2,"FF_EBITDA_OPER(ANN_R,"&amp;C5&amp;",,,,,B)")</f>
        <v>0.23827000000000001</v>
      </c>
      <c r="D21" s="491" cm="1">
        <f t="array" ref="D21">_xll.FDS($B2,"FF_EBITDA_OPER(ANN_R,"&amp;D5&amp;",,,,,B)")</f>
        <v>0.90222999999999998</v>
      </c>
      <c r="E21" s="491" cm="1">
        <f t="array" ref="E21">_xll.FDS($B2,"FF_EBITDA_OPER(ANN_R,"&amp;E5&amp;",,,,,B)")</f>
        <v>0.80886999999999998</v>
      </c>
      <c r="F21" s="491" cm="1">
        <f t="array" ref="F21">_xll.FDS($B2,"FF_EBITDA_OPER(ANN_R,"&amp;F5&amp;",,,,,B)")</f>
        <v>0.68096999999999996</v>
      </c>
      <c r="G21" s="491" cm="1">
        <f t="array" ref="G21">_xll.FDS($B2,"FF_EBITDA_OPER(ANN_R,"&amp;G5&amp;",,,,,B)")</f>
        <v>0.57794000000000001</v>
      </c>
      <c r="H21" s="491" cm="1">
        <f t="array" ref="H21">_xll.FDS($B2,"FF_EBITDA_OPER(ANN_R,"&amp;H5&amp;",,,,,B)")</f>
        <v>0.49902000000000002</v>
      </c>
      <c r="I21" s="491" cm="1">
        <f t="array" ref="I21">_xll.FDS($B2,"FF_EBITDA_OPER(ANN_R,"&amp;I5&amp;",,,,,B)")</f>
        <v>0.35926999999999998</v>
      </c>
      <c r="J21" s="491" cm="1">
        <f t="array" ref="J21">_xll.FDS($B2,"FF_EBITDA_OPER(ANN_R,"&amp;J5&amp;",,,,,B)")</f>
        <v>0.39811999999999997</v>
      </c>
      <c r="K21" s="491" cm="1">
        <f t="array" ref="K21">_xll.FDS($B2,"FF_EBITDA_OPER(ANN_R,"&amp;K5&amp;",,,,,B)")</f>
        <v>0.41794999999999999</v>
      </c>
      <c r="L21" s="491" cm="1">
        <f t="array" ref="L21">_xll.FDS($B2,"FF_EBITDA_OPER(ANN_R,"&amp;L5&amp;",,,,,B)")</f>
        <v>0.30105999999999999</v>
      </c>
      <c r="M21" s="16"/>
    </row>
    <row r="22" spans="1:13">
      <c r="A22" s="259" t="s">
        <v>466</v>
      </c>
      <c r="B22" s="327"/>
      <c r="C22" s="327">
        <f>SUM(C11,'DAL-US CFS-adj'!C10:C12)</f>
        <v>2.0753109999999997</v>
      </c>
      <c r="D22" s="327">
        <f>SUM(D11,'DAL-US CFS-adj'!D10:D12)</f>
        <v>3.1151270000000002</v>
      </c>
      <c r="E22" s="327">
        <f>SUM(E11,'DAL-US CFS-adj'!E10:E12)</f>
        <v>2.8032790000000003</v>
      </c>
      <c r="F22" s="327">
        <f>SUM(F11,'DAL-US CFS-adj'!F10:F12)</f>
        <v>4.8731989999999996</v>
      </c>
      <c r="G22" s="327">
        <f>SUM(G11,'DAL-US CFS-adj'!G10:G12)</f>
        <v>4.3929649999999993</v>
      </c>
      <c r="H22" s="327">
        <f>SUM(H11,'DAL-US CFS-adj'!H10:H12)</f>
        <v>4.3020149999999999</v>
      </c>
      <c r="I22" s="327">
        <f>SUM(I11,'DAL-US CFS-adj'!I10:I12)</f>
        <v>4.1376249999999999</v>
      </c>
      <c r="J22" s="327">
        <f>SUM(J11,'DAL-US CFS-adj'!J10:J12)</f>
        <v>2.8441109999999998</v>
      </c>
      <c r="K22" s="327">
        <f>SUM(K11,'DAL-US CFS-adj'!K10:K12)</f>
        <v>4.4801880000000001</v>
      </c>
      <c r="L22" s="327">
        <f>SUM(L11,'DAL-US CFS-adj'!L10:L12)</f>
        <v>4.4074260000000001</v>
      </c>
      <c r="M22" s="16"/>
    </row>
    <row r="23" spans="1:13">
      <c r="A23" s="259"/>
      <c r="B23" s="327"/>
      <c r="C23"/>
      <c r="D23" s="327"/>
      <c r="E23" s="327"/>
      <c r="F23" s="327"/>
      <c r="G23" s="327"/>
      <c r="H23" s="327"/>
      <c r="I23" s="327"/>
      <c r="J23" s="327"/>
      <c r="K23" s="327"/>
      <c r="L23" s="327"/>
      <c r="M23" s="16"/>
    </row>
    <row r="24" spans="1:13">
      <c r="A24" s="385" t="str">
        <f>IS!A58</f>
        <v>Shs Outstanding (M) - Basic</v>
      </c>
      <c r="B24" s="327"/>
      <c r="C24" s="1124" cm="1">
        <f t="array" ref="C24">_xll.FDS($B2,"FF_COM_SHS_OUT(ANN_R,"&amp;C5&amp;")")</f>
        <v>50.181350000000002</v>
      </c>
      <c r="D24" s="1124" cm="1">
        <f t="array" ref="D24">_xll.FDS($B2,"FF_COM_SHS_OUT(ANN_R,"&amp;D5&amp;")")</f>
        <v>50.322758</v>
      </c>
      <c r="E24" s="1124" cm="1">
        <f t="array" ref="E24">_xll.FDS($B2,"FF_COM_SHS_OUT(ANN_R,"&amp;E5&amp;")")</f>
        <v>51.388289999999998</v>
      </c>
      <c r="F24" s="1124" cm="1">
        <f t="array" ref="F24">_xll.FDS($B2,"FF_COM_SHS_OUT(ANN_R,"&amp;F5&amp;")")</f>
        <v>51.754568999999996</v>
      </c>
      <c r="G24" s="1124" cm="1">
        <f t="array" ref="G24">_xll.FDS($B2,"FF_COM_SHS_OUT(ANN_R,"&amp;G5&amp;")")</f>
        <v>51.765918999999997</v>
      </c>
      <c r="H24" s="1124" cm="1">
        <f t="array" ref="H24">_xll.FDS($B2,"FF_COM_SHS_OUT(ANN_R,"&amp;H5&amp;")")</f>
        <v>51.004984999999998</v>
      </c>
      <c r="I24" s="1124" cm="1">
        <f t="array" ref="I24">_xll.FDS($B2,"FF_COM_SHS_OUT(ANN_R,"&amp;I5&amp;")")</f>
        <v>51.186025000000001</v>
      </c>
      <c r="J24" s="1124" cm="1">
        <f t="array" ref="J24">_xll.FDS($B2,"FF_COM_SHS_OUT(ANN_R,"&amp;J5&amp;")")</f>
        <v>51.230066000000001</v>
      </c>
      <c r="K24" s="1124" cm="1">
        <f t="array" ref="K24">_xll.FDS($B2,"FF_COM_SHS_OUT(ANN_R,"&amp;K5&amp;")")</f>
        <v>51.432789999999997</v>
      </c>
      <c r="L24" s="1124" cm="1">
        <f t="array" ref="L24">_xll.FDS($B2,"FF_COM_SHS_OUT(ANN_R,"&amp;L5&amp;")")</f>
        <v>50.612214999999999</v>
      </c>
      <c r="M24" s="16"/>
    </row>
    <row r="25" spans="1:13">
      <c r="A25" s="259" t="s">
        <v>467</v>
      </c>
      <c r="B25" s="327"/>
      <c r="C25" s="327">
        <f>C11/C8</f>
        <v>-0.11127278095214824</v>
      </c>
      <c r="D25" s="327">
        <f t="shared" ref="D25:L25" si="5">D11/D8</f>
        <v>0.17972195481572292</v>
      </c>
      <c r="E25" s="327">
        <f t="shared" si="5"/>
        <v>0.1472148528764039</v>
      </c>
      <c r="F25" s="327">
        <f t="shared" si="5"/>
        <v>0.84487470665395936</v>
      </c>
      <c r="G25" s="327">
        <f t="shared" si="5"/>
        <v>0.79807773021069406</v>
      </c>
      <c r="H25" s="327">
        <f t="shared" si="5"/>
        <v>0.79695195995041934</v>
      </c>
      <c r="I25" s="327">
        <f t="shared" si="5"/>
        <v>0.7310158282127861</v>
      </c>
      <c r="J25" s="327">
        <f t="shared" si="5"/>
        <v>0.35967553389078827</v>
      </c>
      <c r="K25" s="327">
        <f t="shared" si="5"/>
        <v>0.82481074431327539</v>
      </c>
      <c r="L25" s="327">
        <f t="shared" si="5"/>
        <v>0.78918926609397788</v>
      </c>
      <c r="M25" s="16"/>
    </row>
    <row r="26" spans="1:13">
      <c r="A26" s="259"/>
      <c r="B26" s="327"/>
      <c r="C26" s="387"/>
      <c r="D26" s="327"/>
      <c r="E26" s="327"/>
      <c r="F26" s="327"/>
      <c r="G26" s="327"/>
      <c r="H26" s="327"/>
      <c r="I26" s="327"/>
      <c r="J26" s="327"/>
      <c r="K26" s="327"/>
      <c r="L26" s="327"/>
      <c r="M26" s="16"/>
    </row>
    <row r="27" spans="1:13">
      <c r="A27" s="259"/>
      <c r="B27" s="327"/>
      <c r="C27" s="641"/>
      <c r="D27" s="641"/>
      <c r="E27" s="641"/>
      <c r="F27" s="641"/>
      <c r="G27" s="641"/>
      <c r="H27" s="641"/>
      <c r="I27" s="641"/>
      <c r="J27" s="641"/>
      <c r="K27" s="641"/>
      <c r="L27" s="327"/>
      <c r="M27" s="16"/>
    </row>
    <row r="28" spans="1:13">
      <c r="A28" s="259"/>
      <c r="B28" s="327"/>
      <c r="C28" s="387"/>
      <c r="D28" s="327"/>
      <c r="E28" s="327"/>
      <c r="F28" s="327"/>
      <c r="G28" s="327"/>
      <c r="H28" s="327"/>
      <c r="I28" s="327"/>
      <c r="J28" s="327"/>
      <c r="K28" s="327"/>
      <c r="L28" s="327"/>
      <c r="M28" s="16"/>
    </row>
    <row r="29" spans="1:13">
      <c r="A29" s="259"/>
      <c r="B29" s="327"/>
      <c r="C29" s="387"/>
      <c r="D29" s="327"/>
      <c r="E29" s="327"/>
      <c r="F29" s="327"/>
      <c r="G29" s="327"/>
      <c r="H29" s="327"/>
      <c r="I29" s="327"/>
      <c r="J29" s="327"/>
      <c r="K29" s="327"/>
      <c r="L29" s="327"/>
      <c r="M29" s="16"/>
    </row>
    <row r="30" spans="1:13">
      <c r="A30" s="259"/>
      <c r="B30" s="327"/>
      <c r="C30" s="387"/>
      <c r="D30" s="327"/>
      <c r="E30" s="327"/>
      <c r="F30" s="327"/>
      <c r="G30" s="327"/>
      <c r="H30" s="327"/>
      <c r="I30" s="327"/>
      <c r="J30" s="327"/>
      <c r="K30" s="327"/>
      <c r="L30" s="327"/>
      <c r="M30" s="16"/>
    </row>
    <row r="31" spans="1:13">
      <c r="A31" s="259"/>
      <c r="B31" s="327"/>
      <c r="C31" s="327"/>
      <c r="D31" s="327"/>
      <c r="E31" s="327"/>
      <c r="F31" s="327"/>
      <c r="G31" s="327"/>
      <c r="H31" s="327"/>
      <c r="I31" s="327"/>
      <c r="J31" s="327"/>
      <c r="K31" s="327"/>
      <c r="L31" s="327"/>
      <c r="M31" s="16"/>
    </row>
    <row r="32" spans="1:13">
      <c r="A32" s="255"/>
      <c r="B32" s="327"/>
      <c r="C32" s="327"/>
      <c r="D32" s="327"/>
      <c r="E32" s="327"/>
      <c r="F32" s="327"/>
      <c r="G32" s="327"/>
      <c r="H32" s="327"/>
      <c r="I32" s="327"/>
      <c r="J32" s="327"/>
      <c r="K32" s="327"/>
      <c r="L32" s="327"/>
      <c r="M32" s="16"/>
    </row>
    <row r="33" spans="1:13">
      <c r="A33" s="259"/>
      <c r="B33" s="327"/>
      <c r="C33" s="327"/>
      <c r="D33" s="327"/>
      <c r="E33" s="327"/>
      <c r="F33" s="327"/>
      <c r="G33" s="327"/>
      <c r="H33" s="327"/>
      <c r="I33" s="327"/>
      <c r="J33" s="327"/>
      <c r="K33" s="327"/>
      <c r="L33" s="327"/>
      <c r="M33" s="16"/>
    </row>
    <row r="34" spans="1:13">
      <c r="A34" s="259"/>
      <c r="B34" s="327"/>
      <c r="C34" s="327"/>
      <c r="D34" s="327"/>
      <c r="E34" s="327"/>
      <c r="F34" s="327"/>
      <c r="G34" s="327"/>
      <c r="H34" s="327"/>
      <c r="I34" s="327"/>
      <c r="J34" s="327"/>
      <c r="K34" s="327"/>
      <c r="L34" s="327"/>
      <c r="M34" s="16"/>
    </row>
    <row r="35" spans="1:13">
      <c r="A35" s="259"/>
      <c r="B35" s="327"/>
      <c r="C35" s="327"/>
      <c r="D35" s="327"/>
      <c r="E35" s="327"/>
      <c r="F35" s="327"/>
      <c r="G35" s="327"/>
      <c r="H35" s="327"/>
      <c r="I35" s="327"/>
      <c r="J35" s="327"/>
      <c r="K35" s="327"/>
      <c r="L35" s="327"/>
      <c r="M35" s="16"/>
    </row>
    <row r="36" spans="1:13">
      <c r="A36" s="259"/>
      <c r="B36" s="327"/>
      <c r="C36" s="327"/>
      <c r="D36" s="327"/>
      <c r="E36" s="327"/>
      <c r="F36" s="327"/>
      <c r="G36" s="327"/>
      <c r="H36" s="327"/>
      <c r="I36" s="327"/>
      <c r="J36" s="327"/>
      <c r="K36" s="327"/>
      <c r="L36" s="327"/>
      <c r="M36" s="16"/>
    </row>
    <row r="37" spans="1:13">
      <c r="A37" s="259"/>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5"/>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9"/>
      <c r="B44" s="327"/>
      <c r="C44" s="327"/>
      <c r="D44" s="327"/>
      <c r="E44" s="327"/>
      <c r="F44" s="327"/>
      <c r="G44" s="327"/>
      <c r="H44" s="327"/>
      <c r="I44" s="327"/>
      <c r="J44" s="327"/>
      <c r="K44" s="327"/>
      <c r="L44" s="327"/>
      <c r="M44" s="16"/>
    </row>
    <row r="45" spans="1:13">
      <c r="A45" s="259"/>
      <c r="B45" s="327"/>
      <c r="C45" s="327"/>
      <c r="D45" s="327"/>
      <c r="E45" s="327"/>
      <c r="F45" s="327"/>
      <c r="G45" s="327"/>
      <c r="H45" s="327"/>
      <c r="I45" s="327"/>
      <c r="J45" s="327"/>
      <c r="K45" s="327"/>
      <c r="L45" s="327"/>
      <c r="M45" s="16"/>
    </row>
    <row r="46" spans="1:13">
      <c r="A46" s="252"/>
      <c r="B46" s="327"/>
      <c r="C46" s="327"/>
      <c r="D46" s="327"/>
      <c r="E46" s="327"/>
      <c r="F46" s="327"/>
      <c r="G46" s="327"/>
      <c r="H46" s="327"/>
      <c r="I46" s="327"/>
      <c r="J46" s="327"/>
      <c r="K46" s="327"/>
      <c r="L46" s="327"/>
      <c r="M46" s="16"/>
    </row>
    <row r="48" spans="1:13">
      <c r="A48" s="327"/>
    </row>
    <row r="49" spans="1:1">
      <c r="A49" s="327"/>
    </row>
    <row r="50" spans="1:1">
      <c r="A50" s="327"/>
    </row>
    <row r="51" spans="1:1">
      <c r="A51" s="327"/>
    </row>
    <row r="52" spans="1:1">
      <c r="A52" s="327"/>
    </row>
    <row r="53" spans="1:1">
      <c r="A53" s="327"/>
    </row>
    <row r="54" spans="1:1">
      <c r="A54" s="327"/>
    </row>
    <row r="55" spans="1:1">
      <c r="A55" s="327"/>
    </row>
    <row r="56" spans="1:1">
      <c r="A56" s="327"/>
    </row>
    <row r="57" spans="1:1">
      <c r="A57" s="327"/>
    </row>
    <row r="58" spans="1:1">
      <c r="A58" s="327"/>
    </row>
    <row r="59" spans="1:1">
      <c r="A59" s="327"/>
    </row>
    <row r="60" spans="1:1">
      <c r="A60" s="327"/>
    </row>
    <row r="61" spans="1:1">
      <c r="A61" s="327"/>
    </row>
    <row r="62" spans="1:1">
      <c r="A62" s="327"/>
    </row>
    <row r="63" spans="1:1">
      <c r="A63" s="327"/>
    </row>
    <row r="64" spans="1:1">
      <c r="A64" s="327"/>
    </row>
    <row r="65" spans="1:1">
      <c r="A65" s="327"/>
    </row>
    <row r="66" spans="1:1">
      <c r="A66" s="327"/>
    </row>
    <row r="67" spans="1:1">
      <c r="A67" s="327"/>
    </row>
    <row r="68" spans="1:1">
      <c r="A68" s="327"/>
    </row>
    <row r="69" spans="1:1">
      <c r="A69" s="327"/>
    </row>
    <row r="70" spans="1:1">
      <c r="A70" s="327"/>
    </row>
    <row r="71" spans="1:1">
      <c r="A71" s="327"/>
    </row>
    <row r="72" spans="1:1">
      <c r="A72" s="327"/>
    </row>
    <row r="73" spans="1:1">
      <c r="A73" s="327"/>
    </row>
    <row r="74" spans="1:1">
      <c r="A74" s="327"/>
    </row>
    <row r="75" spans="1:1">
      <c r="A75" s="327"/>
    </row>
    <row r="76" spans="1:1">
      <c r="A76" s="327"/>
    </row>
    <row r="77" spans="1:1">
      <c r="A77" s="327"/>
    </row>
    <row r="78" spans="1:1">
      <c r="A78" s="327"/>
    </row>
    <row r="79" spans="1:1">
      <c r="A79" s="327"/>
    </row>
    <row r="80" spans="1:1">
      <c r="A80" s="327"/>
    </row>
    <row r="81" spans="1:1">
      <c r="A81" s="327"/>
    </row>
    <row r="82" spans="1:1">
      <c r="A82" s="327"/>
    </row>
    <row r="83" spans="1:1">
      <c r="A83" s="327"/>
    </row>
    <row r="84" spans="1:1">
      <c r="A84" s="327"/>
    </row>
    <row r="85" spans="1:1">
      <c r="A85" s="327"/>
    </row>
    <row r="86" spans="1:1">
      <c r="A86" s="327"/>
    </row>
    <row r="87" spans="1:1">
      <c r="A87" s="327"/>
    </row>
    <row r="88" spans="1:1">
      <c r="A88" s="327"/>
    </row>
    <row r="89" spans="1:1">
      <c r="A89" s="327"/>
    </row>
    <row r="90" spans="1:1">
      <c r="A90" s="327"/>
    </row>
    <row r="91" spans="1:1">
      <c r="A91" s="327"/>
    </row>
    <row r="92" spans="1:1">
      <c r="A92" s="327"/>
    </row>
    <row r="93" spans="1:1">
      <c r="A93" s="327"/>
    </row>
    <row r="94" spans="1:1">
      <c r="A94" s="327"/>
    </row>
    <row r="95" spans="1:1">
      <c r="A95" s="327"/>
    </row>
    <row r="96" spans="1:1">
      <c r="A96" s="327"/>
    </row>
    <row r="97" spans="1:1">
      <c r="A97" s="327"/>
    </row>
    <row r="98" spans="1:1">
      <c r="A98" s="327"/>
    </row>
    <row r="99" spans="1:1">
      <c r="A99" s="327"/>
    </row>
    <row r="100" spans="1:1">
      <c r="A100" s="327"/>
    </row>
    <row r="101" spans="1:1">
      <c r="A101" s="327"/>
    </row>
    <row r="102" spans="1:1">
      <c r="A102" s="327"/>
    </row>
    <row r="103" spans="1:1">
      <c r="A103" s="327"/>
    </row>
    <row r="104" spans="1:1">
      <c r="A104" s="327"/>
    </row>
    <row r="105" spans="1:1">
      <c r="A105" s="327"/>
    </row>
    <row r="106" spans="1:1">
      <c r="A106" s="327"/>
    </row>
    <row r="107" spans="1:1">
      <c r="A107" s="327"/>
    </row>
    <row r="108" spans="1:1">
      <c r="A108" s="327"/>
    </row>
    <row r="109" spans="1:1">
      <c r="A109" s="327"/>
    </row>
    <row r="110" spans="1:1">
      <c r="A110" s="327"/>
    </row>
    <row r="111" spans="1:1">
      <c r="A111" s="327"/>
    </row>
    <row r="112" spans="1: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sheetData>
  <pageMargins left="0.7" right="0.7" top="0.78740157499999996" bottom="0.78740157499999996"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9">
    <tabColor theme="2" tint="-0.499984740745262"/>
  </sheetPr>
  <dimension ref="A1:M162"/>
  <sheetViews>
    <sheetView topLeftCell="A4" zoomScale="115" zoomScaleNormal="115" workbookViewId="0">
      <selection activeCell="E33" sqref="E33"/>
    </sheetView>
  </sheetViews>
  <sheetFormatPr defaultColWidth="11.28515625" defaultRowHeight="15"/>
  <cols>
    <col min="1" max="1" width="40.7109375" style="3" bestFit="1" customWidth="1"/>
    <col min="2" max="2" width="1.7109375" style="3" customWidth="1"/>
    <col min="3" max="12" width="11.28515625" style="3"/>
  </cols>
  <sheetData>
    <row r="1" spans="1:13" s="340" customFormat="1" ht="26.1" customHeight="1">
      <c r="A1" s="371" t="s">
        <v>468</v>
      </c>
      <c r="B1" s="340" t="str">
        <f>IS!B5</f>
        <v>Delta Air Lines, Inc.</v>
      </c>
    </row>
    <row r="2" spans="1:13">
      <c r="A2" s="327" t="str">
        <f>IS!A8</f>
        <v>Ticker</v>
      </c>
      <c r="B2" s="327" t="str">
        <f>IS!B8</f>
        <v>DAL-US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f>IS!B11</f>
        <v>0</v>
      </c>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f>IS!B12</f>
        <v>0</v>
      </c>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CFS!A13</f>
        <v>Cash Flow</v>
      </c>
      <c r="B7" s="353"/>
      <c r="C7" s="353"/>
      <c r="D7" s="353"/>
      <c r="E7" s="353"/>
      <c r="F7" s="353"/>
      <c r="G7" s="353"/>
      <c r="H7" s="353"/>
      <c r="I7" s="353"/>
      <c r="J7" s="353"/>
      <c r="K7" s="353"/>
      <c r="L7" s="353"/>
      <c r="M7" s="16"/>
    </row>
    <row r="8" spans="1:13">
      <c r="A8" s="353" t="str">
        <f>CFS!A14</f>
        <v>Operating Activities</v>
      </c>
      <c r="B8" s="353"/>
      <c r="C8" s="353"/>
      <c r="D8" s="353"/>
      <c r="E8" s="353"/>
      <c r="F8" s="353"/>
      <c r="G8" s="353"/>
      <c r="H8" s="353"/>
      <c r="I8" s="353"/>
      <c r="J8" s="353"/>
      <c r="K8" s="353"/>
      <c r="L8" s="353"/>
      <c r="M8" s="16"/>
    </row>
    <row r="9" spans="1:13">
      <c r="A9" s="344" t="str">
        <f>CFS!A15</f>
        <v>Net Income / Starting Line</v>
      </c>
      <c r="B9" s="344" t="str">
        <f>CFS!B15</f>
        <v>-</v>
      </c>
      <c r="C9" s="344">
        <f>'DAL-US IS-adj'!C14</f>
        <v>-5.7133700000000012</v>
      </c>
      <c r="D9" s="344">
        <f>'DAL-US IS-adj'!D14</f>
        <v>5.7708799999999982</v>
      </c>
      <c r="E9" s="344">
        <f>'DAL-US IS-adj'!E14</f>
        <v>4.7420900000000037</v>
      </c>
      <c r="F9" s="344">
        <f>'DAL-US IS-adj'!F14</f>
        <v>5.7069799999999997</v>
      </c>
      <c r="G9" s="344">
        <f>'DAL-US IS-adj'!G14</f>
        <v>6.3040899999999969</v>
      </c>
      <c r="H9" s="344">
        <f>'DAL-US IS-adj'!H14</f>
        <v>7.0268700000000006</v>
      </c>
      <c r="I9" s="344">
        <f>'DAL-US IS-adj'!I14</f>
        <v>4.2188199999999991</v>
      </c>
      <c r="J9" s="344">
        <f>'DAL-US IS-adj'!J14</f>
        <v>2.7278199999999981</v>
      </c>
      <c r="K9" s="344">
        <f>'DAL-US IS-adj'!K14</f>
        <v>2.3500999999999994</v>
      </c>
      <c r="L9" s="344">
        <f>'DAL-US IS-adj'!L14</f>
        <v>1.8424500000000017</v>
      </c>
      <c r="M9" s="16"/>
    </row>
    <row r="10" spans="1:13">
      <c r="A10" s="347" t="str">
        <f>CFS!A16</f>
        <v>Depreciation, Depletion &amp; Amortization</v>
      </c>
      <c r="B10" s="347" t="str">
        <f>CFS!B16</f>
        <v>-</v>
      </c>
      <c r="C10" s="347">
        <f>IF(ISNUMBER(CFS!C16),CFS!C16,0)</f>
        <v>2.3119999999999998</v>
      </c>
      <c r="D10" s="347">
        <f>IF(ISNUMBER(CFS!D16),CFS!D16,0)</f>
        <v>2.581</v>
      </c>
      <c r="E10" s="347">
        <f>IF(ISNUMBER(CFS!E16),CFS!E16,0)</f>
        <v>2.3290000000000002</v>
      </c>
      <c r="F10" s="347">
        <f>IF(ISNUMBER(CFS!F16),CFS!F16,0)</f>
        <v>2.2349999999999999</v>
      </c>
      <c r="G10" s="347">
        <f>IF(ISNUMBER(CFS!G16),CFS!G16,0)</f>
        <v>1.9019999999999999</v>
      </c>
      <c r="H10" s="347">
        <f>IF(ISNUMBER(CFS!H16),CFS!H16,0)</f>
        <v>1.835</v>
      </c>
      <c r="I10" s="347">
        <f>IF(ISNUMBER(CFS!I16),CFS!I16,0)</f>
        <v>1.7709999999999999</v>
      </c>
      <c r="J10" s="347">
        <f>IF(ISNUMBER(CFS!J16),CFS!J16,0)</f>
        <v>1.6579999999999999</v>
      </c>
      <c r="K10" s="347">
        <f>IF(ISNUMBER(CFS!K16),CFS!K16,0)</f>
        <v>1.5649999999999999</v>
      </c>
      <c r="L10" s="347">
        <f>IF(ISNUMBER(CFS!L16),CFS!L16,0)</f>
        <v>1.5229999999999999</v>
      </c>
      <c r="M10" s="16"/>
    </row>
    <row r="11" spans="1:13">
      <c r="A11" s="373" t="s">
        <v>469</v>
      </c>
      <c r="B11" s="373"/>
      <c r="C11" s="373">
        <f>'DAL-US R&amp;D'!C47</f>
        <v>0</v>
      </c>
      <c r="D11" s="373">
        <f>'DAL-US R&amp;D'!D47</f>
        <v>0</v>
      </c>
      <c r="E11" s="373">
        <f>'DAL-US R&amp;D'!E47</f>
        <v>0</v>
      </c>
      <c r="F11" s="373">
        <f>'DAL-US R&amp;D'!F47</f>
        <v>0</v>
      </c>
      <c r="G11" s="373">
        <f>'DAL-US R&amp;D'!G47</f>
        <v>0</v>
      </c>
      <c r="H11" s="373">
        <f>'DAL-US R&amp;D'!H47</f>
        <v>0</v>
      </c>
      <c r="I11" s="373">
        <f>'DAL-US R&amp;D'!I47</f>
        <v>0</v>
      </c>
      <c r="J11" s="373">
        <f>'DAL-US R&amp;D'!J47</f>
        <v>0</v>
      </c>
      <c r="K11" s="373">
        <f>'DAL-US R&amp;D'!K47</f>
        <v>0</v>
      </c>
      <c r="L11" s="373">
        <f>'DAL-US R&amp;D'!L47</f>
        <v>0</v>
      </c>
      <c r="M11" s="16"/>
    </row>
    <row r="12" spans="1:13">
      <c r="A12" s="373" t="s">
        <v>470</v>
      </c>
      <c r="B12" s="373"/>
      <c r="C12" s="373">
        <f>'DAL-US Lease'!C30</f>
        <v>0</v>
      </c>
      <c r="D12" s="373">
        <f>'DAL-US Lease'!D30</f>
        <v>0</v>
      </c>
      <c r="E12" s="373">
        <f>'DAL-US Lease'!E30</f>
        <v>0</v>
      </c>
      <c r="F12" s="373">
        <f>'DAL-US Lease'!F30</f>
        <v>0</v>
      </c>
      <c r="G12" s="373">
        <f>'DAL-US Lease'!G30</f>
        <v>0</v>
      </c>
      <c r="H12" s="373">
        <f>'DAL-US Lease'!H30</f>
        <v>0</v>
      </c>
      <c r="I12" s="373">
        <f>'DAL-US Lease'!I30</f>
        <v>0</v>
      </c>
      <c r="J12" s="373">
        <f>'DAL-US Lease'!J30</f>
        <v>0</v>
      </c>
      <c r="K12" s="373">
        <f>'DAL-US Lease'!K30</f>
        <v>0</v>
      </c>
      <c r="L12" s="373">
        <f>'DAL-US Lease'!L30</f>
        <v>0</v>
      </c>
      <c r="M12" s="16"/>
    </row>
    <row r="13" spans="1:13">
      <c r="A13" s="347" t="str">
        <f>CFS!A17</f>
        <v>Deferred Taxes &amp; Investment Tax Credit</v>
      </c>
      <c r="B13" s="347">
        <f>CFS!B17</f>
        <v>-3.11</v>
      </c>
      <c r="C13" s="347">
        <f>IF(ISNUMBER(CFS!C17),CFS!C17,0)</f>
        <v>-3.11</v>
      </c>
      <c r="D13" s="347">
        <f>IF(ISNUMBER(CFS!D17),CFS!D17,0)</f>
        <v>1.4730000000000001</v>
      </c>
      <c r="E13" s="347">
        <f>IF(ISNUMBER(CFS!E17),CFS!E17,0)</f>
        <v>1.3640000000000001</v>
      </c>
      <c r="F13" s="347">
        <f>IF(ISNUMBER(CFS!F17),CFS!F17,0)</f>
        <v>2.0710000000000002</v>
      </c>
      <c r="G13" s="347">
        <f>IF(ISNUMBER(CFS!G17),CFS!G17,0)</f>
        <v>2.2229999999999999</v>
      </c>
      <c r="H13" s="347">
        <f>IF(ISNUMBER(CFS!H17),CFS!H17,0)</f>
        <v>2.581</v>
      </c>
      <c r="I13" s="347">
        <f>IF(ISNUMBER(CFS!I17),CFS!I17,0)</f>
        <v>0.41399999999999998</v>
      </c>
      <c r="J13" s="347">
        <f>IF(ISNUMBER(CFS!J17),CFS!J17,0)</f>
        <v>-7.9909999999999997</v>
      </c>
      <c r="K13" s="347">
        <f>IF(ISNUMBER(CFS!K17),CFS!K17,0)</f>
        <v>1.7000000000000001E-2</v>
      </c>
      <c r="L13" s="347">
        <f>IF(ISNUMBER(CFS!L17),CFS!L17,0)</f>
        <v>-2E-3</v>
      </c>
      <c r="M13" s="16"/>
    </row>
    <row r="14" spans="1:13">
      <c r="A14" s="347" t="str">
        <f>CFS!A18</f>
        <v>Other Funds</v>
      </c>
      <c r="B14" s="347" t="str">
        <f>CFS!B18</f>
        <v>-</v>
      </c>
      <c r="C14" s="347">
        <f>IF(ISNUMBER(CFS!C18),CFS!C18,0)</f>
        <v>7.4409999999999998</v>
      </c>
      <c r="D14" s="347">
        <f>IF(ISNUMBER(CFS!D18),CFS!D18,0)</f>
        <v>-0.92200000000000004</v>
      </c>
      <c r="E14" s="347">
        <f>IF(ISNUMBER(CFS!E18),CFS!E18,0)</f>
        <v>-0.79</v>
      </c>
      <c r="F14" s="347">
        <f>IF(ISNUMBER(CFS!F18),CFS!F18,0)</f>
        <v>-3.31</v>
      </c>
      <c r="G14" s="347">
        <f>IF(ISNUMBER(CFS!G18),CFS!G18,0)</f>
        <v>-1.2190000000000001</v>
      </c>
      <c r="H14" s="347">
        <f>IF(ISNUMBER(CFS!H18),CFS!H18,0)</f>
        <v>-2.3570000000000002</v>
      </c>
      <c r="I14" s="347">
        <f>IF(ISNUMBER(CFS!I18),CFS!I18,0)</f>
        <v>2.6539999999999999</v>
      </c>
      <c r="J14" s="347">
        <f>IF(ISNUMBER(CFS!J18),CFS!J18,0)</f>
        <v>-0.44700000000000001</v>
      </c>
      <c r="K14" s="347">
        <f>IF(ISNUMBER(CFS!K18),CFS!K18,0)</f>
        <v>-0.26300000000000001</v>
      </c>
      <c r="L14" s="347">
        <f>IF(ISNUMBER(CFS!L18),CFS!L18,0)</f>
        <v>0.30199999999999999</v>
      </c>
      <c r="M14" s="16"/>
    </row>
    <row r="15" spans="1:13">
      <c r="A15" s="367" t="str">
        <f>CFS!A19</f>
        <v>Funds from Operations</v>
      </c>
      <c r="B15" s="367" t="str">
        <f>CFS!B19</f>
        <v>-</v>
      </c>
      <c r="C15" s="367">
        <f>SUM(C9:C14)</f>
        <v>0.92962999999999862</v>
      </c>
      <c r="D15" s="367">
        <f t="shared" ref="D15:L15" si="0">SUM(D9:D14)</f>
        <v>8.9028799999999979</v>
      </c>
      <c r="E15" s="367">
        <f t="shared" si="0"/>
        <v>7.6450900000000042</v>
      </c>
      <c r="F15" s="367">
        <f t="shared" si="0"/>
        <v>6.7029799999999984</v>
      </c>
      <c r="G15" s="367">
        <f t="shared" si="0"/>
        <v>9.2100899999999957</v>
      </c>
      <c r="H15" s="367">
        <f t="shared" si="0"/>
        <v>9.0858699999999999</v>
      </c>
      <c r="I15" s="367">
        <f t="shared" si="0"/>
        <v>9.0578199999999995</v>
      </c>
      <c r="J15" s="367">
        <f t="shared" si="0"/>
        <v>-4.0521800000000017</v>
      </c>
      <c r="K15" s="367">
        <f>SUM(K9:K14)</f>
        <v>3.6690999999999994</v>
      </c>
      <c r="L15" s="367">
        <f t="shared" si="0"/>
        <v>3.6654500000000021</v>
      </c>
      <c r="M15" s="16"/>
    </row>
    <row r="16" spans="1:13">
      <c r="A16" s="347" t="str">
        <f>CFS!A20</f>
        <v>Changes in Working Capital</v>
      </c>
      <c r="B16" s="347" t="str">
        <f>CFS!B20</f>
        <v>-</v>
      </c>
      <c r="C16" s="347">
        <f>IF(ISNUMBER(CFS!C20),CFS!C20,0)</f>
        <v>1.9490000000000001</v>
      </c>
      <c r="D16" s="347">
        <f>IF(ISNUMBER(CFS!D20),CFS!D20,0)</f>
        <v>0.52600000000000002</v>
      </c>
      <c r="E16" s="347">
        <f>IF(ISNUMBER(CFS!E20),CFS!E20,0)</f>
        <v>0.17599999999999999</v>
      </c>
      <c r="F16" s="347">
        <f>IF(ISNUMBER(CFS!F20),CFS!F20,0)</f>
        <v>0.57499999999999996</v>
      </c>
      <c r="G16" s="347">
        <f>IF(ISNUMBER(CFS!G20),CFS!G20,0)</f>
        <v>-6.3E-2</v>
      </c>
      <c r="H16" s="347">
        <f>IF(ISNUMBER(CFS!H20),CFS!H20,0)</f>
        <v>1.335</v>
      </c>
      <c r="I16" s="347">
        <f>IF(ISNUMBER(CFS!I20),CFS!I20,0)</f>
        <v>-0.61299999999999999</v>
      </c>
      <c r="J16" s="347">
        <f>IF(ISNUMBER(CFS!J20),CFS!J20,0)</f>
        <v>0.51300000000000001</v>
      </c>
      <c r="K16" s="347">
        <f>IF(ISNUMBER(CFS!K20),CFS!K20,0)</f>
        <v>0.14799999999999999</v>
      </c>
      <c r="L16" s="347">
        <f>IF(ISNUMBER(CFS!L20),CFS!L20,0)</f>
        <v>0.157</v>
      </c>
      <c r="M16" s="16"/>
    </row>
    <row r="17" spans="1:13" s="17" customFormat="1">
      <c r="A17" s="1096" t="str">
        <f>CFS!A21</f>
        <v>Net Operating Cash Flow</v>
      </c>
      <c r="B17" s="1096">
        <f>CFS!B21</f>
        <v>1.4219999999999999</v>
      </c>
      <c r="C17" s="1096">
        <f>SUM(C15:C16)</f>
        <v>2.8786299999999985</v>
      </c>
      <c r="D17" s="1096">
        <f t="shared" ref="D17:L17" si="1">SUM(D15:D16)</f>
        <v>9.4288799999999977</v>
      </c>
      <c r="E17" s="1096">
        <f t="shared" si="1"/>
        <v>7.8210900000000043</v>
      </c>
      <c r="F17" s="1096">
        <f t="shared" si="1"/>
        <v>7.2779799999999986</v>
      </c>
      <c r="G17" s="1096">
        <f t="shared" si="1"/>
        <v>9.1470899999999951</v>
      </c>
      <c r="H17" s="1096">
        <f t="shared" si="1"/>
        <v>10.420870000000001</v>
      </c>
      <c r="I17" s="1096">
        <f t="shared" si="1"/>
        <v>8.44482</v>
      </c>
      <c r="J17" s="1096">
        <f t="shared" si="1"/>
        <v>-3.5391800000000018</v>
      </c>
      <c r="K17" s="1096">
        <f t="shared" si="1"/>
        <v>3.8170999999999995</v>
      </c>
      <c r="L17" s="1096">
        <f t="shared" si="1"/>
        <v>3.8224500000000021</v>
      </c>
      <c r="M17" s="18"/>
    </row>
    <row r="18" spans="1:13">
      <c r="A18" s="344" t="str">
        <f>CFS!A22</f>
        <v>Investing Activities</v>
      </c>
      <c r="B18" s="344"/>
      <c r="C18" s="344"/>
      <c r="D18" s="344"/>
      <c r="E18" s="344"/>
      <c r="F18" s="344"/>
      <c r="G18" s="344"/>
      <c r="H18" s="344"/>
      <c r="I18" s="344"/>
      <c r="J18" s="344"/>
      <c r="K18" s="344"/>
      <c r="L18" s="344"/>
      <c r="M18" s="16"/>
    </row>
    <row r="19" spans="1:13">
      <c r="A19" s="347" t="str">
        <f>CFS!A23</f>
        <v>Capital Expenditures</v>
      </c>
      <c r="B19" s="347">
        <f>CFS!B23</f>
        <v>-2.577</v>
      </c>
      <c r="C19" s="347">
        <f>IF(ISNUMBER(CFS!C23),CFS!C23,0)</f>
        <v>-1.899</v>
      </c>
      <c r="D19" s="347">
        <f>IF(ISNUMBER(CFS!D23),CFS!D23,0)</f>
        <v>-4.9359999999999999</v>
      </c>
      <c r="E19" s="347">
        <f>IF(ISNUMBER(CFS!E23),CFS!E23,0)</f>
        <v>-5.1680000000000001</v>
      </c>
      <c r="F19" s="347">
        <f>IF(ISNUMBER(CFS!F23),CFS!F23,0)</f>
        <v>-3.891</v>
      </c>
      <c r="G19" s="347">
        <f>IF(ISNUMBER(CFS!G23),CFS!G23,0)</f>
        <v>-3.391</v>
      </c>
      <c r="H19" s="347">
        <f>IF(ISNUMBER(CFS!H23),CFS!H23,0)</f>
        <v>-2.9449999999999998</v>
      </c>
      <c r="I19" s="347">
        <f>IF(ISNUMBER(CFS!I23),CFS!I23,0)</f>
        <v>-2.2490000000000001</v>
      </c>
      <c r="J19" s="347">
        <f>IF(ISNUMBER(CFS!J23),CFS!J23,0)</f>
        <v>-2.5680000000000001</v>
      </c>
      <c r="K19" s="347">
        <f>IF(ISNUMBER(CFS!K23),CFS!K23,0)</f>
        <v>-1.968</v>
      </c>
      <c r="L19" s="347">
        <f>IF(ISNUMBER(CFS!L23),CFS!L23,0)</f>
        <v>-1.254</v>
      </c>
      <c r="M19" s="16"/>
    </row>
    <row r="20" spans="1:13">
      <c r="A20" s="373" t="s">
        <v>471</v>
      </c>
      <c r="B20" s="373"/>
      <c r="C20" s="373">
        <f>-('DAL-US R&amp;D'!C10)</f>
        <v>0</v>
      </c>
      <c r="D20" s="373">
        <f>-('DAL-US R&amp;D'!D10)</f>
        <v>0</v>
      </c>
      <c r="E20" s="373">
        <f>-('DAL-US R&amp;D'!E10)</f>
        <v>0</v>
      </c>
      <c r="F20" s="373">
        <f>-('DAL-US R&amp;D'!F10)</f>
        <v>0</v>
      </c>
      <c r="G20" s="373">
        <f>-('DAL-US R&amp;D'!G10)</f>
        <v>0</v>
      </c>
      <c r="H20" s="373">
        <f>-('DAL-US R&amp;D'!H10)</f>
        <v>0</v>
      </c>
      <c r="I20" s="373">
        <f>-('DAL-US R&amp;D'!I10)</f>
        <v>0</v>
      </c>
      <c r="J20" s="373">
        <f>-('DAL-US R&amp;D'!J10)</f>
        <v>0</v>
      </c>
      <c r="K20" s="373">
        <f>-('DAL-US R&amp;D'!K10)</f>
        <v>0</v>
      </c>
      <c r="L20" s="373">
        <f>-('DAL-US R&amp;D'!L10)</f>
        <v>0</v>
      </c>
      <c r="M20" s="16"/>
    </row>
    <row r="21" spans="1:13">
      <c r="A21" s="347" t="str">
        <f>CFS!A24</f>
        <v>Net Assets from Acquisitions</v>
      </c>
      <c r="B21" s="347">
        <f>CFS!B24</f>
        <v>0</v>
      </c>
      <c r="C21" s="347">
        <f>IF(ISNUMBER(CFS!C24),CFS!C24,0)</f>
        <v>0</v>
      </c>
      <c r="D21" s="347">
        <f>IF(ISNUMBER(CFS!D24),CFS!D24,0)</f>
        <v>0</v>
      </c>
      <c r="E21" s="347">
        <f>IF(ISNUMBER(CFS!E24),CFS!E24,0)</f>
        <v>0</v>
      </c>
      <c r="F21" s="347">
        <f>IF(ISNUMBER(CFS!F24),CFS!F24,0)</f>
        <v>0</v>
      </c>
      <c r="G21" s="347">
        <f>IF(ISNUMBER(CFS!G24),CFS!G24,0)</f>
        <v>0</v>
      </c>
      <c r="H21" s="347">
        <f>IF(ISNUMBER(CFS!H24),CFS!H24,0)</f>
        <v>-0.27600000000000002</v>
      </c>
      <c r="I21" s="347">
        <f>IF(ISNUMBER(CFS!I24),CFS!I24,0)</f>
        <v>0</v>
      </c>
      <c r="J21" s="347">
        <f>IF(ISNUMBER(CFS!J24),CFS!J24,0)</f>
        <v>0</v>
      </c>
      <c r="K21" s="347">
        <f>IF(ISNUMBER(CFS!K24),CFS!K24,0)</f>
        <v>0</v>
      </c>
      <c r="L21" s="347">
        <f>IF(ISNUMBER(CFS!L24),CFS!L24,0)</f>
        <v>0</v>
      </c>
      <c r="M21" s="16"/>
    </row>
    <row r="22" spans="1:13" s="17" customFormat="1">
      <c r="A22" s="347" t="str">
        <f>CFS!A25</f>
        <v>Purchase/Sale of Investments</v>
      </c>
      <c r="B22" s="347">
        <f>CFS!B25</f>
        <v>0.61300000000000099</v>
      </c>
      <c r="C22" s="347">
        <f>IF(ISNUMBER(CFS!C25),CFS!C25,0)</f>
        <v>-7.891</v>
      </c>
      <c r="D22" s="347">
        <f>IF(ISNUMBER(CFS!D25),CFS!D25,0)</f>
        <v>0.315</v>
      </c>
      <c r="E22" s="347">
        <f>IF(ISNUMBER(CFS!E25),CFS!E25,0)</f>
        <v>0.621</v>
      </c>
      <c r="F22" s="347">
        <f>IF(ISNUMBER(CFS!F25),CFS!F25,0)</f>
        <v>-1.5860000000000001</v>
      </c>
      <c r="G22" s="347">
        <f>IF(ISNUMBER(CFS!G25),CFS!G25,0)</f>
        <v>0.97899999999999998</v>
      </c>
      <c r="H22" s="347">
        <f>IF(ISNUMBER(CFS!H25),CFS!H25,0)</f>
        <v>-0.75900000000000001</v>
      </c>
      <c r="I22" s="347">
        <f>IF(ISNUMBER(CFS!I25),CFS!I25,0)</f>
        <v>-0.26200000000000001</v>
      </c>
      <c r="J22" s="347">
        <f>IF(ISNUMBER(CFS!J25),CFS!J25,0)</f>
        <v>-0.20200000000000001</v>
      </c>
      <c r="K22" s="347">
        <f>IF(ISNUMBER(CFS!K25),CFS!K25,0)</f>
        <v>6.1000000000000103E-2</v>
      </c>
      <c r="L22" s="347">
        <f>IF(ISNUMBER(CFS!L25),CFS!L25,0)</f>
        <v>-0.23400000000000001</v>
      </c>
      <c r="M22" s="18"/>
    </row>
    <row r="23" spans="1:13">
      <c r="A23" s="347" t="str">
        <f>CFS!A26</f>
        <v>Other Funds</v>
      </c>
      <c r="B23" s="347">
        <f>CFS!B26</f>
        <v>0.498</v>
      </c>
      <c r="C23" s="347">
        <f>IF(ISNUMBER(CFS!C26),CFS!C26,0)</f>
        <v>8.6999999999999994E-2</v>
      </c>
      <c r="D23" s="347">
        <f>IF(ISNUMBER(CFS!D26),CFS!D26,0)</f>
        <v>5.8000000000000003E-2</v>
      </c>
      <c r="E23" s="347">
        <f>IF(ISNUMBER(CFS!E26),CFS!E26,0)</f>
        <v>0.154</v>
      </c>
      <c r="F23" s="347">
        <f>IF(ISNUMBER(CFS!F26),CFS!F26,0)</f>
        <v>0.111</v>
      </c>
      <c r="G23" s="347">
        <f>IF(ISNUMBER(CFS!G26),CFS!G26,0)</f>
        <v>3.1E-2</v>
      </c>
      <c r="H23" s="347">
        <f>IF(ISNUMBER(CFS!H26),CFS!H26,0)</f>
        <v>2.5000000000000001E-2</v>
      </c>
      <c r="I23" s="347">
        <f>IF(ISNUMBER(CFS!I26),CFS!I26,0)</f>
        <v>4.8000000000000001E-2</v>
      </c>
      <c r="J23" s="347">
        <f>IF(ISNUMBER(CFS!J26),CFS!J26,0)</f>
        <v>1.4E-2</v>
      </c>
      <c r="K23" s="347">
        <f>IF(ISNUMBER(CFS!K26),CFS!K26,0)</f>
        <v>-5.5E-2</v>
      </c>
      <c r="L23" s="347">
        <f>IF(ISNUMBER(CFS!L26),CFS!L26,0)</f>
        <v>-0.01</v>
      </c>
      <c r="M23" s="16"/>
    </row>
    <row r="24" spans="1:13">
      <c r="A24" s="1096" t="str">
        <f>CFS!A27</f>
        <v>Net Investing Cash Flow</v>
      </c>
      <c r="B24" s="1096">
        <f>CFS!B27</f>
        <v>-1.466</v>
      </c>
      <c r="C24" s="1096">
        <f>SUM(C19:C23)</f>
        <v>-9.7029999999999994</v>
      </c>
      <c r="D24" s="1096">
        <f t="shared" ref="D24:L24" si="2">SUM(D19:D23)</f>
        <v>-4.5629999999999997</v>
      </c>
      <c r="E24" s="1096">
        <f t="shared" si="2"/>
        <v>-4.3930000000000007</v>
      </c>
      <c r="F24" s="1096">
        <f t="shared" si="2"/>
        <v>-5.3660000000000005</v>
      </c>
      <c r="G24" s="1096">
        <f t="shared" si="2"/>
        <v>-2.3809999999999998</v>
      </c>
      <c r="H24" s="1096">
        <f t="shared" si="2"/>
        <v>-3.9550000000000001</v>
      </c>
      <c r="I24" s="1096">
        <f t="shared" si="2"/>
        <v>-2.4630000000000001</v>
      </c>
      <c r="J24" s="1096">
        <f t="shared" si="2"/>
        <v>-2.7560000000000002</v>
      </c>
      <c r="K24" s="1096">
        <f t="shared" si="2"/>
        <v>-1.9619999999999997</v>
      </c>
      <c r="L24" s="1096">
        <f t="shared" si="2"/>
        <v>-1.498</v>
      </c>
      <c r="M24" s="16"/>
    </row>
    <row r="25" spans="1:13">
      <c r="A25" s="344" t="str">
        <f>CFS!A28</f>
        <v>Financing Activities</v>
      </c>
      <c r="B25" s="344">
        <f>CFS!B28</f>
        <v>0</v>
      </c>
      <c r="C25" s="344"/>
      <c r="D25" s="344"/>
      <c r="E25" s="344"/>
      <c r="F25" s="344"/>
      <c r="G25" s="344"/>
      <c r="H25" s="344"/>
      <c r="I25" s="344"/>
      <c r="J25" s="344"/>
      <c r="K25" s="344"/>
      <c r="L25" s="344"/>
      <c r="M25" s="16"/>
    </row>
    <row r="26" spans="1:13">
      <c r="A26" s="347" t="str">
        <f>CFS!A29</f>
        <v>Cash Dividends Paid</v>
      </c>
      <c r="B26" s="347">
        <f>CFS!B29</f>
        <v>0</v>
      </c>
      <c r="C26" s="347">
        <f>IF(ISNUMBER(CFS!C29),CFS!C29,0)</f>
        <v>-0.26</v>
      </c>
      <c r="D26" s="347">
        <f>IF(ISNUMBER(CFS!D29),CFS!D29,0)</f>
        <v>-0.98</v>
      </c>
      <c r="E26" s="347">
        <f>IF(ISNUMBER(CFS!E29),CFS!E29,0)</f>
        <v>-0.90900000000000003</v>
      </c>
      <c r="F26" s="347">
        <f>IF(ISNUMBER(CFS!F29),CFS!F29,0)</f>
        <v>-0.73099999999999998</v>
      </c>
      <c r="G26" s="347">
        <f>IF(ISNUMBER(CFS!G29),CFS!G29,0)</f>
        <v>-0.50900000000000001</v>
      </c>
      <c r="H26" s="347">
        <f>IF(ISNUMBER(CFS!H29),CFS!H29,0)</f>
        <v>-0.35899999999999999</v>
      </c>
      <c r="I26" s="347">
        <f>IF(ISNUMBER(CFS!I29),CFS!I29,0)</f>
        <v>-0.251</v>
      </c>
      <c r="J26" s="347">
        <f>IF(ISNUMBER(CFS!J29),CFS!J29,0)</f>
        <v>-0.10199999999999999</v>
      </c>
      <c r="K26" s="347">
        <f>IF(ISNUMBER(CFS!K29),CFS!K29,0)</f>
        <v>0</v>
      </c>
      <c r="L26" s="347">
        <f>IF(ISNUMBER(CFS!L29),CFS!L29,0)</f>
        <v>0</v>
      </c>
      <c r="M26" s="16"/>
    </row>
    <row r="27" spans="1:13">
      <c r="A27" s="347" t="str">
        <f>CFS!A30</f>
        <v>Change in Capital Stock</v>
      </c>
      <c r="B27" s="347">
        <f>CFS!B30</f>
        <v>0</v>
      </c>
      <c r="C27" s="347">
        <f>IF(ISNUMBER(CFS!C30),CFS!C30,0)</f>
        <v>-0.34399999999999997</v>
      </c>
      <c r="D27" s="347">
        <f>IF(ISNUMBER(CFS!D30),CFS!D30,0)</f>
        <v>-2.0270000000000001</v>
      </c>
      <c r="E27" s="347">
        <f>IF(ISNUMBER(CFS!E30),CFS!E30,0)</f>
        <v>-1.575</v>
      </c>
      <c r="F27" s="347">
        <f>IF(ISNUMBER(CFS!F30),CFS!F30,0)</f>
        <v>-1.677</v>
      </c>
      <c r="G27" s="347">
        <f>IF(ISNUMBER(CFS!G30),CFS!G30,0)</f>
        <v>-2.601</v>
      </c>
      <c r="H27" s="347">
        <f>IF(ISNUMBER(CFS!H30),CFS!H30,0)</f>
        <v>-2.2000000000000002</v>
      </c>
      <c r="I27" s="347">
        <f>IF(ISNUMBER(CFS!I30),CFS!I30,0)</f>
        <v>-1.1000000000000001</v>
      </c>
      <c r="J27" s="347">
        <f>IF(ISNUMBER(CFS!J30),CFS!J30,0)</f>
        <v>-0.25</v>
      </c>
      <c r="K27" s="347">
        <f>IF(ISNUMBER(CFS!K30),CFS!K30,0)</f>
        <v>0</v>
      </c>
      <c r="L27" s="347">
        <f>IF(ISNUMBER(CFS!L30),CFS!L30,0)</f>
        <v>0</v>
      </c>
      <c r="M27" s="16"/>
    </row>
    <row r="28" spans="1:13">
      <c r="A28" s="347" t="str">
        <f>CFS!A31</f>
        <v>Issuance/Reduction of Debt, Net</v>
      </c>
      <c r="B28" s="347">
        <f>CFS!B31</f>
        <v>-8.7149999999999999</v>
      </c>
      <c r="C28" s="347">
        <f>IF(ISNUMBER(CFS!C31),CFS!C31,0)</f>
        <v>19.797999999999998</v>
      </c>
      <c r="D28" s="347">
        <f>IF(ISNUMBER(CFS!D31),CFS!D31,0)</f>
        <v>0.48699999999999999</v>
      </c>
      <c r="E28" s="347">
        <f>IF(ISNUMBER(CFS!E31),CFS!E31,0)</f>
        <v>0.69299999999999995</v>
      </c>
      <c r="F28" s="347">
        <f>IF(ISNUMBER(CFS!F31),CFS!F31,0)</f>
        <v>1.196</v>
      </c>
      <c r="G28" s="347">
        <f>IF(ISNUMBER(CFS!G31),CFS!G31,0)</f>
        <v>-1.2589999999999999</v>
      </c>
      <c r="H28" s="347">
        <f>IF(ISNUMBER(CFS!H31),CFS!H31,0)</f>
        <v>-1.52</v>
      </c>
      <c r="I28" s="347">
        <f>IF(ISNUMBER(CFS!I31),CFS!I31,0)</f>
        <v>-1.9079999999999999</v>
      </c>
      <c r="J28" s="347">
        <f>IF(ISNUMBER(CFS!J31),CFS!J31,0)</f>
        <v>-1.1930000000000001</v>
      </c>
      <c r="K28" s="347">
        <f>IF(ISNUMBER(CFS!K31),CFS!K31,0)</f>
        <v>-0.94</v>
      </c>
      <c r="L28" s="347">
        <f>IF(ISNUMBER(CFS!L31),CFS!L31,0)</f>
        <v>-1.7769999999999999</v>
      </c>
      <c r="M28" s="16"/>
    </row>
    <row r="29" spans="1:13">
      <c r="A29" s="373" t="str">
        <f>CFS!A32&amp;" incl. required funding for R&amp;D"</f>
        <v>Other Funds incl. required funding for R&amp;D</v>
      </c>
      <c r="B29" s="373">
        <f>CFS!B32</f>
        <v>7.2999999999999995E-2</v>
      </c>
      <c r="C29" s="373">
        <f>IF(ISNUMBER(CFS!C32),CFS!C32,0)-(C17+C24+SUM(C26:C28,IF(ISNUMBER(CFS!C32),CFS!C32,0))-C32)</f>
        <v>-6.0446299999999962</v>
      </c>
      <c r="D29" s="373">
        <f>IF(ISNUMBER(CFS!D32),CFS!D32,0)-(D17+D24+SUM(D26:D28,IF(ISNUMBER(CFS!D32),CFS!D32,0))-D32)</f>
        <v>-1.3638799999999982</v>
      </c>
      <c r="E29" s="373">
        <f>IF(ISNUMBER(CFS!E32),CFS!E32,0)-(E17+E24+SUM(E26:E28,IF(ISNUMBER(CFS!E32),CFS!E32,0))-E32)</f>
        <v>-0.74209000000000369</v>
      </c>
      <c r="F29" s="373">
        <f>IF(ISNUMBER(CFS!F32),CFS!F32,0)-(F17+F24+SUM(F26:F28,IF(ISNUMBER(CFS!F32),CFS!F32,0))-F32)</f>
        <v>-1.647979999999998</v>
      </c>
      <c r="G29" s="373">
        <f>IF(ISNUMBER(CFS!G32),CFS!G32,0)-(G17+G24+SUM(G26:G28,IF(ISNUMBER(CFS!G32),CFS!G32,0))-G32)</f>
        <v>-1.5960899999999949</v>
      </c>
      <c r="H29" s="373">
        <f>IF(ISNUMBER(CFS!H32),CFS!H32,0)-(H17+H24+SUM(H26:H28,IF(ISNUMBER(CFS!H32),CFS!H32,0))-H32)</f>
        <v>-2.5098699999999998</v>
      </c>
      <c r="I29" s="373">
        <f>IF(ISNUMBER(CFS!I32),CFS!I32,0)-(I17+I24+SUM(I26:I28,IF(ISNUMBER(CFS!I32),CFS!I32,0))-I32)</f>
        <v>-3.5408200000000001</v>
      </c>
      <c r="J29" s="373">
        <f>IF(ISNUMBER(CFS!J32),CFS!J32,0)-(J17+J24+SUM(J26:J28,IF(ISNUMBER(CFS!J32),CFS!J32,0))-J32)</f>
        <v>8.0371800000000029</v>
      </c>
      <c r="K29" s="373">
        <f>IF(ISNUMBER(CFS!K32),CFS!K32,0)-(K17+K24+SUM(K26:K28,IF(ISNUMBER(CFS!K32),CFS!K32,0))-K32)</f>
        <v>-1.1560999999999999</v>
      </c>
      <c r="L29" s="373">
        <f>IF(ISNUMBER(CFS!L32),CFS!L32,0)-(L17+L24+SUM(L26:L28,IF(ISNUMBER(CFS!L32),CFS!L32,0))-L32)</f>
        <v>-0.78245000000000242</v>
      </c>
      <c r="M29" s="16"/>
    </row>
    <row r="30" spans="1:13">
      <c r="A30" s="1096" t="str">
        <f>CFS!A33</f>
        <v>Net Financing Cash Flow</v>
      </c>
      <c r="B30" s="1096">
        <f>CFS!B33</f>
        <v>-8.6419999999999995</v>
      </c>
      <c r="C30" s="1096">
        <f>SUM(C26:C29)</f>
        <v>13.149370000000003</v>
      </c>
      <c r="D30" s="1096">
        <f t="shared" ref="D30:K30" si="3">SUM(D26:D29)</f>
        <v>-3.8838799999999982</v>
      </c>
      <c r="E30" s="1096">
        <f t="shared" si="3"/>
        <v>-2.5330900000000036</v>
      </c>
      <c r="F30" s="1096">
        <f t="shared" si="3"/>
        <v>-2.859979999999998</v>
      </c>
      <c r="G30" s="1096">
        <f t="shared" si="3"/>
        <v>-5.9650899999999947</v>
      </c>
      <c r="H30" s="1096">
        <f t="shared" si="3"/>
        <v>-6.58887</v>
      </c>
      <c r="I30" s="1096">
        <f t="shared" si="3"/>
        <v>-6.7998200000000004</v>
      </c>
      <c r="J30" s="1096">
        <f t="shared" si="3"/>
        <v>6.4921800000000029</v>
      </c>
      <c r="K30" s="1096">
        <f t="shared" si="3"/>
        <v>-2.0960999999999999</v>
      </c>
      <c r="L30" s="1096">
        <f>SUM(L26:L29)</f>
        <v>-2.5594500000000022</v>
      </c>
      <c r="M30" s="16"/>
    </row>
    <row r="31" spans="1:13">
      <c r="A31" s="347"/>
      <c r="B31" s="347"/>
      <c r="C31" s="347"/>
      <c r="D31" s="347"/>
      <c r="E31" s="347"/>
      <c r="F31" s="347"/>
      <c r="G31" s="347"/>
      <c r="H31" s="347"/>
      <c r="I31" s="347"/>
      <c r="J31" s="347"/>
      <c r="K31" s="347"/>
      <c r="L31" s="347"/>
      <c r="M31" s="16"/>
    </row>
    <row r="32" spans="1:13">
      <c r="A32" s="344" t="str">
        <f>CFS!A35</f>
        <v>Net Change in Cash</v>
      </c>
      <c r="B32" s="344">
        <f>CFS!B35</f>
        <v>-8.6859999999999999</v>
      </c>
      <c r="C32" s="344">
        <f>CFS!C35</f>
        <v>6.3250000000000002</v>
      </c>
      <c r="D32" s="344">
        <f>CFS!D35</f>
        <v>0.98199999999999998</v>
      </c>
      <c r="E32" s="344">
        <f>CFS!E35</f>
        <v>0.89500000000000002</v>
      </c>
      <c r="F32" s="344">
        <f>CFS!F35</f>
        <v>-0.94799999999999995</v>
      </c>
      <c r="G32" s="344">
        <f>CFS!G35</f>
        <v>0.80100000000000005</v>
      </c>
      <c r="H32" s="344">
        <f>CFS!H35</f>
        <v>-0.123</v>
      </c>
      <c r="I32" s="344">
        <f>CFS!I35</f>
        <v>-0.81799999999999995</v>
      </c>
      <c r="J32" s="344">
        <f>CFS!J35</f>
        <v>0.19700000000000001</v>
      </c>
      <c r="K32" s="344">
        <f>CFS!K35</f>
        <v>-0.24099999999999999</v>
      </c>
      <c r="L32" s="344">
        <f>CFS!L35</f>
        <v>-0.23499999999999999</v>
      </c>
      <c r="M32" s="16"/>
    </row>
    <row r="33" spans="1:13">
      <c r="A33" s="377" t="s">
        <v>472</v>
      </c>
      <c r="B33" s="327"/>
      <c r="C33" s="327">
        <f>C17+C24+C30-C32</f>
        <v>0</v>
      </c>
      <c r="D33" s="327">
        <f t="shared" ref="D33:K33" si="4">D17+D24+D30-D32</f>
        <v>0</v>
      </c>
      <c r="E33" s="327">
        <f t="shared" si="4"/>
        <v>0</v>
      </c>
      <c r="F33" s="327">
        <f t="shared" si="4"/>
        <v>0</v>
      </c>
      <c r="G33" s="327">
        <f t="shared" si="4"/>
        <v>0</v>
      </c>
      <c r="H33" s="327">
        <f t="shared" si="4"/>
        <v>6.6613381477509392E-16</v>
      </c>
      <c r="I33" s="327">
        <f t="shared" si="4"/>
        <v>0</v>
      </c>
      <c r="J33" s="327">
        <f t="shared" si="4"/>
        <v>9.4368957093138306E-16</v>
      </c>
      <c r="K33" s="327">
        <f t="shared" si="4"/>
        <v>0</v>
      </c>
      <c r="L33" s="327">
        <f>L17+L24+L30-L32</f>
        <v>0</v>
      </c>
      <c r="M33" s="16"/>
    </row>
    <row r="34" spans="1:13">
      <c r="A34" s="377"/>
      <c r="B34" s="327"/>
      <c r="C34" s="327"/>
      <c r="D34" s="327"/>
      <c r="E34" s="327"/>
      <c r="F34" s="327"/>
      <c r="G34" s="327"/>
      <c r="H34" s="327"/>
      <c r="I34" s="327"/>
      <c r="J34" s="327"/>
      <c r="K34" s="327"/>
      <c r="L34" s="327"/>
      <c r="M34" s="16"/>
    </row>
    <row r="35" spans="1:13">
      <c r="A35" s="377"/>
      <c r="B35" s="327"/>
      <c r="C35" s="327"/>
      <c r="D35" s="327"/>
      <c r="E35" s="327"/>
      <c r="F35" s="327"/>
      <c r="G35" s="327"/>
      <c r="H35" s="327"/>
      <c r="I35" s="327"/>
      <c r="J35" s="327"/>
      <c r="K35" s="327"/>
      <c r="L35" s="327"/>
      <c r="M35" s="16"/>
    </row>
    <row r="36" spans="1:13">
      <c r="A36" s="377"/>
      <c r="B36" s="327"/>
      <c r="C36" s="327"/>
      <c r="D36" s="327"/>
      <c r="E36" s="327"/>
      <c r="F36" s="327"/>
      <c r="G36" s="327"/>
      <c r="H36" s="327"/>
      <c r="I36" s="327"/>
      <c r="J36" s="327"/>
      <c r="K36" s="327"/>
      <c r="L36" s="327"/>
      <c r="M36" s="16"/>
    </row>
    <row r="37" spans="1:13">
      <c r="A37" s="255"/>
      <c r="B37" s="327"/>
      <c r="C37" s="327"/>
      <c r="D37" s="327"/>
      <c r="E37" s="327"/>
      <c r="F37" s="327"/>
      <c r="G37" s="327"/>
      <c r="H37" s="327"/>
      <c r="I37" s="327"/>
      <c r="J37" s="327"/>
      <c r="K37" s="327"/>
      <c r="L37" s="327"/>
      <c r="M37" s="16"/>
    </row>
    <row r="38" spans="1:13">
      <c r="A38" s="259"/>
      <c r="B38" s="327"/>
      <c r="C38" s="327"/>
      <c r="D38" s="327"/>
      <c r="E38" s="327"/>
      <c r="F38" s="327"/>
      <c r="G38" s="327"/>
      <c r="H38" s="327"/>
      <c r="I38" s="327"/>
      <c r="J38" s="327"/>
      <c r="K38" s="327"/>
      <c r="L38" s="327"/>
      <c r="M38" s="16"/>
    </row>
    <row r="39" spans="1:13">
      <c r="A39" s="259"/>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5"/>
      <c r="B43" s="327"/>
      <c r="C43" s="327"/>
      <c r="D43" s="327"/>
      <c r="E43" s="327"/>
      <c r="F43" s="327"/>
      <c r="G43" s="327"/>
      <c r="H43" s="327"/>
      <c r="I43" s="327"/>
      <c r="J43" s="327"/>
      <c r="K43" s="327"/>
      <c r="L43" s="327"/>
      <c r="M43" s="16"/>
    </row>
    <row r="44" spans="1:13">
      <c r="A44" s="255"/>
      <c r="B44" s="327"/>
      <c r="C44" s="327"/>
      <c r="D44" s="327"/>
      <c r="E44" s="327"/>
      <c r="F44" s="327"/>
      <c r="G44" s="327"/>
      <c r="H44" s="327"/>
      <c r="I44" s="327"/>
      <c r="J44" s="327"/>
      <c r="K44" s="327"/>
      <c r="L44" s="327"/>
      <c r="M44" s="16"/>
    </row>
    <row r="45" spans="1:13">
      <c r="A45" s="259"/>
      <c r="B45" s="327"/>
      <c r="C45" s="327"/>
      <c r="D45" s="327"/>
      <c r="E45" s="327"/>
      <c r="F45" s="327"/>
      <c r="G45" s="327"/>
      <c r="H45" s="327"/>
      <c r="I45" s="327"/>
      <c r="J45" s="327"/>
      <c r="K45" s="327"/>
      <c r="L45" s="327"/>
      <c r="M45" s="16"/>
    </row>
    <row r="46" spans="1:13">
      <c r="A46" s="259"/>
      <c r="B46" s="327"/>
      <c r="C46" s="327"/>
      <c r="D46" s="327"/>
      <c r="E46" s="327"/>
      <c r="F46" s="327"/>
      <c r="G46" s="327"/>
      <c r="H46" s="327"/>
      <c r="I46" s="327"/>
      <c r="J46" s="327"/>
      <c r="K46" s="327"/>
      <c r="L46" s="327"/>
      <c r="M46" s="16"/>
    </row>
    <row r="47" spans="1:13">
      <c r="A47" s="259"/>
      <c r="B47" s="327"/>
      <c r="C47" s="327"/>
      <c r="D47" s="327"/>
      <c r="E47" s="327"/>
      <c r="F47" s="327"/>
      <c r="G47" s="327"/>
      <c r="H47" s="327"/>
      <c r="I47" s="327"/>
      <c r="J47" s="327"/>
      <c r="K47" s="327"/>
      <c r="L47" s="327"/>
      <c r="M47" s="16"/>
    </row>
    <row r="48" spans="1:13">
      <c r="A48" s="259"/>
      <c r="B48" s="327"/>
      <c r="C48" s="327"/>
      <c r="D48" s="327"/>
      <c r="E48" s="327"/>
      <c r="F48" s="327"/>
      <c r="G48" s="327"/>
      <c r="H48" s="327"/>
      <c r="I48" s="327"/>
      <c r="J48" s="327"/>
      <c r="K48" s="327"/>
      <c r="L48" s="327"/>
      <c r="M48" s="16"/>
    </row>
    <row r="49" spans="1:13">
      <c r="A49" s="259"/>
      <c r="B49" s="327"/>
      <c r="C49" s="327"/>
      <c r="D49" s="327"/>
      <c r="E49" s="327"/>
      <c r="F49" s="327"/>
      <c r="G49" s="327"/>
      <c r="H49" s="327"/>
      <c r="I49" s="327"/>
      <c r="J49" s="327"/>
      <c r="K49" s="327"/>
      <c r="L49" s="327"/>
      <c r="M49" s="16"/>
    </row>
    <row r="50" spans="1:13">
      <c r="A50" s="259"/>
      <c r="B50" s="327"/>
      <c r="C50" s="327"/>
      <c r="D50" s="327"/>
      <c r="E50" s="327"/>
      <c r="F50" s="327"/>
      <c r="G50" s="327"/>
      <c r="H50" s="327"/>
      <c r="I50" s="327"/>
      <c r="J50" s="327"/>
      <c r="K50" s="327"/>
      <c r="L50" s="327"/>
      <c r="M50" s="16"/>
    </row>
    <row r="51" spans="1:13">
      <c r="A51" s="252"/>
      <c r="B51" s="327"/>
      <c r="C51" s="327"/>
      <c r="D51" s="327"/>
      <c r="E51" s="327"/>
      <c r="F51" s="327"/>
      <c r="G51" s="327"/>
      <c r="H51" s="327"/>
      <c r="I51" s="327"/>
      <c r="J51" s="327"/>
      <c r="K51" s="327"/>
      <c r="L51" s="327"/>
      <c r="M51" s="16"/>
    </row>
    <row r="53" spans="1:13" s="3" customFormat="1">
      <c r="A53" s="327"/>
      <c r="M53"/>
    </row>
    <row r="54" spans="1:13" s="3" customFormat="1">
      <c r="A54" s="327"/>
      <c r="M54"/>
    </row>
    <row r="55" spans="1:13" s="3" customFormat="1">
      <c r="A55" s="327"/>
      <c r="M55"/>
    </row>
    <row r="56" spans="1:13" s="3" customFormat="1">
      <c r="A56" s="327"/>
      <c r="M56"/>
    </row>
    <row r="57" spans="1:13" s="3" customFormat="1">
      <c r="A57" s="327"/>
      <c r="M57"/>
    </row>
    <row r="58" spans="1:13" s="3" customFormat="1">
      <c r="A58" s="327"/>
      <c r="M58"/>
    </row>
    <row r="59" spans="1:13" s="3" customFormat="1">
      <c r="A59" s="327"/>
      <c r="M59"/>
    </row>
    <row r="60" spans="1:13" s="3" customFormat="1">
      <c r="A60" s="327"/>
      <c r="M60"/>
    </row>
    <row r="61" spans="1:13" s="3" customFormat="1">
      <c r="A61" s="327"/>
      <c r="M61"/>
    </row>
    <row r="62" spans="1:13" s="3" customFormat="1">
      <c r="A62" s="327"/>
      <c r="M62"/>
    </row>
    <row r="63" spans="1:13" s="3" customFormat="1">
      <c r="A63" s="327"/>
      <c r="M63"/>
    </row>
    <row r="64" spans="1:13" s="3" customFormat="1">
      <c r="A64" s="327"/>
      <c r="M64"/>
    </row>
    <row r="65" spans="1:13" s="3" customFormat="1">
      <c r="A65" s="327"/>
      <c r="M65"/>
    </row>
    <row r="66" spans="1:13" s="3" customFormat="1">
      <c r="A66" s="327"/>
      <c r="M66"/>
    </row>
    <row r="67" spans="1:13" s="3" customFormat="1">
      <c r="A67" s="327"/>
      <c r="M67"/>
    </row>
    <row r="68" spans="1:13" s="3" customFormat="1">
      <c r="A68" s="327"/>
      <c r="M68"/>
    </row>
    <row r="69" spans="1:13" s="3" customFormat="1">
      <c r="A69" s="327"/>
      <c r="M69"/>
    </row>
    <row r="70" spans="1:13" s="3" customFormat="1">
      <c r="A70" s="327"/>
      <c r="M70"/>
    </row>
    <row r="71" spans="1:13" s="3" customFormat="1">
      <c r="A71" s="327"/>
      <c r="M71"/>
    </row>
    <row r="72" spans="1:13" s="3" customFormat="1">
      <c r="A72" s="327"/>
      <c r="M72"/>
    </row>
    <row r="73" spans="1:13" s="3" customFormat="1">
      <c r="A73" s="327"/>
      <c r="M73"/>
    </row>
    <row r="74" spans="1:13" s="3" customFormat="1">
      <c r="A74" s="327"/>
      <c r="M74"/>
    </row>
    <row r="75" spans="1:13" s="3" customFormat="1">
      <c r="A75" s="327"/>
      <c r="M75"/>
    </row>
    <row r="76" spans="1:13" s="3" customFormat="1">
      <c r="A76" s="327"/>
      <c r="M76"/>
    </row>
    <row r="77" spans="1:13" s="3" customFormat="1">
      <c r="A77" s="327"/>
      <c r="M77"/>
    </row>
    <row r="78" spans="1:13" s="3" customFormat="1">
      <c r="A78" s="327"/>
      <c r="M78"/>
    </row>
    <row r="79" spans="1:13" s="3" customFormat="1">
      <c r="A79" s="327"/>
      <c r="M79"/>
    </row>
    <row r="80" spans="1:13" s="3" customFormat="1">
      <c r="A80" s="327"/>
      <c r="M80"/>
    </row>
    <row r="81" spans="1:13" s="3" customFormat="1">
      <c r="A81" s="327"/>
      <c r="M81"/>
    </row>
    <row r="82" spans="1:13" s="3" customFormat="1">
      <c r="A82" s="327"/>
      <c r="M82"/>
    </row>
    <row r="83" spans="1:13" s="3" customFormat="1">
      <c r="A83" s="327"/>
      <c r="M83"/>
    </row>
    <row r="84" spans="1:13" s="3" customFormat="1">
      <c r="A84" s="327"/>
      <c r="M84"/>
    </row>
    <row r="85" spans="1:13" s="3" customFormat="1">
      <c r="A85" s="327"/>
      <c r="M85"/>
    </row>
    <row r="86" spans="1:13" s="3" customFormat="1">
      <c r="A86" s="327"/>
      <c r="M86"/>
    </row>
    <row r="87" spans="1:13" s="3" customFormat="1">
      <c r="A87" s="327"/>
      <c r="M87"/>
    </row>
    <row r="88" spans="1:13" s="3" customFormat="1">
      <c r="A88" s="327"/>
      <c r="M88"/>
    </row>
    <row r="89" spans="1:13" s="3" customFormat="1">
      <c r="A89" s="327"/>
      <c r="M89"/>
    </row>
    <row r="90" spans="1:13" s="3" customFormat="1">
      <c r="A90" s="327"/>
      <c r="M90"/>
    </row>
    <row r="91" spans="1:13" s="3" customFormat="1">
      <c r="A91" s="327"/>
      <c r="M91"/>
    </row>
    <row r="92" spans="1:13" s="3" customFormat="1">
      <c r="A92" s="327"/>
      <c r="M92"/>
    </row>
    <row r="93" spans="1:13" s="3" customFormat="1">
      <c r="A93" s="327"/>
      <c r="M93"/>
    </row>
    <row r="94" spans="1:13" s="3" customFormat="1">
      <c r="A94" s="327"/>
      <c r="M94"/>
    </row>
    <row r="95" spans="1:13" s="3" customFormat="1">
      <c r="A95" s="327"/>
      <c r="M95"/>
    </row>
    <row r="96" spans="1:13" s="3" customFormat="1">
      <c r="A96" s="327"/>
      <c r="M96"/>
    </row>
    <row r="97" spans="1:13" s="3" customFormat="1">
      <c r="A97" s="327"/>
      <c r="M97"/>
    </row>
    <row r="98" spans="1:13" s="3" customFormat="1">
      <c r="A98" s="327"/>
      <c r="M98"/>
    </row>
    <row r="99" spans="1:13" s="3" customFormat="1">
      <c r="A99" s="327"/>
      <c r="M99"/>
    </row>
    <row r="100" spans="1:13" s="3" customFormat="1">
      <c r="A100" s="327"/>
      <c r="M100"/>
    </row>
    <row r="101" spans="1:13" s="3" customFormat="1">
      <c r="A101" s="327"/>
      <c r="M101"/>
    </row>
    <row r="102" spans="1:13" s="3" customFormat="1">
      <c r="A102" s="327"/>
      <c r="M102"/>
    </row>
    <row r="103" spans="1:13" s="3" customFormat="1">
      <c r="A103" s="327"/>
      <c r="M103"/>
    </row>
    <row r="104" spans="1:13" s="3" customFormat="1">
      <c r="A104" s="327"/>
      <c r="M104"/>
    </row>
    <row r="105" spans="1:13" s="3" customFormat="1">
      <c r="A105" s="327"/>
      <c r="M105"/>
    </row>
    <row r="106" spans="1:13" s="3" customFormat="1">
      <c r="A106" s="327"/>
      <c r="M106"/>
    </row>
    <row r="107" spans="1:13" s="3" customFormat="1">
      <c r="A107" s="327"/>
      <c r="M107"/>
    </row>
    <row r="108" spans="1:13" s="3" customFormat="1">
      <c r="A108" s="327"/>
      <c r="M108"/>
    </row>
    <row r="109" spans="1:13" s="3" customFormat="1">
      <c r="A109" s="327"/>
      <c r="M109"/>
    </row>
    <row r="110" spans="1:13" s="3" customFormat="1">
      <c r="A110" s="327"/>
      <c r="M110"/>
    </row>
    <row r="111" spans="1:13" s="3" customFormat="1">
      <c r="A111" s="327"/>
      <c r="M111"/>
    </row>
    <row r="112" spans="1:13" s="3" customFormat="1">
      <c r="A112" s="327"/>
      <c r="M112"/>
    </row>
    <row r="113" spans="1:13" s="3" customFormat="1">
      <c r="A113" s="327"/>
      <c r="M113"/>
    </row>
    <row r="114" spans="1:13" s="3" customFormat="1">
      <c r="A114" s="327"/>
      <c r="M114"/>
    </row>
    <row r="115" spans="1:13" s="3" customFormat="1">
      <c r="A115" s="327"/>
      <c r="M115"/>
    </row>
    <row r="116" spans="1:13" s="3" customFormat="1">
      <c r="A116" s="327"/>
      <c r="M116"/>
    </row>
    <row r="117" spans="1:13" s="3" customFormat="1">
      <c r="A117" s="327"/>
      <c r="M117"/>
    </row>
    <row r="118" spans="1:13" s="3" customFormat="1">
      <c r="A118" s="327"/>
      <c r="M118"/>
    </row>
    <row r="119" spans="1:13" s="3" customFormat="1">
      <c r="A119" s="327"/>
      <c r="M119"/>
    </row>
    <row r="120" spans="1:13" s="3" customFormat="1">
      <c r="A120" s="327"/>
      <c r="M120"/>
    </row>
    <row r="121" spans="1:13" s="3" customFormat="1">
      <c r="A121" s="327"/>
      <c r="M121"/>
    </row>
    <row r="122" spans="1:13" s="3" customFormat="1">
      <c r="A122" s="327"/>
      <c r="M122"/>
    </row>
    <row r="123" spans="1:13" s="3" customFormat="1">
      <c r="A123" s="327"/>
      <c r="M123"/>
    </row>
    <row r="124" spans="1:13" s="3" customFormat="1">
      <c r="A124" s="327"/>
      <c r="M124"/>
    </row>
    <row r="125" spans="1:13" s="3" customFormat="1">
      <c r="A125" s="327"/>
      <c r="M125"/>
    </row>
    <row r="126" spans="1:13" s="3" customFormat="1">
      <c r="A126" s="327"/>
      <c r="M126"/>
    </row>
    <row r="127" spans="1:13" s="3" customFormat="1">
      <c r="A127" s="327"/>
      <c r="M127"/>
    </row>
    <row r="128" spans="1:13" s="3" customFormat="1">
      <c r="A128" s="327"/>
      <c r="M128"/>
    </row>
    <row r="129" spans="1:13" s="3" customFormat="1">
      <c r="A129" s="327"/>
      <c r="M129"/>
    </row>
    <row r="130" spans="1:13" s="3" customFormat="1">
      <c r="A130" s="327"/>
      <c r="M130"/>
    </row>
    <row r="131" spans="1:13" s="3" customFormat="1">
      <c r="A131" s="327"/>
      <c r="M131"/>
    </row>
    <row r="132" spans="1:13" s="3" customFormat="1">
      <c r="A132" s="327"/>
      <c r="M132"/>
    </row>
    <row r="133" spans="1:13" s="3" customFormat="1">
      <c r="A133" s="327"/>
      <c r="M133"/>
    </row>
    <row r="134" spans="1:13" s="3" customFormat="1">
      <c r="A134" s="327"/>
      <c r="M134"/>
    </row>
    <row r="135" spans="1:13" s="3" customFormat="1">
      <c r="A135" s="327"/>
      <c r="M135"/>
    </row>
    <row r="136" spans="1:13" s="3" customFormat="1">
      <c r="A136" s="327"/>
      <c r="M136"/>
    </row>
    <row r="137" spans="1:13" s="3" customFormat="1">
      <c r="A137" s="327"/>
      <c r="M137"/>
    </row>
    <row r="138" spans="1:13" s="3" customFormat="1">
      <c r="A138" s="327"/>
      <c r="M138"/>
    </row>
    <row r="139" spans="1:13" s="3" customFormat="1">
      <c r="A139" s="327"/>
      <c r="M139"/>
    </row>
    <row r="140" spans="1:13" s="3" customFormat="1">
      <c r="A140" s="327"/>
      <c r="M140"/>
    </row>
    <row r="141" spans="1:13" s="3" customFormat="1">
      <c r="A141" s="327"/>
      <c r="M141"/>
    </row>
    <row r="142" spans="1:13" s="3" customFormat="1">
      <c r="A142" s="327"/>
      <c r="M142"/>
    </row>
    <row r="143" spans="1:13" s="3" customFormat="1">
      <c r="A143" s="327"/>
      <c r="M143"/>
    </row>
    <row r="144" spans="1:13" s="3" customFormat="1">
      <c r="A144" s="327"/>
      <c r="M144"/>
    </row>
    <row r="145" spans="1:13" s="3" customFormat="1">
      <c r="A145" s="327"/>
      <c r="M145"/>
    </row>
    <row r="146" spans="1:13" s="3" customFormat="1">
      <c r="A146" s="327"/>
      <c r="M146"/>
    </row>
    <row r="147" spans="1:13" s="3" customFormat="1">
      <c r="A147" s="327"/>
      <c r="M147"/>
    </row>
    <row r="148" spans="1:13" s="3" customFormat="1">
      <c r="A148" s="327"/>
      <c r="M148"/>
    </row>
    <row r="149" spans="1:13" s="3" customFormat="1">
      <c r="A149" s="327"/>
      <c r="M149"/>
    </row>
    <row r="150" spans="1:13" s="3" customFormat="1">
      <c r="A150" s="327"/>
      <c r="M150"/>
    </row>
    <row r="151" spans="1:13" s="3" customFormat="1">
      <c r="A151" s="327"/>
      <c r="M151"/>
    </row>
    <row r="152" spans="1:13" s="3" customFormat="1">
      <c r="A152" s="327"/>
      <c r="M152"/>
    </row>
    <row r="153" spans="1:13" s="3" customFormat="1">
      <c r="A153" s="327"/>
      <c r="M153"/>
    </row>
    <row r="154" spans="1:13" s="3" customFormat="1">
      <c r="A154" s="327"/>
      <c r="M154"/>
    </row>
    <row r="155" spans="1:13" s="3" customFormat="1">
      <c r="A155" s="327"/>
      <c r="M155"/>
    </row>
    <row r="156" spans="1:13" s="3" customFormat="1">
      <c r="A156" s="327"/>
      <c r="M156"/>
    </row>
    <row r="157" spans="1:13" s="3" customFormat="1">
      <c r="A157" s="327"/>
      <c r="M157"/>
    </row>
    <row r="158" spans="1:13" s="3" customFormat="1">
      <c r="A158" s="327"/>
      <c r="M158"/>
    </row>
    <row r="159" spans="1:13" s="3" customFormat="1">
      <c r="A159" s="327"/>
      <c r="M159"/>
    </row>
    <row r="160" spans="1:13" s="3" customFormat="1">
      <c r="A160" s="327"/>
      <c r="M160"/>
    </row>
    <row r="161" spans="1:13" s="3" customFormat="1">
      <c r="A161" s="327"/>
      <c r="M161"/>
    </row>
    <row r="162" spans="1:13" s="3" customFormat="1">
      <c r="A162" s="327"/>
      <c r="M162"/>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D1D57-9917-49BC-9054-BFC01B95A7D3}">
  <sheetPr>
    <tabColor theme="2" tint="-0.499984740745262"/>
  </sheetPr>
  <dimension ref="A1:M163"/>
  <sheetViews>
    <sheetView topLeftCell="A7" zoomScale="115" zoomScaleNormal="115" workbookViewId="0">
      <selection activeCell="C32" sqref="C32"/>
    </sheetView>
  </sheetViews>
  <sheetFormatPr defaultColWidth="11.28515625" defaultRowHeight="15"/>
  <cols>
    <col min="1" max="1" width="40.7109375" style="3" bestFit="1" customWidth="1"/>
    <col min="2" max="2" width="1.5703125" style="3" customWidth="1"/>
    <col min="3" max="12" width="11.28515625" style="3"/>
  </cols>
  <sheetData>
    <row r="1" spans="1:13" s="340" customFormat="1" ht="26.1" customHeight="1">
      <c r="A1" s="371" t="s">
        <v>468</v>
      </c>
      <c r="B1" s="722" t="str">
        <f>B2</f>
        <v>AC-CA</v>
      </c>
    </row>
    <row r="2" spans="1:13">
      <c r="A2" s="327" t="str">
        <f>IS!A8</f>
        <v>Ticker</v>
      </c>
      <c r="B2" s="327" t="str">
        <f>'Industry Ratios'!E3</f>
        <v>AC-CA</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f>IS!B11</f>
        <v>0</v>
      </c>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f>IS!B12</f>
        <v>0</v>
      </c>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CFS!A13</f>
        <v>Cash Flow</v>
      </c>
      <c r="B7" s="353"/>
      <c r="C7" s="353"/>
      <c r="D7" s="353"/>
      <c r="E7" s="353"/>
      <c r="F7" s="353"/>
      <c r="G7" s="353"/>
      <c r="H7" s="353"/>
      <c r="I7" s="353"/>
      <c r="J7" s="353"/>
      <c r="K7" s="353"/>
      <c r="L7" s="353"/>
      <c r="M7" s="16"/>
    </row>
    <row r="8" spans="1:13">
      <c r="A8" s="353" t="str">
        <f>CFS!A14</f>
        <v>Operating Activities</v>
      </c>
      <c r="B8" s="353"/>
      <c r="C8" s="353"/>
      <c r="D8" s="353"/>
      <c r="E8" s="353"/>
      <c r="F8" s="353"/>
      <c r="G8" s="353"/>
      <c r="H8" s="353"/>
      <c r="I8" s="353"/>
      <c r="J8" s="353"/>
      <c r="K8" s="353"/>
      <c r="L8" s="353"/>
      <c r="M8" s="16"/>
    </row>
    <row r="9" spans="1:13">
      <c r="A9" s="344" t="str">
        <f>CFS!A15</f>
        <v>Net Income / Starting Line</v>
      </c>
      <c r="B9" s="344" t="str">
        <f>CFS!B15</f>
        <v>-</v>
      </c>
      <c r="C9" s="344">
        <f>'AC-CA IS-adj'!C14</f>
        <v>-3.24648</v>
      </c>
      <c r="D9" s="344">
        <f>'AC-CA IS-adj'!D14</f>
        <v>1.3608000000000002</v>
      </c>
      <c r="E9" s="344">
        <f>'AC-CA IS-adj'!E14</f>
        <v>1.1203199999999995</v>
      </c>
      <c r="F9" s="344">
        <f>'AC-CA IS-adj'!F14</f>
        <v>2.8389600000000002</v>
      </c>
      <c r="G9" s="344">
        <f>'AC-CA IS-adj'!G14</f>
        <v>2.7907200000000003</v>
      </c>
      <c r="H9" s="344">
        <f>'AC-CA IS-adj'!H14</f>
        <v>2.8364400000000005</v>
      </c>
      <c r="I9" s="344">
        <f>'AC-CA IS-adj'!I14</f>
        <v>2.8044000000000011</v>
      </c>
      <c r="J9" s="344">
        <f>'AC-CA IS-adj'!J14</f>
        <v>1.8453600215999995</v>
      </c>
      <c r="K9" s="344">
        <f>'AC-CA IS-adj'!K14</f>
        <v>1.8381600000000007</v>
      </c>
      <c r="L9" s="344">
        <f>'AC-CA IS-adj'!L14</f>
        <v>1.7056800000000008</v>
      </c>
      <c r="M9" s="16"/>
    </row>
    <row r="10" spans="1:13">
      <c r="A10" s="347" t="str">
        <f>CFS!A16</f>
        <v>Depreciation, Depletion &amp; Amortization</v>
      </c>
      <c r="B10" s="347" t="str">
        <f>CFS!B16</f>
        <v>-</v>
      </c>
      <c r="C10" s="1118" cm="1">
        <f t="array" ref="C10">_xll.FDS($B2,"FF_DEP_AMORT_EXP(ANN_R,"&amp;'AAL-US IS-adj'!C5&amp;",,,,,B)")</f>
        <v>1.835</v>
      </c>
      <c r="D10" s="1118" cm="1">
        <f t="array" ref="D10">_xll.FDS($B2,"FF_DEP_AMORT_EXP(ANN_R,"&amp;'AAL-US IS-adj'!D5&amp;",,,,,B)")</f>
        <v>1.9670000000000001</v>
      </c>
      <c r="E10" s="1118" cm="1">
        <f t="array" ref="E10">_xll.FDS($B2,"FF_DEP_AMORT_EXP(ANN_R,"&amp;'AAL-US IS-adj'!E5&amp;",,,,,B)")</f>
        <v>1.7010000000000001</v>
      </c>
      <c r="F10" s="1118" cm="1">
        <f t="array" ref="F10">_xll.FDS($B2,"FF_DEP_AMORT_EXP(ANN_R,"&amp;'AAL-US IS-adj'!F5&amp;",,,,,B)")</f>
        <v>0.98399999999999999</v>
      </c>
      <c r="G10" s="1118" cm="1">
        <f t="array" ref="G10">_xll.FDS($B2,"FF_DEP_AMORT_EXP(ANN_R,"&amp;'AAL-US IS-adj'!G5&amp;",,,,,B)")</f>
        <v>0.81599999999999995</v>
      </c>
      <c r="H10" s="1118" cm="1">
        <f t="array" ref="H10">_xll.FDS($B2,"FF_DEP_AMORT_EXP(ANN_R,"&amp;'AAL-US IS-adj'!H5&amp;",,,,,B)")</f>
        <v>0.65500000000000003</v>
      </c>
      <c r="I10" s="1118" cm="1">
        <f t="array" ref="I10">_xll.FDS($B2,"FF_DEP_AMORT_EXP(ANN_R,"&amp;'AAL-US IS-adj'!I5&amp;",,,,,B)")</f>
        <v>0.54300000000000004</v>
      </c>
      <c r="J10" s="1118" cm="1">
        <f t="array" ref="J10">_xll.FDS($B2,"FF_DEP_AMORT_EXP(ANN_R,"&amp;'AAL-US IS-adj'!J5&amp;",,,,,B)")</f>
        <v>0.57799997000000003</v>
      </c>
      <c r="K10" s="1118" cm="1">
        <f t="array" ref="K10">_xll.FDS($B2,"FF_DEP_AMORT_EXP(ANN_R,"&amp;'AAL-US IS-adj'!K5&amp;",,,,,B)")</f>
        <v>0.66900000000000004</v>
      </c>
      <c r="L10" s="1118" cm="1">
        <f t="array" ref="L10">_xll.FDS($B2,"FF_DEP_AMORT_EXP(ANN_R,"&amp;'AAL-US IS-adj'!L5&amp;",,,,,B)")</f>
        <v>0.72799999999999998</v>
      </c>
      <c r="M10" s="16"/>
    </row>
    <row r="11" spans="1:13">
      <c r="A11" s="373" t="s">
        <v>469</v>
      </c>
      <c r="B11" s="373"/>
      <c r="C11" s="373">
        <f>'AC-CA R&amp;D'!C47</f>
        <v>0</v>
      </c>
      <c r="D11" s="373">
        <f>'AC-CA R&amp;D'!D47</f>
        <v>0</v>
      </c>
      <c r="E11" s="373">
        <f>'AC-CA R&amp;D'!E47</f>
        <v>0</v>
      </c>
      <c r="F11" s="373">
        <f>'AC-CA R&amp;D'!F47</f>
        <v>0</v>
      </c>
      <c r="G11" s="373">
        <f>'AC-CA R&amp;D'!G47</f>
        <v>0</v>
      </c>
      <c r="H11" s="373">
        <f>'AC-CA R&amp;D'!H47</f>
        <v>0</v>
      </c>
      <c r="I11" s="373">
        <f>'AC-CA R&amp;D'!I47</f>
        <v>0</v>
      </c>
      <c r="J11" s="373">
        <f>'AC-CA R&amp;D'!J47</f>
        <v>0</v>
      </c>
      <c r="K11" s="373">
        <f>'AC-CA R&amp;D'!K47</f>
        <v>0</v>
      </c>
      <c r="L11" s="373">
        <f>'AC-CA R&amp;D'!L47</f>
        <v>0</v>
      </c>
      <c r="M11" s="16"/>
    </row>
    <row r="12" spans="1:13">
      <c r="A12" s="373" t="s">
        <v>470</v>
      </c>
      <c r="B12" s="373"/>
      <c r="C12" s="373">
        <f>'AC-CA Lease'!C30</f>
        <v>0</v>
      </c>
      <c r="D12" s="373">
        <f>'AC-CA Lease'!D30</f>
        <v>0</v>
      </c>
      <c r="E12" s="373">
        <f>'AC-CA Lease'!E30</f>
        <v>0</v>
      </c>
      <c r="F12" s="373">
        <f>'AC-CA Lease'!F30</f>
        <v>0.35624535714777888</v>
      </c>
      <c r="G12" s="373">
        <f>'AC-CA Lease'!G30</f>
        <v>0.36735099040117736</v>
      </c>
      <c r="H12" s="373">
        <f>'AC-CA Lease'!H30</f>
        <v>0.34293941622487639</v>
      </c>
      <c r="I12" s="373">
        <f>'AC-CA Lease'!I30</f>
        <v>0.23769898249297056</v>
      </c>
      <c r="J12" s="373">
        <f>'AC-CA Lease'!J30</f>
        <v>0.21493796690222758</v>
      </c>
      <c r="K12" s="373">
        <f>'AC-CA Lease'!K30</f>
        <v>0.23696746777582101</v>
      </c>
      <c r="L12" s="373">
        <f>'AC-CA Lease'!L30</f>
        <v>0.25899696864941452</v>
      </c>
      <c r="M12" s="16"/>
    </row>
    <row r="13" spans="1:13">
      <c r="A13" s="347" t="str">
        <f>CFS!A17</f>
        <v>Deferred Taxes &amp; Investment Tax Credit</v>
      </c>
      <c r="B13" s="347">
        <f>CFS!B17</f>
        <v>-3.11</v>
      </c>
      <c r="C13" s="1118" cm="1">
        <f t="array" ref="C13">IFERROR(_xll.FDS($B2,"FF_DFD_TAX(ANN_R,"&amp;'AAL-US IS-adj'!C5&amp;",,,,,B)"),0)</f>
        <v>0.05</v>
      </c>
      <c r="D13" s="1118" cm="1">
        <f t="array" ref="D13">IFERROR(_xll.FDS($B2,"FF_DFD_TAX(ANN_R,"&amp;'AAL-US IS-adj'!D5&amp;",,,,,B)"),0)</f>
        <v>-6.0999999999999999E-2</v>
      </c>
      <c r="E13" s="1118" cm="1">
        <f t="array" ref="E13">IFERROR(_xll.FDS($B2,"FF_DFD_TAX(ANN_R,"&amp;'AAL-US IS-adj'!E5&amp;",,,,,B)"),0)</f>
        <v>-0.26200000000000001</v>
      </c>
      <c r="F13" s="1118" cm="1">
        <f t="array" ref="F13">IFERROR(_xll.FDS($B2,"FF_DFD_TAX(ANN_R,"&amp;'AAL-US IS-adj'!F5&amp;",,,,,B)"),0)</f>
        <v>-0.40699999999999997</v>
      </c>
      <c r="G13" s="1118" cm="1">
        <f t="array" ref="G13">IFERROR(_xll.FDS($B2,"FF_DFD_TAX(ANN_R,"&amp;'AAL-US IS-adj'!G5&amp;",,,,,B)"),0)</f>
        <v>4.9000000000000002E-2</v>
      </c>
      <c r="H13" s="1118" cm="1">
        <f t="array" ref="H13">IFERROR(_xll.FDS($B2,"FF_DFD_TAX(ANN_R,"&amp;'AAL-US IS-adj'!H5&amp;",,,,,B)"),0)</f>
        <v>0</v>
      </c>
      <c r="I13" s="1118" cm="1">
        <f t="array" ref="I13">IFERROR(_xll.FDS($B2,"FF_DFD_TAX(ANN_R,"&amp;'AAL-US IS-adj'!I5&amp;",,,,,B)"),0)</f>
        <v>4.9000000000000002E-2</v>
      </c>
      <c r="J13" s="1118" cm="1">
        <f t="array" ref="J13">IFERROR(_xll.FDS($B2,"FF_DFD_TAX(ANN_R,"&amp;'AAL-US IS-adj'!J5&amp;",,,,,B)"),0)</f>
        <v>0</v>
      </c>
      <c r="K13" s="1118" cm="1">
        <f t="array" ref="K13">IFERROR(_xll.FDS($B2,"FF_DFD_TAX(ANN_R,"&amp;'AAL-US IS-adj'!K5&amp;",,,,,B)"),0)</f>
        <v>0</v>
      </c>
      <c r="L13" s="1118" cm="1">
        <f t="array" ref="L13">IFERROR(_xll.FDS($B2,"FF_DFD_TAX(ANN_R,"&amp;'AAL-US IS-adj'!L5&amp;",,,,,B)"),0)</f>
        <v>4.8000000000000001E-2</v>
      </c>
      <c r="M13" s="16"/>
    </row>
    <row r="14" spans="1:13">
      <c r="A14" s="347" t="str">
        <f>CFS!A18</f>
        <v>Other Funds</v>
      </c>
      <c r="B14" s="347" t="str">
        <f>CFS!B18</f>
        <v>-</v>
      </c>
      <c r="C14" s="1118" cm="1">
        <f t="array" ref="C14:L14">_xll.FDSRC("-",B2,"FF_NON_CASH('ANN','0','-9','YEARLY',RP,'LOCAL','B')")</f>
        <v>0.85899999999999999</v>
      </c>
      <c r="D14" s="1118">
        <v>1.456</v>
      </c>
      <c r="E14" s="347">
        <v>0.91100000000000003</v>
      </c>
      <c r="F14" s="347">
        <v>0.14199999999999999</v>
      </c>
      <c r="G14" s="347">
        <v>0.51200000000000001</v>
      </c>
      <c r="H14" s="347">
        <v>0.85599999999999998</v>
      </c>
      <c r="I14" s="347">
        <v>0.253</v>
      </c>
      <c r="J14" s="347">
        <v>0.11000003</v>
      </c>
      <c r="K14" s="347">
        <v>-0.38</v>
      </c>
      <c r="L14" s="347">
        <v>4.7E-2</v>
      </c>
      <c r="M14" s="16"/>
    </row>
    <row r="15" spans="1:13">
      <c r="A15" s="367" t="str">
        <f>CFS!A19</f>
        <v>Funds from Operations</v>
      </c>
      <c r="B15" s="367" t="str">
        <f>CFS!B19</f>
        <v>-</v>
      </c>
      <c r="C15" s="367">
        <f>SUM(C9:C14)</f>
        <v>-0.50248000000000004</v>
      </c>
      <c r="D15" s="367">
        <f t="shared" ref="D15:L15" si="0">SUM(D9:D14)</f>
        <v>4.7228000000000003</v>
      </c>
      <c r="E15" s="367">
        <f t="shared" si="0"/>
        <v>3.4703199999999996</v>
      </c>
      <c r="F15" s="367">
        <f t="shared" si="0"/>
        <v>3.9142053571477793</v>
      </c>
      <c r="G15" s="367">
        <f t="shared" si="0"/>
        <v>4.5350709904011772</v>
      </c>
      <c r="H15" s="367">
        <f t="shared" si="0"/>
        <v>4.6903794162248769</v>
      </c>
      <c r="I15" s="367">
        <f t="shared" si="0"/>
        <v>3.8870989824929718</v>
      </c>
      <c r="J15" s="367">
        <f t="shared" si="0"/>
        <v>2.7482979885022272</v>
      </c>
      <c r="K15" s="367">
        <f>SUM(K9:K14)</f>
        <v>2.3641274677758219</v>
      </c>
      <c r="L15" s="367">
        <f t="shared" si="0"/>
        <v>2.7876769686494156</v>
      </c>
      <c r="M15" s="16"/>
    </row>
    <row r="16" spans="1:13">
      <c r="A16" s="347" t="str">
        <f>CFS!A20</f>
        <v>Changes in Working Capital</v>
      </c>
      <c r="B16" s="347" t="str">
        <f>CFS!B20</f>
        <v>-</v>
      </c>
      <c r="C16" s="347">
        <f>IF(ISNUMBER(CFS!C20),CFS!C20,0)</f>
        <v>1.9490000000000001</v>
      </c>
      <c r="D16" s="347">
        <f>IF(ISNUMBER(CFS!D20),CFS!D20,0)</f>
        <v>0.52600000000000002</v>
      </c>
      <c r="E16" s="347">
        <f>IF(ISNUMBER(CFS!E20),CFS!E20,0)</f>
        <v>0.17599999999999999</v>
      </c>
      <c r="F16" s="347">
        <f>IF(ISNUMBER(CFS!F20),CFS!F20,0)</f>
        <v>0.57499999999999996</v>
      </c>
      <c r="G16" s="347">
        <f>IF(ISNUMBER(CFS!G20),CFS!G20,0)</f>
        <v>-6.3E-2</v>
      </c>
      <c r="H16" s="347">
        <f>IF(ISNUMBER(CFS!H20),CFS!H20,0)</f>
        <v>1.335</v>
      </c>
      <c r="I16" s="347">
        <f>IF(ISNUMBER(CFS!I20),CFS!I20,0)</f>
        <v>-0.61299999999999999</v>
      </c>
      <c r="J16" s="347">
        <f>IF(ISNUMBER(CFS!J20),CFS!J20,0)</f>
        <v>0.51300000000000001</v>
      </c>
      <c r="K16" s="347">
        <f>IF(ISNUMBER(CFS!K20),CFS!K20,0)</f>
        <v>0.14799999999999999</v>
      </c>
      <c r="L16" s="347">
        <f>IF(ISNUMBER(CFS!L20),CFS!L20,0)</f>
        <v>0.157</v>
      </c>
      <c r="M16" s="16"/>
    </row>
    <row r="17" spans="1:13" s="17" customFormat="1">
      <c r="A17" s="1096" t="str">
        <f>CFS!A21</f>
        <v>Net Operating Cash Flow</v>
      </c>
      <c r="B17" s="1096">
        <f>CFS!B21</f>
        <v>1.4219999999999999</v>
      </c>
      <c r="C17" s="1096" cm="1">
        <f t="array" ref="C17:L17">_xll.FDSRC("-",B2,"FF_WKCAP_CHG('ANN','0','-9','YEARLY',RP,'LOCAL','B')")</f>
        <v>-0.23599999999999999</v>
      </c>
      <c r="D17" s="1096">
        <v>0.56599999999999995</v>
      </c>
      <c r="E17" s="1096">
        <v>0.26700000000000002</v>
      </c>
      <c r="F17" s="1096">
        <v>0.34899999999999998</v>
      </c>
      <c r="G17" s="1096">
        <v>0.19400000000000001</v>
      </c>
      <c r="H17" s="1096">
        <v>0.191</v>
      </c>
      <c r="I17" s="1096">
        <v>0.04</v>
      </c>
      <c r="J17" s="1096">
        <v>3.3000000000000002E-2</v>
      </c>
      <c r="K17" s="1096">
        <v>0.22</v>
      </c>
      <c r="L17" s="1096">
        <v>0.06</v>
      </c>
      <c r="M17" s="18"/>
    </row>
    <row r="18" spans="1:13">
      <c r="A18" s="344" t="str">
        <f>CFS!A22</f>
        <v>Investing Activities</v>
      </c>
      <c r="B18" s="344"/>
      <c r="C18" s="344"/>
      <c r="D18" s="344"/>
      <c r="E18" s="344"/>
      <c r="F18" s="344"/>
      <c r="G18" s="344"/>
      <c r="H18" s="344"/>
      <c r="I18" s="344"/>
      <c r="J18" s="344"/>
      <c r="K18" s="344"/>
      <c r="L18" s="344"/>
      <c r="M18" s="16"/>
    </row>
    <row r="19" spans="1:13">
      <c r="A19" s="347" t="str">
        <f>CFS!A23</f>
        <v>Capital Expenditures</v>
      </c>
      <c r="B19" s="347">
        <f>CFS!B23</f>
        <v>-2.577</v>
      </c>
      <c r="C19" s="1118" cm="1">
        <f t="array" ref="C19">_xll.FDS($B2,"FF_CAPEX(ANN_R,"&amp;C5&amp;",,,,,B)")</f>
        <v>1.202</v>
      </c>
      <c r="D19" s="1118" cm="1">
        <f t="array" ref="D19">_xll.FDS($B2,"FF_CAPEX(ANN_R,"&amp;D5&amp;",,,,,B)")</f>
        <v>2.0249999999999999</v>
      </c>
      <c r="E19" s="1118" cm="1">
        <f t="array" ref="E19">_xll.FDS($B2,"FF_CAPEX(ANN_R,"&amp;E5&amp;",,,,,B)")</f>
        <v>2.4359999999999999</v>
      </c>
      <c r="F19" s="1118" cm="1">
        <f t="array" ref="F19">_xll.FDS($B2,"FF_CAPEX(ANN_R,"&amp;F5&amp;",,,,,B)")</f>
        <v>2.4220000000000002</v>
      </c>
      <c r="G19" s="1118" cm="1">
        <f t="array" ref="G19">_xll.FDS($B2,"FF_CAPEX(ANN_R,"&amp;G5&amp;",,,,,B)")</f>
        <v>2.9209999999999998</v>
      </c>
      <c r="H19" s="1118" cm="1">
        <f t="array" ref="H19">_xll.FDS($B2,"FF_CAPEX(ANN_R,"&amp;H5&amp;",,,,,B)")</f>
        <v>1.8149999999999999</v>
      </c>
      <c r="I19" s="1118" cm="1">
        <f t="array" ref="I19">_xll.FDS($B2,"FF_CAPEX(ANN_R,"&amp;I5&amp;",,,,,B)")</f>
        <v>1.5009999999999999</v>
      </c>
      <c r="J19" s="1118" cm="1">
        <f t="array" ref="J19">_xll.FDS($B2,"FF_CAPEX(ANN_R,"&amp;J5&amp;",,,,,B)")</f>
        <v>0.96199999999999997</v>
      </c>
      <c r="K19" s="1118" cm="1">
        <f t="array" ref="K19">_xll.FDS($B2,"FF_CAPEX(ANN_R,"&amp;K5&amp;",,,,,B)")</f>
        <v>0.44400000000000001</v>
      </c>
      <c r="L19" s="1118" cm="1">
        <f t="array" ref="L19">_xll.FDS($B2,"FF_CAPEX(ANN_R,"&amp;L5&amp;",,,,,B)")</f>
        <v>0.22</v>
      </c>
      <c r="M19" s="16"/>
    </row>
    <row r="20" spans="1:13">
      <c r="A20" s="373" t="s">
        <v>471</v>
      </c>
      <c r="B20" s="373"/>
      <c r="C20" s="373">
        <f>-('AC-CA R&amp;D'!C10)</f>
        <v>0</v>
      </c>
      <c r="D20" s="373">
        <f>-('AC-CA R&amp;D'!D10)</f>
        <v>0</v>
      </c>
      <c r="E20" s="373">
        <f>-('AC-CA R&amp;D'!E10)</f>
        <v>0</v>
      </c>
      <c r="F20" s="373">
        <f>-('AC-CA R&amp;D'!F10)</f>
        <v>0</v>
      </c>
      <c r="G20" s="373">
        <f>-('AC-CA R&amp;D'!G10)</f>
        <v>0</v>
      </c>
      <c r="H20" s="373">
        <f>-('AC-CA R&amp;D'!H10)</f>
        <v>0</v>
      </c>
      <c r="I20" s="373">
        <f>-('AC-CA R&amp;D'!I10)</f>
        <v>0</v>
      </c>
      <c r="J20" s="373">
        <f>-('AC-CA R&amp;D'!J10)</f>
        <v>0</v>
      </c>
      <c r="K20" s="373">
        <f>-('AC-CA R&amp;D'!K10)</f>
        <v>0</v>
      </c>
      <c r="L20" s="373">
        <f>-('AC-CA R&amp;D'!L10)</f>
        <v>0</v>
      </c>
      <c r="M20" s="16"/>
    </row>
    <row r="21" spans="1:13">
      <c r="A21" s="347" t="str">
        <f>CFS!A24</f>
        <v>Net Assets from Acquisitions</v>
      </c>
      <c r="B21" s="347">
        <f>CFS!B24</f>
        <v>0</v>
      </c>
      <c r="C21" s="347" cm="1">
        <f t="array" ref="C21:L21">_xll.FDSRC("-",B2,"-FF_ACQ_BUS_CF('ANN','0','-9','YEARLY',RP,'LOCAL','B')")</f>
        <v>0</v>
      </c>
      <c r="D21" s="347">
        <v>-0.51700000000000002</v>
      </c>
      <c r="E21" s="347" t="str">
        <v>-</v>
      </c>
      <c r="F21" s="347" t="str">
        <v>-</v>
      </c>
      <c r="G21" s="347" t="str">
        <v>-</v>
      </c>
      <c r="H21" s="347" t="str">
        <v>-</v>
      </c>
      <c r="I21" s="347" t="str">
        <v>-</v>
      </c>
      <c r="J21" s="347" t="str">
        <v>-</v>
      </c>
      <c r="K21" s="347" t="str">
        <v>-</v>
      </c>
      <c r="L21" s="347">
        <v>0</v>
      </c>
      <c r="M21" s="16"/>
    </row>
    <row r="22" spans="1:13" s="17" customFormat="1">
      <c r="A22" s="347" t="str">
        <f>CFS!A25</f>
        <v>Purchase/Sale of Investments</v>
      </c>
      <c r="B22" s="347">
        <f>CFS!B25</f>
        <v>0.61300000000000099</v>
      </c>
      <c r="C22" s="347" cm="1">
        <f t="array" ref="C22:L22">_xll.FDSRC("-",B2,"FF_INVEST_PURCH_SALE_CF('ANN','0','-9','YEARLY',RP,'LOCAL','B')")</f>
        <v>-6.3E-2</v>
      </c>
      <c r="D22" s="347">
        <v>-0.35199999999999998</v>
      </c>
      <c r="E22" s="347">
        <v>-0.84799999999999998</v>
      </c>
      <c r="F22" s="347">
        <v>-0.998</v>
      </c>
      <c r="G22" s="347">
        <v>-9.9000000000000005E-2</v>
      </c>
      <c r="H22" s="347">
        <v>-0.39800000000000002</v>
      </c>
      <c r="I22" s="347">
        <v>-0.1</v>
      </c>
      <c r="J22" s="347">
        <v>-0.21</v>
      </c>
      <c r="K22" s="347">
        <v>-2.1999999999999999E-2</v>
      </c>
      <c r="L22" s="347">
        <v>-0.14899999999999999</v>
      </c>
      <c r="M22" s="18"/>
    </row>
    <row r="23" spans="1:13">
      <c r="A23" s="347" t="str">
        <f>CFS!A26</f>
        <v>Other Funds</v>
      </c>
      <c r="B23" s="347">
        <f>CFS!B26</f>
        <v>0.498</v>
      </c>
      <c r="C23" s="347" cm="1">
        <f t="array" ref="C23:L23">_xll.FDSRC("-",$B$2,"SUMAV(FF_INVEST_USES_CF('ANN','0','-9','YEARLY',RP,'LOCAL','B'),FF_INVEST_SOURCES_CF('ANN','0','-9','YEARLY',RP,'LOCAL','B'))")</f>
        <v>3.5000000000000003E-2</v>
      </c>
      <c r="D23" s="347">
        <v>7.4999999999999997E-2</v>
      </c>
      <c r="E23" s="347">
        <v>4.7E-2</v>
      </c>
      <c r="F23" s="347">
        <v>-1.6E-2</v>
      </c>
      <c r="G23" s="347">
        <v>-8.9999999999999993E-3</v>
      </c>
      <c r="H23" s="347">
        <v>2E-3</v>
      </c>
      <c r="I23" s="347">
        <v>-3.0000000000000001E-3</v>
      </c>
      <c r="J23" s="347">
        <v>4.1000000000000002E-2</v>
      </c>
      <c r="K23" s="347">
        <v>3.2000000000000001E-2</v>
      </c>
      <c r="L23" s="347">
        <v>-3.6999999999999998E-2</v>
      </c>
      <c r="M23" s="16"/>
    </row>
    <row r="24" spans="1:13">
      <c r="A24" s="1096" t="str">
        <f>CFS!A27</f>
        <v>Net Investing Cash Flow</v>
      </c>
      <c r="B24" s="1096">
        <f>CFS!B27</f>
        <v>-1.466</v>
      </c>
      <c r="C24" s="1096">
        <f>SUM(C19:C23)</f>
        <v>1.1739999999999999</v>
      </c>
      <c r="D24" s="1096">
        <f t="shared" ref="D24:L24" si="1">SUM(D19:D23)</f>
        <v>1.2310000000000001</v>
      </c>
      <c r="E24" s="1096">
        <f t="shared" si="1"/>
        <v>1.635</v>
      </c>
      <c r="F24" s="1096">
        <f t="shared" si="1"/>
        <v>1.4080000000000001</v>
      </c>
      <c r="G24" s="1096">
        <f t="shared" si="1"/>
        <v>2.8129999999999997</v>
      </c>
      <c r="H24" s="1096">
        <f t="shared" si="1"/>
        <v>1.4189999999999998</v>
      </c>
      <c r="I24" s="1096">
        <f t="shared" si="1"/>
        <v>1.3979999999999999</v>
      </c>
      <c r="J24" s="1096">
        <f t="shared" si="1"/>
        <v>0.79300000000000004</v>
      </c>
      <c r="K24" s="1096">
        <f t="shared" si="1"/>
        <v>0.45399999999999996</v>
      </c>
      <c r="L24" s="1096">
        <f t="shared" si="1"/>
        <v>3.4000000000000009E-2</v>
      </c>
      <c r="M24" s="16"/>
    </row>
    <row r="25" spans="1:13">
      <c r="A25" s="344" t="str">
        <f>CFS!A28</f>
        <v>Financing Activities</v>
      </c>
      <c r="B25" s="344">
        <f>CFS!B28</f>
        <v>0</v>
      </c>
      <c r="C25" s="344"/>
      <c r="D25" s="344"/>
      <c r="E25" s="344"/>
      <c r="F25" s="344"/>
      <c r="G25" s="344"/>
      <c r="H25" s="344"/>
      <c r="I25" s="344"/>
      <c r="J25" s="344"/>
      <c r="K25" s="344"/>
      <c r="L25" s="344"/>
      <c r="M25" s="16"/>
    </row>
    <row r="26" spans="1:13">
      <c r="A26" s="347" t="str">
        <f>CFS!A29</f>
        <v>Cash Dividends Paid</v>
      </c>
      <c r="B26" s="347">
        <f>CFS!B29</f>
        <v>0</v>
      </c>
      <c r="C26" s="347" cm="1">
        <f t="array" ref="C26:L26">_xll.FDSRC("-",$B2,"-FF_DIV_CF('ANN','0','-9','YEARLY',RP,'LOCAL','B')")</f>
        <v>0</v>
      </c>
      <c r="D26" s="347">
        <v>0</v>
      </c>
      <c r="E26" s="347">
        <v>0</v>
      </c>
      <c r="F26" s="347">
        <v>0</v>
      </c>
      <c r="G26" s="347">
        <v>0</v>
      </c>
      <c r="H26" s="347">
        <v>0</v>
      </c>
      <c r="I26" s="347">
        <v>0</v>
      </c>
      <c r="J26" s="347">
        <v>0</v>
      </c>
      <c r="K26" s="347">
        <v>0</v>
      </c>
      <c r="L26" s="347">
        <v>0</v>
      </c>
      <c r="M26" s="16"/>
    </row>
    <row r="27" spans="1:13">
      <c r="A27" s="347" t="str">
        <f>CFS!A30</f>
        <v>Change in Capital Stock</v>
      </c>
      <c r="B27" s="347">
        <f>CFS!B30</f>
        <v>0</v>
      </c>
      <c r="C27" s="347" cm="1">
        <f t="array" ref="C27:L27">_xll.FDSRC("-",$B$2,"FF_STK_CHG_CF('ANN','0','-9','YEARLY',RP,'LOCAL','B')")</f>
        <v>1.2370000000000001</v>
      </c>
      <c r="D27" s="347">
        <v>-0.36399999999999999</v>
      </c>
      <c r="E27" s="347">
        <v>-6.8000000000000005E-2</v>
      </c>
      <c r="F27" s="347">
        <v>-6.2E-2</v>
      </c>
      <c r="G27" s="347">
        <v>-9.1999999999999998E-2</v>
      </c>
      <c r="H27" s="347">
        <v>-5.8999999999999997E-2</v>
      </c>
      <c r="I27" s="347">
        <v>1E-3</v>
      </c>
      <c r="J27" s="347">
        <v>1.4E-2</v>
      </c>
      <c r="K27" s="347">
        <v>-5.0000000000000001E-3</v>
      </c>
      <c r="L27" s="347">
        <v>0</v>
      </c>
      <c r="M27" s="16"/>
    </row>
    <row r="28" spans="1:13">
      <c r="A28" s="347" t="str">
        <f>CFS!A31</f>
        <v>Issuance/Reduction of Debt, Net</v>
      </c>
      <c r="B28" s="347">
        <f>CFS!B31</f>
        <v>-8.7149999999999999</v>
      </c>
      <c r="C28" s="347" cm="1">
        <f t="array" ref="C28:L28">_xll.FDSRC("-",$B$2,"FF_DEBT_CF('ANN','0','-9','YEARLY',RP,'LOCAL','B')")</f>
        <v>4.1280000000000001</v>
      </c>
      <c r="D28" s="347">
        <v>-0.433</v>
      </c>
      <c r="E28" s="347">
        <v>2.8000000000000001E-2</v>
      </c>
      <c r="F28" s="347">
        <v>-0.107</v>
      </c>
      <c r="G28" s="347">
        <v>0.26100000000000001</v>
      </c>
      <c r="H28" s="347">
        <v>0.17899999999999999</v>
      </c>
      <c r="I28" s="347">
        <v>0.501</v>
      </c>
      <c r="J28" s="347">
        <v>0.32700000000000001</v>
      </c>
      <c r="K28" s="347">
        <v>-0.316</v>
      </c>
      <c r="L28" s="347">
        <v>-0.376</v>
      </c>
      <c r="M28" s="16"/>
    </row>
    <row r="29" spans="1:13">
      <c r="A29" s="347" t="s">
        <v>473</v>
      </c>
      <c r="B29" s="347"/>
      <c r="C29" s="347" cm="1">
        <f t="array" ref="C29:L29">_xll.FDSRC("-",$B2,"FF_FIN_ACTIV_OTH_CF('ANN','0','-9','YEARLY',RP,'LOCAL','B')")</f>
        <v>0</v>
      </c>
      <c r="D29" s="347">
        <v>0</v>
      </c>
      <c r="E29" s="347">
        <v>0</v>
      </c>
      <c r="F29" s="347">
        <v>0</v>
      </c>
      <c r="G29" s="347">
        <v>-3.2000000000000001E-2</v>
      </c>
      <c r="H29" s="347">
        <v>-5.0999999999999997E-2</v>
      </c>
      <c r="I29" s="347">
        <v>0</v>
      </c>
      <c r="J29" s="347">
        <v>-1.4999999999999999E-2</v>
      </c>
      <c r="K29" s="347">
        <v>-1.6E-2</v>
      </c>
      <c r="L29" s="347">
        <v>-5.1999999999999998E-2</v>
      </c>
      <c r="M29" s="16"/>
    </row>
    <row r="30" spans="1:13">
      <c r="A30" s="373" t="str">
        <f>CFS!A32&amp;" incl. required funding for R&amp;D"</f>
        <v>Other Funds incl. required funding for R&amp;D</v>
      </c>
      <c r="B30" s="373">
        <f>CFS!B32</f>
        <v>7.2999999999999995E-2</v>
      </c>
      <c r="C30" s="373">
        <f>C29-(C17+C24+SUM(C26:C28,C29)-C33)</f>
        <v>2.2000000000000242E-2</v>
      </c>
      <c r="D30" s="373">
        <f t="shared" ref="D30:L30" si="2">D29-(D17+D24+SUM(D26:D28,D29)-D33)</f>
        <v>-1.8000000000000238E-2</v>
      </c>
      <c r="E30" s="373">
        <f t="shared" si="2"/>
        <v>-0.96700000000000008</v>
      </c>
      <c r="F30" s="373">
        <f t="shared" si="2"/>
        <v>-2.536</v>
      </c>
      <c r="G30" s="373">
        <f t="shared" si="2"/>
        <v>-2.3749999999999996</v>
      </c>
      <c r="H30" s="373">
        <f t="shared" si="2"/>
        <v>-1.8529999999999998</v>
      </c>
      <c r="I30" s="373">
        <f t="shared" si="2"/>
        <v>-2.758</v>
      </c>
      <c r="J30" s="373">
        <f t="shared" si="2"/>
        <v>-0.97000000000000008</v>
      </c>
      <c r="K30" s="373">
        <f t="shared" si="2"/>
        <v>-0.59399999999999986</v>
      </c>
      <c r="L30" s="373">
        <f t="shared" si="2"/>
        <v>4.6999999999999979E-2</v>
      </c>
      <c r="M30" s="16"/>
    </row>
    <row r="31" spans="1:13">
      <c r="A31" s="1096" t="str">
        <f>CFS!A33</f>
        <v>Net Financing Cash Flow</v>
      </c>
      <c r="B31" s="1096">
        <f>CFS!B33</f>
        <v>-8.6419999999999995</v>
      </c>
      <c r="C31" s="1096">
        <f>SUM(C26:C28,C30)</f>
        <v>5.3870000000000005</v>
      </c>
      <c r="D31" s="1096">
        <f t="shared" ref="D31:L31" si="3">SUM(D26:D28,D30)</f>
        <v>-0.81500000000000017</v>
      </c>
      <c r="E31" s="1096">
        <f t="shared" si="3"/>
        <v>-1.0070000000000001</v>
      </c>
      <c r="F31" s="1096">
        <f t="shared" si="3"/>
        <v>-2.7050000000000001</v>
      </c>
      <c r="G31" s="1096">
        <f t="shared" si="3"/>
        <v>-2.2059999999999995</v>
      </c>
      <c r="H31" s="1096">
        <f t="shared" si="3"/>
        <v>-1.7329999999999997</v>
      </c>
      <c r="I31" s="1096">
        <f t="shared" si="3"/>
        <v>-2.2560000000000002</v>
      </c>
      <c r="J31" s="1096">
        <f t="shared" si="3"/>
        <v>-0.629</v>
      </c>
      <c r="K31" s="1096">
        <f t="shared" si="3"/>
        <v>-0.91499999999999981</v>
      </c>
      <c r="L31" s="1096">
        <f t="shared" si="3"/>
        <v>-0.32900000000000001</v>
      </c>
      <c r="M31" s="16"/>
    </row>
    <row r="32" spans="1:13">
      <c r="A32" s="347"/>
      <c r="B32" s="347"/>
      <c r="C32" s="347"/>
      <c r="D32" s="347"/>
      <c r="E32" s="347"/>
      <c r="F32" s="347"/>
      <c r="G32" s="347"/>
      <c r="H32" s="347"/>
      <c r="I32" s="347"/>
      <c r="J32" s="347"/>
      <c r="K32" s="347"/>
      <c r="L32" s="347"/>
      <c r="M32" s="16"/>
    </row>
    <row r="33" spans="1:13">
      <c r="A33" s="344" t="str">
        <f>CFS!A35</f>
        <v>Net Change in Cash</v>
      </c>
      <c r="B33" s="344">
        <f>CFS!B35</f>
        <v>-8.6859999999999999</v>
      </c>
      <c r="C33" s="344">
        <f>CFS!C35</f>
        <v>6.3250000000000002</v>
      </c>
      <c r="D33" s="344">
        <f>CFS!D35</f>
        <v>0.98199999999999998</v>
      </c>
      <c r="E33" s="344">
        <f>CFS!E35</f>
        <v>0.89500000000000002</v>
      </c>
      <c r="F33" s="344">
        <f>CFS!F35</f>
        <v>-0.94799999999999995</v>
      </c>
      <c r="G33" s="344">
        <f>CFS!G35</f>
        <v>0.80100000000000005</v>
      </c>
      <c r="H33" s="344">
        <f>CFS!H35</f>
        <v>-0.123</v>
      </c>
      <c r="I33" s="344">
        <f>CFS!I35</f>
        <v>-0.81799999999999995</v>
      </c>
      <c r="J33" s="344">
        <f>CFS!J35</f>
        <v>0.19700000000000001</v>
      </c>
      <c r="K33" s="344">
        <f>CFS!K35</f>
        <v>-0.24099999999999999</v>
      </c>
      <c r="L33" s="344">
        <f>CFS!L35</f>
        <v>-0.23499999999999999</v>
      </c>
      <c r="M33" s="16"/>
    </row>
    <row r="34" spans="1:13">
      <c r="A34" s="377" t="s">
        <v>472</v>
      </c>
      <c r="B34" s="327"/>
      <c r="C34" s="327">
        <f>C17+C24+C31-C33</f>
        <v>0</v>
      </c>
      <c r="D34" s="327">
        <f t="shared" ref="D34:K34" si="4">D17+D24+D31-D33</f>
        <v>0</v>
      </c>
      <c r="E34" s="327">
        <f t="shared" si="4"/>
        <v>0</v>
      </c>
      <c r="F34" s="327">
        <f t="shared" si="4"/>
        <v>0</v>
      </c>
      <c r="G34" s="327">
        <f t="shared" si="4"/>
        <v>0</v>
      </c>
      <c r="H34" s="327">
        <f t="shared" si="4"/>
        <v>2.2204460492503131E-16</v>
      </c>
      <c r="I34" s="327">
        <f t="shared" si="4"/>
        <v>0</v>
      </c>
      <c r="J34" s="327">
        <f t="shared" si="4"/>
        <v>0</v>
      </c>
      <c r="K34" s="327">
        <f t="shared" si="4"/>
        <v>0</v>
      </c>
      <c r="L34" s="327">
        <f>L17+L24+L31-L33</f>
        <v>0</v>
      </c>
      <c r="M34" s="16"/>
    </row>
    <row r="35" spans="1:13">
      <c r="A35" s="377"/>
      <c r="B35" s="327"/>
      <c r="C35" s="327"/>
      <c r="D35" s="327"/>
      <c r="E35" s="327"/>
      <c r="F35" s="327"/>
      <c r="G35" s="327"/>
      <c r="H35" s="327"/>
      <c r="I35" s="327"/>
      <c r="J35" s="327"/>
      <c r="K35" s="327"/>
      <c r="L35" s="327"/>
      <c r="M35" s="16"/>
    </row>
    <row r="36" spans="1:13">
      <c r="A36" s="377"/>
      <c r="B36" s="327"/>
      <c r="C36" s="327"/>
      <c r="D36" s="327"/>
      <c r="E36" s="327"/>
      <c r="F36" s="327"/>
      <c r="G36" s="327"/>
      <c r="H36" s="327"/>
      <c r="I36" s="327"/>
      <c r="J36" s="327"/>
      <c r="K36" s="327"/>
      <c r="L36" s="327"/>
      <c r="M36" s="16"/>
    </row>
    <row r="37" spans="1:13">
      <c r="A37" s="377"/>
      <c r="B37" s="327"/>
      <c r="C37" s="327">
        <f>C29-(C17+C24+SUM(C26:C28,C29)-C33)</f>
        <v>2.2000000000000242E-2</v>
      </c>
      <c r="D37" s="327">
        <f t="shared" ref="D37:L37" si="5">D29-(D17+D24+SUM(D26:D28,D29)-D33)</f>
        <v>-1.8000000000000238E-2</v>
      </c>
      <c r="E37" s="327">
        <f t="shared" si="5"/>
        <v>-0.96700000000000008</v>
      </c>
      <c r="F37" s="327">
        <f t="shared" si="5"/>
        <v>-2.536</v>
      </c>
      <c r="G37" s="327">
        <f t="shared" si="5"/>
        <v>-2.3749999999999996</v>
      </c>
      <c r="H37" s="327">
        <f t="shared" si="5"/>
        <v>-1.8529999999999998</v>
      </c>
      <c r="I37" s="327">
        <f t="shared" si="5"/>
        <v>-2.758</v>
      </c>
      <c r="J37" s="327">
        <f t="shared" si="5"/>
        <v>-0.97000000000000008</v>
      </c>
      <c r="K37" s="327">
        <f t="shared" si="5"/>
        <v>-0.59399999999999986</v>
      </c>
      <c r="L37" s="327">
        <f t="shared" si="5"/>
        <v>4.6999999999999979E-2</v>
      </c>
      <c r="M37" s="16"/>
    </row>
    <row r="38" spans="1:13">
      <c r="A38" s="255"/>
      <c r="B38" s="327"/>
      <c r="C38" s="327"/>
      <c r="D38" s="327"/>
      <c r="E38" s="327"/>
      <c r="F38" s="327"/>
      <c r="G38" s="327"/>
      <c r="H38" s="327"/>
      <c r="I38" s="327"/>
      <c r="J38" s="327"/>
      <c r="K38" s="327"/>
      <c r="L38" s="327"/>
      <c r="M38" s="16"/>
    </row>
    <row r="39" spans="1:13">
      <c r="A39" s="259"/>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5"/>
      <c r="B44" s="327"/>
      <c r="C44" s="327"/>
      <c r="D44" s="327"/>
      <c r="E44" s="327"/>
      <c r="F44" s="327"/>
      <c r="G44" s="327"/>
      <c r="H44" s="327"/>
      <c r="I44" s="327"/>
      <c r="J44" s="327"/>
      <c r="K44" s="327"/>
      <c r="L44" s="327"/>
      <c r="M44" s="16"/>
    </row>
    <row r="45" spans="1:13">
      <c r="A45" s="255"/>
      <c r="B45" s="327"/>
      <c r="C45" s="327"/>
      <c r="D45" s="327"/>
      <c r="E45" s="327"/>
      <c r="F45" s="327"/>
      <c r="G45" s="327"/>
      <c r="H45" s="327"/>
      <c r="I45" s="327"/>
      <c r="J45" s="327"/>
      <c r="K45" s="327"/>
      <c r="L45" s="327"/>
      <c r="M45" s="16"/>
    </row>
    <row r="46" spans="1:13">
      <c r="A46" s="259"/>
      <c r="B46" s="327"/>
      <c r="C46" s="327"/>
      <c r="D46" s="327"/>
      <c r="E46" s="327"/>
      <c r="F46" s="327"/>
      <c r="G46" s="327"/>
      <c r="H46" s="327"/>
      <c r="I46" s="327"/>
      <c r="J46" s="327"/>
      <c r="K46" s="327"/>
      <c r="L46" s="327"/>
      <c r="M46" s="16"/>
    </row>
    <row r="47" spans="1:13">
      <c r="A47" s="259"/>
      <c r="B47" s="327"/>
      <c r="C47" s="327"/>
      <c r="D47" s="327"/>
      <c r="E47" s="327"/>
      <c r="F47" s="327"/>
      <c r="G47" s="327"/>
      <c r="H47" s="327"/>
      <c r="I47" s="327"/>
      <c r="J47" s="327"/>
      <c r="K47" s="327"/>
      <c r="L47" s="327"/>
      <c r="M47" s="16"/>
    </row>
    <row r="48" spans="1:13">
      <c r="A48" s="259"/>
      <c r="B48" s="327"/>
      <c r="C48" s="327"/>
      <c r="D48" s="327"/>
      <c r="E48" s="327"/>
      <c r="F48" s="327"/>
      <c r="G48" s="327"/>
      <c r="H48" s="327"/>
      <c r="I48" s="327"/>
      <c r="J48" s="327"/>
      <c r="K48" s="327"/>
      <c r="L48" s="327"/>
      <c r="M48" s="16"/>
    </row>
    <row r="49" spans="1:13">
      <c r="A49" s="259"/>
      <c r="B49" s="327"/>
      <c r="C49" s="327"/>
      <c r="D49" s="327"/>
      <c r="E49" s="327"/>
      <c r="F49" s="327"/>
      <c r="G49" s="327"/>
      <c r="H49" s="327"/>
      <c r="I49" s="327"/>
      <c r="J49" s="327"/>
      <c r="K49" s="327"/>
      <c r="L49" s="327"/>
      <c r="M49" s="16"/>
    </row>
    <row r="50" spans="1:13">
      <c r="A50" s="259"/>
      <c r="B50" s="327"/>
      <c r="C50" s="327"/>
      <c r="D50" s="327"/>
      <c r="E50" s="327"/>
      <c r="F50" s="327"/>
      <c r="G50" s="327"/>
      <c r="H50" s="327"/>
      <c r="I50" s="327"/>
      <c r="J50" s="327"/>
      <c r="K50" s="327"/>
      <c r="L50" s="327"/>
      <c r="M50" s="16"/>
    </row>
    <row r="51" spans="1:13">
      <c r="A51" s="259"/>
      <c r="B51" s="327"/>
      <c r="C51" s="327"/>
      <c r="D51" s="327"/>
      <c r="E51" s="327"/>
      <c r="F51" s="327"/>
      <c r="G51" s="327"/>
      <c r="H51" s="327"/>
      <c r="I51" s="327"/>
      <c r="J51" s="327"/>
      <c r="K51" s="327"/>
      <c r="L51" s="327"/>
      <c r="M51" s="16"/>
    </row>
    <row r="52" spans="1:13">
      <c r="A52" s="252"/>
      <c r="B52" s="327"/>
      <c r="C52" s="327"/>
      <c r="D52" s="327"/>
      <c r="E52" s="327"/>
      <c r="F52" s="327"/>
      <c r="G52" s="327"/>
      <c r="H52" s="327"/>
      <c r="I52" s="327"/>
      <c r="J52" s="327"/>
      <c r="K52" s="327"/>
      <c r="L52" s="327"/>
      <c r="M52" s="16"/>
    </row>
    <row r="54" spans="1:13" s="3" customFormat="1">
      <c r="A54" s="327"/>
      <c r="M54"/>
    </row>
    <row r="55" spans="1:13" s="3" customFormat="1">
      <c r="A55" s="327"/>
      <c r="M55"/>
    </row>
    <row r="56" spans="1:13" s="3" customFormat="1">
      <c r="A56" s="327"/>
      <c r="M56"/>
    </row>
    <row r="57" spans="1:13" s="3" customFormat="1">
      <c r="A57" s="327"/>
      <c r="M57"/>
    </row>
    <row r="58" spans="1:13" s="3" customFormat="1">
      <c r="A58" s="327"/>
      <c r="M58"/>
    </row>
    <row r="59" spans="1:13" s="3" customFormat="1">
      <c r="A59" s="327"/>
      <c r="M59"/>
    </row>
    <row r="60" spans="1:13" s="3" customFormat="1">
      <c r="A60" s="327"/>
      <c r="M60"/>
    </row>
    <row r="61" spans="1:13" s="3" customFormat="1">
      <c r="A61" s="327"/>
      <c r="M61"/>
    </row>
    <row r="62" spans="1:13" s="3" customFormat="1">
      <c r="A62" s="327"/>
      <c r="M62"/>
    </row>
    <row r="63" spans="1:13" s="3" customFormat="1">
      <c r="A63" s="327"/>
      <c r="M63"/>
    </row>
    <row r="64" spans="1:13" s="3" customFormat="1">
      <c r="A64" s="327"/>
      <c r="M64"/>
    </row>
    <row r="65" spans="1:13" s="3" customFormat="1">
      <c r="A65" s="327"/>
      <c r="M65"/>
    </row>
    <row r="66" spans="1:13" s="3" customFormat="1">
      <c r="A66" s="327"/>
      <c r="M66"/>
    </row>
    <row r="67" spans="1:13" s="3" customFormat="1">
      <c r="A67" s="327"/>
      <c r="M67"/>
    </row>
    <row r="68" spans="1:13" s="3" customFormat="1">
      <c r="A68" s="327"/>
      <c r="M68"/>
    </row>
    <row r="69" spans="1:13" s="3" customFormat="1">
      <c r="A69" s="327"/>
      <c r="M69"/>
    </row>
    <row r="70" spans="1:13" s="3" customFormat="1">
      <c r="A70" s="327"/>
      <c r="M70"/>
    </row>
    <row r="71" spans="1:13" s="3" customFormat="1">
      <c r="A71" s="327"/>
      <c r="M71"/>
    </row>
    <row r="72" spans="1:13" s="3" customFormat="1">
      <c r="A72" s="327"/>
      <c r="M72"/>
    </row>
    <row r="73" spans="1:13" s="3" customFormat="1">
      <c r="A73" s="327"/>
      <c r="M73"/>
    </row>
    <row r="74" spans="1:13" s="3" customFormat="1">
      <c r="A74" s="327"/>
      <c r="M74"/>
    </row>
    <row r="75" spans="1:13" s="3" customFormat="1">
      <c r="A75" s="327"/>
      <c r="M75"/>
    </row>
    <row r="76" spans="1:13" s="3" customFormat="1">
      <c r="A76" s="327"/>
      <c r="M76"/>
    </row>
    <row r="77" spans="1:13" s="3" customFormat="1">
      <c r="A77" s="327"/>
      <c r="M77"/>
    </row>
    <row r="78" spans="1:13" s="3" customFormat="1">
      <c r="A78" s="327"/>
      <c r="M78"/>
    </row>
    <row r="79" spans="1:13" s="3" customFormat="1">
      <c r="A79" s="327"/>
      <c r="M79"/>
    </row>
    <row r="80" spans="1:13" s="3" customFormat="1">
      <c r="A80" s="327"/>
      <c r="M80"/>
    </row>
    <row r="81" spans="1:13" s="3" customFormat="1">
      <c r="A81" s="327"/>
      <c r="M81"/>
    </row>
    <row r="82" spans="1:13" s="3" customFormat="1">
      <c r="A82" s="327"/>
      <c r="M82"/>
    </row>
    <row r="83" spans="1:13" s="3" customFormat="1">
      <c r="A83" s="327"/>
      <c r="M83"/>
    </row>
    <row r="84" spans="1:13" s="3" customFormat="1">
      <c r="A84" s="327"/>
      <c r="M84"/>
    </row>
    <row r="85" spans="1:13" s="3" customFormat="1">
      <c r="A85" s="327"/>
      <c r="M85"/>
    </row>
    <row r="86" spans="1:13" s="3" customFormat="1">
      <c r="A86" s="327"/>
      <c r="M86"/>
    </row>
    <row r="87" spans="1:13" s="3" customFormat="1">
      <c r="A87" s="327"/>
      <c r="M87"/>
    </row>
    <row r="88" spans="1:13" s="3" customFormat="1">
      <c r="A88" s="327"/>
      <c r="M88"/>
    </row>
    <row r="89" spans="1:13" s="3" customFormat="1">
      <c r="A89" s="327"/>
      <c r="M89"/>
    </row>
    <row r="90" spans="1:13" s="3" customFormat="1">
      <c r="A90" s="327"/>
      <c r="M90"/>
    </row>
    <row r="91" spans="1:13" s="3" customFormat="1">
      <c r="A91" s="327"/>
      <c r="M91"/>
    </row>
    <row r="92" spans="1:13" s="3" customFormat="1">
      <c r="A92" s="327"/>
      <c r="M92"/>
    </row>
    <row r="93" spans="1:13" s="3" customFormat="1">
      <c r="A93" s="327"/>
      <c r="M93"/>
    </row>
    <row r="94" spans="1:13" s="3" customFormat="1">
      <c r="A94" s="327"/>
      <c r="M94"/>
    </row>
    <row r="95" spans="1:13" s="3" customFormat="1">
      <c r="A95" s="327"/>
      <c r="M95"/>
    </row>
    <row r="96" spans="1:13" s="3" customFormat="1">
      <c r="A96" s="327"/>
      <c r="M96"/>
    </row>
    <row r="97" spans="1:13" s="3" customFormat="1">
      <c r="A97" s="327"/>
      <c r="M97"/>
    </row>
    <row r="98" spans="1:13" s="3" customFormat="1">
      <c r="A98" s="327"/>
      <c r="M98"/>
    </row>
    <row r="99" spans="1:13" s="3" customFormat="1">
      <c r="A99" s="327"/>
      <c r="M99"/>
    </row>
    <row r="100" spans="1:13" s="3" customFormat="1">
      <c r="A100" s="327"/>
      <c r="M100"/>
    </row>
    <row r="101" spans="1:13" s="3" customFormat="1">
      <c r="A101" s="327"/>
      <c r="M101"/>
    </row>
    <row r="102" spans="1:13" s="3" customFormat="1">
      <c r="A102" s="327"/>
      <c r="M102"/>
    </row>
    <row r="103" spans="1:13" s="3" customFormat="1">
      <c r="A103" s="327"/>
      <c r="M103"/>
    </row>
    <row r="104" spans="1:13" s="3" customFormat="1">
      <c r="A104" s="327"/>
      <c r="M104"/>
    </row>
    <row r="105" spans="1:13" s="3" customFormat="1">
      <c r="A105" s="327"/>
      <c r="M105"/>
    </row>
    <row r="106" spans="1:13" s="3" customFormat="1">
      <c r="A106" s="327"/>
      <c r="M106"/>
    </row>
    <row r="107" spans="1:13" s="3" customFormat="1">
      <c r="A107" s="327"/>
      <c r="M107"/>
    </row>
    <row r="108" spans="1:13" s="3" customFormat="1">
      <c r="A108" s="327"/>
      <c r="M108"/>
    </row>
    <row r="109" spans="1:13" s="3" customFormat="1">
      <c r="A109" s="327"/>
      <c r="M109"/>
    </row>
    <row r="110" spans="1:13" s="3" customFormat="1">
      <c r="A110" s="327"/>
      <c r="M110"/>
    </row>
    <row r="111" spans="1:13" s="3" customFormat="1">
      <c r="A111" s="327"/>
      <c r="M111"/>
    </row>
    <row r="112" spans="1:13" s="3" customFormat="1">
      <c r="A112" s="327"/>
      <c r="M112"/>
    </row>
    <row r="113" spans="1:13" s="3" customFormat="1">
      <c r="A113" s="327"/>
      <c r="M113"/>
    </row>
    <row r="114" spans="1:13" s="3" customFormat="1">
      <c r="A114" s="327"/>
      <c r="M114"/>
    </row>
    <row r="115" spans="1:13" s="3" customFormat="1">
      <c r="A115" s="327"/>
      <c r="M115"/>
    </row>
    <row r="116" spans="1:13" s="3" customFormat="1">
      <c r="A116" s="327"/>
      <c r="M116"/>
    </row>
    <row r="117" spans="1:13" s="3" customFormat="1">
      <c r="A117" s="327"/>
      <c r="M117"/>
    </row>
    <row r="118" spans="1:13" s="3" customFormat="1">
      <c r="A118" s="327"/>
      <c r="M118"/>
    </row>
    <row r="119" spans="1:13" s="3" customFormat="1">
      <c r="A119" s="327"/>
      <c r="M119"/>
    </row>
    <row r="120" spans="1:13" s="3" customFormat="1">
      <c r="A120" s="327"/>
      <c r="M120"/>
    </row>
    <row r="121" spans="1:13" s="3" customFormat="1">
      <c r="A121" s="327"/>
      <c r="M121"/>
    </row>
    <row r="122" spans="1:13" s="3" customFormat="1">
      <c r="A122" s="327"/>
      <c r="M122"/>
    </row>
    <row r="123" spans="1:13" s="3" customFormat="1">
      <c r="A123" s="327"/>
      <c r="M123"/>
    </row>
    <row r="124" spans="1:13" s="3" customFormat="1">
      <c r="A124" s="327"/>
      <c r="M124"/>
    </row>
    <row r="125" spans="1:13" s="3" customFormat="1">
      <c r="A125" s="327"/>
      <c r="M125"/>
    </row>
    <row r="126" spans="1:13" s="3" customFormat="1">
      <c r="A126" s="327"/>
      <c r="M126"/>
    </row>
    <row r="127" spans="1:13" s="3" customFormat="1">
      <c r="A127" s="327"/>
      <c r="M127"/>
    </row>
    <row r="128" spans="1:13" s="3" customFormat="1">
      <c r="A128" s="327"/>
      <c r="M128"/>
    </row>
    <row r="129" spans="1:13" s="3" customFormat="1">
      <c r="A129" s="327"/>
      <c r="M129"/>
    </row>
    <row r="130" spans="1:13" s="3" customFormat="1">
      <c r="A130" s="327"/>
      <c r="M130"/>
    </row>
    <row r="131" spans="1:13" s="3" customFormat="1">
      <c r="A131" s="327"/>
      <c r="M131"/>
    </row>
    <row r="132" spans="1:13" s="3" customFormat="1">
      <c r="A132" s="327"/>
      <c r="M132"/>
    </row>
    <row r="133" spans="1:13" s="3" customFormat="1">
      <c r="A133" s="327"/>
      <c r="M133"/>
    </row>
    <row r="134" spans="1:13" s="3" customFormat="1">
      <c r="A134" s="327"/>
      <c r="M134"/>
    </row>
    <row r="135" spans="1:13" s="3" customFormat="1">
      <c r="A135" s="327"/>
      <c r="M135"/>
    </row>
    <row r="136" spans="1:13" s="3" customFormat="1">
      <c r="A136" s="327"/>
      <c r="M136"/>
    </row>
    <row r="137" spans="1:13" s="3" customFormat="1">
      <c r="A137" s="327"/>
      <c r="M137"/>
    </row>
    <row r="138" spans="1:13" s="3" customFormat="1">
      <c r="A138" s="327"/>
      <c r="M138"/>
    </row>
    <row r="139" spans="1:13" s="3" customFormat="1">
      <c r="A139" s="327"/>
      <c r="M139"/>
    </row>
    <row r="140" spans="1:13" s="3" customFormat="1">
      <c r="A140" s="327"/>
      <c r="M140"/>
    </row>
    <row r="141" spans="1:13" s="3" customFormat="1">
      <c r="A141" s="327"/>
      <c r="M141"/>
    </row>
    <row r="142" spans="1:13" s="3" customFormat="1">
      <c r="A142" s="327"/>
      <c r="M142"/>
    </row>
    <row r="143" spans="1:13" s="3" customFormat="1">
      <c r="A143" s="327"/>
      <c r="M143"/>
    </row>
    <row r="144" spans="1:13" s="3" customFormat="1">
      <c r="A144" s="327"/>
      <c r="M144"/>
    </row>
    <row r="145" spans="1:13" s="3" customFormat="1">
      <c r="A145" s="327"/>
      <c r="M145"/>
    </row>
    <row r="146" spans="1:13" s="3" customFormat="1">
      <c r="A146" s="327"/>
      <c r="M146"/>
    </row>
    <row r="147" spans="1:13" s="3" customFormat="1">
      <c r="A147" s="327"/>
      <c r="M147"/>
    </row>
    <row r="148" spans="1:13" s="3" customFormat="1">
      <c r="A148" s="327"/>
      <c r="M148"/>
    </row>
    <row r="149" spans="1:13" s="3" customFormat="1">
      <c r="A149" s="327"/>
      <c r="M149"/>
    </row>
    <row r="150" spans="1:13" s="3" customFormat="1">
      <c r="A150" s="327"/>
      <c r="M150"/>
    </row>
    <row r="151" spans="1:13" s="3" customFormat="1">
      <c r="A151" s="327"/>
      <c r="M151"/>
    </row>
    <row r="152" spans="1:13" s="3" customFormat="1">
      <c r="A152" s="327"/>
      <c r="M152"/>
    </row>
    <row r="153" spans="1:13" s="3" customFormat="1">
      <c r="A153" s="327"/>
      <c r="M153"/>
    </row>
    <row r="154" spans="1:13" s="3" customFormat="1">
      <c r="A154" s="327"/>
      <c r="M154"/>
    </row>
    <row r="155" spans="1:13" s="3" customFormat="1">
      <c r="A155" s="327"/>
      <c r="M155"/>
    </row>
    <row r="156" spans="1:13" s="3" customFormat="1">
      <c r="A156" s="327"/>
      <c r="M156"/>
    </row>
    <row r="157" spans="1:13" s="3" customFormat="1">
      <c r="A157" s="327"/>
      <c r="M157"/>
    </row>
    <row r="158" spans="1:13" s="3" customFormat="1">
      <c r="A158" s="327"/>
      <c r="M158"/>
    </row>
    <row r="159" spans="1:13" s="3" customFormat="1">
      <c r="A159" s="327"/>
      <c r="M159"/>
    </row>
    <row r="160" spans="1:13" s="3" customFormat="1">
      <c r="A160" s="327"/>
      <c r="M160"/>
    </row>
    <row r="161" spans="1:13" s="3" customFormat="1">
      <c r="A161" s="327"/>
      <c r="M161"/>
    </row>
    <row r="162" spans="1:13" s="3" customFormat="1">
      <c r="A162" s="327"/>
      <c r="M162"/>
    </row>
    <row r="163" spans="1:13" s="3" customFormat="1">
      <c r="A163" s="327"/>
      <c r="M163"/>
    </row>
  </sheetData>
  <pageMargins left="0.7" right="0.7" top="0.78740157499999996" bottom="0.78740157499999996"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C1C67-3CB8-4A9E-94C5-2CFDBEADA999}">
  <sheetPr>
    <tabColor theme="2" tint="-0.499984740745262"/>
  </sheetPr>
  <dimension ref="A1:M163"/>
  <sheetViews>
    <sheetView zoomScale="115" zoomScaleNormal="115" workbookViewId="0">
      <selection activeCell="C41" sqref="C41"/>
    </sheetView>
  </sheetViews>
  <sheetFormatPr defaultColWidth="11.28515625" defaultRowHeight="15"/>
  <cols>
    <col min="1" max="1" width="40.7109375" style="3" bestFit="1" customWidth="1"/>
    <col min="2" max="2" width="1.5703125" style="3" customWidth="1"/>
    <col min="3" max="12" width="11.28515625" style="3"/>
  </cols>
  <sheetData>
    <row r="1" spans="1:13" s="340" customFormat="1" ht="26.1" customHeight="1">
      <c r="A1" s="371" t="s">
        <v>468</v>
      </c>
      <c r="B1" s="722" t="str">
        <f>B2</f>
        <v>AAL-US</v>
      </c>
    </row>
    <row r="2" spans="1:13">
      <c r="A2" s="327" t="str">
        <f>IS!A8</f>
        <v>Ticker</v>
      </c>
      <c r="B2" s="327" t="str">
        <f>'Industry Ratios'!F3</f>
        <v>AAL-US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f>IS!B11</f>
        <v>0</v>
      </c>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f>IS!B12</f>
        <v>0</v>
      </c>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CFS!A13</f>
        <v>Cash Flow</v>
      </c>
      <c r="B7" s="353"/>
      <c r="C7" s="353"/>
      <c r="D7" s="353"/>
      <c r="E7" s="353"/>
      <c r="F7" s="353"/>
      <c r="G7" s="353"/>
      <c r="H7" s="353"/>
      <c r="I7" s="353"/>
      <c r="J7" s="353"/>
      <c r="K7" s="353"/>
      <c r="L7" s="353"/>
      <c r="M7" s="16"/>
    </row>
    <row r="8" spans="1:13">
      <c r="A8" s="353" t="str">
        <f>CFS!A14</f>
        <v>Operating Activities</v>
      </c>
      <c r="B8" s="353"/>
      <c r="C8" s="353"/>
      <c r="D8" s="353"/>
      <c r="E8" s="353"/>
      <c r="F8" s="353"/>
      <c r="G8" s="353"/>
      <c r="H8" s="353"/>
      <c r="I8" s="353"/>
      <c r="J8" s="353"/>
      <c r="K8" s="353"/>
      <c r="L8" s="353"/>
      <c r="M8" s="16"/>
    </row>
    <row r="9" spans="1:13">
      <c r="A9" s="344" t="str">
        <f>CFS!A15</f>
        <v>Net Income / Starting Line</v>
      </c>
      <c r="B9" s="344" t="str">
        <f>CFS!B15</f>
        <v>-</v>
      </c>
      <c r="C9" s="344">
        <f>'AC-CA IS-adj'!C14</f>
        <v>-3.24648</v>
      </c>
      <c r="D9" s="344">
        <f>'AC-CA IS-adj'!D14</f>
        <v>1.3608000000000002</v>
      </c>
      <c r="E9" s="344">
        <f>'AC-CA IS-adj'!E14</f>
        <v>1.1203199999999995</v>
      </c>
      <c r="F9" s="344">
        <f>'AC-CA IS-adj'!F14</f>
        <v>2.8389600000000002</v>
      </c>
      <c r="G9" s="344">
        <f>'AC-CA IS-adj'!G14</f>
        <v>2.7907200000000003</v>
      </c>
      <c r="H9" s="344">
        <f>'AC-CA IS-adj'!H14</f>
        <v>2.8364400000000005</v>
      </c>
      <c r="I9" s="344">
        <f>'AC-CA IS-adj'!I14</f>
        <v>2.8044000000000011</v>
      </c>
      <c r="J9" s="344">
        <f>'AC-CA IS-adj'!J14</f>
        <v>1.8453600215999995</v>
      </c>
      <c r="K9" s="344">
        <f>'AC-CA IS-adj'!K14</f>
        <v>1.8381600000000007</v>
      </c>
      <c r="L9" s="344">
        <f>'AC-CA IS-adj'!L14</f>
        <v>1.7056800000000008</v>
      </c>
      <c r="M9" s="16"/>
    </row>
    <row r="10" spans="1:13">
      <c r="A10" s="347" t="str">
        <f>CFS!A16</f>
        <v>Depreciation, Depletion &amp; Amortization</v>
      </c>
      <c r="B10" s="347" t="str">
        <f>CFS!B16</f>
        <v>-</v>
      </c>
      <c r="C10" s="1118" cm="1">
        <f t="array" ref="C10">_xll.FDS($B2,"FF_DEP_AMORT_EXP(ANN_R,"&amp;'AAL-US IS-adj'!C5&amp;",,,,,B)")</f>
        <v>2.3650000000000002</v>
      </c>
      <c r="D10" s="1118" cm="1">
        <f t="array" ref="D10">_xll.FDS($B2,"FF_DEP_AMORT_EXP(ANN_R,"&amp;'AAL-US IS-adj'!D5&amp;",,,,,B)")</f>
        <v>2.3180000000000001</v>
      </c>
      <c r="E10" s="1118" cm="1">
        <f t="array" ref="E10">_xll.FDS($B2,"FF_DEP_AMORT_EXP(ANN_R,"&amp;'AAL-US IS-adj'!E5&amp;",,,,,B)")</f>
        <v>2.157</v>
      </c>
      <c r="F10" s="1118" cm="1">
        <f t="array" ref="F10">_xll.FDS($B2,"FF_DEP_AMORT_EXP(ANN_R,"&amp;'AAL-US IS-adj'!F5&amp;",,,,,B)")</f>
        <v>2.0169999999999999</v>
      </c>
      <c r="G10" s="1118" cm="1">
        <f t="array" ref="G10">_xll.FDS($B2,"FF_DEP_AMORT_EXP(ANN_R,"&amp;'AAL-US IS-adj'!G5&amp;",,,,,B)")</f>
        <v>1.8260000000000001</v>
      </c>
      <c r="H10" s="1118" cm="1">
        <f t="array" ref="H10">_xll.FDS($B2,"FF_DEP_AMORT_EXP(ANN_R,"&amp;'AAL-US IS-adj'!H5&amp;",,,,,B)")</f>
        <v>1.607</v>
      </c>
      <c r="I10" s="1118" cm="1">
        <f t="array" ref="I10">_xll.FDS($B2,"FF_DEP_AMORT_EXP(ANN_R,"&amp;'AAL-US IS-adj'!I5&amp;",,,,,B)")</f>
        <v>1.512</v>
      </c>
      <c r="J10" s="1118" cm="1">
        <f t="array" ref="J10">_xll.FDS($B2,"FF_DEP_AMORT_EXP(ANN_R,"&amp;'AAL-US IS-adj'!J5&amp;",,,,,B)")</f>
        <v>1.0209999999999999</v>
      </c>
      <c r="K10" s="1118" cm="1">
        <f t="array" ref="K10">_xll.FDS($B2,"FF_DEP_AMORT_EXP(ANN_R,"&amp;'AAL-US IS-adj'!K5&amp;",,,,,B)")</f>
        <v>1.0149999999999999</v>
      </c>
      <c r="L10" s="1118" cm="1">
        <f t="array" ref="L10">_xll.FDS($B2,"FF_DEP_AMORT_EXP(ANN_R,"&amp;'AAL-US IS-adj'!L5&amp;",,,,,B)")</f>
        <v>1.0860000000000001</v>
      </c>
      <c r="M10" s="16"/>
    </row>
    <row r="11" spans="1:13">
      <c r="A11" s="373" t="s">
        <v>469</v>
      </c>
      <c r="B11" s="373"/>
      <c r="C11" s="373">
        <f>'AAL-US R&amp;D'!C47</f>
        <v>0</v>
      </c>
      <c r="D11" s="373">
        <f>'AAL-US R&amp;D'!D47</f>
        <v>0</v>
      </c>
      <c r="E11" s="373">
        <f>'AAL-US R&amp;D'!E47</f>
        <v>0</v>
      </c>
      <c r="F11" s="373">
        <f>'AAL-US R&amp;D'!F47</f>
        <v>0</v>
      </c>
      <c r="G11" s="373">
        <f>'AAL-US R&amp;D'!G47</f>
        <v>0</v>
      </c>
      <c r="H11" s="373">
        <f>'AAL-US R&amp;D'!H47</f>
        <v>0</v>
      </c>
      <c r="I11" s="373">
        <f>'AAL-US R&amp;D'!I47</f>
        <v>0</v>
      </c>
      <c r="J11" s="373">
        <f>'AAL-US R&amp;D'!J47</f>
        <v>0</v>
      </c>
      <c r="K11" s="373">
        <f>'AAL-US R&amp;D'!K47</f>
        <v>0</v>
      </c>
      <c r="L11" s="373">
        <f>'AAL-US R&amp;D'!L47</f>
        <v>0</v>
      </c>
      <c r="M11" s="16"/>
    </row>
    <row r="12" spans="1:13">
      <c r="A12" s="373" t="s">
        <v>470</v>
      </c>
      <c r="B12" s="373"/>
      <c r="C12" s="373">
        <f>'AAL-US Lease'!C30</f>
        <v>0</v>
      </c>
      <c r="D12" s="373">
        <f>'AAL-US Lease'!D30</f>
        <v>0</v>
      </c>
      <c r="E12" s="373">
        <f>'AAL-US Lease'!E30</f>
        <v>0</v>
      </c>
      <c r="F12" s="373">
        <f>'AAL-US Lease'!F30</f>
        <v>1.7116507986927807</v>
      </c>
      <c r="G12" s="373">
        <f>'AAL-US Lease'!G30</f>
        <v>1.5522247443584132</v>
      </c>
      <c r="H12" s="373">
        <f>'AAL-US Lease'!H30</f>
        <v>1.4668143125138857</v>
      </c>
      <c r="I12" s="373">
        <f>'AAL-US Lease'!I30</f>
        <v>1.5466628858627742</v>
      </c>
      <c r="J12" s="373">
        <f>'AAL-US Lease'!J30</f>
        <v>1.4345798195036603</v>
      </c>
      <c r="K12" s="373">
        <f>'AAL-US Lease'!K30</f>
        <v>0.72222855352856574</v>
      </c>
      <c r="L12" s="373">
        <f>'AAL-US Lease'!L30</f>
        <v>0.75811876925682775</v>
      </c>
      <c r="M12" s="16"/>
    </row>
    <row r="13" spans="1:13">
      <c r="A13" s="347" t="str">
        <f>CFS!A17</f>
        <v>Deferred Taxes &amp; Investment Tax Credit</v>
      </c>
      <c r="B13" s="347">
        <f>CFS!B17</f>
        <v>-3.11</v>
      </c>
      <c r="C13" s="1118" cm="1">
        <f t="array" ref="C13">IFERROR(_xll.FDS($B2,"FF_DFD_TAX(ANN_R,"&amp;'AAL-US IS-adj'!C5&amp;",,,,,B)"),0)</f>
        <v>-3.2389999999999999</v>
      </c>
      <c r="D13" s="1118" cm="1">
        <f t="array" ref="D13">IFERROR(_xll.FDS($B2,"FF_DFD_TAX(ANN_R,"&amp;'AAL-US IS-adj'!D5&amp;",,,,,B)"),0)</f>
        <v>-0.64500000000000002</v>
      </c>
      <c r="E13" s="1118" cm="1">
        <f t="array" ref="E13">IFERROR(_xll.FDS($B2,"FF_DFD_TAX(ANN_R,"&amp;'AAL-US IS-adj'!E5&amp;",,,,,B)"),0)</f>
        <v>-1.145</v>
      </c>
      <c r="F13" s="1118" cm="1">
        <f t="array" ref="F13">IFERROR(_xll.FDS($B2,"FF_DFD_TAX(ANN_R,"&amp;'AAL-US IS-adj'!F5&amp;",,,,,B)"),0)</f>
        <v>-1.8160000000000001</v>
      </c>
      <c r="G13" s="1118" cm="1">
        <f t="array" ref="G13">IFERROR(_xll.FDS($B2,"FF_DFD_TAX(ANN_R,"&amp;'AAL-US IS-adj'!G5&amp;",,,,,B)"),0)</f>
        <v>-1.498</v>
      </c>
      <c r="H13" s="1118" cm="1">
        <f t="array" ref="H13">IFERROR(_xll.FDS($B2,"FF_DFD_TAX(ANN_R,"&amp;'AAL-US IS-adj'!H5&amp;",,,,,B)"),0)</f>
        <v>-2.4769999999999999</v>
      </c>
      <c r="I13" s="1118" cm="1">
        <f t="array" ref="I13">IFERROR(_xll.FDS($B2,"FF_DFD_TAX(ANN_R,"&amp;'AAL-US IS-adj'!I5&amp;",,,,,B)"),0)</f>
        <v>0</v>
      </c>
      <c r="J13" s="1118" cm="1">
        <f t="array" ref="J13">IFERROR(_xll.FDS($B2,"FF_DFD_TAX(ANN_R,"&amp;'AAL-US IS-adj'!J5&amp;",,,,,B)"),0)</f>
        <v>0</v>
      </c>
      <c r="K13" s="1118" cm="1">
        <f t="array" ref="K13">IFERROR(_xll.FDS($B2,"FF_DFD_TAX(ANN_R,"&amp;'AAL-US IS-adj'!K5&amp;",,,,,B)"),0)</f>
        <v>0</v>
      </c>
      <c r="L13" s="1118" cm="1">
        <f t="array" ref="L13">IFERROR(_xll.FDS($B2,"FF_DFD_TAX(ANN_R,"&amp;'AAL-US IS-adj'!L5&amp;",,,,,B)"),0)</f>
        <v>0</v>
      </c>
      <c r="M13" s="16"/>
    </row>
    <row r="14" spans="1:13">
      <c r="A14" s="347" t="str">
        <f>CFS!A18</f>
        <v>Other Funds</v>
      </c>
      <c r="B14" s="347" t="str">
        <f>CFS!B18</f>
        <v>-</v>
      </c>
      <c r="C14" s="1118" cm="1">
        <f t="array" ref="C14:L14">_xll.FDSRC("-",B2,"FF_NON_CASH('ANN','0','-9','YEARLY',RP,'LOCAL','B')")</f>
        <v>1.323</v>
      </c>
      <c r="D14" s="1118">
        <v>0.11799999999999999</v>
      </c>
      <c r="E14" s="347">
        <v>8.7999999999999995E-2</v>
      </c>
      <c r="F14" s="347">
        <v>7.6999999999999999E-2</v>
      </c>
      <c r="G14" s="347">
        <v>0.16500000000000001</v>
      </c>
      <c r="H14" s="347">
        <v>0.23</v>
      </c>
      <c r="I14" s="347">
        <v>2.5000000000000001E-2</v>
      </c>
      <c r="J14" s="347">
        <v>1.675</v>
      </c>
      <c r="K14" s="347">
        <v>1.802</v>
      </c>
      <c r="L14" s="347">
        <v>1.0629999999999999</v>
      </c>
      <c r="M14" s="16"/>
    </row>
    <row r="15" spans="1:13">
      <c r="A15" s="367" t="str">
        <f>CFS!A19</f>
        <v>Funds from Operations</v>
      </c>
      <c r="B15" s="367" t="str">
        <f>CFS!B19</f>
        <v>-</v>
      </c>
      <c r="C15" s="367">
        <f>SUM(C9:C14)</f>
        <v>-2.7974799999999997</v>
      </c>
      <c r="D15" s="367">
        <f t="shared" ref="D15:L15" si="0">SUM(D9:D14)</f>
        <v>3.1518000000000002</v>
      </c>
      <c r="E15" s="367">
        <f t="shared" si="0"/>
        <v>2.2203199999999996</v>
      </c>
      <c r="F15" s="367">
        <f t="shared" si="0"/>
        <v>4.8286107986927806</v>
      </c>
      <c r="G15" s="367">
        <f t="shared" si="0"/>
        <v>4.8359447443584136</v>
      </c>
      <c r="H15" s="367">
        <f t="shared" si="0"/>
        <v>3.663254312513887</v>
      </c>
      <c r="I15" s="367">
        <f t="shared" si="0"/>
        <v>5.8880628858627766</v>
      </c>
      <c r="J15" s="367">
        <f t="shared" si="0"/>
        <v>5.9759398411036591</v>
      </c>
      <c r="K15" s="367">
        <f>SUM(K9:K14)</f>
        <v>5.3773885535285668</v>
      </c>
      <c r="L15" s="367">
        <f t="shared" si="0"/>
        <v>4.6127987692568286</v>
      </c>
      <c r="M15" s="16"/>
    </row>
    <row r="16" spans="1:13">
      <c r="A16" s="347" t="str">
        <f>CFS!A20</f>
        <v>Changes in Working Capital</v>
      </c>
      <c r="B16" s="347" t="str">
        <f>CFS!B20</f>
        <v>-</v>
      </c>
      <c r="C16" s="347">
        <f>IF(ISNUMBER(CFS!C20),CFS!C20,0)</f>
        <v>1.9490000000000001</v>
      </c>
      <c r="D16" s="347">
        <f>IF(ISNUMBER(CFS!D20),CFS!D20,0)</f>
        <v>0.52600000000000002</v>
      </c>
      <c r="E16" s="347">
        <f>IF(ISNUMBER(CFS!E20),CFS!E20,0)</f>
        <v>0.17599999999999999</v>
      </c>
      <c r="F16" s="347">
        <f>IF(ISNUMBER(CFS!F20),CFS!F20,0)</f>
        <v>0.57499999999999996</v>
      </c>
      <c r="G16" s="347">
        <f>IF(ISNUMBER(CFS!G20),CFS!G20,0)</f>
        <v>-6.3E-2</v>
      </c>
      <c r="H16" s="347">
        <f>IF(ISNUMBER(CFS!H20),CFS!H20,0)</f>
        <v>1.335</v>
      </c>
      <c r="I16" s="347">
        <f>IF(ISNUMBER(CFS!I20),CFS!I20,0)</f>
        <v>-0.61299999999999999</v>
      </c>
      <c r="J16" s="347">
        <f>IF(ISNUMBER(CFS!J20),CFS!J20,0)</f>
        <v>0.51300000000000001</v>
      </c>
      <c r="K16" s="347">
        <f>IF(ISNUMBER(CFS!K20),CFS!K20,0)</f>
        <v>0.14799999999999999</v>
      </c>
      <c r="L16" s="347">
        <f>IF(ISNUMBER(CFS!L20),CFS!L20,0)</f>
        <v>0.157</v>
      </c>
      <c r="M16" s="16"/>
    </row>
    <row r="17" spans="1:13" s="17" customFormat="1">
      <c r="A17" s="1096" t="str">
        <f>CFS!A21</f>
        <v>Net Operating Cash Flow</v>
      </c>
      <c r="B17" s="1096">
        <f>CFS!B21</f>
        <v>1.4219999999999999</v>
      </c>
      <c r="C17" s="1096" cm="1">
        <f t="array" ref="C17:L17">_xll.FDSRC("-",B2,"FF_WKCAP_CHG('ANN','0','-9','YEARLY',RP,'LOCAL','B')")</f>
        <v>1.2170000000000001</v>
      </c>
      <c r="D17" s="1096">
        <v>-0.86699999999999999</v>
      </c>
      <c r="E17" s="1096">
        <v>-0.56599999999999995</v>
      </c>
      <c r="F17" s="1096">
        <v>-0.41</v>
      </c>
      <c r="G17" s="1096">
        <v>0.254</v>
      </c>
      <c r="H17" s="1096">
        <v>-0.186</v>
      </c>
      <c r="I17" s="1096">
        <v>-1.6859999999999999</v>
      </c>
      <c r="J17" s="1096">
        <v>0.13800000000000001</v>
      </c>
      <c r="K17" s="1096">
        <v>0.33800000000000002</v>
      </c>
      <c r="L17" s="1096">
        <v>0.51</v>
      </c>
      <c r="M17" s="18"/>
    </row>
    <row r="18" spans="1:13">
      <c r="A18" s="344" t="str">
        <f>CFS!A22</f>
        <v>Investing Activities</v>
      </c>
      <c r="B18" s="344"/>
      <c r="C18" s="344"/>
      <c r="D18" s="344"/>
      <c r="E18" s="344"/>
      <c r="F18" s="344"/>
      <c r="G18" s="344"/>
      <c r="H18" s="344"/>
      <c r="I18" s="344"/>
      <c r="J18" s="344"/>
      <c r="K18" s="344"/>
      <c r="L18" s="344"/>
      <c r="M18" s="16"/>
    </row>
    <row r="19" spans="1:13">
      <c r="A19" s="347" t="str">
        <f>CFS!A23</f>
        <v>Capital Expenditures</v>
      </c>
      <c r="B19" s="347">
        <f>CFS!B23</f>
        <v>-2.577</v>
      </c>
      <c r="C19" s="1118" cm="1">
        <f t="array" ref="C19">_xll.FDS($B2,"FF_CAPEX(ANN_R,"&amp;C5&amp;",,,,,B)")</f>
        <v>1.958</v>
      </c>
      <c r="D19" s="1118" cm="1">
        <f t="array" ref="D19">_xll.FDS($B2,"FF_CAPEX(ANN_R,"&amp;D5&amp;",,,,,B)")</f>
        <v>4.2679999999999998</v>
      </c>
      <c r="E19" s="1118" cm="1">
        <f t="array" ref="E19">_xll.FDS($B2,"FF_CAPEX(ANN_R,"&amp;E5&amp;",,,,,B)")</f>
        <v>3.7450000000000001</v>
      </c>
      <c r="F19" s="1118" cm="1">
        <f t="array" ref="F19">_xll.FDS($B2,"FF_CAPEX(ANN_R,"&amp;F5&amp;",,,,,B)")</f>
        <v>5.9710000000000001</v>
      </c>
      <c r="G19" s="1118" cm="1">
        <f t="array" ref="G19">_xll.FDS($B2,"FF_CAPEX(ANN_R,"&amp;G5&amp;",,,,,B)")</f>
        <v>5.7309999999999999</v>
      </c>
      <c r="H19" s="1118" cm="1">
        <f t="array" ref="H19">_xll.FDS($B2,"FF_CAPEX(ANN_R,"&amp;H5&amp;",,,,,B)")</f>
        <v>6.1509999999999998</v>
      </c>
      <c r="I19" s="1118" cm="1">
        <f t="array" ref="I19">_xll.FDS($B2,"FF_CAPEX(ANN_R,"&amp;I5&amp;",,,,,B)")</f>
        <v>5.3109999999999999</v>
      </c>
      <c r="J19" s="1118" cm="1">
        <f t="array" ref="J19">_xll.FDS($B2,"FF_CAPEX(ANN_R,"&amp;J5&amp;",,,,,B)")</f>
        <v>3.1139999999999999</v>
      </c>
      <c r="K19" s="1118" cm="1">
        <f t="array" ref="K19">_xll.FDS($B2,"FF_CAPEX(ANN_R,"&amp;K5&amp;",,,,,B)")</f>
        <v>1.8879999999999999</v>
      </c>
      <c r="L19" s="1118" cm="1">
        <f t="array" ref="L19">_xll.FDS($B2,"FF_CAPEX(ANN_R,"&amp;L5&amp;",,,,,B)")</f>
        <v>1.6140000000000001</v>
      </c>
      <c r="M19" s="16"/>
    </row>
    <row r="20" spans="1:13">
      <c r="A20" s="373" t="s">
        <v>471</v>
      </c>
      <c r="B20" s="373"/>
      <c r="C20" s="373">
        <f>-('AAL-US R&amp;D'!C10)</f>
        <v>0</v>
      </c>
      <c r="D20" s="373">
        <f>-('AAL-US R&amp;D'!D10)</f>
        <v>0</v>
      </c>
      <c r="E20" s="373">
        <f>-('AAL-US R&amp;D'!E10)</f>
        <v>0</v>
      </c>
      <c r="F20" s="373">
        <f>-('AAL-US R&amp;D'!F10)</f>
        <v>0</v>
      </c>
      <c r="G20" s="373">
        <f>-('AAL-US R&amp;D'!G10)</f>
        <v>0</v>
      </c>
      <c r="H20" s="373">
        <f>-('AAL-US R&amp;D'!H10)</f>
        <v>0</v>
      </c>
      <c r="I20" s="373">
        <f>-('AAL-US R&amp;D'!I10)</f>
        <v>0</v>
      </c>
      <c r="J20" s="373">
        <f>-('AAL-US R&amp;D'!J10)</f>
        <v>0</v>
      </c>
      <c r="K20" s="373">
        <f>-('AAL-US R&amp;D'!K10)</f>
        <v>0</v>
      </c>
      <c r="L20" s="373">
        <f>-('AAL-US R&amp;D'!L10)</f>
        <v>0</v>
      </c>
      <c r="M20" s="16"/>
    </row>
    <row r="21" spans="1:13">
      <c r="A21" s="347" t="str">
        <f>CFS!A24</f>
        <v>Net Assets from Acquisitions</v>
      </c>
      <c r="B21" s="347">
        <f>CFS!B24</f>
        <v>0</v>
      </c>
      <c r="C21" s="347" cm="1">
        <f t="array" ref="C21:L21">_xll.FDSRC("-",B2,"-FF_ACQ_BUS_CF('ANN','0','-9','YEARLY',RP,'LOCAL','B')")</f>
        <v>0</v>
      </c>
      <c r="D21" s="347">
        <v>0</v>
      </c>
      <c r="E21" s="347">
        <v>0</v>
      </c>
      <c r="F21" s="347" t="str">
        <v>-</v>
      </c>
      <c r="G21" s="347">
        <v>0</v>
      </c>
      <c r="H21" s="347">
        <v>0</v>
      </c>
      <c r="I21" s="347">
        <v>0</v>
      </c>
      <c r="J21" s="347">
        <v>0</v>
      </c>
      <c r="K21" s="347">
        <v>0</v>
      </c>
      <c r="L21" s="347">
        <v>0</v>
      </c>
      <c r="M21" s="16"/>
    </row>
    <row r="22" spans="1:13" s="17" customFormat="1">
      <c r="A22" s="347" t="str">
        <f>CFS!A25</f>
        <v>Purchase/Sale of Investments</v>
      </c>
      <c r="B22" s="347">
        <f>CFS!B25</f>
        <v>0.61300000000000099</v>
      </c>
      <c r="C22" s="347" cm="1">
        <f t="array" ref="C22:L22">_xll.FDSRC("-",B2,"FF_INVEST_PURCH_SALE_CF('ANN','0','-9','YEARLY',RP,'LOCAL','B')")</f>
        <v>-3.3370000000000002</v>
      </c>
      <c r="D22" s="347">
        <v>0.95699999999999996</v>
      </c>
      <c r="E22" s="347">
        <v>0.57199999999999995</v>
      </c>
      <c r="F22" s="347">
        <v>1.079</v>
      </c>
      <c r="G22" s="347">
        <v>-0.14899999999999999</v>
      </c>
      <c r="H22" s="347">
        <v>0.443000000000001</v>
      </c>
      <c r="I22" s="347">
        <v>1.7989999999999999</v>
      </c>
      <c r="J22" s="347">
        <v>-1.181</v>
      </c>
      <c r="K22" s="347">
        <v>0.30599999999999999</v>
      </c>
      <c r="L22" s="347">
        <v>0.61</v>
      </c>
      <c r="M22" s="18"/>
    </row>
    <row r="23" spans="1:13">
      <c r="A23" s="347" t="str">
        <f>CFS!A26</f>
        <v>Other Funds</v>
      </c>
      <c r="B23" s="347">
        <f>CFS!B26</f>
        <v>0.498</v>
      </c>
      <c r="C23" s="347" cm="1">
        <f t="array" ref="C23:L23">_xll.FDSRC("-",$B$2,"SUMAV(FF_INVEST_USES_CF('ANN','0','-9','YEARLY',RP,'LOCAL','B'),FF_INVEST_SOURCES_CF('ANN','0','-9','YEARLY',RP,'LOCAL','B'))")</f>
        <v>-6.3E-2</v>
      </c>
      <c r="D23" s="347">
        <v>0.16400000000000001</v>
      </c>
      <c r="E23" s="347">
        <v>-7.0000000000000001E-3</v>
      </c>
      <c r="F23" s="347">
        <v>0</v>
      </c>
      <c r="G23" s="347">
        <v>2E-3</v>
      </c>
      <c r="H23" s="347">
        <v>0</v>
      </c>
      <c r="I23" s="347">
        <v>0.307</v>
      </c>
      <c r="J23" s="347">
        <v>0</v>
      </c>
      <c r="K23" s="347">
        <v>0</v>
      </c>
      <c r="L23" s="347">
        <v>-0.28799999999999998</v>
      </c>
      <c r="M23" s="16"/>
    </row>
    <row r="24" spans="1:13">
      <c r="A24" s="1096" t="str">
        <f>CFS!A27</f>
        <v>Net Investing Cash Flow</v>
      </c>
      <c r="B24" s="1096">
        <f>CFS!B27</f>
        <v>-1.466</v>
      </c>
      <c r="C24" s="1096">
        <f>SUM(C19:C23)</f>
        <v>-1.4420000000000002</v>
      </c>
      <c r="D24" s="1096">
        <f t="shared" ref="D24:L24" si="1">SUM(D19:D23)</f>
        <v>5.3889999999999993</v>
      </c>
      <c r="E24" s="1096">
        <f t="shared" si="1"/>
        <v>4.3100000000000005</v>
      </c>
      <c r="F24" s="1096">
        <f t="shared" si="1"/>
        <v>7.05</v>
      </c>
      <c r="G24" s="1096">
        <f t="shared" si="1"/>
        <v>5.5839999999999996</v>
      </c>
      <c r="H24" s="1096">
        <f t="shared" si="1"/>
        <v>6.5940000000000012</v>
      </c>
      <c r="I24" s="1096">
        <f t="shared" si="1"/>
        <v>7.4169999999999998</v>
      </c>
      <c r="J24" s="1096">
        <f t="shared" si="1"/>
        <v>1.9329999999999998</v>
      </c>
      <c r="K24" s="1096">
        <f t="shared" si="1"/>
        <v>2.194</v>
      </c>
      <c r="L24" s="1096">
        <f t="shared" si="1"/>
        <v>1.9360000000000002</v>
      </c>
      <c r="M24" s="16"/>
    </row>
    <row r="25" spans="1:13">
      <c r="A25" s="344" t="str">
        <f>CFS!A28</f>
        <v>Financing Activities</v>
      </c>
      <c r="B25" s="344">
        <f>CFS!B28</f>
        <v>0</v>
      </c>
      <c r="C25" s="344"/>
      <c r="D25" s="344"/>
      <c r="E25" s="344"/>
      <c r="F25" s="344"/>
      <c r="G25" s="344"/>
      <c r="H25" s="344"/>
      <c r="I25" s="344"/>
      <c r="J25" s="344"/>
      <c r="K25" s="344"/>
      <c r="L25" s="344"/>
      <c r="M25" s="16"/>
    </row>
    <row r="26" spans="1:13">
      <c r="A26" s="347" t="str">
        <f>CFS!A29</f>
        <v>Cash Dividends Paid</v>
      </c>
      <c r="B26" s="347">
        <f>CFS!B29</f>
        <v>0</v>
      </c>
      <c r="C26" s="347" cm="1">
        <f t="array" ref="C26:L26">_xll.FDSRC("-",$B2,"-FF_DIV_CF('ANN','0','-9','YEARLY',RP,'LOCAL','B')")</f>
        <v>-4.2999999999999997E-2</v>
      </c>
      <c r="D26" s="347">
        <v>-0.17799999999999999</v>
      </c>
      <c r="E26" s="347">
        <v>-0.186</v>
      </c>
      <c r="F26" s="347">
        <v>-0.19800000000000001</v>
      </c>
      <c r="G26" s="347">
        <v>-0.224</v>
      </c>
      <c r="H26" s="347">
        <v>-0.27800000000000002</v>
      </c>
      <c r="I26" s="347">
        <v>-0.14399999999999999</v>
      </c>
      <c r="J26" s="347">
        <v>0</v>
      </c>
      <c r="K26" s="347">
        <v>0</v>
      </c>
      <c r="L26" s="347">
        <v>0</v>
      </c>
      <c r="M26" s="16"/>
    </row>
    <row r="27" spans="1:13">
      <c r="A27" s="347" t="str">
        <f>CFS!A30</f>
        <v>Change in Capital Stock</v>
      </c>
      <c r="B27" s="347">
        <f>CFS!B30</f>
        <v>0</v>
      </c>
      <c r="C27" s="347" cm="1">
        <f t="array" ref="C27:L27">_xll.FDSRC("-",$B$2,"FF_STK_CHG_CF('ANN','0','-9','YEARLY',RP,'LOCAL','B')")</f>
        <v>2.7970000000000002</v>
      </c>
      <c r="D27" s="347">
        <v>-1.097</v>
      </c>
      <c r="E27" s="347">
        <v>-0.83699999999999997</v>
      </c>
      <c r="F27" s="347">
        <v>-1.615</v>
      </c>
      <c r="G27" s="347">
        <v>-4.5</v>
      </c>
      <c r="H27" s="347">
        <v>-3.8460000000000001</v>
      </c>
      <c r="I27" s="347">
        <v>-1.052</v>
      </c>
      <c r="J27" s="347">
        <v>0</v>
      </c>
      <c r="K27" s="347">
        <v>0</v>
      </c>
      <c r="L27" s="347">
        <v>0</v>
      </c>
      <c r="M27" s="16"/>
    </row>
    <row r="28" spans="1:13">
      <c r="A28" s="347" t="str">
        <f>CFS!A31</f>
        <v>Issuance/Reduction of Debt, Net</v>
      </c>
      <c r="B28" s="347">
        <f>CFS!B31</f>
        <v>-8.7149999999999999</v>
      </c>
      <c r="C28" s="347" cm="1">
        <f t="array" ref="C28:L28">_xll.FDSRC("-",$B$2,"FF_DEBT_CF('ANN','0','-9','YEARLY',RP,'LOCAL','B')")</f>
        <v>8.1519999999999992</v>
      </c>
      <c r="D28" s="347">
        <v>-0.29099999999999998</v>
      </c>
      <c r="E28" s="347">
        <v>-0.64600000000000002</v>
      </c>
      <c r="F28" s="347">
        <v>0.64100000000000001</v>
      </c>
      <c r="G28" s="347">
        <v>3.7970000000000002</v>
      </c>
      <c r="H28" s="347">
        <v>2.7690000000000001</v>
      </c>
      <c r="I28" s="347">
        <v>6.4000000000000098E-2</v>
      </c>
      <c r="J28" s="347">
        <v>2.0880000000000001</v>
      </c>
      <c r="K28" s="347">
        <v>0.48899999999999999</v>
      </c>
      <c r="L28" s="347">
        <v>2.4E-2</v>
      </c>
      <c r="M28" s="16"/>
    </row>
    <row r="29" spans="1:13">
      <c r="A29" s="347" t="s">
        <v>473</v>
      </c>
      <c r="B29" s="347"/>
      <c r="C29" s="347" cm="1">
        <f t="array" ref="C29:L29">_xll.FDSRC("-",$B2,"FF_FIN_ACTIV_OTH_CF('ANN','0','-9','YEARLY',RP,'LOCAL','B')")</f>
        <v>8.7999999999999995E-2</v>
      </c>
      <c r="D29" s="347">
        <v>-2E-3</v>
      </c>
      <c r="E29" s="347">
        <v>-3.0000000000000001E-3</v>
      </c>
      <c r="F29" s="347">
        <v>2.7E-2</v>
      </c>
      <c r="G29" s="347">
        <v>3.3000000000000002E-2</v>
      </c>
      <c r="H29" s="347">
        <v>9.6000000000000002E-2</v>
      </c>
      <c r="I29" s="347">
        <v>0.81699999999999995</v>
      </c>
      <c r="J29" s="347">
        <v>1.7110000000000001</v>
      </c>
      <c r="K29" s="347">
        <v>0</v>
      </c>
      <c r="L29" s="347">
        <v>0.70299999999999996</v>
      </c>
      <c r="M29" s="16"/>
    </row>
    <row r="30" spans="1:13">
      <c r="A30" s="373" t="str">
        <f>CFS!A32&amp;" incl. required funding for R&amp;D"</f>
        <v>Other Funds incl. required funding for R&amp;D</v>
      </c>
      <c r="B30" s="373">
        <f>CFS!B32</f>
        <v>7.2999999999999995E-2</v>
      </c>
      <c r="C30" s="373">
        <f>C29-(C17+C24+SUM(C26:C28,C29)-C33)</f>
        <v>-4.3559999999999981</v>
      </c>
      <c r="D30" s="373">
        <f t="shared" ref="D30:L30" si="2">D29-(D17+D24+SUM(D26:D28,D29)-D33)</f>
        <v>-1.9739999999999998</v>
      </c>
      <c r="E30" s="373">
        <f t="shared" si="2"/>
        <v>-1.1800000000000008</v>
      </c>
      <c r="F30" s="373">
        <f t="shared" si="2"/>
        <v>-6.4159999999999995</v>
      </c>
      <c r="G30" s="373">
        <f t="shared" si="2"/>
        <v>-4.1099999999999985</v>
      </c>
      <c r="H30" s="373">
        <f t="shared" si="2"/>
        <v>-5.176000000000001</v>
      </c>
      <c r="I30" s="373">
        <f t="shared" si="2"/>
        <v>-5.4169999999999998</v>
      </c>
      <c r="J30" s="373">
        <f t="shared" si="2"/>
        <v>-3.9619999999999997</v>
      </c>
      <c r="K30" s="373">
        <f t="shared" si="2"/>
        <v>-3.262</v>
      </c>
      <c r="L30" s="373">
        <f t="shared" si="2"/>
        <v>-2.7050000000000001</v>
      </c>
      <c r="M30" s="16"/>
    </row>
    <row r="31" spans="1:13">
      <c r="A31" s="1096" t="str">
        <f>CFS!A33</f>
        <v>Net Financing Cash Flow</v>
      </c>
      <c r="B31" s="1096">
        <f>CFS!B33</f>
        <v>-8.6419999999999995</v>
      </c>
      <c r="C31" s="1096">
        <f>SUM(C26:C28,C30)</f>
        <v>6.5500000000000007</v>
      </c>
      <c r="D31" s="1096">
        <f t="shared" ref="D31:L31" si="3">SUM(D26:D28,D30)</f>
        <v>-3.5399999999999996</v>
      </c>
      <c r="E31" s="1096">
        <f t="shared" si="3"/>
        <v>-2.8490000000000011</v>
      </c>
      <c r="F31" s="1096">
        <f t="shared" si="3"/>
        <v>-7.5879999999999992</v>
      </c>
      <c r="G31" s="1096">
        <f t="shared" si="3"/>
        <v>-5.036999999999999</v>
      </c>
      <c r="H31" s="1096">
        <f t="shared" si="3"/>
        <v>-6.5310000000000015</v>
      </c>
      <c r="I31" s="1096">
        <f t="shared" si="3"/>
        <v>-6.5489999999999995</v>
      </c>
      <c r="J31" s="1096">
        <f t="shared" si="3"/>
        <v>-1.8739999999999997</v>
      </c>
      <c r="K31" s="1096">
        <f t="shared" si="3"/>
        <v>-2.7730000000000001</v>
      </c>
      <c r="L31" s="1096">
        <f t="shared" si="3"/>
        <v>-2.681</v>
      </c>
      <c r="M31" s="16"/>
    </row>
    <row r="32" spans="1:13">
      <c r="A32" s="347"/>
      <c r="B32" s="347"/>
      <c r="C32" s="347"/>
      <c r="D32" s="347"/>
      <c r="E32" s="347"/>
      <c r="F32" s="347"/>
      <c r="G32" s="347"/>
      <c r="H32" s="347"/>
      <c r="I32" s="347"/>
      <c r="J32" s="347"/>
      <c r="K32" s="347"/>
      <c r="L32" s="347"/>
      <c r="M32" s="16"/>
    </row>
    <row r="33" spans="1:13">
      <c r="A33" s="344" t="str">
        <f>CFS!A35</f>
        <v>Net Change in Cash</v>
      </c>
      <c r="B33" s="344">
        <f>CFS!B35</f>
        <v>-8.6859999999999999</v>
      </c>
      <c r="C33" s="344">
        <f>CFS!C35</f>
        <v>6.3250000000000002</v>
      </c>
      <c r="D33" s="344">
        <f>CFS!D35</f>
        <v>0.98199999999999998</v>
      </c>
      <c r="E33" s="344">
        <f>CFS!E35</f>
        <v>0.89500000000000002</v>
      </c>
      <c r="F33" s="344">
        <f>CFS!F35</f>
        <v>-0.94799999999999995</v>
      </c>
      <c r="G33" s="344">
        <f>CFS!G35</f>
        <v>0.80100000000000005</v>
      </c>
      <c r="H33" s="344">
        <f>CFS!H35</f>
        <v>-0.123</v>
      </c>
      <c r="I33" s="344">
        <f>CFS!I35</f>
        <v>-0.81799999999999995</v>
      </c>
      <c r="J33" s="344">
        <f>CFS!J35</f>
        <v>0.19700000000000001</v>
      </c>
      <c r="K33" s="344">
        <f>CFS!K35</f>
        <v>-0.24099999999999999</v>
      </c>
      <c r="L33" s="344">
        <f>CFS!L35</f>
        <v>-0.23499999999999999</v>
      </c>
      <c r="M33" s="16"/>
    </row>
    <row r="34" spans="1:13">
      <c r="A34" s="377" t="s">
        <v>472</v>
      </c>
      <c r="B34" s="327"/>
      <c r="C34" s="327">
        <f>C17+C24+C31-C33</f>
        <v>0</v>
      </c>
      <c r="D34" s="327">
        <f t="shared" ref="D34:K34" si="4">D17+D24+D31-D33</f>
        <v>0</v>
      </c>
      <c r="E34" s="327">
        <f t="shared" si="4"/>
        <v>0</v>
      </c>
      <c r="F34" s="327">
        <f t="shared" si="4"/>
        <v>0</v>
      </c>
      <c r="G34" s="327">
        <f t="shared" si="4"/>
        <v>0</v>
      </c>
      <c r="H34" s="327">
        <f t="shared" si="4"/>
        <v>-2.2204460492503131E-16</v>
      </c>
      <c r="I34" s="327">
        <f t="shared" si="4"/>
        <v>0</v>
      </c>
      <c r="J34" s="327">
        <f t="shared" si="4"/>
        <v>0</v>
      </c>
      <c r="K34" s="327">
        <f t="shared" si="4"/>
        <v>0</v>
      </c>
      <c r="L34" s="327">
        <f>L17+L24+L31-L33</f>
        <v>0</v>
      </c>
      <c r="M34" s="16"/>
    </row>
    <row r="35" spans="1:13">
      <c r="A35" s="377"/>
      <c r="B35" s="327"/>
      <c r="C35" s="327"/>
      <c r="D35" s="327"/>
      <c r="E35" s="327"/>
      <c r="F35" s="327"/>
      <c r="G35" s="327"/>
      <c r="H35" s="327"/>
      <c r="I35" s="327"/>
      <c r="J35" s="327"/>
      <c r="K35" s="327"/>
      <c r="L35" s="327"/>
      <c r="M35" s="16"/>
    </row>
    <row r="36" spans="1:13">
      <c r="A36" s="377"/>
      <c r="B36" s="327"/>
      <c r="C36" s="327"/>
      <c r="D36" s="327"/>
      <c r="E36" s="327"/>
      <c r="F36" s="327"/>
      <c r="G36" s="327"/>
      <c r="H36" s="327"/>
      <c r="I36" s="327"/>
      <c r="J36" s="327"/>
      <c r="K36" s="327"/>
      <c r="L36" s="327"/>
      <c r="M36" s="16"/>
    </row>
    <row r="37" spans="1:13">
      <c r="A37" s="377"/>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9"/>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5"/>
      <c r="B44" s="327"/>
      <c r="C44" s="327"/>
      <c r="D44" s="327"/>
      <c r="E44" s="327"/>
      <c r="F44" s="327"/>
      <c r="G44" s="327"/>
      <c r="H44" s="327"/>
      <c r="I44" s="327"/>
      <c r="J44" s="327"/>
      <c r="K44" s="327"/>
      <c r="L44" s="327"/>
      <c r="M44" s="16"/>
    </row>
    <row r="45" spans="1:13">
      <c r="A45" s="255"/>
      <c r="B45" s="327"/>
      <c r="C45" s="327"/>
      <c r="D45" s="327"/>
      <c r="E45" s="327"/>
      <c r="F45" s="327"/>
      <c r="G45" s="327"/>
      <c r="H45" s="327"/>
      <c r="I45" s="327"/>
      <c r="J45" s="327"/>
      <c r="K45" s="327"/>
      <c r="L45" s="327"/>
      <c r="M45" s="16"/>
    </row>
    <row r="46" spans="1:13">
      <c r="A46" s="259"/>
      <c r="B46" s="327"/>
      <c r="C46" s="327"/>
      <c r="D46" s="327"/>
      <c r="E46" s="327"/>
      <c r="F46" s="327"/>
      <c r="G46" s="327"/>
      <c r="H46" s="327"/>
      <c r="I46" s="327"/>
      <c r="J46" s="327"/>
      <c r="K46" s="327"/>
      <c r="L46" s="327"/>
      <c r="M46" s="16"/>
    </row>
    <row r="47" spans="1:13">
      <c r="A47" s="259"/>
      <c r="B47" s="327"/>
      <c r="C47" s="327"/>
      <c r="D47" s="327"/>
      <c r="E47" s="327"/>
      <c r="F47" s="327"/>
      <c r="G47" s="327"/>
      <c r="H47" s="327"/>
      <c r="I47" s="327"/>
      <c r="J47" s="327"/>
      <c r="K47" s="327"/>
      <c r="L47" s="327"/>
      <c r="M47" s="16"/>
    </row>
    <row r="48" spans="1:13">
      <c r="A48" s="259"/>
      <c r="B48" s="327"/>
      <c r="C48" s="327"/>
      <c r="D48" s="327"/>
      <c r="E48" s="327"/>
      <c r="F48" s="327"/>
      <c r="G48" s="327"/>
      <c r="H48" s="327"/>
      <c r="I48" s="327"/>
      <c r="J48" s="327"/>
      <c r="K48" s="327"/>
      <c r="L48" s="327"/>
      <c r="M48" s="16"/>
    </row>
    <row r="49" spans="1:13">
      <c r="A49" s="259"/>
      <c r="B49" s="327"/>
      <c r="C49" s="327"/>
      <c r="D49" s="327"/>
      <c r="E49" s="327"/>
      <c r="F49" s="327"/>
      <c r="G49" s="327"/>
      <c r="H49" s="327"/>
      <c r="I49" s="327"/>
      <c r="J49" s="327"/>
      <c r="K49" s="327"/>
      <c r="L49" s="327"/>
      <c r="M49" s="16"/>
    </row>
    <row r="50" spans="1:13">
      <c r="A50" s="259"/>
      <c r="B50" s="327"/>
      <c r="C50" s="327"/>
      <c r="D50" s="327"/>
      <c r="E50" s="327"/>
      <c r="F50" s="327"/>
      <c r="G50" s="327"/>
      <c r="H50" s="327"/>
      <c r="I50" s="327"/>
      <c r="J50" s="327"/>
      <c r="K50" s="327"/>
      <c r="L50" s="327"/>
      <c r="M50" s="16"/>
    </row>
    <row r="51" spans="1:13">
      <c r="A51" s="259"/>
      <c r="B51" s="327"/>
      <c r="C51" s="327"/>
      <c r="D51" s="327"/>
      <c r="E51" s="327"/>
      <c r="F51" s="327"/>
      <c r="G51" s="327"/>
      <c r="H51" s="327"/>
      <c r="I51" s="327"/>
      <c r="J51" s="327"/>
      <c r="K51" s="327"/>
      <c r="L51" s="327"/>
      <c r="M51" s="16"/>
    </row>
    <row r="52" spans="1:13">
      <c r="A52" s="252"/>
      <c r="B52" s="327"/>
      <c r="C52" s="327"/>
      <c r="D52" s="327"/>
      <c r="E52" s="327"/>
      <c r="F52" s="327"/>
      <c r="G52" s="327"/>
      <c r="H52" s="327"/>
      <c r="I52" s="327"/>
      <c r="J52" s="327"/>
      <c r="K52" s="327"/>
      <c r="L52" s="327"/>
      <c r="M52" s="16"/>
    </row>
    <row r="54" spans="1:13" s="3" customFormat="1">
      <c r="A54" s="327"/>
      <c r="M54"/>
    </row>
    <row r="55" spans="1:13" s="3" customFormat="1">
      <c r="A55" s="327"/>
      <c r="M55"/>
    </row>
    <row r="56" spans="1:13" s="3" customFormat="1">
      <c r="A56" s="327"/>
      <c r="M56"/>
    </row>
    <row r="57" spans="1:13" s="3" customFormat="1">
      <c r="A57" s="327"/>
      <c r="M57"/>
    </row>
    <row r="58" spans="1:13" s="3" customFormat="1">
      <c r="A58" s="327"/>
      <c r="M58"/>
    </row>
    <row r="59" spans="1:13" s="3" customFormat="1">
      <c r="A59" s="327"/>
      <c r="M59"/>
    </row>
    <row r="60" spans="1:13" s="3" customFormat="1">
      <c r="A60" s="327"/>
      <c r="M60"/>
    </row>
    <row r="61" spans="1:13" s="3" customFormat="1">
      <c r="A61" s="327"/>
      <c r="M61"/>
    </row>
    <row r="62" spans="1:13" s="3" customFormat="1">
      <c r="A62" s="327"/>
      <c r="M62"/>
    </row>
    <row r="63" spans="1:13" s="3" customFormat="1">
      <c r="A63" s="327"/>
      <c r="M63"/>
    </row>
    <row r="64" spans="1:13" s="3" customFormat="1">
      <c r="A64" s="327"/>
      <c r="M64"/>
    </row>
    <row r="65" spans="1:13" s="3" customFormat="1">
      <c r="A65" s="327"/>
      <c r="M65"/>
    </row>
    <row r="66" spans="1:13" s="3" customFormat="1">
      <c r="A66" s="327"/>
      <c r="M66"/>
    </row>
    <row r="67" spans="1:13" s="3" customFormat="1">
      <c r="A67" s="327"/>
      <c r="M67"/>
    </row>
    <row r="68" spans="1:13" s="3" customFormat="1">
      <c r="A68" s="327"/>
      <c r="M68"/>
    </row>
    <row r="69" spans="1:13" s="3" customFormat="1">
      <c r="A69" s="327"/>
      <c r="M69"/>
    </row>
    <row r="70" spans="1:13" s="3" customFormat="1">
      <c r="A70" s="327"/>
      <c r="M70"/>
    </row>
    <row r="71" spans="1:13" s="3" customFormat="1">
      <c r="A71" s="327"/>
      <c r="M71"/>
    </row>
    <row r="72" spans="1:13" s="3" customFormat="1">
      <c r="A72" s="327"/>
      <c r="M72"/>
    </row>
    <row r="73" spans="1:13" s="3" customFormat="1">
      <c r="A73" s="327"/>
      <c r="M73"/>
    </row>
    <row r="74" spans="1:13" s="3" customFormat="1">
      <c r="A74" s="327"/>
      <c r="M74"/>
    </row>
    <row r="75" spans="1:13" s="3" customFormat="1">
      <c r="A75" s="327"/>
      <c r="M75"/>
    </row>
    <row r="76" spans="1:13" s="3" customFormat="1">
      <c r="A76" s="327"/>
      <c r="M76"/>
    </row>
    <row r="77" spans="1:13" s="3" customFormat="1">
      <c r="A77" s="327"/>
      <c r="M77"/>
    </row>
    <row r="78" spans="1:13" s="3" customFormat="1">
      <c r="A78" s="327"/>
      <c r="M78"/>
    </row>
    <row r="79" spans="1:13" s="3" customFormat="1">
      <c r="A79" s="327"/>
      <c r="M79"/>
    </row>
    <row r="80" spans="1:13" s="3" customFormat="1">
      <c r="A80" s="327"/>
      <c r="M80"/>
    </row>
    <row r="81" spans="1:13" s="3" customFormat="1">
      <c r="A81" s="327"/>
      <c r="M81"/>
    </row>
    <row r="82" spans="1:13" s="3" customFormat="1">
      <c r="A82" s="327"/>
      <c r="M82"/>
    </row>
    <row r="83" spans="1:13" s="3" customFormat="1">
      <c r="A83" s="327"/>
      <c r="M83"/>
    </row>
    <row r="84" spans="1:13" s="3" customFormat="1">
      <c r="A84" s="327"/>
      <c r="M84"/>
    </row>
    <row r="85" spans="1:13" s="3" customFormat="1">
      <c r="A85" s="327"/>
      <c r="M85"/>
    </row>
    <row r="86" spans="1:13" s="3" customFormat="1">
      <c r="A86" s="327"/>
      <c r="M86"/>
    </row>
    <row r="87" spans="1:13" s="3" customFormat="1">
      <c r="A87" s="327"/>
      <c r="M87"/>
    </row>
    <row r="88" spans="1:13" s="3" customFormat="1">
      <c r="A88" s="327"/>
      <c r="M88"/>
    </row>
    <row r="89" spans="1:13" s="3" customFormat="1">
      <c r="A89" s="327"/>
      <c r="M89"/>
    </row>
    <row r="90" spans="1:13" s="3" customFormat="1">
      <c r="A90" s="327"/>
      <c r="M90"/>
    </row>
    <row r="91" spans="1:13" s="3" customFormat="1">
      <c r="A91" s="327"/>
      <c r="M91"/>
    </row>
    <row r="92" spans="1:13" s="3" customFormat="1">
      <c r="A92" s="327"/>
      <c r="M92"/>
    </row>
    <row r="93" spans="1:13" s="3" customFormat="1">
      <c r="A93" s="327"/>
      <c r="M93"/>
    </row>
    <row r="94" spans="1:13" s="3" customFormat="1">
      <c r="A94" s="327"/>
      <c r="M94"/>
    </row>
    <row r="95" spans="1:13" s="3" customFormat="1">
      <c r="A95" s="327"/>
      <c r="M95"/>
    </row>
    <row r="96" spans="1:13" s="3" customFormat="1">
      <c r="A96" s="327"/>
      <c r="M96"/>
    </row>
    <row r="97" spans="1:13" s="3" customFormat="1">
      <c r="A97" s="327"/>
      <c r="M97"/>
    </row>
    <row r="98" spans="1:13" s="3" customFormat="1">
      <c r="A98" s="327"/>
      <c r="M98"/>
    </row>
    <row r="99" spans="1:13" s="3" customFormat="1">
      <c r="A99" s="327"/>
      <c r="M99"/>
    </row>
    <row r="100" spans="1:13" s="3" customFormat="1">
      <c r="A100" s="327"/>
      <c r="M100"/>
    </row>
    <row r="101" spans="1:13" s="3" customFormat="1">
      <c r="A101" s="327"/>
      <c r="M101"/>
    </row>
    <row r="102" spans="1:13" s="3" customFormat="1">
      <c r="A102" s="327"/>
      <c r="M102"/>
    </row>
    <row r="103" spans="1:13" s="3" customFormat="1">
      <c r="A103" s="327"/>
      <c r="M103"/>
    </row>
    <row r="104" spans="1:13" s="3" customFormat="1">
      <c r="A104" s="327"/>
      <c r="M104"/>
    </row>
    <row r="105" spans="1:13" s="3" customFormat="1">
      <c r="A105" s="327"/>
      <c r="M105"/>
    </row>
    <row r="106" spans="1:13" s="3" customFormat="1">
      <c r="A106" s="327"/>
      <c r="M106"/>
    </row>
    <row r="107" spans="1:13" s="3" customFormat="1">
      <c r="A107" s="327"/>
      <c r="M107"/>
    </row>
    <row r="108" spans="1:13" s="3" customFormat="1">
      <c r="A108" s="327"/>
      <c r="M108"/>
    </row>
    <row r="109" spans="1:13" s="3" customFormat="1">
      <c r="A109" s="327"/>
      <c r="M109"/>
    </row>
    <row r="110" spans="1:13" s="3" customFormat="1">
      <c r="A110" s="327"/>
      <c r="M110"/>
    </row>
    <row r="111" spans="1:13" s="3" customFormat="1">
      <c r="A111" s="327"/>
      <c r="M111"/>
    </row>
    <row r="112" spans="1:13" s="3" customFormat="1">
      <c r="A112" s="327"/>
      <c r="M112"/>
    </row>
    <row r="113" spans="1:13" s="3" customFormat="1">
      <c r="A113" s="327"/>
      <c r="M113"/>
    </row>
    <row r="114" spans="1:13" s="3" customFormat="1">
      <c r="A114" s="327"/>
      <c r="M114"/>
    </row>
    <row r="115" spans="1:13" s="3" customFormat="1">
      <c r="A115" s="327"/>
      <c r="M115"/>
    </row>
    <row r="116" spans="1:13" s="3" customFormat="1">
      <c r="A116" s="327"/>
      <c r="M116"/>
    </row>
    <row r="117" spans="1:13" s="3" customFormat="1">
      <c r="A117" s="327"/>
      <c r="M117"/>
    </row>
    <row r="118" spans="1:13" s="3" customFormat="1">
      <c r="A118" s="327"/>
      <c r="M118"/>
    </row>
    <row r="119" spans="1:13" s="3" customFormat="1">
      <c r="A119" s="327"/>
      <c r="M119"/>
    </row>
    <row r="120" spans="1:13" s="3" customFormat="1">
      <c r="A120" s="327"/>
      <c r="M120"/>
    </row>
    <row r="121" spans="1:13" s="3" customFormat="1">
      <c r="A121" s="327"/>
      <c r="M121"/>
    </row>
    <row r="122" spans="1:13" s="3" customFormat="1">
      <c r="A122" s="327"/>
      <c r="M122"/>
    </row>
    <row r="123" spans="1:13" s="3" customFormat="1">
      <c r="A123" s="327"/>
      <c r="M123"/>
    </row>
    <row r="124" spans="1:13" s="3" customFormat="1">
      <c r="A124" s="327"/>
      <c r="M124"/>
    </row>
    <row r="125" spans="1:13" s="3" customFormat="1">
      <c r="A125" s="327"/>
      <c r="M125"/>
    </row>
    <row r="126" spans="1:13" s="3" customFormat="1">
      <c r="A126" s="327"/>
      <c r="M126"/>
    </row>
    <row r="127" spans="1:13" s="3" customFormat="1">
      <c r="A127" s="327"/>
      <c r="M127"/>
    </row>
    <row r="128" spans="1:13" s="3" customFormat="1">
      <c r="A128" s="327"/>
      <c r="M128"/>
    </row>
    <row r="129" spans="1:13" s="3" customFormat="1">
      <c r="A129" s="327"/>
      <c r="M129"/>
    </row>
    <row r="130" spans="1:13" s="3" customFormat="1">
      <c r="A130" s="327"/>
      <c r="M130"/>
    </row>
    <row r="131" spans="1:13" s="3" customFormat="1">
      <c r="A131" s="327"/>
      <c r="M131"/>
    </row>
    <row r="132" spans="1:13" s="3" customFormat="1">
      <c r="A132" s="327"/>
      <c r="M132"/>
    </row>
    <row r="133" spans="1:13" s="3" customFormat="1">
      <c r="A133" s="327"/>
      <c r="M133"/>
    </row>
    <row r="134" spans="1:13" s="3" customFormat="1">
      <c r="A134" s="327"/>
      <c r="M134"/>
    </row>
    <row r="135" spans="1:13" s="3" customFormat="1">
      <c r="A135" s="327"/>
      <c r="M135"/>
    </row>
    <row r="136" spans="1:13" s="3" customFormat="1">
      <c r="A136" s="327"/>
      <c r="M136"/>
    </row>
    <row r="137" spans="1:13" s="3" customFormat="1">
      <c r="A137" s="327"/>
      <c r="M137"/>
    </row>
    <row r="138" spans="1:13" s="3" customFormat="1">
      <c r="A138" s="327"/>
      <c r="M138"/>
    </row>
    <row r="139" spans="1:13" s="3" customFormat="1">
      <c r="A139" s="327"/>
      <c r="M139"/>
    </row>
    <row r="140" spans="1:13" s="3" customFormat="1">
      <c r="A140" s="327"/>
      <c r="M140"/>
    </row>
    <row r="141" spans="1:13" s="3" customFormat="1">
      <c r="A141" s="327"/>
      <c r="M141"/>
    </row>
    <row r="142" spans="1:13" s="3" customFormat="1">
      <c r="A142" s="327"/>
      <c r="M142"/>
    </row>
    <row r="143" spans="1:13" s="3" customFormat="1">
      <c r="A143" s="327"/>
      <c r="M143"/>
    </row>
    <row r="144" spans="1:13" s="3" customFormat="1">
      <c r="A144" s="327"/>
      <c r="M144"/>
    </row>
    <row r="145" spans="1:13" s="3" customFormat="1">
      <c r="A145" s="327"/>
      <c r="M145"/>
    </row>
    <row r="146" spans="1:13" s="3" customFormat="1">
      <c r="A146" s="327"/>
      <c r="M146"/>
    </row>
    <row r="147" spans="1:13" s="3" customFormat="1">
      <c r="A147" s="327"/>
      <c r="M147"/>
    </row>
    <row r="148" spans="1:13" s="3" customFormat="1">
      <c r="A148" s="327"/>
      <c r="M148"/>
    </row>
    <row r="149" spans="1:13" s="3" customFormat="1">
      <c r="A149" s="327"/>
      <c r="M149"/>
    </row>
    <row r="150" spans="1:13" s="3" customFormat="1">
      <c r="A150" s="327"/>
      <c r="M150"/>
    </row>
    <row r="151" spans="1:13" s="3" customFormat="1">
      <c r="A151" s="327"/>
      <c r="M151"/>
    </row>
    <row r="152" spans="1:13" s="3" customFormat="1">
      <c r="A152" s="327"/>
      <c r="M152"/>
    </row>
    <row r="153" spans="1:13" s="3" customFormat="1">
      <c r="A153" s="327"/>
      <c r="M153"/>
    </row>
    <row r="154" spans="1:13" s="3" customFormat="1">
      <c r="A154" s="327"/>
      <c r="M154"/>
    </row>
    <row r="155" spans="1:13" s="3" customFormat="1">
      <c r="A155" s="327"/>
      <c r="M155"/>
    </row>
    <row r="156" spans="1:13" s="3" customFormat="1">
      <c r="A156" s="327"/>
      <c r="M156"/>
    </row>
    <row r="157" spans="1:13" s="3" customFormat="1">
      <c r="A157" s="327"/>
      <c r="M157"/>
    </row>
    <row r="158" spans="1:13" s="3" customFormat="1">
      <c r="A158" s="327"/>
      <c r="M158"/>
    </row>
    <row r="159" spans="1:13" s="3" customFormat="1">
      <c r="A159" s="327"/>
      <c r="M159"/>
    </row>
    <row r="160" spans="1:13" s="3" customFormat="1">
      <c r="A160" s="327"/>
      <c r="M160"/>
    </row>
    <row r="161" spans="1:13" s="3" customFormat="1">
      <c r="A161" s="327"/>
      <c r="M161"/>
    </row>
    <row r="162" spans="1:13" s="3" customFormat="1">
      <c r="A162" s="327"/>
      <c r="M162"/>
    </row>
    <row r="163" spans="1:13" s="3" customFormat="1">
      <c r="A163" s="327"/>
      <c r="M163"/>
    </row>
  </sheetData>
  <pageMargins left="0.7" right="0.7" top="0.78740157499999996" bottom="0.78740157499999996"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F558-FF82-4AB7-9B75-64E0F1E4A17A}">
  <sheetPr>
    <tabColor theme="2" tint="-0.499984740745262"/>
  </sheetPr>
  <dimension ref="A1:M163"/>
  <sheetViews>
    <sheetView topLeftCell="A10" zoomScale="115" zoomScaleNormal="115" workbookViewId="0">
      <selection activeCell="C35" sqref="C35"/>
    </sheetView>
  </sheetViews>
  <sheetFormatPr defaultColWidth="11.28515625" defaultRowHeight="15"/>
  <cols>
    <col min="1" max="1" width="40.7109375" style="3" bestFit="1" customWidth="1"/>
    <col min="2" max="2" width="1.5703125" style="3" customWidth="1"/>
    <col min="3" max="12" width="11.28515625" style="3"/>
  </cols>
  <sheetData>
    <row r="1" spans="1:13" s="340" customFormat="1" ht="26.1" customHeight="1">
      <c r="A1" s="371" t="s">
        <v>468</v>
      </c>
      <c r="B1" s="722" t="str">
        <f>B2</f>
        <v>LUV-US</v>
      </c>
    </row>
    <row r="2" spans="1:13">
      <c r="A2" s="327" t="str">
        <f>IS!A8</f>
        <v>Ticker</v>
      </c>
      <c r="B2" s="327" t="str">
        <f>'Industry Ratios'!G3</f>
        <v>LUV-US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f>IS!B11</f>
        <v>0</v>
      </c>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f>IS!B12</f>
        <v>0</v>
      </c>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CFS!A13</f>
        <v>Cash Flow</v>
      </c>
      <c r="B7" s="353"/>
      <c r="C7" s="353"/>
      <c r="D7" s="353"/>
      <c r="E7" s="353"/>
      <c r="F7" s="353"/>
      <c r="G7" s="353"/>
      <c r="H7" s="353"/>
      <c r="I7" s="353"/>
      <c r="J7" s="353"/>
      <c r="K7" s="353"/>
      <c r="L7" s="353"/>
      <c r="M7" s="16"/>
    </row>
    <row r="8" spans="1:13">
      <c r="A8" s="353" t="str">
        <f>CFS!A14</f>
        <v>Operating Activities</v>
      </c>
      <c r="B8" s="353"/>
      <c r="C8" s="353"/>
      <c r="D8" s="353"/>
      <c r="E8" s="353"/>
      <c r="F8" s="353"/>
      <c r="G8" s="353"/>
      <c r="H8" s="353"/>
      <c r="I8" s="353"/>
      <c r="J8" s="353"/>
      <c r="K8" s="353"/>
      <c r="L8" s="353"/>
      <c r="M8" s="16"/>
    </row>
    <row r="9" spans="1:13">
      <c r="A9" s="344" t="str">
        <f>CFS!A15</f>
        <v>Net Income / Starting Line</v>
      </c>
      <c r="B9" s="344" t="str">
        <f>CFS!B15</f>
        <v>-</v>
      </c>
      <c r="C9" s="344">
        <f>'AC-CA IS-adj'!C14</f>
        <v>-3.24648</v>
      </c>
      <c r="D9" s="344">
        <f>'AC-CA IS-adj'!D14</f>
        <v>1.3608000000000002</v>
      </c>
      <c r="E9" s="344">
        <f>'AC-CA IS-adj'!E14</f>
        <v>1.1203199999999995</v>
      </c>
      <c r="F9" s="344">
        <f>'AC-CA IS-adj'!F14</f>
        <v>2.8389600000000002</v>
      </c>
      <c r="G9" s="344">
        <f>'AC-CA IS-adj'!G14</f>
        <v>2.7907200000000003</v>
      </c>
      <c r="H9" s="344">
        <f>'AC-CA IS-adj'!H14</f>
        <v>2.8364400000000005</v>
      </c>
      <c r="I9" s="344">
        <f>'AC-CA IS-adj'!I14</f>
        <v>2.8044000000000011</v>
      </c>
      <c r="J9" s="344">
        <f>'AC-CA IS-adj'!J14</f>
        <v>1.8453600215999995</v>
      </c>
      <c r="K9" s="344">
        <f>'AC-CA IS-adj'!K14</f>
        <v>1.8381600000000007</v>
      </c>
      <c r="L9" s="344">
        <f>'AC-CA IS-adj'!L14</f>
        <v>1.7056800000000008</v>
      </c>
      <c r="M9" s="16"/>
    </row>
    <row r="10" spans="1:13">
      <c r="A10" s="347" t="str">
        <f>CFS!A16</f>
        <v>Depreciation, Depletion &amp; Amortization</v>
      </c>
      <c r="B10" s="347" t="str">
        <f>CFS!B16</f>
        <v>-</v>
      </c>
      <c r="C10" s="1118" cm="1">
        <f t="array" ref="C10">_xll.FDS($B2,"FF_DEP_AMORT_EXP(ANN_R,"&amp;'AAL-US IS-adj'!C5&amp;",,,,,B)")</f>
        <v>1.2549999999999999</v>
      </c>
      <c r="D10" s="1118" cm="1">
        <f t="array" ref="D10">_xll.FDS($B2,"FF_DEP_AMORT_EXP(ANN_R,"&amp;'AAL-US IS-adj'!D5&amp;",,,,,B)")</f>
        <v>1.2190000000000001</v>
      </c>
      <c r="E10" s="1118" cm="1">
        <f t="array" ref="E10">_xll.FDS($B2,"FF_DEP_AMORT_EXP(ANN_R,"&amp;'AAL-US IS-adj'!E5&amp;",,,,,B)")</f>
        <v>1.2010000000000001</v>
      </c>
      <c r="F10" s="1118" cm="1">
        <f t="array" ref="F10">_xll.FDS($B2,"FF_DEP_AMORT_EXP(ANN_R,"&amp;'AAL-US IS-adj'!F5&amp;",,,,,B)")</f>
        <v>1.218</v>
      </c>
      <c r="G10" s="1118" cm="1">
        <f t="array" ref="G10">_xll.FDS($B2,"FF_DEP_AMORT_EXP(ANN_R,"&amp;'AAL-US IS-adj'!G5&amp;",,,,,B)")</f>
        <v>1.2210000000000001</v>
      </c>
      <c r="H10" s="1118" cm="1">
        <f t="array" ref="H10">_xll.FDS($B2,"FF_DEP_AMORT_EXP(ANN_R,"&amp;'AAL-US IS-adj'!H5&amp;",,,,,B)")</f>
        <v>1.0149999999999999</v>
      </c>
      <c r="I10" s="1118" cm="1">
        <f t="array" ref="I10">_xll.FDS($B2,"FF_DEP_AMORT_EXP(ANN_R,"&amp;'AAL-US IS-adj'!I5&amp;",,,,,B)")</f>
        <v>0.93799999999999994</v>
      </c>
      <c r="J10" s="1118" cm="1">
        <f t="array" ref="J10">_xll.FDS($B2,"FF_DEP_AMORT_EXP(ANN_R,"&amp;'AAL-US IS-adj'!J5&amp;",,,,,B)")</f>
        <v>0.86699999999999999</v>
      </c>
      <c r="K10" s="1118" cm="1">
        <f t="array" ref="K10">_xll.FDS($B2,"FF_DEP_AMORT_EXP(ANN_R,"&amp;'AAL-US IS-adj'!K5&amp;",,,,,B)")</f>
        <v>0.84399999999999997</v>
      </c>
      <c r="L10" s="1118" cm="1">
        <f t="array" ref="L10">_xll.FDS($B2,"FF_DEP_AMORT_EXP(ANN_R,"&amp;'AAL-US IS-adj'!L5&amp;",,,,,B)")</f>
        <v>0.71499999999999997</v>
      </c>
      <c r="M10" s="16"/>
    </row>
    <row r="11" spans="1:13">
      <c r="A11" s="373" t="s">
        <v>469</v>
      </c>
      <c r="B11" s="373"/>
      <c r="C11" s="373">
        <f>'LUV-US R&amp;D'!C47</f>
        <v>0</v>
      </c>
      <c r="D11" s="373">
        <f>'LUV-US R&amp;D'!D47</f>
        <v>0</v>
      </c>
      <c r="E11" s="373">
        <f>'LUV-US R&amp;D'!E47</f>
        <v>0</v>
      </c>
      <c r="F11" s="373">
        <f>'LUV-US R&amp;D'!F47</f>
        <v>0</v>
      </c>
      <c r="G11" s="373">
        <f>'LUV-US R&amp;D'!G47</f>
        <v>0</v>
      </c>
      <c r="H11" s="373">
        <f>'LUV-US R&amp;D'!H47</f>
        <v>0</v>
      </c>
      <c r="I11" s="373">
        <f>'LUV-US R&amp;D'!I47</f>
        <v>0</v>
      </c>
      <c r="J11" s="373">
        <f>'LUV-US R&amp;D'!J47</f>
        <v>0</v>
      </c>
      <c r="K11" s="373">
        <f>'LUV-US R&amp;D'!K47</f>
        <v>0</v>
      </c>
      <c r="L11" s="373">
        <f>'LUV-US R&amp;D'!L47</f>
        <v>0</v>
      </c>
      <c r="M11" s="16"/>
    </row>
    <row r="12" spans="1:13">
      <c r="A12" s="373" t="s">
        <v>470</v>
      </c>
      <c r="B12" s="373"/>
      <c r="C12" s="373">
        <f>'LUV-US Lease'!C30</f>
        <v>0</v>
      </c>
      <c r="D12" s="373">
        <f>'LUV-US Lease'!D30</f>
        <v>0</v>
      </c>
      <c r="E12" s="373">
        <f>'LUV-US Lease'!E30</f>
        <v>0.18091806730986895</v>
      </c>
      <c r="F12" s="373">
        <f>'LUV-US Lease'!F30</f>
        <v>0.27690079432541309</v>
      </c>
      <c r="G12" s="373">
        <f>'LUV-US Lease'!G30</f>
        <v>0.37288352134095715</v>
      </c>
      <c r="H12" s="373">
        <f>'LUV-US Lease'!H30</f>
        <v>0.39180095376613217</v>
      </c>
      <c r="I12" s="373">
        <f>'LUV-US Lease'!I30</f>
        <v>0.39618041064594456</v>
      </c>
      <c r="J12" s="373">
        <f>'LUV-US Lease'!J30</f>
        <v>0.4005598675257569</v>
      </c>
      <c r="K12" s="373">
        <f>'LUV-US Lease'!K30</f>
        <v>0.39690356169495611</v>
      </c>
      <c r="L12" s="373">
        <f>'LUV-US Lease'!L30</f>
        <v>0.49784820204245089</v>
      </c>
      <c r="M12" s="16"/>
    </row>
    <row r="13" spans="1:13">
      <c r="A13" s="347" t="str">
        <f>CFS!A17</f>
        <v>Deferred Taxes &amp; Investment Tax Credit</v>
      </c>
      <c r="B13" s="347">
        <f>CFS!B17</f>
        <v>-3.11</v>
      </c>
      <c r="C13" s="1118" cm="1">
        <f t="array" ref="C13">IFERROR(_xll.FDS($B2,"FF_DFD_TAX(ANN_R,"&amp;'AAL-US IS-adj'!C5&amp;",,,,,B)"),0)</f>
        <v>1.6339999999999999</v>
      </c>
      <c r="D13" s="1118" cm="1">
        <f t="array" ref="D13">IFERROR(_xll.FDS($B2,"FF_DFD_TAX(ANN_R,"&amp;'AAL-US IS-adj'!D5&amp;",,,,,B)"),0)</f>
        <v>2.3639999999999999</v>
      </c>
      <c r="E13" s="1118" cm="1">
        <f t="array" ref="E13">IFERROR(_xll.FDS($B2,"FF_DFD_TAX(ANN_R,"&amp;'AAL-US IS-adj'!E5&amp;",,,,,B)"),0)</f>
        <v>2.427</v>
      </c>
      <c r="F13" s="1118" cm="1">
        <f t="array" ref="F13">IFERROR(_xll.FDS($B2,"FF_DFD_TAX(ANN_R,"&amp;'AAL-US IS-adj'!F5&amp;",,,,,B)"),0)</f>
        <v>2.1190000000000002</v>
      </c>
      <c r="G13" s="1118" cm="1">
        <f t="array" ref="G13">IFERROR(_xll.FDS($B2,"FF_DFD_TAX(ANN_R,"&amp;'AAL-US IS-adj'!G5&amp;",,,,,B)"),0)</f>
        <v>3.3740000000000001</v>
      </c>
      <c r="H13" s="1118" cm="1">
        <f t="array" ref="H13">IFERROR(_xll.FDS($B2,"FF_DFD_TAX(ANN_R,"&amp;'AAL-US IS-adj'!H5&amp;",,,,,B)"),0)</f>
        <v>2.4900000000000002</v>
      </c>
      <c r="I13" s="1118" cm="1">
        <f t="array" ref="I13">IFERROR(_xll.FDS($B2,"FF_DFD_TAX(ANN_R,"&amp;'AAL-US IS-adj'!I5&amp;",,,,,B)"),0)</f>
        <v>3.2589999999999999</v>
      </c>
      <c r="J13" s="1118" cm="1">
        <f t="array" ref="J13">IFERROR(_xll.FDS($B2,"FF_DFD_TAX(ANN_R,"&amp;'AAL-US IS-adj'!J5&amp;",,,,,B)"),0)</f>
        <v>2.9340000000000002</v>
      </c>
      <c r="K13" s="1118" cm="1">
        <f t="array" ref="K13">IFERROR(_xll.FDS($B2,"FF_DFD_TAX(ANN_R,"&amp;'AAL-US IS-adj'!K5&amp;",,,,,B)"),0)</f>
        <v>2.8839999999999999</v>
      </c>
      <c r="L13" s="1118" cm="1">
        <f t="array" ref="L13">IFERROR(_xll.FDS($B2,"FF_DFD_TAX(ANN_R,"&amp;'AAL-US IS-adj'!L5&amp;",,,,,B)"),0)</f>
        <v>2.5659999999999998</v>
      </c>
      <c r="M13" s="16"/>
    </row>
    <row r="14" spans="1:13">
      <c r="A14" s="347" t="str">
        <f>CFS!A18</f>
        <v>Other Funds</v>
      </c>
      <c r="B14" s="347" t="str">
        <f>CFS!B18</f>
        <v>-</v>
      </c>
      <c r="C14" s="1118" cm="1">
        <f t="array" ref="C14:L14">_xll.FDSRC("-",B2,"FF_NON_CASH('ANN','0','-9','YEARLY',RP,'LOCAL','B')")</f>
        <v>-0.17499999999999999</v>
      </c>
      <c r="D14" s="1118">
        <v>0</v>
      </c>
      <c r="E14" s="347">
        <v>-1.4E-2</v>
      </c>
      <c r="F14" s="347">
        <v>1.2999999999999999E-2</v>
      </c>
      <c r="G14" s="347">
        <v>-0.17899999999999999</v>
      </c>
      <c r="H14" s="347">
        <v>0.113</v>
      </c>
      <c r="I14" s="347">
        <v>0.27900000000000003</v>
      </c>
      <c r="J14" s="347">
        <v>-5.0000000000000001E-3</v>
      </c>
      <c r="K14" s="347">
        <v>-0.20100000000000001</v>
      </c>
      <c r="L14" s="347">
        <v>7.6999999999999999E-2</v>
      </c>
      <c r="M14" s="16"/>
    </row>
    <row r="15" spans="1:13">
      <c r="A15" s="367" t="str">
        <f>CFS!A19</f>
        <v>Funds from Operations</v>
      </c>
      <c r="B15" s="367" t="str">
        <f>CFS!B19</f>
        <v>-</v>
      </c>
      <c r="C15" s="367">
        <f>SUM(C9:C14)</f>
        <v>-0.53248000000000029</v>
      </c>
      <c r="D15" s="367">
        <f t="shared" ref="D15:L15" si="0">SUM(D9:D14)</f>
        <v>4.9438000000000004</v>
      </c>
      <c r="E15" s="367">
        <f t="shared" si="0"/>
        <v>4.9152380673098683</v>
      </c>
      <c r="F15" s="367">
        <f t="shared" si="0"/>
        <v>6.4658607943254136</v>
      </c>
      <c r="G15" s="367">
        <f t="shared" si="0"/>
        <v>7.5796035213409567</v>
      </c>
      <c r="H15" s="367">
        <f t="shared" si="0"/>
        <v>6.8462409537661326</v>
      </c>
      <c r="I15" s="367">
        <f t="shared" si="0"/>
        <v>7.6765804106459452</v>
      </c>
      <c r="J15" s="367">
        <f t="shared" si="0"/>
        <v>6.0419198891257571</v>
      </c>
      <c r="K15" s="367">
        <f>SUM(K9:K14)</f>
        <v>5.7620635616949576</v>
      </c>
      <c r="L15" s="367">
        <f t="shared" si="0"/>
        <v>5.5615282020424512</v>
      </c>
      <c r="M15" s="16"/>
    </row>
    <row r="16" spans="1:13">
      <c r="A16" s="347" t="str">
        <f>CFS!A20</f>
        <v>Changes in Working Capital</v>
      </c>
      <c r="B16" s="347" t="str">
        <f>CFS!B20</f>
        <v>-</v>
      </c>
      <c r="C16" s="347">
        <f>IF(ISNUMBER(CFS!C20),CFS!C20,0)</f>
        <v>1.9490000000000001</v>
      </c>
      <c r="D16" s="347">
        <f>IF(ISNUMBER(CFS!D20),CFS!D20,0)</f>
        <v>0.52600000000000002</v>
      </c>
      <c r="E16" s="347">
        <f>IF(ISNUMBER(CFS!E20),CFS!E20,0)</f>
        <v>0.17599999999999999</v>
      </c>
      <c r="F16" s="347">
        <f>IF(ISNUMBER(CFS!F20),CFS!F20,0)</f>
        <v>0.57499999999999996</v>
      </c>
      <c r="G16" s="347">
        <f>IF(ISNUMBER(CFS!G20),CFS!G20,0)</f>
        <v>-6.3E-2</v>
      </c>
      <c r="H16" s="347">
        <f>IF(ISNUMBER(CFS!H20),CFS!H20,0)</f>
        <v>1.335</v>
      </c>
      <c r="I16" s="347">
        <f>IF(ISNUMBER(CFS!I20),CFS!I20,0)</f>
        <v>-0.61299999999999999</v>
      </c>
      <c r="J16" s="347">
        <f>IF(ISNUMBER(CFS!J20),CFS!J20,0)</f>
        <v>0.51300000000000001</v>
      </c>
      <c r="K16" s="347">
        <f>IF(ISNUMBER(CFS!K20),CFS!K20,0)</f>
        <v>0.14799999999999999</v>
      </c>
      <c r="L16" s="347">
        <f>IF(ISNUMBER(CFS!L20),CFS!L20,0)</f>
        <v>0.157</v>
      </c>
      <c r="M16" s="16"/>
    </row>
    <row r="17" spans="1:13" s="17" customFormat="1">
      <c r="A17" s="1096" t="str">
        <f>CFS!A21</f>
        <v>Net Operating Cash Flow</v>
      </c>
      <c r="B17" s="1096">
        <f>CFS!B21</f>
        <v>1.4219999999999999</v>
      </c>
      <c r="C17" s="1096" cm="1">
        <f t="array" ref="C17:L17">_xll.FDSRC("-",B2,"FF_WKCAP_CHG('ANN','0','-9','YEARLY',RP,'LOCAL','B')")</f>
        <v>1.583</v>
      </c>
      <c r="D17" s="1096">
        <v>0.52300000000000002</v>
      </c>
      <c r="E17" s="1096">
        <v>0.94</v>
      </c>
      <c r="F17" s="1096">
        <v>0.42199999999999999</v>
      </c>
      <c r="G17" s="1096">
        <v>0.55200000000000005</v>
      </c>
      <c r="H17" s="1096">
        <v>3.7999999999999999E-2</v>
      </c>
      <c r="I17" s="1096">
        <v>4.8000000000000001E-2</v>
      </c>
      <c r="J17" s="1096">
        <v>0.81100000000000005</v>
      </c>
      <c r="K17" s="1096">
        <v>0.749</v>
      </c>
      <c r="L17" s="1096">
        <v>0.29199999999999998</v>
      </c>
      <c r="M17" s="18"/>
    </row>
    <row r="18" spans="1:13">
      <c r="A18" s="344" t="str">
        <f>CFS!A22</f>
        <v>Investing Activities</v>
      </c>
      <c r="B18" s="344"/>
      <c r="C18" s="344"/>
      <c r="D18" s="344"/>
      <c r="E18" s="344"/>
      <c r="F18" s="344"/>
      <c r="G18" s="344"/>
      <c r="H18" s="344"/>
      <c r="I18" s="344"/>
      <c r="J18" s="344"/>
      <c r="K18" s="344"/>
      <c r="L18" s="344"/>
      <c r="M18" s="16"/>
    </row>
    <row r="19" spans="1:13">
      <c r="A19" s="347" t="str">
        <f>CFS!A23</f>
        <v>Capital Expenditures</v>
      </c>
      <c r="B19" s="347">
        <f>CFS!B23</f>
        <v>-2.577</v>
      </c>
      <c r="C19" s="1118" cm="1">
        <f t="array" ref="C19">_xll.FDS($B2,"FF_CAPEX(ANN_R,"&amp;C5&amp;",,,,,B)")</f>
        <v>0.51500000000000001</v>
      </c>
      <c r="D19" s="1118" cm="1">
        <f t="array" ref="D19">_xll.FDS($B2,"FF_CAPEX(ANN_R,"&amp;D5&amp;",,,,,B)")</f>
        <v>1.0269999999999999</v>
      </c>
      <c r="E19" s="1118" cm="1">
        <f t="array" ref="E19">_xll.FDS($B2,"FF_CAPEX(ANN_R,"&amp;E5&amp;",,,,,B)")</f>
        <v>1.976</v>
      </c>
      <c r="F19" s="1118" cm="1">
        <f t="array" ref="F19">_xll.FDS($B2,"FF_CAPEX(ANN_R,"&amp;F5&amp;",,,,,B)")</f>
        <v>2.2490000000000001</v>
      </c>
      <c r="G19" s="1118" cm="1">
        <f t="array" ref="G19">_xll.FDS($B2,"FF_CAPEX(ANN_R,"&amp;G5&amp;",,,,,B)")</f>
        <v>2.1469999999999998</v>
      </c>
      <c r="H19" s="1118" cm="1">
        <f t="array" ref="H19">_xll.FDS($B2,"FF_CAPEX(ANN_R,"&amp;H5&amp;",,,,,B)")</f>
        <v>2.1429999999999998</v>
      </c>
      <c r="I19" s="1118" cm="1">
        <f t="array" ref="I19">_xll.FDS($B2,"FF_CAPEX(ANN_R,"&amp;I5&amp;",,,,,B)")</f>
        <v>1.8280000000000001</v>
      </c>
      <c r="J19" s="1118" cm="1">
        <f t="array" ref="J19">_xll.FDS($B2,"FF_CAPEX(ANN_R,"&amp;J5&amp;",,,,,B)")</f>
        <v>1.4470000000000001</v>
      </c>
      <c r="K19" s="1118" cm="1">
        <f t="array" ref="K19">_xll.FDS($B2,"FF_CAPEX(ANN_R,"&amp;K5&amp;",,,,,B)")</f>
        <v>1.3480000000000001</v>
      </c>
      <c r="L19" s="1118" cm="1">
        <f t="array" ref="L19">_xll.FDS($B2,"FF_CAPEX(ANN_R,"&amp;L5&amp;",,,,,B)")</f>
        <v>0.96799999999999997</v>
      </c>
      <c r="M19" s="16"/>
    </row>
    <row r="20" spans="1:13">
      <c r="A20" s="373" t="s">
        <v>471</v>
      </c>
      <c r="B20" s="373"/>
      <c r="C20" s="373">
        <f>-('LUV-US R&amp;D'!C10)</f>
        <v>0</v>
      </c>
      <c r="D20" s="373">
        <f>-('LUV-US R&amp;D'!D10)</f>
        <v>0</v>
      </c>
      <c r="E20" s="373">
        <f>-('LUV-US R&amp;D'!E10)</f>
        <v>0</v>
      </c>
      <c r="F20" s="373">
        <f>-('LUV-US R&amp;D'!F10)</f>
        <v>0</v>
      </c>
      <c r="G20" s="373">
        <f>-('LUV-US R&amp;D'!G10)</f>
        <v>0</v>
      </c>
      <c r="H20" s="373">
        <f>-('LUV-US R&amp;D'!H10)</f>
        <v>0</v>
      </c>
      <c r="I20" s="373">
        <f>-('LUV-US R&amp;D'!I10)</f>
        <v>0</v>
      </c>
      <c r="J20" s="373">
        <f>-('LUV-US R&amp;D'!J10)</f>
        <v>0</v>
      </c>
      <c r="K20" s="373">
        <f>-('LUV-US R&amp;D'!K10)</f>
        <v>0</v>
      </c>
      <c r="L20" s="373">
        <f>-('LUV-US R&amp;D'!L10)</f>
        <v>0</v>
      </c>
      <c r="M20" s="16"/>
    </row>
    <row r="21" spans="1:13">
      <c r="A21" s="347" t="str">
        <f>CFS!A24</f>
        <v>Net Assets from Acquisitions</v>
      </c>
      <c r="B21" s="347">
        <f>CFS!B24</f>
        <v>0</v>
      </c>
      <c r="C21" s="347" cm="1">
        <f t="array" ref="C21:L21">_xll.FDSRC("-",B2,"-FF_ACQ_BUS_CF('ANN','0','-9','YEARLY',RP,'LOCAL','B')")</f>
        <v>0</v>
      </c>
      <c r="D21" s="347">
        <v>0</v>
      </c>
      <c r="E21" s="347">
        <v>0</v>
      </c>
      <c r="F21" s="347">
        <v>0</v>
      </c>
      <c r="G21" s="347">
        <v>0</v>
      </c>
      <c r="H21" s="347">
        <v>0</v>
      </c>
      <c r="I21" s="347">
        <v>0</v>
      </c>
      <c r="J21" s="347">
        <v>0</v>
      </c>
      <c r="K21" s="347">
        <v>0</v>
      </c>
      <c r="L21" s="347">
        <v>-3.5000000000000003E-2</v>
      </c>
      <c r="M21" s="16"/>
    </row>
    <row r="22" spans="1:13" s="17" customFormat="1">
      <c r="A22" s="347" t="str">
        <f>CFS!A25</f>
        <v>Purchase/Sale of Investments</v>
      </c>
      <c r="B22" s="347">
        <f>CFS!B25</f>
        <v>0.61300000000000099</v>
      </c>
      <c r="C22" s="347" cm="1">
        <f t="array" ref="C22:L22">_xll.FDSRC("-",B2,"FF_INVEST_PURCH_SALE_CF('ANN','0','-9','YEARLY',RP,'LOCAL','B')")</f>
        <v>-0.74399999999999999</v>
      </c>
      <c r="D22" s="347">
        <v>0.32400000000000001</v>
      </c>
      <c r="E22" s="347">
        <v>-6.7000000000000198E-2</v>
      </c>
      <c r="F22" s="347">
        <v>-0.159</v>
      </c>
      <c r="G22" s="347">
        <v>-0.125</v>
      </c>
      <c r="H22" s="347">
        <v>0.23699999999999999</v>
      </c>
      <c r="I22" s="347">
        <v>0.105</v>
      </c>
      <c r="J22" s="347">
        <v>6.2999999999999695E-2</v>
      </c>
      <c r="K22" s="347">
        <v>0.51500000000000001</v>
      </c>
      <c r="L22" s="347">
        <v>-4.8000000000000001E-2</v>
      </c>
      <c r="M22" s="18"/>
    </row>
    <row r="23" spans="1:13">
      <c r="A23" s="347" t="str">
        <f>CFS!A26</f>
        <v>Other Funds</v>
      </c>
      <c r="B23" s="347">
        <f>CFS!B26</f>
        <v>0.498</v>
      </c>
      <c r="C23" s="347" cm="1">
        <f t="array" ref="C23:L23">_xll.FDSRC("-",$B$2,"SUMAV(FF_INVEST_USES_CF('ANN','0','-9','YEARLY',RP,'LOCAL','B'),FF_INVEST_SOURCES_CF('ANN','0','-9','YEARLY',RP,'LOCAL','B'))")</f>
        <v>0.42799999999999999</v>
      </c>
      <c r="D23" s="347">
        <v>0.4</v>
      </c>
      <c r="E23" s="347">
        <v>5.0000000000000001E-3</v>
      </c>
      <c r="F23" s="347">
        <v>0</v>
      </c>
      <c r="G23" s="347">
        <v>0</v>
      </c>
      <c r="H23" s="347">
        <v>-7.0000000000000001E-3</v>
      </c>
      <c r="I23" s="347">
        <v>-4.0000000000000001E-3</v>
      </c>
      <c r="J23" s="347">
        <v>0</v>
      </c>
      <c r="K23" s="347">
        <v>0</v>
      </c>
      <c r="L23" s="347">
        <v>0</v>
      </c>
      <c r="M23" s="16"/>
    </row>
    <row r="24" spans="1:13">
      <c r="A24" s="1096" t="str">
        <f>CFS!A27</f>
        <v>Net Investing Cash Flow</v>
      </c>
      <c r="B24" s="1096">
        <f>CFS!B27</f>
        <v>-1.466</v>
      </c>
      <c r="C24" s="1096">
        <f>SUM(C19:C23)</f>
        <v>0.19900000000000001</v>
      </c>
      <c r="D24" s="1096">
        <f t="shared" ref="D24:L24" si="1">SUM(D19:D23)</f>
        <v>1.7509999999999999</v>
      </c>
      <c r="E24" s="1096">
        <f t="shared" si="1"/>
        <v>1.9139999999999997</v>
      </c>
      <c r="F24" s="1096">
        <f t="shared" si="1"/>
        <v>2.0900000000000003</v>
      </c>
      <c r="G24" s="1096">
        <f t="shared" si="1"/>
        <v>2.0219999999999998</v>
      </c>
      <c r="H24" s="1096">
        <f t="shared" si="1"/>
        <v>2.3729999999999998</v>
      </c>
      <c r="I24" s="1096">
        <f t="shared" si="1"/>
        <v>1.929</v>
      </c>
      <c r="J24" s="1096">
        <f t="shared" si="1"/>
        <v>1.5099999999999998</v>
      </c>
      <c r="K24" s="1096">
        <f t="shared" si="1"/>
        <v>1.863</v>
      </c>
      <c r="L24" s="1096">
        <f t="shared" si="1"/>
        <v>0.8849999999999999</v>
      </c>
      <c r="M24" s="16"/>
    </row>
    <row r="25" spans="1:13">
      <c r="A25" s="344" t="str">
        <f>CFS!A28</f>
        <v>Financing Activities</v>
      </c>
      <c r="B25" s="344">
        <f>CFS!B28</f>
        <v>0</v>
      </c>
      <c r="C25" s="344"/>
      <c r="D25" s="344"/>
      <c r="E25" s="344"/>
      <c r="F25" s="344"/>
      <c r="G25" s="344"/>
      <c r="H25" s="344"/>
      <c r="I25" s="344"/>
      <c r="J25" s="344"/>
      <c r="K25" s="344"/>
      <c r="L25" s="344"/>
      <c r="M25" s="16"/>
    </row>
    <row r="26" spans="1:13">
      <c r="A26" s="347" t="str">
        <f>CFS!A29</f>
        <v>Cash Dividends Paid</v>
      </c>
      <c r="B26" s="347">
        <f>CFS!B29</f>
        <v>0</v>
      </c>
      <c r="C26" s="347" cm="1">
        <f t="array" ref="C26:L26">_xll.FDSRC("-",$B2,"-FF_DIV_CF('ANN','0','-9','YEARLY',RP,'LOCAL','B')")</f>
        <v>-0.188</v>
      </c>
      <c r="D26" s="347">
        <v>-0.372</v>
      </c>
      <c r="E26" s="347">
        <v>-0.33200000000000002</v>
      </c>
      <c r="F26" s="347">
        <v>-0.27400000000000002</v>
      </c>
      <c r="G26" s="347">
        <v>-0.222</v>
      </c>
      <c r="H26" s="347">
        <v>-0.18</v>
      </c>
      <c r="I26" s="347">
        <v>-0.13900000000000001</v>
      </c>
      <c r="J26" s="347">
        <v>-7.0999999999999994E-2</v>
      </c>
      <c r="K26" s="347">
        <v>-2.1999999999999999E-2</v>
      </c>
      <c r="L26" s="347">
        <v>-1.4E-2</v>
      </c>
      <c r="M26" s="16"/>
    </row>
    <row r="27" spans="1:13">
      <c r="A27" s="347" t="str">
        <f>CFS!A30</f>
        <v>Change in Capital Stock</v>
      </c>
      <c r="B27" s="347">
        <f>CFS!B30</f>
        <v>0</v>
      </c>
      <c r="C27" s="347" cm="1">
        <f t="array" ref="C27:L27">_xll.FDSRC("-",$B$2,"FF_STK_CHG_CF('ANN','0','-9','YEARLY',RP,'LOCAL','B')")</f>
        <v>1.891</v>
      </c>
      <c r="D27" s="347">
        <v>-1.96</v>
      </c>
      <c r="E27" s="347">
        <v>-1.9650000000000001</v>
      </c>
      <c r="F27" s="347">
        <v>-1.571</v>
      </c>
      <c r="G27" s="347">
        <v>-1.7210000000000001</v>
      </c>
      <c r="H27" s="347">
        <v>-1.1339999999999999</v>
      </c>
      <c r="I27" s="347">
        <v>-0.84499999999999997</v>
      </c>
      <c r="J27" s="347">
        <v>-0.44400000000000001</v>
      </c>
      <c r="K27" s="347">
        <v>-0.373</v>
      </c>
      <c r="L27" s="347">
        <v>-0.20499999999999999</v>
      </c>
      <c r="M27" s="16"/>
    </row>
    <row r="28" spans="1:13">
      <c r="A28" s="347" t="str">
        <f>CFS!A31</f>
        <v>Issuance/Reduction of Debt, Net</v>
      </c>
      <c r="B28" s="347">
        <f>CFS!B31</f>
        <v>-8.7149999999999999</v>
      </c>
      <c r="C28" s="347" cm="1">
        <f t="array" ref="C28:L28">_xll.FDSRC("-",$B$2,"FF_DEBT_CF('ANN','0','-9','YEARLY',RP,'LOCAL','B')")</f>
        <v>7.9649999999999999</v>
      </c>
      <c r="D28" s="347">
        <v>-0.61499999999999999</v>
      </c>
      <c r="E28" s="347">
        <v>-0.34200000000000003</v>
      </c>
      <c r="F28" s="347">
        <v>8.0000000000000106E-3</v>
      </c>
      <c r="G28" s="347">
        <v>-7.5999999999999998E-2</v>
      </c>
      <c r="H28" s="347">
        <v>0.28699999999999998</v>
      </c>
      <c r="I28" s="347">
        <v>-0.26100000000000001</v>
      </c>
      <c r="J28" s="347">
        <v>-0.318</v>
      </c>
      <c r="K28" s="347">
        <v>-0.57799999999999996</v>
      </c>
      <c r="L28" s="347">
        <v>-0.621</v>
      </c>
      <c r="M28" s="16"/>
    </row>
    <row r="29" spans="1:13">
      <c r="A29" s="347" t="s">
        <v>473</v>
      </c>
      <c r="B29" s="347"/>
      <c r="C29" s="347" cm="1">
        <f t="array" ref="C29:L29">_xll.FDSRC("-",$B2,"FF_FIN_ACTIV_OTH_CF('ANN','0','-9','YEARLY',RP,'LOCAL','B')")</f>
        <v>-0.01</v>
      </c>
      <c r="D29" s="347">
        <v>-4.2999999999999997E-2</v>
      </c>
      <c r="E29" s="347">
        <v>0.14299999999999999</v>
      </c>
      <c r="F29" s="347">
        <v>0.13100000000000001</v>
      </c>
      <c r="G29" s="347">
        <v>9.5000000000000001E-2</v>
      </c>
      <c r="H29" s="347">
        <v>3.0000000000000001E-3</v>
      </c>
      <c r="I29" s="347">
        <v>-3.0000000000000001E-3</v>
      </c>
      <c r="J29" s="347">
        <v>-1.7999999999999999E-2</v>
      </c>
      <c r="K29" s="347">
        <v>2.5999999999999999E-2</v>
      </c>
      <c r="L29" s="347">
        <v>7.3999999999999996E-2</v>
      </c>
      <c r="M29" s="16"/>
    </row>
    <row r="30" spans="1:13">
      <c r="A30" s="373" t="str">
        <f>CFS!A32&amp;" incl. required funding for R&amp;D"</f>
        <v>Other Funds incl. required funding for R&amp;D</v>
      </c>
      <c r="B30" s="373">
        <f>CFS!B32</f>
        <v>7.2999999999999995E-2</v>
      </c>
      <c r="C30" s="373">
        <f>C29-(C17+C24+SUM(C26:C28,C29)-C33)</f>
        <v>-5.1249999999999991</v>
      </c>
      <c r="D30" s="373">
        <f t="shared" ref="D30:L30" si="2">D29-(D17+D24+SUM(D26:D28,D29)-D33)</f>
        <v>1.6550000000000002</v>
      </c>
      <c r="E30" s="373">
        <f t="shared" si="2"/>
        <v>0.68000000000000083</v>
      </c>
      <c r="F30" s="373">
        <f t="shared" si="2"/>
        <v>-1.6230000000000004</v>
      </c>
      <c r="G30" s="373">
        <f t="shared" si="2"/>
        <v>0.24600000000000036</v>
      </c>
      <c r="H30" s="373">
        <f t="shared" si="2"/>
        <v>-1.5069999999999997</v>
      </c>
      <c r="I30" s="373">
        <f t="shared" si="2"/>
        <v>-1.55</v>
      </c>
      <c r="J30" s="373">
        <f t="shared" si="2"/>
        <v>-1.2909999999999997</v>
      </c>
      <c r="K30" s="373">
        <f t="shared" si="2"/>
        <v>-1.8800000000000001</v>
      </c>
      <c r="L30" s="373">
        <f t="shared" si="2"/>
        <v>-0.57199999999999984</v>
      </c>
      <c r="M30" s="16"/>
    </row>
    <row r="31" spans="1:13">
      <c r="A31" s="1096" t="str">
        <f>CFS!A33</f>
        <v>Net Financing Cash Flow</v>
      </c>
      <c r="B31" s="1096">
        <f>CFS!B33</f>
        <v>-8.6419999999999995</v>
      </c>
      <c r="C31" s="1096">
        <f>SUM(C26:C28,C30)</f>
        <v>4.5430000000000001</v>
      </c>
      <c r="D31" s="1096">
        <f t="shared" ref="D31:L31" si="3">SUM(D26:D28,D30)</f>
        <v>-1.2919999999999998</v>
      </c>
      <c r="E31" s="1096">
        <f t="shared" si="3"/>
        <v>-1.9589999999999994</v>
      </c>
      <c r="F31" s="1096">
        <f t="shared" si="3"/>
        <v>-3.4600000000000004</v>
      </c>
      <c r="G31" s="1096">
        <f t="shared" si="3"/>
        <v>-1.7729999999999997</v>
      </c>
      <c r="H31" s="1096">
        <f t="shared" si="3"/>
        <v>-2.5339999999999998</v>
      </c>
      <c r="I31" s="1096">
        <f t="shared" si="3"/>
        <v>-2.7949999999999999</v>
      </c>
      <c r="J31" s="1096">
        <f t="shared" si="3"/>
        <v>-2.1239999999999997</v>
      </c>
      <c r="K31" s="1096">
        <f t="shared" si="3"/>
        <v>-2.8530000000000002</v>
      </c>
      <c r="L31" s="1096">
        <f t="shared" si="3"/>
        <v>-1.4119999999999999</v>
      </c>
      <c r="M31" s="16"/>
    </row>
    <row r="32" spans="1:13">
      <c r="A32" s="347"/>
      <c r="B32" s="347"/>
      <c r="C32" s="347"/>
      <c r="D32" s="347"/>
      <c r="E32" s="347"/>
      <c r="F32" s="347"/>
      <c r="G32" s="347"/>
      <c r="H32" s="347"/>
      <c r="I32" s="347"/>
      <c r="J32" s="347"/>
      <c r="K32" s="347"/>
      <c r="L32" s="347"/>
      <c r="M32" s="16"/>
    </row>
    <row r="33" spans="1:13">
      <c r="A33" s="344" t="str">
        <f>CFS!A35</f>
        <v>Net Change in Cash</v>
      </c>
      <c r="B33" s="344">
        <f>CFS!B35</f>
        <v>-8.6859999999999999</v>
      </c>
      <c r="C33" s="344">
        <f>CFS!C35</f>
        <v>6.3250000000000002</v>
      </c>
      <c r="D33" s="344">
        <f>CFS!D35</f>
        <v>0.98199999999999998</v>
      </c>
      <c r="E33" s="344">
        <f>CFS!E35</f>
        <v>0.89500000000000002</v>
      </c>
      <c r="F33" s="344">
        <f>CFS!F35</f>
        <v>-0.94799999999999995</v>
      </c>
      <c r="G33" s="344">
        <f>CFS!G35</f>
        <v>0.80100000000000005</v>
      </c>
      <c r="H33" s="344">
        <f>CFS!H35</f>
        <v>-0.123</v>
      </c>
      <c r="I33" s="344">
        <f>CFS!I35</f>
        <v>-0.81799999999999995</v>
      </c>
      <c r="J33" s="344">
        <f>CFS!J35</f>
        <v>0.19700000000000001</v>
      </c>
      <c r="K33" s="344">
        <f>CFS!K35</f>
        <v>-0.24099999999999999</v>
      </c>
      <c r="L33" s="344">
        <f>CFS!L35</f>
        <v>-0.23499999999999999</v>
      </c>
      <c r="M33" s="16"/>
    </row>
    <row r="34" spans="1:13">
      <c r="A34" s="377" t="s">
        <v>472</v>
      </c>
      <c r="B34" s="327"/>
      <c r="C34" s="327">
        <f>C17+C24+C31-C33</f>
        <v>0</v>
      </c>
      <c r="D34" s="327">
        <f t="shared" ref="D34:K34" si="4">D17+D24+D31-D33</f>
        <v>0</v>
      </c>
      <c r="E34" s="327">
        <f t="shared" si="4"/>
        <v>0</v>
      </c>
      <c r="F34" s="327">
        <f t="shared" si="4"/>
        <v>0</v>
      </c>
      <c r="G34" s="327">
        <f t="shared" si="4"/>
        <v>0</v>
      </c>
      <c r="H34" s="327">
        <f t="shared" si="4"/>
        <v>-2.2204460492503131E-16</v>
      </c>
      <c r="I34" s="327">
        <f t="shared" si="4"/>
        <v>0</v>
      </c>
      <c r="J34" s="327">
        <f t="shared" si="4"/>
        <v>0</v>
      </c>
      <c r="K34" s="327">
        <f t="shared" si="4"/>
        <v>0</v>
      </c>
      <c r="L34" s="327">
        <f>L17+L24+L31-L33</f>
        <v>0</v>
      </c>
      <c r="M34" s="16"/>
    </row>
    <row r="35" spans="1:13">
      <c r="A35" s="377"/>
      <c r="B35" s="327"/>
      <c r="C35" s="327"/>
      <c r="D35" s="327"/>
      <c r="E35" s="327"/>
      <c r="F35" s="327"/>
      <c r="G35" s="327"/>
      <c r="H35" s="327"/>
      <c r="I35" s="327"/>
      <c r="J35" s="327"/>
      <c r="K35" s="327"/>
      <c r="L35" s="327"/>
      <c r="M35" s="16"/>
    </row>
    <row r="36" spans="1:13">
      <c r="A36" s="377"/>
      <c r="B36" s="327"/>
      <c r="C36" s="327"/>
      <c r="D36" s="327"/>
      <c r="E36" s="327"/>
      <c r="F36" s="327"/>
      <c r="G36" s="327"/>
      <c r="H36" s="327"/>
      <c r="I36" s="327"/>
      <c r="J36" s="327"/>
      <c r="K36" s="327"/>
      <c r="L36" s="327"/>
      <c r="M36" s="16"/>
    </row>
    <row r="37" spans="1:13">
      <c r="A37" s="377"/>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9"/>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5"/>
      <c r="B44" s="327"/>
      <c r="C44" s="327"/>
      <c r="D44" s="327"/>
      <c r="E44" s="327"/>
      <c r="F44" s="327"/>
      <c r="G44" s="327"/>
      <c r="H44" s="327"/>
      <c r="I44" s="327"/>
      <c r="J44" s="327"/>
      <c r="K44" s="327"/>
      <c r="L44" s="327"/>
      <c r="M44" s="16"/>
    </row>
    <row r="45" spans="1:13">
      <c r="A45" s="255"/>
      <c r="B45" s="327"/>
      <c r="C45" s="327"/>
      <c r="D45" s="327"/>
      <c r="E45" s="327"/>
      <c r="F45" s="327"/>
      <c r="G45" s="327"/>
      <c r="H45" s="327"/>
      <c r="I45" s="327"/>
      <c r="J45" s="327"/>
      <c r="K45" s="327"/>
      <c r="L45" s="327"/>
      <c r="M45" s="16"/>
    </row>
    <row r="46" spans="1:13">
      <c r="A46" s="259"/>
      <c r="B46" s="327"/>
      <c r="C46" s="327"/>
      <c r="D46" s="327"/>
      <c r="E46" s="327"/>
      <c r="F46" s="327"/>
      <c r="G46" s="327"/>
      <c r="H46" s="327"/>
      <c r="I46" s="327"/>
      <c r="J46" s="327"/>
      <c r="K46" s="327"/>
      <c r="L46" s="327"/>
      <c r="M46" s="16"/>
    </row>
    <row r="47" spans="1:13">
      <c r="A47" s="259"/>
      <c r="B47" s="327"/>
      <c r="C47" s="327"/>
      <c r="D47" s="327"/>
      <c r="E47" s="327"/>
      <c r="F47" s="327"/>
      <c r="G47" s="327"/>
      <c r="H47" s="327"/>
      <c r="I47" s="327"/>
      <c r="J47" s="327"/>
      <c r="K47" s="327"/>
      <c r="L47" s="327"/>
      <c r="M47" s="16"/>
    </row>
    <row r="48" spans="1:13">
      <c r="A48" s="259"/>
      <c r="B48" s="327"/>
      <c r="C48" s="327"/>
      <c r="D48" s="327"/>
      <c r="E48" s="327"/>
      <c r="F48" s="327"/>
      <c r="G48" s="327"/>
      <c r="H48" s="327"/>
      <c r="I48" s="327"/>
      <c r="J48" s="327"/>
      <c r="K48" s="327"/>
      <c r="L48" s="327"/>
      <c r="M48" s="16"/>
    </row>
    <row r="49" spans="1:13">
      <c r="A49" s="259"/>
      <c r="B49" s="327"/>
      <c r="C49" s="327"/>
      <c r="D49" s="327"/>
      <c r="E49" s="327"/>
      <c r="F49" s="327"/>
      <c r="G49" s="327"/>
      <c r="H49" s="327"/>
      <c r="I49" s="327"/>
      <c r="J49" s="327"/>
      <c r="K49" s="327"/>
      <c r="L49" s="327"/>
      <c r="M49" s="16"/>
    </row>
    <row r="50" spans="1:13">
      <c r="A50" s="259"/>
      <c r="B50" s="327"/>
      <c r="C50" s="327"/>
      <c r="D50" s="327"/>
      <c r="E50" s="327"/>
      <c r="F50" s="327"/>
      <c r="G50" s="327"/>
      <c r="H50" s="327"/>
      <c r="I50" s="327"/>
      <c r="J50" s="327"/>
      <c r="K50" s="327"/>
      <c r="L50" s="327"/>
      <c r="M50" s="16"/>
    </row>
    <row r="51" spans="1:13">
      <c r="A51" s="259"/>
      <c r="B51" s="327"/>
      <c r="C51" s="327"/>
      <c r="D51" s="327"/>
      <c r="E51" s="327"/>
      <c r="F51" s="327"/>
      <c r="G51" s="327"/>
      <c r="H51" s="327"/>
      <c r="I51" s="327"/>
      <c r="J51" s="327"/>
      <c r="K51" s="327"/>
      <c r="L51" s="327"/>
      <c r="M51" s="16"/>
    </row>
    <row r="52" spans="1:13">
      <c r="A52" s="252"/>
      <c r="B52" s="327"/>
      <c r="C52" s="327"/>
      <c r="D52" s="327"/>
      <c r="E52" s="327"/>
      <c r="F52" s="327"/>
      <c r="G52" s="327"/>
      <c r="H52" s="327"/>
      <c r="I52" s="327"/>
      <c r="J52" s="327"/>
      <c r="K52" s="327"/>
      <c r="L52" s="327"/>
      <c r="M52" s="16"/>
    </row>
    <row r="54" spans="1:13" s="3" customFormat="1">
      <c r="A54" s="327"/>
      <c r="M54"/>
    </row>
    <row r="55" spans="1:13" s="3" customFormat="1">
      <c r="A55" s="327"/>
      <c r="M55"/>
    </row>
    <row r="56" spans="1:13" s="3" customFormat="1">
      <c r="A56" s="327"/>
      <c r="M56"/>
    </row>
    <row r="57" spans="1:13" s="3" customFormat="1">
      <c r="A57" s="327"/>
      <c r="M57"/>
    </row>
    <row r="58" spans="1:13" s="3" customFormat="1">
      <c r="A58" s="327"/>
      <c r="M58"/>
    </row>
    <row r="59" spans="1:13" s="3" customFormat="1">
      <c r="A59" s="327"/>
      <c r="M59"/>
    </row>
    <row r="60" spans="1:13" s="3" customFormat="1">
      <c r="A60" s="327"/>
      <c r="M60"/>
    </row>
    <row r="61" spans="1:13" s="3" customFormat="1">
      <c r="A61" s="327"/>
      <c r="M61"/>
    </row>
    <row r="62" spans="1:13" s="3" customFormat="1">
      <c r="A62" s="327"/>
      <c r="M62"/>
    </row>
    <row r="63" spans="1:13" s="3" customFormat="1">
      <c r="A63" s="327"/>
      <c r="M63"/>
    </row>
    <row r="64" spans="1:13" s="3" customFormat="1">
      <c r="A64" s="327"/>
      <c r="M64"/>
    </row>
    <row r="65" spans="1:13" s="3" customFormat="1">
      <c r="A65" s="327"/>
      <c r="M65"/>
    </row>
    <row r="66" spans="1:13" s="3" customFormat="1">
      <c r="A66" s="327"/>
      <c r="M66"/>
    </row>
    <row r="67" spans="1:13" s="3" customFormat="1">
      <c r="A67" s="327"/>
      <c r="M67"/>
    </row>
    <row r="68" spans="1:13" s="3" customFormat="1">
      <c r="A68" s="327"/>
      <c r="M68"/>
    </row>
    <row r="69" spans="1:13" s="3" customFormat="1">
      <c r="A69" s="327"/>
      <c r="M69"/>
    </row>
    <row r="70" spans="1:13" s="3" customFormat="1">
      <c r="A70" s="327"/>
      <c r="M70"/>
    </row>
    <row r="71" spans="1:13" s="3" customFormat="1">
      <c r="A71" s="327"/>
      <c r="M71"/>
    </row>
    <row r="72" spans="1:13" s="3" customFormat="1">
      <c r="A72" s="327"/>
      <c r="M72"/>
    </row>
    <row r="73" spans="1:13" s="3" customFormat="1">
      <c r="A73" s="327"/>
      <c r="M73"/>
    </row>
    <row r="74" spans="1:13" s="3" customFormat="1">
      <c r="A74" s="327"/>
      <c r="M74"/>
    </row>
    <row r="75" spans="1:13" s="3" customFormat="1">
      <c r="A75" s="327"/>
      <c r="M75"/>
    </row>
    <row r="76" spans="1:13" s="3" customFormat="1">
      <c r="A76" s="327"/>
      <c r="M76"/>
    </row>
    <row r="77" spans="1:13" s="3" customFormat="1">
      <c r="A77" s="327"/>
      <c r="M77"/>
    </row>
    <row r="78" spans="1:13" s="3" customFormat="1">
      <c r="A78" s="327"/>
      <c r="M78"/>
    </row>
    <row r="79" spans="1:13" s="3" customFormat="1">
      <c r="A79" s="327"/>
      <c r="M79"/>
    </row>
    <row r="80" spans="1:13" s="3" customFormat="1">
      <c r="A80" s="327"/>
      <c r="M80"/>
    </row>
    <row r="81" spans="1:13" s="3" customFormat="1">
      <c r="A81" s="327"/>
      <c r="M81"/>
    </row>
    <row r="82" spans="1:13" s="3" customFormat="1">
      <c r="A82" s="327"/>
      <c r="M82"/>
    </row>
    <row r="83" spans="1:13" s="3" customFormat="1">
      <c r="A83" s="327"/>
      <c r="M83"/>
    </row>
    <row r="84" spans="1:13" s="3" customFormat="1">
      <c r="A84" s="327"/>
      <c r="M84"/>
    </row>
    <row r="85" spans="1:13" s="3" customFormat="1">
      <c r="A85" s="327"/>
      <c r="M85"/>
    </row>
    <row r="86" spans="1:13" s="3" customFormat="1">
      <c r="A86" s="327"/>
      <c r="M86"/>
    </row>
    <row r="87" spans="1:13" s="3" customFormat="1">
      <c r="A87" s="327"/>
      <c r="M87"/>
    </row>
    <row r="88" spans="1:13" s="3" customFormat="1">
      <c r="A88" s="327"/>
      <c r="M88"/>
    </row>
    <row r="89" spans="1:13" s="3" customFormat="1">
      <c r="A89" s="327"/>
      <c r="M89"/>
    </row>
    <row r="90" spans="1:13" s="3" customFormat="1">
      <c r="A90" s="327"/>
      <c r="M90"/>
    </row>
    <row r="91" spans="1:13" s="3" customFormat="1">
      <c r="A91" s="327"/>
      <c r="M91"/>
    </row>
    <row r="92" spans="1:13" s="3" customFormat="1">
      <c r="A92" s="327"/>
      <c r="M92"/>
    </row>
    <row r="93" spans="1:13" s="3" customFormat="1">
      <c r="A93" s="327"/>
      <c r="M93"/>
    </row>
    <row r="94" spans="1:13" s="3" customFormat="1">
      <c r="A94" s="327"/>
      <c r="M94"/>
    </row>
    <row r="95" spans="1:13" s="3" customFormat="1">
      <c r="A95" s="327"/>
      <c r="M95"/>
    </row>
    <row r="96" spans="1:13" s="3" customFormat="1">
      <c r="A96" s="327"/>
      <c r="M96"/>
    </row>
    <row r="97" spans="1:13" s="3" customFormat="1">
      <c r="A97" s="327"/>
      <c r="M97"/>
    </row>
    <row r="98" spans="1:13" s="3" customFormat="1">
      <c r="A98" s="327"/>
      <c r="M98"/>
    </row>
    <row r="99" spans="1:13" s="3" customFormat="1">
      <c r="A99" s="327"/>
      <c r="M99"/>
    </row>
    <row r="100" spans="1:13" s="3" customFormat="1">
      <c r="A100" s="327"/>
      <c r="M100"/>
    </row>
    <row r="101" spans="1:13" s="3" customFormat="1">
      <c r="A101" s="327"/>
      <c r="M101"/>
    </row>
    <row r="102" spans="1:13" s="3" customFormat="1">
      <c r="A102" s="327"/>
      <c r="M102"/>
    </row>
    <row r="103" spans="1:13" s="3" customFormat="1">
      <c r="A103" s="327"/>
      <c r="M103"/>
    </row>
    <row r="104" spans="1:13" s="3" customFormat="1">
      <c r="A104" s="327"/>
      <c r="M104"/>
    </row>
    <row r="105" spans="1:13" s="3" customFormat="1">
      <c r="A105" s="327"/>
      <c r="M105"/>
    </row>
    <row r="106" spans="1:13" s="3" customFormat="1">
      <c r="A106" s="327"/>
      <c r="M106"/>
    </row>
    <row r="107" spans="1:13" s="3" customFormat="1">
      <c r="A107" s="327"/>
      <c r="M107"/>
    </row>
    <row r="108" spans="1:13" s="3" customFormat="1">
      <c r="A108" s="327"/>
      <c r="M108"/>
    </row>
    <row r="109" spans="1:13" s="3" customFormat="1">
      <c r="A109" s="327"/>
      <c r="M109"/>
    </row>
    <row r="110" spans="1:13" s="3" customFormat="1">
      <c r="A110" s="327"/>
      <c r="M110"/>
    </row>
    <row r="111" spans="1:13" s="3" customFormat="1">
      <c r="A111" s="327"/>
      <c r="M111"/>
    </row>
    <row r="112" spans="1:13" s="3" customFormat="1">
      <c r="A112" s="327"/>
      <c r="M112"/>
    </row>
    <row r="113" spans="1:13" s="3" customFormat="1">
      <c r="A113" s="327"/>
      <c r="M113"/>
    </row>
    <row r="114" spans="1:13" s="3" customFormat="1">
      <c r="A114" s="327"/>
      <c r="M114"/>
    </row>
    <row r="115" spans="1:13" s="3" customFormat="1">
      <c r="A115" s="327"/>
      <c r="M115"/>
    </row>
    <row r="116" spans="1:13" s="3" customFormat="1">
      <c r="A116" s="327"/>
      <c r="M116"/>
    </row>
    <row r="117" spans="1:13" s="3" customFormat="1">
      <c r="A117" s="327"/>
      <c r="M117"/>
    </row>
    <row r="118" spans="1:13" s="3" customFormat="1">
      <c r="A118" s="327"/>
      <c r="M118"/>
    </row>
    <row r="119" spans="1:13" s="3" customFormat="1">
      <c r="A119" s="327"/>
      <c r="M119"/>
    </row>
    <row r="120" spans="1:13" s="3" customFormat="1">
      <c r="A120" s="327"/>
      <c r="M120"/>
    </row>
    <row r="121" spans="1:13" s="3" customFormat="1">
      <c r="A121" s="327"/>
      <c r="M121"/>
    </row>
    <row r="122" spans="1:13" s="3" customFormat="1">
      <c r="A122" s="327"/>
      <c r="M122"/>
    </row>
    <row r="123" spans="1:13" s="3" customFormat="1">
      <c r="A123" s="327"/>
      <c r="M123"/>
    </row>
    <row r="124" spans="1:13" s="3" customFormat="1">
      <c r="A124" s="327"/>
      <c r="M124"/>
    </row>
    <row r="125" spans="1:13" s="3" customFormat="1">
      <c r="A125" s="327"/>
      <c r="M125"/>
    </row>
    <row r="126" spans="1:13" s="3" customFormat="1">
      <c r="A126" s="327"/>
      <c r="M126"/>
    </row>
    <row r="127" spans="1:13" s="3" customFormat="1">
      <c r="A127" s="327"/>
      <c r="M127"/>
    </row>
    <row r="128" spans="1:13" s="3" customFormat="1">
      <c r="A128" s="327"/>
      <c r="M128"/>
    </row>
    <row r="129" spans="1:13" s="3" customFormat="1">
      <c r="A129" s="327"/>
      <c r="M129"/>
    </row>
    <row r="130" spans="1:13" s="3" customFormat="1">
      <c r="A130" s="327"/>
      <c r="M130"/>
    </row>
    <row r="131" spans="1:13" s="3" customFormat="1">
      <c r="A131" s="327"/>
      <c r="M131"/>
    </row>
    <row r="132" spans="1:13" s="3" customFormat="1">
      <c r="A132" s="327"/>
      <c r="M132"/>
    </row>
    <row r="133" spans="1:13" s="3" customFormat="1">
      <c r="A133" s="327"/>
      <c r="M133"/>
    </row>
    <row r="134" spans="1:13" s="3" customFormat="1">
      <c r="A134" s="327"/>
      <c r="M134"/>
    </row>
    <row r="135" spans="1:13" s="3" customFormat="1">
      <c r="A135" s="327"/>
      <c r="M135"/>
    </row>
    <row r="136" spans="1:13" s="3" customFormat="1">
      <c r="A136" s="327"/>
      <c r="M136"/>
    </row>
    <row r="137" spans="1:13" s="3" customFormat="1">
      <c r="A137" s="327"/>
      <c r="M137"/>
    </row>
    <row r="138" spans="1:13" s="3" customFormat="1">
      <c r="A138" s="327"/>
      <c r="M138"/>
    </row>
    <row r="139" spans="1:13" s="3" customFormat="1">
      <c r="A139" s="327"/>
      <c r="M139"/>
    </row>
    <row r="140" spans="1:13" s="3" customFormat="1">
      <c r="A140" s="327"/>
      <c r="M140"/>
    </row>
    <row r="141" spans="1:13" s="3" customFormat="1">
      <c r="A141" s="327"/>
      <c r="M141"/>
    </row>
    <row r="142" spans="1:13" s="3" customFormat="1">
      <c r="A142" s="327"/>
      <c r="M142"/>
    </row>
    <row r="143" spans="1:13" s="3" customFormat="1">
      <c r="A143" s="327"/>
      <c r="M143"/>
    </row>
    <row r="144" spans="1:13" s="3" customFormat="1">
      <c r="A144" s="327"/>
      <c r="M144"/>
    </row>
    <row r="145" spans="1:13" s="3" customFormat="1">
      <c r="A145" s="327"/>
      <c r="M145"/>
    </row>
    <row r="146" spans="1:13" s="3" customFormat="1">
      <c r="A146" s="327"/>
      <c r="M146"/>
    </row>
    <row r="147" spans="1:13" s="3" customFormat="1">
      <c r="A147" s="327"/>
      <c r="M147"/>
    </row>
    <row r="148" spans="1:13" s="3" customFormat="1">
      <c r="A148" s="327"/>
      <c r="M148"/>
    </row>
    <row r="149" spans="1:13" s="3" customFormat="1">
      <c r="A149" s="327"/>
      <c r="M149"/>
    </row>
    <row r="150" spans="1:13" s="3" customFormat="1">
      <c r="A150" s="327"/>
      <c r="M150"/>
    </row>
    <row r="151" spans="1:13" s="3" customFormat="1">
      <c r="A151" s="327"/>
      <c r="M151"/>
    </row>
    <row r="152" spans="1:13" s="3" customFormat="1">
      <c r="A152" s="327"/>
      <c r="M152"/>
    </row>
    <row r="153" spans="1:13" s="3" customFormat="1">
      <c r="A153" s="327"/>
      <c r="M153"/>
    </row>
    <row r="154" spans="1:13" s="3" customFormat="1">
      <c r="A154" s="327"/>
      <c r="M154"/>
    </row>
    <row r="155" spans="1:13" s="3" customFormat="1">
      <c r="A155" s="327"/>
      <c r="M155"/>
    </row>
    <row r="156" spans="1:13" s="3" customFormat="1">
      <c r="A156" s="327"/>
      <c r="M156"/>
    </row>
    <row r="157" spans="1:13" s="3" customFormat="1">
      <c r="A157" s="327"/>
      <c r="M157"/>
    </row>
    <row r="158" spans="1:13" s="3" customFormat="1">
      <c r="A158" s="327"/>
      <c r="M158"/>
    </row>
    <row r="159" spans="1:13" s="3" customFormat="1">
      <c r="A159" s="327"/>
      <c r="M159"/>
    </row>
    <row r="160" spans="1:13" s="3" customFormat="1">
      <c r="A160" s="327"/>
      <c r="M160"/>
    </row>
    <row r="161" spans="1:13" s="3" customFormat="1">
      <c r="A161" s="327"/>
      <c r="M161"/>
    </row>
    <row r="162" spans="1:13" s="3" customFormat="1">
      <c r="A162" s="327"/>
      <c r="M162"/>
    </row>
    <row r="163" spans="1:13" s="3" customFormat="1">
      <c r="A163" s="327"/>
      <c r="M163"/>
    </row>
  </sheetData>
  <pageMargins left="0.7" right="0.7" top="0.78740157499999996" bottom="0.78740157499999996"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53E9C-AC46-4C79-B13C-9BF3DC6F4E6D}">
  <sheetPr>
    <tabColor theme="2" tint="-0.499984740745262"/>
  </sheetPr>
  <dimension ref="A1:M163"/>
  <sheetViews>
    <sheetView zoomScale="115" zoomScaleNormal="115" workbookViewId="0">
      <selection activeCell="C31" sqref="C31"/>
    </sheetView>
  </sheetViews>
  <sheetFormatPr defaultColWidth="11.28515625" defaultRowHeight="15"/>
  <cols>
    <col min="1" max="1" width="40.7109375" style="3" bestFit="1" customWidth="1"/>
    <col min="2" max="2" width="1.5703125" style="3" customWidth="1"/>
    <col min="3" max="12" width="11.28515625" style="3"/>
  </cols>
  <sheetData>
    <row r="1" spans="1:13" s="340" customFormat="1" ht="26.1" customHeight="1">
      <c r="A1" s="371" t="s">
        <v>468</v>
      </c>
      <c r="B1" s="722" t="str">
        <f>B2</f>
        <v>ALK-US</v>
      </c>
    </row>
    <row r="2" spans="1:13">
      <c r="A2" s="327" t="str">
        <f>IS!A8</f>
        <v>Ticker</v>
      </c>
      <c r="B2" s="327" t="str">
        <f>'Industry Ratios'!H3</f>
        <v>ALK-US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f>IS!B11</f>
        <v>0</v>
      </c>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f>IS!B12</f>
        <v>0</v>
      </c>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CFS!A13</f>
        <v>Cash Flow</v>
      </c>
      <c r="B7" s="353"/>
      <c r="C7" s="353"/>
      <c r="D7" s="353"/>
      <c r="E7" s="353"/>
      <c r="F7" s="353"/>
      <c r="G7" s="353"/>
      <c r="H7" s="353"/>
      <c r="I7" s="353"/>
      <c r="J7" s="353"/>
      <c r="K7" s="353"/>
      <c r="L7" s="353"/>
      <c r="M7" s="16"/>
    </row>
    <row r="8" spans="1:13">
      <c r="A8" s="353" t="str">
        <f>CFS!A14</f>
        <v>Operating Activities</v>
      </c>
      <c r="B8" s="353"/>
      <c r="C8" s="353"/>
      <c r="D8" s="353"/>
      <c r="E8" s="353"/>
      <c r="F8" s="353"/>
      <c r="G8" s="353"/>
      <c r="H8" s="353"/>
      <c r="I8" s="353"/>
      <c r="J8" s="353"/>
      <c r="K8" s="353"/>
      <c r="L8" s="353"/>
      <c r="M8" s="16"/>
    </row>
    <row r="9" spans="1:13">
      <c r="A9" s="344" t="str">
        <f>CFS!A15</f>
        <v>Net Income / Starting Line</v>
      </c>
      <c r="B9" s="344" t="str">
        <f>CFS!B15</f>
        <v>-</v>
      </c>
      <c r="C9" s="344">
        <f>'AC-CA IS-adj'!C14</f>
        <v>-3.24648</v>
      </c>
      <c r="D9" s="344">
        <f>'AC-CA IS-adj'!D14</f>
        <v>1.3608000000000002</v>
      </c>
      <c r="E9" s="344">
        <f>'AC-CA IS-adj'!E14</f>
        <v>1.1203199999999995</v>
      </c>
      <c r="F9" s="344">
        <f>'AC-CA IS-adj'!F14</f>
        <v>2.8389600000000002</v>
      </c>
      <c r="G9" s="344">
        <f>'AC-CA IS-adj'!G14</f>
        <v>2.7907200000000003</v>
      </c>
      <c r="H9" s="344">
        <f>'AC-CA IS-adj'!H14</f>
        <v>2.8364400000000005</v>
      </c>
      <c r="I9" s="344">
        <f>'AC-CA IS-adj'!I14</f>
        <v>2.8044000000000011</v>
      </c>
      <c r="J9" s="344">
        <f>'AC-CA IS-adj'!J14</f>
        <v>1.8453600215999995</v>
      </c>
      <c r="K9" s="344">
        <f>'AC-CA IS-adj'!K14</f>
        <v>1.8381600000000007</v>
      </c>
      <c r="L9" s="344">
        <f>'AC-CA IS-adj'!L14</f>
        <v>1.7056800000000008</v>
      </c>
      <c r="M9" s="16"/>
    </row>
    <row r="10" spans="1:13">
      <c r="A10" s="347" t="str">
        <f>CFS!A16</f>
        <v>Depreciation, Depletion &amp; Amortization</v>
      </c>
      <c r="B10" s="347" t="str">
        <f>CFS!B16</f>
        <v>-</v>
      </c>
      <c r="C10" s="1118" cm="1">
        <f t="array" ref="C10">_xll.FDS($B2,"FF_DEP_AMORT_EXP(ANN_R,"&amp;'AAL-US IS-adj'!C5&amp;",,,,,B)")</f>
        <v>0.42</v>
      </c>
      <c r="D10" s="1118" cm="1">
        <f t="array" ref="D10">_xll.FDS($B2,"FF_DEP_AMORT_EXP(ANN_R,"&amp;'AAL-US IS-adj'!D5&amp;",,,,,B)")</f>
        <v>0.42299999999999999</v>
      </c>
      <c r="E10" s="1118" cm="1">
        <f t="array" ref="E10">_xll.FDS($B2,"FF_DEP_AMORT_EXP(ANN_R,"&amp;'AAL-US IS-adj'!E5&amp;",,,,,B)")</f>
        <v>0.39800000000000002</v>
      </c>
      <c r="F10" s="1118" cm="1">
        <f t="array" ref="F10">_xll.FDS($B2,"FF_DEP_AMORT_EXP(ANN_R,"&amp;'AAL-US IS-adj'!F5&amp;",,,,,B)")</f>
        <v>0.372</v>
      </c>
      <c r="G10" s="1118" cm="1">
        <f t="array" ref="G10">_xll.FDS($B2,"FF_DEP_AMORT_EXP(ANN_R,"&amp;'AAL-US IS-adj'!G5&amp;",,,,,B)")</f>
        <v>0.36299999999999999</v>
      </c>
      <c r="H10" s="1118" cm="1">
        <f t="array" ref="H10">_xll.FDS($B2,"FF_DEP_AMORT_EXP(ANN_R,"&amp;'AAL-US IS-adj'!H5&amp;",,,,,B)")</f>
        <v>0.32</v>
      </c>
      <c r="I10" s="1118" cm="1">
        <f t="array" ref="I10">_xll.FDS($B2,"FF_DEP_AMORT_EXP(ANN_R,"&amp;'AAL-US IS-adj'!I5&amp;",,,,,B)")</f>
        <v>0.29399999999999998</v>
      </c>
      <c r="J10" s="1118" cm="1">
        <f t="array" ref="J10">_xll.FDS($B2,"FF_DEP_AMORT_EXP(ANN_R,"&amp;'AAL-US IS-adj'!J5&amp;",,,,,B)")</f>
        <v>0.27</v>
      </c>
      <c r="K10" s="1118" cm="1">
        <f t="array" ref="K10">_xll.FDS($B2,"FF_DEP_AMORT_EXP(ANN_R,"&amp;'AAL-US IS-adj'!K5&amp;",,,,,B)")</f>
        <v>0.26400000000000001</v>
      </c>
      <c r="L10" s="1118" cm="1">
        <f t="array" ref="L10">_xll.FDS($B2,"FF_DEP_AMORT_EXP(ANN_R,"&amp;'AAL-US IS-adj'!L5&amp;",,,,,B)")</f>
        <v>0.24690000000000001</v>
      </c>
      <c r="M10" s="16"/>
    </row>
    <row r="11" spans="1:13">
      <c r="A11" s="373" t="s">
        <v>469</v>
      </c>
      <c r="B11" s="373"/>
      <c r="C11" s="373">
        <f>'ALK-US R&amp;D'!C47</f>
        <v>0</v>
      </c>
      <c r="D11" s="373">
        <f>'ALK-US R&amp;D'!D47</f>
        <v>0</v>
      </c>
      <c r="E11" s="373">
        <f>'ALK-US R&amp;D'!E47</f>
        <v>0</v>
      </c>
      <c r="F11" s="373">
        <f>'ALK-US R&amp;D'!F47</f>
        <v>0</v>
      </c>
      <c r="G11" s="373">
        <f>'ALK-US R&amp;D'!G47</f>
        <v>0</v>
      </c>
      <c r="H11" s="373">
        <f>'ALK-US R&amp;D'!H47</f>
        <v>0</v>
      </c>
      <c r="I11" s="373">
        <f>'ALK-US R&amp;D'!I47</f>
        <v>0</v>
      </c>
      <c r="J11" s="373">
        <f>'ALK-US R&amp;D'!J47</f>
        <v>0</v>
      </c>
      <c r="K11" s="373">
        <f>'ALK-US R&amp;D'!K47</f>
        <v>0</v>
      </c>
      <c r="L11" s="373">
        <f>'ALK-US R&amp;D'!L47</f>
        <v>0</v>
      </c>
      <c r="M11" s="16"/>
    </row>
    <row r="12" spans="1:13">
      <c r="A12" s="373" t="s">
        <v>470</v>
      </c>
      <c r="B12" s="373"/>
      <c r="C12" s="373">
        <f>'ALK-US Lease'!C30</f>
        <v>0</v>
      </c>
      <c r="D12" s="373">
        <f>'ALK-US Lease'!D30</f>
        <v>0</v>
      </c>
      <c r="E12" s="373">
        <f>'ALK-US Lease'!E30</f>
        <v>0.26125953761469295</v>
      </c>
      <c r="F12" s="373">
        <f>'ALK-US Lease'!F30</f>
        <v>0.29896952033454488</v>
      </c>
      <c r="G12" s="373">
        <f>'ALK-US Lease'!G30</f>
        <v>0.33667950305439687</v>
      </c>
      <c r="H12" s="373">
        <f>'ALK-US Lease'!H30</f>
        <v>0.23233082547582848</v>
      </c>
      <c r="I12" s="373">
        <f>'ALK-US Lease'!I30</f>
        <v>0.14670291943712113</v>
      </c>
      <c r="J12" s="373">
        <f>'ALK-US Lease'!J30</f>
        <v>0.14049270259835853</v>
      </c>
      <c r="K12" s="373">
        <f>'ALK-US Lease'!K30</f>
        <v>0.11670616403220045</v>
      </c>
      <c r="L12" s="373">
        <f>'ALK-US Lease'!L30</f>
        <v>0.12988585535720787</v>
      </c>
      <c r="M12" s="16"/>
    </row>
    <row r="13" spans="1:13">
      <c r="A13" s="347" t="str">
        <f>CFS!A17</f>
        <v>Deferred Taxes &amp; Investment Tax Credit</v>
      </c>
      <c r="B13" s="347">
        <f>CFS!B17</f>
        <v>-3.11</v>
      </c>
      <c r="C13" s="1118" cm="1">
        <f t="array" ref="C13">IFERROR(_xll.FDS($B2,"FF_DFD_TAX(ANN_R,"&amp;'AAL-US IS-adj'!C5&amp;",,,,,B)"),0)</f>
        <v>0.40699999999999997</v>
      </c>
      <c r="D13" s="1118" cm="1">
        <f t="array" ref="D13">IFERROR(_xll.FDS($B2,"FF_DFD_TAX(ANN_R,"&amp;'AAL-US IS-adj'!D5&amp;",,,,,B)"),0)</f>
        <v>0.71499999999999997</v>
      </c>
      <c r="E13" s="1118" cm="1">
        <f t="array" ref="E13">IFERROR(_xll.FDS($B2,"FF_DFD_TAX(ANN_R,"&amp;'AAL-US IS-adj'!E5&amp;",,,,,B)"),0)</f>
        <v>0.51200000000000001</v>
      </c>
      <c r="F13" s="1118" cm="1">
        <f t="array" ref="F13">IFERROR(_xll.FDS($B2,"FF_DFD_TAX(ANN_R,"&amp;'AAL-US IS-adj'!F5&amp;",,,,,B)"),0)</f>
        <v>0.37</v>
      </c>
      <c r="G13" s="1118" cm="1">
        <f t="array" ref="G13">IFERROR(_xll.FDS($B2,"FF_DFD_TAX(ANN_R,"&amp;'AAL-US IS-adj'!G5&amp;",,,,,B)"),0)</f>
        <v>0.46300000000000002</v>
      </c>
      <c r="H13" s="1118" cm="1">
        <f t="array" ref="H13">IFERROR(_xll.FDS($B2,"FF_DFD_TAX(ANN_R,"&amp;'AAL-US IS-adj'!H5&amp;",,,,,B)"),0)</f>
        <v>0.68200000000000005</v>
      </c>
      <c r="I13" s="1118" cm="1">
        <f t="array" ref="I13">IFERROR(_xll.FDS($B2,"FF_DFD_TAX(ANN_R,"&amp;'AAL-US IS-adj'!I5&amp;",,,,,B)"),0)</f>
        <v>0.75</v>
      </c>
      <c r="J13" s="1118" cm="1">
        <f t="array" ref="J13">IFERROR(_xll.FDS($B2,"FF_DFD_TAX(ANN_R,"&amp;'AAL-US IS-adj'!J5&amp;",,,,,B)"),0)</f>
        <v>0.70899999999999996</v>
      </c>
      <c r="K13" s="1118" cm="1">
        <f t="array" ref="K13">IFERROR(_xll.FDS($B2,"FF_DFD_TAX(ANN_R,"&amp;'AAL-US IS-adj'!K5&amp;",,,,,B)"),0)</f>
        <v>0.44600000000000001</v>
      </c>
      <c r="L13" s="1118" cm="1">
        <f t="array" ref="L13">IFERROR(_xll.FDS($B2,"FF_DFD_TAX(ANN_R,"&amp;'AAL-US IS-adj'!L5&amp;",,,,,B)"),0)</f>
        <v>0.3629</v>
      </c>
      <c r="M13" s="16"/>
    </row>
    <row r="14" spans="1:13">
      <c r="A14" s="347" t="str">
        <f>CFS!A18</f>
        <v>Other Funds</v>
      </c>
      <c r="B14" s="347" t="str">
        <f>CFS!B18</f>
        <v>-</v>
      </c>
      <c r="C14" s="1118" cm="1">
        <f t="array" ref="C14:L14">_xll.FDSRC("-",B2,"FF_NON_CASH('ANN','0','-9','YEARLY',RP,'LOCAL','B')")</f>
        <v>0.871</v>
      </c>
      <c r="D14" s="1118">
        <v>2.9000000000000001E-2</v>
      </c>
      <c r="E14" s="347">
        <v>4.7E-2</v>
      </c>
      <c r="F14" s="347">
        <v>5.5E-2</v>
      </c>
      <c r="G14" s="347">
        <v>2.5999999999999999E-2</v>
      </c>
      <c r="H14" s="347">
        <v>2.5000000000000001E-2</v>
      </c>
      <c r="I14" s="347">
        <v>6.0000000000000001E-3</v>
      </c>
      <c r="J14" s="347">
        <v>-0.115</v>
      </c>
      <c r="K14" s="347">
        <v>5.2999999999999999E-2</v>
      </c>
      <c r="L14" s="347">
        <v>6.9800000000000001E-2</v>
      </c>
      <c r="M14" s="16"/>
    </row>
    <row r="15" spans="1:13">
      <c r="A15" s="367" t="str">
        <f>CFS!A19</f>
        <v>Funds from Operations</v>
      </c>
      <c r="B15" s="367" t="str">
        <f>CFS!B19</f>
        <v>-</v>
      </c>
      <c r="C15" s="367">
        <f>SUM(C9:C14)</f>
        <v>-1.5484800000000001</v>
      </c>
      <c r="D15" s="367">
        <f t="shared" ref="D15:L15" si="0">SUM(D9:D14)</f>
        <v>2.5278</v>
      </c>
      <c r="E15" s="367">
        <f t="shared" si="0"/>
        <v>2.3385795376146929</v>
      </c>
      <c r="F15" s="367">
        <f t="shared" si="0"/>
        <v>3.9349295203345451</v>
      </c>
      <c r="G15" s="367">
        <f t="shared" si="0"/>
        <v>3.9793995030543972</v>
      </c>
      <c r="H15" s="367">
        <f t="shared" si="0"/>
        <v>4.0957708254758289</v>
      </c>
      <c r="I15" s="367">
        <f t="shared" si="0"/>
        <v>4.0011029194371224</v>
      </c>
      <c r="J15" s="367">
        <f t="shared" si="0"/>
        <v>2.849852724198358</v>
      </c>
      <c r="K15" s="367">
        <f>SUM(K9:K14)</f>
        <v>2.717866164032201</v>
      </c>
      <c r="L15" s="367">
        <f t="shared" si="0"/>
        <v>2.5151658553572087</v>
      </c>
      <c r="M15" s="16"/>
    </row>
    <row r="16" spans="1:13">
      <c r="A16" s="347" t="str">
        <f>CFS!A20</f>
        <v>Changes in Working Capital</v>
      </c>
      <c r="B16" s="347" t="str">
        <f>CFS!B20</f>
        <v>-</v>
      </c>
      <c r="C16" s="347">
        <f>IF(ISNUMBER(CFS!C20),CFS!C20,0)</f>
        <v>1.9490000000000001</v>
      </c>
      <c r="D16" s="347">
        <f>IF(ISNUMBER(CFS!D20),CFS!D20,0)</f>
        <v>0.52600000000000002</v>
      </c>
      <c r="E16" s="347">
        <f>IF(ISNUMBER(CFS!E20),CFS!E20,0)</f>
        <v>0.17599999999999999</v>
      </c>
      <c r="F16" s="347">
        <f>IF(ISNUMBER(CFS!F20),CFS!F20,0)</f>
        <v>0.57499999999999996</v>
      </c>
      <c r="G16" s="347">
        <f>IF(ISNUMBER(CFS!G20),CFS!G20,0)</f>
        <v>-6.3E-2</v>
      </c>
      <c r="H16" s="347">
        <f>IF(ISNUMBER(CFS!H20),CFS!H20,0)</f>
        <v>1.335</v>
      </c>
      <c r="I16" s="347">
        <f>IF(ISNUMBER(CFS!I20),CFS!I20,0)</f>
        <v>-0.61299999999999999</v>
      </c>
      <c r="J16" s="347">
        <f>IF(ISNUMBER(CFS!J20),CFS!J20,0)</f>
        <v>0.51300000000000001</v>
      </c>
      <c r="K16" s="347">
        <f>IF(ISNUMBER(CFS!K20),CFS!K20,0)</f>
        <v>0.14799999999999999</v>
      </c>
      <c r="L16" s="347">
        <f>IF(ISNUMBER(CFS!L20),CFS!L20,0)</f>
        <v>0.157</v>
      </c>
      <c r="M16" s="16"/>
    </row>
    <row r="17" spans="1:13" s="17" customFormat="1">
      <c r="A17" s="1096" t="str">
        <f>CFS!A21</f>
        <v>Net Operating Cash Flow</v>
      </c>
      <c r="B17" s="1096">
        <f>CFS!B21</f>
        <v>1.4219999999999999</v>
      </c>
      <c r="C17" s="1096" cm="1">
        <f t="array" ref="C17:L17">_xll.FDSRC("-",B2,"FF_WKCAP_CHG('ANN','0','-9','YEARLY',RP,'LOCAL','B')")</f>
        <v>9.9000000000000005E-2</v>
      </c>
      <c r="D17" s="1096">
        <v>0.29199999999999998</v>
      </c>
      <c r="E17" s="1096">
        <v>0.16700000000000001</v>
      </c>
      <c r="F17" s="1096">
        <v>0.11</v>
      </c>
      <c r="G17" s="1096">
        <v>8.8999999999999996E-2</v>
      </c>
      <c r="H17" s="1096">
        <v>0.33500000000000002</v>
      </c>
      <c r="I17" s="1096">
        <v>1.0999999999999999E-2</v>
      </c>
      <c r="J17" s="1096">
        <v>0.17199999999999999</v>
      </c>
      <c r="K17" s="1096">
        <v>2.5999999999999999E-2</v>
      </c>
      <c r="L17" s="1096">
        <v>-0.01</v>
      </c>
      <c r="M17" s="18"/>
    </row>
    <row r="18" spans="1:13">
      <c r="A18" s="344" t="str">
        <f>CFS!A22</f>
        <v>Investing Activities</v>
      </c>
      <c r="B18" s="344"/>
      <c r="C18" s="344"/>
      <c r="D18" s="344"/>
      <c r="E18" s="344"/>
      <c r="F18" s="344"/>
      <c r="G18" s="344"/>
      <c r="H18" s="344"/>
      <c r="I18" s="344"/>
      <c r="J18" s="344"/>
      <c r="K18" s="344"/>
      <c r="L18" s="344"/>
      <c r="M18" s="16"/>
    </row>
    <row r="19" spans="1:13">
      <c r="A19" s="347" t="str">
        <f>CFS!A23</f>
        <v>Capital Expenditures</v>
      </c>
      <c r="B19" s="347">
        <f>CFS!B23</f>
        <v>-2.577</v>
      </c>
      <c r="C19" s="1118" cm="1">
        <f t="array" ref="C19">_xll.FDS($B2,"FF_CAPEX(ANN_R,"&amp;C5&amp;",,,,,B)")</f>
        <v>0.20599999999999999</v>
      </c>
      <c r="D19" s="1118" cm="1">
        <f t="array" ref="D19">_xll.FDS($B2,"FF_CAPEX(ANN_R,"&amp;D5&amp;",,,,,B)")</f>
        <v>0.69599999999999995</v>
      </c>
      <c r="E19" s="1118" cm="1">
        <f t="array" ref="E19">_xll.FDS($B2,"FF_CAPEX(ANN_R,"&amp;E5&amp;",,,,,B)")</f>
        <v>0.96</v>
      </c>
      <c r="F19" s="1118" cm="1">
        <f t="array" ref="F19">_xll.FDS($B2,"FF_CAPEX(ANN_R,"&amp;F5&amp;",,,,,B)")</f>
        <v>1.026</v>
      </c>
      <c r="G19" s="1118" cm="1">
        <f t="array" ref="G19">_xll.FDS($B2,"FF_CAPEX(ANN_R,"&amp;G5&amp;",,,,,B)")</f>
        <v>0.67800000000000005</v>
      </c>
      <c r="H19" s="1118" cm="1">
        <f t="array" ref="H19">_xll.FDS($B2,"FF_CAPEX(ANN_R,"&amp;H5&amp;",,,,,B)")</f>
        <v>0.83099999999999996</v>
      </c>
      <c r="I19" s="1118" cm="1">
        <f t="array" ref="I19">_xll.FDS($B2,"FF_CAPEX(ANN_R,"&amp;I5&amp;",,,,,B)")</f>
        <v>0.69399999999999995</v>
      </c>
      <c r="J19" s="1118" cm="1">
        <f t="array" ref="J19">_xll.FDS($B2,"FF_CAPEX(ANN_R,"&amp;J5&amp;",,,,,B)")</f>
        <v>0.56899999999999995</v>
      </c>
      <c r="K19" s="1118" cm="1">
        <f t="array" ref="K19">_xll.FDS($B2,"FF_CAPEX(ANN_R,"&amp;K5&amp;",,,,,B)")</f>
        <v>0.51800000000000002</v>
      </c>
      <c r="L19" s="1118" cm="1">
        <f t="array" ref="L19">_xll.FDS($B2,"FF_CAPEX(ANN_R,"&amp;L5&amp;",,,,,B)")</f>
        <v>0.38740000000000002</v>
      </c>
      <c r="M19" s="16"/>
    </row>
    <row r="20" spans="1:13">
      <c r="A20" s="373" t="s">
        <v>471</v>
      </c>
      <c r="B20" s="373"/>
      <c r="C20" s="373">
        <f>-('ALK-US R&amp;D'!C10)</f>
        <v>0</v>
      </c>
      <c r="D20" s="373">
        <f>-('ALK-US R&amp;D'!D10)</f>
        <v>0</v>
      </c>
      <c r="E20" s="373">
        <f>-('ALK-US R&amp;D'!E10)</f>
        <v>0</v>
      </c>
      <c r="F20" s="373">
        <f>-('ALK-US R&amp;D'!F10)</f>
        <v>0</v>
      </c>
      <c r="G20" s="373">
        <f>-('ALK-US R&amp;D'!G10)</f>
        <v>0</v>
      </c>
      <c r="H20" s="373">
        <f>-('ALK-US R&amp;D'!H10)</f>
        <v>0</v>
      </c>
      <c r="I20" s="373">
        <f>-('ALK-US R&amp;D'!I10)</f>
        <v>0</v>
      </c>
      <c r="J20" s="373">
        <f>-('ALK-US R&amp;D'!J10)</f>
        <v>0</v>
      </c>
      <c r="K20" s="373">
        <f>-('ALK-US R&amp;D'!K10)</f>
        <v>0</v>
      </c>
      <c r="L20" s="373">
        <f>-('ALK-US R&amp;D'!L10)</f>
        <v>0</v>
      </c>
      <c r="M20" s="16"/>
    </row>
    <row r="21" spans="1:13">
      <c r="A21" s="347" t="str">
        <f>CFS!A24</f>
        <v>Net Assets from Acquisitions</v>
      </c>
      <c r="B21" s="347">
        <f>CFS!B24</f>
        <v>0</v>
      </c>
      <c r="C21" s="347" cm="1">
        <f t="array" ref="C21:L21">_xll.FDSRC("-",B2,"-FF_ACQ_BUS_CF('ANN','0','-9','YEARLY',RP,'LOCAL','B')")</f>
        <v>0</v>
      </c>
      <c r="D21" s="347">
        <v>0</v>
      </c>
      <c r="E21" s="347">
        <v>0</v>
      </c>
      <c r="F21" s="347">
        <v>0</v>
      </c>
      <c r="G21" s="347">
        <v>-1.9510000000000001</v>
      </c>
      <c r="H21" s="347" t="str">
        <v>-</v>
      </c>
      <c r="I21" s="347">
        <v>0</v>
      </c>
      <c r="J21" s="347">
        <v>0</v>
      </c>
      <c r="K21" s="347">
        <v>0</v>
      </c>
      <c r="L21" s="347">
        <v>0</v>
      </c>
      <c r="M21" s="16"/>
    </row>
    <row r="22" spans="1:13" s="17" customFormat="1">
      <c r="A22" s="347" t="str">
        <f>CFS!A25</f>
        <v>Purchase/Sale of Investments</v>
      </c>
      <c r="B22" s="347">
        <f>CFS!B25</f>
        <v>0.61300000000000099</v>
      </c>
      <c r="C22" s="347" cm="1">
        <f t="array" ref="C22:L22">_xll.FDSRC("-",B2,"FF_INVEST_PURCH_SALE_CF('ANN','0','-9','YEARLY',RP,'LOCAL','B')")</f>
        <v>-0.64400000000000002</v>
      </c>
      <c r="D22" s="347">
        <v>-0.13600000000000001</v>
      </c>
      <c r="E22" s="347">
        <v>0.28199999999999997</v>
      </c>
      <c r="F22" s="347">
        <v>-0.18099999999999999</v>
      </c>
      <c r="G22" s="347">
        <v>2E-3</v>
      </c>
      <c r="H22" s="347">
        <v>-0.152</v>
      </c>
      <c r="I22" s="347">
        <v>0.14299999999999999</v>
      </c>
      <c r="J22" s="347">
        <v>-0.129</v>
      </c>
      <c r="K22" s="347">
        <v>-8.2000000000000101E-2</v>
      </c>
      <c r="L22" s="347">
        <v>7.22E-2</v>
      </c>
      <c r="M22" s="18"/>
    </row>
    <row r="23" spans="1:13">
      <c r="A23" s="347" t="str">
        <f>CFS!A26</f>
        <v>Other Funds</v>
      </c>
      <c r="B23" s="347">
        <f>CFS!B26</f>
        <v>0.498</v>
      </c>
      <c r="C23" s="347" cm="1">
        <f t="array" ref="C23:L23">_xll.FDSRC("-",$B$2,"SUMAV(FF_INVEST_USES_CF('ANN','0','-9','YEARLY',RP,'LOCAL','B'),FF_INVEST_SOURCES_CF('ANN','0','-9','YEARLY',RP,'LOCAL','B'))")</f>
        <v>-2.1999999999999999E-2</v>
      </c>
      <c r="D23" s="347">
        <v>4.1000000000000002E-2</v>
      </c>
      <c r="E23" s="347">
        <v>0</v>
      </c>
      <c r="F23" s="347">
        <v>0</v>
      </c>
      <c r="G23" s="347">
        <v>0</v>
      </c>
      <c r="H23" s="347">
        <v>0</v>
      </c>
      <c r="I23" s="347">
        <v>0</v>
      </c>
      <c r="J23" s="347">
        <v>0</v>
      </c>
      <c r="K23" s="347">
        <v>-5.6000000000000001E-2</v>
      </c>
      <c r="L23" s="347">
        <v>-0.1089</v>
      </c>
      <c r="M23" s="16"/>
    </row>
    <row r="24" spans="1:13">
      <c r="A24" s="1096" t="str">
        <f>CFS!A27</f>
        <v>Net Investing Cash Flow</v>
      </c>
      <c r="B24" s="1096">
        <f>CFS!B27</f>
        <v>-1.466</v>
      </c>
      <c r="C24" s="1096">
        <f>SUM(C19:C23)</f>
        <v>-0.46000000000000008</v>
      </c>
      <c r="D24" s="1096">
        <f t="shared" ref="D24:L24" si="1">SUM(D19:D23)</f>
        <v>0.60099999999999998</v>
      </c>
      <c r="E24" s="1096">
        <f t="shared" si="1"/>
        <v>1.242</v>
      </c>
      <c r="F24" s="1096">
        <f t="shared" si="1"/>
        <v>0.84499999999999997</v>
      </c>
      <c r="G24" s="1096">
        <f t="shared" si="1"/>
        <v>-1.2710000000000001</v>
      </c>
      <c r="H24" s="1096">
        <f t="shared" si="1"/>
        <v>0.67899999999999994</v>
      </c>
      <c r="I24" s="1096">
        <f t="shared" si="1"/>
        <v>0.83699999999999997</v>
      </c>
      <c r="J24" s="1096">
        <f t="shared" si="1"/>
        <v>0.43999999999999995</v>
      </c>
      <c r="K24" s="1096">
        <f t="shared" si="1"/>
        <v>0.37999999999999995</v>
      </c>
      <c r="L24" s="1096">
        <f t="shared" si="1"/>
        <v>0.35070000000000001</v>
      </c>
      <c r="M24" s="16"/>
    </row>
    <row r="25" spans="1:13">
      <c r="A25" s="344" t="str">
        <f>CFS!A28</f>
        <v>Financing Activities</v>
      </c>
      <c r="B25" s="344">
        <f>CFS!B28</f>
        <v>0</v>
      </c>
      <c r="C25" s="344"/>
      <c r="D25" s="344"/>
      <c r="E25" s="344"/>
      <c r="F25" s="344"/>
      <c r="G25" s="344"/>
      <c r="H25" s="344"/>
      <c r="I25" s="344"/>
      <c r="J25" s="344"/>
      <c r="K25" s="344"/>
      <c r="L25" s="344"/>
      <c r="M25" s="16"/>
    </row>
    <row r="26" spans="1:13">
      <c r="A26" s="347" t="str">
        <f>CFS!A29</f>
        <v>Cash Dividends Paid</v>
      </c>
      <c r="B26" s="347">
        <f>CFS!B29</f>
        <v>0</v>
      </c>
      <c r="C26" s="347" cm="1">
        <f t="array" ref="C26:L26">_xll.FDSRC("-",$B2,"-FF_DIV_CF('ANN','0','-9','YEARLY',RP,'LOCAL','B')")</f>
        <v>-4.4999999999999998E-2</v>
      </c>
      <c r="D26" s="347">
        <v>-0.17299999999999999</v>
      </c>
      <c r="E26" s="347">
        <v>-0.158</v>
      </c>
      <c r="F26" s="347">
        <v>-0.14799999999999999</v>
      </c>
      <c r="G26" s="347">
        <v>-0.13600000000000001</v>
      </c>
      <c r="H26" s="347">
        <v>-0.10199999999999999</v>
      </c>
      <c r="I26" s="347">
        <v>-6.8000000000000005E-2</v>
      </c>
      <c r="J26" s="347">
        <v>-2.8000000000000001E-2</v>
      </c>
      <c r="K26" s="347">
        <v>0</v>
      </c>
      <c r="L26" s="347">
        <v>0</v>
      </c>
      <c r="M26" s="16"/>
    </row>
    <row r="27" spans="1:13">
      <c r="A27" s="347" t="str">
        <f>CFS!A30</f>
        <v>Change in Capital Stock</v>
      </c>
      <c r="B27" s="347">
        <f>CFS!B30</f>
        <v>0</v>
      </c>
      <c r="C27" s="347" cm="1">
        <f t="array" ref="C27:L27">_xll.FDSRC("-",$B$2,"FF_STK_CHG_CF('ANN','0','-9','YEARLY',RP,'LOCAL','B')")</f>
        <v>-3.1E-2</v>
      </c>
      <c r="D27" s="347">
        <v>-7.4999999999999997E-2</v>
      </c>
      <c r="E27" s="347">
        <v>-0.05</v>
      </c>
      <c r="F27" s="347">
        <v>-7.4999999999999997E-2</v>
      </c>
      <c r="G27" s="347">
        <v>-0.193</v>
      </c>
      <c r="H27" s="347">
        <v>-0.505</v>
      </c>
      <c r="I27" s="347">
        <v>-0.32100000000000001</v>
      </c>
      <c r="J27" s="347">
        <v>-0.13500000000000001</v>
      </c>
      <c r="K27" s="347">
        <v>-2.9000000000000001E-2</v>
      </c>
      <c r="L27" s="347">
        <v>-6.0100000000000001E-2</v>
      </c>
      <c r="M27" s="16"/>
    </row>
    <row r="28" spans="1:13">
      <c r="A28" s="347" t="str">
        <f>CFS!A31</f>
        <v>Issuance/Reduction of Debt, Net</v>
      </c>
      <c r="B28" s="347">
        <f>CFS!B31</f>
        <v>-8.7149999999999999</v>
      </c>
      <c r="C28" s="347" cm="1">
        <f t="array" ref="C28:L28">_xll.FDSRC("-",$B$2,"FF_DEBT_CF('ANN','0','-9','YEARLY',RP,'LOCAL','B')")</f>
        <v>1.9990000000000001</v>
      </c>
      <c r="D28" s="347">
        <v>-0.60799999999999998</v>
      </c>
      <c r="E28" s="347">
        <v>-0.46800000000000003</v>
      </c>
      <c r="F28" s="347">
        <v>-0.39700000000000002</v>
      </c>
      <c r="G28" s="347">
        <v>1.7949999999999999</v>
      </c>
      <c r="H28" s="347">
        <v>-0.11600000000000001</v>
      </c>
      <c r="I28" s="347">
        <v>-6.8000000000000005E-2</v>
      </c>
      <c r="J28" s="347">
        <v>-0.161</v>
      </c>
      <c r="K28" s="347">
        <v>-0.27500000000000002</v>
      </c>
      <c r="L28" s="347">
        <v>-0.22700000000000001</v>
      </c>
      <c r="M28" s="16"/>
    </row>
    <row r="29" spans="1:13">
      <c r="A29" s="347" t="s">
        <v>473</v>
      </c>
      <c r="B29" s="347"/>
      <c r="C29" s="347" cm="1">
        <f t="array" ref="C29:L29">_xll.FDSRC("-",$B2,"FF_FIN_ACTIV_OTH_CF('ANN','0','-9','YEARLY',RP,'LOCAL','B')")</f>
        <v>5.8000000000000003E-2</v>
      </c>
      <c r="D29" s="347">
        <v>4.2999999999999997E-2</v>
      </c>
      <c r="E29" s="347">
        <v>2.9000000000000001E-2</v>
      </c>
      <c r="F29" s="347">
        <v>2.8000000000000001E-2</v>
      </c>
      <c r="G29" s="347">
        <v>2.5000000000000001E-2</v>
      </c>
      <c r="H29" s="347">
        <v>3.5000000000000003E-2</v>
      </c>
      <c r="I29" s="347">
        <v>-5.0000000000000001E-3</v>
      </c>
      <c r="J29" s="347">
        <v>-1E-3</v>
      </c>
      <c r="K29" s="347">
        <v>0.216</v>
      </c>
      <c r="L29" s="347">
        <v>7.1000000000000004E-3</v>
      </c>
      <c r="M29" s="16"/>
    </row>
    <row r="30" spans="1:13">
      <c r="A30" s="373" t="str">
        <f>CFS!A32&amp;" incl. required funding for R&amp;D"</f>
        <v>Other Funds incl. required funding for R&amp;D</v>
      </c>
      <c r="B30" s="373">
        <f>CFS!B32</f>
        <v>7.2999999999999995E-2</v>
      </c>
      <c r="C30" s="373">
        <f>C29-(C17+C24+SUM(C26:C28,C29)-C33)</f>
        <v>4.7629999999999999</v>
      </c>
      <c r="D30" s="373">
        <f t="shared" ref="D30:L30" si="2">D29-(D17+D24+SUM(D26:D28,D29)-D33)</f>
        <v>0.94499999999999995</v>
      </c>
      <c r="E30" s="373">
        <f t="shared" si="2"/>
        <v>0.16200000000000001</v>
      </c>
      <c r="F30" s="373">
        <f t="shared" si="2"/>
        <v>-1.2829999999999999</v>
      </c>
      <c r="G30" s="373">
        <f t="shared" si="2"/>
        <v>0.51700000000000035</v>
      </c>
      <c r="H30" s="373">
        <f t="shared" si="2"/>
        <v>-0.41400000000000003</v>
      </c>
      <c r="I30" s="373">
        <f t="shared" si="2"/>
        <v>-1.2089999999999999</v>
      </c>
      <c r="J30" s="373">
        <f t="shared" si="2"/>
        <v>-9.0999999999999859E-2</v>
      </c>
      <c r="K30" s="373">
        <f t="shared" si="2"/>
        <v>-0.34299999999999997</v>
      </c>
      <c r="L30" s="373">
        <f t="shared" si="2"/>
        <v>-0.28859999999999997</v>
      </c>
      <c r="M30" s="16"/>
    </row>
    <row r="31" spans="1:13">
      <c r="A31" s="1096" t="str">
        <f>CFS!A33</f>
        <v>Net Financing Cash Flow</v>
      </c>
      <c r="B31" s="1096">
        <f>CFS!B33</f>
        <v>-8.6419999999999995</v>
      </c>
      <c r="C31" s="1096">
        <f>SUM(C26:C28,C30)</f>
        <v>6.6859999999999999</v>
      </c>
      <c r="D31" s="1096">
        <f t="shared" ref="D31:L31" si="3">SUM(D26:D28,D30)</f>
        <v>8.8999999999999968E-2</v>
      </c>
      <c r="E31" s="1096">
        <f t="shared" si="3"/>
        <v>-0.51400000000000001</v>
      </c>
      <c r="F31" s="1096">
        <f t="shared" si="3"/>
        <v>-1.903</v>
      </c>
      <c r="G31" s="1096">
        <f t="shared" si="3"/>
        <v>1.9830000000000003</v>
      </c>
      <c r="H31" s="1096">
        <f t="shared" si="3"/>
        <v>-1.137</v>
      </c>
      <c r="I31" s="1096">
        <f t="shared" si="3"/>
        <v>-1.6659999999999999</v>
      </c>
      <c r="J31" s="1096">
        <f t="shared" si="3"/>
        <v>-0.41499999999999987</v>
      </c>
      <c r="K31" s="1096">
        <f t="shared" si="3"/>
        <v>-0.64700000000000002</v>
      </c>
      <c r="L31" s="1096">
        <f t="shared" si="3"/>
        <v>-0.57569999999999999</v>
      </c>
      <c r="M31" s="16"/>
    </row>
    <row r="32" spans="1:13">
      <c r="A32" s="347"/>
      <c r="B32" s="347"/>
      <c r="C32" s="347"/>
      <c r="D32" s="347"/>
      <c r="E32" s="347"/>
      <c r="F32" s="347"/>
      <c r="G32" s="347"/>
      <c r="H32" s="347"/>
      <c r="I32" s="347"/>
      <c r="J32" s="347"/>
      <c r="K32" s="347"/>
      <c r="L32" s="347"/>
      <c r="M32" s="16"/>
    </row>
    <row r="33" spans="1:13">
      <c r="A33" s="344" t="str">
        <f>CFS!A35</f>
        <v>Net Change in Cash</v>
      </c>
      <c r="B33" s="344">
        <f>CFS!B35</f>
        <v>-8.6859999999999999</v>
      </c>
      <c r="C33" s="344">
        <f>CFS!C35</f>
        <v>6.3250000000000002</v>
      </c>
      <c r="D33" s="344">
        <f>CFS!D35</f>
        <v>0.98199999999999998</v>
      </c>
      <c r="E33" s="344">
        <f>CFS!E35</f>
        <v>0.89500000000000002</v>
      </c>
      <c r="F33" s="344">
        <f>CFS!F35</f>
        <v>-0.94799999999999995</v>
      </c>
      <c r="G33" s="344">
        <f>CFS!G35</f>
        <v>0.80100000000000005</v>
      </c>
      <c r="H33" s="344">
        <f>CFS!H35</f>
        <v>-0.123</v>
      </c>
      <c r="I33" s="344">
        <f>CFS!I35</f>
        <v>-0.81799999999999995</v>
      </c>
      <c r="J33" s="344">
        <f>CFS!J35</f>
        <v>0.19700000000000001</v>
      </c>
      <c r="K33" s="344">
        <f>CFS!K35</f>
        <v>-0.24099999999999999</v>
      </c>
      <c r="L33" s="344">
        <f>CFS!L35</f>
        <v>-0.23499999999999999</v>
      </c>
      <c r="M33" s="16"/>
    </row>
    <row r="34" spans="1:13">
      <c r="A34" s="377" t="s">
        <v>472</v>
      </c>
      <c r="B34" s="327"/>
      <c r="C34" s="327">
        <f>C17+C24+C31-C33</f>
        <v>0</v>
      </c>
      <c r="D34" s="327">
        <f t="shared" ref="D34:K34" si="4">D17+D24+D31-D33</f>
        <v>0</v>
      </c>
      <c r="E34" s="327">
        <f t="shared" si="4"/>
        <v>0</v>
      </c>
      <c r="F34" s="327">
        <f t="shared" si="4"/>
        <v>0</v>
      </c>
      <c r="G34" s="327">
        <f t="shared" si="4"/>
        <v>0</v>
      </c>
      <c r="H34" s="327">
        <f t="shared" si="4"/>
        <v>0</v>
      </c>
      <c r="I34" s="327">
        <f t="shared" si="4"/>
        <v>0</v>
      </c>
      <c r="J34" s="327">
        <f t="shared" si="4"/>
        <v>0</v>
      </c>
      <c r="K34" s="327">
        <f t="shared" si="4"/>
        <v>0</v>
      </c>
      <c r="L34" s="327">
        <f>L17+L24+L31-L33</f>
        <v>0</v>
      </c>
      <c r="M34" s="16"/>
    </row>
    <row r="35" spans="1:13">
      <c r="A35" s="377"/>
      <c r="B35" s="327"/>
      <c r="C35" s="327"/>
      <c r="D35" s="327"/>
      <c r="E35" s="327"/>
      <c r="F35" s="327"/>
      <c r="G35" s="327"/>
      <c r="H35" s="327"/>
      <c r="I35" s="327"/>
      <c r="J35" s="327"/>
      <c r="K35" s="327"/>
      <c r="L35" s="327"/>
      <c r="M35" s="16"/>
    </row>
    <row r="36" spans="1:13">
      <c r="A36" s="377"/>
      <c r="B36" s="327"/>
      <c r="C36" s="327"/>
      <c r="D36" s="327"/>
      <c r="E36" s="327"/>
      <c r="F36" s="327"/>
      <c r="G36" s="327"/>
      <c r="H36" s="327"/>
      <c r="I36" s="327"/>
      <c r="J36" s="327"/>
      <c r="K36" s="327"/>
      <c r="L36" s="327"/>
      <c r="M36" s="16"/>
    </row>
    <row r="37" spans="1:13">
      <c r="A37" s="377"/>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9"/>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5"/>
      <c r="B44" s="327"/>
      <c r="C44" s="327"/>
      <c r="D44" s="327"/>
      <c r="E44" s="327"/>
      <c r="F44" s="327"/>
      <c r="G44" s="327"/>
      <c r="H44" s="327"/>
      <c r="I44" s="327"/>
      <c r="J44" s="327"/>
      <c r="K44" s="327"/>
      <c r="L44" s="327"/>
      <c r="M44" s="16"/>
    </row>
    <row r="45" spans="1:13">
      <c r="A45" s="255"/>
      <c r="B45" s="327"/>
      <c r="C45" s="327"/>
      <c r="D45" s="327"/>
      <c r="E45" s="327"/>
      <c r="F45" s="327"/>
      <c r="G45" s="327"/>
      <c r="H45" s="327"/>
      <c r="I45" s="327"/>
      <c r="J45" s="327"/>
      <c r="K45" s="327"/>
      <c r="L45" s="327"/>
      <c r="M45" s="16"/>
    </row>
    <row r="46" spans="1:13">
      <c r="A46" s="259"/>
      <c r="B46" s="327"/>
      <c r="C46" s="327"/>
      <c r="D46" s="327"/>
      <c r="E46" s="327"/>
      <c r="F46" s="327"/>
      <c r="G46" s="327"/>
      <c r="H46" s="327"/>
      <c r="I46" s="327"/>
      <c r="J46" s="327"/>
      <c r="K46" s="327"/>
      <c r="L46" s="327"/>
      <c r="M46" s="16"/>
    </row>
    <row r="47" spans="1:13">
      <c r="A47" s="259"/>
      <c r="B47" s="327"/>
      <c r="C47" s="327"/>
      <c r="D47" s="327"/>
      <c r="E47" s="327"/>
      <c r="F47" s="327"/>
      <c r="G47" s="327"/>
      <c r="H47" s="327"/>
      <c r="I47" s="327"/>
      <c r="J47" s="327"/>
      <c r="K47" s="327"/>
      <c r="L47" s="327"/>
      <c r="M47" s="16"/>
    </row>
    <row r="48" spans="1:13">
      <c r="A48" s="259"/>
      <c r="B48" s="327"/>
      <c r="C48" s="327"/>
      <c r="D48" s="327"/>
      <c r="E48" s="327"/>
      <c r="F48" s="327"/>
      <c r="G48" s="327"/>
      <c r="H48" s="327"/>
      <c r="I48" s="327"/>
      <c r="J48" s="327"/>
      <c r="K48" s="327"/>
      <c r="L48" s="327"/>
      <c r="M48" s="16"/>
    </row>
    <row r="49" spans="1:13">
      <c r="A49" s="259"/>
      <c r="B49" s="327"/>
      <c r="C49" s="327"/>
      <c r="D49" s="327"/>
      <c r="E49" s="327"/>
      <c r="F49" s="327"/>
      <c r="G49" s="327"/>
      <c r="H49" s="327"/>
      <c r="I49" s="327"/>
      <c r="J49" s="327"/>
      <c r="K49" s="327"/>
      <c r="L49" s="327"/>
      <c r="M49" s="16"/>
    </row>
    <row r="50" spans="1:13">
      <c r="A50" s="259"/>
      <c r="B50" s="327"/>
      <c r="C50" s="327"/>
      <c r="D50" s="327"/>
      <c r="E50" s="327"/>
      <c r="F50" s="327"/>
      <c r="G50" s="327"/>
      <c r="H50" s="327"/>
      <c r="I50" s="327"/>
      <c r="J50" s="327"/>
      <c r="K50" s="327"/>
      <c r="L50" s="327"/>
      <c r="M50" s="16"/>
    </row>
    <row r="51" spans="1:13">
      <c r="A51" s="259"/>
      <c r="B51" s="327"/>
      <c r="C51" s="327"/>
      <c r="D51" s="327"/>
      <c r="E51" s="327"/>
      <c r="F51" s="327"/>
      <c r="G51" s="327"/>
      <c r="H51" s="327"/>
      <c r="I51" s="327"/>
      <c r="J51" s="327"/>
      <c r="K51" s="327"/>
      <c r="L51" s="327"/>
      <c r="M51" s="16"/>
    </row>
    <row r="52" spans="1:13">
      <c r="A52" s="252"/>
      <c r="B52" s="327"/>
      <c r="C52" s="327"/>
      <c r="D52" s="327"/>
      <c r="E52" s="327"/>
      <c r="F52" s="327"/>
      <c r="G52" s="327"/>
      <c r="H52" s="327"/>
      <c r="I52" s="327"/>
      <c r="J52" s="327"/>
      <c r="K52" s="327"/>
      <c r="L52" s="327"/>
      <c r="M52" s="16"/>
    </row>
    <row r="54" spans="1:13" s="3" customFormat="1">
      <c r="A54" s="327"/>
      <c r="M54"/>
    </row>
    <row r="55" spans="1:13" s="3" customFormat="1">
      <c r="A55" s="327"/>
      <c r="M55"/>
    </row>
    <row r="56" spans="1:13" s="3" customFormat="1">
      <c r="A56" s="327"/>
      <c r="M56"/>
    </row>
    <row r="57" spans="1:13" s="3" customFormat="1">
      <c r="A57" s="327"/>
      <c r="M57"/>
    </row>
    <row r="58" spans="1:13" s="3" customFormat="1">
      <c r="A58" s="327"/>
      <c r="M58"/>
    </row>
    <row r="59" spans="1:13" s="3" customFormat="1">
      <c r="A59" s="327"/>
      <c r="M59"/>
    </row>
    <row r="60" spans="1:13" s="3" customFormat="1">
      <c r="A60" s="327"/>
      <c r="M60"/>
    </row>
    <row r="61" spans="1:13" s="3" customFormat="1">
      <c r="A61" s="327"/>
      <c r="M61"/>
    </row>
    <row r="62" spans="1:13" s="3" customFormat="1">
      <c r="A62" s="327"/>
      <c r="M62"/>
    </row>
    <row r="63" spans="1:13" s="3" customFormat="1">
      <c r="A63" s="327"/>
      <c r="M63"/>
    </row>
    <row r="64" spans="1:13" s="3" customFormat="1">
      <c r="A64" s="327"/>
      <c r="M64"/>
    </row>
    <row r="65" spans="1:13" s="3" customFormat="1">
      <c r="A65" s="327"/>
      <c r="M65"/>
    </row>
    <row r="66" spans="1:13" s="3" customFormat="1">
      <c r="A66" s="327"/>
      <c r="M66"/>
    </row>
    <row r="67" spans="1:13" s="3" customFormat="1">
      <c r="A67" s="327"/>
      <c r="M67"/>
    </row>
    <row r="68" spans="1:13" s="3" customFormat="1">
      <c r="A68" s="327"/>
      <c r="M68"/>
    </row>
    <row r="69" spans="1:13" s="3" customFormat="1">
      <c r="A69" s="327"/>
      <c r="M69"/>
    </row>
    <row r="70" spans="1:13" s="3" customFormat="1">
      <c r="A70" s="327"/>
      <c r="M70"/>
    </row>
    <row r="71" spans="1:13" s="3" customFormat="1">
      <c r="A71" s="327"/>
      <c r="M71"/>
    </row>
    <row r="72" spans="1:13" s="3" customFormat="1">
      <c r="A72" s="327"/>
      <c r="M72"/>
    </row>
    <row r="73" spans="1:13" s="3" customFormat="1">
      <c r="A73" s="327"/>
      <c r="M73"/>
    </row>
    <row r="74" spans="1:13" s="3" customFormat="1">
      <c r="A74" s="327"/>
      <c r="M74"/>
    </row>
    <row r="75" spans="1:13" s="3" customFormat="1">
      <c r="A75" s="327"/>
      <c r="M75"/>
    </row>
    <row r="76" spans="1:13" s="3" customFormat="1">
      <c r="A76" s="327"/>
      <c r="M76"/>
    </row>
    <row r="77" spans="1:13" s="3" customFormat="1">
      <c r="A77" s="327"/>
      <c r="M77"/>
    </row>
    <row r="78" spans="1:13" s="3" customFormat="1">
      <c r="A78" s="327"/>
      <c r="M78"/>
    </row>
    <row r="79" spans="1:13" s="3" customFormat="1">
      <c r="A79" s="327"/>
      <c r="M79"/>
    </row>
    <row r="80" spans="1:13" s="3" customFormat="1">
      <c r="A80" s="327"/>
      <c r="M80"/>
    </row>
    <row r="81" spans="1:13" s="3" customFormat="1">
      <c r="A81" s="327"/>
      <c r="M81"/>
    </row>
    <row r="82" spans="1:13" s="3" customFormat="1">
      <c r="A82" s="327"/>
      <c r="M82"/>
    </row>
    <row r="83" spans="1:13" s="3" customFormat="1">
      <c r="A83" s="327"/>
      <c r="M83"/>
    </row>
    <row r="84" spans="1:13" s="3" customFormat="1">
      <c r="A84" s="327"/>
      <c r="M84"/>
    </row>
    <row r="85" spans="1:13" s="3" customFormat="1">
      <c r="A85" s="327"/>
      <c r="M85"/>
    </row>
    <row r="86" spans="1:13" s="3" customFormat="1">
      <c r="A86" s="327"/>
      <c r="M86"/>
    </row>
    <row r="87" spans="1:13" s="3" customFormat="1">
      <c r="A87" s="327"/>
      <c r="M87"/>
    </row>
    <row r="88" spans="1:13" s="3" customFormat="1">
      <c r="A88" s="327"/>
      <c r="M88"/>
    </row>
    <row r="89" spans="1:13" s="3" customFormat="1">
      <c r="A89" s="327"/>
      <c r="M89"/>
    </row>
    <row r="90" spans="1:13" s="3" customFormat="1">
      <c r="A90" s="327"/>
      <c r="M90"/>
    </row>
    <row r="91" spans="1:13" s="3" customFormat="1">
      <c r="A91" s="327"/>
      <c r="M91"/>
    </row>
    <row r="92" spans="1:13" s="3" customFormat="1">
      <c r="A92" s="327"/>
      <c r="M92"/>
    </row>
    <row r="93" spans="1:13" s="3" customFormat="1">
      <c r="A93" s="327"/>
      <c r="M93"/>
    </row>
    <row r="94" spans="1:13" s="3" customFormat="1">
      <c r="A94" s="327"/>
      <c r="M94"/>
    </row>
    <row r="95" spans="1:13" s="3" customFormat="1">
      <c r="A95" s="327"/>
      <c r="M95"/>
    </row>
    <row r="96" spans="1:13" s="3" customFormat="1">
      <c r="A96" s="327"/>
      <c r="M96"/>
    </row>
    <row r="97" spans="1:13" s="3" customFormat="1">
      <c r="A97" s="327"/>
      <c r="M97"/>
    </row>
    <row r="98" spans="1:13" s="3" customFormat="1">
      <c r="A98" s="327"/>
      <c r="M98"/>
    </row>
    <row r="99" spans="1:13" s="3" customFormat="1">
      <c r="A99" s="327"/>
      <c r="M99"/>
    </row>
    <row r="100" spans="1:13" s="3" customFormat="1">
      <c r="A100" s="327"/>
      <c r="M100"/>
    </row>
    <row r="101" spans="1:13" s="3" customFormat="1">
      <c r="A101" s="327"/>
      <c r="M101"/>
    </row>
    <row r="102" spans="1:13" s="3" customFormat="1">
      <c r="A102" s="327"/>
      <c r="M102"/>
    </row>
    <row r="103" spans="1:13" s="3" customFormat="1">
      <c r="A103" s="327"/>
      <c r="M103"/>
    </row>
    <row r="104" spans="1:13" s="3" customFormat="1">
      <c r="A104" s="327"/>
      <c r="M104"/>
    </row>
    <row r="105" spans="1:13" s="3" customFormat="1">
      <c r="A105" s="327"/>
      <c r="M105"/>
    </row>
    <row r="106" spans="1:13" s="3" customFormat="1">
      <c r="A106" s="327"/>
      <c r="M106"/>
    </row>
    <row r="107" spans="1:13" s="3" customFormat="1">
      <c r="A107" s="327"/>
      <c r="M107"/>
    </row>
    <row r="108" spans="1:13" s="3" customFormat="1">
      <c r="A108" s="327"/>
      <c r="M108"/>
    </row>
    <row r="109" spans="1:13" s="3" customFormat="1">
      <c r="A109" s="327"/>
      <c r="M109"/>
    </row>
    <row r="110" spans="1:13" s="3" customFormat="1">
      <c r="A110" s="327"/>
      <c r="M110"/>
    </row>
    <row r="111" spans="1:13" s="3" customFormat="1">
      <c r="A111" s="327"/>
      <c r="M111"/>
    </row>
    <row r="112" spans="1:13" s="3" customFormat="1">
      <c r="A112" s="327"/>
      <c r="M112"/>
    </row>
    <row r="113" spans="1:13" s="3" customFormat="1">
      <c r="A113" s="327"/>
      <c r="M113"/>
    </row>
    <row r="114" spans="1:13" s="3" customFormat="1">
      <c r="A114" s="327"/>
      <c r="M114"/>
    </row>
    <row r="115" spans="1:13" s="3" customFormat="1">
      <c r="A115" s="327"/>
      <c r="M115"/>
    </row>
    <row r="116" spans="1:13" s="3" customFormat="1">
      <c r="A116" s="327"/>
      <c r="M116"/>
    </row>
    <row r="117" spans="1:13" s="3" customFormat="1">
      <c r="A117" s="327"/>
      <c r="M117"/>
    </row>
    <row r="118" spans="1:13" s="3" customFormat="1">
      <c r="A118" s="327"/>
      <c r="M118"/>
    </row>
    <row r="119" spans="1:13" s="3" customFormat="1">
      <c r="A119" s="327"/>
      <c r="M119"/>
    </row>
    <row r="120" spans="1:13" s="3" customFormat="1">
      <c r="A120" s="327"/>
      <c r="M120"/>
    </row>
    <row r="121" spans="1:13" s="3" customFormat="1">
      <c r="A121" s="327"/>
      <c r="M121"/>
    </row>
    <row r="122" spans="1:13" s="3" customFormat="1">
      <c r="A122" s="327"/>
      <c r="M122"/>
    </row>
    <row r="123" spans="1:13" s="3" customFormat="1">
      <c r="A123" s="327"/>
      <c r="M123"/>
    </row>
    <row r="124" spans="1:13" s="3" customFormat="1">
      <c r="A124" s="327"/>
      <c r="M124"/>
    </row>
    <row r="125" spans="1:13" s="3" customFormat="1">
      <c r="A125" s="327"/>
      <c r="M125"/>
    </row>
    <row r="126" spans="1:13" s="3" customFormat="1">
      <c r="A126" s="327"/>
      <c r="M126"/>
    </row>
    <row r="127" spans="1:13" s="3" customFormat="1">
      <c r="A127" s="327"/>
      <c r="M127"/>
    </row>
    <row r="128" spans="1:13" s="3" customFormat="1">
      <c r="A128" s="327"/>
      <c r="M128"/>
    </row>
    <row r="129" spans="1:13" s="3" customFormat="1">
      <c r="A129" s="327"/>
      <c r="M129"/>
    </row>
    <row r="130" spans="1:13" s="3" customFormat="1">
      <c r="A130" s="327"/>
      <c r="M130"/>
    </row>
    <row r="131" spans="1:13" s="3" customFormat="1">
      <c r="A131" s="327"/>
      <c r="M131"/>
    </row>
    <row r="132" spans="1:13" s="3" customFormat="1">
      <c r="A132" s="327"/>
      <c r="M132"/>
    </row>
    <row r="133" spans="1:13" s="3" customFormat="1">
      <c r="A133" s="327"/>
      <c r="M133"/>
    </row>
    <row r="134" spans="1:13" s="3" customFormat="1">
      <c r="A134" s="327"/>
      <c r="M134"/>
    </row>
    <row r="135" spans="1:13" s="3" customFormat="1">
      <c r="A135" s="327"/>
      <c r="M135"/>
    </row>
    <row r="136" spans="1:13" s="3" customFormat="1">
      <c r="A136" s="327"/>
      <c r="M136"/>
    </row>
    <row r="137" spans="1:13" s="3" customFormat="1">
      <c r="A137" s="327"/>
      <c r="M137"/>
    </row>
    <row r="138" spans="1:13" s="3" customFormat="1">
      <c r="A138" s="327"/>
      <c r="M138"/>
    </row>
    <row r="139" spans="1:13" s="3" customFormat="1">
      <c r="A139" s="327"/>
      <c r="M139"/>
    </row>
    <row r="140" spans="1:13" s="3" customFormat="1">
      <c r="A140" s="327"/>
      <c r="M140"/>
    </row>
    <row r="141" spans="1:13" s="3" customFormat="1">
      <c r="A141" s="327"/>
      <c r="M141"/>
    </row>
    <row r="142" spans="1:13" s="3" customFormat="1">
      <c r="A142" s="327"/>
      <c r="M142"/>
    </row>
    <row r="143" spans="1:13" s="3" customFormat="1">
      <c r="A143" s="327"/>
      <c r="M143"/>
    </row>
    <row r="144" spans="1:13" s="3" customFormat="1">
      <c r="A144" s="327"/>
      <c r="M144"/>
    </row>
    <row r="145" spans="1:13" s="3" customFormat="1">
      <c r="A145" s="327"/>
      <c r="M145"/>
    </row>
    <row r="146" spans="1:13" s="3" customFormat="1">
      <c r="A146" s="327"/>
      <c r="M146"/>
    </row>
    <row r="147" spans="1:13" s="3" customFormat="1">
      <c r="A147" s="327"/>
      <c r="M147"/>
    </row>
    <row r="148" spans="1:13" s="3" customFormat="1">
      <c r="A148" s="327"/>
      <c r="M148"/>
    </row>
    <row r="149" spans="1:13" s="3" customFormat="1">
      <c r="A149" s="327"/>
      <c r="M149"/>
    </row>
    <row r="150" spans="1:13" s="3" customFormat="1">
      <c r="A150" s="327"/>
      <c r="M150"/>
    </row>
    <row r="151" spans="1:13" s="3" customFormat="1">
      <c r="A151" s="327"/>
      <c r="M151"/>
    </row>
    <row r="152" spans="1:13" s="3" customFormat="1">
      <c r="A152" s="327"/>
      <c r="M152"/>
    </row>
    <row r="153" spans="1:13" s="3" customFormat="1">
      <c r="A153" s="327"/>
      <c r="M153"/>
    </row>
    <row r="154" spans="1:13" s="3" customFormat="1">
      <c r="A154" s="327"/>
      <c r="M154"/>
    </row>
    <row r="155" spans="1:13" s="3" customFormat="1">
      <c r="A155" s="327"/>
      <c r="M155"/>
    </row>
    <row r="156" spans="1:13" s="3" customFormat="1">
      <c r="A156" s="327"/>
      <c r="M156"/>
    </row>
    <row r="157" spans="1:13" s="3" customFormat="1">
      <c r="A157" s="327"/>
      <c r="M157"/>
    </row>
    <row r="158" spans="1:13" s="3" customFormat="1">
      <c r="A158" s="327"/>
      <c r="M158"/>
    </row>
    <row r="159" spans="1:13" s="3" customFormat="1">
      <c r="A159" s="327"/>
      <c r="M159"/>
    </row>
    <row r="160" spans="1:13" s="3" customFormat="1">
      <c r="A160" s="327"/>
      <c r="M160"/>
    </row>
    <row r="161" spans="1:13" s="3" customFormat="1">
      <c r="A161" s="327"/>
      <c r="M161"/>
    </row>
    <row r="162" spans="1:13" s="3" customFormat="1">
      <c r="A162" s="327"/>
      <c r="M162"/>
    </row>
    <row r="163" spans="1:13" s="3" customFormat="1">
      <c r="A163" s="327"/>
      <c r="M163"/>
    </row>
  </sheetData>
  <pageMargins left="0.7" right="0.7" top="0.78740157499999996" bottom="0.78740157499999996"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5A156-A2F1-4268-A377-F14BF40E9ADC}">
  <sheetPr>
    <tabColor theme="2" tint="-0.499984740745262"/>
  </sheetPr>
  <dimension ref="A1:M163"/>
  <sheetViews>
    <sheetView zoomScale="115" zoomScaleNormal="115" workbookViewId="0">
      <selection activeCell="O14" sqref="O14"/>
    </sheetView>
  </sheetViews>
  <sheetFormatPr defaultColWidth="11.28515625" defaultRowHeight="15"/>
  <cols>
    <col min="1" max="1" width="40.7109375" style="3" bestFit="1" customWidth="1"/>
    <col min="2" max="2" width="1.5703125" style="3" customWidth="1"/>
    <col min="3" max="12" width="11.28515625" style="3"/>
  </cols>
  <sheetData>
    <row r="1" spans="1:13" s="340" customFormat="1" ht="26.1" customHeight="1">
      <c r="A1" s="371" t="s">
        <v>468</v>
      </c>
      <c r="B1" s="722" t="str">
        <f>B2</f>
        <v>skyw-US</v>
      </c>
    </row>
    <row r="2" spans="1:13">
      <c r="A2" s="327" t="str">
        <f>IS!A8</f>
        <v>Ticker</v>
      </c>
      <c r="B2" s="327" t="str">
        <f>'Industry Ratios'!I3</f>
        <v>skyw-US</v>
      </c>
      <c r="C2" s="327"/>
      <c r="D2" s="327"/>
      <c r="E2" s="327"/>
      <c r="F2" s="327"/>
      <c r="G2" s="327"/>
      <c r="H2" s="327"/>
      <c r="I2" s="327"/>
      <c r="J2" s="327"/>
      <c r="K2" s="327"/>
      <c r="L2" s="327"/>
      <c r="M2" s="16"/>
    </row>
    <row r="3" spans="1:13">
      <c r="A3" s="327"/>
      <c r="B3" s="327"/>
      <c r="C3" s="1055" t="s">
        <v>355</v>
      </c>
      <c r="D3" s="327"/>
      <c r="E3" s="327"/>
      <c r="F3" s="327"/>
      <c r="G3" s="327"/>
      <c r="H3" s="327"/>
      <c r="I3" s="327"/>
      <c r="J3" s="327"/>
      <c r="K3" s="327"/>
      <c r="L3" s="327"/>
      <c r="M3" s="16"/>
    </row>
    <row r="4" spans="1:13">
      <c r="A4" s="327"/>
      <c r="B4" s="327"/>
      <c r="C4" s="327"/>
      <c r="D4" s="327"/>
      <c r="E4" s="327"/>
      <c r="F4" s="327"/>
      <c r="G4" s="327"/>
      <c r="H4" s="327"/>
      <c r="I4" s="327"/>
      <c r="J4" s="327"/>
      <c r="K4" s="327"/>
      <c r="L4" s="327"/>
      <c r="M4" s="16"/>
    </row>
    <row r="5" spans="1:13">
      <c r="A5" s="327"/>
      <c r="B5" s="327">
        <f>IS!B11</f>
        <v>0</v>
      </c>
      <c r="C5" s="327" t="str">
        <f>IS!C11</f>
        <v>12/2020</v>
      </c>
      <c r="D5" s="327" t="str">
        <f>IS!D11</f>
        <v>12/2019</v>
      </c>
      <c r="E5" s="327" t="str">
        <f>IS!E11</f>
        <v>12/2018</v>
      </c>
      <c r="F5" s="327" t="str">
        <f>IS!F11</f>
        <v>12/2017</v>
      </c>
      <c r="G5" s="327" t="str">
        <f>IS!G11</f>
        <v>12/2016</v>
      </c>
      <c r="H5" s="327" t="str">
        <f>IS!H11</f>
        <v>12/2015</v>
      </c>
      <c r="I5" s="327" t="str">
        <f>IS!I11</f>
        <v>12/2014</v>
      </c>
      <c r="J5" s="327" t="str">
        <f>IS!J11</f>
        <v>12/2013</v>
      </c>
      <c r="K5" s="327" t="str">
        <f>IS!K11</f>
        <v>12/2012</v>
      </c>
      <c r="L5" s="327" t="str">
        <f>IS!L11</f>
        <v>12/2011</v>
      </c>
      <c r="M5" s="16"/>
    </row>
    <row r="6" spans="1:13">
      <c r="A6" s="327"/>
      <c r="B6" s="327">
        <f>IS!B12</f>
        <v>0</v>
      </c>
      <c r="C6" s="327" t="str">
        <f>IS!C12</f>
        <v>366 DAYS</v>
      </c>
      <c r="D6" s="327" t="str">
        <f>IS!D12</f>
        <v>365 DAYS</v>
      </c>
      <c r="E6" s="327" t="str">
        <f>IS!E12</f>
        <v>365 DAYS</v>
      </c>
      <c r="F6" s="327" t="str">
        <f>IS!F12</f>
        <v>365 DAYS</v>
      </c>
      <c r="G6" s="327" t="str">
        <f>IS!G12</f>
        <v>366 DAYS</v>
      </c>
      <c r="H6" s="327" t="str">
        <f>IS!H12</f>
        <v>365 DAYS</v>
      </c>
      <c r="I6" s="327" t="str">
        <f>IS!I12</f>
        <v>365 DAYS</v>
      </c>
      <c r="J6" s="327" t="str">
        <f>IS!J12</f>
        <v>365 DAYS</v>
      </c>
      <c r="K6" s="327" t="str">
        <f>IS!K12</f>
        <v>366 DAYS</v>
      </c>
      <c r="L6" s="327" t="str">
        <f>IS!L12</f>
        <v>365 DAYS</v>
      </c>
      <c r="M6" s="16"/>
    </row>
    <row r="7" spans="1:13">
      <c r="A7" s="353" t="str">
        <f>CFS!A13</f>
        <v>Cash Flow</v>
      </c>
      <c r="B7" s="353"/>
      <c r="C7" s="353"/>
      <c r="D7" s="353"/>
      <c r="E7" s="353"/>
      <c r="F7" s="353"/>
      <c r="G7" s="353"/>
      <c r="H7" s="353"/>
      <c r="I7" s="353"/>
      <c r="J7" s="353"/>
      <c r="K7" s="353"/>
      <c r="L7" s="353"/>
      <c r="M7" s="16"/>
    </row>
    <row r="8" spans="1:13">
      <c r="A8" s="353" t="str">
        <f>CFS!A14</f>
        <v>Operating Activities</v>
      </c>
      <c r="B8" s="353"/>
      <c r="C8" s="353"/>
      <c r="D8" s="353"/>
      <c r="E8" s="353"/>
      <c r="F8" s="353"/>
      <c r="G8" s="353"/>
      <c r="H8" s="353"/>
      <c r="I8" s="353"/>
      <c r="J8" s="353"/>
      <c r="K8" s="353"/>
      <c r="L8" s="353"/>
      <c r="M8" s="16"/>
    </row>
    <row r="9" spans="1:13">
      <c r="A9" s="344" t="str">
        <f>CFS!A15</f>
        <v>Net Income / Starting Line</v>
      </c>
      <c r="B9" s="344" t="str">
        <f>CFS!B15</f>
        <v>-</v>
      </c>
      <c r="C9" s="344">
        <f>'AC-CA IS-adj'!C14</f>
        <v>-3.24648</v>
      </c>
      <c r="D9" s="344">
        <f>'AC-CA IS-adj'!D14</f>
        <v>1.3608000000000002</v>
      </c>
      <c r="E9" s="344">
        <f>'AC-CA IS-adj'!E14</f>
        <v>1.1203199999999995</v>
      </c>
      <c r="F9" s="344">
        <f>'AC-CA IS-adj'!F14</f>
        <v>2.8389600000000002</v>
      </c>
      <c r="G9" s="344">
        <f>'AC-CA IS-adj'!G14</f>
        <v>2.7907200000000003</v>
      </c>
      <c r="H9" s="344">
        <f>'AC-CA IS-adj'!H14</f>
        <v>2.8364400000000005</v>
      </c>
      <c r="I9" s="344">
        <f>'AC-CA IS-adj'!I14</f>
        <v>2.8044000000000011</v>
      </c>
      <c r="J9" s="344">
        <f>'AC-CA IS-adj'!J14</f>
        <v>1.8453600215999995</v>
      </c>
      <c r="K9" s="344">
        <f>'AC-CA IS-adj'!K14</f>
        <v>1.8381600000000007</v>
      </c>
      <c r="L9" s="344">
        <f>'AC-CA IS-adj'!L14</f>
        <v>1.7056800000000008</v>
      </c>
      <c r="M9" s="16"/>
    </row>
    <row r="10" spans="1:13">
      <c r="A10" s="347" t="str">
        <f>CFS!A16</f>
        <v>Depreciation, Depletion &amp; Amortization</v>
      </c>
      <c r="B10" s="347" t="str">
        <f>CFS!B16</f>
        <v>-</v>
      </c>
      <c r="C10" s="1118" cm="1">
        <f t="array" ref="C10">_xll.FDS($B2,"FF_DEP_AMORT_EXP(ANN_R,"&amp;'AAL-US IS-adj'!C5&amp;",,,,,B)")</f>
        <v>0.47495900000000002</v>
      </c>
      <c r="D10" s="1118" cm="1">
        <f t="array" ref="D10">_xll.FDS($B2,"FF_DEP_AMORT_EXP(ANN_R,"&amp;'AAL-US IS-adj'!D5&amp;",,,,,B)")</f>
        <v>0.36809799999999998</v>
      </c>
      <c r="E10" s="1118" cm="1">
        <f t="array" ref="E10">_xll.FDS($B2,"FF_DEP_AMORT_EXP(ANN_R,"&amp;'AAL-US IS-adj'!E5&amp;",,,,,B)")</f>
        <v>0.33458900000000003</v>
      </c>
      <c r="F10" s="1118" cm="1">
        <f t="array" ref="F10">_xll.FDS($B2,"FF_DEP_AMORT_EXP(ANN_R,"&amp;'AAL-US IS-adj'!F5&amp;",,,,,B)")</f>
        <v>0.29276799999999997</v>
      </c>
      <c r="G10" s="1118" cm="1">
        <f t="array" ref="G10">_xll.FDS($B2,"FF_DEP_AMORT_EXP(ANN_R,"&amp;'AAL-US IS-adj'!G5&amp;",,,,,B)")</f>
        <v>0.28496899999999997</v>
      </c>
      <c r="H10" s="1118" cm="1">
        <f t="array" ref="H10">_xll.FDS($B2,"FF_DEP_AMORT_EXP(ANN_R,"&amp;'AAL-US IS-adj'!H5&amp;",,,,,B)")</f>
        <v>0.26450699999999999</v>
      </c>
      <c r="I10" s="1118" cm="1">
        <f t="array" ref="I10">_xll.FDS($B2,"FF_DEP_AMORT_EXP(ANN_R,"&amp;'AAL-US IS-adj'!I5&amp;",,,,,B)")</f>
        <v>0.25964199999999998</v>
      </c>
      <c r="J10" s="1118" cm="1">
        <f t="array" ref="J10">_xll.FDS($B2,"FF_DEP_AMORT_EXP(ANN_R,"&amp;'AAL-US IS-adj'!J5&amp;",,,,,B)")</f>
        <v>0.245005</v>
      </c>
      <c r="K10" s="1118" cm="1">
        <f t="array" ref="K10">_xll.FDS($B2,"FF_DEP_AMORT_EXP(ANN_R,"&amp;'AAL-US IS-adj'!K5&amp;",,,,,B)")</f>
        <v>0.25195800000000002</v>
      </c>
      <c r="L10" s="1118" cm="1">
        <f t="array" ref="L10">_xll.FDS($B2,"FF_DEP_AMORT_EXP(ANN_R,"&amp;'AAL-US IS-adj'!L5&amp;",,,,,B)")</f>
        <v>0.25418200000000002</v>
      </c>
      <c r="M10" s="16"/>
    </row>
    <row r="11" spans="1:13">
      <c r="A11" s="373" t="s">
        <v>469</v>
      </c>
      <c r="B11" s="373"/>
      <c r="C11" s="373">
        <f>'skyw-US R&amp;D'!C47</f>
        <v>0</v>
      </c>
      <c r="D11" s="373">
        <f>'skyw-US R&amp;D'!D47</f>
        <v>0</v>
      </c>
      <c r="E11" s="373">
        <f>'skyw-US R&amp;D'!E47</f>
        <v>0</v>
      </c>
      <c r="F11" s="373">
        <f>'skyw-US R&amp;D'!F47</f>
        <v>0</v>
      </c>
      <c r="G11" s="373">
        <f>'skyw-US R&amp;D'!G47</f>
        <v>0</v>
      </c>
      <c r="H11" s="373">
        <f>'skyw-US R&amp;D'!H47</f>
        <v>0</v>
      </c>
      <c r="I11" s="373">
        <f>'skyw-US R&amp;D'!I47</f>
        <v>0</v>
      </c>
      <c r="J11" s="373">
        <f>'skyw-US R&amp;D'!J47</f>
        <v>0</v>
      </c>
      <c r="K11" s="373">
        <f>'skyw-US R&amp;D'!K47</f>
        <v>0</v>
      </c>
      <c r="L11" s="373">
        <f>'skyw-US R&amp;D'!L47</f>
        <v>0</v>
      </c>
      <c r="M11" s="16"/>
    </row>
    <row r="12" spans="1:13">
      <c r="A12" s="373" t="s">
        <v>470</v>
      </c>
      <c r="B12" s="373"/>
      <c r="C12" s="373">
        <f>'skyw-US Lease'!C30</f>
        <v>0</v>
      </c>
      <c r="D12" s="373">
        <f>'skyw-US Lease'!D30</f>
        <v>0</v>
      </c>
      <c r="E12" s="373">
        <f>'skyw-US Lease'!E30</f>
        <v>6.7286885895150653E-2</v>
      </c>
      <c r="F12" s="373">
        <f>'skyw-US Lease'!F30</f>
        <v>0</v>
      </c>
      <c r="G12" s="373">
        <f>'skyw-US Lease'!G30</f>
        <v>0</v>
      </c>
      <c r="H12" s="373">
        <f>'skyw-US Lease'!H30</f>
        <v>0</v>
      </c>
      <c r="I12" s="373">
        <f>'skyw-US Lease'!I30</f>
        <v>0.18157956369271055</v>
      </c>
      <c r="J12" s="373">
        <f>'skyw-US Lease'!J30</f>
        <v>0.22231267255038786</v>
      </c>
      <c r="K12" s="373">
        <f>'skyw-US Lease'!K30</f>
        <v>0.2568121110102991</v>
      </c>
      <c r="L12" s="373">
        <f>'skyw-US Lease'!L30</f>
        <v>0.25680411381250767</v>
      </c>
      <c r="M12" s="16"/>
    </row>
    <row r="13" spans="1:13">
      <c r="A13" s="347" t="str">
        <f>CFS!A17</f>
        <v>Deferred Taxes &amp; Investment Tax Credit</v>
      </c>
      <c r="B13" s="347">
        <f>CFS!B17</f>
        <v>-3.11</v>
      </c>
      <c r="C13" s="1118" cm="1">
        <f t="array" ref="C13">IFERROR(_xll.FDS($B2,"FF_DFD_TAX(ANN_R,"&amp;'AAL-US IS-adj'!C5&amp;",,,,,B)"),0)</f>
        <v>0.62593100000000002</v>
      </c>
      <c r="D13" s="1118" cm="1">
        <f t="array" ref="D13">IFERROR(_xll.FDS($B2,"FF_DFD_TAX(ANN_R,"&amp;'AAL-US IS-adj'!D5&amp;",,,,,B)"),0)</f>
        <v>0.62358000000000002</v>
      </c>
      <c r="E13" s="1118" cm="1">
        <f t="array" ref="E13">IFERROR(_xll.FDS($B2,"FF_DFD_TAX(ANN_R,"&amp;'AAL-US IS-adj'!E5&amp;",,,,,B)"),0)</f>
        <v>0.51815900000000004</v>
      </c>
      <c r="F13" s="1118" cm="1">
        <f t="array" ref="F13">IFERROR(_xll.FDS($B2,"FF_DFD_TAX(ANN_R,"&amp;'AAL-US IS-adj'!F5&amp;",,,,,B)"),0)</f>
        <v>0.41902</v>
      </c>
      <c r="G13" s="1118" cm="1">
        <f t="array" ref="G13">IFERROR(_xll.FDS($B2,"FF_DFD_TAX(ANN_R,"&amp;'AAL-US IS-adj'!G5&amp;",,,,,B)"),0)</f>
        <v>0.56540400000000002</v>
      </c>
      <c r="H13" s="1118" cm="1">
        <f t="array" ref="H13">IFERROR(_xll.FDS($B2,"FF_DFD_TAX(ANN_R,"&amp;'AAL-US IS-adj'!H5&amp;",,,,,B)"),0)</f>
        <v>0.74957499999999999</v>
      </c>
      <c r="I13" s="1118" cm="1">
        <f t="array" ref="I13">IFERROR(_xll.FDS($B2,"FF_DFD_TAX(ANN_R,"&amp;'AAL-US IS-adj'!I5&amp;",,,,,B)"),0)</f>
        <v>0.66938500000000001</v>
      </c>
      <c r="J13" s="1118" cm="1">
        <f t="array" ref="J13">IFERROR(_xll.FDS($B2,"FF_DFD_TAX(ANN_R,"&amp;'AAL-US IS-adj'!J5&amp;",,,,,B)"),0)</f>
        <v>0.72735799999999995</v>
      </c>
      <c r="K13" s="1118" cm="1">
        <f t="array" ref="K13">IFERROR(_xll.FDS($B2,"FF_DFD_TAX(ANN_R,"&amp;'AAL-US IS-adj'!K5&amp;",,,,,B)"),0)</f>
        <v>0.65761999999999998</v>
      </c>
      <c r="L13" s="1118" cm="1">
        <f t="array" ref="L13">IFERROR(_xll.FDS($B2,"FF_DFD_TAX(ANN_R,"&amp;'AAL-US IS-adj'!L5&amp;",,,,,B)"),0)</f>
        <v>0.56787399999999999</v>
      </c>
      <c r="M13" s="16"/>
    </row>
    <row r="14" spans="1:13">
      <c r="A14" s="347" t="str">
        <f>CFS!A18</f>
        <v>Other Funds</v>
      </c>
      <c r="B14" s="347" t="str">
        <f>CFS!B18</f>
        <v>-</v>
      </c>
      <c r="C14" s="1118" cm="1">
        <f t="array" ref="C14:L14">_xll.FDSRC("-",B2,"FF_NON_CASH('ANN','0','-9','YEARLY',RP,'LOCAL','B')")</f>
        <v>2.7588999999999999E-2</v>
      </c>
      <c r="D14" s="1118">
        <v>-1.4382000000000001E-2</v>
      </c>
      <c r="E14" s="347">
        <v>1.3105E-2</v>
      </c>
      <c r="F14" s="347">
        <v>1.0580000000000001E-2</v>
      </c>
      <c r="G14" s="347">
        <v>0.47193800000000002</v>
      </c>
      <c r="H14" s="347">
        <v>-2.8292000000000001E-2</v>
      </c>
      <c r="I14" s="347">
        <v>4.0377000000000003E-2</v>
      </c>
      <c r="J14" s="347">
        <v>-3.6073000000000001E-2</v>
      </c>
      <c r="K14" s="347">
        <v>-1.0229E-2</v>
      </c>
      <c r="L14" s="347">
        <v>6.5279999999999999E-3</v>
      </c>
      <c r="M14" s="16"/>
    </row>
    <row r="15" spans="1:13">
      <c r="A15" s="367" t="str">
        <f>CFS!A19</f>
        <v>Funds from Operations</v>
      </c>
      <c r="B15" s="367" t="str">
        <f>CFS!B19</f>
        <v>-</v>
      </c>
      <c r="C15" s="367">
        <f>SUM(C9:C14)</f>
        <v>-2.118001</v>
      </c>
      <c r="D15" s="367">
        <f t="shared" ref="D15:L15" si="0">SUM(D9:D14)</f>
        <v>2.3380960000000006</v>
      </c>
      <c r="E15" s="367">
        <f t="shared" si="0"/>
        <v>2.0534598858951503</v>
      </c>
      <c r="F15" s="367">
        <f t="shared" si="0"/>
        <v>3.5613280000000005</v>
      </c>
      <c r="G15" s="367">
        <f t="shared" si="0"/>
        <v>4.1130310000000003</v>
      </c>
      <c r="H15" s="367">
        <f t="shared" si="0"/>
        <v>3.8222300000000007</v>
      </c>
      <c r="I15" s="367">
        <f t="shared" si="0"/>
        <v>3.9553835636927115</v>
      </c>
      <c r="J15" s="367">
        <f t="shared" si="0"/>
        <v>3.0039626941503874</v>
      </c>
      <c r="K15" s="367">
        <f>SUM(K9:K14)</f>
        <v>2.9943211110103003</v>
      </c>
      <c r="L15" s="367">
        <f t="shared" si="0"/>
        <v>2.7910681138125084</v>
      </c>
      <c r="M15" s="16"/>
    </row>
    <row r="16" spans="1:13">
      <c r="A16" s="347" t="str">
        <f>CFS!A20</f>
        <v>Changes in Working Capital</v>
      </c>
      <c r="B16" s="347" t="str">
        <f>CFS!B20</f>
        <v>-</v>
      </c>
      <c r="C16" s="347">
        <f>IF(ISNUMBER(CFS!C20),CFS!C20,0)</f>
        <v>1.9490000000000001</v>
      </c>
      <c r="D16" s="347">
        <f>IF(ISNUMBER(CFS!D20),CFS!D20,0)</f>
        <v>0.52600000000000002</v>
      </c>
      <c r="E16" s="347">
        <f>IF(ISNUMBER(CFS!E20),CFS!E20,0)</f>
        <v>0.17599999999999999</v>
      </c>
      <c r="F16" s="347">
        <f>IF(ISNUMBER(CFS!F20),CFS!F20,0)</f>
        <v>0.57499999999999996</v>
      </c>
      <c r="G16" s="347">
        <f>IF(ISNUMBER(CFS!G20),CFS!G20,0)</f>
        <v>-6.3E-2</v>
      </c>
      <c r="H16" s="347">
        <f>IF(ISNUMBER(CFS!H20),CFS!H20,0)</f>
        <v>1.335</v>
      </c>
      <c r="I16" s="347">
        <f>IF(ISNUMBER(CFS!I20),CFS!I20,0)</f>
        <v>-0.61299999999999999</v>
      </c>
      <c r="J16" s="347">
        <f>IF(ISNUMBER(CFS!J20),CFS!J20,0)</f>
        <v>0.51300000000000001</v>
      </c>
      <c r="K16" s="347">
        <f>IF(ISNUMBER(CFS!K20),CFS!K20,0)</f>
        <v>0.14799999999999999</v>
      </c>
      <c r="L16" s="347">
        <f>IF(ISNUMBER(CFS!L20),CFS!L20,0)</f>
        <v>0.157</v>
      </c>
      <c r="M16" s="16"/>
    </row>
    <row r="17" spans="1:13" s="17" customFormat="1">
      <c r="A17" s="1096" t="str">
        <f>CFS!A21</f>
        <v>Net Operating Cash Flow</v>
      </c>
      <c r="B17" s="1096">
        <f>CFS!B21</f>
        <v>1.4219999999999999</v>
      </c>
      <c r="C17" s="1096" cm="1">
        <f t="array" ref="C17:L17">_xll.FDSRC("-",B2,"FF_WKCAP_CHG('ANN','0','-9','YEARLY',RP,'LOCAL','B')")</f>
        <v>0.198987</v>
      </c>
      <c r="D17" s="1096">
        <v>-8.2438999999999998E-2</v>
      </c>
      <c r="E17" s="1096">
        <v>7.5328999999999993E-2</v>
      </c>
      <c r="F17" s="1096">
        <v>8.9143E-2</v>
      </c>
      <c r="G17" s="1096">
        <v>-5.1879999999999999E-3</v>
      </c>
      <c r="H17" s="1096">
        <v>-1.1138E-2</v>
      </c>
      <c r="I17" s="1096">
        <v>4.62E-3</v>
      </c>
      <c r="J17" s="1096">
        <v>-2.3338999999999999E-2</v>
      </c>
      <c r="K17" s="1096">
        <v>-3.8862000000000001E-2</v>
      </c>
      <c r="L17" s="1096">
        <v>-4.9711999999999999E-2</v>
      </c>
      <c r="M17" s="18"/>
    </row>
    <row r="18" spans="1:13">
      <c r="A18" s="344" t="str">
        <f>CFS!A22</f>
        <v>Investing Activities</v>
      </c>
      <c r="B18" s="344"/>
      <c r="C18" s="344"/>
      <c r="D18" s="344"/>
      <c r="E18" s="344"/>
      <c r="F18" s="344"/>
      <c r="G18" s="344"/>
      <c r="H18" s="344"/>
      <c r="I18" s="344"/>
      <c r="J18" s="344"/>
      <c r="K18" s="344"/>
      <c r="L18" s="344"/>
      <c r="M18" s="16"/>
    </row>
    <row r="19" spans="1:13">
      <c r="A19" s="347" t="str">
        <f>CFS!A23</f>
        <v>Capital Expenditures</v>
      </c>
      <c r="B19" s="347">
        <f>CFS!B23</f>
        <v>-2.577</v>
      </c>
      <c r="C19" s="1118" cm="1">
        <f t="array" ref="C19">_xll.FDS($B2,"FF_CAPEX(ANN_R,"&amp;C5&amp;",,,,,B)")</f>
        <v>0.50949100000000003</v>
      </c>
      <c r="D19" s="1118" cm="1">
        <f t="array" ref="D19">_xll.FDS($B2,"FF_CAPEX(ANN_R,"&amp;D5&amp;",,,,,B)")</f>
        <v>0.66838600000000004</v>
      </c>
      <c r="E19" s="1118" cm="1">
        <f t="array" ref="E19">_xll.FDS($B2,"FF_CAPEX(ANN_R,"&amp;E5&amp;",,,,,B)")</f>
        <v>1.12598</v>
      </c>
      <c r="F19" s="1118" cm="1">
        <f t="array" ref="F19">_xll.FDS($B2,"FF_CAPEX(ANN_R,"&amp;F5&amp;",,,,,B)")</f>
        <v>0.70974700000000002</v>
      </c>
      <c r="G19" s="1118" cm="1">
        <f t="array" ref="G19">_xll.FDS($B2,"FF_CAPEX(ANN_R,"&amp;G5&amp;",,,,,B)")</f>
        <v>1.1539630000000001</v>
      </c>
      <c r="H19" s="1118" cm="1">
        <f t="array" ref="H19">_xll.FDS($B2,"FF_CAPEX(ANN_R,"&amp;H5&amp;",,,,,B)")</f>
        <v>0.72127600000000003</v>
      </c>
      <c r="I19" s="1118" cm="1">
        <f t="array" ref="I19">_xll.FDS($B2,"FF_CAPEX(ANN_R,"&amp;I5&amp;",,,,,B)")</f>
        <v>0.67543900000000001</v>
      </c>
      <c r="J19" s="1118" cm="1">
        <f t="array" ref="J19">_xll.FDS($B2,"FF_CAPEX(ANN_R,"&amp;J5&amp;",,,,,B)")</f>
        <v>0.152001</v>
      </c>
      <c r="K19" s="1118" cm="1">
        <f t="array" ref="K19">_xll.FDS($B2,"FF_CAPEX(ANN_R,"&amp;K5&amp;",,,,,B)")</f>
        <v>7.3157E-2</v>
      </c>
      <c r="L19" s="1118" cm="1">
        <f t="array" ref="L19">_xll.FDS($B2,"FF_CAPEX(ANN_R,"&amp;L5&amp;",,,,,B)")</f>
        <v>0.17269799999999999</v>
      </c>
      <c r="M19" s="16"/>
    </row>
    <row r="20" spans="1:13">
      <c r="A20" s="373" t="s">
        <v>471</v>
      </c>
      <c r="B20" s="373"/>
      <c r="C20" s="373">
        <f>-('skyw-US R&amp;D'!C10)</f>
        <v>0</v>
      </c>
      <c r="D20" s="373">
        <f>-('skyw-US R&amp;D'!D10)</f>
        <v>0</v>
      </c>
      <c r="E20" s="373">
        <f>-('skyw-US R&amp;D'!E10)</f>
        <v>0</v>
      </c>
      <c r="F20" s="373">
        <f>-('skyw-US R&amp;D'!F10)</f>
        <v>0</v>
      </c>
      <c r="G20" s="373">
        <f>-('skyw-US R&amp;D'!G10)</f>
        <v>0</v>
      </c>
      <c r="H20" s="373">
        <f>-('skyw-US R&amp;D'!H10)</f>
        <v>0</v>
      </c>
      <c r="I20" s="373">
        <f>-('skyw-US R&amp;D'!I10)</f>
        <v>0</v>
      </c>
      <c r="J20" s="373">
        <f>-('skyw-US R&amp;D'!J10)</f>
        <v>0</v>
      </c>
      <c r="K20" s="373">
        <f>-('skyw-US R&amp;D'!K10)</f>
        <v>0</v>
      </c>
      <c r="L20" s="373">
        <f>-('skyw-US R&amp;D'!L10)</f>
        <v>0</v>
      </c>
      <c r="M20" s="16"/>
    </row>
    <row r="21" spans="1:13">
      <c r="A21" s="347" t="str">
        <f>CFS!A24</f>
        <v>Net Assets from Acquisitions</v>
      </c>
      <c r="B21" s="347">
        <f>CFS!B24</f>
        <v>0</v>
      </c>
      <c r="C21" s="347" cm="1">
        <f t="array" ref="C21:L21">_xll.FDSRC("-",B2,"-FF_ACQ_BUS_CF('ANN','0','-9','YEARLY',RP,'LOCAL','B')")</f>
        <v>0</v>
      </c>
      <c r="D21" s="347">
        <v>0</v>
      </c>
      <c r="E21" s="347" t="str">
        <v>-</v>
      </c>
      <c r="F21" s="347" t="str">
        <v>-</v>
      </c>
      <c r="G21" s="347" t="str">
        <v>-</v>
      </c>
      <c r="H21" s="347" t="str">
        <v>-</v>
      </c>
      <c r="I21" s="347" t="str">
        <v>-</v>
      </c>
      <c r="J21" s="347" t="str">
        <v>-</v>
      </c>
      <c r="K21" s="347">
        <v>0</v>
      </c>
      <c r="L21" s="347">
        <v>0</v>
      </c>
      <c r="M21" s="16"/>
    </row>
    <row r="22" spans="1:13" s="17" customFormat="1">
      <c r="A22" s="347" t="str">
        <f>CFS!A25</f>
        <v>Purchase/Sale of Investments</v>
      </c>
      <c r="B22" s="347">
        <f>CFS!B25</f>
        <v>0.61300000000000099</v>
      </c>
      <c r="C22" s="347" cm="1">
        <f t="array" ref="C22:L22">_xll.FDSRC("-",B2,"FF_INVEST_PURCH_SALE_CF('ANN','0','-9','YEARLY',RP,'LOCAL','B')")</f>
        <v>-0.17721899999999999</v>
      </c>
      <c r="D22" s="347">
        <v>-7.19889999999999E-2</v>
      </c>
      <c r="E22" s="347">
        <v>0.14257600000000001</v>
      </c>
      <c r="F22" s="347">
        <v>-9.3584000000000098E-2</v>
      </c>
      <c r="G22" s="347">
        <v>-0.12322</v>
      </c>
      <c r="H22" s="347">
        <v>0.12862999999999999</v>
      </c>
      <c r="I22" s="347">
        <v>8.8421E-2</v>
      </c>
      <c r="J22" s="347">
        <v>8.55179999999999E-2</v>
      </c>
      <c r="K22" s="347">
        <v>-5.0468000000000103E-2</v>
      </c>
      <c r="L22" s="347">
        <v>0.17363500000000001</v>
      </c>
      <c r="M22" s="18"/>
    </row>
    <row r="23" spans="1:13">
      <c r="A23" s="347" t="str">
        <f>CFS!A26</f>
        <v>Other Funds</v>
      </c>
      <c r="B23" s="347">
        <f>CFS!B26</f>
        <v>0.498</v>
      </c>
      <c r="C23" s="347" cm="1">
        <f t="array" ref="C23:L23">_xll.FDSRC("-",$B$2,"SUMAV(FF_INVEST_USES_CF('ANN','0','-9','YEARLY',RP,'LOCAL','B'),FF_INVEST_SOURCES_CF('ANN','0','-9','YEARLY',RP,'LOCAL','B'))")</f>
        <v>0</v>
      </c>
      <c r="D23" s="347">
        <v>4.1330000000000004E-3</v>
      </c>
      <c r="E23" s="347">
        <v>0</v>
      </c>
      <c r="F23" s="347">
        <v>3.6533000000000003E-2</v>
      </c>
      <c r="G23" s="347">
        <v>9.7097000000000003E-2</v>
      </c>
      <c r="H23" s="347">
        <v>1.2622E-2</v>
      </c>
      <c r="I23" s="347">
        <v>-7.6810000000000003E-3</v>
      </c>
      <c r="J23" s="347">
        <v>2.2900000000000001E-4</v>
      </c>
      <c r="K23" s="347">
        <v>0</v>
      </c>
      <c r="L23" s="347">
        <v>-1.2683E-2</v>
      </c>
      <c r="M23" s="16"/>
    </row>
    <row r="24" spans="1:13">
      <c r="A24" s="1096" t="str">
        <f>CFS!A27</f>
        <v>Net Investing Cash Flow</v>
      </c>
      <c r="B24" s="1096">
        <f>CFS!B27</f>
        <v>-1.466</v>
      </c>
      <c r="C24" s="1096">
        <f>SUM(C19:C23)</f>
        <v>0.33227200000000001</v>
      </c>
      <c r="D24" s="1096">
        <f t="shared" ref="D24:L24" si="1">SUM(D19:D23)</f>
        <v>0.60053000000000023</v>
      </c>
      <c r="E24" s="1096">
        <f t="shared" si="1"/>
        <v>1.268556</v>
      </c>
      <c r="F24" s="1096">
        <f t="shared" si="1"/>
        <v>0.65269599999999994</v>
      </c>
      <c r="G24" s="1096">
        <f t="shared" si="1"/>
        <v>1.1278400000000002</v>
      </c>
      <c r="H24" s="1096">
        <f t="shared" si="1"/>
        <v>0.86252800000000007</v>
      </c>
      <c r="I24" s="1096">
        <f t="shared" si="1"/>
        <v>0.75617899999999993</v>
      </c>
      <c r="J24" s="1096">
        <f t="shared" si="1"/>
        <v>0.2377479999999999</v>
      </c>
      <c r="K24" s="1096">
        <f t="shared" si="1"/>
        <v>2.2688999999999897E-2</v>
      </c>
      <c r="L24" s="1096">
        <f t="shared" si="1"/>
        <v>0.33365</v>
      </c>
      <c r="M24" s="16"/>
    </row>
    <row r="25" spans="1:13">
      <c r="A25" s="344" t="str">
        <f>CFS!A28</f>
        <v>Financing Activities</v>
      </c>
      <c r="B25" s="344">
        <f>CFS!B28</f>
        <v>0</v>
      </c>
      <c r="C25" s="344"/>
      <c r="D25" s="344"/>
      <c r="E25" s="344"/>
      <c r="F25" s="344"/>
      <c r="G25" s="344"/>
      <c r="H25" s="344"/>
      <c r="I25" s="344"/>
      <c r="J25" s="344"/>
      <c r="K25" s="344"/>
      <c r="L25" s="344"/>
      <c r="M25" s="16"/>
    </row>
    <row r="26" spans="1:13">
      <c r="A26" s="347" t="str">
        <f>CFS!A29</f>
        <v>Cash Dividends Paid</v>
      </c>
      <c r="B26" s="347">
        <f>CFS!B29</f>
        <v>0</v>
      </c>
      <c r="C26" s="347" cm="1">
        <f t="array" ref="C26:L26">_xll.FDSRC("-",$B2,"-FF_DIV_CF('ANN','0','-9','YEARLY',RP,'LOCAL','B')")</f>
        <v>-1.3058999999999999E-2</v>
      </c>
      <c r="D26" s="347">
        <v>-2.3466999999999998E-2</v>
      </c>
      <c r="E26" s="347">
        <v>-1.9744000000000001E-2</v>
      </c>
      <c r="F26" s="347">
        <v>-1.5015000000000001E-2</v>
      </c>
      <c r="G26" s="347">
        <v>-9.2560000000000003E-3</v>
      </c>
      <c r="H26" s="347">
        <v>-8.26E-3</v>
      </c>
      <c r="I26" s="347">
        <v>-8.1949999999999992E-3</v>
      </c>
      <c r="J26" s="347">
        <v>-8.2579999999999997E-3</v>
      </c>
      <c r="K26" s="347">
        <v>-8.1770000000000002E-3</v>
      </c>
      <c r="L26" s="347">
        <v>-8.4659999999999996E-3</v>
      </c>
      <c r="M26" s="16"/>
    </row>
    <row r="27" spans="1:13">
      <c r="A27" s="347" t="str">
        <f>CFS!A30</f>
        <v>Change in Capital Stock</v>
      </c>
      <c r="B27" s="347">
        <f>CFS!B30</f>
        <v>0</v>
      </c>
      <c r="C27" s="347" cm="1">
        <f t="array" ref="C27:L27">_xll.FDSRC("-",$B$2,"FF_STK_CHG_CF('ANN','0','-9','YEARLY',RP,'LOCAL','B')")</f>
        <v>-1.7180999999999998E-2</v>
      </c>
      <c r="D27" s="347">
        <v>-8.8349999999999998E-2</v>
      </c>
      <c r="E27" s="347">
        <v>-4.9236000000000002E-2</v>
      </c>
      <c r="F27" s="347">
        <v>-1.5348000000000001E-2</v>
      </c>
      <c r="G27" s="347">
        <v>8.1419999999999999E-3</v>
      </c>
      <c r="H27" s="347">
        <v>-8.9720000000000008E-3</v>
      </c>
      <c r="I27" s="347">
        <v>-5.7219999999999997E-3</v>
      </c>
      <c r="J27" s="347">
        <v>-7.3540000000000003E-3</v>
      </c>
      <c r="K27" s="347">
        <v>5.3290000000000004E-3</v>
      </c>
      <c r="L27" s="347">
        <v>-5.6235E-2</v>
      </c>
      <c r="M27" s="16"/>
    </row>
    <row r="28" spans="1:13">
      <c r="A28" s="347" t="str">
        <f>CFS!A31</f>
        <v>Issuance/Reduction of Debt, Net</v>
      </c>
      <c r="B28" s="347">
        <f>CFS!B31</f>
        <v>-8.7149999999999999</v>
      </c>
      <c r="C28" s="347" cm="1">
        <f t="array" ref="C28:L28">_xll.FDSRC("-",$B$2,"FF_DEBT_CF('ANN','0','-9','YEARLY',RP,'LOCAL','B')")</f>
        <v>0.14927299999999999</v>
      </c>
      <c r="D28" s="347">
        <v>-0.18404400000000001</v>
      </c>
      <c r="E28" s="347">
        <v>0.40999799999999997</v>
      </c>
      <c r="F28" s="347">
        <v>0.137682</v>
      </c>
      <c r="G28" s="347">
        <v>0.61525799999999997</v>
      </c>
      <c r="H28" s="347">
        <v>0.23760400000000001</v>
      </c>
      <c r="I28" s="347">
        <v>0.27524300000000002</v>
      </c>
      <c r="J28" s="347">
        <v>-0.17145299999999999</v>
      </c>
      <c r="K28" s="347">
        <v>-0.17337</v>
      </c>
      <c r="L28" s="347">
        <v>-8.2584000000000005E-2</v>
      </c>
      <c r="M28" s="16"/>
    </row>
    <row r="29" spans="1:13">
      <c r="A29" s="347" t="s">
        <v>473</v>
      </c>
      <c r="B29" s="347"/>
      <c r="C29" s="347" cm="1">
        <f t="array" ref="C29:L29">_xll.FDSRC("-",$B2,"FF_FIN_ACTIV_OTH_CF('ANN','0','-9','YEARLY',RP,'LOCAL','B')")</f>
        <v>-6.1650000000000003E-3</v>
      </c>
      <c r="D29" s="347">
        <v>-9.3130000000000001E-3</v>
      </c>
      <c r="E29" s="347">
        <v>-1.3556E-2</v>
      </c>
      <c r="F29" s="347">
        <v>-5.0800000000000003E-3</v>
      </c>
      <c r="G29" s="347">
        <v>0</v>
      </c>
      <c r="H29" s="347">
        <v>0</v>
      </c>
      <c r="I29" s="347">
        <v>0</v>
      </c>
      <c r="J29" s="347">
        <v>0</v>
      </c>
      <c r="K29" s="347">
        <v>0</v>
      </c>
      <c r="L29" s="347">
        <v>1.3899999999999999E-2</v>
      </c>
      <c r="M29" s="16"/>
    </row>
    <row r="30" spans="1:13">
      <c r="A30" s="373" t="str">
        <f>CFS!A32&amp;" incl. required funding for R&amp;D"</f>
        <v>Other Funds incl. required funding for R&amp;D</v>
      </c>
      <c r="B30" s="373">
        <f>CFS!B32</f>
        <v>7.2999999999999995E-2</v>
      </c>
      <c r="C30" s="373">
        <f>C29-(C17+C24+SUM(C26:C28,C29)-C33)</f>
        <v>5.6747079999999999</v>
      </c>
      <c r="D30" s="373">
        <f t="shared" ref="D30:L30" si="2">D29-(D17+D24+SUM(D26:D28,D29)-D33)</f>
        <v>0.75976999999999983</v>
      </c>
      <c r="E30" s="373">
        <f t="shared" si="2"/>
        <v>-0.78990299999999991</v>
      </c>
      <c r="F30" s="373">
        <f t="shared" si="2"/>
        <v>-1.7971579999999998</v>
      </c>
      <c r="G30" s="373">
        <f t="shared" si="2"/>
        <v>-0.93579600000000018</v>
      </c>
      <c r="H30" s="373">
        <f t="shared" si="2"/>
        <v>-1.1947620000000001</v>
      </c>
      <c r="I30" s="373">
        <f t="shared" si="2"/>
        <v>-1.840125</v>
      </c>
      <c r="J30" s="373">
        <f t="shared" si="2"/>
        <v>0.16965600000000008</v>
      </c>
      <c r="K30" s="373">
        <f t="shared" si="2"/>
        <v>-4.8608999999999902E-2</v>
      </c>
      <c r="L30" s="373">
        <f t="shared" si="2"/>
        <v>-0.37165300000000001</v>
      </c>
      <c r="M30" s="16"/>
    </row>
    <row r="31" spans="1:13">
      <c r="A31" s="1096" t="str">
        <f>CFS!A33</f>
        <v>Net Financing Cash Flow</v>
      </c>
      <c r="B31" s="1096">
        <f>CFS!B33</f>
        <v>-8.6419999999999995</v>
      </c>
      <c r="C31" s="1096">
        <f>SUM(C26:C28,C30)</f>
        <v>5.7937409999999998</v>
      </c>
      <c r="D31" s="1096">
        <f t="shared" ref="D31:L31" si="3">SUM(D26:D28,D30)</f>
        <v>0.46390899999999979</v>
      </c>
      <c r="E31" s="1096">
        <f t="shared" si="3"/>
        <v>-0.44888499999999992</v>
      </c>
      <c r="F31" s="1096">
        <f t="shared" si="3"/>
        <v>-1.6898389999999999</v>
      </c>
      <c r="G31" s="1096">
        <f t="shared" si="3"/>
        <v>-0.32165200000000016</v>
      </c>
      <c r="H31" s="1096">
        <f t="shared" si="3"/>
        <v>-0.97439000000000009</v>
      </c>
      <c r="I31" s="1096">
        <f t="shared" si="3"/>
        <v>-1.5787990000000001</v>
      </c>
      <c r="J31" s="1096">
        <f t="shared" si="3"/>
        <v>-1.7408999999999897E-2</v>
      </c>
      <c r="K31" s="1096">
        <f t="shared" si="3"/>
        <v>-0.22482699999999989</v>
      </c>
      <c r="L31" s="1096">
        <f t="shared" si="3"/>
        <v>-0.51893800000000001</v>
      </c>
      <c r="M31" s="16"/>
    </row>
    <row r="32" spans="1:13">
      <c r="A32" s="347"/>
      <c r="B32" s="347"/>
      <c r="C32" s="347"/>
      <c r="D32" s="347"/>
      <c r="E32" s="347"/>
      <c r="F32" s="347"/>
      <c r="G32" s="347"/>
      <c r="H32" s="347"/>
      <c r="I32" s="347"/>
      <c r="J32" s="347"/>
      <c r="K32" s="347"/>
      <c r="L32" s="347"/>
      <c r="M32" s="16"/>
    </row>
    <row r="33" spans="1:13">
      <c r="A33" s="344" t="str">
        <f>CFS!A35</f>
        <v>Net Change in Cash</v>
      </c>
      <c r="B33" s="344">
        <f>CFS!B35</f>
        <v>-8.6859999999999999</v>
      </c>
      <c r="C33" s="344">
        <f>CFS!C35</f>
        <v>6.3250000000000002</v>
      </c>
      <c r="D33" s="344">
        <f>CFS!D35</f>
        <v>0.98199999999999998</v>
      </c>
      <c r="E33" s="344">
        <f>CFS!E35</f>
        <v>0.89500000000000002</v>
      </c>
      <c r="F33" s="344">
        <f>CFS!F35</f>
        <v>-0.94799999999999995</v>
      </c>
      <c r="G33" s="344">
        <f>CFS!G35</f>
        <v>0.80100000000000005</v>
      </c>
      <c r="H33" s="344">
        <f>CFS!H35</f>
        <v>-0.123</v>
      </c>
      <c r="I33" s="344">
        <f>CFS!I35</f>
        <v>-0.81799999999999995</v>
      </c>
      <c r="J33" s="344">
        <f>CFS!J35</f>
        <v>0.19700000000000001</v>
      </c>
      <c r="K33" s="344">
        <f>CFS!K35</f>
        <v>-0.24099999999999999</v>
      </c>
      <c r="L33" s="344">
        <f>CFS!L35</f>
        <v>-0.23499999999999999</v>
      </c>
      <c r="M33" s="16"/>
    </row>
    <row r="34" spans="1:13">
      <c r="A34" s="377" t="s">
        <v>472</v>
      </c>
      <c r="B34" s="327"/>
      <c r="C34" s="327">
        <f>C17+C24+C31-C33</f>
        <v>0</v>
      </c>
      <c r="D34" s="327">
        <f t="shared" ref="D34:K34" si="4">D17+D24+D31-D33</f>
        <v>0</v>
      </c>
      <c r="E34" s="327">
        <f t="shared" si="4"/>
        <v>0</v>
      </c>
      <c r="F34" s="327">
        <f t="shared" si="4"/>
        <v>0</v>
      </c>
      <c r="G34" s="327">
        <f t="shared" si="4"/>
        <v>0</v>
      </c>
      <c r="H34" s="327">
        <f t="shared" si="4"/>
        <v>0</v>
      </c>
      <c r="I34" s="327">
        <f t="shared" si="4"/>
        <v>0</v>
      </c>
      <c r="J34" s="327">
        <f t="shared" si="4"/>
        <v>0</v>
      </c>
      <c r="K34" s="327">
        <f t="shared" si="4"/>
        <v>0</v>
      </c>
      <c r="L34" s="327">
        <f>L17+L24+L31-L33</f>
        <v>0</v>
      </c>
      <c r="M34" s="16"/>
    </row>
    <row r="35" spans="1:13">
      <c r="A35" s="377"/>
      <c r="B35" s="327"/>
      <c r="C35" s="327"/>
      <c r="D35" s="327"/>
      <c r="E35" s="327"/>
      <c r="F35" s="327"/>
      <c r="G35" s="327"/>
      <c r="H35" s="327"/>
      <c r="I35" s="327"/>
      <c r="J35" s="327"/>
      <c r="K35" s="327"/>
      <c r="L35" s="327"/>
      <c r="M35" s="16"/>
    </row>
    <row r="36" spans="1:13">
      <c r="A36" s="377"/>
      <c r="B36" s="327"/>
      <c r="C36" s="327"/>
      <c r="D36" s="327"/>
      <c r="E36" s="327"/>
      <c r="F36" s="327"/>
      <c r="G36" s="327"/>
      <c r="H36" s="327"/>
      <c r="I36" s="327"/>
      <c r="J36" s="327"/>
      <c r="K36" s="327"/>
      <c r="L36" s="327"/>
      <c r="M36" s="16"/>
    </row>
    <row r="37" spans="1:13">
      <c r="A37" s="377"/>
      <c r="B37" s="327"/>
      <c r="C37" s="327"/>
      <c r="D37" s="327"/>
      <c r="E37" s="327"/>
      <c r="F37" s="327"/>
      <c r="G37" s="327"/>
      <c r="H37" s="327"/>
      <c r="I37" s="327"/>
      <c r="J37" s="327"/>
      <c r="K37" s="327"/>
      <c r="L37" s="327"/>
      <c r="M37" s="16"/>
    </row>
    <row r="38" spans="1:13">
      <c r="A38" s="255"/>
      <c r="B38" s="327"/>
      <c r="C38" s="327"/>
      <c r="D38" s="327"/>
      <c r="E38" s="327"/>
      <c r="F38" s="327"/>
      <c r="G38" s="327"/>
      <c r="H38" s="327"/>
      <c r="I38" s="327"/>
      <c r="J38" s="327"/>
      <c r="K38" s="327"/>
      <c r="L38" s="327"/>
      <c r="M38" s="16"/>
    </row>
    <row r="39" spans="1:13">
      <c r="A39" s="259"/>
      <c r="B39" s="327"/>
      <c r="C39" s="327"/>
      <c r="D39" s="327"/>
      <c r="E39" s="327"/>
      <c r="F39" s="327"/>
      <c r="G39" s="327"/>
      <c r="H39" s="327"/>
      <c r="I39" s="327"/>
      <c r="J39" s="327"/>
      <c r="K39" s="327"/>
      <c r="L39" s="327"/>
      <c r="M39" s="16"/>
    </row>
    <row r="40" spans="1:13">
      <c r="A40" s="259"/>
      <c r="B40" s="327"/>
      <c r="C40" s="327"/>
      <c r="D40" s="327"/>
      <c r="E40" s="327"/>
      <c r="F40" s="327"/>
      <c r="G40" s="327"/>
      <c r="H40" s="327"/>
      <c r="I40" s="327"/>
      <c r="J40" s="327"/>
      <c r="K40" s="327"/>
      <c r="L40" s="327"/>
      <c r="M40" s="16"/>
    </row>
    <row r="41" spans="1:13">
      <c r="A41" s="259"/>
      <c r="B41" s="327"/>
      <c r="C41" s="327"/>
      <c r="D41" s="327"/>
      <c r="E41" s="327"/>
      <c r="F41" s="327"/>
      <c r="G41" s="327"/>
      <c r="H41" s="327"/>
      <c r="I41" s="327"/>
      <c r="J41" s="327"/>
      <c r="K41" s="327"/>
      <c r="L41" s="327"/>
      <c r="M41" s="16"/>
    </row>
    <row r="42" spans="1:13">
      <c r="A42" s="259"/>
      <c r="B42" s="327"/>
      <c r="C42" s="327"/>
      <c r="D42" s="327"/>
      <c r="E42" s="327"/>
      <c r="F42" s="327"/>
      <c r="G42" s="327"/>
      <c r="H42" s="327"/>
      <c r="I42" s="327"/>
      <c r="J42" s="327"/>
      <c r="K42" s="327"/>
      <c r="L42" s="327"/>
      <c r="M42" s="16"/>
    </row>
    <row r="43" spans="1:13">
      <c r="A43" s="259"/>
      <c r="B43" s="327"/>
      <c r="C43" s="327"/>
      <c r="D43" s="327"/>
      <c r="E43" s="327"/>
      <c r="F43" s="327"/>
      <c r="G43" s="327"/>
      <c r="H43" s="327"/>
      <c r="I43" s="327"/>
      <c r="J43" s="327"/>
      <c r="K43" s="327"/>
      <c r="L43" s="327"/>
      <c r="M43" s="16"/>
    </row>
    <row r="44" spans="1:13">
      <c r="A44" s="255"/>
      <c r="B44" s="327"/>
      <c r="C44" s="327"/>
      <c r="D44" s="327"/>
      <c r="E44" s="327"/>
      <c r="F44" s="327"/>
      <c r="G44" s="327"/>
      <c r="H44" s="327"/>
      <c r="I44" s="327"/>
      <c r="J44" s="327"/>
      <c r="K44" s="327"/>
      <c r="L44" s="327"/>
      <c r="M44" s="16"/>
    </row>
    <row r="45" spans="1:13">
      <c r="A45" s="255"/>
      <c r="B45" s="327"/>
      <c r="C45" s="327"/>
      <c r="D45" s="327"/>
      <c r="E45" s="327"/>
      <c r="F45" s="327"/>
      <c r="G45" s="327"/>
      <c r="H45" s="327"/>
      <c r="I45" s="327"/>
      <c r="J45" s="327"/>
      <c r="K45" s="327"/>
      <c r="L45" s="327"/>
      <c r="M45" s="16"/>
    </row>
    <row r="46" spans="1:13">
      <c r="A46" s="259"/>
      <c r="B46" s="327"/>
      <c r="C46" s="327"/>
      <c r="D46" s="327"/>
      <c r="E46" s="327"/>
      <c r="F46" s="327"/>
      <c r="G46" s="327"/>
      <c r="H46" s="327"/>
      <c r="I46" s="327"/>
      <c r="J46" s="327"/>
      <c r="K46" s="327"/>
      <c r="L46" s="327"/>
      <c r="M46" s="16"/>
    </row>
    <row r="47" spans="1:13">
      <c r="A47" s="259"/>
      <c r="B47" s="327"/>
      <c r="C47" s="327"/>
      <c r="D47" s="327"/>
      <c r="E47" s="327"/>
      <c r="F47" s="327"/>
      <c r="G47" s="327"/>
      <c r="H47" s="327"/>
      <c r="I47" s="327"/>
      <c r="J47" s="327"/>
      <c r="K47" s="327"/>
      <c r="L47" s="327"/>
      <c r="M47" s="16"/>
    </row>
    <row r="48" spans="1:13">
      <c r="A48" s="259"/>
      <c r="B48" s="327"/>
      <c r="C48" s="327"/>
      <c r="D48" s="327"/>
      <c r="E48" s="327"/>
      <c r="F48" s="327"/>
      <c r="G48" s="327"/>
      <c r="H48" s="327"/>
      <c r="I48" s="327"/>
      <c r="J48" s="327"/>
      <c r="K48" s="327"/>
      <c r="L48" s="327"/>
      <c r="M48" s="16"/>
    </row>
    <row r="49" spans="1:13">
      <c r="A49" s="259"/>
      <c r="B49" s="327"/>
      <c r="C49" s="327"/>
      <c r="D49" s="327"/>
      <c r="E49" s="327"/>
      <c r="F49" s="327"/>
      <c r="G49" s="327"/>
      <c r="H49" s="327"/>
      <c r="I49" s="327"/>
      <c r="J49" s="327"/>
      <c r="K49" s="327"/>
      <c r="L49" s="327"/>
      <c r="M49" s="16"/>
    </row>
    <row r="50" spans="1:13">
      <c r="A50" s="259"/>
      <c r="B50" s="327"/>
      <c r="C50" s="327"/>
      <c r="D50" s="327"/>
      <c r="E50" s="327"/>
      <c r="F50" s="327"/>
      <c r="G50" s="327"/>
      <c r="H50" s="327"/>
      <c r="I50" s="327"/>
      <c r="J50" s="327"/>
      <c r="K50" s="327"/>
      <c r="L50" s="327"/>
      <c r="M50" s="16"/>
    </row>
    <row r="51" spans="1:13">
      <c r="A51" s="259"/>
      <c r="B51" s="327"/>
      <c r="C51" s="327"/>
      <c r="D51" s="327"/>
      <c r="E51" s="327"/>
      <c r="F51" s="327"/>
      <c r="G51" s="327"/>
      <c r="H51" s="327"/>
      <c r="I51" s="327"/>
      <c r="J51" s="327"/>
      <c r="K51" s="327"/>
      <c r="L51" s="327"/>
      <c r="M51" s="16"/>
    </row>
    <row r="52" spans="1:13">
      <c r="A52" s="252"/>
      <c r="B52" s="327"/>
      <c r="C52" s="327"/>
      <c r="D52" s="327"/>
      <c r="E52" s="327"/>
      <c r="F52" s="327"/>
      <c r="G52" s="327"/>
      <c r="H52" s="327"/>
      <c r="I52" s="327"/>
      <c r="J52" s="327"/>
      <c r="K52" s="327"/>
      <c r="L52" s="327"/>
      <c r="M52" s="16"/>
    </row>
    <row r="54" spans="1:13" s="3" customFormat="1">
      <c r="A54" s="327"/>
      <c r="M54"/>
    </row>
    <row r="55" spans="1:13" s="3" customFormat="1">
      <c r="A55" s="327"/>
      <c r="M55"/>
    </row>
    <row r="56" spans="1:13" s="3" customFormat="1">
      <c r="A56" s="327"/>
      <c r="M56"/>
    </row>
    <row r="57" spans="1:13" s="3" customFormat="1">
      <c r="A57" s="327"/>
      <c r="M57"/>
    </row>
    <row r="58" spans="1:13" s="3" customFormat="1">
      <c r="A58" s="327"/>
      <c r="M58"/>
    </row>
    <row r="59" spans="1:13" s="3" customFormat="1">
      <c r="A59" s="327"/>
      <c r="M59"/>
    </row>
    <row r="60" spans="1:13" s="3" customFormat="1">
      <c r="A60" s="327"/>
      <c r="M60"/>
    </row>
    <row r="61" spans="1:13" s="3" customFormat="1">
      <c r="A61" s="327"/>
      <c r="M61"/>
    </row>
    <row r="62" spans="1:13" s="3" customFormat="1">
      <c r="A62" s="327"/>
      <c r="M62"/>
    </row>
    <row r="63" spans="1:13" s="3" customFormat="1">
      <c r="A63" s="327"/>
      <c r="M63"/>
    </row>
    <row r="64" spans="1:13" s="3" customFormat="1">
      <c r="A64" s="327"/>
      <c r="M64"/>
    </row>
    <row r="65" spans="1:13" s="3" customFormat="1">
      <c r="A65" s="327"/>
      <c r="M65"/>
    </row>
    <row r="66" spans="1:13" s="3" customFormat="1">
      <c r="A66" s="327"/>
      <c r="M66"/>
    </row>
    <row r="67" spans="1:13" s="3" customFormat="1">
      <c r="A67" s="327"/>
      <c r="M67"/>
    </row>
    <row r="68" spans="1:13" s="3" customFormat="1">
      <c r="A68" s="327"/>
      <c r="M68"/>
    </row>
    <row r="69" spans="1:13" s="3" customFormat="1">
      <c r="A69" s="327"/>
      <c r="M69"/>
    </row>
    <row r="70" spans="1:13" s="3" customFormat="1">
      <c r="A70" s="327"/>
      <c r="M70"/>
    </row>
    <row r="71" spans="1:13" s="3" customFormat="1">
      <c r="A71" s="327"/>
      <c r="M71"/>
    </row>
    <row r="72" spans="1:13" s="3" customFormat="1">
      <c r="A72" s="327"/>
      <c r="M72"/>
    </row>
    <row r="73" spans="1:13" s="3" customFormat="1">
      <c r="A73" s="327"/>
      <c r="M73"/>
    </row>
    <row r="74" spans="1:13" s="3" customFormat="1">
      <c r="A74" s="327"/>
      <c r="M74"/>
    </row>
    <row r="75" spans="1:13" s="3" customFormat="1">
      <c r="A75" s="327"/>
      <c r="M75"/>
    </row>
    <row r="76" spans="1:13" s="3" customFormat="1">
      <c r="A76" s="327"/>
      <c r="M76"/>
    </row>
    <row r="77" spans="1:13" s="3" customFormat="1">
      <c r="A77" s="327"/>
      <c r="M77"/>
    </row>
    <row r="78" spans="1:13" s="3" customFormat="1">
      <c r="A78" s="327"/>
      <c r="M78"/>
    </row>
    <row r="79" spans="1:13" s="3" customFormat="1">
      <c r="A79" s="327"/>
      <c r="M79"/>
    </row>
    <row r="80" spans="1:13" s="3" customFormat="1">
      <c r="A80" s="327"/>
      <c r="M80"/>
    </row>
    <row r="81" spans="1:13" s="3" customFormat="1">
      <c r="A81" s="327"/>
      <c r="M81"/>
    </row>
    <row r="82" spans="1:13" s="3" customFormat="1">
      <c r="A82" s="327"/>
      <c r="M82"/>
    </row>
    <row r="83" spans="1:13" s="3" customFormat="1">
      <c r="A83" s="327"/>
      <c r="M83"/>
    </row>
    <row r="84" spans="1:13" s="3" customFormat="1">
      <c r="A84" s="327"/>
      <c r="M84"/>
    </row>
    <row r="85" spans="1:13" s="3" customFormat="1">
      <c r="A85" s="327"/>
      <c r="M85"/>
    </row>
    <row r="86" spans="1:13" s="3" customFormat="1">
      <c r="A86" s="327"/>
      <c r="M86"/>
    </row>
    <row r="87" spans="1:13" s="3" customFormat="1">
      <c r="A87" s="327"/>
      <c r="M87"/>
    </row>
    <row r="88" spans="1:13" s="3" customFormat="1">
      <c r="A88" s="327"/>
      <c r="M88"/>
    </row>
    <row r="89" spans="1:13" s="3" customFormat="1">
      <c r="A89" s="327"/>
      <c r="M89"/>
    </row>
    <row r="90" spans="1:13" s="3" customFormat="1">
      <c r="A90" s="327"/>
      <c r="M90"/>
    </row>
    <row r="91" spans="1:13" s="3" customFormat="1">
      <c r="A91" s="327"/>
      <c r="M91"/>
    </row>
    <row r="92" spans="1:13" s="3" customFormat="1">
      <c r="A92" s="327"/>
      <c r="M92"/>
    </row>
    <row r="93" spans="1:13" s="3" customFormat="1">
      <c r="A93" s="327"/>
      <c r="M93"/>
    </row>
    <row r="94" spans="1:13" s="3" customFormat="1">
      <c r="A94" s="327"/>
      <c r="M94"/>
    </row>
    <row r="95" spans="1:13" s="3" customFormat="1">
      <c r="A95" s="327"/>
      <c r="M95"/>
    </row>
    <row r="96" spans="1:13" s="3" customFormat="1">
      <c r="A96" s="327"/>
      <c r="M96"/>
    </row>
    <row r="97" spans="1:13" s="3" customFormat="1">
      <c r="A97" s="327"/>
      <c r="M97"/>
    </row>
    <row r="98" spans="1:13" s="3" customFormat="1">
      <c r="A98" s="327"/>
      <c r="M98"/>
    </row>
    <row r="99" spans="1:13" s="3" customFormat="1">
      <c r="A99" s="327"/>
      <c r="M99"/>
    </row>
    <row r="100" spans="1:13" s="3" customFormat="1">
      <c r="A100" s="327"/>
      <c r="M100"/>
    </row>
    <row r="101" spans="1:13" s="3" customFormat="1">
      <c r="A101" s="327"/>
      <c r="M101"/>
    </row>
    <row r="102" spans="1:13" s="3" customFormat="1">
      <c r="A102" s="327"/>
      <c r="M102"/>
    </row>
    <row r="103" spans="1:13" s="3" customFormat="1">
      <c r="A103" s="327"/>
      <c r="M103"/>
    </row>
    <row r="104" spans="1:13" s="3" customFormat="1">
      <c r="A104" s="327"/>
      <c r="M104"/>
    </row>
    <row r="105" spans="1:13" s="3" customFormat="1">
      <c r="A105" s="327"/>
      <c r="M105"/>
    </row>
    <row r="106" spans="1:13" s="3" customFormat="1">
      <c r="A106" s="327"/>
      <c r="M106"/>
    </row>
    <row r="107" spans="1:13" s="3" customFormat="1">
      <c r="A107" s="327"/>
      <c r="M107"/>
    </row>
    <row r="108" spans="1:13" s="3" customFormat="1">
      <c r="A108" s="327"/>
      <c r="M108"/>
    </row>
    <row r="109" spans="1:13" s="3" customFormat="1">
      <c r="A109" s="327"/>
      <c r="M109"/>
    </row>
    <row r="110" spans="1:13" s="3" customFormat="1">
      <c r="A110" s="327"/>
      <c r="M110"/>
    </row>
    <row r="111" spans="1:13" s="3" customFormat="1">
      <c r="A111" s="327"/>
      <c r="M111"/>
    </row>
    <row r="112" spans="1:13" s="3" customFormat="1">
      <c r="A112" s="327"/>
      <c r="M112"/>
    </row>
    <row r="113" spans="1:13" s="3" customFormat="1">
      <c r="A113" s="327"/>
      <c r="M113"/>
    </row>
    <row r="114" spans="1:13" s="3" customFormat="1">
      <c r="A114" s="327"/>
      <c r="M114"/>
    </row>
    <row r="115" spans="1:13" s="3" customFormat="1">
      <c r="A115" s="327"/>
      <c r="M115"/>
    </row>
    <row r="116" spans="1:13" s="3" customFormat="1">
      <c r="A116" s="327"/>
      <c r="M116"/>
    </row>
    <row r="117" spans="1:13" s="3" customFormat="1">
      <c r="A117" s="327"/>
      <c r="M117"/>
    </row>
    <row r="118" spans="1:13" s="3" customFormat="1">
      <c r="A118" s="327"/>
      <c r="M118"/>
    </row>
    <row r="119" spans="1:13" s="3" customFormat="1">
      <c r="A119" s="327"/>
      <c r="M119"/>
    </row>
    <row r="120" spans="1:13" s="3" customFormat="1">
      <c r="A120" s="327"/>
      <c r="M120"/>
    </row>
    <row r="121" spans="1:13" s="3" customFormat="1">
      <c r="A121" s="327"/>
      <c r="M121"/>
    </row>
    <row r="122" spans="1:13" s="3" customFormat="1">
      <c r="A122" s="327"/>
      <c r="M122"/>
    </row>
    <row r="123" spans="1:13" s="3" customFormat="1">
      <c r="A123" s="327"/>
      <c r="M123"/>
    </row>
    <row r="124" spans="1:13" s="3" customFormat="1">
      <c r="A124" s="327"/>
      <c r="M124"/>
    </row>
    <row r="125" spans="1:13" s="3" customFormat="1">
      <c r="A125" s="327"/>
      <c r="M125"/>
    </row>
    <row r="126" spans="1:13" s="3" customFormat="1">
      <c r="A126" s="327"/>
      <c r="M126"/>
    </row>
    <row r="127" spans="1:13" s="3" customFormat="1">
      <c r="A127" s="327"/>
      <c r="M127"/>
    </row>
    <row r="128" spans="1:13" s="3" customFormat="1">
      <c r="A128" s="327"/>
      <c r="M128"/>
    </row>
    <row r="129" spans="1:13" s="3" customFormat="1">
      <c r="A129" s="327"/>
      <c r="M129"/>
    </row>
    <row r="130" spans="1:13" s="3" customFormat="1">
      <c r="A130" s="327"/>
      <c r="M130"/>
    </row>
    <row r="131" spans="1:13" s="3" customFormat="1">
      <c r="A131" s="327"/>
      <c r="M131"/>
    </row>
    <row r="132" spans="1:13" s="3" customFormat="1">
      <c r="A132" s="327"/>
      <c r="M132"/>
    </row>
    <row r="133" spans="1:13" s="3" customFormat="1">
      <c r="A133" s="327"/>
      <c r="M133"/>
    </row>
    <row r="134" spans="1:13" s="3" customFormat="1">
      <c r="A134" s="327"/>
      <c r="M134"/>
    </row>
    <row r="135" spans="1:13" s="3" customFormat="1">
      <c r="A135" s="327"/>
      <c r="M135"/>
    </row>
    <row r="136" spans="1:13" s="3" customFormat="1">
      <c r="A136" s="327"/>
      <c r="M136"/>
    </row>
    <row r="137" spans="1:13" s="3" customFormat="1">
      <c r="A137" s="327"/>
      <c r="M137"/>
    </row>
    <row r="138" spans="1:13" s="3" customFormat="1">
      <c r="A138" s="327"/>
      <c r="M138"/>
    </row>
    <row r="139" spans="1:13" s="3" customFormat="1">
      <c r="A139" s="327"/>
      <c r="M139"/>
    </row>
    <row r="140" spans="1:13" s="3" customFormat="1">
      <c r="A140" s="327"/>
      <c r="M140"/>
    </row>
    <row r="141" spans="1:13" s="3" customFormat="1">
      <c r="A141" s="327"/>
      <c r="M141"/>
    </row>
    <row r="142" spans="1:13" s="3" customFormat="1">
      <c r="A142" s="327"/>
      <c r="M142"/>
    </row>
    <row r="143" spans="1:13" s="3" customFormat="1">
      <c r="A143" s="327"/>
      <c r="M143"/>
    </row>
    <row r="144" spans="1:13" s="3" customFormat="1">
      <c r="A144" s="327"/>
      <c r="M144"/>
    </row>
    <row r="145" spans="1:13" s="3" customFormat="1">
      <c r="A145" s="327"/>
      <c r="M145"/>
    </row>
    <row r="146" spans="1:13" s="3" customFormat="1">
      <c r="A146" s="327"/>
      <c r="M146"/>
    </row>
    <row r="147" spans="1:13" s="3" customFormat="1">
      <c r="A147" s="327"/>
      <c r="M147"/>
    </row>
    <row r="148" spans="1:13" s="3" customFormat="1">
      <c r="A148" s="327"/>
      <c r="M148"/>
    </row>
    <row r="149" spans="1:13" s="3" customFormat="1">
      <c r="A149" s="327"/>
      <c r="M149"/>
    </row>
    <row r="150" spans="1:13" s="3" customFormat="1">
      <c r="A150" s="327"/>
      <c r="M150"/>
    </row>
    <row r="151" spans="1:13" s="3" customFormat="1">
      <c r="A151" s="327"/>
      <c r="M151"/>
    </row>
    <row r="152" spans="1:13" s="3" customFormat="1">
      <c r="A152" s="327"/>
      <c r="M152"/>
    </row>
    <row r="153" spans="1:13" s="3" customFormat="1">
      <c r="A153" s="327"/>
      <c r="M153"/>
    </row>
    <row r="154" spans="1:13" s="3" customFormat="1">
      <c r="A154" s="327"/>
      <c r="M154"/>
    </row>
    <row r="155" spans="1:13" s="3" customFormat="1">
      <c r="A155" s="327"/>
      <c r="M155"/>
    </row>
    <row r="156" spans="1:13" s="3" customFormat="1">
      <c r="A156" s="327"/>
      <c r="M156"/>
    </row>
    <row r="157" spans="1:13" s="3" customFormat="1">
      <c r="A157" s="327"/>
      <c r="M157"/>
    </row>
    <row r="158" spans="1:13" s="3" customFormat="1">
      <c r="A158" s="327"/>
      <c r="M158"/>
    </row>
    <row r="159" spans="1:13" s="3" customFormat="1">
      <c r="A159" s="327"/>
      <c r="M159"/>
    </row>
    <row r="160" spans="1:13" s="3" customFormat="1">
      <c r="A160" s="327"/>
      <c r="M160"/>
    </row>
    <row r="161" spans="1:13" s="3" customFormat="1">
      <c r="A161" s="327"/>
      <c r="M161"/>
    </row>
    <row r="162" spans="1:13" s="3" customFormat="1">
      <c r="A162" s="327"/>
      <c r="M162"/>
    </row>
    <row r="163" spans="1:13" s="3" customFormat="1">
      <c r="A163" s="327"/>
      <c r="M163"/>
    </row>
  </sheetData>
  <pageMargins left="0.7" right="0.7" top="0.78740157499999996" bottom="0.78740157499999996"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FA045-7133-407F-A4D6-28AEE33B4310}">
  <sheetPr>
    <tabColor theme="2" tint="-0.499984740745262"/>
  </sheetPr>
  <dimension ref="A1:AD161"/>
  <sheetViews>
    <sheetView topLeftCell="A25" workbookViewId="0">
      <selection activeCell="C110" sqref="C110"/>
    </sheetView>
  </sheetViews>
  <sheetFormatPr defaultColWidth="10.7109375" defaultRowHeight="15" outlineLevelRow="1"/>
  <cols>
    <col min="1" max="2" width="36" style="3" customWidth="1"/>
    <col min="3" max="3" width="10.7109375" style="3" customWidth="1"/>
    <col min="4" max="6" width="10.7109375" style="3"/>
    <col min="7" max="11" width="12.28515625" style="3" customWidth="1"/>
    <col min="12" max="12" width="15.28515625" style="1000" bestFit="1" customWidth="1"/>
    <col min="13" max="16384" width="10.7109375" style="3"/>
  </cols>
  <sheetData>
    <row r="1" spans="1:12" s="251" customFormat="1" ht="12.75" hidden="1">
      <c r="A1" s="250" t="s">
        <v>474</v>
      </c>
      <c r="C1" s="251" t="s">
        <v>475</v>
      </c>
      <c r="D1" s="251" t="s">
        <v>476</v>
      </c>
      <c r="E1" s="251" t="s">
        <v>477</v>
      </c>
      <c r="H1" s="251" t="s">
        <v>478</v>
      </c>
      <c r="L1" s="1225" t="s">
        <v>479</v>
      </c>
    </row>
    <row r="2" spans="1:12" s="253" customFormat="1" ht="12.75" hidden="1">
      <c r="A2" s="252"/>
      <c r="L2" s="1226"/>
    </row>
    <row r="3" spans="1:12" s="253" customFormat="1" ht="12.75" hidden="1">
      <c r="A3" s="252" t="s">
        <v>480</v>
      </c>
      <c r="L3" s="1227">
        <v>1</v>
      </c>
    </row>
    <row r="4" spans="1:12" s="340" customFormat="1" ht="26.1" customHeight="1">
      <c r="A4" s="371" t="s">
        <v>481</v>
      </c>
      <c r="B4" s="371"/>
      <c r="L4" s="1228"/>
    </row>
    <row r="5" spans="1:12" s="253" customFormat="1" ht="16.350000000000001" customHeight="1" outlineLevel="1">
      <c r="A5" s="259"/>
      <c r="B5" s="257"/>
      <c r="C5" s="1222"/>
      <c r="D5" s="1222"/>
      <c r="E5" s="1222"/>
      <c r="F5" s="1222"/>
      <c r="G5" s="1222"/>
      <c r="H5" s="1222"/>
      <c r="I5" s="1222"/>
      <c r="J5" s="1222"/>
      <c r="K5" s="1222"/>
      <c r="L5" s="1226"/>
    </row>
    <row r="6" spans="1:12">
      <c r="C6" s="491" t="str">
        <f>_xll.FDS($B10,"FF_FISCAL_DATE(ANN_R,0,,,,""DATEM"")")</f>
        <v>12/2020</v>
      </c>
      <c r="D6" s="491" t="str">
        <f>_xll.FDS($B10,"FF_FISCAL_DATE(ANN_R,-1,,,,""DATEM"")")</f>
        <v>12/2019</v>
      </c>
      <c r="E6" s="491" t="str">
        <f>_xll.FDS($B10,"FF_FISCAL_DATE(ANN_R,-2,,,,""DATEM"")")</f>
        <v>12/2018</v>
      </c>
      <c r="F6" s="491" t="str">
        <f>_xll.FDS($B10,"FF_FISCAL_DATE(ANN_R,-3,,,,""DATEM"")")</f>
        <v>12/2017</v>
      </c>
      <c r="G6" s="491" t="str">
        <f>_xll.FDS($B10,"FF_FISCAL_DATE(ANN_R,-4,,,,""DATEM"")")</f>
        <v>12/2016</v>
      </c>
      <c r="H6" s="491" t="str">
        <f>_xll.FDS($B10,"FF_FISCAL_DATE(ANN_R,-5,,,,""DATEM"")")</f>
        <v>12/2015</v>
      </c>
      <c r="I6" s="491" t="str">
        <f>_xll.FDS($B10,"FF_FISCAL_DATE(ANN_R,-6,,,,""DATEM"")")</f>
        <v>12/2014</v>
      </c>
      <c r="J6" s="491" t="str">
        <f>_xll.FDS($B10,"FF_FISCAL_DATE(ANN_R,-7,,,,""DATEM"")")</f>
        <v>12/2013</v>
      </c>
      <c r="K6" s="491" t="str">
        <f>_xll.FDS($B10,"FF_FISCAL_DATE(ANN_R,-8,,,,""DATEM"")")</f>
        <v>12/2012</v>
      </c>
      <c r="L6" s="943"/>
    </row>
    <row r="7" spans="1:12">
      <c r="C7" s="1207" t="s">
        <v>482</v>
      </c>
      <c r="D7" s="1207" t="s">
        <v>482</v>
      </c>
      <c r="E7" s="1207" t="s">
        <v>482</v>
      </c>
      <c r="F7" s="1207" t="s">
        <v>483</v>
      </c>
      <c r="G7" s="1207" t="s">
        <v>482</v>
      </c>
      <c r="H7" s="1207" t="s">
        <v>482</v>
      </c>
      <c r="I7" s="1207" t="s">
        <v>482</v>
      </c>
      <c r="J7" s="1207" t="s">
        <v>482</v>
      </c>
      <c r="K7" s="1207" t="s">
        <v>483</v>
      </c>
      <c r="L7" s="1229"/>
    </row>
    <row r="8" spans="1:12">
      <c r="A8" s="3" t="s">
        <v>484</v>
      </c>
      <c r="C8" s="1207"/>
      <c r="D8" s="1207"/>
      <c r="E8" s="1207"/>
      <c r="F8" s="1207"/>
      <c r="G8" s="1207"/>
      <c r="H8" s="1207"/>
      <c r="I8" s="1207"/>
      <c r="J8" s="1207"/>
      <c r="K8" s="1207"/>
      <c r="L8" s="1229"/>
    </row>
    <row r="9" spans="1:12" s="253" customFormat="1" ht="12.6" customHeight="1">
      <c r="A9" s="265" t="s">
        <v>485</v>
      </c>
      <c r="B9" s="1208"/>
      <c r="C9" s="1218"/>
      <c r="D9" s="266"/>
      <c r="E9" s="266"/>
      <c r="F9" s="266"/>
      <c r="G9" s="266"/>
      <c r="H9" s="266"/>
      <c r="I9" s="266"/>
      <c r="J9" s="266"/>
      <c r="K9" s="266"/>
      <c r="L9" s="1230"/>
    </row>
    <row r="10" spans="1:12">
      <c r="A10" s="3" t="s">
        <v>81</v>
      </c>
      <c r="B10" s="3" t="s">
        <v>2</v>
      </c>
      <c r="C10" s="1219">
        <f>((1-'DAL-US IS-adj'!C$19)*'DAL-US IS-adj'!C$11)/'DAL-US BS-adj'!C$21</f>
        <v>-7.8556674589532707E-2</v>
      </c>
      <c r="D10" s="507">
        <f>((1-'DAL-US IS-adj'!D$19)*'DAL-US IS-adj'!D$11)/'DAL-US BS-adj'!D$21</f>
        <v>0.10046030878727159</v>
      </c>
      <c r="E10" s="507">
        <f>((1-'DAL-US IS-adj'!E$19)*'DAL-US IS-adj'!E$11)/'DAL-US BS-adj'!E$21</f>
        <v>8.8604952135998352E-2</v>
      </c>
      <c r="F10" s="507">
        <f>((1-'DAL-US IS-adj'!F$19)*'DAL-US IS-adj'!F$11)/'DAL-US BS-adj'!F$21</f>
        <v>9.0501035203742933E-2</v>
      </c>
      <c r="G10" s="507">
        <f>((1-'DAL-US IS-adj'!G$19)*'DAL-US IS-adj'!G$11)/'DAL-US BS-adj'!G$21</f>
        <v>0.10368223292842584</v>
      </c>
      <c r="H10" s="507">
        <f>((1-'DAL-US IS-adj'!H$19)*'DAL-US IS-adj'!H$11)/'DAL-US BS-adj'!H$21</f>
        <v>0.10823830418173311</v>
      </c>
      <c r="I10" s="507">
        <f>((1-'DAL-US IS-adj'!I$19)*'DAL-US IS-adj'!I$11)/'DAL-US BS-adj'!I$21</f>
        <v>7.4523776463297983E-2</v>
      </c>
      <c r="J10" s="507">
        <f>((1-'DAL-US IS-adj'!J$19)*'DAL-US IS-adj'!J$11)/'DAL-US BS-adj'!J$21</f>
        <v>0.32963694427022494</v>
      </c>
      <c r="K10" s="507">
        <f>((1-'DAL-US IS-adj'!K$19)*'DAL-US IS-adj'!K$11)/'DAL-US BS-adj'!K$21</f>
        <v>9.5235060633434593E-2</v>
      </c>
      <c r="L10" s="1229"/>
    </row>
    <row r="11" spans="1:12" s="253" customFormat="1">
      <c r="A11" s="267"/>
      <c r="B11" s="294" t="s">
        <v>486</v>
      </c>
      <c r="C11" s="1219">
        <f>((1-'AC-CA IS-adj'!C$19)*'AC-CA IS-adj'!C$11)/'AC-CA BS-adj'!C$21</f>
        <v>-0.12843311904919733</v>
      </c>
      <c r="D11" s="507">
        <f>((1-'AC-CA IS-adj'!D$19)*'AC-CA IS-adj'!D$11)/'AC-CA BS-adj'!D$21</f>
        <v>7.0995779062138983E-2</v>
      </c>
      <c r="E11" s="507">
        <f>((1-'AC-CA IS-adj'!E$19)*'AC-CA IS-adj'!E$11)/'AC-CA BS-adj'!E$21</f>
        <v>1.548426199621431E-2</v>
      </c>
      <c r="F11" s="507">
        <f>((1-'AC-CA IS-adj'!F$19)*'AC-CA IS-adj'!F$11)/'AC-CA BS-adj'!F$21</f>
        <v>0.32822482258143904</v>
      </c>
      <c r="G11" s="507">
        <f>((1-'AC-CA IS-adj'!G$19)*'AC-CA IS-adj'!G$11)/'AC-CA BS-adj'!G$21</f>
        <v>0.24178279555166321</v>
      </c>
      <c r="H11" s="507">
        <f>((1-'AC-CA IS-adj'!H$19)*'AC-CA IS-adj'!H$11)/'AC-CA BS-adj'!H$21</f>
        <v>0.28130406682739256</v>
      </c>
      <c r="I11" s="507">
        <f>((1-'AC-CA IS-adj'!I$19)*'AC-CA IS-adj'!I$11)/'AC-CA BS-adj'!I$21</f>
        <v>0.34677263231199973</v>
      </c>
      <c r="J11" s="507">
        <f>((1-'AC-CA IS-adj'!J$19)*'AC-CA IS-adj'!J$11)/'AC-CA BS-adj'!J$21</f>
        <v>1.327631115455091</v>
      </c>
      <c r="K11" s="507">
        <f>((1-'AC-CA IS-adj'!K$19)*'AC-CA IS-adj'!K$11)/'AC-CA BS-adj'!K$21</f>
        <v>0.27361029964413103</v>
      </c>
      <c r="L11" s="1230"/>
    </row>
    <row r="12" spans="1:12" s="253" customFormat="1">
      <c r="A12" s="267"/>
      <c r="B12" s="294" t="s">
        <v>487</v>
      </c>
      <c r="C12" s="1219">
        <f>((1-'AAL-US IS-adj'!C$19)*'AAL-US IS-adj'!C$11)/'AAL-US BS-adj'!C$21</f>
        <v>-9.9887461393742841E-2</v>
      </c>
      <c r="D12" s="507">
        <f>((1-'AAL-US IS-adj'!D$19)*'AAL-US IS-adj'!D$11)/'AAL-US BS-adj'!D$21</f>
        <v>0.11732976861546977</v>
      </c>
      <c r="E12" s="507">
        <f>((1-'AAL-US IS-adj'!E$19)*'AAL-US IS-adj'!E$11)/'AAL-US BS-adj'!E$21</f>
        <v>0.11295235932342627</v>
      </c>
      <c r="F12" s="507">
        <f>((1-'AAL-US IS-adj'!F$19)*'AAL-US IS-adj'!F$11)/'AAL-US BS-adj'!F$21</f>
        <v>7.3562003432470435E-2</v>
      </c>
      <c r="G12" s="507">
        <f>((1-'AAL-US IS-adj'!G$19)*'AAL-US IS-adj'!G$11)/'AAL-US BS-adj'!G$21</f>
        <v>0.13209804919893448</v>
      </c>
      <c r="H12" s="507">
        <f>((1-'AAL-US IS-adj'!H$19)*'AAL-US IS-adj'!H$11)/'AAL-US BS-adj'!H$21</f>
        <v>0.39691752896416277</v>
      </c>
      <c r="I12" s="507">
        <f>((1-'AAL-US IS-adj'!I$19)*'AAL-US IS-adj'!I$11)/'AAL-US BS-adj'!I$21</f>
        <v>0.19458001383893619</v>
      </c>
      <c r="J12" s="507">
        <f>((1-'AAL-US IS-adj'!J$19)*'AAL-US IS-adj'!J$11)/'AAL-US BS-adj'!J$21</f>
        <v>9.6416003158508665E-2</v>
      </c>
      <c r="K12" s="507">
        <f>((1-'AAL-US IS-adj'!K$19)*'AAL-US IS-adj'!K$11)/'AAL-US BS-adj'!K$21</f>
        <v>0.11399741886985237</v>
      </c>
      <c r="L12" s="1230"/>
    </row>
    <row r="13" spans="1:12" s="253" customFormat="1">
      <c r="A13" s="267"/>
      <c r="B13" s="294" t="s">
        <v>488</v>
      </c>
      <c r="C13" s="1219">
        <f>((1-'ALK-US IS-adj'!C$19)*'ALK-US IS-adj'!C$11)/'ALK-US BS-adj'!C$21</f>
        <v>-6.067255970123684E-2</v>
      </c>
      <c r="D13" s="507">
        <f>((1-'ALK-US IS-adj'!D$19)*'ALK-US IS-adj'!D$11)/'ALK-US BS-adj'!D$21</f>
        <v>9.0766224797216466E-2</v>
      </c>
      <c r="E13" s="507">
        <f>((1-'ALK-US IS-adj'!E$19)*'ALK-US IS-adj'!E$11)/'ALK-US BS-adj'!E$21</f>
        <v>7.1550880409969028E-2</v>
      </c>
      <c r="F13" s="507">
        <f>((1-'ALK-US IS-adj'!F$19)*'ALK-US IS-adj'!F$11)/'ALK-US BS-adj'!F$21</f>
        <v>0.24854235784039969</v>
      </c>
      <c r="G13" s="507">
        <f>((1-'ALK-US IS-adj'!G$19)*'ALK-US IS-adj'!G$11)/'ALK-US BS-adj'!G$21</f>
        <v>0.19310402333545593</v>
      </c>
      <c r="H13" s="507">
        <f>((1-'ALK-US IS-adj'!H$19)*'ALK-US IS-adj'!H$11)/'ALK-US BS-adj'!H$21</f>
        <v>0.30384490864342595</v>
      </c>
      <c r="I13" s="507">
        <f>((1-'ALK-US IS-adj'!I$19)*'ALK-US IS-adj'!I$11)/'ALK-US BS-adj'!I$21</f>
        <v>0.30397543766846563</v>
      </c>
      <c r="J13" s="507">
        <f>((1-'ALK-US IS-adj'!J$19)*'ALK-US IS-adj'!J$11)/'ALK-US BS-adj'!J$21</f>
        <v>0.18701752294638754</v>
      </c>
      <c r="K13" s="507">
        <f>((1-'ALK-US IS-adj'!K$19)*'ALK-US IS-adj'!K$11)/'ALK-US BS-adj'!K$21</f>
        <v>0.19682664318142676</v>
      </c>
      <c r="L13" s="1230"/>
    </row>
    <row r="14" spans="1:12" s="253" customFormat="1">
      <c r="A14" s="267"/>
      <c r="B14" s="294" t="s">
        <v>489</v>
      </c>
      <c r="C14" s="1219">
        <f>((1-'LUV-US IS-adj'!C$19)*'LUV-US IS-adj'!C$11)/'LUV-US BS-adj'!C$21</f>
        <v>-9.3076297194466778E-2</v>
      </c>
      <c r="D14" s="507">
        <f>((1-'LUV-US IS-adj'!D$19)*'LUV-US IS-adj'!D$11)/'LUV-US BS-adj'!D$21</f>
        <v>8.6526307221083926E-2</v>
      </c>
      <c r="E14" s="507">
        <f>((1-'LUV-US IS-adj'!E$19)*'LUV-US IS-adj'!E$11)/'LUV-US BS-adj'!E$21</f>
        <v>8.6526472505592367E-2</v>
      </c>
      <c r="F14" s="507">
        <f>((1-'LUV-US IS-adj'!F$19)*'LUV-US IS-adj'!F$11)/'LUV-US BS-adj'!F$21</f>
        <v>0.22690192446468826</v>
      </c>
      <c r="G14" s="507">
        <f>((1-'LUV-US IS-adj'!G$19)*'LUV-US IS-adj'!G$11)/'LUV-US BS-adj'!G$21</f>
        <v>0.11581603070430976</v>
      </c>
      <c r="H14" s="507">
        <f>((1-'LUV-US IS-adj'!H$19)*'LUV-US IS-adj'!H$11)/'LUV-US BS-adj'!H$21</f>
        <v>0.16124515656348229</v>
      </c>
      <c r="I14" s="507">
        <f>((1-'LUV-US IS-adj'!I$19)*'LUV-US IS-adj'!I$11)/'LUV-US BS-adj'!I$21</f>
        <v>0.12270400257651366</v>
      </c>
      <c r="J14" s="507">
        <f>((1-'LUV-US IS-adj'!J$19)*'LUV-US IS-adj'!J$11)/'LUV-US BS-adj'!J$21</f>
        <v>6.1730916430092944E-2</v>
      </c>
      <c r="K14" s="507">
        <f>((1-'LUV-US IS-adj'!K$19)*'LUV-US IS-adj'!K$11)/'LUV-US BS-adj'!K$21</f>
        <v>5.7749960886787258E-2</v>
      </c>
      <c r="L14" s="1230"/>
    </row>
    <row r="15" spans="1:12" s="253" customFormat="1">
      <c r="A15" s="269"/>
      <c r="B15" s="1209" t="s">
        <v>490</v>
      </c>
      <c r="C15" s="1220">
        <f>((1-'skyw-US IS-adj'!C$19)*'skyw-US IS-adj'!C$11)/'skyw-US BS-adj'!C$21</f>
        <v>-3.8136915911944028E-2</v>
      </c>
      <c r="D15" s="512">
        <f>((1-'skyw-US IS-adj'!D$19)*'skyw-US IS-adj'!D$11)/'skyw-US BS-adj'!D$21</f>
        <v>6.1140891898386417E-2</v>
      </c>
      <c r="E15" s="512">
        <f>((1-'skyw-US IS-adj'!E$19)*'skyw-US IS-adj'!E$11)/'skyw-US BS-adj'!E$21</f>
        <v>5.4043563962356697E-2</v>
      </c>
      <c r="F15" s="512">
        <f>((1-'skyw-US IS-adj'!F$19)*'skyw-US IS-adj'!F$11)/'skyw-US BS-adj'!F$21</f>
        <v>0.71724132817284991</v>
      </c>
      <c r="G15" s="512">
        <f>((1-'skyw-US IS-adj'!G$19)*'skyw-US IS-adj'!G$11)/'skyw-US BS-adj'!G$21</f>
        <v>0.32302127251810941</v>
      </c>
      <c r="H15" s="512">
        <f>((1-'skyw-US IS-adj'!H$19)*'skyw-US IS-adj'!H$11)/'skyw-US BS-adj'!H$21</f>
        <v>0.31278246881070393</v>
      </c>
      <c r="I15" s="512">
        <f>((1-'skyw-US IS-adj'!I$19)*'skyw-US IS-adj'!I$11)/'skyw-US BS-adj'!I$21</f>
        <v>0.61577672121725568</v>
      </c>
      <c r="J15" s="512">
        <f>((1-'skyw-US IS-adj'!J$19)*'skyw-US IS-adj'!J$11)/'skyw-US BS-adj'!J$21</f>
        <v>0.12258545737500511</v>
      </c>
      <c r="K15" s="512">
        <f>((1-'skyw-US IS-adj'!K$19)*'skyw-US IS-adj'!K$11)/'skyw-US BS-adj'!K$21</f>
        <v>0.28686895584390371</v>
      </c>
      <c r="L15" s="1230"/>
    </row>
    <row r="16" spans="1:12" s="273" customFormat="1" ht="12.75">
      <c r="A16" s="271"/>
      <c r="B16" s="272" t="s">
        <v>124</v>
      </c>
      <c r="C16" s="1221">
        <f>MEDIAN(C11:C15)</f>
        <v>-9.3076297194466778E-2</v>
      </c>
      <c r="D16" s="1210">
        <f t="shared" ref="D16:K16" si="0">MEDIAN(D11:D15)</f>
        <v>8.6526307221083926E-2</v>
      </c>
      <c r="E16" s="1210">
        <f t="shared" si="0"/>
        <v>7.1550880409969028E-2</v>
      </c>
      <c r="F16" s="1210">
        <f t="shared" si="0"/>
        <v>0.24854235784039969</v>
      </c>
      <c r="G16" s="1210">
        <f t="shared" si="0"/>
        <v>0.19310402333545593</v>
      </c>
      <c r="H16" s="1210">
        <f t="shared" si="0"/>
        <v>0.30384490864342595</v>
      </c>
      <c r="I16" s="1210">
        <f t="shared" si="0"/>
        <v>0.30397543766846563</v>
      </c>
      <c r="J16" s="1210">
        <f t="shared" si="0"/>
        <v>0.12258545737500511</v>
      </c>
      <c r="K16" s="1210">
        <f t="shared" si="0"/>
        <v>0.19682664318142676</v>
      </c>
      <c r="L16" s="1231"/>
    </row>
    <row r="17" spans="1:30" s="273" customFormat="1" ht="12.75">
      <c r="A17" s="272"/>
      <c r="B17" s="272"/>
      <c r="C17" s="1210"/>
      <c r="D17" s="1210"/>
      <c r="E17" s="1210"/>
      <c r="F17" s="1210"/>
      <c r="G17" s="1210"/>
      <c r="H17" s="1210"/>
      <c r="I17" s="1210"/>
      <c r="J17" s="1210"/>
      <c r="K17" s="1210"/>
      <c r="L17" s="1231"/>
    </row>
    <row r="18" spans="1:30" s="273" customFormat="1">
      <c r="A18" s="3" t="s">
        <v>491</v>
      </c>
      <c r="B18" s="3" t="s">
        <v>2</v>
      </c>
      <c r="C18" s="507">
        <f>'DAL-US IS-adj'!C$14/'DAL-US IS-adj'!C$8</f>
        <v>-0.33421292775665407</v>
      </c>
      <c r="D18" s="507">
        <f>'DAL-US IS-adj'!D$14/'DAL-US IS-adj'!D$8</f>
        <v>0.12276900821171761</v>
      </c>
      <c r="E18" s="507">
        <f>'DAL-US IS-adj'!E$14/'DAL-US IS-adj'!E$8</f>
        <v>0.10670529466033625</v>
      </c>
      <c r="F18" s="507">
        <f>'DAL-US IS-adj'!F$14/'DAL-US IS-adj'!F$8</f>
        <v>0.13840471455594897</v>
      </c>
      <c r="G18" s="507">
        <f>'DAL-US IS-adj'!G$14/'DAL-US IS-adj'!G$8</f>
        <v>0.15918615221453455</v>
      </c>
      <c r="H18" s="507">
        <f>'DAL-US IS-adj'!H$14/'DAL-US IS-adj'!H$8</f>
        <v>0.17347726262775887</v>
      </c>
      <c r="I18" s="507">
        <f>'DAL-US IS-adj'!I$14/'DAL-US IS-adj'!I$8</f>
        <v>0.10493532981792854</v>
      </c>
      <c r="J18" s="507">
        <f>'DAL-US IS-adj'!J$14/'DAL-US IS-adj'!J$8</f>
        <v>7.2475158084914143E-2</v>
      </c>
      <c r="K18" s="507">
        <f>'DAL-US IS-adj'!K$14/'DAL-US IS-adj'!K$8</f>
        <v>6.4044147704046858E-2</v>
      </c>
      <c r="L18" s="1232"/>
    </row>
    <row r="19" spans="1:30" s="273" customFormat="1">
      <c r="A19" s="267"/>
      <c r="B19" s="294" t="s">
        <v>486</v>
      </c>
      <c r="C19" s="507">
        <f>'AC-CA IS-adj'!C$14/'AC-CA IS-adj'!C$8</f>
        <v>-0.55657123264186525</v>
      </c>
      <c r="D19" s="507">
        <f>'AC-CA IS-adj'!D$14/'AC-CA IS-adj'!D$8</f>
        <v>7.1130625686059282E-2</v>
      </c>
      <c r="E19" s="507">
        <f>'AC-CA IS-adj'!E$14/'AC-CA IS-adj'!E$8</f>
        <v>6.2229628395267432E-2</v>
      </c>
      <c r="F19" s="507">
        <f>'AC-CA IS-adj'!F$14/'AC-CA IS-adj'!F$8</f>
        <v>0.17468373123307904</v>
      </c>
      <c r="G19" s="507">
        <f>'AC-CA IS-adj'!G$14/'AC-CA IS-adj'!G$8</f>
        <v>0.19014239967295771</v>
      </c>
      <c r="H19" s="507">
        <f>'AC-CA IS-adj'!H$14/'AC-CA IS-adj'!H$8</f>
        <v>0.20453129506778198</v>
      </c>
      <c r="I19" s="507">
        <f>'AC-CA IS-adj'!I$14/'AC-CA IS-adj'!I$8</f>
        <v>0.21130198915009049</v>
      </c>
      <c r="J19" s="507">
        <f>'AC-CA IS-adj'!J$14/'AC-CA IS-adj'!J$8</f>
        <v>0.14903569872395409</v>
      </c>
      <c r="K19" s="507">
        <f>'AC-CA IS-adj'!K$14/'AC-CA IS-adj'!K$8</f>
        <v>0.15173848439821699</v>
      </c>
      <c r="L19" s="1232"/>
      <c r="T19" s="3"/>
      <c r="U19" s="3"/>
      <c r="V19" s="1217"/>
      <c r="W19" s="1217"/>
      <c r="X19" s="1217"/>
      <c r="Y19" s="1217"/>
      <c r="Z19" s="1217"/>
      <c r="AA19" s="1217"/>
      <c r="AB19" s="1217"/>
      <c r="AC19" s="1217"/>
      <c r="AD19" s="1217"/>
    </row>
    <row r="20" spans="1:30">
      <c r="A20" s="267"/>
      <c r="B20" s="294" t="s">
        <v>487</v>
      </c>
      <c r="C20" s="507">
        <f>'AAL-US IS-adj'!C$14/'AAL-US IS-adj'!C$8</f>
        <v>-0.38252984945492308</v>
      </c>
      <c r="D20" s="507">
        <f>'AAL-US IS-adj'!D$14/'AAL-US IS-adj'!D$8</f>
        <v>0.13094913476664918</v>
      </c>
      <c r="E20" s="507">
        <f>'AAL-US IS-adj'!E$14/'AAL-US IS-adj'!E$8</f>
        <v>0.13051525560719335</v>
      </c>
      <c r="F20" s="507">
        <f>'AAL-US IS-adj'!F$14/'AAL-US IS-adj'!F$8</f>
        <v>0.19534700389470222</v>
      </c>
      <c r="G20" s="507">
        <f>'AAL-US IS-adj'!G$14/'AAL-US IS-adj'!G$8</f>
        <v>0.21854454952712793</v>
      </c>
      <c r="H20" s="507">
        <f>'AAL-US IS-adj'!H$14/'AAL-US IS-adj'!H$8</f>
        <v>0.23891388143449621</v>
      </c>
      <c r="I20" s="507">
        <f>'AAL-US IS-adj'!I$14/'AAL-US IS-adj'!I$8</f>
        <v>0.18735193434935518</v>
      </c>
      <c r="J20" s="507">
        <f>'AAL-US IS-adj'!J$14/'AAL-US IS-adj'!J$8</f>
        <v>0.14724152114572037</v>
      </c>
      <c r="K20" s="507">
        <f>'AAL-US IS-adj'!K$14/'AAL-US IS-adj'!K$8</f>
        <v>0.11453952926976459</v>
      </c>
      <c r="T20" s="267"/>
      <c r="U20" s="294"/>
      <c r="V20" s="1217"/>
      <c r="W20" s="1217"/>
      <c r="X20" s="1217"/>
      <c r="Y20" s="1217"/>
      <c r="Z20" s="1217"/>
      <c r="AA20" s="1217"/>
      <c r="AB20" s="1217"/>
      <c r="AC20" s="1217"/>
      <c r="AD20" s="1217"/>
    </row>
    <row r="21" spans="1:30" s="273" customFormat="1">
      <c r="A21" s="267"/>
      <c r="B21" s="294" t="s">
        <v>488</v>
      </c>
      <c r="C21" s="507">
        <f>'ALK-US IS-adj'!C$14/'ALK-US IS-adj'!C$8</f>
        <v>-0.28065900168255747</v>
      </c>
      <c r="D21" s="507">
        <f>'ALK-US IS-adj'!D$14/'ALK-US IS-adj'!D$8</f>
        <v>0.13434460767566345</v>
      </c>
      <c r="E21" s="507">
        <f>'ALK-US IS-adj'!E$14/'ALK-US IS-adj'!E$8</f>
        <v>0.10874031945788956</v>
      </c>
      <c r="F21" s="507">
        <f>'ALK-US IS-adj'!F$14/'ALK-US IS-adj'!F$8</f>
        <v>0.37591208512794522</v>
      </c>
      <c r="G21" s="507">
        <f>'ALK-US IS-adj'!G$14/'ALK-US IS-adj'!G$8</f>
        <v>0.49331310065756195</v>
      </c>
      <c r="H21" s="507">
        <f>'ALK-US IS-adj'!H$14/'ALK-US IS-adj'!H$8</f>
        <v>0.5132038227938549</v>
      </c>
      <c r="I21" s="507">
        <f>'ALK-US IS-adj'!I$14/'ALK-US IS-adj'!I$8</f>
        <v>0.47637667660208649</v>
      </c>
      <c r="J21" s="507">
        <f>'ALK-US IS-adj'!J$14/'ALK-US IS-adj'!J$8</f>
        <v>0.29000000000000004</v>
      </c>
      <c r="K21" s="507">
        <f>'ALK-US IS-adj'!K$14/'ALK-US IS-adj'!K$8</f>
        <v>0.3100579772385656</v>
      </c>
      <c r="L21" s="1232"/>
      <c r="T21" s="267"/>
      <c r="U21" s="294"/>
      <c r="V21" s="1217"/>
      <c r="W21" s="1217"/>
      <c r="X21" s="1217"/>
      <c r="Y21" s="1217"/>
      <c r="Z21" s="1217"/>
      <c r="AA21" s="1217"/>
      <c r="AB21" s="1217"/>
      <c r="AC21" s="1217"/>
      <c r="AD21" s="1217"/>
    </row>
    <row r="22" spans="1:30" s="273" customFormat="1">
      <c r="A22" s="267"/>
      <c r="B22" s="294" t="s">
        <v>489</v>
      </c>
      <c r="C22" s="507">
        <f>'LUV-US IS-adj'!C$14/'LUV-US IS-adj'!C$8</f>
        <v>-0.40461427939876221</v>
      </c>
      <c r="D22" s="507">
        <f>'LUV-US IS-adj'!D$14/'LUV-US IS-adj'!D$8</f>
        <v>9.6083467094703126E-2</v>
      </c>
      <c r="E22" s="507">
        <f>'LUV-US IS-adj'!E$14/'LUV-US IS-adj'!E$8</f>
        <v>0.1035260641930344</v>
      </c>
      <c r="F22" s="507">
        <f>'LUV-US IS-adj'!F$14/'LUV-US IS-adj'!F$8</f>
        <v>0.21310366026671718</v>
      </c>
      <c r="G22" s="507">
        <f>'LUV-US IS-adj'!G$14/'LUV-US IS-adj'!G$8</f>
        <v>0.20310759524865693</v>
      </c>
      <c r="H22" s="507">
        <f>'LUV-US IS-adj'!H$14/'LUV-US IS-adj'!H$8</f>
        <v>0.24796796165489404</v>
      </c>
      <c r="I22" s="507">
        <f>'LUV-US IS-adj'!I$14/'LUV-US IS-adj'!I$8</f>
        <v>0.17476054823972048</v>
      </c>
      <c r="J22" s="507">
        <f>'LUV-US IS-adj'!J$14/'LUV-US IS-adj'!J$8</f>
        <v>8.6491327193626802E-2</v>
      </c>
      <c r="K22" s="507">
        <f>'LUV-US IS-adj'!K$14/'LUV-US IS-adj'!K$8</f>
        <v>8.3603113295880188E-2</v>
      </c>
      <c r="L22" s="1232"/>
      <c r="T22" s="267"/>
      <c r="U22" s="294"/>
      <c r="V22" s="1217"/>
      <c r="W22" s="1217"/>
      <c r="X22" s="1217"/>
      <c r="Y22" s="1217"/>
      <c r="Z22" s="1217"/>
      <c r="AA22" s="1217"/>
      <c r="AB22" s="1217"/>
      <c r="AC22" s="1217"/>
      <c r="AD22" s="1217"/>
    </row>
    <row r="23" spans="1:30" s="273" customFormat="1">
      <c r="A23" s="269"/>
      <c r="B23" s="1209" t="s">
        <v>490</v>
      </c>
      <c r="C23" s="512">
        <f>'skyw-US IS-adj'!C$14/'skyw-US IS-adj'!C$8</f>
        <v>-0.12350078463414618</v>
      </c>
      <c r="D23" s="512">
        <f>'skyw-US IS-adj'!D$14/'skyw-US IS-adj'!D$8</f>
        <v>9.9816707004764277E-2</v>
      </c>
      <c r="E23" s="512">
        <f>'skyw-US IS-adj'!E$14/'skyw-US IS-adj'!E$8</f>
        <v>8.0183376431978495E-2</v>
      </c>
      <c r="F23" s="512">
        <f>'skyw-US IS-adj'!F$14/'skyw-US IS-adj'!F$8</f>
        <v>0.59222915449728941</v>
      </c>
      <c r="G23" s="512">
        <f>'skyw-US IS-adj'!G$14/'skyw-US IS-adj'!G$8</f>
        <v>0.56431239719518667</v>
      </c>
      <c r="H23" s="512">
        <f>'skyw-US IS-adj'!H$14/'skyw-US IS-adj'!H$8</f>
        <v>0.56388787758478831</v>
      </c>
      <c r="I23" s="512">
        <f>'skyw-US IS-adj'!I$14/'skyw-US IS-adj'!I$8</f>
        <v>0.51876058511537004</v>
      </c>
      <c r="J23" s="512">
        <f>'skyw-US IS-adj'!J$14/'skyw-US IS-adj'!J$8</f>
        <v>0.24736468019619581</v>
      </c>
      <c r="K23" s="512">
        <f>'skyw-US IS-adj'!K$14/'skyw-US IS-adj'!K$8</f>
        <v>0.58612954154231633</v>
      </c>
      <c r="L23" s="1232"/>
      <c r="T23" s="267"/>
      <c r="U23" s="294"/>
      <c r="V23" s="1217"/>
      <c r="W23" s="1217"/>
      <c r="X23" s="1217"/>
      <c r="Y23" s="1217"/>
      <c r="Z23" s="1217"/>
      <c r="AA23" s="1217"/>
      <c r="AB23" s="1217"/>
      <c r="AC23" s="1217"/>
      <c r="AD23" s="1217"/>
    </row>
    <row r="24" spans="1:30" s="273" customFormat="1">
      <c r="A24" s="271"/>
      <c r="B24" s="272" t="s">
        <v>124</v>
      </c>
      <c r="C24" s="1210">
        <f>MEDIAN(C19:C23)</f>
        <v>-0.38252984945492308</v>
      </c>
      <c r="D24" s="1210">
        <f t="shared" ref="D24" si="1">MEDIAN(D19:D23)</f>
        <v>9.9816707004764277E-2</v>
      </c>
      <c r="E24" s="1210">
        <f t="shared" ref="E24" si="2">MEDIAN(E19:E23)</f>
        <v>0.1035260641930344</v>
      </c>
      <c r="F24" s="1210">
        <f t="shared" ref="F24" si="3">MEDIAN(F19:F23)</f>
        <v>0.21310366026671718</v>
      </c>
      <c r="G24" s="1210">
        <f t="shared" ref="G24" si="4">MEDIAN(G19:G23)</f>
        <v>0.21854454952712793</v>
      </c>
      <c r="H24" s="1210">
        <f t="shared" ref="H24" si="5">MEDIAN(H19:H23)</f>
        <v>0.24796796165489404</v>
      </c>
      <c r="I24" s="1210">
        <f t="shared" ref="I24" si="6">MEDIAN(I19:I23)</f>
        <v>0.21130198915009049</v>
      </c>
      <c r="J24" s="1210">
        <f t="shared" ref="J24" si="7">MEDIAN(J19:J23)</f>
        <v>0.14903569872395409</v>
      </c>
      <c r="K24" s="1210">
        <f t="shared" ref="K24" si="8">MEDIAN(K19:K23)</f>
        <v>0.15173848439821699</v>
      </c>
      <c r="L24" s="1232"/>
      <c r="T24" s="294"/>
      <c r="U24" s="294"/>
      <c r="V24" s="1223"/>
      <c r="W24" s="1217"/>
      <c r="X24" s="1217"/>
      <c r="Y24" s="1217"/>
      <c r="Z24" s="1217"/>
      <c r="AA24" s="1217"/>
      <c r="AB24" s="1217"/>
      <c r="AC24" s="1217"/>
      <c r="AD24" s="1217"/>
    </row>
    <row r="25" spans="1:30" s="273" customFormat="1" ht="12.75">
      <c r="A25" s="272"/>
      <c r="B25" s="272"/>
      <c r="C25" s="1210"/>
      <c r="D25" s="1210"/>
      <c r="E25" s="1210"/>
      <c r="F25" s="1210"/>
      <c r="G25" s="1210"/>
      <c r="H25" s="1210"/>
      <c r="I25" s="1210"/>
      <c r="J25" s="1210"/>
      <c r="K25" s="1210"/>
      <c r="L25" s="1232"/>
      <c r="T25" s="272"/>
      <c r="U25" s="272"/>
      <c r="V25" s="1224"/>
      <c r="W25" s="1213"/>
      <c r="X25" s="1213"/>
      <c r="Y25" s="1213"/>
      <c r="Z25" s="1213"/>
      <c r="AA25" s="1213"/>
      <c r="AB25" s="1213"/>
      <c r="AC25" s="1213"/>
      <c r="AD25" s="1213"/>
    </row>
    <row r="26" spans="1:30" s="273" customFormat="1">
      <c r="A26" s="3" t="s">
        <v>492</v>
      </c>
      <c r="B26" s="3" t="s">
        <v>2</v>
      </c>
      <c r="C26" s="507">
        <f>((1-'DAL-US IS-adj'!C$19)*'DAL-US IS-adj'!C$11)/('DAL-US BS-adj'!C$14+'DAL-US BS-adj'!C$15+'DAL-US BS-adj'!C$16)</f>
        <v>-0.1753073691571507</v>
      </c>
      <c r="D26" s="507">
        <f>((1-'DAL-US IS-adj'!D$19)*'DAL-US IS-adj'!D$11)/('DAL-US BS-adj'!D$14+'DAL-US BS-adj'!D$15+'DAL-US BS-adj'!D$16)</f>
        <v>0.17551248468094893</v>
      </c>
      <c r="E26" s="507">
        <f>((1-'DAL-US IS-adj'!E$19)*'DAL-US IS-adj'!E$11)/('DAL-US BS-adj'!E$14+'DAL-US BS-adj'!E$15+'DAL-US BS-adj'!E$16)</f>
        <v>0.15554971148090757</v>
      </c>
      <c r="F26" s="507">
        <f>((1-'DAL-US IS-adj'!F$19)*'DAL-US IS-adj'!F$11)/('DAL-US BS-adj'!F$14+'DAL-US BS-adj'!F$15+'DAL-US BS-adj'!F$16)</f>
        <v>0.19921607237259562</v>
      </c>
      <c r="G26" s="507">
        <f>((1-'DAL-US IS-adj'!G$19)*'DAL-US IS-adj'!G$11)/('DAL-US BS-adj'!G$14+'DAL-US BS-adj'!G$15+'DAL-US BS-adj'!G$16)</f>
        <v>0.25053455742569652</v>
      </c>
      <c r="H26" s="507">
        <f>((1-'DAL-US IS-adj'!H$19)*'DAL-US IS-adj'!H$11)/('DAL-US BS-adj'!H$14+'DAL-US BS-adj'!H$15+'DAL-US BS-adj'!H$16)</f>
        <v>0.28486138008399692</v>
      </c>
      <c r="I26" s="507">
        <f>((1-'DAL-US IS-adj'!I$19)*'DAL-US IS-adj'!I$11)/('DAL-US BS-adj'!I$14+'DAL-US BS-adj'!I$15+'DAL-US BS-adj'!I$16)</f>
        <v>0.18392545514935249</v>
      </c>
      <c r="J26" s="507">
        <f>((1-'DAL-US IS-adj'!J$19)*'DAL-US IS-adj'!J$11)/('DAL-US BS-adj'!J$14+'DAL-US BS-adj'!J$15+'DAL-US BS-adj'!J$16)</f>
        <v>0.89587520215913519</v>
      </c>
      <c r="K26" s="507">
        <f>((1-'DAL-US IS-adj'!K$19)*'DAL-US IS-adj'!K$11)/('DAL-US BS-adj'!K$14+'DAL-US BS-adj'!K$15+'DAL-US BS-adj'!K$16)</f>
        <v>0.2048337735344716</v>
      </c>
      <c r="L26" s="1232"/>
    </row>
    <row r="27" spans="1:30" s="273" customFormat="1">
      <c r="A27" s="267"/>
      <c r="B27" s="294" t="s">
        <v>486</v>
      </c>
      <c r="C27" s="507">
        <f>((1-'AC-CA IS-adj'!C$19)*'AC-CA IS-adj'!C$11)/('AC-CA BS-adj'!C$14+'AC-CA BS-adj'!C$15+'AC-CA BS-adj'!C$16)</f>
        <v>-0.28933978269202448</v>
      </c>
      <c r="D27" s="507">
        <f>((1-'AC-CA IS-adj'!D$19)*'AC-CA IS-adj'!D$11)/('AC-CA BS-adj'!D$14+'AC-CA BS-adj'!D$15+'AC-CA BS-adj'!D$16)</f>
        <v>0.16176408363998326</v>
      </c>
      <c r="E27" s="507">
        <f>((1-'AC-CA IS-adj'!E$19)*'AC-CA IS-adj'!E$11)/('AC-CA BS-adj'!E$14+'AC-CA BS-adj'!E$15+'AC-CA BS-adj'!E$16)</f>
        <v>3.6623660318110429E-2</v>
      </c>
      <c r="F27" s="507">
        <f>((1-'AC-CA IS-adj'!F$19)*'AC-CA IS-adj'!F$11)/('AC-CA BS-adj'!F$14+'AC-CA BS-adj'!F$15+'AC-CA BS-adj'!F$16)</f>
        <v>0.60424591234879321</v>
      </c>
      <c r="G27" s="507">
        <f>((1-'AC-CA IS-adj'!G$19)*'AC-CA IS-adj'!G$11)/('AC-CA BS-adj'!G$14+'AC-CA BS-adj'!G$15+'AC-CA BS-adj'!G$16)</f>
        <v>0.45345159504673871</v>
      </c>
      <c r="H27" s="507">
        <f>((1-'AC-CA IS-adj'!H$19)*'AC-CA IS-adj'!H$11)/('AC-CA BS-adj'!H$14+'AC-CA BS-adj'!H$15+'AC-CA BS-adj'!H$16)</f>
        <v>0.53024984449156265</v>
      </c>
      <c r="I27" s="507">
        <f>((1-'AC-CA IS-adj'!I$19)*'AC-CA IS-adj'!I$11)/('AC-CA BS-adj'!I$14+'AC-CA BS-adj'!I$15+'AC-CA BS-adj'!I$16)</f>
        <v>0.6442337415488314</v>
      </c>
      <c r="J27" s="507">
        <f>((1-'AC-CA IS-adj'!J$19)*'AC-CA IS-adj'!J$11)/('AC-CA BS-adj'!J$14+'AC-CA BS-adj'!J$15+'AC-CA BS-adj'!J$16)</f>
        <v>2.3441430009311253</v>
      </c>
      <c r="K27" s="507">
        <f>((1-'AC-CA IS-adj'!K$19)*'AC-CA IS-adj'!K$11)/('AC-CA BS-adj'!K$14+'AC-CA BS-adj'!K$15+'AC-CA BS-adj'!K$16)</f>
        <v>0.42605373104023031</v>
      </c>
      <c r="L27" s="1232"/>
    </row>
    <row r="28" spans="1:30" s="252" customFormat="1">
      <c r="A28" s="267"/>
      <c r="B28" s="294" t="s">
        <v>487</v>
      </c>
      <c r="C28" s="507">
        <f>((1-'AAL-US IS-adj'!C$19)*'AAL-US IS-adj'!C$11)/('AAL-US BS-adj'!C$14+'AAL-US BS-adj'!C$15+'AAL-US BS-adj'!C$16)</f>
        <v>-0.14163133874744366</v>
      </c>
      <c r="D28" s="507">
        <f>((1-'AAL-US IS-adj'!D$19)*'AAL-US IS-adj'!D$11)/('AAL-US BS-adj'!D$14+'AAL-US BS-adj'!D$15+'AAL-US BS-adj'!D$16)</f>
        <v>0.16275982029839089</v>
      </c>
      <c r="E28" s="507">
        <f>((1-'AAL-US IS-adj'!E$19)*'AAL-US IS-adj'!E$11)/('AAL-US BS-adj'!E$14+'AAL-US BS-adj'!E$15+'AAL-US BS-adj'!E$16)</f>
        <v>0.20033534160361763</v>
      </c>
      <c r="F28" s="507">
        <f>((1-'AAL-US IS-adj'!F$19)*'AAL-US IS-adj'!F$11)/('AAL-US BS-adj'!F$14+'AAL-US BS-adj'!F$15+'AAL-US BS-adj'!F$16)</f>
        <v>0.1104380210090276</v>
      </c>
      <c r="G28" s="507">
        <f>((1-'AAL-US IS-adj'!G$19)*'AAL-US IS-adj'!G$11)/('AAL-US BS-adj'!G$14+'AAL-US BS-adj'!G$15+'AAL-US BS-adj'!G$16)</f>
        <v>0.21389951243554969</v>
      </c>
      <c r="H28" s="507">
        <f>((1-'AAL-US IS-adj'!H$19)*'AAL-US IS-adj'!H$11)/('AAL-US BS-adj'!H$14+'AAL-US BS-adj'!H$15+'AAL-US BS-adj'!H$16)</f>
        <v>0.68568108107259995</v>
      </c>
      <c r="I28" s="507">
        <f>((1-'AAL-US IS-adj'!I$19)*'AAL-US IS-adj'!I$11)/('AAL-US BS-adj'!I$14+'AAL-US BS-adj'!I$15+'AAL-US BS-adj'!I$16)</f>
        <v>0.34200224227588016</v>
      </c>
      <c r="J28" s="507">
        <f>((1-'AAL-US IS-adj'!J$19)*'AAL-US IS-adj'!J$11)/('AAL-US BS-adj'!J$14+'AAL-US BS-adj'!J$15+'AAL-US BS-adj'!J$16)</f>
        <v>0.20222246390653595</v>
      </c>
      <c r="K28" s="507">
        <f>((1-'AAL-US IS-adj'!K$19)*'AAL-US IS-adj'!K$11)/('AAL-US BS-adj'!K$14+'AAL-US BS-adj'!K$15+'AAL-US BS-adj'!K$16)</f>
        <v>0.1627347993527706</v>
      </c>
      <c r="L28" s="1233"/>
    </row>
    <row r="29" spans="1:30" s="252" customFormat="1">
      <c r="A29" s="267"/>
      <c r="B29" s="294" t="s">
        <v>488</v>
      </c>
      <c r="C29" s="507">
        <f>((1-'ALK-US IS-adj'!C$19)*'ALK-US IS-adj'!C$11)/('ALK-US BS-adj'!C$14+'ALK-US BS-adj'!C$15+'ALK-US BS-adj'!C$16)</f>
        <v>-0.10727060712068207</v>
      </c>
      <c r="D29" s="507">
        <f>((1-'ALK-US IS-adj'!D$19)*'ALK-US IS-adj'!D$11)/('ALK-US BS-adj'!D$14+'ALK-US BS-adj'!D$15+'ALK-US BS-adj'!D$16)</f>
        <v>0.1874086290201781</v>
      </c>
      <c r="E29" s="507">
        <f>((1-'ALK-US IS-adj'!E$19)*'ALK-US IS-adj'!E$11)/('ALK-US BS-adj'!E$14+'ALK-US BS-adj'!E$15+'ALK-US BS-adj'!E$16)</f>
        <v>0.11632317527276566</v>
      </c>
      <c r="F29" s="507">
        <f>((1-'ALK-US IS-adj'!F$19)*'ALK-US IS-adj'!F$11)/('ALK-US BS-adj'!F$14+'ALK-US BS-adj'!F$15+'ALK-US BS-adj'!F$16)</f>
        <v>0.42670370076310793</v>
      </c>
      <c r="G29" s="507">
        <f>((1-'ALK-US IS-adj'!G$19)*'ALK-US IS-adj'!G$11)/('ALK-US BS-adj'!G$14+'ALK-US BS-adj'!G$15+'ALK-US BS-adj'!G$16)</f>
        <v>0.32604048722663281</v>
      </c>
      <c r="H29" s="507">
        <f>((1-'ALK-US IS-adj'!H$19)*'ALK-US IS-adj'!H$11)/('ALK-US BS-adj'!H$14+'ALK-US BS-adj'!H$15+'ALK-US BS-adj'!H$16)</f>
        <v>0.41393209532354847</v>
      </c>
      <c r="I29" s="507">
        <f>((1-'ALK-US IS-adj'!I$19)*'ALK-US IS-adj'!I$11)/('ALK-US BS-adj'!I$14+'ALK-US BS-adj'!I$15+'ALK-US BS-adj'!I$16)</f>
        <v>0.44533865896934549</v>
      </c>
      <c r="J29" s="507">
        <f>((1-'ALK-US IS-adj'!J$19)*'ALK-US IS-adj'!J$11)/('ALK-US BS-adj'!J$14+'ALK-US BS-adj'!J$15+'ALK-US BS-adj'!J$16)</f>
        <v>0.28065322789508024</v>
      </c>
      <c r="K29" s="507">
        <f>((1-'ALK-US IS-adj'!K$19)*'ALK-US IS-adj'!K$11)/('ALK-US BS-adj'!K$14+'ALK-US BS-adj'!K$15+'ALK-US BS-adj'!K$16)</f>
        <v>0.29497300414549504</v>
      </c>
      <c r="L29" s="1233"/>
    </row>
    <row r="30" spans="1:30" s="253" customFormat="1">
      <c r="A30" s="267"/>
      <c r="B30" s="294" t="s">
        <v>489</v>
      </c>
      <c r="C30" s="507">
        <f>((1-'LUV-US IS-adj'!C$19)*'LUV-US IS-adj'!C$11)/('LUV-US BS-adj'!C$14+'LUV-US BS-adj'!C$15+'LUV-US BS-adj'!C$16)</f>
        <v>-0.18526610521896342</v>
      </c>
      <c r="D30" s="507">
        <f>((1-'LUV-US IS-adj'!D$19)*'LUV-US IS-adj'!D$11)/('LUV-US BS-adj'!D$14+'LUV-US BS-adj'!D$15+'LUV-US BS-adj'!D$16)</f>
        <v>0.1197098661696871</v>
      </c>
      <c r="E30" s="507">
        <f>((1-'LUV-US IS-adj'!E$19)*'LUV-US IS-adj'!E$11)/('LUV-US BS-adj'!E$14+'LUV-US BS-adj'!E$15+'LUV-US BS-adj'!E$16)</f>
        <v>0.12481486817043205</v>
      </c>
      <c r="F30" s="507">
        <f>((1-'LUV-US IS-adj'!F$19)*'LUV-US IS-adj'!F$11)/('LUV-US BS-adj'!F$14+'LUV-US BS-adj'!F$15+'LUV-US BS-adj'!F$16)</f>
        <v>0.33631083204076495</v>
      </c>
      <c r="G30" s="507">
        <f>((1-'LUV-US IS-adj'!G$19)*'LUV-US IS-adj'!G$11)/('LUV-US BS-adj'!G$14+'LUV-US BS-adj'!G$15+'LUV-US BS-adj'!G$16)</f>
        <v>0.17414001335773888</v>
      </c>
      <c r="H30" s="507">
        <f>((1-'LUV-US IS-adj'!H$19)*'LUV-US IS-adj'!H$11)/('LUV-US BS-adj'!H$14+'LUV-US BS-adj'!H$15+'LUV-US BS-adj'!H$16)</f>
        <v>0.2447157483361827</v>
      </c>
      <c r="I30" s="507">
        <f>((1-'LUV-US IS-adj'!I$19)*'LUV-US IS-adj'!I$11)/('LUV-US BS-adj'!I$14+'LUV-US BS-adj'!I$15+'LUV-US BS-adj'!I$16)</f>
        <v>0.17317595499110186</v>
      </c>
      <c r="J30" s="507">
        <f>((1-'LUV-US IS-adj'!J$19)*'LUV-US IS-adj'!J$11)/('LUV-US BS-adj'!J$14+'LUV-US BS-adj'!J$15+'LUV-US BS-adj'!J$16)</f>
        <v>8.7160817481535147E-2</v>
      </c>
      <c r="K30" s="507">
        <f>((1-'LUV-US IS-adj'!K$19)*'LUV-US IS-adj'!K$11)/('LUV-US BS-adj'!K$14+'LUV-US BS-adj'!K$15+'LUV-US BS-adj'!K$16)</f>
        <v>8.1546467321777436E-2</v>
      </c>
      <c r="L30" s="1226"/>
    </row>
    <row r="31" spans="1:30" s="253" customFormat="1">
      <c r="A31" s="269"/>
      <c r="B31" s="1209" t="s">
        <v>490</v>
      </c>
      <c r="C31" s="512">
        <f>((1-'skyw-US IS-adj'!C$19)*'skyw-US IS-adj'!C$11)/('skyw-US BS-adj'!C$14+'skyw-US BS-adj'!C$15+'skyw-US BS-adj'!C$16)</f>
        <v>-4.79932365859876E-2</v>
      </c>
      <c r="D31" s="512">
        <f>((1-'skyw-US IS-adj'!D$19)*'skyw-US IS-adj'!D$11)/('skyw-US BS-adj'!D$14+'skyw-US BS-adj'!D$15+'skyw-US BS-adj'!D$16)</f>
        <v>8.1311150658646011E-2</v>
      </c>
      <c r="E31" s="512">
        <f>((1-'skyw-US IS-adj'!E$19)*'skyw-US IS-adj'!E$11)/('skyw-US BS-adj'!E$14+'skyw-US BS-adj'!E$15+'skyw-US BS-adj'!E$16)</f>
        <v>7.9142976621383809E-2</v>
      </c>
      <c r="F31" s="512">
        <f>((1-'skyw-US IS-adj'!F$19)*'skyw-US IS-adj'!F$11)/('skyw-US BS-adj'!F$14+'skyw-US BS-adj'!F$15+'skyw-US BS-adj'!F$16)</f>
        <v>1.0274142421415013</v>
      </c>
      <c r="G31" s="512">
        <f>((1-'skyw-US IS-adj'!G$19)*'skyw-US IS-adj'!G$11)/('skyw-US BS-adj'!G$14+'skyw-US BS-adj'!G$15+'skyw-US BS-adj'!G$16)</f>
        <v>0.46608973516289909</v>
      </c>
      <c r="H31" s="512">
        <f>((1-'skyw-US IS-adj'!H$19)*'skyw-US IS-adj'!H$11)/('skyw-US BS-adj'!H$14+'skyw-US BS-adj'!H$15+'skyw-US BS-adj'!H$16)</f>
        <v>0.4950770231224555</v>
      </c>
      <c r="I31" s="512">
        <f>((1-'skyw-US IS-adj'!I$19)*'skyw-US IS-adj'!I$11)/('skyw-US BS-adj'!I$14+'skyw-US BS-adj'!I$15+'skyw-US BS-adj'!I$16)</f>
        <v>0.89175429382435734</v>
      </c>
      <c r="J31" s="512">
        <f>((1-'skyw-US IS-adj'!J$19)*'skyw-US IS-adj'!J$11)/('skyw-US BS-adj'!J$14+'skyw-US BS-adj'!J$15+'skyw-US BS-adj'!J$16)</f>
        <v>0.16631508603119055</v>
      </c>
      <c r="K31" s="512">
        <f>((1-'skyw-US IS-adj'!K$19)*'skyw-US IS-adj'!K$11)/('skyw-US BS-adj'!K$14+'skyw-US BS-adj'!K$15+'skyw-US BS-adj'!K$16)</f>
        <v>0.37089595555440319</v>
      </c>
      <c r="L31" s="1226"/>
    </row>
    <row r="32" spans="1:30" s="253" customFormat="1" ht="12.75">
      <c r="A32" s="271"/>
      <c r="B32" s="272" t="s">
        <v>124</v>
      </c>
      <c r="C32" s="1210">
        <f>MEDIAN(C27:C31)</f>
        <v>-0.14163133874744366</v>
      </c>
      <c r="D32" s="1210">
        <f t="shared" ref="D32" si="9">MEDIAN(D27:D31)</f>
        <v>0.16176408363998326</v>
      </c>
      <c r="E32" s="1210">
        <f t="shared" ref="E32" si="10">MEDIAN(E27:E31)</f>
        <v>0.11632317527276566</v>
      </c>
      <c r="F32" s="1210">
        <f t="shared" ref="F32" si="11">MEDIAN(F27:F31)</f>
        <v>0.42670370076310793</v>
      </c>
      <c r="G32" s="1210">
        <f t="shared" ref="G32" si="12">MEDIAN(G27:G31)</f>
        <v>0.32604048722663281</v>
      </c>
      <c r="H32" s="1210">
        <f t="shared" ref="H32" si="13">MEDIAN(H27:H31)</f>
        <v>0.4950770231224555</v>
      </c>
      <c r="I32" s="1210">
        <f t="shared" ref="I32" si="14">MEDIAN(I27:I31)</f>
        <v>0.44533865896934549</v>
      </c>
      <c r="J32" s="1210">
        <f t="shared" ref="J32" si="15">MEDIAN(J27:J31)</f>
        <v>0.20222246390653595</v>
      </c>
      <c r="K32" s="1210">
        <f t="shared" ref="K32" si="16">MEDIAN(K27:K31)</f>
        <v>0.29497300414549504</v>
      </c>
      <c r="L32" s="1226"/>
    </row>
    <row r="33" spans="1:12" s="253" customFormat="1" ht="12.75">
      <c r="A33" s="271"/>
      <c r="B33" s="272"/>
      <c r="C33" s="272"/>
      <c r="D33" s="272"/>
      <c r="E33" s="272"/>
      <c r="F33" s="272"/>
      <c r="G33" s="272"/>
      <c r="H33" s="272"/>
      <c r="I33" s="272"/>
      <c r="J33" s="272"/>
      <c r="K33" s="272"/>
      <c r="L33" s="1226"/>
    </row>
    <row r="34" spans="1:12" s="253" customFormat="1" ht="12.75">
      <c r="A34" s="265" t="s">
        <v>493</v>
      </c>
      <c r="B34" s="1208"/>
      <c r="C34" s="266"/>
      <c r="D34" s="266"/>
      <c r="E34" s="266"/>
      <c r="F34" s="266"/>
      <c r="G34" s="266"/>
      <c r="H34" s="266"/>
      <c r="I34" s="266"/>
      <c r="J34" s="266"/>
      <c r="K34" s="266"/>
      <c r="L34" s="1226"/>
    </row>
    <row r="35" spans="1:12" s="253" customFormat="1">
      <c r="A35" s="3" t="s">
        <v>494</v>
      </c>
      <c r="B35" s="3" t="s">
        <v>2</v>
      </c>
      <c r="C35" s="1211">
        <f>'DAL-US BS-adj'!C$13/'DAL-US BS-adj'!C$27</f>
        <v>1.0927356062033027</v>
      </c>
      <c r="D35" s="1211">
        <f>'DAL-US BS-adj'!D$13/'DAL-US BS-adj'!D$27</f>
        <v>0.40828548802217385</v>
      </c>
      <c r="E35" s="1211">
        <f>'DAL-US BS-adj'!E$13/'DAL-US BS-adj'!E$27</f>
        <v>0.34126386048013779</v>
      </c>
      <c r="F35" s="1211">
        <f>'DAL-US BS-adj'!F$13/'DAL-US BS-adj'!F$27</f>
        <v>0.42233349485812738</v>
      </c>
      <c r="G35" s="1211">
        <f>'DAL-US BS-adj'!G$13/'DAL-US BS-adj'!G$27</f>
        <v>0.48894284401863636</v>
      </c>
      <c r="H35" s="1211">
        <f>'DAL-US BS-adj'!H$13/'DAL-US BS-adj'!H$27</f>
        <v>0.51671801894328417</v>
      </c>
      <c r="I35" s="1211">
        <f>'DAL-US BS-adj'!I$13/'DAL-US BS-adj'!I$27</f>
        <v>0.7384916168019432</v>
      </c>
      <c r="J35" s="1211">
        <f>'DAL-US BS-adj'!J$13/'DAL-US BS-adj'!J$27</f>
        <v>0.68195308083663086</v>
      </c>
      <c r="K35" s="1211">
        <f>'DAL-US BS-adj'!K$13/'DAL-US BS-adj'!K$27</f>
        <v>0.62336096458176338</v>
      </c>
      <c r="L35" s="1226"/>
    </row>
    <row r="36" spans="1:12" s="252" customFormat="1">
      <c r="A36" s="267"/>
      <c r="B36" s="294" t="s">
        <v>486</v>
      </c>
      <c r="C36" s="1211">
        <f>'AC-CA BS-adj'!C$13/'AC-CA BS-adj'!C$27</f>
        <v>0.96668810289389062</v>
      </c>
      <c r="D36" s="1211">
        <f>'AC-CA BS-adj'!D$13/'AC-CA BS-adj'!D$27</f>
        <v>1.1101127554615926</v>
      </c>
      <c r="E36" s="1211">
        <f>'AC-CA BS-adj'!E$13/'AC-CA BS-adj'!E$27</f>
        <v>1.0580278376788865</v>
      </c>
      <c r="F36" s="1211">
        <f>'AC-CA BS-adj'!F$13/'AC-CA BS-adj'!F$27</f>
        <v>0.98259493670886078</v>
      </c>
      <c r="G36" s="1211">
        <f>'AC-CA BS-adj'!G$13/'AC-CA BS-adj'!G$27</f>
        <v>1.0773047793157482</v>
      </c>
      <c r="H36" s="1211">
        <f>'AC-CA BS-adj'!H$13/'AC-CA BS-adj'!H$27</f>
        <v>0.9833191970596552</v>
      </c>
      <c r="I36" s="1211">
        <f>'AC-CA BS-adj'!I$13/'AC-CA BS-adj'!I$27</f>
        <v>1.0307210031347962</v>
      </c>
      <c r="J36" s="1211">
        <f>'AC-CA BS-adj'!J$13/'AC-CA BS-adj'!J$27</f>
        <v>0.92083461184412396</v>
      </c>
      <c r="K36" s="1211">
        <f>'AC-CA BS-adj'!K$13/'AC-CA BS-adj'!K$27</f>
        <v>1.055185537583254</v>
      </c>
      <c r="L36" s="1233"/>
    </row>
    <row r="37" spans="1:12" s="252" customFormat="1">
      <c r="A37" s="267"/>
      <c r="B37" s="294" t="s">
        <v>487</v>
      </c>
      <c r="C37" s="1211">
        <f>'AAL-US BS-adj'!C$13/'AAL-US BS-adj'!C$27</f>
        <v>0.44814592321555347</v>
      </c>
      <c r="D37" s="1211">
        <f>'AAL-US BS-adj'!D$13/'AAL-US BS-adj'!D$27</f>
        <v>0.47728779840848806</v>
      </c>
      <c r="E37" s="1211">
        <f>'AAL-US BS-adj'!E$13/'AAL-US BS-adj'!E$27</f>
        <v>0.59552025003255638</v>
      </c>
      <c r="F37" s="1211">
        <f>'AAL-US BS-adj'!F$13/'AAL-US BS-adj'!F$27</f>
        <v>0.74423298731257204</v>
      </c>
      <c r="G37" s="1211">
        <f>'AAL-US BS-adj'!G$13/'AAL-US BS-adj'!G$27</f>
        <v>0.7339213524439544</v>
      </c>
      <c r="H37" s="1211">
        <f>'AAL-US BS-adj'!H$13/'AAL-US BS-adj'!H$27</f>
        <v>0.87660399880632645</v>
      </c>
      <c r="I37" s="1211">
        <f>'AAL-US BS-adj'!I$13/'AAL-US BS-adj'!I$27</f>
        <v>1.0374474866000292</v>
      </c>
      <c r="J37" s="1211">
        <f>'AAL-US BS-adj'!J$13/'AAL-US BS-adj'!J$27</f>
        <v>0.76010318142734301</v>
      </c>
      <c r="K37" s="1211">
        <f>'AAL-US BS-adj'!K$13/'AAL-US BS-adj'!K$27</f>
        <v>0.78296639629200449</v>
      </c>
      <c r="L37" s="1233"/>
    </row>
    <row r="38" spans="1:12" s="252" customFormat="1">
      <c r="A38" s="267"/>
      <c r="B38" s="294" t="s">
        <v>488</v>
      </c>
      <c r="C38" s="1211">
        <f>'ALK-US BS-adj'!C$13/'ALK-US BS-adj'!C$27</f>
        <v>0.63636363636363635</v>
      </c>
      <c r="D38" s="1211">
        <f>'ALK-US BS-adj'!D$13/'ALK-US BS-adj'!D$27</f>
        <v>0.60740992522093806</v>
      </c>
      <c r="E38" s="1211">
        <f>'ALK-US BS-adj'!E$13/'ALK-US BS-adj'!E$27</f>
        <v>0.80119136262099788</v>
      </c>
      <c r="F38" s="1211">
        <f>'ALK-US BS-adj'!F$13/'ALK-US BS-adj'!F$27</f>
        <v>0.8086785009861932</v>
      </c>
      <c r="G38" s="1211">
        <f>'ALK-US BS-adj'!G$13/'ALK-US BS-adj'!G$27</f>
        <v>0.92132963988919669</v>
      </c>
      <c r="H38" s="1211">
        <f>'ALK-US BS-adj'!H$13/'ALK-US BS-adj'!H$27</f>
        <v>1.0508677438659486</v>
      </c>
      <c r="I38" s="1211">
        <f>'ALK-US BS-adj'!I$13/'ALK-US BS-adj'!I$27</f>
        <v>1.1151898734177215</v>
      </c>
      <c r="J38" s="1211">
        <f>'ALK-US BS-adj'!J$13/'ALK-US BS-adj'!J$27</f>
        <v>1.1572285143237844</v>
      </c>
      <c r="K38" s="1211">
        <f>'ALK-US BS-adj'!K$13/'ALK-US BS-adj'!K$27</f>
        <v>1.05690249072602</v>
      </c>
      <c r="L38" s="1233"/>
    </row>
    <row r="39" spans="1:12" s="252" customFormat="1">
      <c r="A39" s="267"/>
      <c r="B39" s="294" t="s">
        <v>489</v>
      </c>
      <c r="C39" s="1211">
        <f>'LUV-US BS-adj'!C$13/'LUV-US BS-adj'!C$27</f>
        <v>0.66733690795352996</v>
      </c>
      <c r="D39" s="1211">
        <f>'LUV-US BS-adj'!D$13/'LUV-US BS-adj'!D$27</f>
        <v>0.63605313092979121</v>
      </c>
      <c r="E39" s="1211">
        <f>'LUV-US BS-adj'!E$13/'LUV-US BS-adj'!E$27</f>
        <v>0.70158822672300747</v>
      </c>
      <c r="F39" s="1211">
        <f>'LUV-US BS-adj'!F$13/'LUV-US BS-adj'!F$27</f>
        <v>0.65721800116890705</v>
      </c>
      <c r="G39" s="1211">
        <f>'LUV-US BS-adj'!G$13/'LUV-US BS-adj'!G$27</f>
        <v>0.54334323521469086</v>
      </c>
      <c r="H39" s="1211">
        <f>'LUV-US BS-adj'!H$13/'LUV-US BS-adj'!H$27</f>
        <v>0.74354212392368735</v>
      </c>
      <c r="I39" s="1211">
        <f>'LUV-US BS-adj'!I$13/'LUV-US BS-adj'!I$27</f>
        <v>0.78505990133897119</v>
      </c>
      <c r="J39" s="1211">
        <f>'LUV-US BS-adj'!J$13/'LUV-US BS-adj'!J$27</f>
        <v>0.90903225806451615</v>
      </c>
      <c r="K39" s="1211">
        <f>'LUV-US BS-adj'!K$13/'LUV-US BS-adj'!K$27</f>
        <v>0.95852636223251697</v>
      </c>
      <c r="L39" s="1233"/>
    </row>
    <row r="40" spans="1:12" s="252" customFormat="1">
      <c r="A40" s="269"/>
      <c r="B40" s="1209" t="s">
        <v>490</v>
      </c>
      <c r="C40" s="1212">
        <f>'skyw-US BS-adj'!C$13/'skyw-US BS-adj'!C$27</f>
        <v>0.82228369720853567</v>
      </c>
      <c r="D40" s="1212">
        <f>'skyw-US BS-adj'!D$13/'skyw-US BS-adj'!D$27</f>
        <v>1.1037687089247057</v>
      </c>
      <c r="E40" s="1212">
        <f>'skyw-US BS-adj'!E$13/'skyw-US BS-adj'!E$27</f>
        <v>1.2123570797673073</v>
      </c>
      <c r="F40" s="1212">
        <f>'skyw-US BS-adj'!F$13/'skyw-US BS-adj'!F$27</f>
        <v>1.228201508166447</v>
      </c>
      <c r="G40" s="1212">
        <f>'skyw-US BS-adj'!G$13/'skyw-US BS-adj'!G$27</f>
        <v>1.360340415974846</v>
      </c>
      <c r="H40" s="1212">
        <f>'skyw-US BS-adj'!H$13/'skyw-US BS-adj'!H$27</f>
        <v>1.8864522068224823</v>
      </c>
      <c r="I40" s="1212">
        <f>'skyw-US BS-adj'!I$13/'skyw-US BS-adj'!I$27</f>
        <v>2.3602287965135766</v>
      </c>
      <c r="J40" s="1212">
        <f>'skyw-US BS-adj'!J$13/'skyw-US BS-adj'!J$27</f>
        <v>2.341869214186076</v>
      </c>
      <c r="K40" s="1212">
        <f>'skyw-US BS-adj'!K$13/'skyw-US BS-adj'!K$27</f>
        <v>2.0515390580439252</v>
      </c>
      <c r="L40" s="1233"/>
    </row>
    <row r="41" spans="1:12" s="252" customFormat="1" ht="12.75">
      <c r="A41" s="271"/>
      <c r="B41" s="272" t="s">
        <v>124</v>
      </c>
      <c r="C41" s="1213">
        <f>MEDIAN(C36:C40)</f>
        <v>0.66733690795352996</v>
      </c>
      <c r="D41" s="1213">
        <f t="shared" ref="D41" si="17">MEDIAN(D36:D40)</f>
        <v>0.63605313092979121</v>
      </c>
      <c r="E41" s="1213">
        <f t="shared" ref="E41" si="18">MEDIAN(E36:E40)</f>
        <v>0.80119136262099788</v>
      </c>
      <c r="F41" s="1213">
        <f t="shared" ref="F41" si="19">MEDIAN(F36:F40)</f>
        <v>0.8086785009861932</v>
      </c>
      <c r="G41" s="1213">
        <f t="shared" ref="G41" si="20">MEDIAN(G36:G40)</f>
        <v>0.92132963988919669</v>
      </c>
      <c r="H41" s="1213">
        <f t="shared" ref="H41" si="21">MEDIAN(H36:H40)</f>
        <v>0.9833191970596552</v>
      </c>
      <c r="I41" s="1213">
        <f t="shared" ref="I41" si="22">MEDIAN(I36:I40)</f>
        <v>1.0374474866000292</v>
      </c>
      <c r="J41" s="1213">
        <f t="shared" ref="J41" si="23">MEDIAN(J36:J40)</f>
        <v>0.92083461184412396</v>
      </c>
      <c r="K41" s="1213">
        <f t="shared" ref="K41" si="24">MEDIAN(K36:K40)</f>
        <v>1.055185537583254</v>
      </c>
      <c r="L41" s="1233"/>
    </row>
    <row r="42" spans="1:12" s="252" customFormat="1" ht="12.75">
      <c r="A42" s="267"/>
      <c r="B42" s="294"/>
      <c r="C42" s="268"/>
      <c r="D42" s="268"/>
      <c r="E42" s="268"/>
      <c r="F42" s="268"/>
      <c r="G42" s="268"/>
      <c r="H42" s="268"/>
      <c r="I42" s="268"/>
      <c r="J42" s="268"/>
      <c r="K42" s="268"/>
      <c r="L42" s="1233"/>
    </row>
    <row r="43" spans="1:12" s="252" customFormat="1">
      <c r="A43" s="3" t="s">
        <v>495</v>
      </c>
      <c r="B43" s="3" t="s">
        <v>2</v>
      </c>
      <c r="C43" s="1211">
        <f>('DAL-US BS-adj'!C$9)/'DAL-US BS-adj'!C$27</f>
        <v>0.89709298675205629</v>
      </c>
      <c r="D43" s="1211">
        <f>('DAL-US BS-adj'!D$9)/'DAL-US BS-adj'!D$27</f>
        <v>0.15313799247673726</v>
      </c>
      <c r="E43" s="1211">
        <f>('DAL-US BS-adj'!E$9)/'DAL-US BS-adj'!E$27</f>
        <v>9.769619980622242E-2</v>
      </c>
      <c r="F43" s="1211">
        <f>('DAL-US BS-adj'!F$9)/'DAL-US BS-adj'!F$27</f>
        <v>0.14208797717116242</v>
      </c>
      <c r="G43" s="1211">
        <f>('DAL-US BS-adj'!G$9)/'DAL-US BS-adj'!G$27</f>
        <v>0.23899205984644659</v>
      </c>
      <c r="H43" s="1211">
        <f>('DAL-US BS-adj'!H$9)/'DAL-US BS-adj'!H$27</f>
        <v>0.30948305374871621</v>
      </c>
      <c r="I43" s="1211">
        <f>('DAL-US BS-adj'!I$9)/'DAL-US BS-adj'!I$27</f>
        <v>0.25967178150364356</v>
      </c>
      <c r="J43" s="1211">
        <f>('DAL-US BS-adj'!J$9)/'DAL-US BS-adj'!J$27</f>
        <v>0.27734595816845675</v>
      </c>
      <c r="K43" s="1211">
        <f>('DAL-US BS-adj'!K$9)/'DAL-US BS-adj'!K$27</f>
        <v>0.28251695553880934</v>
      </c>
      <c r="L43" s="1233"/>
    </row>
    <row r="44" spans="1:12" s="252" customFormat="1">
      <c r="A44" s="267"/>
      <c r="B44" s="294" t="s">
        <v>486</v>
      </c>
      <c r="C44" s="1211">
        <f>('AC-CA BS-adj'!C$9)/'AC-CA BS-adj'!C$27</f>
        <v>0.77762057877813506</v>
      </c>
      <c r="D44" s="1211">
        <f>('AC-CA BS-adj'!D$9)/'AC-CA BS-adj'!D$27</f>
        <v>0.85764622973925297</v>
      </c>
      <c r="E44" s="1211">
        <f>('AC-CA BS-adj'!E$9)/'AC-CA BS-adj'!E$27</f>
        <v>0.774750049009998</v>
      </c>
      <c r="F44" s="1211">
        <f>('AC-CA BS-adj'!F$9)/'AC-CA BS-adj'!F$27</f>
        <v>0.70185352622061481</v>
      </c>
      <c r="G44" s="1211">
        <f>('AC-CA BS-adj'!G$9)/'AC-CA BS-adj'!G$27</f>
        <v>0.72159832854531203</v>
      </c>
      <c r="H44" s="1211">
        <f>('AC-CA BS-adj'!H$9)/'AC-CA BS-adj'!H$27</f>
        <v>0.66836301950805765</v>
      </c>
      <c r="I44" s="1211">
        <f>('AC-CA BS-adj'!I$9)/'AC-CA BS-adj'!I$27</f>
        <v>0.72100313479623823</v>
      </c>
      <c r="J44" s="1211">
        <f>('AC-CA BS-adj'!J$9)/'AC-CA BS-adj'!J$27</f>
        <v>0.63485731819576563</v>
      </c>
      <c r="K44" s="1211">
        <f>('AC-CA BS-adj'!K$9)/'AC-CA BS-adj'!K$27</f>
        <v>0.69330796067237555</v>
      </c>
      <c r="L44" s="1233"/>
    </row>
    <row r="45" spans="1:12" s="252" customFormat="1">
      <c r="A45" s="267"/>
      <c r="B45" s="294" t="s">
        <v>487</v>
      </c>
      <c r="C45" s="1211">
        <f>('AAL-US BS-adj'!C$9)/'AAL-US BS-adj'!C$27</f>
        <v>0.21757413576538692</v>
      </c>
      <c r="D45" s="1211">
        <f>('AAL-US BS-adj'!D$9)/'AAL-US BS-adj'!D$27</f>
        <v>0.27155172413793099</v>
      </c>
      <c r="E45" s="1211">
        <f>('AAL-US BS-adj'!E$9)/'AAL-US BS-adj'!E$27</f>
        <v>0.35056648001041801</v>
      </c>
      <c r="F45" s="1211">
        <f>('AAL-US BS-adj'!F$9)/'AAL-US BS-adj'!F$27</f>
        <v>0.50439734717416373</v>
      </c>
      <c r="G45" s="1211">
        <f>('AAL-US BS-adj'!G$9)/'AAL-US BS-adj'!G$27</f>
        <v>0.51076809996324879</v>
      </c>
      <c r="H45" s="1211">
        <f>('AAL-US BS-adj'!H$9)/'AAL-US BS-adj'!H$27</f>
        <v>0.60258131900925094</v>
      </c>
      <c r="I45" s="1211">
        <f>('AAL-US BS-adj'!I$9)/'AAL-US BS-adj'!I$27</f>
        <v>0.74503838910618569</v>
      </c>
      <c r="J45" s="1211">
        <f>('AAL-US BS-adj'!J$9)/'AAL-US BS-adj'!J$27</f>
        <v>0.5166595012897679</v>
      </c>
      <c r="K45" s="1211">
        <f>('AAL-US BS-adj'!K$9)/'AAL-US BS-adj'!K$27</f>
        <v>0.54913093858632667</v>
      </c>
      <c r="L45" s="1233"/>
    </row>
    <row r="46" spans="1:12" s="252" customFormat="1">
      <c r="A46" s="267"/>
      <c r="B46" s="294" t="s">
        <v>488</v>
      </c>
      <c r="C46" s="1211">
        <f>('ALK-US BS-adj'!C$9)/'ALK-US BS-adj'!C$27</f>
        <v>0.47516401124648544</v>
      </c>
      <c r="D46" s="1211">
        <f>('ALK-US BS-adj'!D$9)/'ALK-US BS-adj'!D$27</f>
        <v>0.42012236573759343</v>
      </c>
      <c r="E46" s="1211">
        <f>('ALK-US BS-adj'!E$9)/'ALK-US BS-adj'!E$27</f>
        <v>0.60349962769918097</v>
      </c>
      <c r="F46" s="1211">
        <f>('ALK-US BS-adj'!F$9)/'ALK-US BS-adj'!F$27</f>
        <v>0.62327416173570016</v>
      </c>
      <c r="G46" s="1211">
        <f>('ALK-US BS-adj'!G$9)/'ALK-US BS-adj'!G$27</f>
        <v>0.73573407202216068</v>
      </c>
      <c r="H46" s="1211">
        <f>('ALK-US BS-adj'!H$9)/'ALK-US BS-adj'!H$27</f>
        <v>0.72830640335128671</v>
      </c>
      <c r="I46" s="1211">
        <f>('ALK-US BS-adj'!I$9)/'ALK-US BS-adj'!I$27</f>
        <v>0.84936708860759491</v>
      </c>
      <c r="J46" s="1211">
        <f>('ALK-US BS-adj'!J$9)/'ALK-US BS-adj'!J$27</f>
        <v>0.85143237841439046</v>
      </c>
      <c r="K46" s="1211">
        <f>('ALK-US BS-adj'!K$9)/'ALK-US BS-adj'!K$27</f>
        <v>0.78669846316905134</v>
      </c>
      <c r="L46" s="1233"/>
    </row>
    <row r="47" spans="1:12" s="252" customFormat="1">
      <c r="A47" s="267"/>
      <c r="B47" s="294" t="s">
        <v>489</v>
      </c>
      <c r="C47" s="1211">
        <f>('LUV-US BS-adj'!C$9)/'LUV-US BS-adj'!C$27</f>
        <v>0.45487042001787309</v>
      </c>
      <c r="D47" s="1211">
        <f>('LUV-US BS-adj'!D$9)/'LUV-US BS-adj'!D$27</f>
        <v>0.46666666666666667</v>
      </c>
      <c r="E47" s="1211">
        <f>('LUV-US BS-adj'!E$9)/'LUV-US BS-adj'!E$27</f>
        <v>0.47690514352324054</v>
      </c>
      <c r="F47" s="1211">
        <f>('LUV-US BS-adj'!F$9)/'LUV-US BS-adj'!F$27</f>
        <v>0.48290473407364115</v>
      </c>
      <c r="G47" s="1211">
        <f>('LUV-US BS-adj'!G$9)/'LUV-US BS-adj'!G$27</f>
        <v>0.41196327302187419</v>
      </c>
      <c r="H47" s="1211">
        <f>('LUV-US BS-adj'!H$9)/'LUV-US BS-adj'!H$27</f>
        <v>0.50447408407901406</v>
      </c>
      <c r="I47" s="1211">
        <f>('LUV-US BS-adj'!I$9)/'LUV-US BS-adj'!I$27</f>
        <v>0.55532064834390416</v>
      </c>
      <c r="J47" s="1211">
        <f>('LUV-US BS-adj'!J$9)/'LUV-US BS-adj'!J$27</f>
        <v>0.6387096774193548</v>
      </c>
      <c r="K47" s="1211">
        <f>('LUV-US BS-adj'!K$9)/'LUV-US BS-adj'!K$27</f>
        <v>0.69358041032428852</v>
      </c>
      <c r="L47" s="1233"/>
    </row>
    <row r="48" spans="1:12" s="252" customFormat="1">
      <c r="A48" s="269"/>
      <c r="B48" s="1209" t="s">
        <v>490</v>
      </c>
      <c r="C48" s="1212">
        <f>('skyw-US BS-adj'!C$9)/'skyw-US BS-adj'!C$27</f>
        <v>0.56254515095017055</v>
      </c>
      <c r="D48" s="1212">
        <f>('skyw-US BS-adj'!D$9)/'skyw-US BS-adj'!D$27</f>
        <v>0.74536074894088178</v>
      </c>
      <c r="E48" s="1212">
        <f>('skyw-US BS-adj'!E$9)/'skyw-US BS-adj'!E$27</f>
        <v>0.83488563335668375</v>
      </c>
      <c r="F48" s="1212">
        <f>('skyw-US BS-adj'!F$9)/'skyw-US BS-adj'!F$27</f>
        <v>0.75596608967367673</v>
      </c>
      <c r="G48" s="1212">
        <f>('skyw-US BS-adj'!G$9)/'skyw-US BS-adj'!G$27</f>
        <v>0.66564397494204752</v>
      </c>
      <c r="H48" s="1212">
        <f>('skyw-US BS-adj'!H$9)/'skyw-US BS-adj'!H$27</f>
        <v>0.81701748361595949</v>
      </c>
      <c r="I48" s="1212">
        <f>('skyw-US BS-adj'!I$9)/'skyw-US BS-adj'!I$27</f>
        <v>1.0799885247169858</v>
      </c>
      <c r="J48" s="1212">
        <f>('skyw-US BS-adj'!J$9)/'skyw-US BS-adj'!J$27</f>
        <v>1.199546857167012</v>
      </c>
      <c r="K48" s="1212">
        <f>('skyw-US BS-adj'!K$9)/'skyw-US BS-adj'!K$27</f>
        <v>1.0358312451533931</v>
      </c>
      <c r="L48" s="1233"/>
    </row>
    <row r="49" spans="1:12" s="252" customFormat="1" ht="12.75">
      <c r="A49" s="271"/>
      <c r="B49" s="272" t="s">
        <v>124</v>
      </c>
      <c r="C49" s="1213">
        <f>MEDIAN(C44:C48)</f>
        <v>0.47516401124648544</v>
      </c>
      <c r="D49" s="1213">
        <f t="shared" ref="D49" si="25">MEDIAN(D44:D48)</f>
        <v>0.46666666666666667</v>
      </c>
      <c r="E49" s="1213">
        <f t="shared" ref="E49" si="26">MEDIAN(E44:E48)</f>
        <v>0.60349962769918097</v>
      </c>
      <c r="F49" s="1213">
        <f t="shared" ref="F49" si="27">MEDIAN(F44:F48)</f>
        <v>0.62327416173570016</v>
      </c>
      <c r="G49" s="1213">
        <f t="shared" ref="G49" si="28">MEDIAN(G44:G48)</f>
        <v>0.66564397494204752</v>
      </c>
      <c r="H49" s="1213">
        <f t="shared" ref="H49" si="29">MEDIAN(H44:H48)</f>
        <v>0.66836301950805765</v>
      </c>
      <c r="I49" s="1213">
        <f t="shared" ref="I49" si="30">MEDIAN(I44:I48)</f>
        <v>0.74503838910618569</v>
      </c>
      <c r="J49" s="1213">
        <f t="shared" ref="J49" si="31">MEDIAN(J44:J48)</f>
        <v>0.6387096774193548</v>
      </c>
      <c r="K49" s="1213">
        <f t="shared" ref="K49" si="32">MEDIAN(K44:K48)</f>
        <v>0.69358041032428852</v>
      </c>
      <c r="L49" s="1233"/>
    </row>
    <row r="50" spans="1:12" s="252" customFormat="1" ht="12.75">
      <c r="A50" s="267"/>
      <c r="B50" s="294"/>
      <c r="C50" s="268"/>
      <c r="D50" s="268"/>
      <c r="E50" s="268"/>
      <c r="F50" s="268"/>
      <c r="G50" s="268"/>
      <c r="H50" s="268"/>
      <c r="I50" s="268"/>
      <c r="J50" s="268"/>
      <c r="K50" s="268"/>
      <c r="L50" s="1233"/>
    </row>
    <row r="51" spans="1:12" s="252" customFormat="1" ht="12.75">
      <c r="A51" s="265" t="s">
        <v>496</v>
      </c>
      <c r="B51" s="1208"/>
      <c r="C51" s="266"/>
      <c r="D51" s="266"/>
      <c r="E51" s="266"/>
      <c r="F51" s="266"/>
      <c r="G51" s="266"/>
      <c r="H51" s="266"/>
      <c r="I51" s="266"/>
      <c r="J51" s="266"/>
      <c r="K51" s="266"/>
      <c r="L51" s="1233" t="s">
        <v>497</v>
      </c>
    </row>
    <row r="52" spans="1:12" s="252" customFormat="1">
      <c r="A52" s="3" t="s">
        <v>498</v>
      </c>
      <c r="B52" s="3" t="s">
        <v>2</v>
      </c>
      <c r="C52" s="1211">
        <f>'DAL-US IS-adj'!C$14/('DAL-US IS-adj'!C$11-'DAL-US IS-adj'!C$12)</f>
        <v>0.71000000000000008</v>
      </c>
      <c r="D52" s="1211">
        <f>'DAL-US IS-adj'!D$14/('DAL-US IS-adj'!D$11-'DAL-US IS-adj'!D$12)</f>
        <v>0.71000000000000008</v>
      </c>
      <c r="E52" s="1211">
        <f>'DAL-US IS-adj'!E$14/('DAL-US IS-adj'!E$11-'DAL-US IS-adj'!E$12)</f>
        <v>0.71000000000000008</v>
      </c>
      <c r="F52" s="1211">
        <f>'DAL-US IS-adj'!F$14/('DAL-US IS-adj'!F$11-'DAL-US IS-adj'!F$12)</f>
        <v>0.71</v>
      </c>
      <c r="G52" s="1211">
        <f>'DAL-US IS-adj'!G$14/('DAL-US IS-adj'!G$11-'DAL-US IS-adj'!G$12)</f>
        <v>0.71</v>
      </c>
      <c r="H52" s="1211">
        <f>'DAL-US IS-adj'!H$14/('DAL-US IS-adj'!H$11-'DAL-US IS-adj'!H$12)</f>
        <v>0.71000000000000008</v>
      </c>
      <c r="I52" s="1211">
        <f>'DAL-US IS-adj'!I$14/('DAL-US IS-adj'!I$11-'DAL-US IS-adj'!I$12)</f>
        <v>0.71</v>
      </c>
      <c r="J52" s="1211">
        <f>'DAL-US IS-adj'!J$14/('DAL-US IS-adj'!J$11-'DAL-US IS-adj'!J$12)</f>
        <v>0.71</v>
      </c>
      <c r="K52" s="1211">
        <f>'DAL-US IS-adj'!K$14/('DAL-US IS-adj'!K$11-'DAL-US IS-adj'!K$12)</f>
        <v>0.71000000000000008</v>
      </c>
      <c r="L52" s="1234">
        <f>CORREL(C52:K52,C92:K92)</f>
        <v>-0.11275727099035808</v>
      </c>
    </row>
    <row r="53" spans="1:12" s="252" customFormat="1">
      <c r="A53" s="267"/>
      <c r="B53" s="294" t="s">
        <v>486</v>
      </c>
      <c r="C53" s="1211">
        <f>'AC-CA IS-adj'!C$14/('AC-CA IS-adj'!C$11-'AC-CA IS-adj'!C$12)</f>
        <v>0.72</v>
      </c>
      <c r="D53" s="1211">
        <f>'AC-CA IS-adj'!D$14/('AC-CA IS-adj'!D$11-'AC-CA IS-adj'!D$12)</f>
        <v>0.71999999999999986</v>
      </c>
      <c r="E53" s="1211">
        <f>'AC-CA IS-adj'!E$14/('AC-CA IS-adj'!E$11-'AC-CA IS-adj'!E$12)</f>
        <v>0.71999999999999986</v>
      </c>
      <c r="F53" s="1211">
        <f>'AC-CA IS-adj'!F$14/('AC-CA IS-adj'!F$11-'AC-CA IS-adj'!F$12)</f>
        <v>0.72</v>
      </c>
      <c r="G53" s="1211">
        <f>'AC-CA IS-adj'!G$14/('AC-CA IS-adj'!G$11-'AC-CA IS-adj'!G$12)</f>
        <v>0.72</v>
      </c>
      <c r="H53" s="1211">
        <f>'AC-CA IS-adj'!H$14/('AC-CA IS-adj'!H$11-'AC-CA IS-adj'!H$12)</f>
        <v>0.72</v>
      </c>
      <c r="I53" s="1211">
        <f>'AC-CA IS-adj'!I$14/('AC-CA IS-adj'!I$11-'AC-CA IS-adj'!I$12)</f>
        <v>0.72000000000000008</v>
      </c>
      <c r="J53" s="1211">
        <f>'AC-CA IS-adj'!J$14/('AC-CA IS-adj'!J$11-'AC-CA IS-adj'!J$12)</f>
        <v>0.71999999999999986</v>
      </c>
      <c r="K53" s="1211">
        <f>'AC-CA IS-adj'!K$14/('AC-CA IS-adj'!K$11-'AC-CA IS-adj'!K$12)</f>
        <v>0.72000000000000008</v>
      </c>
      <c r="L53" s="1234">
        <f t="shared" ref="L53:L57" si="33">CORREL(C53:K53,C93:K93)</f>
        <v>0.30588310418024878</v>
      </c>
    </row>
    <row r="54" spans="1:12" s="279" customFormat="1">
      <c r="A54" s="267"/>
      <c r="B54" s="294" t="s">
        <v>487</v>
      </c>
      <c r="C54" s="1211">
        <f>'AAL-US IS-adj'!C$14/('AAL-US IS-adj'!C$11-'AAL-US IS-adj'!C$12)</f>
        <v>0.72</v>
      </c>
      <c r="D54" s="1211">
        <f>'AAL-US IS-adj'!D$14/('AAL-US IS-adj'!D$11-'AAL-US IS-adj'!D$12)</f>
        <v>0.71999999999999986</v>
      </c>
      <c r="E54" s="1211">
        <f>'AAL-US IS-adj'!E$14/('AAL-US IS-adj'!E$11-'AAL-US IS-adj'!E$12)</f>
        <v>0.72000000000000008</v>
      </c>
      <c r="F54" s="1211">
        <f>'AAL-US IS-adj'!F$14/('AAL-US IS-adj'!F$11-'AAL-US IS-adj'!F$12)</f>
        <v>0.72</v>
      </c>
      <c r="G54" s="1211">
        <f>'AAL-US IS-adj'!G$14/('AAL-US IS-adj'!G$11-'AAL-US IS-adj'!G$12)</f>
        <v>0.72</v>
      </c>
      <c r="H54" s="1211">
        <f>'AAL-US IS-adj'!H$14/('AAL-US IS-adj'!H$11-'AAL-US IS-adj'!H$12)</f>
        <v>0.71999999999999986</v>
      </c>
      <c r="I54" s="1211">
        <f>'AAL-US IS-adj'!I$14/('AAL-US IS-adj'!I$11-'AAL-US IS-adj'!I$12)</f>
        <v>0.72</v>
      </c>
      <c r="J54" s="1211">
        <f>'AAL-US IS-adj'!J$14/('AAL-US IS-adj'!J$11-'AAL-US IS-adj'!J$12)</f>
        <v>0.72</v>
      </c>
      <c r="K54" s="1211">
        <f>'AAL-US IS-adj'!K$14/('AAL-US IS-adj'!K$11-'AAL-US IS-adj'!K$12)</f>
        <v>0.71999999999999986</v>
      </c>
      <c r="L54" s="1234">
        <f t="shared" si="33"/>
        <v>-0.10087338508903872</v>
      </c>
    </row>
    <row r="55" spans="1:12" s="279" customFormat="1">
      <c r="A55" s="267"/>
      <c r="B55" s="294" t="s">
        <v>488</v>
      </c>
      <c r="C55" s="1211">
        <f>'ALK-US IS-adj'!C$14/('ALK-US IS-adj'!C$11-'ALK-US IS-adj'!C$12)</f>
        <v>0.73</v>
      </c>
      <c r="D55" s="1211">
        <f>'ALK-US IS-adj'!D$14/('ALK-US IS-adj'!D$11-'ALK-US IS-adj'!D$12)</f>
        <v>0.73</v>
      </c>
      <c r="E55" s="1211">
        <f>'ALK-US IS-adj'!E$14/('ALK-US IS-adj'!E$11-'ALK-US IS-adj'!E$12)</f>
        <v>0.73</v>
      </c>
      <c r="F55" s="1211">
        <f>'ALK-US IS-adj'!F$14/('ALK-US IS-adj'!F$11-'ALK-US IS-adj'!F$12)</f>
        <v>0.73</v>
      </c>
      <c r="G55" s="1211">
        <f>'ALK-US IS-adj'!G$14/('ALK-US IS-adj'!G$11-'ALK-US IS-adj'!G$12)</f>
        <v>0.73</v>
      </c>
      <c r="H55" s="1211">
        <f>'ALK-US IS-adj'!H$14/('ALK-US IS-adj'!H$11-'ALK-US IS-adj'!H$12)</f>
        <v>0.73</v>
      </c>
      <c r="I55" s="1211">
        <f>'ALK-US IS-adj'!I$14/('ALK-US IS-adj'!I$11-'ALK-US IS-adj'!I$12)</f>
        <v>0.73</v>
      </c>
      <c r="J55" s="1211">
        <f>'ALK-US IS-adj'!J$14/('ALK-US IS-adj'!J$11-'ALK-US IS-adj'!J$12)</f>
        <v>0.73</v>
      </c>
      <c r="K55" s="1211">
        <f>'ALK-US IS-adj'!K$14/('ALK-US IS-adj'!K$11-'ALK-US IS-adj'!K$12)</f>
        <v>0.73</v>
      </c>
      <c r="L55" s="1234"/>
    </row>
    <row r="56" spans="1:12" s="252" customFormat="1">
      <c r="A56" s="267"/>
      <c r="B56" s="294" t="s">
        <v>489</v>
      </c>
      <c r="C56" s="1211">
        <f>'LUV-US IS-adj'!C$14/('LUV-US IS-adj'!C$11-'LUV-US IS-adj'!C$12)</f>
        <v>0.73</v>
      </c>
      <c r="D56" s="1211">
        <f>'LUV-US IS-adj'!D$14/('LUV-US IS-adj'!D$11-'LUV-US IS-adj'!D$12)</f>
        <v>0.73</v>
      </c>
      <c r="E56" s="1211">
        <f>'LUV-US IS-adj'!E$14/('LUV-US IS-adj'!E$11-'LUV-US IS-adj'!E$12)</f>
        <v>0.73</v>
      </c>
      <c r="F56" s="1211">
        <f>'LUV-US IS-adj'!F$14/('LUV-US IS-adj'!F$11-'LUV-US IS-adj'!F$12)</f>
        <v>0.73000000000000009</v>
      </c>
      <c r="G56" s="1211">
        <f>'LUV-US IS-adj'!G$14/('LUV-US IS-adj'!G$11-'LUV-US IS-adj'!G$12)</f>
        <v>0.73</v>
      </c>
      <c r="H56" s="1211">
        <f>'LUV-US IS-adj'!H$14/('LUV-US IS-adj'!H$11-'LUV-US IS-adj'!H$12)</f>
        <v>0.73</v>
      </c>
      <c r="I56" s="1211">
        <f>'LUV-US IS-adj'!I$14/('LUV-US IS-adj'!I$11-'LUV-US IS-adj'!I$12)</f>
        <v>0.73</v>
      </c>
      <c r="J56" s="1211">
        <f>'LUV-US IS-adj'!J$14/('LUV-US IS-adj'!J$11-'LUV-US IS-adj'!J$12)</f>
        <v>0.73</v>
      </c>
      <c r="K56" s="1211">
        <f>'LUV-US IS-adj'!K$14/('LUV-US IS-adj'!K$11-'LUV-US IS-adj'!K$12)</f>
        <v>0.73</v>
      </c>
      <c r="L56" s="1234">
        <f t="shared" si="33"/>
        <v>7.1037794318007039E-2</v>
      </c>
    </row>
    <row r="57" spans="1:12" s="252" customFormat="1">
      <c r="A57" s="269"/>
      <c r="B57" s="1209" t="s">
        <v>490</v>
      </c>
      <c r="C57" s="1212">
        <f>'skyw-US IS-adj'!C$14/('skyw-US IS-adj'!C$11-'skyw-US IS-adj'!C$12)</f>
        <v>0.73</v>
      </c>
      <c r="D57" s="1212">
        <f>'skyw-US IS-adj'!D$14/('skyw-US IS-adj'!D$11-'skyw-US IS-adj'!D$12)</f>
        <v>0.73</v>
      </c>
      <c r="E57" s="1212">
        <f>'skyw-US IS-adj'!E$14/('skyw-US IS-adj'!E$11-'skyw-US IS-adj'!E$12)</f>
        <v>0.73</v>
      </c>
      <c r="F57" s="1212">
        <f>'skyw-US IS-adj'!F$14/('skyw-US IS-adj'!F$11-'skyw-US IS-adj'!F$12)</f>
        <v>0.73</v>
      </c>
      <c r="G57" s="1212">
        <f>'skyw-US IS-adj'!G$14/('skyw-US IS-adj'!G$11-'skyw-US IS-adj'!G$12)</f>
        <v>0.73000000000000009</v>
      </c>
      <c r="H57" s="1212">
        <f>'skyw-US IS-adj'!H$14/('skyw-US IS-adj'!H$11-'skyw-US IS-adj'!H$12)</f>
        <v>0.73000000000000009</v>
      </c>
      <c r="I57" s="1212">
        <f>'skyw-US IS-adj'!I$14/('skyw-US IS-adj'!I$11-'skyw-US IS-adj'!I$12)</f>
        <v>0.72999999999999987</v>
      </c>
      <c r="J57" s="1212">
        <f>'skyw-US IS-adj'!J$14/('skyw-US IS-adj'!J$11-'skyw-US IS-adj'!J$12)</f>
        <v>0.73</v>
      </c>
      <c r="K57" s="1212">
        <f>'skyw-US IS-adj'!K$14/('skyw-US IS-adj'!K$11-'skyw-US IS-adj'!K$12)</f>
        <v>0.73</v>
      </c>
      <c r="L57" s="1234">
        <f t="shared" si="33"/>
        <v>-0.1537992637425443</v>
      </c>
    </row>
    <row r="58" spans="1:12" s="279" customFormat="1">
      <c r="A58" s="271"/>
      <c r="B58" s="272" t="s">
        <v>124</v>
      </c>
      <c r="C58" s="1213">
        <f>MEDIAN(C53:C57)</f>
        <v>0.73</v>
      </c>
      <c r="D58" s="1213">
        <f t="shared" ref="D58" si="34">MEDIAN(D53:D57)</f>
        <v>0.73</v>
      </c>
      <c r="E58" s="1213">
        <f t="shared" ref="E58" si="35">MEDIAN(E53:E57)</f>
        <v>0.73</v>
      </c>
      <c r="F58" s="1213">
        <f t="shared" ref="F58" si="36">MEDIAN(F53:F57)</f>
        <v>0.73</v>
      </c>
      <c r="G58" s="1213">
        <f t="shared" ref="G58" si="37">MEDIAN(G53:G57)</f>
        <v>0.73</v>
      </c>
      <c r="H58" s="1213">
        <f t="shared" ref="H58" si="38">MEDIAN(H53:H57)</f>
        <v>0.73</v>
      </c>
      <c r="I58" s="1213">
        <f t="shared" ref="I58" si="39">MEDIAN(I53:I57)</f>
        <v>0.72999999999999987</v>
      </c>
      <c r="J58" s="1213">
        <f t="shared" ref="J58" si="40">MEDIAN(J53:J57)</f>
        <v>0.73</v>
      </c>
      <c r="K58" s="1213">
        <f t="shared" ref="K58:L58" si="41">MEDIAN(K53:K57)</f>
        <v>0.73</v>
      </c>
      <c r="L58" s="1235">
        <f t="shared" si="41"/>
        <v>-1.4917795385515839E-2</v>
      </c>
    </row>
    <row r="59" spans="1:12" s="279" customFormat="1" ht="12.75">
      <c r="C59" s="271"/>
      <c r="D59" s="271"/>
      <c r="E59" s="271"/>
      <c r="F59" s="271"/>
      <c r="G59" s="271"/>
      <c r="H59" s="271"/>
      <c r="I59" s="271"/>
      <c r="J59" s="271"/>
      <c r="K59" s="271"/>
      <c r="L59" s="1236"/>
    </row>
    <row r="60" spans="1:12" s="279" customFormat="1">
      <c r="A60" s="3" t="s">
        <v>499</v>
      </c>
      <c r="B60" s="3" t="s">
        <v>2</v>
      </c>
      <c r="C60" s="1211">
        <f>('DAL-US IS-adj'!C$11-'DAL-US IS-adj'!C$12)/'DAL-US IS-adj'!C$11</f>
        <v>1.1305141893790389</v>
      </c>
      <c r="D60" s="1211">
        <f>('DAL-US IS-adj'!D$11-'DAL-US IS-adj'!D$12)/'DAL-US IS-adj'!D$11</f>
        <v>0.96428995135840545</v>
      </c>
      <c r="E60" s="1211">
        <f>('DAL-US IS-adj'!E$11-'DAL-US IS-adj'!E$12)/'DAL-US IS-adj'!E$11</f>
        <v>0.95550786838340496</v>
      </c>
      <c r="F60" s="1211">
        <f>('DAL-US IS-adj'!F$11-'DAL-US IS-adj'!F$12)/'DAL-US IS-adj'!F$11</f>
        <v>0.95304718994545878</v>
      </c>
      <c r="G60" s="1211">
        <f>('DAL-US IS-adj'!G$11-'DAL-US IS-adj'!G$12)/'DAL-US IS-adj'!G$11</f>
        <v>0.95813100248192506</v>
      </c>
      <c r="H60" s="1211">
        <f>('DAL-US IS-adj'!H$11-'DAL-US IS-adj'!H$12)/'DAL-US IS-adj'!H$11</f>
        <v>0.95365195606089803</v>
      </c>
      <c r="I60" s="1211">
        <f>('DAL-US IS-adj'!I$11-'DAL-US IS-adj'!I$12)/'DAL-US IS-adj'!I$11</f>
        <v>0.90565462581923495</v>
      </c>
      <c r="J60" s="1211">
        <f>('DAL-US IS-adj'!J$11-'DAL-US IS-adj'!J$12)/'DAL-US IS-adj'!J$11</f>
        <v>0.81849169152109069</v>
      </c>
      <c r="K60" s="1211">
        <f>('DAL-US IS-adj'!K$11-'DAL-US IS-adj'!K$12)/'DAL-US IS-adj'!K$11</f>
        <v>0.76798143851508116</v>
      </c>
      <c r="L60" s="1234">
        <f>CORREL(C60:K60,C92:K92)</f>
        <v>-0.75712481798601727</v>
      </c>
    </row>
    <row r="61" spans="1:12" s="279" customFormat="1">
      <c r="A61" s="267"/>
      <c r="B61" s="294" t="s">
        <v>486</v>
      </c>
      <c r="C61" s="1211">
        <f>('AC-CA IS-adj'!C$11-'AC-CA IS-adj'!C$12)/'AC-CA IS-adj'!C$11</f>
        <v>1.1627127385250129</v>
      </c>
      <c r="D61" s="1211">
        <f>('AC-CA IS-adj'!D$11-'AC-CA IS-adj'!D$12)/'AC-CA IS-adj'!D$11</f>
        <v>0.79746835443037978</v>
      </c>
      <c r="E61" s="1211">
        <f>('AC-CA IS-adj'!E$11-'AC-CA IS-adj'!E$12)/'AC-CA IS-adj'!E$11</f>
        <v>0.74521072796934862</v>
      </c>
      <c r="F61" s="1211">
        <f>('AC-CA IS-adj'!F$11-'AC-CA IS-adj'!F$12)/'AC-CA IS-adj'!F$11</f>
        <v>0.93480322427690854</v>
      </c>
      <c r="G61" s="1211">
        <f>('AC-CA IS-adj'!G$11-'AC-CA IS-adj'!G$12)/'AC-CA IS-adj'!G$11</f>
        <v>0.92461832061068705</v>
      </c>
      <c r="H61" s="1211">
        <f>('AC-CA IS-adj'!H$11-'AC-CA IS-adj'!H$12)/'AC-CA IS-adj'!H$11</f>
        <v>0.92227554723165173</v>
      </c>
      <c r="I61" s="1211">
        <f>('AC-CA IS-adj'!I$11-'AC-CA IS-adj'!I$12)/'AC-CA IS-adj'!I$11</f>
        <v>0.9302603295915931</v>
      </c>
      <c r="J61" s="1211">
        <f>('AC-CA IS-adj'!J$11-'AC-CA IS-adj'!J$12)/'AC-CA IS-adj'!J$11</f>
        <v>0.87954701565325655</v>
      </c>
      <c r="K61" s="1211">
        <f>('AC-CA IS-adj'!K$11-'AC-CA IS-adj'!K$12)/'AC-CA IS-adj'!K$11</f>
        <v>0.89926030292356463</v>
      </c>
      <c r="L61" s="1234">
        <f t="shared" ref="L61:L65" si="42">CORREL(C61:K61,C93:K93)</f>
        <v>-0.21309129169384902</v>
      </c>
    </row>
    <row r="62" spans="1:12" s="279" customFormat="1">
      <c r="A62" s="267"/>
      <c r="B62" s="294" t="s">
        <v>487</v>
      </c>
      <c r="C62" s="1211">
        <f>('AAL-US IS-adj'!C$11-'AAL-US IS-adj'!C$12)/'AAL-US IS-adj'!C$11</f>
        <v>1.153682364729459</v>
      </c>
      <c r="D62" s="1211">
        <f>('AAL-US IS-adj'!D$11-'AAL-US IS-adj'!D$12)/'AAL-US IS-adj'!D$11</f>
        <v>0.88374562055419892</v>
      </c>
      <c r="E62" s="1211">
        <f>('AAL-US IS-adj'!E$11-'AAL-US IS-adj'!E$12)/'AAL-US IS-adj'!E$11</f>
        <v>0.88433734939759023</v>
      </c>
      <c r="F62" s="1211">
        <f>('AAL-US IS-adj'!F$11-'AAL-US IS-adj'!F$12)/'AAL-US IS-adj'!F$11</f>
        <v>0.91654117460569062</v>
      </c>
      <c r="G62" s="1211">
        <f>('AAL-US IS-adj'!G$11-'AAL-US IS-adj'!G$12)/'AAL-US IS-adj'!G$11</f>
        <v>0.92485023128839006</v>
      </c>
      <c r="H62" s="1211">
        <f>('AAL-US IS-adj'!H$11-'AAL-US IS-adj'!H$12)/'AAL-US IS-adj'!H$11</f>
        <v>0.9392328142802886</v>
      </c>
      <c r="I62" s="1211">
        <f>('AAL-US IS-adj'!I$11-'AAL-US IS-adj'!I$12)/'AAL-US IS-adj'!I$11</f>
        <v>0.92599082186065906</v>
      </c>
      <c r="J62" s="1211">
        <f>('AAL-US IS-adj'!J$11-'AAL-US IS-adj'!J$12)/'AAL-US IS-adj'!J$11</f>
        <v>0.86466403162055339</v>
      </c>
      <c r="K62" s="1211">
        <f>('AAL-US IS-adj'!K$11-'AAL-US IS-adj'!K$12)/'AAL-US IS-adj'!K$11</f>
        <v>0.86596583442838371</v>
      </c>
      <c r="L62" s="1234">
        <f t="shared" si="42"/>
        <v>-0.96721332205881905</v>
      </c>
    </row>
    <row r="63" spans="1:12" s="279" customFormat="1">
      <c r="A63" s="267"/>
      <c r="B63" s="294" t="s">
        <v>488</v>
      </c>
      <c r="C63" s="1211">
        <f>('ALK-US IS-adj'!C$11-'ALK-US IS-adj'!C$12)/'ALK-US IS-adj'!C$11</f>
        <v>1.0677570093457944</v>
      </c>
      <c r="D63" s="1211">
        <f>('ALK-US IS-adj'!D$11-'ALK-US IS-adj'!D$12)/'ALK-US IS-adj'!D$11</f>
        <v>0.96247766527695067</v>
      </c>
      <c r="E63" s="1211">
        <f>('ALK-US IS-adj'!E$11-'ALK-US IS-adj'!E$12)/'ALK-US IS-adj'!E$11</f>
        <v>0.94401840490797539</v>
      </c>
      <c r="F63" s="1211">
        <f>('ALK-US IS-adj'!F$11-'ALK-US IS-adj'!F$12)/'ALK-US IS-adj'!F$11</f>
        <v>0.97928210069862676</v>
      </c>
      <c r="G63" s="1211">
        <f>('ALK-US IS-adj'!G$11-'ALK-US IS-adj'!G$12)/'ALK-US IS-adj'!G$11</f>
        <v>0.99257057949479932</v>
      </c>
      <c r="H63" s="1211">
        <f>('ALK-US IS-adj'!H$11-'ALK-US IS-adj'!H$12)/'ALK-US IS-adj'!H$11</f>
        <v>0.99797134525167996</v>
      </c>
      <c r="I63" s="1211">
        <f>('ALK-US IS-adj'!I$11-'ALK-US IS-adj'!I$12)/'ALK-US IS-adj'!I$11</f>
        <v>0.99207023506088932</v>
      </c>
      <c r="J63" s="1211">
        <f>('ALK-US IS-adj'!J$11-'ALK-US IS-adj'!J$12)/'ALK-US IS-adj'!J$11</f>
        <v>0.98256103637269565</v>
      </c>
      <c r="K63" s="1211">
        <f>('ALK-US IS-adj'!K$11-'ALK-US IS-adj'!K$12)/'ALK-US IS-adj'!K$11</f>
        <v>0.97727272727272729</v>
      </c>
      <c r="L63" s="1234">
        <f t="shared" si="42"/>
        <v>-0.54125379171337284</v>
      </c>
    </row>
    <row r="64" spans="1:12" s="279" customFormat="1">
      <c r="A64" s="267"/>
      <c r="B64" s="294" t="s">
        <v>489</v>
      </c>
      <c r="C64" s="1211">
        <f>('LUV-US IS-adj'!C$11-'LUV-US IS-adj'!C$12)/'LUV-US IS-adj'!C$11</f>
        <v>1.0640780819011244</v>
      </c>
      <c r="D64" s="1211">
        <f>('LUV-US IS-adj'!D$11-'LUV-US IS-adj'!D$12)/'LUV-US IS-adj'!D$11</f>
        <v>0.9823627287853578</v>
      </c>
      <c r="E64" s="1211">
        <f>('LUV-US IS-adj'!E$11-'LUV-US IS-adj'!E$12)/'LUV-US IS-adj'!E$11</f>
        <v>0.98172076898833915</v>
      </c>
      <c r="F64" s="1211">
        <f>('LUV-US IS-adj'!F$11-'LUV-US IS-adj'!F$12)/'LUV-US IS-adj'!F$11</f>
        <v>0.99420196488967638</v>
      </c>
      <c r="G64" s="1211">
        <f>('LUV-US IS-adj'!G$11-'LUV-US IS-adj'!G$12)/'LUV-US IS-adj'!G$11</f>
        <v>0.98688811188811187</v>
      </c>
      <c r="H64" s="1211">
        <f>('LUV-US IS-adj'!H$11-'LUV-US IS-adj'!H$12)/'LUV-US IS-adj'!H$11</f>
        <v>0.98970966556413076</v>
      </c>
      <c r="I64" s="1211">
        <f>('LUV-US IS-adj'!I$11-'LUV-US IS-adj'!I$12)/'LUV-US IS-adj'!I$11</f>
        <v>0.97164048865619546</v>
      </c>
      <c r="J64" s="1211">
        <f>('LUV-US IS-adj'!J$11-'LUV-US IS-adj'!J$12)/'LUV-US IS-adj'!J$11</f>
        <v>0.93951612903225823</v>
      </c>
      <c r="K64" s="1211">
        <f>('LUV-US IS-adj'!K$11-'LUV-US IS-adj'!K$12)/'LUV-US IS-adj'!K$11</f>
        <v>0.93951032165146431</v>
      </c>
      <c r="L64" s="1234">
        <f t="shared" si="42"/>
        <v>-0.83052618849420534</v>
      </c>
    </row>
    <row r="65" spans="1:12" s="279" customFormat="1">
      <c r="A65" s="269"/>
      <c r="B65" s="1209" t="s">
        <v>490</v>
      </c>
      <c r="C65" s="1211">
        <f>('skyw-US IS-adj'!C$11-'skyw-US IS-adj'!C$12)/'skyw-US IS-adj'!C$11</f>
        <v>1.5204001875879314</v>
      </c>
      <c r="D65" s="1211">
        <f>('skyw-US IS-adj'!D$11-'skyw-US IS-adj'!D$12)/'skyw-US IS-adj'!D$11</f>
        <v>0.76081531171425532</v>
      </c>
      <c r="E65" s="1211">
        <f>('skyw-US IS-adj'!E$11-'skyw-US IS-adj'!E$12)/'skyw-US IS-adj'!E$11</f>
        <v>0.74612200835373277</v>
      </c>
      <c r="F65" s="1211">
        <f>('skyw-US IS-adj'!F$11-'skyw-US IS-adj'!F$12)/'skyw-US IS-adj'!F$11</f>
        <v>0.96022854985541262</v>
      </c>
      <c r="G65" s="1211">
        <f>('skyw-US IS-adj'!G$11-'skyw-US IS-adj'!G$12)/'skyw-US IS-adj'!G$11</f>
        <v>0.96861577741959437</v>
      </c>
      <c r="H65" s="1211">
        <f>('skyw-US IS-adj'!H$11-'skyw-US IS-adj'!H$12)/'skyw-US IS-adj'!H$11</f>
        <v>0.96925434178551817</v>
      </c>
      <c r="I65" s="1211">
        <f>('skyw-US IS-adj'!I$11-'skyw-US IS-adj'!I$12)/'skyw-US IS-adj'!I$11</f>
        <v>0.97211429778693281</v>
      </c>
      <c r="J65" s="1211">
        <f>('skyw-US IS-adj'!J$11-'skyw-US IS-adj'!J$12)/'skyw-US IS-adj'!J$11</f>
        <v>0.9421150297063261</v>
      </c>
      <c r="K65" s="1211">
        <f>('skyw-US IS-adj'!K$11-'skyw-US IS-adj'!K$12)/'skyw-US IS-adj'!K$11</f>
        <v>0.97345625736659191</v>
      </c>
      <c r="L65" s="1234">
        <f t="shared" si="42"/>
        <v>-0.11328675619901199</v>
      </c>
    </row>
    <row r="66" spans="1:12" s="279" customFormat="1">
      <c r="A66" s="271"/>
      <c r="B66" s="272" t="s">
        <v>124</v>
      </c>
      <c r="C66" s="1214">
        <f>MEDIAN(C61:C65)</f>
        <v>1.153682364729459</v>
      </c>
      <c r="D66" s="1214">
        <f t="shared" ref="D66" si="43">MEDIAN(D61:D65)</f>
        <v>0.88374562055419892</v>
      </c>
      <c r="E66" s="1214">
        <f t="shared" ref="E66" si="44">MEDIAN(E61:E65)</f>
        <v>0.88433734939759023</v>
      </c>
      <c r="F66" s="1214">
        <f t="shared" ref="F66" si="45">MEDIAN(F61:F65)</f>
        <v>0.96022854985541262</v>
      </c>
      <c r="G66" s="1214">
        <f t="shared" ref="G66" si="46">MEDIAN(G61:G65)</f>
        <v>0.96861577741959437</v>
      </c>
      <c r="H66" s="1214">
        <f t="shared" ref="H66" si="47">MEDIAN(H61:H65)</f>
        <v>0.96925434178551817</v>
      </c>
      <c r="I66" s="1214">
        <f t="shared" ref="I66" si="48">MEDIAN(I61:I65)</f>
        <v>0.97164048865619546</v>
      </c>
      <c r="J66" s="1214">
        <f t="shared" ref="J66" si="49">MEDIAN(J61:J65)</f>
        <v>0.93951612903225823</v>
      </c>
      <c r="K66" s="1215">
        <f t="shared" ref="K66:L66" si="50">MEDIAN(K61:K65)</f>
        <v>0.93951032165146431</v>
      </c>
      <c r="L66" s="1237">
        <f t="shared" si="50"/>
        <v>-0.54125379171337284</v>
      </c>
    </row>
    <row r="67" spans="1:12" s="279" customFormat="1" ht="12.75">
      <c r="A67" s="271"/>
      <c r="B67" s="272"/>
      <c r="C67" s="275"/>
      <c r="D67" s="275"/>
      <c r="E67" s="275"/>
      <c r="F67" s="275"/>
      <c r="G67" s="275"/>
      <c r="H67" s="275"/>
      <c r="I67" s="275"/>
      <c r="J67" s="275"/>
      <c r="K67" s="275"/>
      <c r="L67" s="1236"/>
    </row>
    <row r="68" spans="1:12" s="279" customFormat="1">
      <c r="A68" s="3" t="s">
        <v>500</v>
      </c>
      <c r="B68" s="3" t="s">
        <v>2</v>
      </c>
      <c r="C68" s="1211">
        <f>'DAL-US IS-adj'!C$11/'DAL-US IS-adj'!C$8</f>
        <v>-0.41637905820415338</v>
      </c>
      <c r="D68" s="1211">
        <f>'DAL-US IS-adj'!D$11/'DAL-US IS-adj'!D$8</f>
        <v>0.17931753393183841</v>
      </c>
      <c r="E68" s="1211">
        <f>'DAL-US IS-adj'!E$11/'DAL-US IS-adj'!E$8</f>
        <v>0.15728718975720629</v>
      </c>
      <c r="F68" s="1211">
        <f>'DAL-US IS-adj'!F$11/'DAL-US IS-adj'!F$8</f>
        <v>0.20453994276567883</v>
      </c>
      <c r="G68" s="1211">
        <f>'DAL-US IS-adj'!G$11/'DAL-US IS-adj'!G$8</f>
        <v>0.23400333316499158</v>
      </c>
      <c r="H68" s="1211">
        <f>'DAL-US IS-adj'!H$11/'DAL-US IS-adj'!H$8</f>
        <v>0.25620895669777316</v>
      </c>
      <c r="I68" s="1211">
        <f>'DAL-US IS-adj'!I$11/'DAL-US IS-adj'!I$8</f>
        <v>0.16319271714257286</v>
      </c>
      <c r="J68" s="1211">
        <f>'DAL-US IS-adj'!J$11/'DAL-US IS-adj'!J$8</f>
        <v>0.12471438439874588</v>
      </c>
      <c r="K68" s="1211">
        <f>'DAL-US IS-adj'!K$11/'DAL-US IS-adj'!K$8</f>
        <v>0.11745469410001359</v>
      </c>
      <c r="L68" s="1234">
        <f>CORREL(C68:K68,C92:K92)</f>
        <v>0.93603971999373625</v>
      </c>
    </row>
    <row r="69" spans="1:12" s="252" customFormat="1">
      <c r="A69" s="267"/>
      <c r="B69" s="294" t="s">
        <v>486</v>
      </c>
      <c r="C69" s="1211">
        <f>'AC-CA IS-adj'!C$11/'AC-CA IS-adj'!C$8</f>
        <v>-0.66483799074232808</v>
      </c>
      <c r="D69" s="1211">
        <f>'AC-CA IS-adj'!D$11/'AC-CA IS-adj'!D$8</f>
        <v>0.12388270346557945</v>
      </c>
      <c r="E69" s="1211">
        <f>'AC-CA IS-adj'!E$11/'AC-CA IS-adj'!E$8</f>
        <v>0.11598066988835191</v>
      </c>
      <c r="F69" s="1211">
        <f>'AC-CA IS-adj'!F$11/'AC-CA IS-adj'!F$8</f>
        <v>0.25953728771843465</v>
      </c>
      <c r="G69" s="1211">
        <f>'AC-CA IS-adj'!G$11/'AC-CA IS-adj'!G$8</f>
        <v>0.28561695169312534</v>
      </c>
      <c r="H69" s="1211">
        <f>'AC-CA IS-adj'!H$11/'AC-CA IS-adj'!H$8</f>
        <v>0.30801124891837328</v>
      </c>
      <c r="I69" s="1211">
        <f>'AC-CA IS-adj'!I$11/'AC-CA IS-adj'!I$8</f>
        <v>0.31547619047619058</v>
      </c>
      <c r="J69" s="1211">
        <f>'AC-CA IS-adj'!J$11/'AC-CA IS-adj'!J$8</f>
        <v>0.23534162736230008</v>
      </c>
      <c r="K69" s="1211">
        <f>'AC-CA IS-adj'!K$11/'AC-CA IS-adj'!K$8</f>
        <v>0.23435694238071658</v>
      </c>
      <c r="L69" s="1234">
        <f t="shared" ref="L69:L73" si="51">CORREL(C69:K69,C93:K93)</f>
        <v>0.64841313604940276</v>
      </c>
    </row>
    <row r="70" spans="1:12" s="252" customFormat="1" ht="12.6" customHeight="1">
      <c r="A70" s="267"/>
      <c r="B70" s="294" t="s">
        <v>487</v>
      </c>
      <c r="C70" s="1211">
        <f>'AAL-US IS-adj'!C$11/'AAL-US IS-adj'!C$8</f>
        <v>-0.46051796735306005</v>
      </c>
      <c r="D70" s="1211">
        <f>'AAL-US IS-adj'!D$11/'AAL-US IS-adj'!D$8</f>
        <v>0.20579881139660902</v>
      </c>
      <c r="E70" s="1211">
        <f>'AAL-US IS-adj'!E$11/'AAL-US IS-adj'!E$8</f>
        <v>0.20497968164163355</v>
      </c>
      <c r="F70" s="1211">
        <f>'AAL-US IS-adj'!F$11/'AAL-US IS-adj'!F$8</f>
        <v>0.29602083431091919</v>
      </c>
      <c r="G70" s="1211">
        <f>'AAL-US IS-adj'!G$11/'AAL-US IS-adj'!G$8</f>
        <v>0.32819810851169734</v>
      </c>
      <c r="H70" s="1211">
        <f>'AAL-US IS-adj'!H$11/'AAL-US IS-adj'!H$8</f>
        <v>0.35329348621615031</v>
      </c>
      <c r="I70" s="1211">
        <f>'AAL-US IS-adj'!I$11/'AAL-US IS-adj'!I$8</f>
        <v>0.28100820633059787</v>
      </c>
      <c r="J70" s="1211">
        <f>'AAL-US IS-adj'!J$11/'AAL-US IS-adj'!J$8</f>
        <v>0.23651048872602176</v>
      </c>
      <c r="K70" s="1211">
        <f>'AAL-US IS-adj'!K$11/'AAL-US IS-adj'!K$8</f>
        <v>0.18370549185274587</v>
      </c>
      <c r="L70" s="1234">
        <f t="shared" si="51"/>
        <v>0.92703221275910197</v>
      </c>
    </row>
    <row r="71" spans="1:12" s="252" customFormat="1" ht="12.6" customHeight="1">
      <c r="A71" s="267"/>
      <c r="B71" s="294" t="s">
        <v>488</v>
      </c>
      <c r="C71" s="1211">
        <f>'ALK-US IS-adj'!C$11/'ALK-US IS-adj'!C$8</f>
        <v>-0.36006730229949518</v>
      </c>
      <c r="D71" s="1211">
        <f>'ALK-US IS-adj'!D$11/'ALK-US IS-adj'!D$8</f>
        <v>0.19120829062749126</v>
      </c>
      <c r="E71" s="1211">
        <f>'ALK-US IS-adj'!E$11/'ALK-US IS-adj'!E$8</f>
        <v>0.15779283639883823</v>
      </c>
      <c r="F71" s="1211">
        <f>'ALK-US IS-adj'!F$11/'ALK-US IS-adj'!F$8</f>
        <v>0.52584241195844938</v>
      </c>
      <c r="G71" s="1211">
        <f>'ALK-US IS-adj'!G$11/'ALK-US IS-adj'!G$8</f>
        <v>0.68082953970662619</v>
      </c>
      <c r="H71" s="1211">
        <f>'ALK-US IS-adj'!H$11/'ALK-US IS-adj'!H$8</f>
        <v>0.70444801714898175</v>
      </c>
      <c r="I71" s="1211">
        <f>'ALK-US IS-adj'!I$11/'ALK-US IS-adj'!I$8</f>
        <v>0.65778688524590168</v>
      </c>
      <c r="J71" s="1211">
        <f>'ALK-US IS-adj'!J$11/'ALK-US IS-adj'!J$8</f>
        <v>0.40431103948428693</v>
      </c>
      <c r="K71" s="1211">
        <f>'ALK-US IS-adj'!K$11/'ALK-US IS-adj'!K$8</f>
        <v>0.43461455872879534</v>
      </c>
      <c r="L71" s="1234">
        <f t="shared" si="51"/>
        <v>0.84241559351698292</v>
      </c>
    </row>
    <row r="72" spans="1:12" s="252" customFormat="1" ht="12.6" customHeight="1">
      <c r="A72" s="267"/>
      <c r="B72" s="294" t="s">
        <v>489</v>
      </c>
      <c r="C72" s="1211">
        <f>'LUV-US IS-adj'!C$11/'LUV-US IS-adj'!C$8</f>
        <v>-0.52088859416445632</v>
      </c>
      <c r="D72" s="1211">
        <f>'LUV-US IS-adj'!D$11/'LUV-US IS-adj'!D$8</f>
        <v>0.13398430533262004</v>
      </c>
      <c r="E72" s="1211">
        <f>'LUV-US IS-adj'!E$11/'LUV-US IS-adj'!E$8</f>
        <v>0.14445709082631461</v>
      </c>
      <c r="F72" s="1211">
        <f>'LUV-US IS-adj'!F$11/'LUV-US IS-adj'!F$8</f>
        <v>0.29362527191903914</v>
      </c>
      <c r="G72" s="1211">
        <f>'LUV-US IS-adj'!G$11/'LUV-US IS-adj'!G$8</f>
        <v>0.28192616688846178</v>
      </c>
      <c r="H72" s="1211">
        <f>'LUV-US IS-adj'!H$11/'LUV-US IS-adj'!H$8</f>
        <v>0.34321392532795159</v>
      </c>
      <c r="I72" s="1211">
        <f>'LUV-US IS-adj'!I$11/'LUV-US IS-adj'!I$8</f>
        <v>0.24638538027411983</v>
      </c>
      <c r="J72" s="1211">
        <f>'LUV-US IS-adj'!J$11/'LUV-US IS-adj'!J$8</f>
        <v>0.12610881970732815</v>
      </c>
      <c r="K72" s="1211">
        <f>'LUV-US IS-adj'!K$11/'LUV-US IS-adj'!K$8</f>
        <v>0.12189840823970043</v>
      </c>
      <c r="L72" s="1234">
        <f t="shared" si="51"/>
        <v>0.90851790865676585</v>
      </c>
    </row>
    <row r="73" spans="1:12" s="252" customFormat="1" ht="12.6" customHeight="1">
      <c r="A73" s="269"/>
      <c r="B73" s="1209" t="s">
        <v>490</v>
      </c>
      <c r="C73" s="1211">
        <f>'skyw-US IS-adj'!C$11/'skyw-US IS-adj'!C$8</f>
        <v>-0.11127278095214824</v>
      </c>
      <c r="D73" s="1211">
        <f>'skyw-US IS-adj'!D$11/'skyw-US IS-adj'!D$8</f>
        <v>0.17972195481572292</v>
      </c>
      <c r="E73" s="1211">
        <f>'skyw-US IS-adj'!E$11/'skyw-US IS-adj'!E$8</f>
        <v>0.1472148528764039</v>
      </c>
      <c r="F73" s="1211">
        <f>'skyw-US IS-adj'!F$11/'skyw-US IS-adj'!F$8</f>
        <v>0.84487470665395936</v>
      </c>
      <c r="G73" s="1211">
        <f>'skyw-US IS-adj'!G$11/'skyw-US IS-adj'!G$8</f>
        <v>0.79807773021069406</v>
      </c>
      <c r="H73" s="1211">
        <f>'skyw-US IS-adj'!H$11/'skyw-US IS-adj'!H$8</f>
        <v>0.79695195995041934</v>
      </c>
      <c r="I73" s="1211">
        <f>'skyw-US IS-adj'!I$11/'skyw-US IS-adj'!I$8</f>
        <v>0.7310158282127861</v>
      </c>
      <c r="J73" s="1211">
        <f>'skyw-US IS-adj'!J$11/'skyw-US IS-adj'!J$8</f>
        <v>0.35967553389078827</v>
      </c>
      <c r="K73" s="1211">
        <f>'skyw-US IS-adj'!K$11/'skyw-US IS-adj'!K$8</f>
        <v>0.82481074431327539</v>
      </c>
      <c r="L73" s="1234">
        <f t="shared" si="51"/>
        <v>0.72331031916450372</v>
      </c>
    </row>
    <row r="74" spans="1:12" s="252" customFormat="1" ht="12.6" customHeight="1">
      <c r="A74" s="271"/>
      <c r="B74" s="272" t="s">
        <v>124</v>
      </c>
      <c r="C74" s="1214">
        <f>MEDIAN(C69:C73)</f>
        <v>-0.46051796735306005</v>
      </c>
      <c r="D74" s="1214">
        <f t="shared" ref="D74" si="52">MEDIAN(D69:D73)</f>
        <v>0.17972195481572292</v>
      </c>
      <c r="E74" s="1214">
        <f t="shared" ref="E74" si="53">MEDIAN(E69:E73)</f>
        <v>0.1472148528764039</v>
      </c>
      <c r="F74" s="1214">
        <f t="shared" ref="F74" si="54">MEDIAN(F69:F73)</f>
        <v>0.29602083431091919</v>
      </c>
      <c r="G74" s="1214">
        <f t="shared" ref="G74" si="55">MEDIAN(G69:G73)</f>
        <v>0.32819810851169734</v>
      </c>
      <c r="H74" s="1214">
        <f t="shared" ref="H74" si="56">MEDIAN(H69:H73)</f>
        <v>0.35329348621615031</v>
      </c>
      <c r="I74" s="1214">
        <f t="shared" ref="I74" si="57">MEDIAN(I69:I73)</f>
        <v>0.31547619047619058</v>
      </c>
      <c r="J74" s="1214">
        <f t="shared" ref="J74" si="58">MEDIAN(J69:J73)</f>
        <v>0.23651048872602176</v>
      </c>
      <c r="K74" s="1215">
        <f t="shared" ref="K74:L74" si="59">MEDIAN(K69:K73)</f>
        <v>0.23435694238071658</v>
      </c>
      <c r="L74" s="1237">
        <f t="shared" si="59"/>
        <v>0.84241559351698292</v>
      </c>
    </row>
    <row r="75" spans="1:12" s="252" customFormat="1" ht="12.6" customHeight="1">
      <c r="A75" s="289"/>
      <c r="B75" s="289"/>
      <c r="C75" s="278"/>
      <c r="D75" s="281"/>
      <c r="E75" s="281"/>
      <c r="F75" s="281"/>
      <c r="G75" s="281"/>
      <c r="H75" s="281"/>
      <c r="I75" s="281"/>
      <c r="J75" s="281"/>
      <c r="K75" s="281"/>
      <c r="L75" s="1233"/>
    </row>
    <row r="76" spans="1:12" s="252" customFormat="1" ht="12.6" customHeight="1">
      <c r="A76" s="3" t="s">
        <v>501</v>
      </c>
      <c r="B76" s="3" t="s">
        <v>2</v>
      </c>
      <c r="C76" s="1211">
        <f>'DAL-US IS-adj'!C$8/'DAL-US BS-adj'!C$21</f>
        <v>0.23744374687482639</v>
      </c>
      <c r="D76" s="1211">
        <f>'DAL-US IS-adj'!D$8/'DAL-US BS-adj'!D$21</f>
        <v>0.72841381020269014</v>
      </c>
      <c r="E76" s="1211">
        <f>'DAL-US IS-adj'!E$8/'DAL-US BS-adj'!E$21</f>
        <v>0.73741413068728645</v>
      </c>
      <c r="F76" s="1211">
        <f>'DAL-US IS-adj'!F$8/'DAL-US BS-adj'!F$21</f>
        <v>0.70519222875906418</v>
      </c>
      <c r="G76" s="1211">
        <f>'DAL-US IS-adj'!G$8/'DAL-US BS-adj'!G$21</f>
        <v>0.67237134756107908</v>
      </c>
      <c r="H76" s="1211">
        <f>'DAL-US IS-adj'!H$8/'DAL-US BS-adj'!H$21</f>
        <v>0.6680410330837484</v>
      </c>
      <c r="I76" s="1211">
        <f>'DAL-US IS-adj'!I$8/'DAL-US BS-adj'!I$21</f>
        <v>0.74285397535152708</v>
      </c>
      <c r="J76" s="1211">
        <f>'DAL-US IS-adj'!J$8/'DAL-US BS-adj'!J$21</f>
        <v>0.63370037377512878</v>
      </c>
      <c r="K76" s="1211">
        <f>'DAL-US IS-adj'!K$8/'DAL-US BS-adj'!K$21</f>
        <v>0.82368125701459038</v>
      </c>
      <c r="L76" s="1234">
        <f>CORREL(C76:K76,C92:K92)</f>
        <v>0.95163141187787603</v>
      </c>
    </row>
    <row r="77" spans="1:12" s="252" customFormat="1" ht="12.6" customHeight="1">
      <c r="A77" s="267"/>
      <c r="B77" s="294" t="s">
        <v>486</v>
      </c>
      <c r="C77" s="1211">
        <f>'AC-CA IS-adj'!C$8/'AC-CA BS-adj'!C$21</f>
        <v>0.20174316051603086</v>
      </c>
      <c r="D77" s="1211">
        <f>'AC-CA IS-adj'!D$8/'AC-CA BS-adj'!D$21</f>
        <v>0.68918188695558202</v>
      </c>
      <c r="E77" s="1211">
        <f>'AC-CA IS-adj'!E$8/'AC-CA BS-adj'!E$21</f>
        <v>0.82269341497966464</v>
      </c>
      <c r="F77" s="1211">
        <f>'AC-CA IS-adj'!F$8/'AC-CA BS-adj'!F$21</f>
        <v>0.8015499328185246</v>
      </c>
      <c r="G77" s="1211">
        <f>'AC-CA IS-adj'!G$8/'AC-CA BS-adj'!G$21</f>
        <v>0.84749452675770065</v>
      </c>
      <c r="H77" s="1211">
        <f>'AC-CA IS-adj'!H$8/'AC-CA BS-adj'!H$21</f>
        <v>0.91329153664105811</v>
      </c>
      <c r="I77" s="1211">
        <f>'AC-CA IS-adj'!I$8/'AC-CA BS-adj'!I$21</f>
        <v>1.0992038156304895</v>
      </c>
      <c r="J77" s="1211">
        <f>'AC-CA IS-adj'!J$8/'AC-CA BS-adj'!J$21</f>
        <v>1.1282450951952718</v>
      </c>
      <c r="K77" s="1211">
        <f>'AC-CA IS-adj'!K$8/'AC-CA BS-adj'!K$21</f>
        <v>1.1530803908136678</v>
      </c>
      <c r="L77" s="1234">
        <f t="shared" ref="L77:L81" si="60">CORREL(C77:K77,C93:K93)</f>
        <v>0.66892900388472942</v>
      </c>
    </row>
    <row r="78" spans="1:12" s="252" customFormat="1" ht="12.6" customHeight="1">
      <c r="A78" s="267"/>
      <c r="B78" s="294" t="s">
        <v>487</v>
      </c>
      <c r="C78" s="1211">
        <f>'AAL-US IS-adj'!C$8/'AAL-US BS-adj'!C$21</f>
        <v>0.27959295574764542</v>
      </c>
      <c r="D78" s="1211">
        <f>'AAL-US IS-adj'!D$8/'AAL-US BS-adj'!D$21</f>
        <v>0.76286357196433041</v>
      </c>
      <c r="E78" s="1211">
        <f>'AAL-US IS-adj'!E$8/'AAL-US BS-adj'!E$21</f>
        <v>0.73524265434136671</v>
      </c>
      <c r="F78" s="1211">
        <f>'AAL-US IS-adj'!F$8/'AAL-US BS-adj'!F$21</f>
        <v>0.65808656352294648</v>
      </c>
      <c r="G78" s="1211">
        <f>'AAL-US IS-adj'!G$8/'AAL-US BS-adj'!G$21</f>
        <v>0.6466088826178944</v>
      </c>
      <c r="H78" s="1211">
        <f>'AAL-US IS-adj'!H$8/'AAL-US BS-adj'!H$21</f>
        <v>0.68146850960741012</v>
      </c>
      <c r="I78" s="1211">
        <f>'AAL-US IS-adj'!I$8/'AAL-US BS-adj'!I$21</f>
        <v>0.76710974313975877</v>
      </c>
      <c r="J78" s="1211">
        <f>'AAL-US IS-adj'!J$8/'AAL-US BS-adj'!J$21</f>
        <v>0.48456928340655719</v>
      </c>
      <c r="K78" s="1211">
        <f>'AAL-US IS-adj'!K$8/'AAL-US BS-adj'!K$21</f>
        <v>0.80875859270090478</v>
      </c>
      <c r="L78" s="1234">
        <f t="shared" si="60"/>
        <v>0.75492007685662621</v>
      </c>
    </row>
    <row r="79" spans="1:12" s="252" customFormat="1">
      <c r="A79" s="267"/>
      <c r="B79" s="294" t="s">
        <v>488</v>
      </c>
      <c r="C79" s="1211">
        <f>'ALK-US IS-adj'!C$8/'ALK-US BS-adj'!C$21</f>
        <v>0.23417389020225898</v>
      </c>
      <c r="D79" s="1211">
        <f>'ALK-US IS-adj'!D$8/'ALK-US BS-adj'!D$21</f>
        <v>0.62716948789372196</v>
      </c>
      <c r="E79" s="1211">
        <f>'ALK-US IS-adj'!E$8/'ALK-US BS-adj'!E$21</f>
        <v>0.60701878095416828</v>
      </c>
      <c r="F79" s="1211">
        <f>'ALK-US IS-adj'!F$8/'ALK-US BS-adj'!F$21</f>
        <v>0.57063316044980661</v>
      </c>
      <c r="G79" s="1211">
        <f>'ALK-US IS-adj'!G$8/'ALK-US BS-adj'!G$21</f>
        <v>0.46865236318593823</v>
      </c>
      <c r="H79" s="1211">
        <f>'ALK-US IS-adj'!H$8/'ALK-US BS-adj'!H$21</f>
        <v>0.66733053189530256</v>
      </c>
      <c r="I79" s="1211">
        <f>'ALK-US IS-adj'!I$8/'ALK-US BS-adj'!I$21</f>
        <v>0.74473630052087192</v>
      </c>
      <c r="J79" s="1211">
        <f>'ALK-US IS-adj'!J$8/'ALK-US BS-adj'!J$21</f>
        <v>0.74300741388132474</v>
      </c>
      <c r="K79" s="1211">
        <f>'ALK-US IS-adj'!K$8/'ALK-US BS-adj'!K$21</f>
        <v>0.73664060096890316</v>
      </c>
      <c r="L79" s="1234">
        <f t="shared" si="60"/>
        <v>0.80039238777193777</v>
      </c>
    </row>
    <row r="80" spans="1:12" s="252" customFormat="1">
      <c r="A80" s="267"/>
      <c r="B80" s="294" t="s">
        <v>489</v>
      </c>
      <c r="C80" s="1211">
        <f>'LUV-US IS-adj'!C$8/'LUV-US BS-adj'!C$21</f>
        <v>0.24739561971946517</v>
      </c>
      <c r="D80" s="1211">
        <f>'LUV-US IS-adj'!D$8/'LUV-US BS-adj'!D$21</f>
        <v>0.83026690852552476</v>
      </c>
      <c r="E80" s="1211">
        <f>'LUV-US IS-adj'!E$8/'LUV-US BS-adj'!E$21</f>
        <v>0.76882887453712245</v>
      </c>
      <c r="F80" s="1211">
        <f>'LUV-US IS-adj'!F$8/'LUV-US BS-adj'!F$21</f>
        <v>0.75158238302037272</v>
      </c>
      <c r="G80" s="1211">
        <f>'LUV-US IS-adj'!G$8/'LUV-US BS-adj'!G$21</f>
        <v>0.74095621878930074</v>
      </c>
      <c r="H80" s="1211">
        <f>'LUV-US IS-adj'!H$8/'LUV-US BS-adj'!H$21</f>
        <v>0.74941182429619035</v>
      </c>
      <c r="I80" s="1211">
        <f>'LUV-US IS-adj'!I$8/'LUV-US BS-adj'!I$21</f>
        <v>0.79612508406687121</v>
      </c>
      <c r="J80" s="1211">
        <f>'LUV-US IS-adj'!J$8/'LUV-US BS-adj'!J$21</f>
        <v>0.78489618527026905</v>
      </c>
      <c r="K80" s="1211">
        <f>'LUV-US IS-adj'!K$8/'LUV-US BS-adj'!K$21</f>
        <v>0.77083625978985271</v>
      </c>
      <c r="L80" s="1234">
        <f t="shared" si="60"/>
        <v>0.87509716839348539</v>
      </c>
    </row>
    <row r="81" spans="1:12" s="252" customFormat="1">
      <c r="A81" s="269"/>
      <c r="B81" s="1209" t="s">
        <v>490</v>
      </c>
      <c r="C81" s="1211">
        <f>'skyw-US IS-adj'!C$8/'skyw-US BS-adj'!C$21</f>
        <v>0.29494955601696227</v>
      </c>
      <c r="D81" s="1211">
        <f>'skyw-US IS-adj'!D$8/'skyw-US BS-adj'!D$21</f>
        <v>0.44643313957112746</v>
      </c>
      <c r="E81" s="1211">
        <f>'skyw-US IS-adj'!E$8/'skyw-US BS-adj'!E$21</f>
        <v>0.47963540037349639</v>
      </c>
      <c r="F81" s="1211">
        <f>'skyw-US IS-adj'!F$8/'skyw-US BS-adj'!F$21</f>
        <v>0.57039894782989919</v>
      </c>
      <c r="G81" s="1211">
        <f>'skyw-US IS-adj'!G$8/'skyw-US BS-adj'!G$21</f>
        <v>0.62324824090259401</v>
      </c>
      <c r="H81" s="1211">
        <f>'skyw-US IS-adj'!H$8/'skyw-US BS-adj'!H$21</f>
        <v>0.64733863601383868</v>
      </c>
      <c r="I81" s="1211">
        <f>'skyw-US IS-adj'!I$8/'skyw-US BS-adj'!I$21</f>
        <v>0.56987424379034179</v>
      </c>
      <c r="J81" s="1211">
        <f>'skyw-US IS-adj'!J$8/'skyw-US BS-adj'!J$21</f>
        <v>0.56961353672276127</v>
      </c>
      <c r="K81" s="1211">
        <f>'skyw-US IS-adj'!K$8/'skyw-US BS-adj'!K$21</f>
        <v>0.58396961202380226</v>
      </c>
      <c r="L81" s="1234">
        <f t="shared" si="60"/>
        <v>0.63785200281005716</v>
      </c>
    </row>
    <row r="82" spans="1:12" s="252" customFormat="1">
      <c r="A82" s="271"/>
      <c r="B82" s="272" t="s">
        <v>124</v>
      </c>
      <c r="C82" s="1214">
        <f>MEDIAN(C77:C81)</f>
        <v>0.24739561971946517</v>
      </c>
      <c r="D82" s="1214">
        <f t="shared" ref="D82" si="61">MEDIAN(D77:D81)</f>
        <v>0.68918188695558202</v>
      </c>
      <c r="E82" s="1214">
        <f t="shared" ref="E82" si="62">MEDIAN(E77:E81)</f>
        <v>0.73524265434136671</v>
      </c>
      <c r="F82" s="1214">
        <f t="shared" ref="F82" si="63">MEDIAN(F77:F81)</f>
        <v>0.65808656352294648</v>
      </c>
      <c r="G82" s="1214">
        <f t="shared" ref="G82" si="64">MEDIAN(G77:G81)</f>
        <v>0.6466088826178944</v>
      </c>
      <c r="H82" s="1214">
        <f t="shared" ref="H82" si="65">MEDIAN(H77:H81)</f>
        <v>0.68146850960741012</v>
      </c>
      <c r="I82" s="1214">
        <f t="shared" ref="I82" si="66">MEDIAN(I77:I81)</f>
        <v>0.76710974313975877</v>
      </c>
      <c r="J82" s="1214">
        <f t="shared" ref="J82" si="67">MEDIAN(J77:J81)</f>
        <v>0.74300741388132474</v>
      </c>
      <c r="K82" s="1215">
        <f t="shared" ref="K82" si="68">MEDIAN(K77:K81)</f>
        <v>0.77083625978985271</v>
      </c>
      <c r="L82" s="1237">
        <f>MEDIAN(L77:L81)</f>
        <v>0.75492007685662621</v>
      </c>
    </row>
    <row r="83" spans="1:12" s="252" customFormat="1" ht="12.75">
      <c r="A83" s="289"/>
      <c r="B83" s="289"/>
      <c r="C83" s="267"/>
      <c r="D83" s="267"/>
      <c r="E83" s="267"/>
      <c r="F83" s="267"/>
      <c r="G83" s="267"/>
      <c r="H83" s="267"/>
      <c r="I83" s="267"/>
      <c r="J83" s="267"/>
      <c r="K83" s="267"/>
      <c r="L83" s="1233"/>
    </row>
    <row r="84" spans="1:12" s="252" customFormat="1">
      <c r="A84" s="3" t="s">
        <v>502</v>
      </c>
      <c r="B84" s="3" t="s">
        <v>2</v>
      </c>
      <c r="C84" s="1211" cm="1">
        <f t="array" ref="C84">'DAL-US BS-adj'!C$21/((_xll.FDS($B84,"FREF_MARKET_VALUE_COMPANY("&amp;C$6&amp;",,,,,0,,""LEGACY"")")/1000)+'DAL-US R&amp;D'!C34)</f>
        <v>2.807595384492338</v>
      </c>
      <c r="D84" s="1211" cm="1">
        <f t="array" ref="D84">'DAL-US BS-adj'!D$21/((_xll.FDS($B84,"FREF_MARKET_VALUE_COMPANY("&amp;D$6&amp;",,,,,0,,""LEGACY"")")/1000)+'DAL-US R&amp;D'!D34)</f>
        <v>1.7062242985261613</v>
      </c>
      <c r="E84" s="1211" cm="1">
        <f t="array" ref="E84">'DAL-US BS-adj'!E$21/((_xll.FDS($B84,"FREF_MARKET_VALUE_COMPANY("&amp;E$6&amp;",,,,,0,,""LEGACY"")")/1000)+'DAL-US R&amp;D'!E34)</f>
        <v>1.7615263563312431</v>
      </c>
      <c r="F84" s="1211" cm="1">
        <f t="array" ref="F84">'DAL-US BS-adj'!F$21/((_xll.FDS($B84,"FREF_MARKET_VALUE_COMPANY("&amp;F$6&amp;",,,,,0,,""LEGACY"")")/1000)+'DAL-US R&amp;D'!F34)</f>
        <v>1.4644911454965632</v>
      </c>
      <c r="G84" s="1211" cm="1">
        <f t="array" ref="G84">'DAL-US BS-adj'!G$21/((_xll.FDS($B84,"FREF_MARKET_VALUE_COMPANY("&amp;G$6&amp;",,,,,0,,""LEGACY"")")/1000)+'DAL-US R&amp;D'!G34)</f>
        <v>1.598831254541119</v>
      </c>
      <c r="H84" s="1211" cm="1">
        <f t="array" ref="H84">'DAL-US BS-adj'!H$21/((_xll.FDS($B84,"FREF_MARKET_VALUE_COMPANY("&amp;H$6&amp;",,,,,0,,""LEGACY"")")/1000)+'DAL-US R&amp;D'!H34)</f>
        <v>1.5209312056633244</v>
      </c>
      <c r="I84" s="1211" cm="1">
        <f t="array" ref="I84">'DAL-US BS-adj'!I$21/((_xll.FDS($B84,"FREF_MARKET_VALUE_COMPANY("&amp;I$6&amp;",,,,,0,,""LEGACY"")")/1000)+'DAL-US R&amp;D'!I34)</f>
        <v>1.3146016389936483</v>
      </c>
      <c r="J84" s="1211" cm="1">
        <f t="array" ref="J84">'DAL-US BS-adj'!J$21/((_xll.FDS($B84,"FREF_MARKET_VALUE_COMPANY("&amp;J$6&amp;",,,,,0,,""LEGACY"")")/1000)+'DAL-US R&amp;D'!J34)</f>
        <v>2.527205456101004</v>
      </c>
      <c r="K84" s="1211" cm="1">
        <f t="array" ref="K84">'DAL-US BS-adj'!K$21/((_xll.FDS($B84,"FREF_MARKET_VALUE_COMPANY("&amp;K$6&amp;",,,,,0,,""LEGACY"")")/1000)+'DAL-US R&amp;D'!K34)</f>
        <v>4.4131450493860038</v>
      </c>
      <c r="L84" s="1234">
        <f>CORREL(C84:K84,C92:K92)</f>
        <v>-5.730153317385913E-2</v>
      </c>
    </row>
    <row r="85" spans="1:12" s="252" customFormat="1">
      <c r="A85" s="267"/>
      <c r="B85" s="294" t="s">
        <v>486</v>
      </c>
      <c r="C85" s="1211" cm="1">
        <f t="array" ref="C85">'AC-CA BS-adj'!C$21/((_xll.FDS($B85,"FREF_MARKET_VALUE_COMPANY("&amp;C$6&amp;",,,,,0,,""LEGACY"")")/1000)+'AC-CA R&amp;D'!C35)</f>
        <v>9.0976083729343973</v>
      </c>
      <c r="D85" s="1211" cm="1">
        <f t="array" ref="D85">'AC-CA BS-adj'!D$21/((_xll.FDS($B85,"FREF_MARKET_VALUE_COMPANY("&amp;D$6&amp;",,,,,0,,""LEGACY"")")/1000)+'AC-CA R&amp;D'!D35)</f>
        <v>4.6217868326211491</v>
      </c>
      <c r="E85" s="1211" cm="1">
        <f t="array" ref="E85">'AC-CA BS-adj'!E$21/((_xll.FDS($B85,"FREF_MARKET_VALUE_COMPANY("&amp;E$6&amp;",,,,,0,,""LEGACY"")")/1000)+'AC-CA R&amp;D'!E35)</f>
        <v>5.5113220709056687</v>
      </c>
      <c r="F85" s="1211" cm="1">
        <f t="array" ref="F85">'AC-CA BS-adj'!F$21/((_xll.FDS($B85,"FREF_MARKET_VALUE_COMPANY("&amp;F$6&amp;",,,,,0,,""LEGACY"")")/1000)+'AC-CA R&amp;D'!F35)</f>
        <v>7.6899532496851961</v>
      </c>
      <c r="G85" s="1211" cm="1">
        <f t="array" ref="G85">'AC-CA BS-adj'!G$21/((_xll.FDS($B85,"FREF_MARKET_VALUE_COMPANY("&amp;G$6&amp;",,,,,0,,""LEGACY"")")/1000)+'AC-CA R&amp;D'!G35)</f>
        <v>12.517945056639155</v>
      </c>
      <c r="H85" s="1211" cm="1">
        <f t="array" ref="H85">'AC-CA BS-adj'!H$21/((_xll.FDS($B85,"FREF_MARKET_VALUE_COMPANY("&amp;H$6&amp;",,,,,0,,""LEGACY"")")/1000)+'AC-CA R&amp;D'!H35)</f>
        <v>16.519960488097237</v>
      </c>
      <c r="I85" s="1211" cm="1">
        <f t="array" ref="I85">'AC-CA BS-adj'!I$21/((_xll.FDS($B85,"FREF_MARKET_VALUE_COMPANY("&amp;I$6&amp;",,,,,0,,""LEGACY"")")/1000)+'AC-CA R&amp;D'!I35)</f>
        <v>3.554253782008177</v>
      </c>
      <c r="J85" s="1211" cm="1">
        <f t="array" ref="J85">'AC-CA BS-adj'!J$21/((_xll.FDS($B85,"FREF_MARKET_VALUE_COMPANY("&amp;J$6&amp;",,,,,0,,""LEGACY"")")/1000)+'AC-CA R&amp;D'!J35)</f>
        <v>5.1328591303029523</v>
      </c>
      <c r="K85" s="1211" cm="1">
        <f t="array" ref="K85">'AC-CA BS-adj'!K$21/((_xll.FDS($B85,"FREF_MARKET_VALUE_COMPANY("&amp;K$6&amp;",,,,,0,,""LEGACY"")")/1000)+'AC-CA R&amp;D'!K35)</f>
        <v>21.692549428979369</v>
      </c>
      <c r="L85" s="1234">
        <f t="shared" ref="L85:L89" si="69">CORREL(C85:K85,C93:K93)</f>
        <v>0.81905517336695388</v>
      </c>
    </row>
    <row r="86" spans="1:12">
      <c r="A86" s="267"/>
      <c r="B86" s="294" t="s">
        <v>487</v>
      </c>
      <c r="C86" s="1211" cm="1">
        <f t="array" ref="C86">'AAL-US BS-adj'!C$21/((_xll.FDS($B86,"FREF_MARKET_VALUE_COMPANY("&amp;C$6&amp;",,,,,0,,""LEGACY"")")/1000)+'AAL-US R&amp;D'!C36)</f>
        <v>6.326874439859469</v>
      </c>
      <c r="D86" s="1211" cm="1">
        <f t="array" ref="D86">'AAL-US BS-adj'!D$21/((_xll.FDS($B86,"FREF_MARKET_VALUE_COMPANY("&amp;D$6&amp;",,,,,0,,""LEGACY"")")/1000)+'AAL-US R&amp;D'!D36)</f>
        <v>4.8852774166132598</v>
      </c>
      <c r="E86" s="1211" cm="1">
        <f t="array" ref="E86">'AAL-US BS-adj'!E$21/((_xll.FDS($B86,"FREF_MARKET_VALUE_COMPANY("&amp;E$6&amp;",,,,,0,,""LEGACY"")")/1000)+'AAL-US R&amp;D'!E36)</f>
        <v>4.096212536230138</v>
      </c>
      <c r="F86" s="1211" cm="1">
        <f t="array" ref="F86">'AAL-US BS-adj'!F$21/((_xll.FDS($B86,"FREF_MARKET_VALUE_COMPANY("&amp;F$6&amp;",,,,,0,,""LEGACY"")")/1000)+'AAL-US R&amp;D'!F36)</f>
        <v>2.6014528400754631</v>
      </c>
      <c r="G86" s="1211" cm="1">
        <f t="array" ref="G86">'AAL-US BS-adj'!G$21/((_xll.FDS($B86,"FREF_MARKET_VALUE_COMPANY("&amp;G$6&amp;",,,,,0,,""LEGACY"")")/1000)+'AAL-US R&amp;D'!G36)</f>
        <v>2.5686791291881583</v>
      </c>
      <c r="H86" s="1211" cm="1">
        <f t="array" ref="H86">'AAL-US BS-adj'!H$21/((_xll.FDS($B86,"FREF_MARKET_VALUE_COMPANY("&amp;H$6&amp;",,,,,0,,""LEGACY"")")/1000)+'AAL-US R&amp;D'!H36)</f>
        <v>2.2532714472390563</v>
      </c>
      <c r="I86" s="1211" cm="1">
        <f t="array" ref="I86">'AAL-US BS-adj'!I$21/((_xll.FDS($B86,"FREF_MARKET_VALUE_COMPANY("&amp;I$6&amp;",,,,,0,,""LEGACY"")")/1000)+'AAL-US R&amp;D'!I36)</f>
        <v>1.4453556056595793</v>
      </c>
      <c r="J86" s="1211" cm="1">
        <f t="array" ref="J86">'AAL-US BS-adj'!J$21/((_xll.FDS($B86,"FREF_MARKET_VALUE_COMPANY("&amp;J$6&amp;",,,,,0,,""LEGACY"")")/1000)+'AAL-US R&amp;D'!J36)</f>
        <v>6.5128864632833761</v>
      </c>
      <c r="K86" s="1211">
        <f>AVERAGE(C86:J86)</f>
        <v>3.8362512347685622</v>
      </c>
      <c r="L86" s="1234">
        <f t="shared" si="69"/>
        <v>-0.34459789656271012</v>
      </c>
    </row>
    <row r="87" spans="1:12">
      <c r="A87" s="267"/>
      <c r="B87" s="294" t="s">
        <v>488</v>
      </c>
      <c r="C87" s="1211" cm="1">
        <f t="array" ref="C87">'ALK-US BS-adj'!C$21/((_xll.FDS($B87,"FREF_MARKET_VALUE_COMPANY("&amp;C$6&amp;",,,,,0,,""LEGACY"")")/1000)+'ALK-US R&amp;D'!C37)</f>
        <v>2.3680834707071665</v>
      </c>
      <c r="D87" s="1211" cm="1">
        <f t="array" ref="D87">'ALK-US BS-adj'!D$21/((_xll.FDS($B87,"FREF_MARKET_VALUE_COMPANY("&amp;D$6&amp;",,,,,0,,""LEGACY"")")/1000)+'ALK-US R&amp;D'!D37)</f>
        <v>1.6790856189760914</v>
      </c>
      <c r="E87" s="1211" cm="1">
        <f t="array" ref="E87">'ALK-US BS-adj'!E$21/((_xll.FDS($B87,"FREF_MARKET_VALUE_COMPANY("&amp;E$6&amp;",,,,,0,,""LEGACY"")")/1000)+'ALK-US R&amp;D'!E37)</f>
        <v>1.815135117536949</v>
      </c>
      <c r="F87" s="1211" cm="1">
        <f t="array" ref="F87">'ALK-US BS-adj'!F$21/((_xll.FDS($B87,"FREF_MARKET_VALUE_COMPANY("&amp;F$6&amp;",,,,,0,,""LEGACY"")")/1000)+'ALK-US R&amp;D'!F37)</f>
        <v>1.5293557659065273</v>
      </c>
      <c r="G87" s="1211" cm="1">
        <f t="array" ref="G87">'ALK-US BS-adj'!G$21/((_xll.FDS($B87,"FREF_MARKET_VALUE_COMPANY("&amp;G$6&amp;",,,,,0,,""LEGACY"")")/1000)+'ALK-US R&amp;D'!G37)</f>
        <v>1.1570328317324263</v>
      </c>
      <c r="H87" s="1211" cm="1">
        <f t="array" ref="H87">'ALK-US BS-adj'!H$21/((_xll.FDS($B87,"FREF_MARKET_VALUE_COMPANY("&amp;H$6&amp;",,,,,0,,""LEGACY"")")/1000)+'ALK-US R&amp;D'!H37)</f>
        <v>0.82909356450705063</v>
      </c>
      <c r="I87" s="1211" cm="1">
        <f t="array" ref="I87">'ALK-US BS-adj'!I$21/((_xll.FDS($B87,"FREF_MARKET_VALUE_COMPANY("&amp;I$6&amp;",,,,,0,,""LEGACY"")")/1000)+'ALK-US R&amp;D'!I37)</f>
        <v>0.90939188939734206</v>
      </c>
      <c r="J87" s="1211" cm="1">
        <f t="array" ref="J87">'ALK-US BS-adj'!J$21/((_xll.FDS($B87,"FREF_MARKET_VALUE_COMPANY("&amp;J$6&amp;",,,,,0,,""LEGACY"")")/1000)+'ALK-US R&amp;D'!J37)</f>
        <v>1.3112684465769262</v>
      </c>
      <c r="K87" s="1211" cm="1">
        <f t="array" ref="K87">'ALK-US BS-adj'!K$21/((_xll.FDS($B87,"FREF_MARKET_VALUE_COMPANY("&amp;K$6&amp;",,,,,0,,""LEGACY"")")/1000)+'ALK-US R&amp;D'!K37)</f>
        <v>2.0865666768217421</v>
      </c>
      <c r="L87" s="1234">
        <f t="shared" si="69"/>
        <v>-0.47177367844576573</v>
      </c>
    </row>
    <row r="88" spans="1:12">
      <c r="A88" s="267"/>
      <c r="B88" s="294" t="s">
        <v>489</v>
      </c>
      <c r="C88" s="1211" cm="1">
        <f t="array" ref="C88">'LUV-US BS-adj'!C$21/((_xll.FDS($B88,"FREF_MARKET_VALUE_COMPANY("&amp;C$6&amp;",,,,,0,,""LEGACY"")")/1000)+'LUV-US R&amp;D'!C38)</f>
        <v>1.3293168401353497</v>
      </c>
      <c r="D88" s="1211" cm="1">
        <f t="array" ref="D88">'LUV-US BS-adj'!D$21/((_xll.FDS($B88,"FREF_MARKET_VALUE_COMPANY("&amp;D$6&amp;",,,,,0,,""LEGACY"")")/1000)+'LUV-US R&amp;D'!D38)</f>
        <v>0.95088123147452897</v>
      </c>
      <c r="E88" s="1211" cm="1">
        <f t="array" ref="E88">'LUV-US BS-adj'!E$21/((_xll.FDS($B88,"FREF_MARKET_VALUE_COMPANY("&amp;E$6&amp;",,,,,0,,""LEGACY"")")/1000)+'LUV-US R&amp;D'!E38)</f>
        <v>1.0931050777340148</v>
      </c>
      <c r="F88" s="1211" cm="1">
        <f t="array" ref="F88">'LUV-US BS-adj'!F$21/((_xll.FDS($B88,"FREF_MARKET_VALUE_COMPANY("&amp;F$6&amp;",,,,,0,,""LEGACY"")")/1000)+'LUV-US R&amp;D'!F38)</f>
        <v>0.7244413742214878</v>
      </c>
      <c r="G88" s="1211" cm="1">
        <f t="array" ref="G88">'LUV-US BS-adj'!G$21/((_xll.FDS($B88,"FREF_MARKET_VALUE_COMPANY("&amp;G$6&amp;",,,,,0,,""LEGACY"")")/1000)+'LUV-US R&amp;D'!G38)</f>
        <v>0.89246839163189051</v>
      </c>
      <c r="H88" s="1211" cm="1">
        <f t="array" ref="H88">'LUV-US BS-adj'!H$21/((_xll.FDS($B88,"FREF_MARKET_VALUE_COMPANY("&amp;H$6&amp;",,,,,0,,""LEGACY"")")/1000)+'LUV-US R&amp;D'!H38)</f>
        <v>0.94440569909882432</v>
      </c>
      <c r="I88" s="1211" cm="1">
        <f t="array" ref="I88">'LUV-US BS-adj'!I$21/((_xll.FDS($B88,"FREF_MARKET_VALUE_COMPANY("&amp;I$6&amp;",,,,,0,,""LEGACY"")")/1000)+'LUV-US R&amp;D'!I38)</f>
        <v>0.81357331486067663</v>
      </c>
      <c r="J88" s="1211" cm="1">
        <f t="array" ref="J88">'LUV-US BS-adj'!J$21/((_xll.FDS($B88,"FREF_MARKET_VALUE_COMPANY("&amp;J$6&amp;",,,,,0,,""LEGACY"")")/1000)+'LUV-US R&amp;D'!J38)</f>
        <v>1.7178953450254146</v>
      </c>
      <c r="K88" s="1211" cm="1">
        <f t="array" ref="K88">'LUV-US BS-adj'!K$21/((_xll.FDS($B88,"FREF_MARKET_VALUE_COMPANY("&amp;K$6&amp;",,,,,0,,""LEGACY"")")/1000)+'LUV-US R&amp;D'!K38)</f>
        <v>2.9334936128945626</v>
      </c>
      <c r="L88" s="1234">
        <f t="shared" si="69"/>
        <v>0.19048727754487374</v>
      </c>
    </row>
    <row r="89" spans="1:12">
      <c r="A89" s="269"/>
      <c r="B89" s="1209" t="s">
        <v>490</v>
      </c>
      <c r="C89" s="1211" cm="1">
        <f t="array" ref="C89">'skyw-US BS-adj'!C$21/((_xll.FDS($B89,"FREF_MARKET_VALUE_COMPANY("&amp;C$6&amp;",,,,,0,,""LEGACY"")")/1000)+'skyw-US R&amp;D'!C39)</f>
        <v>3.5681471941548275</v>
      </c>
      <c r="D89" s="1211" cm="1">
        <f t="array" ref="D89">'skyw-US BS-adj'!D$21/((_xll.FDS($B89,"FREF_MARKET_VALUE_COMPANY("&amp;D$6&amp;",,,,,0,,""LEGACY"")")/1000)+'skyw-US R&amp;D'!D39)</f>
        <v>2.0428729977644484</v>
      </c>
      <c r="E89" s="1211" cm="1">
        <f t="array" ref="E89">'skyw-US BS-adj'!E$21/((_xll.FDS($B89,"FREF_MARKET_VALUE_COMPANY("&amp;E$6&amp;",,,,,0,,""LEGACY"")")/1000)+'skyw-US R&amp;D'!E39)</f>
        <v>2.9105721886796032</v>
      </c>
      <c r="F89" s="1211" cm="1">
        <f t="array" ref="F89">'skyw-US BS-adj'!F$21/((_xll.FDS($B89,"FREF_MARKET_VALUE_COMPANY("&amp;F$6&amp;",,,,,0,,""LEGACY"")")/1000)+'skyw-US R&amp;D'!F39)</f>
        <v>1.9886204720793339</v>
      </c>
      <c r="G89" s="1211" cm="1">
        <f t="array" ref="G89">'skyw-US BS-adj'!G$21/((_xll.FDS($B89,"FREF_MARKET_VALUE_COMPANY("&amp;G$6&amp;",,,,,0,,""LEGACY"")")/1000)+'skyw-US R&amp;D'!G39)</f>
        <v>2.6553429087821012</v>
      </c>
      <c r="H89" s="1211" cm="1">
        <f t="array" ref="H89">'skyw-US BS-adj'!H$21/((_xll.FDS($B89,"FREF_MARKET_VALUE_COMPANY("&amp;H$6&amp;",,,,,0,,""LEGACY"")")/1000)+'skyw-US R&amp;D'!H39)</f>
        <v>4.953868153596261</v>
      </c>
      <c r="I89" s="1211" cm="1">
        <f t="array" ref="I89">'skyw-US BS-adj'!I$21/((_xll.FDS($B89,"FREF_MARKET_VALUE_COMPANY("&amp;I$6&amp;",,,,,0,,""LEGACY"")")/1000)+'skyw-US R&amp;D'!I39)</f>
        <v>8.3586043580759171</v>
      </c>
      <c r="J89" s="1211" cm="1">
        <f t="array" ref="J89">'skyw-US BS-adj'!J$21/((_xll.FDS($B89,"FREF_MARKET_VALUE_COMPANY("&amp;J$6&amp;",,,,,0,,""LEGACY"")")/1000)+'skyw-US R&amp;D'!J39)</f>
        <v>7.6206857462024473</v>
      </c>
      <c r="K89" s="1211" cm="1">
        <f t="array" ref="K89">'skyw-US BS-adj'!K$21/((_xll.FDS($B89,"FREF_MARKET_VALUE_COMPANY("&amp;K$6&amp;",,,,,0,,""LEGACY"")")/1000)+'skyw-US R&amp;D'!K39)</f>
        <v>9.4767462173362063</v>
      </c>
      <c r="L89" s="1234">
        <f t="shared" si="69"/>
        <v>0.84231009582433725</v>
      </c>
    </row>
    <row r="90" spans="1:12">
      <c r="A90" s="271"/>
      <c r="B90" s="272" t="s">
        <v>124</v>
      </c>
      <c r="C90" s="1214">
        <f>MEDIAN(C85:C89)</f>
        <v>3.5681471941548275</v>
      </c>
      <c r="D90" s="1214">
        <f t="shared" ref="D90" si="70">MEDIAN(D85:D89)</f>
        <v>2.0428729977644484</v>
      </c>
      <c r="E90" s="1214">
        <f t="shared" ref="E90" si="71">MEDIAN(E85:E89)</f>
        <v>2.9105721886796032</v>
      </c>
      <c r="F90" s="1214">
        <f t="shared" ref="F90" si="72">MEDIAN(F85:F89)</f>
        <v>1.9886204720793339</v>
      </c>
      <c r="G90" s="1214">
        <f t="shared" ref="G90" si="73">MEDIAN(G85:G89)</f>
        <v>2.5686791291881583</v>
      </c>
      <c r="H90" s="1214">
        <f t="shared" ref="H90" si="74">MEDIAN(H85:H89)</f>
        <v>2.2532714472390563</v>
      </c>
      <c r="I90" s="1214">
        <f t="shared" ref="I90" si="75">MEDIAN(I85:I89)</f>
        <v>1.4453556056595793</v>
      </c>
      <c r="J90" s="1214">
        <f t="shared" ref="J90" si="76">MEDIAN(J85:J89)</f>
        <v>5.1328591303029523</v>
      </c>
      <c r="K90" s="1215">
        <f t="shared" ref="K90:L90" si="77">MEDIAN(K85:K89)</f>
        <v>3.8362512347685622</v>
      </c>
      <c r="L90" s="1237">
        <f t="shared" si="77"/>
        <v>0.19048727754487374</v>
      </c>
    </row>
    <row r="91" spans="1:12">
      <c r="A91" s="252"/>
      <c r="B91" s="252"/>
      <c r="C91" s="299"/>
      <c r="D91" s="299"/>
      <c r="E91" s="299"/>
      <c r="F91" s="299"/>
      <c r="G91" s="299"/>
      <c r="H91" s="299"/>
      <c r="I91" s="299"/>
      <c r="J91" s="299"/>
      <c r="K91" s="491"/>
    </row>
    <row r="92" spans="1:12">
      <c r="A92" s="372" t="s">
        <v>82</v>
      </c>
      <c r="B92" s="326" t="s">
        <v>2</v>
      </c>
      <c r="C92" s="633">
        <f>C52*C60*C68*C76*C84</f>
        <v>-0.22280170067638472</v>
      </c>
      <c r="D92" s="633">
        <f t="shared" ref="D92:K92" si="78">D52*D60*D68*D76*D84</f>
        <v>0.15258190788877843</v>
      </c>
      <c r="E92" s="633">
        <f t="shared" si="78"/>
        <v>0.13860744896118599</v>
      </c>
      <c r="F92" s="633">
        <f t="shared" si="78"/>
        <v>0.14293716099202997</v>
      </c>
      <c r="G92" s="633">
        <f t="shared" si="78"/>
        <v>0.17112643887740228</v>
      </c>
      <c r="H92" s="633">
        <f t="shared" si="78"/>
        <v>0.17626061056732931</v>
      </c>
      <c r="I92" s="633">
        <f t="shared" si="78"/>
        <v>0.10247533649820187</v>
      </c>
      <c r="J92" s="633">
        <f t="shared" si="78"/>
        <v>0.1160683164505074</v>
      </c>
      <c r="K92" s="633">
        <f t="shared" si="78"/>
        <v>0.23280206914841853</v>
      </c>
    </row>
    <row r="93" spans="1:12">
      <c r="A93" s="267"/>
      <c r="B93" s="294" t="s">
        <v>486</v>
      </c>
      <c r="C93" s="633">
        <f t="shared" ref="C93:K97" si="79">C53*C61*C69*C77*C85</f>
        <v>-1.0215198571771891</v>
      </c>
      <c r="D93" s="633">
        <f t="shared" si="79"/>
        <v>0.22656895139705535</v>
      </c>
      <c r="E93" s="633">
        <f t="shared" si="79"/>
        <v>0.28215712390792108</v>
      </c>
      <c r="F93" s="633">
        <f t="shared" si="79"/>
        <v>1.0767298211611593</v>
      </c>
      <c r="G93" s="633">
        <f t="shared" si="79"/>
        <v>2.017199787588809</v>
      </c>
      <c r="H93" s="633">
        <f t="shared" si="79"/>
        <v>3.0858741159222602</v>
      </c>
      <c r="I93" s="633">
        <f t="shared" si="79"/>
        <v>0.82552503239377184</v>
      </c>
      <c r="J93" s="633">
        <f t="shared" si="79"/>
        <v>0.86308408328208441</v>
      </c>
      <c r="K93" s="633">
        <f t="shared" si="79"/>
        <v>3.7954731567350017</v>
      </c>
    </row>
    <row r="94" spans="1:12">
      <c r="A94" s="267"/>
      <c r="B94" s="294" t="s">
        <v>487</v>
      </c>
      <c r="C94" s="633">
        <f t="shared" si="79"/>
        <v>-0.67667599560045177</v>
      </c>
      <c r="D94" s="633">
        <f t="shared" si="79"/>
        <v>0.48802125902891769</v>
      </c>
      <c r="E94" s="633">
        <f t="shared" si="79"/>
        <v>0.39307412368134587</v>
      </c>
      <c r="F94" s="633">
        <f t="shared" si="79"/>
        <v>0.33443039027006277</v>
      </c>
      <c r="G94" s="633">
        <f t="shared" si="79"/>
        <v>0.36298736070305232</v>
      </c>
      <c r="H94" s="633">
        <f t="shared" si="79"/>
        <v>0.36686027689362483</v>
      </c>
      <c r="I94" s="633">
        <f t="shared" si="79"/>
        <v>0.20772577663579733</v>
      </c>
      <c r="J94" s="633">
        <f t="shared" si="79"/>
        <v>0.46468610217011497</v>
      </c>
      <c r="K94" s="633">
        <f t="shared" si="79"/>
        <v>0.35537047521891718</v>
      </c>
    </row>
    <row r="95" spans="1:12">
      <c r="A95" s="267"/>
      <c r="B95" s="294" t="s">
        <v>488</v>
      </c>
      <c r="C95" s="633">
        <f t="shared" si="79"/>
        <v>-0.15563757420461344</v>
      </c>
      <c r="D95" s="633">
        <f t="shared" si="79"/>
        <v>0.14147444632481371</v>
      </c>
      <c r="E95" s="633">
        <f t="shared" si="79"/>
        <v>0.11981237908607095</v>
      </c>
      <c r="F95" s="633">
        <f t="shared" si="79"/>
        <v>0.32805889551412482</v>
      </c>
      <c r="G95" s="633">
        <f t="shared" si="79"/>
        <v>0.2674971398740954</v>
      </c>
      <c r="H95" s="633">
        <f t="shared" si="79"/>
        <v>0.2839451285020041</v>
      </c>
      <c r="I95" s="633">
        <f t="shared" si="79"/>
        <v>0.32262951100486886</v>
      </c>
      <c r="J95" s="633">
        <f t="shared" si="79"/>
        <v>0.28254183144463824</v>
      </c>
      <c r="K95" s="633">
        <f t="shared" si="79"/>
        <v>0.47657453043938147</v>
      </c>
    </row>
    <row r="96" spans="1:12">
      <c r="A96" s="267"/>
      <c r="B96" s="294" t="s">
        <v>489</v>
      </c>
      <c r="C96" s="633">
        <f t="shared" si="79"/>
        <v>-0.13306435036484587</v>
      </c>
      <c r="D96" s="633">
        <f t="shared" si="79"/>
        <v>7.5856477199065353E-2</v>
      </c>
      <c r="E96" s="633">
        <f t="shared" si="79"/>
        <v>8.7004416907762588E-2</v>
      </c>
      <c r="F96" s="633">
        <f t="shared" si="79"/>
        <v>0.11603012141618647</v>
      </c>
      <c r="G96" s="633">
        <f t="shared" si="79"/>
        <v>0.13431099157161847</v>
      </c>
      <c r="H96" s="633">
        <f t="shared" si="79"/>
        <v>0.17549902676343404</v>
      </c>
      <c r="I96" s="633">
        <f t="shared" si="79"/>
        <v>0.11319347727394242</v>
      </c>
      <c r="J96" s="633">
        <f t="shared" si="79"/>
        <v>0.11662226786222697</v>
      </c>
      <c r="K96" s="633">
        <f t="shared" si="79"/>
        <v>0.18904697517461494</v>
      </c>
    </row>
    <row r="97" spans="1:11">
      <c r="A97" s="269"/>
      <c r="B97" s="1209" t="s">
        <v>490</v>
      </c>
      <c r="C97" s="633">
        <f t="shared" si="79"/>
        <v>-0.12997511946117329</v>
      </c>
      <c r="D97" s="633">
        <f t="shared" si="79"/>
        <v>9.1033456264509913E-2</v>
      </c>
      <c r="E97" s="633">
        <f t="shared" si="79"/>
        <v>0.11193707252940914</v>
      </c>
      <c r="F97" s="633">
        <f t="shared" si="79"/>
        <v>0.67176969030103773</v>
      </c>
      <c r="G97" s="633">
        <f t="shared" si="79"/>
        <v>0.93390191537283207</v>
      </c>
      <c r="H97" s="633">
        <f t="shared" si="79"/>
        <v>1.8082927054441473</v>
      </c>
      <c r="I97" s="633">
        <f t="shared" si="79"/>
        <v>2.4710399645771091</v>
      </c>
      <c r="J97" s="633">
        <f t="shared" si="79"/>
        <v>1.0737719232398029</v>
      </c>
      <c r="K97" s="633">
        <f t="shared" si="79"/>
        <v>3.2437181416767951</v>
      </c>
    </row>
    <row r="98" spans="1:11">
      <c r="A98" s="271"/>
      <c r="B98" s="272" t="s">
        <v>124</v>
      </c>
      <c r="C98" s="1216">
        <f>MEDIAN(C92:C97)</f>
        <v>-0.18921963744049908</v>
      </c>
      <c r="D98" s="1216">
        <f t="shared" ref="D98:K98" si="80">MEDIAN(D92:D97)</f>
        <v>0.14702817710679605</v>
      </c>
      <c r="E98" s="1216">
        <f t="shared" si="80"/>
        <v>0.12920991402362847</v>
      </c>
      <c r="F98" s="1216">
        <f t="shared" si="80"/>
        <v>0.33124464289209377</v>
      </c>
      <c r="G98" s="1216">
        <f t="shared" si="80"/>
        <v>0.31524225028857389</v>
      </c>
      <c r="H98" s="1216">
        <f t="shared" si="80"/>
        <v>0.32540270269781446</v>
      </c>
      <c r="I98" s="1216">
        <f t="shared" si="80"/>
        <v>0.2651776438203331</v>
      </c>
      <c r="J98" s="1216">
        <f t="shared" si="80"/>
        <v>0.37361396680737657</v>
      </c>
      <c r="K98" s="1216">
        <f t="shared" si="80"/>
        <v>0.41597250282914933</v>
      </c>
    </row>
    <row r="99" spans="1:11">
      <c r="C99" s="326"/>
    </row>
    <row r="100" spans="1:11">
      <c r="A100" s="265" t="s">
        <v>503</v>
      </c>
      <c r="B100" s="1208"/>
      <c r="C100" s="266"/>
      <c r="D100" s="266"/>
      <c r="E100" s="266"/>
      <c r="F100" s="266"/>
      <c r="G100" s="266"/>
      <c r="H100" s="266"/>
      <c r="I100" s="266"/>
      <c r="J100" s="266"/>
      <c r="K100" s="266"/>
    </row>
    <row r="101" spans="1:11">
      <c r="A101" s="3" t="s">
        <v>504</v>
      </c>
      <c r="B101" s="3" t="s">
        <v>2</v>
      </c>
      <c r="C101" s="1211">
        <f>'DAL-US IS-adj'!C$11/('DAL-US IS-adj'!C$12+'DAL-US Lease'!D$31)</f>
        <v>-7.6620021528525308</v>
      </c>
      <c r="D101" s="1211">
        <f>'DAL-US IS-adj'!D$11/('DAL-US IS-adj'!D$12+'DAL-US Lease'!E$31)</f>
        <v>28.003322259136201</v>
      </c>
      <c r="E101" s="1211">
        <f>'DAL-US IS-adj'!E$11/('DAL-US IS-adj'!E$12+'DAL-US Lease'!F$31)</f>
        <v>22.475884244373006</v>
      </c>
      <c r="F101" s="1211">
        <f>'DAL-US IS-adj'!F$11/('DAL-US IS-adj'!F$12+'DAL-US Lease'!G$31)</f>
        <v>21.297979797979799</v>
      </c>
      <c r="G101" s="1211">
        <f>'DAL-US IS-adj'!G$11/('DAL-US IS-adj'!G$12+'DAL-US Lease'!H$31)</f>
        <v>23.88402061855669</v>
      </c>
      <c r="H101" s="1211">
        <f>'DAL-US IS-adj'!H$11/('DAL-US IS-adj'!H$12+'DAL-US Lease'!I$31)</f>
        <v>21.575883575883577</v>
      </c>
      <c r="I101" s="1211">
        <f>'DAL-US IS-adj'!I$11/('DAL-US IS-adj'!I$12+'DAL-US Lease'!J$31)</f>
        <v>10.599353796445879</v>
      </c>
      <c r="J101" s="1211">
        <f>'DAL-US IS-adj'!J$11/('DAL-US IS-adj'!J$12+'DAL-US Lease'!K$31)</f>
        <v>5.5093896713614994</v>
      </c>
      <c r="K101" s="1211">
        <f>'DAL-US IS-adj'!K$11/('DAL-US IS-adj'!K$12+'DAL-US Lease'!L$31)</f>
        <v>4.3099999999999987</v>
      </c>
    </row>
    <row r="102" spans="1:11">
      <c r="A102" s="267"/>
      <c r="B102" s="294" t="s">
        <v>486</v>
      </c>
      <c r="C102" s="1211">
        <f>'AC-CA IS-adj'!C$11/('AC-CA IS-adj'!C$12+'AC-CA Lease'!D$31)</f>
        <v>-6.1458003169572111</v>
      </c>
      <c r="D102" s="1211">
        <f>'AC-CA IS-adj'!D$11/('AC-CA IS-adj'!D$12+'AC-CA Lease'!E$31)</f>
        <v>4.9375000000000009</v>
      </c>
      <c r="E102" s="1211">
        <f>'AC-CA IS-adj'!E$11/('AC-CA IS-adj'!E$12+'AC-CA Lease'!F$31)</f>
        <v>1.8913043478260865</v>
      </c>
      <c r="F102" s="1211">
        <f>'AC-CA IS-adj'!F$11/('AC-CA IS-adj'!F$12+'AC-CA Lease'!G$31)</f>
        <v>5.20098643649815</v>
      </c>
      <c r="G102" s="1211">
        <f>'AC-CA IS-adj'!G$11/('AC-CA IS-adj'!G$12+'AC-CA Lease'!H$31)</f>
        <v>6.2103703703703701</v>
      </c>
      <c r="H102" s="1211">
        <f>'AC-CA IS-adj'!H$11/('AC-CA IS-adj'!H$12+'AC-CA Lease'!I$31)</f>
        <v>6.1816208393632417</v>
      </c>
      <c r="I102" s="1211">
        <f>'AC-CA IS-adj'!I$11/('AC-CA IS-adj'!I$12+'AC-CA Lease'!J$31)</f>
        <v>6.258594917787744</v>
      </c>
      <c r="J102" s="1211">
        <f>'AC-CA IS-adj'!J$11/('AC-CA IS-adj'!J$12+'AC-CA Lease'!K$31)</f>
        <v>3.9061662600536189</v>
      </c>
      <c r="K102" s="1211">
        <f>'AC-CA IS-adj'!K$11/('AC-CA IS-adj'!K$12+'AC-CA Lease'!L$31)</f>
        <v>9.9265734265734302</v>
      </c>
    </row>
    <row r="103" spans="1:11">
      <c r="A103" s="267"/>
      <c r="B103" s="294" t="s">
        <v>487</v>
      </c>
      <c r="C103" s="1211">
        <f>'AAL-US IS-adj'!C$11/('AAL-US IS-adj'!C$12+'AAL-US Lease'!D$31)</f>
        <v>-6.5069274653626739</v>
      </c>
      <c r="D103" s="1211">
        <f>'AAL-US IS-adj'!D$11/('AAL-US IS-adj'!D$12+'AAL-US Lease'!E$31)</f>
        <v>8.6018264840182663</v>
      </c>
      <c r="E103" s="1211">
        <f>'AAL-US IS-adj'!E$11/('AAL-US IS-adj'!E$12+'AAL-US Lease'!F$31)</f>
        <v>2.7616454930429519</v>
      </c>
      <c r="F103" s="1211">
        <f>'AAL-US IS-adj'!F$11/('AAL-US IS-adj'!F$12+'AAL-US Lease'!G$31)</f>
        <v>3.8809597047062434</v>
      </c>
      <c r="G103" s="1211">
        <f>'AAL-US IS-adj'!G$11/('AAL-US IS-adj'!G$12+'AAL-US Lease'!H$31)</f>
        <v>4.0908949899177909</v>
      </c>
      <c r="H103" s="1211">
        <f>'AAL-US IS-adj'!H$11/('AAL-US IS-adj'!H$12+'AAL-US Lease'!I$31)</f>
        <v>4.6016841436288543</v>
      </c>
      <c r="I103" s="1211">
        <f>'AAL-US IS-adj'!I$11/('AAL-US IS-adj'!I$12+'AAL-US Lease'!J$31)</f>
        <v>6.2421875</v>
      </c>
      <c r="J103" s="1211">
        <f>'AAL-US IS-adj'!J$11/('AAL-US IS-adj'!J$12+'AAL-US Lease'!K$31)</f>
        <v>3.1126968503937005</v>
      </c>
      <c r="K103" s="1211">
        <f>'AAL-US IS-adj'!K$11/('AAL-US IS-adj'!K$12+'AAL-US Lease'!L$31)</f>
        <v>2.4469453376205781</v>
      </c>
    </row>
    <row r="104" spans="1:11">
      <c r="A104" s="267"/>
      <c r="B104" s="294" t="s">
        <v>488</v>
      </c>
      <c r="C104" s="1211">
        <f>'ALK-US IS-adj'!C$11/('ALK-US IS-adj'!C$12+'ALK-US Lease'!D$31)</f>
        <v>-14.758620689655171</v>
      </c>
      <c r="D104" s="1211">
        <f>'ALK-US IS-adj'!D$11/('ALK-US IS-adj'!D$12+'ALK-US Lease'!E$31)</f>
        <v>3.7269700332963396</v>
      </c>
      <c r="E104" s="1211">
        <f>'ALK-US IS-adj'!E$11/('ALK-US IS-adj'!E$12+'ALK-US Lease'!F$31)</f>
        <v>2.6184738955823272</v>
      </c>
      <c r="F104" s="1211">
        <f>'ALK-US IS-adj'!F$11/('ALK-US IS-adj'!F$12+'ALK-US Lease'!G$31)</f>
        <v>10.338729763387297</v>
      </c>
      <c r="G104" s="1211">
        <f>'ALK-US IS-adj'!G$11/('ALK-US IS-adj'!G$12+'ALK-US Lease'!H$31)</f>
        <v>17.110169491525426</v>
      </c>
      <c r="H104" s="1211">
        <f>'ALK-US IS-adj'!H$11/('ALK-US IS-adj'!H$12+'ALK-US Lease'!I$31)</f>
        <v>17.220524017467248</v>
      </c>
      <c r="I104" s="1211">
        <f>'ALK-US IS-adj'!I$11/('ALK-US IS-adj'!I$12+'ALK-US Lease'!J$31)</f>
        <v>16.271889400921662</v>
      </c>
      <c r="J104" s="1211">
        <f>'ALK-US IS-adj'!J$11/('ALK-US IS-adj'!J$12+'ALK-US Lease'!K$31)</f>
        <v>8.5367928541046378</v>
      </c>
      <c r="K104" s="1211">
        <f>'ALK-US IS-adj'!K$11/('ALK-US IS-adj'!K$12+'ALK-US Lease'!L$31)</f>
        <v>7.7696737044145872</v>
      </c>
    </row>
    <row r="105" spans="1:11">
      <c r="A105" s="267"/>
      <c r="B105" s="294" t="s">
        <v>489</v>
      </c>
      <c r="C105" s="1211">
        <f>'LUV-US IS-adj'!C$11/('LUV-US IS-adj'!C$12+'LUV-US Lease'!D$31)</f>
        <v>-15.605960264900666</v>
      </c>
      <c r="D105" s="1211">
        <f>'LUV-US IS-adj'!D$11/('LUV-US IS-adj'!D$12+'LUV-US Lease'!E$31)</f>
        <v>5.8180058083252701</v>
      </c>
      <c r="E105" s="1211">
        <f>'LUV-US IS-adj'!E$11/('LUV-US IS-adj'!E$12+'LUV-US Lease'!F$31)</f>
        <v>4.3525377229080933</v>
      </c>
      <c r="F105" s="1211">
        <f>'LUV-US IS-adj'!F$11/('LUV-US IS-adj'!F$12+'LUV-US Lease'!G$31)</f>
        <v>10.470489038785836</v>
      </c>
      <c r="G105" s="1211">
        <f>'LUV-US IS-adj'!G$11/('LUV-US IS-adj'!G$12+'LUV-US Lease'!H$31)</f>
        <v>8.5119047619047645</v>
      </c>
      <c r="H105" s="1211">
        <f>'LUV-US IS-adj'!H$11/('LUV-US IS-adj'!H$12+'LUV-US Lease'!I$31)</f>
        <v>9.6216407355021207</v>
      </c>
      <c r="I105" s="1211">
        <f>'LUV-US IS-adj'!I$11/('LUV-US IS-adj'!I$12+'LUV-US Lease'!J$31)</f>
        <v>5.6039119804400981</v>
      </c>
      <c r="J105" s="1211">
        <f>'LUV-US IS-adj'!J$11/('LUV-US IS-adj'!J$12+'LUV-US Lease'!K$31)</f>
        <v>2.8800000000000012</v>
      </c>
      <c r="K105" s="1211">
        <f>'LUV-US IS-adj'!K$11/('LUV-US IS-adj'!K$12+'LUV-US Lease'!L$31)</f>
        <v>4.0683593750000018</v>
      </c>
    </row>
    <row r="106" spans="1:11">
      <c r="A106" s="269"/>
      <c r="B106" s="1209" t="s">
        <v>490</v>
      </c>
      <c r="C106" s="1211">
        <f>'skyw-US IS-adj'!C$11/('skyw-US IS-adj'!C$12+'skyw-US Lease'!D$31)</f>
        <v>-1.9215980775007528</v>
      </c>
      <c r="D106" s="1211">
        <f>'skyw-US IS-adj'!D$11/('skyw-US IS-adj'!D$12+'skyw-US Lease'!E$31)</f>
        <v>4.1808696332824571</v>
      </c>
      <c r="E106" s="1211">
        <f>'skyw-US IS-adj'!E$11/('skyw-US IS-adj'!E$12+'skyw-US Lease'!F$31)</f>
        <v>3.9388999161192273</v>
      </c>
      <c r="F106" s="1211">
        <f>'skyw-US IS-adj'!F$11/('skyw-US IS-adj'!F$12+'skyw-US Lease'!G$31)</f>
        <v>25.143664522277817</v>
      </c>
      <c r="G106" s="1211">
        <f>'skyw-US IS-adj'!G$11/('skyw-US IS-adj'!G$12+'skyw-US Lease'!H$31)</f>
        <v>5.9145196255113834</v>
      </c>
      <c r="H106" s="1211">
        <f>'skyw-US IS-adj'!H$11/('skyw-US IS-adj'!H$12+'skyw-US Lease'!I$31)</f>
        <v>5.4070021018579197</v>
      </c>
      <c r="I106" s="1211">
        <f>'skyw-US IS-adj'!I$11/('skyw-US IS-adj'!I$12+'skyw-US Lease'!J$31)</f>
        <v>5.2128992894179209</v>
      </c>
      <c r="J106" s="1211">
        <f>'skyw-US IS-adj'!J$11/('skyw-US IS-adj'!J$12+'skyw-US Lease'!K$31)</f>
        <v>2.5738971362106482</v>
      </c>
      <c r="K106" s="1211">
        <f>'skyw-US IS-adj'!K$11/('skyw-US IS-adj'!K$12+'skyw-US Lease'!L$31)</f>
        <v>6.4703448704460804</v>
      </c>
    </row>
    <row r="107" spans="1:11">
      <c r="A107" s="271"/>
      <c r="B107" s="272" t="s">
        <v>124</v>
      </c>
      <c r="C107" s="1214">
        <f>MEDIAN(C102:C106)</f>
        <v>-6.5069274653626739</v>
      </c>
      <c r="D107" s="1214">
        <f t="shared" ref="D107:K107" si="81">MEDIAN(D102:D106)</f>
        <v>4.9375000000000009</v>
      </c>
      <c r="E107" s="1214">
        <f t="shared" si="81"/>
        <v>2.7616454930429519</v>
      </c>
      <c r="F107" s="1214">
        <f t="shared" si="81"/>
        <v>10.338729763387297</v>
      </c>
      <c r="G107" s="1214">
        <f t="shared" si="81"/>
        <v>6.2103703703703701</v>
      </c>
      <c r="H107" s="1214">
        <f t="shared" si="81"/>
        <v>6.1816208393632417</v>
      </c>
      <c r="I107" s="1214">
        <f t="shared" si="81"/>
        <v>6.2421875</v>
      </c>
      <c r="J107" s="1214">
        <f t="shared" si="81"/>
        <v>3.1126968503937005</v>
      </c>
      <c r="K107" s="1214">
        <f t="shared" si="81"/>
        <v>6.4703448704460804</v>
      </c>
    </row>
    <row r="108" spans="1:11">
      <c r="C108" s="326"/>
    </row>
    <row r="109" spans="1:11">
      <c r="A109" s="3" t="s">
        <v>505</v>
      </c>
      <c r="B109" s="3" t="s">
        <v>2</v>
      </c>
      <c r="C109" s="1211">
        <f>'DAL-US BS-adj'!C$33/'DAL-US BS-adj'!C$21</f>
        <v>0.9786932607367077</v>
      </c>
      <c r="D109" s="1211">
        <f>'DAL-US BS-adj'!D$33/'DAL-US BS-adj'!D$21</f>
        <v>0.7620095456517697</v>
      </c>
      <c r="E109" s="1211">
        <f>'DAL-US BS-adj'!E$33/'DAL-US BS-adj'!E$21</f>
        <v>0.77289018683834998</v>
      </c>
      <c r="F109" s="1211">
        <f>'DAL-US BS-adj'!F$33/'DAL-US BS-adj'!F$21</f>
        <v>0.76210835955671086</v>
      </c>
      <c r="G109" s="1211">
        <f>'DAL-US BS-adj'!G$33/'DAL-US BS-adj'!G$21</f>
        <v>0.79138864836414879</v>
      </c>
      <c r="H109" s="1211">
        <f>'DAL-US BS-adj'!H$33/'DAL-US BS-adj'!H$21</f>
        <v>0.82105749249595938</v>
      </c>
      <c r="I109" s="1211">
        <f>'DAL-US BS-adj'!I$33/'DAL-US BS-adj'!I$21</f>
        <v>0.83716117588366801</v>
      </c>
      <c r="J109" s="1211">
        <f>'DAL-US BS-adj'!J$33/'DAL-US BS-adj'!J$21</f>
        <v>0.80397009798969588</v>
      </c>
      <c r="K109" s="1211">
        <f>'DAL-US BS-adj'!K$33/'DAL-US BS-adj'!K$21</f>
        <v>1.0478338945005612</v>
      </c>
    </row>
    <row r="110" spans="1:11">
      <c r="A110" s="267"/>
      <c r="B110" s="294" t="s">
        <v>486</v>
      </c>
      <c r="C110" s="1211">
        <f>'AC-CA BS-adj'!C$33/'AC-CA BS-adj'!C$21</f>
        <v>0.94068412132950574</v>
      </c>
      <c r="D110" s="1211">
        <f>'AC-CA BS-adj'!D$33/'AC-CA BS-adj'!D$21</f>
        <v>0.84149284916603628</v>
      </c>
      <c r="E110" s="1211">
        <f>'AC-CA BS-adj'!E$33/'AC-CA BS-adj'!E$21</f>
        <v>0.85024905177535082</v>
      </c>
      <c r="F110" s="1211">
        <f>'AC-CA BS-adj'!F$33/'AC-CA BS-adj'!F$21</f>
        <v>0.83122668778581144</v>
      </c>
      <c r="G110" s="1211">
        <f>'AC-CA BS-adj'!G$33/'AC-CA BS-adj'!G$21</f>
        <v>0.92961124016368213</v>
      </c>
      <c r="H110" s="1211">
        <f>'AC-CA BS-adj'!H$33/'AC-CA BS-adj'!H$21</f>
        <v>0.99736575847522035</v>
      </c>
      <c r="I110" s="1211">
        <f>'AC-CA BS-adj'!I$33/'AC-CA BS-adj'!I$21</f>
        <v>1.0938364920968464</v>
      </c>
      <c r="J110" s="1211">
        <f>'AC-CA BS-adj'!J$33/'AC-CA BS-adj'!J$21</f>
        <v>1.127294330317218</v>
      </c>
      <c r="K110" s="1211">
        <f>'AC-CA BS-adj'!K$33/'AC-CA BS-adj'!K$21</f>
        <v>1.3185867647394212</v>
      </c>
    </row>
    <row r="111" spans="1:11">
      <c r="A111" s="267"/>
      <c r="B111" s="294" t="s">
        <v>487</v>
      </c>
      <c r="C111" s="1211">
        <f>'AAL-US BS-adj'!C$33/'AAL-US BS-adj'!C$21</f>
        <v>1.1107437749967746</v>
      </c>
      <c r="D111" s="1211">
        <f>'AAL-US BS-adj'!D$33/'AAL-US BS-adj'!D$21</f>
        <v>1.0019668305692142</v>
      </c>
      <c r="E111" s="1211">
        <f>'AAL-US BS-adj'!E$33/'AAL-US BS-adj'!E$21</f>
        <v>1.0027896995708154</v>
      </c>
      <c r="F111" s="1211">
        <f>'AAL-US BS-adj'!F$33/'AAL-US BS-adj'!F$21</f>
        <v>1.012043252769647</v>
      </c>
      <c r="G111" s="1211">
        <f>'AAL-US BS-adj'!G$33/'AAL-US BS-adj'!G$21</f>
        <v>0.93908873517399871</v>
      </c>
      <c r="H111" s="1211">
        <f>'AAL-US BS-adj'!H$33/'AAL-US BS-adj'!H$21</f>
        <v>0.90631678332184074</v>
      </c>
      <c r="I111" s="1211">
        <f>'AAL-US BS-adj'!I$33/'AAL-US BS-adj'!I$21</f>
        <v>0.96364996973304917</v>
      </c>
      <c r="J111" s="1211">
        <f>'AAL-US BS-adj'!J$33/'AAL-US BS-adj'!J$21</f>
        <v>1.049484302919766</v>
      </c>
      <c r="K111" s="1211">
        <f>'AAL-US BS-adj'!K$33/'AAL-US BS-adj'!K$21</f>
        <v>1.2598895546128395</v>
      </c>
    </row>
    <row r="112" spans="1:11">
      <c r="A112" s="267"/>
      <c r="B112" s="294" t="s">
        <v>488</v>
      </c>
      <c r="C112" s="1211">
        <f>'ALK-US BS-adj'!C$33/'ALK-US BS-adj'!C$21</f>
        <v>0.80378250591016553</v>
      </c>
      <c r="D112" s="1211">
        <f>'ALK-US BS-adj'!D$33/'ALK-US BS-adj'!D$21</f>
        <v>0.69066495250339266</v>
      </c>
      <c r="E112" s="1211">
        <f>'ALK-US BS-adj'!E$33/'ALK-US BS-adj'!E$21</f>
        <v>0.72447634954512519</v>
      </c>
      <c r="F112" s="1211">
        <f>'ALK-US BS-adj'!F$33/'ALK-US BS-adj'!F$21</f>
        <v>0.74988716301541292</v>
      </c>
      <c r="G112" s="1211">
        <f>'ALK-US BS-adj'!G$33/'ALK-US BS-adj'!G$21</f>
        <v>0.76839991965975629</v>
      </c>
      <c r="H112" s="1211">
        <f>'ALK-US BS-adj'!H$33/'ALK-US BS-adj'!H$21</f>
        <v>0.71258772554491356</v>
      </c>
      <c r="I112" s="1211">
        <f>'ALK-US BS-adj'!I$33/'ALK-US BS-adj'!I$21</f>
        <v>0.70490795245754589</v>
      </c>
      <c r="J112" s="1211">
        <f>'ALK-US BS-adj'!J$33/'ALK-US BS-adj'!J$21</f>
        <v>0.6963009583470573</v>
      </c>
      <c r="K112" s="1211">
        <f>'ALK-US BS-adj'!K$33/'ALK-US BS-adj'!K$21</f>
        <v>0.77522733648769349</v>
      </c>
    </row>
    <row r="113" spans="1:11">
      <c r="A113" s="267"/>
      <c r="B113" s="294" t="s">
        <v>489</v>
      </c>
      <c r="C113" s="1211">
        <f>'LUV-US BS-adj'!C$33/'LUV-US BS-adj'!C$21</f>
        <v>0.7573073032018155</v>
      </c>
      <c r="D113" s="1211">
        <f>'LUV-US BS-adj'!D$33/'LUV-US BS-adj'!D$21</f>
        <v>0.63602709806389512</v>
      </c>
      <c r="E113" s="1211">
        <f>'LUV-US BS-adj'!E$33/'LUV-US BS-adj'!E$21</f>
        <v>0.65512083310656644</v>
      </c>
      <c r="F113" s="1211">
        <f>'LUV-US BS-adj'!F$33/'LUV-US BS-adj'!F$21</f>
        <v>0.65733444837324262</v>
      </c>
      <c r="G113" s="1211">
        <f>'LUV-US BS-adj'!G$33/'LUV-US BS-adj'!G$21</f>
        <v>0.69173387338949743</v>
      </c>
      <c r="H113" s="1211">
        <f>'LUV-US BS-adj'!H$33/'LUV-US BS-adj'!H$21</f>
        <v>0.72178747713565239</v>
      </c>
      <c r="I113" s="1211">
        <f>'LUV-US BS-adj'!I$33/'LUV-US BS-adj'!I$21</f>
        <v>0.71009151063944898</v>
      </c>
      <c r="J113" s="1211">
        <f>'LUV-US BS-adj'!J$33/'LUV-US BS-adj'!J$21</f>
        <v>0.67467097490577477</v>
      </c>
      <c r="K113" s="1211">
        <f>'LUV-US BS-adj'!K$33/'LUV-US BS-adj'!K$21</f>
        <v>0.6845922794680096</v>
      </c>
    </row>
    <row r="114" spans="1:11">
      <c r="A114" s="269"/>
      <c r="B114" s="1209" t="s">
        <v>490</v>
      </c>
      <c r="C114" s="1211">
        <f>'skyw-US BS-adj'!C$33/'skyw-US BS-adj'!C$21</f>
        <v>0.70332562278122879</v>
      </c>
      <c r="D114" s="1211">
        <f>'skyw-US BS-adj'!D$33/'skyw-US BS-adj'!D$21</f>
        <v>0.67328047871687635</v>
      </c>
      <c r="E114" s="1211">
        <f>'skyw-US BS-adj'!E$33/'skyw-US BS-adj'!E$21</f>
        <v>0.70756282550773941</v>
      </c>
      <c r="F114" s="1211">
        <f>'skyw-US BS-adj'!F$33/'skyw-US BS-adj'!F$21</f>
        <v>0.67954077159140724</v>
      </c>
      <c r="G114" s="1211">
        <f>'skyw-US BS-adj'!G$33/'skyw-US BS-adj'!G$21</f>
        <v>0.73024117975241853</v>
      </c>
      <c r="H114" s="1211">
        <f>'skyw-US BS-adj'!H$33/'skyw-US BS-adj'!H$21</f>
        <v>0.68497698863066048</v>
      </c>
      <c r="I114" s="1211">
        <f>'skyw-US BS-adj'!I$33/'skyw-US BS-adj'!I$21</f>
        <v>0.75350295532410883</v>
      </c>
      <c r="J114" s="1211">
        <f>'skyw-US BS-adj'!J$33/'skyw-US BS-adj'!J$21</f>
        <v>0.75214407545461726</v>
      </c>
      <c r="K114" s="1211">
        <f>'skyw-US BS-adj'!K$33/'skyw-US BS-adj'!K$21</f>
        <v>0.77080283383890613</v>
      </c>
    </row>
    <row r="115" spans="1:11">
      <c r="A115" s="271"/>
      <c r="B115" s="272" t="s">
        <v>124</v>
      </c>
      <c r="C115" s="1214">
        <f>MEDIAN(C110:C114)</f>
        <v>0.80378250591016553</v>
      </c>
      <c r="D115" s="1214">
        <f t="shared" ref="D115:K115" si="82">MEDIAN(D110:D114)</f>
        <v>0.69066495250339266</v>
      </c>
      <c r="E115" s="1214">
        <f t="shared" si="82"/>
        <v>0.72447634954512519</v>
      </c>
      <c r="F115" s="1214">
        <f t="shared" si="82"/>
        <v>0.74988716301541292</v>
      </c>
      <c r="G115" s="1214">
        <f t="shared" si="82"/>
        <v>0.76839991965975629</v>
      </c>
      <c r="H115" s="1214">
        <f t="shared" si="82"/>
        <v>0.72178747713565239</v>
      </c>
      <c r="I115" s="1214">
        <f t="shared" si="82"/>
        <v>0.75350295532410883</v>
      </c>
      <c r="J115" s="1214">
        <f t="shared" si="82"/>
        <v>0.75214407545461726</v>
      </c>
      <c r="K115" s="1214">
        <f t="shared" si="82"/>
        <v>0.77522733648769349</v>
      </c>
    </row>
    <row r="116" spans="1:11">
      <c r="A116" s="326"/>
      <c r="B116" s="326"/>
      <c r="C116" s="326"/>
    </row>
    <row r="117" spans="1:11">
      <c r="C117" s="326"/>
    </row>
    <row r="118" spans="1:11">
      <c r="C118" s="326"/>
    </row>
    <row r="119" spans="1:11">
      <c r="C119" s="326"/>
    </row>
    <row r="120" spans="1:11">
      <c r="C120" s="326"/>
    </row>
    <row r="121" spans="1:11">
      <c r="C121" s="326"/>
    </row>
    <row r="122" spans="1:11">
      <c r="C122" s="326"/>
    </row>
    <row r="123" spans="1:11">
      <c r="C123" s="326"/>
    </row>
    <row r="124" spans="1:11">
      <c r="C124" s="326"/>
    </row>
    <row r="125" spans="1:11">
      <c r="C125" s="326"/>
    </row>
    <row r="126" spans="1:11">
      <c r="C126" s="326"/>
    </row>
    <row r="127" spans="1:11">
      <c r="A127" s="372"/>
      <c r="B127" s="326"/>
      <c r="C127" s="1223"/>
      <c r="D127" s="1223"/>
      <c r="E127" s="1223"/>
      <c r="F127" s="1223"/>
      <c r="G127" s="1223"/>
      <c r="H127" s="1223"/>
      <c r="I127" s="1223"/>
      <c r="J127" s="1223"/>
      <c r="K127" s="1223"/>
    </row>
    <row r="128" spans="1:11">
      <c r="A128" s="294"/>
      <c r="B128" s="294"/>
      <c r="C128" s="1223"/>
      <c r="D128" s="1223"/>
      <c r="E128" s="1223"/>
      <c r="F128" s="1223"/>
      <c r="G128" s="1223"/>
      <c r="H128" s="1223"/>
      <c r="I128" s="1223"/>
      <c r="J128" s="1223"/>
      <c r="K128" s="1223"/>
    </row>
    <row r="129" spans="1:11">
      <c r="A129" s="294"/>
      <c r="B129" s="294"/>
      <c r="C129" s="1223"/>
      <c r="D129" s="1223"/>
      <c r="E129" s="1223"/>
      <c r="F129" s="1223"/>
      <c r="G129" s="1223"/>
      <c r="H129" s="1223"/>
      <c r="I129" s="1223"/>
      <c r="J129" s="1223"/>
      <c r="K129" s="1223"/>
    </row>
    <row r="130" spans="1:11">
      <c r="A130" s="294"/>
      <c r="B130" s="294"/>
      <c r="C130" s="1223"/>
      <c r="D130" s="1223"/>
      <c r="E130" s="1223"/>
      <c r="F130" s="1223"/>
      <c r="G130" s="1223"/>
      <c r="H130" s="1223"/>
      <c r="I130" s="1223"/>
      <c r="J130" s="1223"/>
      <c r="K130" s="1223"/>
    </row>
    <row r="131" spans="1:11">
      <c r="A131" s="294"/>
      <c r="B131" s="294"/>
      <c r="C131" s="1223"/>
      <c r="D131" s="1223"/>
      <c r="E131" s="1223"/>
      <c r="F131" s="1223"/>
      <c r="G131" s="1223"/>
      <c r="H131" s="1223"/>
      <c r="I131" s="1223"/>
      <c r="J131" s="1223"/>
      <c r="K131" s="1223"/>
    </row>
    <row r="132" spans="1:11">
      <c r="A132" s="294"/>
      <c r="B132" s="294"/>
      <c r="C132" s="1223"/>
      <c r="D132" s="1223"/>
      <c r="E132" s="1223"/>
      <c r="F132" s="1223"/>
      <c r="G132" s="1223"/>
      <c r="H132" s="1223"/>
      <c r="I132" s="1223"/>
      <c r="J132" s="1223"/>
      <c r="K132" s="1223"/>
    </row>
    <row r="133" spans="1:11">
      <c r="A133" s="272"/>
      <c r="B133" s="272"/>
      <c r="C133" s="1224"/>
      <c r="D133" s="1224"/>
      <c r="E133" s="1224"/>
      <c r="F133" s="1224"/>
      <c r="G133" s="1224"/>
      <c r="H133" s="1224"/>
      <c r="I133" s="1224"/>
      <c r="J133" s="1224"/>
      <c r="K133" s="1224"/>
    </row>
    <row r="134" spans="1:11">
      <c r="C134" s="326"/>
    </row>
    <row r="135" spans="1:11">
      <c r="C135" s="326"/>
    </row>
    <row r="136" spans="1:11">
      <c r="C136" s="326"/>
    </row>
    <row r="137" spans="1:11">
      <c r="C137" s="326"/>
    </row>
    <row r="138" spans="1:11">
      <c r="C138" s="326"/>
    </row>
    <row r="139" spans="1:11">
      <c r="C139" s="326"/>
    </row>
    <row r="140" spans="1:11">
      <c r="C140" s="326"/>
    </row>
    <row r="141" spans="1:11">
      <c r="C141" s="326"/>
    </row>
    <row r="142" spans="1:11">
      <c r="C142" s="326"/>
    </row>
    <row r="143" spans="1:11">
      <c r="C143" s="326"/>
    </row>
    <row r="144" spans="1:11">
      <c r="C144" s="326"/>
    </row>
    <row r="145" spans="3:3">
      <c r="C145" s="326"/>
    </row>
    <row r="146" spans="3:3">
      <c r="C146" s="326"/>
    </row>
    <row r="147" spans="3:3">
      <c r="C147" s="326"/>
    </row>
    <row r="148" spans="3:3">
      <c r="C148" s="326"/>
    </row>
    <row r="149" spans="3:3">
      <c r="C149" s="326"/>
    </row>
    <row r="150" spans="3:3">
      <c r="C150" s="326"/>
    </row>
    <row r="151" spans="3:3">
      <c r="C151" s="326"/>
    </row>
    <row r="152" spans="3:3">
      <c r="C152" s="326"/>
    </row>
    <row r="153" spans="3:3">
      <c r="C153" s="326"/>
    </row>
    <row r="154" spans="3:3">
      <c r="C154" s="326"/>
    </row>
    <row r="155" spans="3:3">
      <c r="C155" s="326"/>
    </row>
    <row r="156" spans="3:3">
      <c r="C156" s="326"/>
    </row>
    <row r="157" spans="3:3">
      <c r="C157" s="326"/>
    </row>
    <row r="158" spans="3:3">
      <c r="C158" s="326"/>
    </row>
    <row r="159" spans="3:3">
      <c r="C159" s="326"/>
    </row>
    <row r="160" spans="3:3">
      <c r="C160" s="326"/>
    </row>
    <row r="161" spans="3:3">
      <c r="C161" s="326"/>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11">
    <tabColor theme="9" tint="0.79998168889431442"/>
  </sheetPr>
  <dimension ref="A1:M49"/>
  <sheetViews>
    <sheetView workbookViewId="0">
      <selection activeCell="B5" sqref="B5"/>
    </sheetView>
  </sheetViews>
  <sheetFormatPr defaultColWidth="11.28515625" defaultRowHeight="15"/>
  <cols>
    <col min="1" max="1" width="27.7109375" style="7" bestFit="1" customWidth="1"/>
    <col min="2" max="6" width="11.7109375" style="7" customWidth="1"/>
    <col min="7" max="12" width="11.7109375" style="3" customWidth="1"/>
    <col min="13" max="16384" width="11.28515625" style="3"/>
  </cols>
  <sheetData>
    <row r="1" spans="1:13" s="340" customFormat="1" ht="26.1" customHeight="1">
      <c r="A1" s="371" t="s">
        <v>506</v>
      </c>
      <c r="B1" s="340">
        <f>'DAL-US IS-adj'!B1</f>
        <v>0</v>
      </c>
    </row>
    <row r="2" spans="1:13">
      <c r="A2" s="2" t="str">
        <f>'DAL-US IS-adj'!A2</f>
        <v>Ticker</v>
      </c>
      <c r="B2" s="2" t="str">
        <f>'At a Glance'!CPYATGLANCEFF_RWIdentifier</f>
        <v>DAL-US</v>
      </c>
      <c r="C2" s="2"/>
      <c r="D2" s="2"/>
      <c r="E2" s="2"/>
      <c r="F2" s="2"/>
      <c r="G2" s="327"/>
      <c r="H2" s="327"/>
      <c r="I2" s="327"/>
      <c r="J2" s="327"/>
      <c r="K2" s="327"/>
      <c r="L2" s="327"/>
      <c r="M2" s="327"/>
    </row>
    <row r="3" spans="1:13">
      <c r="A3" s="4" t="s">
        <v>507</v>
      </c>
      <c r="B3" s="1055" t="s">
        <v>355</v>
      </c>
      <c r="C3" s="5"/>
      <c r="D3" s="5"/>
      <c r="E3" s="5"/>
      <c r="F3" s="5"/>
      <c r="G3" s="6"/>
    </row>
    <row r="4" spans="1:13">
      <c r="A4" s="5" t="s">
        <v>508</v>
      </c>
      <c r="B4" s="918">
        <v>10</v>
      </c>
      <c r="C4" s="5"/>
      <c r="D4" s="5"/>
      <c r="E4" s="5"/>
    </row>
    <row r="5" spans="1:13">
      <c r="A5" s="5" t="s">
        <v>465</v>
      </c>
      <c r="B5" s="1110">
        <v>0.28999999999999998</v>
      </c>
      <c r="C5" s="5"/>
      <c r="D5" s="1111"/>
      <c r="E5" s="5"/>
    </row>
    <row r="8" spans="1:13">
      <c r="A8" s="380" t="s">
        <v>509</v>
      </c>
      <c r="B8" s="380"/>
      <c r="C8" s="896" t="str">
        <f>'DAL-US IS-adj'!C5</f>
        <v>12/2020</v>
      </c>
      <c r="D8" s="896" t="str">
        <f>'DAL-US IS-adj'!D5</f>
        <v>12/2019</v>
      </c>
      <c r="E8" s="896" t="str">
        <f>'DAL-US IS-adj'!E5</f>
        <v>12/2018</v>
      </c>
      <c r="F8" s="896" t="str">
        <f>'DAL-US IS-adj'!F5</f>
        <v>12/2017</v>
      </c>
      <c r="G8" s="896" t="str">
        <f>'DAL-US IS-adj'!G5</f>
        <v>12/2016</v>
      </c>
      <c r="H8" s="896" t="str">
        <f>'DAL-US IS-adj'!H5</f>
        <v>12/2015</v>
      </c>
      <c r="I8" s="896" t="str">
        <f>'DAL-US IS-adj'!I5</f>
        <v>12/2014</v>
      </c>
      <c r="J8" s="896" t="str">
        <f>'DAL-US IS-adj'!J5</f>
        <v>12/2013</v>
      </c>
      <c r="K8" s="896" t="str">
        <f>'DAL-US IS-adj'!K5</f>
        <v>12/2012</v>
      </c>
      <c r="L8" s="896" t="str">
        <f>'DAL-US IS-adj'!L5</f>
        <v>12/2011</v>
      </c>
    </row>
    <row r="9" spans="1:13">
      <c r="A9" s="897"/>
      <c r="B9" s="898"/>
      <c r="C9" s="899" t="str">
        <f>'DAL-US IS-adj'!C6</f>
        <v>366 DAYS</v>
      </c>
      <c r="D9" s="899" t="str">
        <f>'DAL-US IS-adj'!D6</f>
        <v>365 DAYS</v>
      </c>
      <c r="E9" s="899" t="str">
        <f>'DAL-US IS-adj'!E6</f>
        <v>365 DAYS</v>
      </c>
      <c r="F9" s="899" t="str">
        <f>'DAL-US IS-adj'!F6</f>
        <v>365 DAYS</v>
      </c>
      <c r="G9" s="899" t="str">
        <f>'DAL-US IS-adj'!G6</f>
        <v>366 DAYS</v>
      </c>
      <c r="H9" s="899" t="str">
        <f>'DAL-US IS-adj'!H6</f>
        <v>365 DAYS</v>
      </c>
      <c r="I9" s="899" t="str">
        <f>'DAL-US IS-adj'!I6</f>
        <v>365 DAYS</v>
      </c>
      <c r="J9" s="899" t="str">
        <f>'DAL-US IS-adj'!J6</f>
        <v>365 DAYS</v>
      </c>
      <c r="K9" s="899" t="str">
        <f>'DAL-US IS-adj'!K6</f>
        <v>366 DAYS</v>
      </c>
      <c r="L9" s="899" t="str">
        <f>'DAL-US IS-adj'!L6</f>
        <v>365 DAYS</v>
      </c>
    </row>
    <row r="10" spans="1:13">
      <c r="A10" s="8">
        <v>0</v>
      </c>
      <c r="B10" s="2">
        <v>1</v>
      </c>
      <c r="C10" s="2" cm="1">
        <f t="array" ref="C10">IFERROR(IF($B$4&gt;=1,-_xll.FDS($B$2,"FF_ARPT_SERIES('RESEARCH AND DEVELOPMENT',ANN,0,,B,""IS"")"),0),)</f>
        <v>0</v>
      </c>
      <c r="D10" s="2" cm="1">
        <f t="array" ref="D10">IFERROR(IF($B$4&gt;=1,-_xll.FDS($B$2,"FF_ARPT_SERIES('RESEARCH AND DEVELOPMENT',ANN,-1,,B,""IS"")"),0),)</f>
        <v>0</v>
      </c>
      <c r="E10" s="2" cm="1">
        <f t="array" ref="E10">IFERROR(IF($B$4&gt;=1,-_xll.FDS($B$2,"FF_ARPT_SERIES('RESEARCH AND DEVELOPMENT',ANN,-2,,B,""IS"")"),0),)</f>
        <v>0</v>
      </c>
      <c r="F10" s="2" cm="1">
        <f t="array" ref="F10">IFERROR(IF($B$4&gt;=1,-_xll.FDS($B$2,"FF_ARPT_SERIES('RESEARCH AND DEVELOPMENT',ANN,-3,,B,""IS"")"),0),)</f>
        <v>0</v>
      </c>
      <c r="G10" s="2" cm="1">
        <f t="array" ref="G10">IFERROR(IF($B$4&gt;=1,-_xll.FDS($B$2,"FF_ARPT_SERIES('RESEARCH AND DEVELOPMENT',ANN,-4,,B,""IS"")"),0),)</f>
        <v>0</v>
      </c>
      <c r="H10" s="2" cm="1">
        <f t="array" ref="H10">IFERROR(IF($B$4&gt;=1,-_xll.FDS($B$2,"FF_ARPT_SERIES('RESEARCH AND DEVELOPMENT',ANN,-5,,B,""IS"")"),0),)</f>
        <v>0</v>
      </c>
      <c r="I10" s="2" cm="1">
        <f t="array" ref="I10">IFERROR(IF($B$4&gt;=1,-_xll.FDS($B$2,"FF_ARPT_SERIES('RESEARCH AND DEVELOPMENT',ANN,-6,,B,""IS"")"),0),)</f>
        <v>0</v>
      </c>
      <c r="J10" s="2" cm="1">
        <f t="array" ref="J10">IFERROR(IF($B$4&gt;=1,-_xll.FDS($B$2,"FF_ARPT_SERIES('RESEARCH AND DEVELOPMENT',ANN,-7,,B,""IS"")"),0),)</f>
        <v>0</v>
      </c>
      <c r="K10" s="2" cm="1">
        <f t="array" ref="K10">IFERROR(IF($B$4&gt;=1,-_xll.FDS($B$2,"FF_ARPT_SERIES('RESEARCH AND DEVELOPMENT',ANN,-8,,B,""IS"")"),0),)</f>
        <v>0</v>
      </c>
      <c r="L10" s="2" cm="1">
        <f t="array" ref="L10">IFERROR(IF($B$4&gt;=1,-_xll.FDS($B$2,"FF_ARPT_SERIES('RESEARCH AND DEVELOPMENT',ANN,-9,,B,""IS"")"),0),)</f>
        <v>0</v>
      </c>
    </row>
    <row r="11" spans="1:13">
      <c r="A11" s="8">
        <v>-1</v>
      </c>
      <c r="B11" s="2">
        <f>IF(A11&lt;0,($B$4+A11)/$B$4,0)</f>
        <v>0.9</v>
      </c>
      <c r="C11" s="2" cm="1">
        <f t="array" ref="C11">IFERROR(IF($B$4&gt;=1,-_xll.FDS($B$2,"FF_ARPT_SERIES('RESEARCH AND DEVELOPMENT',ANN,-1,,B,""IS"")"),0),)</f>
        <v>0</v>
      </c>
      <c r="D11" s="2" cm="1">
        <f t="array" ref="D11">IFERROR(IF($B$4&gt;=1,-_xll.FDS($B$2,"FF_ARPT_SERIES('RESEARCH AND DEVELOPMENT',ANN,-2,,B,""IS"")"),0),)</f>
        <v>0</v>
      </c>
      <c r="E11" s="2" cm="1">
        <f t="array" ref="E11">IFERROR(IF($B$4&gt;=1,-_xll.FDS($B$2,"FF_ARPT_SERIES('RESEARCH AND DEVELOPMENT',ANN,-3,,B,""IS"")"),0),)</f>
        <v>0</v>
      </c>
      <c r="F11" s="2" cm="1">
        <f t="array" ref="F11">IFERROR(IF($B$4&gt;=1,-_xll.FDS($B$2,"FF_ARPT_SERIES('RESEARCH AND DEVELOPMENT',ANN,-4,,B,""IS"")"),0),)</f>
        <v>0</v>
      </c>
      <c r="G11" s="2" cm="1">
        <f t="array" ref="G11">IFERROR(IF($B$4&gt;=1,-_xll.FDS($B$2,"FF_ARPT_SERIES('RESEARCH AND DEVELOPMENT',ANN,-5,,B,""IS"")"),0),)</f>
        <v>0</v>
      </c>
      <c r="H11" s="2" cm="1">
        <f t="array" ref="H11">IFERROR(IF($B$4&gt;=1,-_xll.FDS($B$2,"FF_ARPT_SERIES('RESEARCH AND DEVELOPMENT',ANN,-6,,B,""IS"")"),0),)</f>
        <v>0</v>
      </c>
      <c r="I11" s="2" cm="1">
        <f t="array" ref="I11">IFERROR(IF($B$4&gt;=1,-_xll.FDS($B$2,"FF_ARPT_SERIES('RESEARCH AND DEVELOPMENT',ANN,-7,,B,""IS"")"),0),)</f>
        <v>0</v>
      </c>
      <c r="J11" s="2" cm="1">
        <f t="array" ref="J11">IFERROR(IF($B$4&gt;=1,-_xll.FDS($B$2,"FF_ARPT_SERIES('RESEARCH AND DEVELOPMENT',ANN,-8,,B,""IS"")"),0),)</f>
        <v>0</v>
      </c>
      <c r="K11" s="2" cm="1">
        <f t="array" ref="K11">IFERROR(IF($B$4&gt;=1,-_xll.FDS($B$2,"FF_ARPT_SERIES('RESEARCH AND DEVELOPMENT',ANN,-9,,B,""IS"")"),0),)</f>
        <v>0</v>
      </c>
      <c r="L11" s="2" cm="1">
        <f t="array" ref="L11">IFERROR(IF($B$4&gt;=1,-_xll.FDS($B$2,"FF_ARPT_SERIES('RESEARCH AND DEVELOPMENT',ANN,-10,,B,""IS"")"),0),)</f>
        <v>0</v>
      </c>
    </row>
    <row r="12" spans="1:13">
      <c r="A12" s="8">
        <f>IF((0-A11)&lt;$B$4,IF(A11&gt;-1,,A11-1),)</f>
        <v>-2</v>
      </c>
      <c r="B12" s="2">
        <f t="shared" ref="B12:B20" si="0">IF(A12&lt;0,($B$4+A12)/$B$4,0)</f>
        <v>0.8</v>
      </c>
      <c r="C12" s="2" cm="1">
        <f t="array" ref="C12">IFERROR(IF($B$4&gt;=2,-_xll.FDS($B$2,"FF_ARPT_SERIES('RESEARCH AND DEVELOPMENT',ANN,-2,,B,""IS"")"),0),)</f>
        <v>0</v>
      </c>
      <c r="D12" s="2" cm="1">
        <f t="array" ref="D12">IFERROR(IF($B$4&gt;=2,-_xll.FDS($B$2,"FF_ARPT_SERIES('RESEARCH AND DEVELOPMENT',ANN,-3,,B,""IS"")"),0),)</f>
        <v>0</v>
      </c>
      <c r="E12" s="2" cm="1">
        <f t="array" ref="E12">IFERROR(IF($B$4&gt;=2,-_xll.FDS($B$2,"FF_ARPT_SERIES('RESEARCH AND DEVELOPMENT',ANN,-4,,B,""IS"")"),0),)</f>
        <v>0</v>
      </c>
      <c r="F12" s="2" cm="1">
        <f t="array" ref="F12">IFERROR(IF($B$4&gt;=2,-_xll.FDS($B$2,"FF_ARPT_SERIES('RESEARCH AND DEVELOPMENT',ANN,-5,,B,""IS"")"),0),)</f>
        <v>0</v>
      </c>
      <c r="G12" s="2" cm="1">
        <f t="array" ref="G12">IFERROR(IF($B$4&gt;=2,-_xll.FDS($B$2,"FF_ARPT_SERIES('RESEARCH AND DEVELOPMENT',ANN,-6,,B,""IS"")"),0),)</f>
        <v>0</v>
      </c>
      <c r="H12" s="2" cm="1">
        <f t="array" ref="H12">IFERROR(IF($B$4&gt;=2,-_xll.FDS($B$2,"FF_ARPT_SERIES('RESEARCH AND DEVELOPMENT',ANN,-7,,B,""IS"")"),0),)</f>
        <v>0</v>
      </c>
      <c r="I12" s="2" cm="1">
        <f t="array" ref="I12">IFERROR(IF($B$4&gt;=2,-_xll.FDS($B$2,"FF_ARPT_SERIES('RESEARCH AND DEVELOPMENT',ANN,-8,,B,""IS"")"),0),)</f>
        <v>0</v>
      </c>
      <c r="J12" s="2" cm="1">
        <f t="array" ref="J12">IFERROR(IF($B$4&gt;=2,-_xll.FDS($B$2,"FF_ARPT_SERIES('RESEARCH AND DEVELOPMENT',ANN,-9,,B,""IS"")"),0),)</f>
        <v>0</v>
      </c>
      <c r="K12" s="2" cm="1">
        <f t="array" ref="K12">IFERROR(IF($B$4&gt;=2,-_xll.FDS($B$2,"FF_ARPT_SERIES('RESEARCH AND DEVELOPMENT',ANN,-10,,B,""IS"")"),0),)</f>
        <v>0</v>
      </c>
      <c r="L12" s="2" cm="1">
        <f t="array" ref="L12">IFERROR(IF($B$4&gt;=2,-_xll.FDS($B$2,"FF_ARPT_SERIES('RESEARCH AND DEVELOPMENT',ANN,-11,,B,""IS"")"),0),)</f>
        <v>0</v>
      </c>
    </row>
    <row r="13" spans="1:13">
      <c r="A13" s="8">
        <f t="shared" ref="A13:A20" si="1">IF((0-A12)&lt;$B$4,IF(A12&gt;-1,,A12-1),)</f>
        <v>-3</v>
      </c>
      <c r="B13" s="2">
        <f t="shared" si="0"/>
        <v>0.7</v>
      </c>
      <c r="C13" s="2" cm="1">
        <f t="array" ref="C13">IFERROR(IF($B$4&gt;=3,-_xll.FDS($B$2,"FF_ARPT_SERIES('RESEARCH AND DEVELOPMENT',ANN,-3,,B,""IS"")"),0),)</f>
        <v>0</v>
      </c>
      <c r="D13" s="2" cm="1">
        <f t="array" ref="D13">IFERROR(IF($B$4&gt;=3,-_xll.FDS($B$2,"FF_ARPT_SERIES('RESEARCH AND DEVELOPMENT',ANN,-4,,B,""IS"")"),0),)</f>
        <v>0</v>
      </c>
      <c r="E13" s="2" cm="1">
        <f t="array" ref="E13">IFERROR(IF($B$4&gt;=3,-_xll.FDS($B$2,"FF_ARPT_SERIES('RESEARCH AND DEVELOPMENT',ANN,-5,,B,""IS"")"),0),)</f>
        <v>0</v>
      </c>
      <c r="F13" s="2" cm="1">
        <f t="array" ref="F13">IFERROR(IF($B$4&gt;=3,-_xll.FDS($B$2,"FF_ARPT_SERIES('RESEARCH AND DEVELOPMENT',ANN,-6,,B,""IS"")"),0),)</f>
        <v>0</v>
      </c>
      <c r="G13" s="2" cm="1">
        <f t="array" ref="G13">IFERROR(IF($B$4&gt;=3,-_xll.FDS($B$2,"FF_ARPT_SERIES('RESEARCH AND DEVELOPMENT',ANN,-7,,B,""IS"")"),0),)</f>
        <v>0</v>
      </c>
      <c r="H13" s="2" cm="1">
        <f t="array" ref="H13">IFERROR(IF($B$4&gt;=3,-_xll.FDS($B$2,"FF_ARPT_SERIES('RESEARCH AND DEVELOPMENT',ANN,-8,,B,""IS"")"),0),)</f>
        <v>0</v>
      </c>
      <c r="I13" s="2" cm="1">
        <f t="array" ref="I13">IFERROR(IF($B$4&gt;=3,-_xll.FDS($B$2,"FF_ARPT_SERIES('RESEARCH AND DEVELOPMENT',ANN,-9,,B,""IS"")"),0),)</f>
        <v>0</v>
      </c>
      <c r="J13" s="2" cm="1">
        <f t="array" ref="J13">IFERROR(IF($B$4&gt;=3,-_xll.FDS($B$2,"FF_ARPT_SERIES('RESEARCH AND DEVELOPMENT',ANN,-10,,B,""IS"")"),0),)</f>
        <v>0</v>
      </c>
      <c r="K13" s="2" cm="1">
        <f t="array" ref="K13">IFERROR(IF($B$4&gt;=3,-_xll.FDS($B$2,"FF_ARPT_SERIES('RESEARCH AND DEVELOPMENT',ANN,-11,,B,""IS"")"),0),)</f>
        <v>0</v>
      </c>
      <c r="L13" s="2" cm="1">
        <f t="array" ref="L13">IFERROR(IF($B$4&gt;=3,-_xll.FDS($B$2,"FF_ARPT_SERIES('RESEARCH AND DEVELOPMENT',ANN,-12,,B,""IS"")"),0),)</f>
        <v>0</v>
      </c>
    </row>
    <row r="14" spans="1:13">
      <c r="A14" s="8">
        <f t="shared" si="1"/>
        <v>-4</v>
      </c>
      <c r="B14" s="2">
        <f t="shared" si="0"/>
        <v>0.6</v>
      </c>
      <c r="C14" s="2" cm="1">
        <f t="array" ref="C14">IFERROR(IF($B$4&gt;=4,-_xll.FDS($B$2,"FF_ARPT_SERIES('RESEARCH AND DEVELOPMENT',ANN,-4,,B,""IS"")"),0),)</f>
        <v>0</v>
      </c>
      <c r="D14" s="2" cm="1">
        <f t="array" ref="D14">IFERROR(IF($B$4&gt;=4,-_xll.FDS($B$2,"FF_ARPT_SERIES('RESEARCH AND DEVELOPMENT',ANN,-5,,B,""IS"")"),0),)</f>
        <v>0</v>
      </c>
      <c r="E14" s="2" cm="1">
        <f t="array" ref="E14">IFERROR(IF($B$4&gt;=4,-_xll.FDS($B$2,"FF_ARPT_SERIES('RESEARCH AND DEVELOPMENT',ANN,-6,,B,""IS"")"),0),)</f>
        <v>0</v>
      </c>
      <c r="F14" s="2" cm="1">
        <f t="array" ref="F14">IFERROR(IF($B$4&gt;=4,-_xll.FDS($B$2,"FF_ARPT_SERIES('RESEARCH AND DEVELOPMENT',ANN,-7,,B,""IS"")"),0),)</f>
        <v>0</v>
      </c>
      <c r="G14" s="2" cm="1">
        <f t="array" ref="G14">IFERROR(IF($B$4&gt;=4,-_xll.FDS($B$2,"FF_ARPT_SERIES('RESEARCH AND DEVELOPMENT',ANN,-8,,B,""IS"")"),0),)</f>
        <v>0</v>
      </c>
      <c r="H14" s="2" cm="1">
        <f t="array" ref="H14">IFERROR(IF($B$4&gt;=4,-_xll.FDS($B$2,"FF_ARPT_SERIES('RESEARCH AND DEVELOPMENT',ANN,-9,,B,""IS"")"),0),)</f>
        <v>0</v>
      </c>
      <c r="I14" s="2" cm="1">
        <f t="array" ref="I14">IFERROR(IF($B$4&gt;=4,-_xll.FDS($B$2,"FF_ARPT_SERIES('RESEARCH AND DEVELOPMENT',ANN,-10,,B,""IS"")"),0),)</f>
        <v>0</v>
      </c>
      <c r="J14" s="2" cm="1">
        <f t="array" ref="J14">IFERROR(IF($B$4&gt;=4,-_xll.FDS($B$2,"FF_ARPT_SERIES('RESEARCH AND DEVELOPMENT',ANN,-11,,B,""IS"")"),0),)</f>
        <v>0</v>
      </c>
      <c r="K14" s="2" cm="1">
        <f t="array" ref="K14">IFERROR(IF($B$4&gt;=4,-_xll.FDS($B$2,"FF_ARPT_SERIES('RESEARCH AND DEVELOPMENT',ANN,-12,,B,""IS"")"),0),)</f>
        <v>0</v>
      </c>
      <c r="L14" s="2" cm="1">
        <f t="array" ref="L14">IFERROR(IF($B$4&gt;=4,-_xll.FDS($B$2,"FF_ARPT_SERIES('RESEARCH AND DEVELOPMENT',ANN,-13,,B,""IS"")"),0),)</f>
        <v>0</v>
      </c>
    </row>
    <row r="15" spans="1:13">
      <c r="A15" s="8">
        <f t="shared" si="1"/>
        <v>-5</v>
      </c>
      <c r="B15" s="2">
        <f t="shared" si="0"/>
        <v>0.5</v>
      </c>
      <c r="C15" s="2" cm="1">
        <f t="array" ref="C15">IFERROR(IF($B$4&gt;=5,-_xll.FDS($B$2,"FF_ARPT_SERIES('RESEARCH AND DEVELOPMENT',ANN,-5,,B,""IS"")"),0),)</f>
        <v>0</v>
      </c>
      <c r="D15" s="2" cm="1">
        <f t="array" ref="D15">IFERROR(IF($B$4&gt;=5,-_xll.FDS($B$2,"FF_ARPT_SERIES('RESEARCH AND DEVELOPMENT',ANN,-6,,B,""IS"")"),0),)</f>
        <v>0</v>
      </c>
      <c r="E15" s="2" cm="1">
        <f t="array" ref="E15">IFERROR(IF($B$4&gt;=5,-_xll.FDS($B$2,"FF_ARPT_SERIES('RESEARCH AND DEVELOPMENT',ANN,-7,,B,""IS"")"),0),)</f>
        <v>0</v>
      </c>
      <c r="F15" s="2" cm="1">
        <f t="array" ref="F15">IFERROR(IF($B$4&gt;=5,-_xll.FDS($B$2,"FF_ARPT_SERIES('RESEARCH AND DEVELOPMENT',ANN,-8,,B,""IS"")"),0),)</f>
        <v>0</v>
      </c>
      <c r="G15" s="2" cm="1">
        <f t="array" ref="G15">IFERROR(IF($B$4&gt;=5,-_xll.FDS($B$2,"FF_ARPT_SERIES('RESEARCH AND DEVELOPMENT',ANN,-9,,B,""IS"")"),0),)</f>
        <v>0</v>
      </c>
      <c r="H15" s="2" cm="1">
        <f t="array" ref="H15">IFERROR(IF($B$4&gt;=5,-_xll.FDS($B$2,"FF_ARPT_SERIES('RESEARCH AND DEVELOPMENT',ANN,-10,,B,""IS"")"),0),)</f>
        <v>0</v>
      </c>
      <c r="I15" s="2" cm="1">
        <f t="array" ref="I15">IFERROR(IF($B$4&gt;=5,-_xll.FDS($B$2,"FF_ARPT_SERIES('RESEARCH AND DEVELOPMENT',ANN,-11,,B,""IS"")"),0),)</f>
        <v>0</v>
      </c>
      <c r="J15" s="2" cm="1">
        <f t="array" ref="J15">IFERROR(IF($B$4&gt;=5,-_xll.FDS($B$2,"FF_ARPT_SERIES('RESEARCH AND DEVELOPMENT',ANN,-12,,B,""IS"")"),0),)</f>
        <v>0</v>
      </c>
      <c r="K15" s="2" cm="1">
        <f t="array" ref="K15">IFERROR(IF($B$4&gt;=5,-_xll.FDS($B$2,"FF_ARPT_SERIES('RESEARCH AND DEVELOPMENT',ANN,-13,,B,""IS"")"),0),)</f>
        <v>0</v>
      </c>
      <c r="L15" s="2" cm="1">
        <f t="array" ref="L15">IFERROR(IF($B$4&gt;=5,-_xll.FDS($B$2,"FF_ARPT_SERIES('RESEARCH AND DEVELOPMENT',ANN,-14,,B,""IS"")"),0),)</f>
        <v>0</v>
      </c>
    </row>
    <row r="16" spans="1:13">
      <c r="A16" s="8">
        <f t="shared" si="1"/>
        <v>-6</v>
      </c>
      <c r="B16" s="2">
        <f t="shared" si="0"/>
        <v>0.4</v>
      </c>
      <c r="C16" s="2" cm="1">
        <f t="array" ref="C16">IFERROR(IF($B$4&gt;=6,-_xll.FDS($B$2,"FF_ARPT_SERIES('RESEARCH AND DEVELOPMENT',ANN,-6,,B,""IS"")"),0),)</f>
        <v>0</v>
      </c>
      <c r="D16" s="2" cm="1">
        <f t="array" ref="D16">IFERROR(IF($B$4&gt;=6,-_xll.FDS($B$2,"FF_ARPT_SERIES('RESEARCH AND DEVELOPMENT',ANN,-7,,B,""IS"")"),0),)</f>
        <v>0</v>
      </c>
      <c r="E16" s="2" cm="1">
        <f t="array" ref="E16">IFERROR(IF($B$4&gt;=6,-_xll.FDS($B$2,"FF_ARPT_SERIES('RESEARCH AND DEVELOPMENT',ANN,-8,,B,""IS"")"),0),)</f>
        <v>0</v>
      </c>
      <c r="F16" s="2" cm="1">
        <f t="array" ref="F16">IFERROR(IF($B$4&gt;=6,-_xll.FDS($B$2,"FF_ARPT_SERIES('RESEARCH AND DEVELOPMENT',ANN,-9,,B,""IS"")"),0),)</f>
        <v>0</v>
      </c>
      <c r="G16" s="2" cm="1">
        <f t="array" ref="G16">IFERROR(IF($B$4&gt;=6,-_xll.FDS($B$2,"FF_ARPT_SERIES('RESEARCH AND DEVELOPMENT',ANN,-10,,B,""IS"")"),0),)</f>
        <v>0</v>
      </c>
      <c r="H16" s="2" cm="1">
        <f t="array" ref="H16">IFERROR(IF($B$4&gt;=6,-_xll.FDS($B$2,"FF_ARPT_SERIES('RESEARCH AND DEVELOPMENT',ANN,-11,,B,""IS"")"),0),)</f>
        <v>0</v>
      </c>
      <c r="I16" s="2" cm="1">
        <f t="array" ref="I16">IFERROR(IF($B$4&gt;=6,-_xll.FDS($B$2,"FF_ARPT_SERIES('RESEARCH AND DEVELOPMENT',ANN,-12,,B,""IS"")"),0),)</f>
        <v>0</v>
      </c>
      <c r="J16" s="2" cm="1">
        <f t="array" ref="J16">IFERROR(IF($B$4&gt;=6,-_xll.FDS($B$2,"FF_ARPT_SERIES('RESEARCH AND DEVELOPMENT',ANN,-13,,B,""IS"")"),0),)</f>
        <v>0</v>
      </c>
      <c r="K16" s="2" cm="1">
        <f t="array" ref="K16">IFERROR(IF($B$4&gt;=6,-_xll.FDS($B$2,"FF_ARPT_SERIES('RESEARCH AND DEVELOPMENT',ANN,-14,,B,""IS"")"),0),)</f>
        <v>0</v>
      </c>
      <c r="L16" s="2" cm="1">
        <f t="array" ref="L16">IFERROR(IF($B$4&gt;=6,-_xll.FDS($B$2,"FF_ARPT_SERIES('RESEARCH AND DEVELOPMENT',ANN,-15,,B,""IS"")"),0),)</f>
        <v>0</v>
      </c>
    </row>
    <row r="17" spans="1:12">
      <c r="A17" s="8">
        <f t="shared" si="1"/>
        <v>-7</v>
      </c>
      <c r="B17" s="2">
        <f t="shared" si="0"/>
        <v>0.3</v>
      </c>
      <c r="C17" s="2" cm="1">
        <f t="array" ref="C17">IFERROR(IF($B$4&gt;=7,-_xll.FDS($B$2,"FF_ARPT_SERIES('RESEARCH AND DEVELOPMENT',ANN,-7,,B,""IS"")"),0),)</f>
        <v>0</v>
      </c>
      <c r="D17" s="2" cm="1">
        <f t="array" ref="D17">IFERROR(IF($B$4&gt;=7,-_xll.FDS($B$2,"FF_ARPT_SERIES('RESEARCH AND DEVELOPMENT',ANN,-8,,B,""IS"")"),0),)</f>
        <v>0</v>
      </c>
      <c r="E17" s="2" cm="1">
        <f t="array" ref="E17">IFERROR(IF($B$4&gt;=7,-_xll.FDS($B$2,"FF_ARPT_SERIES('RESEARCH AND DEVELOPMENT',ANN,-9,,B,""IS"")"),0),)</f>
        <v>0</v>
      </c>
      <c r="F17" s="2" cm="1">
        <f t="array" ref="F17">IFERROR(IF($B$4&gt;=7,-_xll.FDS($B$2,"FF_ARPT_SERIES('RESEARCH AND DEVELOPMENT',ANN,-10,,B,""IS"")"),0),)</f>
        <v>0</v>
      </c>
      <c r="G17" s="2" cm="1">
        <f t="array" ref="G17">IFERROR(IF($B$4&gt;=7,-_xll.FDS($B$2,"FF_ARPT_SERIES('RESEARCH AND DEVELOPMENT',ANN,-11,,B,""IS"")"),0),)</f>
        <v>0</v>
      </c>
      <c r="H17" s="2" cm="1">
        <f t="array" ref="H17">IFERROR(IF($B$4&gt;=7,-_xll.FDS($B$2,"FF_ARPT_SERIES('RESEARCH AND DEVELOPMENT',ANN,-12,,B,""IS"")"),0),)</f>
        <v>0</v>
      </c>
      <c r="I17" s="2" cm="1">
        <f t="array" ref="I17">IFERROR(IF($B$4&gt;=7,-_xll.FDS($B$2,"FF_ARPT_SERIES('RESEARCH AND DEVELOPMENT',ANN,-13,,B,""IS"")"),0),)</f>
        <v>0</v>
      </c>
      <c r="J17" s="2" cm="1">
        <f t="array" ref="J17">IFERROR(IF($B$4&gt;=7,-_xll.FDS($B$2,"FF_ARPT_SERIES('RESEARCH AND DEVELOPMENT',ANN,-14,,B,""IS"")"),0),)</f>
        <v>0</v>
      </c>
      <c r="K17" s="2" cm="1">
        <f t="array" ref="K17">IFERROR(IF($B$4&gt;=7,-_xll.FDS($B$2,"FF_ARPT_SERIES('RESEARCH AND DEVELOPMENT',ANN,-15,,B,""IS"")"),0),)</f>
        <v>0</v>
      </c>
      <c r="L17" s="2" cm="1">
        <f t="array" ref="L17">IFERROR(IF($B$4&gt;=7,-_xll.FDS($B$2,"FF_ARPT_SERIES('RESEARCH AND DEVELOPMENT',ANN,-16,,B,""IS"")"),0),)</f>
        <v>0</v>
      </c>
    </row>
    <row r="18" spans="1:12">
      <c r="A18" s="8">
        <f t="shared" si="1"/>
        <v>-8</v>
      </c>
      <c r="B18" s="2">
        <f t="shared" si="0"/>
        <v>0.2</v>
      </c>
      <c r="C18" s="2" cm="1">
        <f t="array" ref="C18">IFERROR(IF($B$4&gt;=8,-_xll.FDS($B$2,"FF_ARPT_SERIES('RESEARCH AND DEVELOPMENT',ANN,-8,,B,""IS"")"),0),)</f>
        <v>0</v>
      </c>
      <c r="D18" s="2" cm="1">
        <f t="array" ref="D18">IFERROR(IF($B$4&gt;=8,-_xll.FDS($B$2,"FF_ARPT_SERIES('RESEARCH AND DEVELOPMENT',ANN,-9,,B,""IS"")"),0),)</f>
        <v>0</v>
      </c>
      <c r="E18" s="2" cm="1">
        <f t="array" ref="E18">IFERROR(IF($B$4&gt;=8,-_xll.FDS($B$2,"FF_ARPT_SERIES('RESEARCH AND DEVELOPMENT',ANN,-10,,B,""IS"")"),0),)</f>
        <v>0</v>
      </c>
      <c r="F18" s="2" cm="1">
        <f t="array" ref="F18">IFERROR(IF($B$4&gt;=8,-_xll.FDS($B$2,"FF_ARPT_SERIES('RESEARCH AND DEVELOPMENT',ANN,-11,,B,""IS"")"),0),)</f>
        <v>0</v>
      </c>
      <c r="G18" s="2" cm="1">
        <f t="array" ref="G18">IFERROR(IF($B$4&gt;=8,-_xll.FDS($B$2,"FF_ARPT_SERIES('RESEARCH AND DEVELOPMENT',ANN,-12,,B,""IS"")"),0),)</f>
        <v>0</v>
      </c>
      <c r="H18" s="2" cm="1">
        <f t="array" ref="H18">IFERROR(IF($B$4&gt;=8,-_xll.FDS($B$2,"FF_ARPT_SERIES('RESEARCH AND DEVELOPMENT',ANN,-13,,B,""IS"")"),0),)</f>
        <v>0</v>
      </c>
      <c r="I18" s="2" cm="1">
        <f t="array" ref="I18">IFERROR(IF($B$4&gt;=8,-_xll.FDS($B$2,"FF_ARPT_SERIES('RESEARCH AND DEVELOPMENT',ANN,-14,,B,""IS"")"),0),)</f>
        <v>0</v>
      </c>
      <c r="J18" s="2" cm="1">
        <f t="array" ref="J18">IFERROR(IF($B$4&gt;=8,-_xll.FDS($B$2,"FF_ARPT_SERIES('RESEARCH AND DEVELOPMENT',ANN,-15,,B,""IS"")"),0),)</f>
        <v>0</v>
      </c>
      <c r="K18" s="2" cm="1">
        <f t="array" ref="K18">IFERROR(IF($B$4&gt;=8,-_xll.FDS($B$2,"FF_ARPT_SERIES('RESEARCH AND DEVELOPMENT',ANN,-16,,B,""IS"")"),0),)</f>
        <v>0</v>
      </c>
      <c r="L18" s="2" cm="1">
        <f t="array" ref="L18">IFERROR(IF($B$4&gt;=8,-_xll.FDS($B$2,"FF_ARPT_SERIES('RESEARCH AND DEVELOPMENT',ANN,-17,,B,""IS"")"),0),)</f>
        <v>0</v>
      </c>
    </row>
    <row r="19" spans="1:12">
      <c r="A19" s="8">
        <f t="shared" si="1"/>
        <v>-9</v>
      </c>
      <c r="B19" s="2">
        <f t="shared" si="0"/>
        <v>0.1</v>
      </c>
      <c r="C19" s="2" cm="1">
        <f t="array" ref="C19">IFERROR(IF($B$4&gt;=9,-_xll.FDS($B$2,"FF_ARPT_SERIES('RESEARCH AND DEVELOPMENT',ANN,-9,,B,""IS"")"),0),)</f>
        <v>0</v>
      </c>
      <c r="D19" s="2" cm="1">
        <f t="array" ref="D19">IFERROR(IF($B$4&gt;=9,-_xll.FDS($B$2,"FF_ARPT_SERIES('RESEARCH AND DEVELOPMENT',ANN,-10,,B,""IS"")"),0),)</f>
        <v>0</v>
      </c>
      <c r="E19" s="2" cm="1">
        <f t="array" ref="E19">IFERROR(IF($B$4&gt;=9,-_xll.FDS($B$2,"FF_ARPT_SERIES('RESEARCH AND DEVELOPMENT',ANN,-11,,B,""IS"")"),0),)</f>
        <v>0</v>
      </c>
      <c r="F19" s="2" cm="1">
        <f t="array" ref="F19">IFERROR(IF($B$4&gt;=9,-_xll.FDS($B$2,"FF_ARPT_SERIES('RESEARCH AND DEVELOPMENT',ANN,-12,,B,""IS"")"),0),)</f>
        <v>0</v>
      </c>
      <c r="G19" s="2" cm="1">
        <f t="array" ref="G19">IFERROR(IF($B$4&gt;=9,-_xll.FDS($B$2,"FF_ARPT_SERIES('RESEARCH AND DEVELOPMENT',ANN,-13,,B,""IS"")"),0),)</f>
        <v>0</v>
      </c>
      <c r="H19" s="2" cm="1">
        <f t="array" ref="H19">IFERROR(IF($B$4&gt;=9,-_xll.FDS($B$2,"FF_ARPT_SERIES('RESEARCH AND DEVELOPMENT',ANN,-14,,B,""IS"")"),0),)</f>
        <v>0</v>
      </c>
      <c r="I19" s="2" cm="1">
        <f t="array" ref="I19">IFERROR(IF($B$4&gt;=9,-_xll.FDS($B$2,"FF_ARPT_SERIES('RESEARCH AND DEVELOPMENT',ANN,-15,,B,""IS"")"),0),)</f>
        <v>0</v>
      </c>
      <c r="J19" s="2" cm="1">
        <f t="array" ref="J19">IFERROR(IF($B$4&gt;=9,-_xll.FDS($B$2,"FF_ARPT_SERIES('RESEARCH AND DEVELOPMENT',ANN,-16,,B,""IS"")"),0),)</f>
        <v>0</v>
      </c>
      <c r="K19" s="2" cm="1">
        <f t="array" ref="K19">IFERROR(IF($B$4&gt;=9,-_xll.FDS($B$2,"FF_ARPT_SERIES('RESEARCH AND DEVELOPMENT',ANN,-17,,B,""IS"")"),0),)</f>
        <v>0</v>
      </c>
      <c r="L19" s="2" cm="1">
        <f t="array" ref="L19">IFERROR(IF($B$4&gt;=9,-_xll.FDS($B$2,"FF_ARPT_SERIES('RESEARCH AND DEVELOPMENT',ANN,-18,,B,""IS"")"),0),)</f>
        <v>0</v>
      </c>
    </row>
    <row r="20" spans="1:12">
      <c r="A20" s="8">
        <f t="shared" si="1"/>
        <v>-10</v>
      </c>
      <c r="B20" s="2">
        <f t="shared" si="0"/>
        <v>0</v>
      </c>
      <c r="C20" s="2" cm="1">
        <f t="array" ref="C20">IFERROR(IF($B$4&gt;=10,-_xll.FDS($B$2,"FF_ARPT_SERIES('RESEARCH AND DEVELOPMENT',ANN,-10,,B,""IS"")"),0),)</f>
        <v>0</v>
      </c>
      <c r="D20" s="2" cm="1">
        <f t="array" ref="D20">IFERROR(IF($B$4&gt;=10,-_xll.FDS($B$2,"FF_ARPT_SERIES('RESEARCH AND DEVELOPMENT',ANN,-11,,B,""IS"")"),0),)</f>
        <v>0</v>
      </c>
      <c r="E20" s="2" cm="1">
        <f t="array" ref="E20">IFERROR(IF($B$4&gt;=10,-_xll.FDS($B$2,"FF_ARPT_SERIES('RESEARCH AND DEVELOPMENT',ANN,-12,,B,""IS"")"),0),)</f>
        <v>0</v>
      </c>
      <c r="F20" s="2" cm="1">
        <f t="array" ref="F20">IFERROR(IF($B$4&gt;=10,-_xll.FDS($B$2,"FF_ARPT_SERIES('RESEARCH AND DEVELOPMENT',ANN,-13,,B,""IS"")"),0),)</f>
        <v>0</v>
      </c>
      <c r="G20" s="2" cm="1">
        <f t="array" ref="G20">IFERROR(IF($B$4&gt;=10,-_xll.FDS($B$2,"FF_ARPT_SERIES('RESEARCH AND DEVELOPMENT',ANN,-14,,B,""IS"")"),0),)</f>
        <v>0</v>
      </c>
      <c r="H20" s="2" cm="1">
        <f t="array" ref="H20">IFERROR(IF($B$4&gt;=10,-_xll.FDS($B$2,"FF_ARPT_SERIES('RESEARCH AND DEVELOPMENT',ANN,-15,,B,""IS"")"),0),)</f>
        <v>0</v>
      </c>
      <c r="I20" s="2" cm="1">
        <f t="array" ref="I20">IFERROR(IF($B$4&gt;=10,-_xll.FDS($B$2,"FF_ARPT_SERIES('RESEARCH AND DEVELOPMENT',ANN,-16,,B,""IS"")"),0),)</f>
        <v>0</v>
      </c>
      <c r="J20" s="2" cm="1">
        <f t="array" ref="J20">IFERROR(IF($B$4&gt;=10,-_xll.FDS($B$2,"FF_ARPT_SERIES('RESEARCH AND DEVELOPMENT',ANN,-117,,B,""IS"")"),0),)</f>
        <v>0</v>
      </c>
      <c r="K20" s="2" cm="1">
        <f t="array" ref="K20">IFERROR(IF($B$4&gt;=10,-_xll.FDS($B$2,"FF_ARPT_SERIES('RESEARCH AND DEVELOPMENT',ANN,-18,,B,""IS"")"),0),)</f>
        <v>0</v>
      </c>
      <c r="L20" s="2" cm="1">
        <f t="array" ref="L20">IFERROR(IF($B$4&gt;=10,-_xll.FDS($B$2,"FF_ARPT_SERIES('RESEARCH AND DEVELOPMENT',ANN,-19,,B,""IS"")"),0),)</f>
        <v>0</v>
      </c>
    </row>
    <row r="21" spans="1:12">
      <c r="C21" s="2"/>
      <c r="D21" s="2"/>
      <c r="E21" s="2"/>
      <c r="F21" s="2"/>
      <c r="G21" s="2"/>
      <c r="H21" s="327"/>
      <c r="I21" s="327"/>
      <c r="J21" s="327"/>
      <c r="K21" s="327"/>
      <c r="L21" s="327"/>
    </row>
    <row r="22" spans="1:12">
      <c r="A22" s="503" t="s">
        <v>510</v>
      </c>
      <c r="B22" s="900"/>
      <c r="C22" s="897"/>
      <c r="D22" s="897"/>
      <c r="E22" s="897"/>
      <c r="F22" s="897"/>
      <c r="G22" s="494"/>
      <c r="H22" s="494"/>
      <c r="I22" s="494"/>
      <c r="J22" s="494"/>
      <c r="K22" s="494"/>
      <c r="L22" s="494"/>
    </row>
    <row r="23" spans="1:12">
      <c r="A23" s="8">
        <f>A10</f>
        <v>0</v>
      </c>
      <c r="C23" s="2">
        <f t="shared" ref="C23:J33" si="2">IFERROR($B10*C10,0)</f>
        <v>0</v>
      </c>
      <c r="D23" s="2">
        <f t="shared" si="2"/>
        <v>0</v>
      </c>
      <c r="E23" s="2">
        <f t="shared" si="2"/>
        <v>0</v>
      </c>
      <c r="F23" s="2">
        <f t="shared" si="2"/>
        <v>0</v>
      </c>
      <c r="G23" s="2">
        <f t="shared" si="2"/>
        <v>0</v>
      </c>
      <c r="H23" s="2">
        <f t="shared" si="2"/>
        <v>0</v>
      </c>
      <c r="I23" s="2">
        <f t="shared" si="2"/>
        <v>0</v>
      </c>
      <c r="J23" s="2">
        <f t="shared" si="2"/>
        <v>0</v>
      </c>
      <c r="K23" s="2">
        <f t="shared" ref="K23:L23" si="3">IFERROR($B10*K10,0)</f>
        <v>0</v>
      </c>
      <c r="L23" s="2">
        <f t="shared" si="3"/>
        <v>0</v>
      </c>
    </row>
    <row r="24" spans="1:12">
      <c r="A24" s="8">
        <f t="shared" ref="A24:A33" si="4">A11</f>
        <v>-1</v>
      </c>
      <c r="C24" s="2">
        <f t="shared" si="2"/>
        <v>0</v>
      </c>
      <c r="D24" s="2">
        <f t="shared" si="2"/>
        <v>0</v>
      </c>
      <c r="E24" s="2">
        <f t="shared" si="2"/>
        <v>0</v>
      </c>
      <c r="F24" s="2">
        <f t="shared" si="2"/>
        <v>0</v>
      </c>
      <c r="G24" s="2">
        <f t="shared" si="2"/>
        <v>0</v>
      </c>
      <c r="H24" s="2">
        <f t="shared" si="2"/>
        <v>0</v>
      </c>
      <c r="I24" s="2">
        <f t="shared" si="2"/>
        <v>0</v>
      </c>
      <c r="J24" s="2">
        <f t="shared" si="2"/>
        <v>0</v>
      </c>
      <c r="K24" s="2">
        <f t="shared" ref="K24:L24" si="5">IFERROR($B11*K11,0)</f>
        <v>0</v>
      </c>
      <c r="L24" s="2">
        <f t="shared" si="5"/>
        <v>0</v>
      </c>
    </row>
    <row r="25" spans="1:12">
      <c r="A25" s="8">
        <f t="shared" si="4"/>
        <v>-2</v>
      </c>
      <c r="C25" s="2">
        <f t="shared" si="2"/>
        <v>0</v>
      </c>
      <c r="D25" s="2">
        <f t="shared" si="2"/>
        <v>0</v>
      </c>
      <c r="E25" s="2">
        <f t="shared" si="2"/>
        <v>0</v>
      </c>
      <c r="F25" s="2">
        <f t="shared" si="2"/>
        <v>0</v>
      </c>
      <c r="G25" s="2">
        <f t="shared" si="2"/>
        <v>0</v>
      </c>
      <c r="H25" s="2">
        <f t="shared" si="2"/>
        <v>0</v>
      </c>
      <c r="I25" s="2">
        <f t="shared" si="2"/>
        <v>0</v>
      </c>
      <c r="J25" s="2">
        <f t="shared" si="2"/>
        <v>0</v>
      </c>
      <c r="K25" s="2">
        <f t="shared" ref="K25:L25" si="6">IFERROR($B12*K12,0)</f>
        <v>0</v>
      </c>
      <c r="L25" s="2">
        <f t="shared" si="6"/>
        <v>0</v>
      </c>
    </row>
    <row r="26" spans="1:12">
      <c r="A26" s="8">
        <f t="shared" si="4"/>
        <v>-3</v>
      </c>
      <c r="C26" s="2">
        <f t="shared" si="2"/>
        <v>0</v>
      </c>
      <c r="D26" s="2">
        <f t="shared" si="2"/>
        <v>0</v>
      </c>
      <c r="E26" s="2">
        <f t="shared" si="2"/>
        <v>0</v>
      </c>
      <c r="F26" s="2">
        <f t="shared" si="2"/>
        <v>0</v>
      </c>
      <c r="G26" s="2">
        <f t="shared" si="2"/>
        <v>0</v>
      </c>
      <c r="H26" s="2">
        <f t="shared" si="2"/>
        <v>0</v>
      </c>
      <c r="I26" s="2">
        <f t="shared" si="2"/>
        <v>0</v>
      </c>
      <c r="J26" s="2">
        <f t="shared" si="2"/>
        <v>0</v>
      </c>
      <c r="K26" s="2">
        <f t="shared" ref="K26:L26" si="7">IFERROR($B13*K13,0)</f>
        <v>0</v>
      </c>
      <c r="L26" s="2">
        <f t="shared" si="7"/>
        <v>0</v>
      </c>
    </row>
    <row r="27" spans="1:12">
      <c r="A27" s="8">
        <f t="shared" si="4"/>
        <v>-4</v>
      </c>
      <c r="C27" s="2">
        <f t="shared" si="2"/>
        <v>0</v>
      </c>
      <c r="D27" s="2">
        <f t="shared" si="2"/>
        <v>0</v>
      </c>
      <c r="E27" s="2">
        <f t="shared" si="2"/>
        <v>0</v>
      </c>
      <c r="F27" s="2">
        <f t="shared" si="2"/>
        <v>0</v>
      </c>
      <c r="G27" s="2">
        <f t="shared" si="2"/>
        <v>0</v>
      </c>
      <c r="H27" s="2">
        <f t="shared" si="2"/>
        <v>0</v>
      </c>
      <c r="I27" s="2">
        <f t="shared" si="2"/>
        <v>0</v>
      </c>
      <c r="J27" s="2">
        <f t="shared" si="2"/>
        <v>0</v>
      </c>
      <c r="K27" s="2">
        <f t="shared" ref="K27:L27" si="8">IFERROR($B14*K14,0)</f>
        <v>0</v>
      </c>
      <c r="L27" s="2">
        <f t="shared" si="8"/>
        <v>0</v>
      </c>
    </row>
    <row r="28" spans="1:12">
      <c r="A28" s="8">
        <f t="shared" si="4"/>
        <v>-5</v>
      </c>
      <c r="C28" s="2">
        <f t="shared" si="2"/>
        <v>0</v>
      </c>
      <c r="D28" s="2">
        <f t="shared" si="2"/>
        <v>0</v>
      </c>
      <c r="E28" s="2">
        <f t="shared" si="2"/>
        <v>0</v>
      </c>
      <c r="F28" s="2">
        <f t="shared" si="2"/>
        <v>0</v>
      </c>
      <c r="G28" s="2">
        <f t="shared" si="2"/>
        <v>0</v>
      </c>
      <c r="H28" s="2">
        <f t="shared" si="2"/>
        <v>0</v>
      </c>
      <c r="I28" s="2">
        <f t="shared" si="2"/>
        <v>0</v>
      </c>
      <c r="J28" s="2">
        <f t="shared" si="2"/>
        <v>0</v>
      </c>
      <c r="K28" s="2">
        <f t="shared" ref="K28:L28" si="9">IFERROR($B15*K15,0)</f>
        <v>0</v>
      </c>
      <c r="L28" s="2">
        <f t="shared" si="9"/>
        <v>0</v>
      </c>
    </row>
    <row r="29" spans="1:12">
      <c r="A29" s="8">
        <f t="shared" si="4"/>
        <v>-6</v>
      </c>
      <c r="C29" s="2">
        <f t="shared" si="2"/>
        <v>0</v>
      </c>
      <c r="D29" s="2">
        <f t="shared" si="2"/>
        <v>0</v>
      </c>
      <c r="E29" s="2">
        <f t="shared" si="2"/>
        <v>0</v>
      </c>
      <c r="F29" s="2">
        <f t="shared" si="2"/>
        <v>0</v>
      </c>
      <c r="G29" s="2">
        <f t="shared" si="2"/>
        <v>0</v>
      </c>
      <c r="H29" s="2">
        <f t="shared" si="2"/>
        <v>0</v>
      </c>
      <c r="I29" s="2">
        <f t="shared" si="2"/>
        <v>0</v>
      </c>
      <c r="J29" s="2">
        <f t="shared" si="2"/>
        <v>0</v>
      </c>
      <c r="K29" s="2">
        <f t="shared" ref="K29:L29" si="10">IFERROR($B16*K16,0)</f>
        <v>0</v>
      </c>
      <c r="L29" s="2">
        <f t="shared" si="10"/>
        <v>0</v>
      </c>
    </row>
    <row r="30" spans="1:12">
      <c r="A30" s="8">
        <f t="shared" si="4"/>
        <v>-7</v>
      </c>
      <c r="C30" s="2">
        <f t="shared" si="2"/>
        <v>0</v>
      </c>
      <c r="D30" s="2">
        <f t="shared" si="2"/>
        <v>0</v>
      </c>
      <c r="E30" s="2">
        <f t="shared" si="2"/>
        <v>0</v>
      </c>
      <c r="F30" s="2">
        <f t="shared" si="2"/>
        <v>0</v>
      </c>
      <c r="G30" s="2">
        <f t="shared" si="2"/>
        <v>0</v>
      </c>
      <c r="H30" s="2">
        <f t="shared" si="2"/>
        <v>0</v>
      </c>
      <c r="I30" s="2">
        <f t="shared" si="2"/>
        <v>0</v>
      </c>
      <c r="J30" s="2">
        <f t="shared" si="2"/>
        <v>0</v>
      </c>
      <c r="K30" s="2">
        <f t="shared" ref="K30:L30" si="11">IFERROR($B17*K17,0)</f>
        <v>0</v>
      </c>
      <c r="L30" s="2">
        <f t="shared" si="11"/>
        <v>0</v>
      </c>
    </row>
    <row r="31" spans="1:12">
      <c r="A31" s="8">
        <f t="shared" si="4"/>
        <v>-8</v>
      </c>
      <c r="C31" s="2">
        <f t="shared" si="2"/>
        <v>0</v>
      </c>
      <c r="D31" s="2">
        <f t="shared" si="2"/>
        <v>0</v>
      </c>
      <c r="E31" s="2">
        <f t="shared" si="2"/>
        <v>0</v>
      </c>
      <c r="F31" s="2">
        <f t="shared" si="2"/>
        <v>0</v>
      </c>
      <c r="G31" s="2">
        <f t="shared" si="2"/>
        <v>0</v>
      </c>
      <c r="H31" s="2">
        <f t="shared" si="2"/>
        <v>0</v>
      </c>
      <c r="I31" s="2">
        <f t="shared" si="2"/>
        <v>0</v>
      </c>
      <c r="J31" s="2">
        <f t="shared" si="2"/>
        <v>0</v>
      </c>
      <c r="K31" s="2">
        <f t="shared" ref="K31:L31" si="12">IFERROR($B18*K18,0)</f>
        <v>0</v>
      </c>
      <c r="L31" s="2">
        <f t="shared" si="12"/>
        <v>0</v>
      </c>
    </row>
    <row r="32" spans="1:12">
      <c r="A32" s="8">
        <f t="shared" si="4"/>
        <v>-9</v>
      </c>
      <c r="C32" s="2">
        <f t="shared" si="2"/>
        <v>0</v>
      </c>
      <c r="D32" s="2">
        <f t="shared" si="2"/>
        <v>0</v>
      </c>
      <c r="E32" s="2">
        <f t="shared" si="2"/>
        <v>0</v>
      </c>
      <c r="F32" s="2">
        <f t="shared" si="2"/>
        <v>0</v>
      </c>
      <c r="G32" s="2">
        <f t="shared" si="2"/>
        <v>0</v>
      </c>
      <c r="H32" s="2">
        <f t="shared" si="2"/>
        <v>0</v>
      </c>
      <c r="I32" s="2">
        <f t="shared" si="2"/>
        <v>0</v>
      </c>
      <c r="J32" s="2">
        <f t="shared" si="2"/>
        <v>0</v>
      </c>
      <c r="K32" s="2">
        <f t="shared" ref="K32:L32" si="13">IFERROR($B19*K19,0)</f>
        <v>0</v>
      </c>
      <c r="L32" s="2">
        <f t="shared" si="13"/>
        <v>0</v>
      </c>
    </row>
    <row r="33" spans="1:12">
      <c r="A33" s="902">
        <f t="shared" si="4"/>
        <v>-10</v>
      </c>
      <c r="B33" s="900"/>
      <c r="C33" s="897">
        <f t="shared" si="2"/>
        <v>0</v>
      </c>
      <c r="D33" s="897">
        <f t="shared" si="2"/>
        <v>0</v>
      </c>
      <c r="E33" s="897">
        <f t="shared" si="2"/>
        <v>0</v>
      </c>
      <c r="F33" s="897">
        <f t="shared" si="2"/>
        <v>0</v>
      </c>
      <c r="G33" s="897">
        <f t="shared" si="2"/>
        <v>0</v>
      </c>
      <c r="H33" s="897">
        <f t="shared" si="2"/>
        <v>0</v>
      </c>
      <c r="I33" s="897">
        <f t="shared" si="2"/>
        <v>0</v>
      </c>
      <c r="J33" s="897">
        <f t="shared" si="2"/>
        <v>0</v>
      </c>
      <c r="K33" s="897">
        <f t="shared" ref="K33:L33" si="14">IFERROR($B20*K20,0)</f>
        <v>0</v>
      </c>
      <c r="L33" s="897">
        <f t="shared" si="14"/>
        <v>0</v>
      </c>
    </row>
    <row r="34" spans="1:12">
      <c r="A34" s="372" t="s">
        <v>511</v>
      </c>
      <c r="C34" s="2">
        <f>SUM(C23:C33)</f>
        <v>0</v>
      </c>
      <c r="D34" s="2">
        <f t="shared" ref="D34:J34" si="15">SUM(D23:D33)</f>
        <v>0</v>
      </c>
      <c r="E34" s="2">
        <f t="shared" si="15"/>
        <v>0</v>
      </c>
      <c r="F34" s="2">
        <f t="shared" si="15"/>
        <v>0</v>
      </c>
      <c r="G34" s="2">
        <f t="shared" si="15"/>
        <v>0</v>
      </c>
      <c r="H34" s="2">
        <f t="shared" si="15"/>
        <v>0</v>
      </c>
      <c r="I34" s="2">
        <f t="shared" si="15"/>
        <v>0</v>
      </c>
      <c r="J34" s="2">
        <f t="shared" si="15"/>
        <v>0</v>
      </c>
      <c r="K34" s="2">
        <f t="shared" ref="K34:L34" si="16">SUM(K23:K33)</f>
        <v>0</v>
      </c>
      <c r="L34" s="2">
        <f t="shared" si="16"/>
        <v>0</v>
      </c>
    </row>
    <row r="35" spans="1:12">
      <c r="C35" s="2"/>
      <c r="D35" s="2"/>
      <c r="E35" s="2"/>
      <c r="F35" s="2"/>
      <c r="G35" s="327"/>
      <c r="H35" s="327"/>
      <c r="I35" s="327"/>
      <c r="J35" s="327"/>
      <c r="K35" s="327"/>
      <c r="L35" s="327"/>
    </row>
    <row r="36" spans="1:12">
      <c r="A36" s="898" t="s">
        <v>512</v>
      </c>
      <c r="B36" s="898"/>
      <c r="C36" s="503"/>
      <c r="D36" s="503"/>
      <c r="E36" s="503"/>
      <c r="F36" s="503"/>
      <c r="G36" s="503"/>
      <c r="H36" s="503"/>
      <c r="I36" s="503"/>
      <c r="J36" s="503"/>
      <c r="K36" s="503"/>
      <c r="L36" s="503"/>
    </row>
    <row r="37" spans="1:12">
      <c r="A37" s="8">
        <f>A24</f>
        <v>-1</v>
      </c>
      <c r="C37" s="2">
        <f>IFERROR(IF($A37&lt;0,1/$B$4*C11,0),0)</f>
        <v>0</v>
      </c>
      <c r="D37" s="2">
        <f t="shared" ref="D37:J37" si="17">IFERROR(IF($A37&lt;0,1/$B$4*D11,0),0)</f>
        <v>0</v>
      </c>
      <c r="E37" s="2">
        <f t="shared" si="17"/>
        <v>0</v>
      </c>
      <c r="F37" s="2">
        <f t="shared" si="17"/>
        <v>0</v>
      </c>
      <c r="G37" s="2">
        <f t="shared" si="17"/>
        <v>0</v>
      </c>
      <c r="H37" s="2">
        <f t="shared" si="17"/>
        <v>0</v>
      </c>
      <c r="I37" s="2">
        <f t="shared" si="17"/>
        <v>0</v>
      </c>
      <c r="J37" s="2">
        <f t="shared" si="17"/>
        <v>0</v>
      </c>
      <c r="K37" s="2">
        <f t="shared" ref="K37:L37" si="18">IFERROR(IF($A37&lt;0,1/$B$4*K11,0),0)</f>
        <v>0</v>
      </c>
      <c r="L37" s="2">
        <f t="shared" si="18"/>
        <v>0</v>
      </c>
    </row>
    <row r="38" spans="1:12">
      <c r="A38" s="8">
        <f t="shared" ref="A38:A46" si="19">A25</f>
        <v>-2</v>
      </c>
      <c r="C38" s="2">
        <f t="shared" ref="C38:J46" si="20">IFERROR(IF($A38&lt;0,1/$B$4*C12,0),0)</f>
        <v>0</v>
      </c>
      <c r="D38" s="2">
        <f t="shared" si="20"/>
        <v>0</v>
      </c>
      <c r="E38" s="2">
        <f t="shared" si="20"/>
        <v>0</v>
      </c>
      <c r="F38" s="2">
        <f t="shared" si="20"/>
        <v>0</v>
      </c>
      <c r="G38" s="2">
        <f t="shared" si="20"/>
        <v>0</v>
      </c>
      <c r="H38" s="2">
        <f t="shared" si="20"/>
        <v>0</v>
      </c>
      <c r="I38" s="2">
        <f t="shared" si="20"/>
        <v>0</v>
      </c>
      <c r="J38" s="2">
        <f t="shared" si="20"/>
        <v>0</v>
      </c>
      <c r="K38" s="2">
        <f t="shared" ref="K38:L38" si="21">IFERROR(IF($A38&lt;0,1/$B$4*K12,0),0)</f>
        <v>0</v>
      </c>
      <c r="L38" s="2">
        <f t="shared" si="21"/>
        <v>0</v>
      </c>
    </row>
    <row r="39" spans="1:12">
      <c r="A39" s="8">
        <f t="shared" si="19"/>
        <v>-3</v>
      </c>
      <c r="C39" s="2">
        <f t="shared" si="20"/>
        <v>0</v>
      </c>
      <c r="D39" s="2">
        <f t="shared" si="20"/>
        <v>0</v>
      </c>
      <c r="E39" s="2">
        <f t="shared" si="20"/>
        <v>0</v>
      </c>
      <c r="F39" s="2">
        <f t="shared" si="20"/>
        <v>0</v>
      </c>
      <c r="G39" s="2">
        <f t="shared" si="20"/>
        <v>0</v>
      </c>
      <c r="H39" s="2">
        <f t="shared" si="20"/>
        <v>0</v>
      </c>
      <c r="I39" s="2">
        <f t="shared" si="20"/>
        <v>0</v>
      </c>
      <c r="J39" s="2">
        <f t="shared" si="20"/>
        <v>0</v>
      </c>
      <c r="K39" s="2">
        <f t="shared" ref="K39:L39" si="22">IFERROR(IF($A39&lt;0,1/$B$4*K13,0),0)</f>
        <v>0</v>
      </c>
      <c r="L39" s="2">
        <f t="shared" si="22"/>
        <v>0</v>
      </c>
    </row>
    <row r="40" spans="1:12">
      <c r="A40" s="8">
        <f t="shared" si="19"/>
        <v>-4</v>
      </c>
      <c r="C40" s="2">
        <f t="shared" si="20"/>
        <v>0</v>
      </c>
      <c r="D40" s="2">
        <f t="shared" si="20"/>
        <v>0</v>
      </c>
      <c r="E40" s="2">
        <f t="shared" si="20"/>
        <v>0</v>
      </c>
      <c r="F40" s="2">
        <f t="shared" si="20"/>
        <v>0</v>
      </c>
      <c r="G40" s="2">
        <f t="shared" si="20"/>
        <v>0</v>
      </c>
      <c r="H40" s="2">
        <f t="shared" si="20"/>
        <v>0</v>
      </c>
      <c r="I40" s="2">
        <f t="shared" si="20"/>
        <v>0</v>
      </c>
      <c r="J40" s="2">
        <f t="shared" si="20"/>
        <v>0</v>
      </c>
      <c r="K40" s="2">
        <f t="shared" ref="K40:L40" si="23">IFERROR(IF($A40&lt;0,1/$B$4*K14,0),0)</f>
        <v>0</v>
      </c>
      <c r="L40" s="2">
        <f t="shared" si="23"/>
        <v>0</v>
      </c>
    </row>
    <row r="41" spans="1:12">
      <c r="A41" s="8">
        <f t="shared" si="19"/>
        <v>-5</v>
      </c>
      <c r="C41" s="2">
        <f t="shared" si="20"/>
        <v>0</v>
      </c>
      <c r="D41" s="2">
        <f t="shared" si="20"/>
        <v>0</v>
      </c>
      <c r="E41" s="2">
        <f t="shared" si="20"/>
        <v>0</v>
      </c>
      <c r="F41" s="2">
        <f t="shared" si="20"/>
        <v>0</v>
      </c>
      <c r="G41" s="2">
        <f t="shared" si="20"/>
        <v>0</v>
      </c>
      <c r="H41" s="2">
        <f t="shared" si="20"/>
        <v>0</v>
      </c>
      <c r="I41" s="2">
        <f t="shared" si="20"/>
        <v>0</v>
      </c>
      <c r="J41" s="2">
        <f t="shared" si="20"/>
        <v>0</v>
      </c>
      <c r="K41" s="2">
        <f t="shared" ref="K41:L41" si="24">IFERROR(IF($A41&lt;0,1/$B$4*K15,0),0)</f>
        <v>0</v>
      </c>
      <c r="L41" s="2">
        <f t="shared" si="24"/>
        <v>0</v>
      </c>
    </row>
    <row r="42" spans="1:12">
      <c r="A42" s="8">
        <f t="shared" si="19"/>
        <v>-6</v>
      </c>
      <c r="C42" s="2">
        <f t="shared" si="20"/>
        <v>0</v>
      </c>
      <c r="D42" s="2">
        <f t="shared" si="20"/>
        <v>0</v>
      </c>
      <c r="E42" s="2">
        <f t="shared" si="20"/>
        <v>0</v>
      </c>
      <c r="F42" s="2">
        <f t="shared" si="20"/>
        <v>0</v>
      </c>
      <c r="G42" s="2">
        <f t="shared" si="20"/>
        <v>0</v>
      </c>
      <c r="H42" s="2">
        <f t="shared" si="20"/>
        <v>0</v>
      </c>
      <c r="I42" s="2">
        <f t="shared" si="20"/>
        <v>0</v>
      </c>
      <c r="J42" s="2">
        <f t="shared" si="20"/>
        <v>0</v>
      </c>
      <c r="K42" s="2">
        <f t="shared" ref="K42:L42" si="25">IFERROR(IF($A42&lt;0,1/$B$4*K16,0),0)</f>
        <v>0</v>
      </c>
      <c r="L42" s="2">
        <f t="shared" si="25"/>
        <v>0</v>
      </c>
    </row>
    <row r="43" spans="1:12">
      <c r="A43" s="8">
        <f t="shared" si="19"/>
        <v>-7</v>
      </c>
      <c r="C43" s="2">
        <f t="shared" si="20"/>
        <v>0</v>
      </c>
      <c r="D43" s="2">
        <f t="shared" si="20"/>
        <v>0</v>
      </c>
      <c r="E43" s="2">
        <f t="shared" si="20"/>
        <v>0</v>
      </c>
      <c r="F43" s="2">
        <f t="shared" si="20"/>
        <v>0</v>
      </c>
      <c r="G43" s="2">
        <f t="shared" si="20"/>
        <v>0</v>
      </c>
      <c r="H43" s="2">
        <f t="shared" si="20"/>
        <v>0</v>
      </c>
      <c r="I43" s="2">
        <f t="shared" si="20"/>
        <v>0</v>
      </c>
      <c r="J43" s="2">
        <f t="shared" si="20"/>
        <v>0</v>
      </c>
      <c r="K43" s="2">
        <f t="shared" ref="K43:L43" si="26">IFERROR(IF($A43&lt;0,1/$B$4*K17,0),0)</f>
        <v>0</v>
      </c>
      <c r="L43" s="2">
        <f t="shared" si="26"/>
        <v>0</v>
      </c>
    </row>
    <row r="44" spans="1:12">
      <c r="A44" s="8">
        <f t="shared" si="19"/>
        <v>-8</v>
      </c>
      <c r="C44" s="2">
        <f t="shared" si="20"/>
        <v>0</v>
      </c>
      <c r="D44" s="2">
        <f t="shared" si="20"/>
        <v>0</v>
      </c>
      <c r="E44" s="2">
        <f t="shared" si="20"/>
        <v>0</v>
      </c>
      <c r="F44" s="2">
        <f t="shared" si="20"/>
        <v>0</v>
      </c>
      <c r="G44" s="2">
        <f t="shared" si="20"/>
        <v>0</v>
      </c>
      <c r="H44" s="2">
        <f t="shared" si="20"/>
        <v>0</v>
      </c>
      <c r="I44" s="2">
        <f t="shared" si="20"/>
        <v>0</v>
      </c>
      <c r="J44" s="2">
        <f t="shared" si="20"/>
        <v>0</v>
      </c>
      <c r="K44" s="2">
        <f t="shared" ref="K44:L44" si="27">IFERROR(IF($A44&lt;0,1/$B$4*K18,0),0)</f>
        <v>0</v>
      </c>
      <c r="L44" s="2">
        <f t="shared" si="27"/>
        <v>0</v>
      </c>
    </row>
    <row r="45" spans="1:12">
      <c r="A45" s="8">
        <f t="shared" si="19"/>
        <v>-9</v>
      </c>
      <c r="C45" s="2">
        <f t="shared" si="20"/>
        <v>0</v>
      </c>
      <c r="D45" s="2">
        <f t="shared" si="20"/>
        <v>0</v>
      </c>
      <c r="E45" s="2">
        <f t="shared" si="20"/>
        <v>0</v>
      </c>
      <c r="F45" s="2">
        <f t="shared" si="20"/>
        <v>0</v>
      </c>
      <c r="G45" s="2">
        <f t="shared" si="20"/>
        <v>0</v>
      </c>
      <c r="H45" s="2">
        <f t="shared" si="20"/>
        <v>0</v>
      </c>
      <c r="I45" s="2">
        <f t="shared" si="20"/>
        <v>0</v>
      </c>
      <c r="J45" s="2">
        <f t="shared" si="20"/>
        <v>0</v>
      </c>
      <c r="K45" s="2">
        <f t="shared" ref="K45:L45" si="28">IFERROR(IF($A45&lt;0,1/$B$4*K19,0),0)</f>
        <v>0</v>
      </c>
      <c r="L45" s="2">
        <f t="shared" si="28"/>
        <v>0</v>
      </c>
    </row>
    <row r="46" spans="1:12">
      <c r="A46" s="902">
        <f t="shared" si="19"/>
        <v>-10</v>
      </c>
      <c r="B46" s="900"/>
      <c r="C46" s="897">
        <f t="shared" si="20"/>
        <v>0</v>
      </c>
      <c r="D46" s="897">
        <f t="shared" si="20"/>
        <v>0</v>
      </c>
      <c r="E46" s="897">
        <f t="shared" si="20"/>
        <v>0</v>
      </c>
      <c r="F46" s="897">
        <f t="shared" si="20"/>
        <v>0</v>
      </c>
      <c r="G46" s="897">
        <f t="shared" si="20"/>
        <v>0</v>
      </c>
      <c r="H46" s="897">
        <f t="shared" si="20"/>
        <v>0</v>
      </c>
      <c r="I46" s="897">
        <f t="shared" si="20"/>
        <v>0</v>
      </c>
      <c r="J46" s="897">
        <f t="shared" si="20"/>
        <v>0</v>
      </c>
      <c r="K46" s="897">
        <f t="shared" ref="K46:L46" si="29">IFERROR(IF($A46&lt;0,1/$B$4*K20,0),0)</f>
        <v>0</v>
      </c>
      <c r="L46" s="897">
        <f t="shared" si="29"/>
        <v>0</v>
      </c>
    </row>
    <row r="47" spans="1:12">
      <c r="A47" s="903" t="s">
        <v>513</v>
      </c>
      <c r="B47" s="903"/>
      <c r="C47" s="904">
        <f t="shared" ref="C47:J47" si="30">SUM(C36:C46)</f>
        <v>0</v>
      </c>
      <c r="D47" s="904">
        <f t="shared" si="30"/>
        <v>0</v>
      </c>
      <c r="E47" s="904">
        <f t="shared" si="30"/>
        <v>0</v>
      </c>
      <c r="F47" s="904">
        <f t="shared" si="30"/>
        <v>0</v>
      </c>
      <c r="G47" s="904">
        <f t="shared" si="30"/>
        <v>0</v>
      </c>
      <c r="H47" s="904">
        <f t="shared" si="30"/>
        <v>0</v>
      </c>
      <c r="I47" s="904">
        <f t="shared" si="30"/>
        <v>0</v>
      </c>
      <c r="J47" s="904">
        <f t="shared" si="30"/>
        <v>0</v>
      </c>
      <c r="K47" s="904">
        <f t="shared" ref="K47:L47" si="31">SUM(K36:K46)</f>
        <v>0</v>
      </c>
      <c r="L47" s="904">
        <f t="shared" si="31"/>
        <v>0</v>
      </c>
    </row>
    <row r="48" spans="1:12">
      <c r="A48" s="903" t="s">
        <v>514</v>
      </c>
      <c r="B48" s="903"/>
      <c r="C48" s="904">
        <f>C23-C47</f>
        <v>0</v>
      </c>
      <c r="D48" s="904">
        <f t="shared" ref="D48:J48" si="32">D23-D47</f>
        <v>0</v>
      </c>
      <c r="E48" s="904">
        <f t="shared" si="32"/>
        <v>0</v>
      </c>
      <c r="F48" s="904">
        <f t="shared" si="32"/>
        <v>0</v>
      </c>
      <c r="G48" s="904">
        <f t="shared" si="32"/>
        <v>0</v>
      </c>
      <c r="H48" s="904">
        <f t="shared" si="32"/>
        <v>0</v>
      </c>
      <c r="I48" s="904">
        <f t="shared" si="32"/>
        <v>0</v>
      </c>
      <c r="J48" s="904">
        <f t="shared" si="32"/>
        <v>0</v>
      </c>
      <c r="K48" s="904">
        <f t="shared" ref="K48:L48" si="33">K23-K47</f>
        <v>0</v>
      </c>
      <c r="L48" s="904">
        <f t="shared" si="33"/>
        <v>0</v>
      </c>
    </row>
    <row r="49" spans="3:12">
      <c r="C49" s="9"/>
      <c r="D49" s="9"/>
      <c r="E49" s="9"/>
      <c r="F49" s="9"/>
      <c r="G49" s="9"/>
      <c r="H49" s="9"/>
      <c r="I49" s="9"/>
      <c r="J49" s="9"/>
      <c r="K49" s="9"/>
      <c r="L49" s="9"/>
    </row>
  </sheetData>
  <pageMargins left="0.7" right="0.7" top="0.78740157499999996" bottom="0.78740157499999996" header="0.3" footer="0.3"/>
  <pageSetup paperSize="9"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BC33E-F9F9-4800-B10A-A7E669B83954}">
  <sheetPr>
    <tabColor theme="9" tint="0.79998168889431442"/>
  </sheetPr>
  <dimension ref="A1:M49"/>
  <sheetViews>
    <sheetView workbookViewId="0">
      <selection activeCell="B6" sqref="B6"/>
    </sheetView>
  </sheetViews>
  <sheetFormatPr defaultColWidth="11.28515625" defaultRowHeight="15"/>
  <cols>
    <col min="1" max="1" width="27.7109375" style="7" bestFit="1" customWidth="1"/>
    <col min="2" max="6" width="11.7109375" style="7" customWidth="1"/>
    <col min="7" max="12" width="11.7109375" style="3" customWidth="1"/>
    <col min="13" max="16384" width="11.28515625" style="3"/>
  </cols>
  <sheetData>
    <row r="1" spans="1:13" s="340" customFormat="1" ht="26.1" customHeight="1">
      <c r="A1" s="371" t="s">
        <v>506</v>
      </c>
      <c r="B1" s="340">
        <f>'DAL-US IS-adj'!B1</f>
        <v>0</v>
      </c>
    </row>
    <row r="2" spans="1:13">
      <c r="A2" s="2" t="str">
        <f>'DAL-US IS-adj'!A2</f>
        <v>Ticker</v>
      </c>
      <c r="B2" s="2" t="str">
        <f>'Industry Ratios'!E3</f>
        <v>AC-CA</v>
      </c>
      <c r="C2" s="2"/>
      <c r="D2" s="2"/>
      <c r="E2" s="2"/>
      <c r="F2" s="2"/>
      <c r="G2" s="327"/>
      <c r="H2" s="327"/>
      <c r="I2" s="327"/>
      <c r="J2" s="327"/>
      <c r="K2" s="327"/>
      <c r="L2" s="327"/>
      <c r="M2" s="327"/>
    </row>
    <row r="3" spans="1:13">
      <c r="A3" s="4" t="s">
        <v>507</v>
      </c>
      <c r="B3" s="1055" t="s">
        <v>355</v>
      </c>
      <c r="C3" s="5"/>
      <c r="D3" s="5"/>
      <c r="E3" s="5"/>
      <c r="F3" s="5"/>
      <c r="G3" s="6"/>
    </row>
    <row r="4" spans="1:13">
      <c r="A4" s="5" t="s">
        <v>508</v>
      </c>
      <c r="B4" s="918">
        <v>10</v>
      </c>
      <c r="C4" s="5"/>
      <c r="D4" s="5"/>
      <c r="E4" s="5"/>
    </row>
    <row r="5" spans="1:13">
      <c r="A5" s="5" t="s">
        <v>465</v>
      </c>
      <c r="B5" s="1110">
        <v>0.28000000000000003</v>
      </c>
      <c r="C5" s="5"/>
      <c r="D5" s="1111"/>
      <c r="E5" s="5"/>
    </row>
    <row r="8" spans="1:13">
      <c r="A8" s="380" t="s">
        <v>509</v>
      </c>
      <c r="B8" s="380"/>
      <c r="C8" s="896" t="str">
        <f>'DAL-US IS-adj'!C5</f>
        <v>12/2020</v>
      </c>
      <c r="D8" s="896" t="str">
        <f>'DAL-US IS-adj'!D5</f>
        <v>12/2019</v>
      </c>
      <c r="E8" s="896" t="str">
        <f>'DAL-US IS-adj'!E5</f>
        <v>12/2018</v>
      </c>
      <c r="F8" s="896" t="str">
        <f>'DAL-US IS-adj'!F5</f>
        <v>12/2017</v>
      </c>
      <c r="G8" s="896" t="str">
        <f>'DAL-US IS-adj'!G5</f>
        <v>12/2016</v>
      </c>
      <c r="H8" s="896" t="str">
        <f>'DAL-US IS-adj'!H5</f>
        <v>12/2015</v>
      </c>
      <c r="I8" s="896" t="str">
        <f>'DAL-US IS-adj'!I5</f>
        <v>12/2014</v>
      </c>
      <c r="J8" s="896" t="str">
        <f>'DAL-US IS-adj'!J5</f>
        <v>12/2013</v>
      </c>
      <c r="K8" s="896" t="str">
        <f>'DAL-US IS-adj'!K5</f>
        <v>12/2012</v>
      </c>
      <c r="L8" s="896" t="str">
        <f>'DAL-US IS-adj'!L5</f>
        <v>12/2011</v>
      </c>
    </row>
    <row r="9" spans="1:13">
      <c r="A9" s="897"/>
      <c r="B9" s="898"/>
      <c r="C9" s="899" t="str">
        <f>'DAL-US IS-adj'!C6</f>
        <v>366 DAYS</v>
      </c>
      <c r="D9" s="899" t="str">
        <f>'DAL-US IS-adj'!D6</f>
        <v>365 DAYS</v>
      </c>
      <c r="E9" s="899" t="str">
        <f>'DAL-US IS-adj'!E6</f>
        <v>365 DAYS</v>
      </c>
      <c r="F9" s="899" t="str">
        <f>'DAL-US IS-adj'!F6</f>
        <v>365 DAYS</v>
      </c>
      <c r="G9" s="899" t="str">
        <f>'DAL-US IS-adj'!G6</f>
        <v>366 DAYS</v>
      </c>
      <c r="H9" s="899" t="str">
        <f>'DAL-US IS-adj'!H6</f>
        <v>365 DAYS</v>
      </c>
      <c r="I9" s="899" t="str">
        <f>'DAL-US IS-adj'!I6</f>
        <v>365 DAYS</v>
      </c>
      <c r="J9" s="899" t="str">
        <f>'DAL-US IS-adj'!J6</f>
        <v>365 DAYS</v>
      </c>
      <c r="K9" s="899" t="str">
        <f>'DAL-US IS-adj'!K6</f>
        <v>366 DAYS</v>
      </c>
      <c r="L9" s="899" t="str">
        <f>'DAL-US IS-adj'!L6</f>
        <v>365 DAYS</v>
      </c>
    </row>
    <row r="10" spans="1:13">
      <c r="A10" s="8">
        <v>0</v>
      </c>
      <c r="B10" s="2">
        <v>1</v>
      </c>
      <c r="C10" s="2" cm="1">
        <f t="array" ref="C10">IFERROR(IF($B$4&gt;=1,-_xll.FDS($B$2,"FF_ARPT_SERIES('RESEARCH AND DEVELOPMENT',ANN,0,,B,""IS"")"),0),)</f>
        <v>0</v>
      </c>
      <c r="D10" s="2" cm="1">
        <f t="array" ref="D10">IFERROR(IF($B$4&gt;=1,-_xll.FDS($B$2,"FF_ARPT_SERIES('RESEARCH AND DEVELOPMENT',ANN,-1,,B,""IS"")"),0),)</f>
        <v>0</v>
      </c>
      <c r="E10" s="2" cm="1">
        <f t="array" ref="E10">IFERROR(IF($B$4&gt;=1,-_xll.FDS($B$2,"FF_ARPT_SERIES('RESEARCH AND DEVELOPMENT',ANN,-2,,B,""IS"")"),0),)</f>
        <v>0</v>
      </c>
      <c r="F10" s="2" cm="1">
        <f t="array" ref="F10">IFERROR(IF($B$4&gt;=1,-_xll.FDS($B$2,"FF_ARPT_SERIES('RESEARCH AND DEVELOPMENT',ANN,-3,,B,""IS"")"),0),)</f>
        <v>0</v>
      </c>
      <c r="G10" s="2" cm="1">
        <f t="array" ref="G10">IFERROR(IF($B$4&gt;=1,-_xll.FDS($B$2,"FF_ARPT_SERIES('RESEARCH AND DEVELOPMENT',ANN,-4,,B,""IS"")"),0),)</f>
        <v>0</v>
      </c>
      <c r="H10" s="2" cm="1">
        <f t="array" ref="H10">IFERROR(IF($B$4&gt;=1,-_xll.FDS($B$2,"FF_ARPT_SERIES('RESEARCH AND DEVELOPMENT',ANN,-5,,B,""IS"")"),0),)</f>
        <v>0</v>
      </c>
      <c r="I10" s="2" cm="1">
        <f t="array" ref="I10">IFERROR(IF($B$4&gt;=1,-_xll.FDS($B$2,"FF_ARPT_SERIES('RESEARCH AND DEVELOPMENT',ANN,-6,,B,""IS"")"),0),)</f>
        <v>0</v>
      </c>
      <c r="J10" s="2" cm="1">
        <f t="array" ref="J10">IFERROR(IF($B$4&gt;=1,-_xll.FDS($B$2,"FF_ARPT_SERIES('RESEARCH AND DEVELOPMENT',ANN,-7,,B,""IS"")"),0),)</f>
        <v>0</v>
      </c>
      <c r="K10" s="2" cm="1">
        <f t="array" ref="K10">IFERROR(IF($B$4&gt;=1,-_xll.FDS($B$2,"FF_ARPT_SERIES('RESEARCH AND DEVELOPMENT',ANN,-8,,B,""IS"")"),0),)</f>
        <v>0</v>
      </c>
      <c r="L10" s="2" cm="1">
        <f t="array" ref="L10">IFERROR(IF($B$4&gt;=1,-_xll.FDS($B$2,"FF_ARPT_SERIES('RESEARCH AND DEVELOPMENT',ANN,-9,,B,""IS"")"),0),)</f>
        <v>0</v>
      </c>
    </row>
    <row r="11" spans="1:13">
      <c r="A11" s="8">
        <v>-1</v>
      </c>
      <c r="B11" s="2">
        <f>IF(A11&lt;0,($B$4+A11)/$B$4,0)</f>
        <v>0.9</v>
      </c>
      <c r="C11" s="2" cm="1">
        <f t="array" ref="C11">IFERROR(IF($B$4&gt;=1,-_xll.FDS($B$2,"FF_ARPT_SERIES('RESEARCH AND DEVELOPMENT',ANN,-1,,B,""IS"")"),0),)</f>
        <v>0</v>
      </c>
      <c r="D11" s="2" cm="1">
        <f t="array" ref="D11">IFERROR(IF($B$4&gt;=1,-_xll.FDS($B$2,"FF_ARPT_SERIES('RESEARCH AND DEVELOPMENT',ANN,-2,,B,""IS"")"),0),)</f>
        <v>0</v>
      </c>
      <c r="E11" s="2" cm="1">
        <f t="array" ref="E11">IFERROR(IF($B$4&gt;=1,-_xll.FDS($B$2,"FF_ARPT_SERIES('RESEARCH AND DEVELOPMENT',ANN,-3,,B,""IS"")"),0),)</f>
        <v>0</v>
      </c>
      <c r="F11" s="2" cm="1">
        <f t="array" ref="F11">IFERROR(IF($B$4&gt;=1,-_xll.FDS($B$2,"FF_ARPT_SERIES('RESEARCH AND DEVELOPMENT',ANN,-4,,B,""IS"")"),0),)</f>
        <v>0</v>
      </c>
      <c r="G11" s="2" cm="1">
        <f t="array" ref="G11">IFERROR(IF($B$4&gt;=1,-_xll.FDS($B$2,"FF_ARPT_SERIES('RESEARCH AND DEVELOPMENT',ANN,-5,,B,""IS"")"),0),)</f>
        <v>0</v>
      </c>
      <c r="H11" s="2" cm="1">
        <f t="array" ref="H11">IFERROR(IF($B$4&gt;=1,-_xll.FDS($B$2,"FF_ARPT_SERIES('RESEARCH AND DEVELOPMENT',ANN,-6,,B,""IS"")"),0),)</f>
        <v>0</v>
      </c>
      <c r="I11" s="2" cm="1">
        <f t="array" ref="I11">IFERROR(IF($B$4&gt;=1,-_xll.FDS($B$2,"FF_ARPT_SERIES('RESEARCH AND DEVELOPMENT',ANN,-7,,B,""IS"")"),0),)</f>
        <v>0</v>
      </c>
      <c r="J11" s="2" cm="1">
        <f t="array" ref="J11">IFERROR(IF($B$4&gt;=1,-_xll.FDS($B$2,"FF_ARPT_SERIES('RESEARCH AND DEVELOPMENT',ANN,-8,,B,""IS"")"),0),)</f>
        <v>0</v>
      </c>
      <c r="K11" s="2" cm="1">
        <f t="array" ref="K11">IFERROR(IF($B$4&gt;=1,-_xll.FDS($B$2,"FF_ARPT_SERIES('RESEARCH AND DEVELOPMENT',ANN,-9,,B,""IS"")"),0),)</f>
        <v>0</v>
      </c>
      <c r="L11" s="2" cm="1">
        <f t="array" ref="L11">IFERROR(IF($B$4&gt;=1,-_xll.FDS($B$2,"FF_ARPT_SERIES('RESEARCH AND DEVELOPMENT',ANN,-10,,B,""IS"")"),0),)</f>
        <v>0</v>
      </c>
    </row>
    <row r="12" spans="1:13">
      <c r="A12" s="8">
        <f>IF((0-A11)&lt;$B$4,IF(A11&gt;-1,,A11-1),)</f>
        <v>-2</v>
      </c>
      <c r="B12" s="2">
        <f t="shared" ref="B12:B20" si="0">IF(A12&lt;0,($B$4+A12)/$B$4,0)</f>
        <v>0.8</v>
      </c>
      <c r="C12" s="2" cm="1">
        <f t="array" ref="C12">IFERROR(IF($B$4&gt;=2,-_xll.FDS($B$2,"FF_ARPT_SERIES('RESEARCH AND DEVELOPMENT',ANN,-2,,B,""IS"")"),0),)</f>
        <v>0</v>
      </c>
      <c r="D12" s="2" cm="1">
        <f t="array" ref="D12">IFERROR(IF($B$4&gt;=2,-_xll.FDS($B$2,"FF_ARPT_SERIES('RESEARCH AND DEVELOPMENT',ANN,-3,,B,""IS"")"),0),)</f>
        <v>0</v>
      </c>
      <c r="E12" s="2" cm="1">
        <f t="array" ref="E12">IFERROR(IF($B$4&gt;=2,-_xll.FDS($B$2,"FF_ARPT_SERIES('RESEARCH AND DEVELOPMENT',ANN,-4,,B,""IS"")"),0),)</f>
        <v>0</v>
      </c>
      <c r="F12" s="2" cm="1">
        <f t="array" ref="F12">IFERROR(IF($B$4&gt;=2,-_xll.FDS($B$2,"FF_ARPT_SERIES('RESEARCH AND DEVELOPMENT',ANN,-5,,B,""IS"")"),0),)</f>
        <v>0</v>
      </c>
      <c r="G12" s="2" cm="1">
        <f t="array" ref="G12">IFERROR(IF($B$4&gt;=2,-_xll.FDS($B$2,"FF_ARPT_SERIES('RESEARCH AND DEVELOPMENT',ANN,-6,,B,""IS"")"),0),)</f>
        <v>0</v>
      </c>
      <c r="H12" s="2" cm="1">
        <f t="array" ref="H12">IFERROR(IF($B$4&gt;=2,-_xll.FDS($B$2,"FF_ARPT_SERIES('RESEARCH AND DEVELOPMENT',ANN,-7,,B,""IS"")"),0),)</f>
        <v>0</v>
      </c>
      <c r="I12" s="2" cm="1">
        <f t="array" ref="I12">IFERROR(IF($B$4&gt;=2,-_xll.FDS($B$2,"FF_ARPT_SERIES('RESEARCH AND DEVELOPMENT',ANN,-8,,B,""IS"")"),0),)</f>
        <v>0</v>
      </c>
      <c r="J12" s="2" cm="1">
        <f t="array" ref="J12">IFERROR(IF($B$4&gt;=2,-_xll.FDS($B$2,"FF_ARPT_SERIES('RESEARCH AND DEVELOPMENT',ANN,-9,,B,""IS"")"),0),)</f>
        <v>0</v>
      </c>
      <c r="K12" s="2" cm="1">
        <f t="array" ref="K12">IFERROR(IF($B$4&gt;=2,-_xll.FDS($B$2,"FF_ARPT_SERIES('RESEARCH AND DEVELOPMENT',ANN,-10,,B,""IS"")"),0),)</f>
        <v>0</v>
      </c>
      <c r="L12" s="2" cm="1">
        <f t="array" ref="L12">IFERROR(IF($B$4&gt;=2,-_xll.FDS($B$2,"FF_ARPT_SERIES('RESEARCH AND DEVELOPMENT',ANN,-11,,B,""IS"")"),0),)</f>
        <v>0</v>
      </c>
    </row>
    <row r="13" spans="1:13">
      <c r="A13" s="8">
        <f t="shared" ref="A13:A20" si="1">IF((0-A12)&lt;$B$4,IF(A12&gt;-1,,A12-1),)</f>
        <v>-3</v>
      </c>
      <c r="B13" s="2">
        <f t="shared" si="0"/>
        <v>0.7</v>
      </c>
      <c r="C13" s="2" cm="1">
        <f t="array" ref="C13">IFERROR(IF($B$4&gt;=3,-_xll.FDS($B$2,"FF_ARPT_SERIES('RESEARCH AND DEVELOPMENT',ANN,-3,,B,""IS"")"),0),)</f>
        <v>0</v>
      </c>
      <c r="D13" s="2" cm="1">
        <f t="array" ref="D13">IFERROR(IF($B$4&gt;=3,-_xll.FDS($B$2,"FF_ARPT_SERIES('RESEARCH AND DEVELOPMENT',ANN,-4,,B,""IS"")"),0),)</f>
        <v>0</v>
      </c>
      <c r="E13" s="2" cm="1">
        <f t="array" ref="E13">IFERROR(IF($B$4&gt;=3,-_xll.FDS($B$2,"FF_ARPT_SERIES('RESEARCH AND DEVELOPMENT',ANN,-5,,B,""IS"")"),0),)</f>
        <v>0</v>
      </c>
      <c r="F13" s="2" cm="1">
        <f t="array" ref="F13">IFERROR(IF($B$4&gt;=3,-_xll.FDS($B$2,"FF_ARPT_SERIES('RESEARCH AND DEVELOPMENT',ANN,-6,,B,""IS"")"),0),)</f>
        <v>0</v>
      </c>
      <c r="G13" s="2" cm="1">
        <f t="array" ref="G13">IFERROR(IF($B$4&gt;=3,-_xll.FDS($B$2,"FF_ARPT_SERIES('RESEARCH AND DEVELOPMENT',ANN,-7,,B,""IS"")"),0),)</f>
        <v>0</v>
      </c>
      <c r="H13" s="2" cm="1">
        <f t="array" ref="H13">IFERROR(IF($B$4&gt;=3,-_xll.FDS($B$2,"FF_ARPT_SERIES('RESEARCH AND DEVELOPMENT',ANN,-8,,B,""IS"")"),0),)</f>
        <v>0</v>
      </c>
      <c r="I13" s="2" cm="1">
        <f t="array" ref="I13">IFERROR(IF($B$4&gt;=3,-_xll.FDS($B$2,"FF_ARPT_SERIES('RESEARCH AND DEVELOPMENT',ANN,-9,,B,""IS"")"),0),)</f>
        <v>0</v>
      </c>
      <c r="J13" s="2" cm="1">
        <f t="array" ref="J13">IFERROR(IF($B$4&gt;=3,-_xll.FDS($B$2,"FF_ARPT_SERIES('RESEARCH AND DEVELOPMENT',ANN,-10,,B,""IS"")"),0),)</f>
        <v>0</v>
      </c>
      <c r="K13" s="2" cm="1">
        <f t="array" ref="K13">IFERROR(IF($B$4&gt;=3,-_xll.FDS($B$2,"FF_ARPT_SERIES('RESEARCH AND DEVELOPMENT',ANN,-11,,B,""IS"")"),0),)</f>
        <v>0</v>
      </c>
      <c r="L13" s="2" cm="1">
        <f t="array" ref="L13">IFERROR(IF($B$4&gt;=3,-_xll.FDS($B$2,"FF_ARPT_SERIES('RESEARCH AND DEVELOPMENT',ANN,-12,,B,""IS"")"),0),)</f>
        <v>0</v>
      </c>
    </row>
    <row r="14" spans="1:13">
      <c r="A14" s="8">
        <f t="shared" si="1"/>
        <v>-4</v>
      </c>
      <c r="B14" s="2">
        <f t="shared" si="0"/>
        <v>0.6</v>
      </c>
      <c r="C14" s="2" cm="1">
        <f t="array" ref="C14">IFERROR(IF($B$4&gt;=4,-_xll.FDS($B$2,"FF_ARPT_SERIES('RESEARCH AND DEVELOPMENT',ANN,-4,,B,""IS"")"),0),)</f>
        <v>0</v>
      </c>
      <c r="D14" s="2" cm="1">
        <f t="array" ref="D14">IFERROR(IF($B$4&gt;=4,-_xll.FDS($B$2,"FF_ARPT_SERIES('RESEARCH AND DEVELOPMENT',ANN,-5,,B,""IS"")"),0),)</f>
        <v>0</v>
      </c>
      <c r="E14" s="2" cm="1">
        <f t="array" ref="E14">IFERROR(IF($B$4&gt;=4,-_xll.FDS($B$2,"FF_ARPT_SERIES('RESEARCH AND DEVELOPMENT',ANN,-6,,B,""IS"")"),0),)</f>
        <v>0</v>
      </c>
      <c r="F14" s="2" cm="1">
        <f t="array" ref="F14">IFERROR(IF($B$4&gt;=4,-_xll.FDS($B$2,"FF_ARPT_SERIES('RESEARCH AND DEVELOPMENT',ANN,-7,,B,""IS"")"),0),)</f>
        <v>0</v>
      </c>
      <c r="G14" s="2" cm="1">
        <f t="array" ref="G14">IFERROR(IF($B$4&gt;=4,-_xll.FDS($B$2,"FF_ARPT_SERIES('RESEARCH AND DEVELOPMENT',ANN,-8,,B,""IS"")"),0),)</f>
        <v>0</v>
      </c>
      <c r="H14" s="2" cm="1">
        <f t="array" ref="H14">IFERROR(IF($B$4&gt;=4,-_xll.FDS($B$2,"FF_ARPT_SERIES('RESEARCH AND DEVELOPMENT',ANN,-9,,B,""IS"")"),0),)</f>
        <v>0</v>
      </c>
      <c r="I14" s="2" cm="1">
        <f t="array" ref="I14">IFERROR(IF($B$4&gt;=4,-_xll.FDS($B$2,"FF_ARPT_SERIES('RESEARCH AND DEVELOPMENT',ANN,-10,,B,""IS"")"),0),)</f>
        <v>0</v>
      </c>
      <c r="J14" s="2" cm="1">
        <f t="array" ref="J14">IFERROR(IF($B$4&gt;=4,-_xll.FDS($B$2,"FF_ARPT_SERIES('RESEARCH AND DEVELOPMENT',ANN,-11,,B,""IS"")"),0),)</f>
        <v>0</v>
      </c>
      <c r="K14" s="2" cm="1">
        <f t="array" ref="K14">IFERROR(IF($B$4&gt;=4,-_xll.FDS($B$2,"FF_ARPT_SERIES('RESEARCH AND DEVELOPMENT',ANN,-12,,B,""IS"")"),0),)</f>
        <v>0</v>
      </c>
      <c r="L14" s="2" cm="1">
        <f t="array" ref="L14">IFERROR(IF($B$4&gt;=4,-_xll.FDS($B$2,"FF_ARPT_SERIES('RESEARCH AND DEVELOPMENT',ANN,-13,,B,""IS"")"),0),)</f>
        <v>0</v>
      </c>
    </row>
    <row r="15" spans="1:13">
      <c r="A15" s="8">
        <f t="shared" si="1"/>
        <v>-5</v>
      </c>
      <c r="B15" s="2">
        <f t="shared" si="0"/>
        <v>0.5</v>
      </c>
      <c r="C15" s="2" cm="1">
        <f t="array" ref="C15">IFERROR(IF($B$4&gt;=5,-_xll.FDS($B$2,"FF_ARPT_SERIES('RESEARCH AND DEVELOPMENT',ANN,-5,,B,""IS"")"),0),)</f>
        <v>0</v>
      </c>
      <c r="D15" s="2" cm="1">
        <f t="array" ref="D15">IFERROR(IF($B$4&gt;=5,-_xll.FDS($B$2,"FF_ARPT_SERIES('RESEARCH AND DEVELOPMENT',ANN,-6,,B,""IS"")"),0),)</f>
        <v>0</v>
      </c>
      <c r="E15" s="2" cm="1">
        <f t="array" ref="E15">IFERROR(IF($B$4&gt;=5,-_xll.FDS($B$2,"FF_ARPT_SERIES('RESEARCH AND DEVELOPMENT',ANN,-7,,B,""IS"")"),0),)</f>
        <v>0</v>
      </c>
      <c r="F15" s="2" cm="1">
        <f t="array" ref="F15">IFERROR(IF($B$4&gt;=5,-_xll.FDS($B$2,"FF_ARPT_SERIES('RESEARCH AND DEVELOPMENT',ANN,-8,,B,""IS"")"),0),)</f>
        <v>0</v>
      </c>
      <c r="G15" s="2" cm="1">
        <f t="array" ref="G15">IFERROR(IF($B$4&gt;=5,-_xll.FDS($B$2,"FF_ARPT_SERIES('RESEARCH AND DEVELOPMENT',ANN,-9,,B,""IS"")"),0),)</f>
        <v>0</v>
      </c>
      <c r="H15" s="2" cm="1">
        <f t="array" ref="H15">IFERROR(IF($B$4&gt;=5,-_xll.FDS($B$2,"FF_ARPT_SERIES('RESEARCH AND DEVELOPMENT',ANN,-10,,B,""IS"")"),0),)</f>
        <v>0</v>
      </c>
      <c r="I15" s="2" cm="1">
        <f t="array" ref="I15">IFERROR(IF($B$4&gt;=5,-_xll.FDS($B$2,"FF_ARPT_SERIES('RESEARCH AND DEVELOPMENT',ANN,-11,,B,""IS"")"),0),)</f>
        <v>0</v>
      </c>
      <c r="J15" s="2" cm="1">
        <f t="array" ref="J15">IFERROR(IF($B$4&gt;=5,-_xll.FDS($B$2,"FF_ARPT_SERIES('RESEARCH AND DEVELOPMENT',ANN,-12,,B,""IS"")"),0),)</f>
        <v>0</v>
      </c>
      <c r="K15" s="2" cm="1">
        <f t="array" ref="K15">IFERROR(IF($B$4&gt;=5,-_xll.FDS($B$2,"FF_ARPT_SERIES('RESEARCH AND DEVELOPMENT',ANN,-13,,B,""IS"")"),0),)</f>
        <v>0</v>
      </c>
      <c r="L15" s="2" cm="1">
        <f t="array" ref="L15">IFERROR(IF($B$4&gt;=5,-_xll.FDS($B$2,"FF_ARPT_SERIES('RESEARCH AND DEVELOPMENT',ANN,-14,,B,""IS"")"),0),)</f>
        <v>0</v>
      </c>
    </row>
    <row r="16" spans="1:13">
      <c r="A16" s="8">
        <f t="shared" si="1"/>
        <v>-6</v>
      </c>
      <c r="B16" s="2">
        <f t="shared" si="0"/>
        <v>0.4</v>
      </c>
      <c r="C16" s="2" cm="1">
        <f t="array" ref="C16">IFERROR(IF($B$4&gt;=6,-_xll.FDS($B$2,"FF_ARPT_SERIES('RESEARCH AND DEVELOPMENT',ANN,-6,,B,""IS"")"),0),)</f>
        <v>0</v>
      </c>
      <c r="D16" s="2" cm="1">
        <f t="array" ref="D16">IFERROR(IF($B$4&gt;=6,-_xll.FDS($B$2,"FF_ARPT_SERIES('RESEARCH AND DEVELOPMENT',ANN,-7,,B,""IS"")"),0),)</f>
        <v>0</v>
      </c>
      <c r="E16" s="2" cm="1">
        <f t="array" ref="E16">IFERROR(IF($B$4&gt;=6,-_xll.FDS($B$2,"FF_ARPT_SERIES('RESEARCH AND DEVELOPMENT',ANN,-8,,B,""IS"")"),0),)</f>
        <v>0</v>
      </c>
      <c r="F16" s="2" cm="1">
        <f t="array" ref="F16">IFERROR(IF($B$4&gt;=6,-_xll.FDS($B$2,"FF_ARPT_SERIES('RESEARCH AND DEVELOPMENT',ANN,-9,,B,""IS"")"),0),)</f>
        <v>0</v>
      </c>
      <c r="G16" s="2" cm="1">
        <f t="array" ref="G16">IFERROR(IF($B$4&gt;=6,-_xll.FDS($B$2,"FF_ARPT_SERIES('RESEARCH AND DEVELOPMENT',ANN,-10,,B,""IS"")"),0),)</f>
        <v>0</v>
      </c>
      <c r="H16" s="2" cm="1">
        <f t="array" ref="H16">IFERROR(IF($B$4&gt;=6,-_xll.FDS($B$2,"FF_ARPT_SERIES('RESEARCH AND DEVELOPMENT',ANN,-11,,B,""IS"")"),0),)</f>
        <v>0</v>
      </c>
      <c r="I16" s="2" cm="1">
        <f t="array" ref="I16">IFERROR(IF($B$4&gt;=6,-_xll.FDS($B$2,"FF_ARPT_SERIES('RESEARCH AND DEVELOPMENT',ANN,-12,,B,""IS"")"),0),)</f>
        <v>0</v>
      </c>
      <c r="J16" s="2" cm="1">
        <f t="array" ref="J16">IFERROR(IF($B$4&gt;=6,-_xll.FDS($B$2,"FF_ARPT_SERIES('RESEARCH AND DEVELOPMENT',ANN,-13,,B,""IS"")"),0),)</f>
        <v>0</v>
      </c>
      <c r="K16" s="2" cm="1">
        <f t="array" ref="K16">IFERROR(IF($B$4&gt;=6,-_xll.FDS($B$2,"FF_ARPT_SERIES('RESEARCH AND DEVELOPMENT',ANN,-14,,B,""IS"")"),0),)</f>
        <v>0</v>
      </c>
      <c r="L16" s="2" cm="1">
        <f t="array" ref="L16">IFERROR(IF($B$4&gt;=6,-_xll.FDS($B$2,"FF_ARPT_SERIES('RESEARCH AND DEVELOPMENT',ANN,-15,,B,""IS"")"),0),)</f>
        <v>0</v>
      </c>
    </row>
    <row r="17" spans="1:12">
      <c r="A17" s="8">
        <f t="shared" si="1"/>
        <v>-7</v>
      </c>
      <c r="B17" s="2">
        <f t="shared" si="0"/>
        <v>0.3</v>
      </c>
      <c r="C17" s="2" cm="1">
        <f t="array" ref="C17">IFERROR(IF($B$4&gt;=7,-_xll.FDS($B$2,"FF_ARPT_SERIES('RESEARCH AND DEVELOPMENT',ANN,-7,,B,""IS"")"),0),)</f>
        <v>0</v>
      </c>
      <c r="D17" s="2" cm="1">
        <f t="array" ref="D17">IFERROR(IF($B$4&gt;=7,-_xll.FDS($B$2,"FF_ARPT_SERIES('RESEARCH AND DEVELOPMENT',ANN,-8,,B,""IS"")"),0),)</f>
        <v>0</v>
      </c>
      <c r="E17" s="2" cm="1">
        <f t="array" ref="E17">IFERROR(IF($B$4&gt;=7,-_xll.FDS($B$2,"FF_ARPT_SERIES('RESEARCH AND DEVELOPMENT',ANN,-9,,B,""IS"")"),0),)</f>
        <v>0</v>
      </c>
      <c r="F17" s="2" cm="1">
        <f t="array" ref="F17">IFERROR(IF($B$4&gt;=7,-_xll.FDS($B$2,"FF_ARPT_SERIES('RESEARCH AND DEVELOPMENT',ANN,-10,,B,""IS"")"),0),)</f>
        <v>0</v>
      </c>
      <c r="G17" s="2" cm="1">
        <f t="array" ref="G17">IFERROR(IF($B$4&gt;=7,-_xll.FDS($B$2,"FF_ARPT_SERIES('RESEARCH AND DEVELOPMENT',ANN,-11,,B,""IS"")"),0),)</f>
        <v>0</v>
      </c>
      <c r="H17" s="2" cm="1">
        <f t="array" ref="H17">IFERROR(IF($B$4&gt;=7,-_xll.FDS($B$2,"FF_ARPT_SERIES('RESEARCH AND DEVELOPMENT',ANN,-12,,B,""IS"")"),0),)</f>
        <v>0</v>
      </c>
      <c r="I17" s="2" cm="1">
        <f t="array" ref="I17">IFERROR(IF($B$4&gt;=7,-_xll.FDS($B$2,"FF_ARPT_SERIES('RESEARCH AND DEVELOPMENT',ANN,-13,,B,""IS"")"),0),)</f>
        <v>0</v>
      </c>
      <c r="J17" s="2" cm="1">
        <f t="array" ref="J17">IFERROR(IF($B$4&gt;=7,-_xll.FDS($B$2,"FF_ARPT_SERIES('RESEARCH AND DEVELOPMENT',ANN,-14,,B,""IS"")"),0),)</f>
        <v>0</v>
      </c>
      <c r="K17" s="2" cm="1">
        <f t="array" ref="K17">IFERROR(IF($B$4&gt;=7,-_xll.FDS($B$2,"FF_ARPT_SERIES('RESEARCH AND DEVELOPMENT',ANN,-15,,B,""IS"")"),0),)</f>
        <v>0</v>
      </c>
      <c r="L17" s="2" cm="1">
        <f t="array" ref="L17">IFERROR(IF($B$4&gt;=7,-_xll.FDS($B$2,"FF_ARPT_SERIES('RESEARCH AND DEVELOPMENT',ANN,-16,,B,""IS"")"),0),)</f>
        <v>0</v>
      </c>
    </row>
    <row r="18" spans="1:12">
      <c r="A18" s="8">
        <f t="shared" si="1"/>
        <v>-8</v>
      </c>
      <c r="B18" s="2">
        <f t="shared" si="0"/>
        <v>0.2</v>
      </c>
      <c r="C18" s="2" cm="1">
        <f t="array" ref="C18">IFERROR(IF($B$4&gt;=8,-_xll.FDS($B$2,"FF_ARPT_SERIES('RESEARCH AND DEVELOPMENT',ANN,-8,,B,""IS"")"),0),)</f>
        <v>0</v>
      </c>
      <c r="D18" s="2" cm="1">
        <f t="array" ref="D18">IFERROR(IF($B$4&gt;=8,-_xll.FDS($B$2,"FF_ARPT_SERIES('RESEARCH AND DEVELOPMENT',ANN,-9,,B,""IS"")"),0),)</f>
        <v>0</v>
      </c>
      <c r="E18" s="2" cm="1">
        <f t="array" ref="E18">IFERROR(IF($B$4&gt;=8,-_xll.FDS($B$2,"FF_ARPT_SERIES('RESEARCH AND DEVELOPMENT',ANN,-10,,B,""IS"")"),0),)</f>
        <v>0</v>
      </c>
      <c r="F18" s="2" cm="1">
        <f t="array" ref="F18">IFERROR(IF($B$4&gt;=8,-_xll.FDS($B$2,"FF_ARPT_SERIES('RESEARCH AND DEVELOPMENT',ANN,-11,,B,""IS"")"),0),)</f>
        <v>0</v>
      </c>
      <c r="G18" s="2" cm="1">
        <f t="array" ref="G18">IFERROR(IF($B$4&gt;=8,-_xll.FDS($B$2,"FF_ARPT_SERIES('RESEARCH AND DEVELOPMENT',ANN,-12,,B,""IS"")"),0),)</f>
        <v>0</v>
      </c>
      <c r="H18" s="2" cm="1">
        <f t="array" ref="H18">IFERROR(IF($B$4&gt;=8,-_xll.FDS($B$2,"FF_ARPT_SERIES('RESEARCH AND DEVELOPMENT',ANN,-13,,B,""IS"")"),0),)</f>
        <v>0</v>
      </c>
      <c r="I18" s="2" cm="1">
        <f t="array" ref="I18">IFERROR(IF($B$4&gt;=8,-_xll.FDS($B$2,"FF_ARPT_SERIES('RESEARCH AND DEVELOPMENT',ANN,-14,,B,""IS"")"),0),)</f>
        <v>0</v>
      </c>
      <c r="J18" s="2" cm="1">
        <f t="array" ref="J18">IFERROR(IF($B$4&gt;=8,-_xll.FDS($B$2,"FF_ARPT_SERIES('RESEARCH AND DEVELOPMENT',ANN,-15,,B,""IS"")"),0),)</f>
        <v>0</v>
      </c>
      <c r="K18" s="2" cm="1">
        <f t="array" ref="K18">IFERROR(IF($B$4&gt;=8,-_xll.FDS($B$2,"FF_ARPT_SERIES('RESEARCH AND DEVELOPMENT',ANN,-16,,B,""IS"")"),0),)</f>
        <v>0</v>
      </c>
      <c r="L18" s="2" cm="1">
        <f t="array" ref="L18">IFERROR(IF($B$4&gt;=8,-_xll.FDS($B$2,"FF_ARPT_SERIES('RESEARCH AND DEVELOPMENT',ANN,-17,,B,""IS"")"),0),)</f>
        <v>0</v>
      </c>
    </row>
    <row r="19" spans="1:12">
      <c r="A19" s="8">
        <f t="shared" si="1"/>
        <v>-9</v>
      </c>
      <c r="B19" s="2">
        <f t="shared" si="0"/>
        <v>0.1</v>
      </c>
      <c r="C19" s="2" cm="1">
        <f t="array" ref="C19">IFERROR(IF($B$4&gt;=9,-_xll.FDS($B$2,"FF_ARPT_SERIES('RESEARCH AND DEVELOPMENT',ANN,-9,,B,""IS"")"),0),)</f>
        <v>0</v>
      </c>
      <c r="D19" s="2" cm="1">
        <f t="array" ref="D19">IFERROR(IF($B$4&gt;=9,-_xll.FDS($B$2,"FF_ARPT_SERIES('RESEARCH AND DEVELOPMENT',ANN,-10,,B,""IS"")"),0),)</f>
        <v>0</v>
      </c>
      <c r="E19" s="2" cm="1">
        <f t="array" ref="E19">IFERROR(IF($B$4&gt;=9,-_xll.FDS($B$2,"FF_ARPT_SERIES('RESEARCH AND DEVELOPMENT',ANN,-11,,B,""IS"")"),0),)</f>
        <v>0</v>
      </c>
      <c r="F19" s="2" cm="1">
        <f t="array" ref="F19">IFERROR(IF($B$4&gt;=9,-_xll.FDS($B$2,"FF_ARPT_SERIES('RESEARCH AND DEVELOPMENT',ANN,-12,,B,""IS"")"),0),)</f>
        <v>0</v>
      </c>
      <c r="G19" s="2" cm="1">
        <f t="array" ref="G19">IFERROR(IF($B$4&gt;=9,-_xll.FDS($B$2,"FF_ARPT_SERIES('RESEARCH AND DEVELOPMENT',ANN,-13,,B,""IS"")"),0),)</f>
        <v>0</v>
      </c>
      <c r="H19" s="2" cm="1">
        <f t="array" ref="H19">IFERROR(IF($B$4&gt;=9,-_xll.FDS($B$2,"FF_ARPT_SERIES('RESEARCH AND DEVELOPMENT',ANN,-14,,B,""IS"")"),0),)</f>
        <v>0</v>
      </c>
      <c r="I19" s="2" cm="1">
        <f t="array" ref="I19">IFERROR(IF($B$4&gt;=9,-_xll.FDS($B$2,"FF_ARPT_SERIES('RESEARCH AND DEVELOPMENT',ANN,-15,,B,""IS"")"),0),)</f>
        <v>0</v>
      </c>
      <c r="J19" s="2" cm="1">
        <f t="array" ref="J19">IFERROR(IF($B$4&gt;=9,-_xll.FDS($B$2,"FF_ARPT_SERIES('RESEARCH AND DEVELOPMENT',ANN,-16,,B,""IS"")"),0),)</f>
        <v>0</v>
      </c>
      <c r="K19" s="2" cm="1">
        <f t="array" ref="K19">IFERROR(IF($B$4&gt;=9,-_xll.FDS($B$2,"FF_ARPT_SERIES('RESEARCH AND DEVELOPMENT',ANN,-17,,B,""IS"")"),0),)</f>
        <v>0</v>
      </c>
      <c r="L19" s="2" cm="1">
        <f t="array" ref="L19">IFERROR(IF($B$4&gt;=9,-_xll.FDS($B$2,"FF_ARPT_SERIES('RESEARCH AND DEVELOPMENT',ANN,-18,,B,""IS"")"),0),)</f>
        <v>0</v>
      </c>
    </row>
    <row r="20" spans="1:12">
      <c r="A20" s="8">
        <f t="shared" si="1"/>
        <v>-10</v>
      </c>
      <c r="B20" s="2">
        <f t="shared" si="0"/>
        <v>0</v>
      </c>
      <c r="C20" s="2" cm="1">
        <f t="array" ref="C20">IFERROR(IF($B$4&gt;=10,-_xll.FDS($B$2,"FF_ARPT_SERIES('RESEARCH AND DEVELOPMENT',ANN,-10,,B,""IS"")"),0),)</f>
        <v>0</v>
      </c>
      <c r="D20" s="2" cm="1">
        <f t="array" ref="D20">IFERROR(IF($B$4&gt;=10,-_xll.FDS($B$2,"FF_ARPT_SERIES('RESEARCH AND DEVELOPMENT',ANN,-11,,B,""IS"")"),0),)</f>
        <v>0</v>
      </c>
      <c r="E20" s="2" cm="1">
        <f t="array" ref="E20">IFERROR(IF($B$4&gt;=10,-_xll.FDS($B$2,"FF_ARPT_SERIES('RESEARCH AND DEVELOPMENT',ANN,-12,,B,""IS"")"),0),)</f>
        <v>0</v>
      </c>
      <c r="F20" s="2" cm="1">
        <f t="array" ref="F20">IFERROR(IF($B$4&gt;=10,-_xll.FDS($B$2,"FF_ARPT_SERIES('RESEARCH AND DEVELOPMENT',ANN,-13,,B,""IS"")"),0),)</f>
        <v>0</v>
      </c>
      <c r="G20" s="2" cm="1">
        <f t="array" ref="G20">IFERROR(IF($B$4&gt;=10,-_xll.FDS($B$2,"FF_ARPT_SERIES('RESEARCH AND DEVELOPMENT',ANN,-14,,B,""IS"")"),0),)</f>
        <v>0</v>
      </c>
      <c r="H20" s="2" cm="1">
        <f t="array" ref="H20">IFERROR(IF($B$4&gt;=10,-_xll.FDS($B$2,"FF_ARPT_SERIES('RESEARCH AND DEVELOPMENT',ANN,-15,,B,""IS"")"),0),)</f>
        <v>0</v>
      </c>
      <c r="I20" s="2" cm="1">
        <f t="array" ref="I20">IFERROR(IF($B$4&gt;=10,-_xll.FDS($B$2,"FF_ARPT_SERIES('RESEARCH AND DEVELOPMENT',ANN,-16,,B,""IS"")"),0),)</f>
        <v>0</v>
      </c>
      <c r="J20" s="2" cm="1">
        <f t="array" ref="J20">IFERROR(IF($B$4&gt;=10,-_xll.FDS($B$2,"FF_ARPT_SERIES('RESEARCH AND DEVELOPMENT',ANN,-117,,B,""IS"")"),0),)</f>
        <v>0</v>
      </c>
      <c r="K20" s="2" cm="1">
        <f t="array" ref="K20">IFERROR(IF($B$4&gt;=10,-_xll.FDS($B$2,"FF_ARPT_SERIES('RESEARCH AND DEVELOPMENT',ANN,-18,,B,""IS"")"),0),)</f>
        <v>0</v>
      </c>
      <c r="L20" s="2" cm="1">
        <f t="array" ref="L20">IFERROR(IF($B$4&gt;=10,-_xll.FDS($B$2,"FF_ARPT_SERIES('RESEARCH AND DEVELOPMENT',ANN,-19,,B,""IS"")"),0),)</f>
        <v>0</v>
      </c>
    </row>
    <row r="21" spans="1:12">
      <c r="C21" s="2"/>
      <c r="D21" s="2"/>
      <c r="E21" s="2"/>
      <c r="F21" s="2"/>
      <c r="G21" s="2"/>
      <c r="H21" s="327"/>
      <c r="I21" s="327"/>
      <c r="J21" s="327"/>
      <c r="K21" s="327"/>
      <c r="L21" s="327"/>
    </row>
    <row r="22" spans="1:12">
      <c r="A22" s="503" t="s">
        <v>510</v>
      </c>
      <c r="B22" s="900"/>
      <c r="C22" s="897"/>
      <c r="D22" s="897"/>
      <c r="E22" s="897"/>
      <c r="F22" s="897"/>
      <c r="G22" s="494"/>
      <c r="H22" s="494"/>
      <c r="I22" s="494"/>
      <c r="J22" s="494"/>
      <c r="K22" s="494"/>
      <c r="L22" s="494"/>
    </row>
    <row r="23" spans="1:12">
      <c r="A23" s="8">
        <f>A10</f>
        <v>0</v>
      </c>
      <c r="C23" s="2">
        <f>IFERROR($B10*C10,0)</f>
        <v>0</v>
      </c>
      <c r="D23" s="2">
        <f t="shared" ref="C23:L33" si="2">IFERROR($B10*D10,0)</f>
        <v>0</v>
      </c>
      <c r="E23" s="2">
        <f t="shared" si="2"/>
        <v>0</v>
      </c>
      <c r="F23" s="2">
        <f t="shared" si="2"/>
        <v>0</v>
      </c>
      <c r="G23" s="2">
        <f t="shared" si="2"/>
        <v>0</v>
      </c>
      <c r="H23" s="2">
        <f t="shared" si="2"/>
        <v>0</v>
      </c>
      <c r="I23" s="2">
        <f t="shared" si="2"/>
        <v>0</v>
      </c>
      <c r="J23" s="2">
        <f t="shared" si="2"/>
        <v>0</v>
      </c>
      <c r="K23" s="2">
        <f t="shared" si="2"/>
        <v>0</v>
      </c>
      <c r="L23" s="2">
        <f t="shared" si="2"/>
        <v>0</v>
      </c>
    </row>
    <row r="24" spans="1:12">
      <c r="A24" s="8">
        <f t="shared" ref="A24:A33" si="3">A11</f>
        <v>-1</v>
      </c>
      <c r="C24" s="2">
        <f t="shared" si="2"/>
        <v>0</v>
      </c>
      <c r="D24" s="2">
        <f t="shared" si="2"/>
        <v>0</v>
      </c>
      <c r="E24" s="2">
        <f t="shared" si="2"/>
        <v>0</v>
      </c>
      <c r="F24" s="2">
        <f t="shared" si="2"/>
        <v>0</v>
      </c>
      <c r="G24" s="2">
        <f t="shared" si="2"/>
        <v>0</v>
      </c>
      <c r="H24" s="2">
        <f t="shared" si="2"/>
        <v>0</v>
      </c>
      <c r="I24" s="2">
        <f t="shared" si="2"/>
        <v>0</v>
      </c>
      <c r="J24" s="2">
        <f t="shared" si="2"/>
        <v>0</v>
      </c>
      <c r="K24" s="2">
        <f t="shared" si="2"/>
        <v>0</v>
      </c>
      <c r="L24" s="2">
        <f t="shared" si="2"/>
        <v>0</v>
      </c>
    </row>
    <row r="25" spans="1:12">
      <c r="A25" s="8">
        <f t="shared" si="3"/>
        <v>-2</v>
      </c>
      <c r="C25" s="2">
        <f t="shared" si="2"/>
        <v>0</v>
      </c>
      <c r="D25" s="2">
        <f t="shared" si="2"/>
        <v>0</v>
      </c>
      <c r="E25" s="2">
        <f t="shared" si="2"/>
        <v>0</v>
      </c>
      <c r="F25" s="2">
        <f t="shared" si="2"/>
        <v>0</v>
      </c>
      <c r="G25" s="2">
        <f t="shared" si="2"/>
        <v>0</v>
      </c>
      <c r="H25" s="2">
        <f t="shared" si="2"/>
        <v>0</v>
      </c>
      <c r="I25" s="2">
        <f t="shared" si="2"/>
        <v>0</v>
      </c>
      <c r="J25" s="2">
        <f t="shared" si="2"/>
        <v>0</v>
      </c>
      <c r="K25" s="2">
        <f t="shared" si="2"/>
        <v>0</v>
      </c>
      <c r="L25" s="2">
        <f t="shared" si="2"/>
        <v>0</v>
      </c>
    </row>
    <row r="26" spans="1:12">
      <c r="A26" s="8">
        <f t="shared" si="3"/>
        <v>-3</v>
      </c>
      <c r="C26" s="2">
        <f t="shared" si="2"/>
        <v>0</v>
      </c>
      <c r="D26" s="2">
        <f t="shared" si="2"/>
        <v>0</v>
      </c>
      <c r="E26" s="2">
        <f t="shared" si="2"/>
        <v>0</v>
      </c>
      <c r="F26" s="2">
        <f t="shared" si="2"/>
        <v>0</v>
      </c>
      <c r="G26" s="2">
        <f t="shared" si="2"/>
        <v>0</v>
      </c>
      <c r="H26" s="2">
        <f t="shared" si="2"/>
        <v>0</v>
      </c>
      <c r="I26" s="2">
        <f t="shared" si="2"/>
        <v>0</v>
      </c>
      <c r="J26" s="2">
        <f>IFERROR($B13*J13,0)</f>
        <v>0</v>
      </c>
      <c r="K26" s="2">
        <f t="shared" si="2"/>
        <v>0</v>
      </c>
      <c r="L26" s="2">
        <f t="shared" si="2"/>
        <v>0</v>
      </c>
    </row>
    <row r="27" spans="1:12">
      <c r="A27" s="8">
        <f t="shared" si="3"/>
        <v>-4</v>
      </c>
      <c r="C27" s="2">
        <f t="shared" si="2"/>
        <v>0</v>
      </c>
      <c r="D27" s="2">
        <f t="shared" si="2"/>
        <v>0</v>
      </c>
      <c r="E27" s="2">
        <f t="shared" si="2"/>
        <v>0</v>
      </c>
      <c r="F27" s="2">
        <f t="shared" si="2"/>
        <v>0</v>
      </c>
      <c r="G27" s="2">
        <f t="shared" si="2"/>
        <v>0</v>
      </c>
      <c r="H27" s="2">
        <f t="shared" si="2"/>
        <v>0</v>
      </c>
      <c r="I27" s="2">
        <f t="shared" si="2"/>
        <v>0</v>
      </c>
      <c r="J27" s="2">
        <f t="shared" si="2"/>
        <v>0</v>
      </c>
      <c r="K27" s="2">
        <f t="shared" si="2"/>
        <v>0</v>
      </c>
      <c r="L27" s="2">
        <f t="shared" si="2"/>
        <v>0</v>
      </c>
    </row>
    <row r="28" spans="1:12">
      <c r="A28" s="8">
        <f t="shared" si="3"/>
        <v>-5</v>
      </c>
      <c r="C28" s="2">
        <f t="shared" si="2"/>
        <v>0</v>
      </c>
      <c r="D28" s="2">
        <f t="shared" si="2"/>
        <v>0</v>
      </c>
      <c r="E28" s="2">
        <f t="shared" si="2"/>
        <v>0</v>
      </c>
      <c r="F28" s="2">
        <f t="shared" si="2"/>
        <v>0</v>
      </c>
      <c r="G28" s="2">
        <f t="shared" si="2"/>
        <v>0</v>
      </c>
      <c r="H28" s="2">
        <f t="shared" si="2"/>
        <v>0</v>
      </c>
      <c r="I28" s="2">
        <f t="shared" si="2"/>
        <v>0</v>
      </c>
      <c r="J28" s="2">
        <f t="shared" si="2"/>
        <v>0</v>
      </c>
      <c r="K28" s="2">
        <f t="shared" si="2"/>
        <v>0</v>
      </c>
      <c r="L28" s="2">
        <f t="shared" si="2"/>
        <v>0</v>
      </c>
    </row>
    <row r="29" spans="1:12">
      <c r="A29" s="8">
        <f t="shared" si="3"/>
        <v>-6</v>
      </c>
      <c r="C29" s="2">
        <f t="shared" si="2"/>
        <v>0</v>
      </c>
      <c r="D29" s="2">
        <f t="shared" si="2"/>
        <v>0</v>
      </c>
      <c r="E29" s="2">
        <f t="shared" si="2"/>
        <v>0</v>
      </c>
      <c r="F29" s="2">
        <f t="shared" si="2"/>
        <v>0</v>
      </c>
      <c r="G29" s="2">
        <f t="shared" si="2"/>
        <v>0</v>
      </c>
      <c r="H29" s="2">
        <f t="shared" si="2"/>
        <v>0</v>
      </c>
      <c r="I29" s="2">
        <f t="shared" si="2"/>
        <v>0</v>
      </c>
      <c r="J29" s="2">
        <f t="shared" si="2"/>
        <v>0</v>
      </c>
      <c r="K29" s="2">
        <f t="shared" si="2"/>
        <v>0</v>
      </c>
      <c r="L29" s="2">
        <f>IFERROR($B16*L16,0)</f>
        <v>0</v>
      </c>
    </row>
    <row r="30" spans="1:12">
      <c r="A30" s="8">
        <f t="shared" si="3"/>
        <v>-7</v>
      </c>
      <c r="C30" s="2">
        <f t="shared" si="2"/>
        <v>0</v>
      </c>
      <c r="D30" s="2">
        <f t="shared" si="2"/>
        <v>0</v>
      </c>
      <c r="E30" s="2">
        <f t="shared" si="2"/>
        <v>0</v>
      </c>
      <c r="F30" s="2">
        <f t="shared" si="2"/>
        <v>0</v>
      </c>
      <c r="G30" s="2">
        <f t="shared" si="2"/>
        <v>0</v>
      </c>
      <c r="H30" s="2">
        <f t="shared" si="2"/>
        <v>0</v>
      </c>
      <c r="I30" s="2">
        <f t="shared" si="2"/>
        <v>0</v>
      </c>
      <c r="J30" s="2">
        <f t="shared" si="2"/>
        <v>0</v>
      </c>
      <c r="K30" s="2">
        <f t="shared" si="2"/>
        <v>0</v>
      </c>
      <c r="L30" s="2">
        <f t="shared" si="2"/>
        <v>0</v>
      </c>
    </row>
    <row r="31" spans="1:12">
      <c r="A31" s="8">
        <f t="shared" si="3"/>
        <v>-8</v>
      </c>
      <c r="C31" s="2">
        <f t="shared" si="2"/>
        <v>0</v>
      </c>
      <c r="D31" s="2">
        <f t="shared" si="2"/>
        <v>0</v>
      </c>
      <c r="E31" s="2">
        <f t="shared" si="2"/>
        <v>0</v>
      </c>
      <c r="F31" s="2">
        <f t="shared" si="2"/>
        <v>0</v>
      </c>
      <c r="G31" s="2">
        <f t="shared" si="2"/>
        <v>0</v>
      </c>
      <c r="H31" s="2">
        <f t="shared" si="2"/>
        <v>0</v>
      </c>
      <c r="I31" s="2">
        <f t="shared" si="2"/>
        <v>0</v>
      </c>
      <c r="J31" s="2">
        <f t="shared" si="2"/>
        <v>0</v>
      </c>
      <c r="K31" s="2">
        <f t="shared" si="2"/>
        <v>0</v>
      </c>
      <c r="L31" s="2">
        <f t="shared" si="2"/>
        <v>0</v>
      </c>
    </row>
    <row r="32" spans="1:12">
      <c r="A32" s="8">
        <f t="shared" si="3"/>
        <v>-9</v>
      </c>
      <c r="C32" s="2">
        <f t="shared" si="2"/>
        <v>0</v>
      </c>
      <c r="D32" s="2">
        <f t="shared" si="2"/>
        <v>0</v>
      </c>
      <c r="E32" s="2">
        <f t="shared" si="2"/>
        <v>0</v>
      </c>
      <c r="F32" s="2">
        <f t="shared" si="2"/>
        <v>0</v>
      </c>
      <c r="G32" s="2">
        <f t="shared" si="2"/>
        <v>0</v>
      </c>
      <c r="H32" s="2">
        <f t="shared" si="2"/>
        <v>0</v>
      </c>
      <c r="I32" s="2">
        <f t="shared" si="2"/>
        <v>0</v>
      </c>
      <c r="J32" s="2">
        <f t="shared" si="2"/>
        <v>0</v>
      </c>
      <c r="K32" s="2">
        <f t="shared" si="2"/>
        <v>0</v>
      </c>
      <c r="L32" s="2">
        <f t="shared" si="2"/>
        <v>0</v>
      </c>
    </row>
    <row r="33" spans="1:12">
      <c r="A33" s="902">
        <f t="shared" si="3"/>
        <v>-10</v>
      </c>
      <c r="B33" s="900"/>
      <c r="C33" s="897">
        <f t="shared" si="2"/>
        <v>0</v>
      </c>
      <c r="D33" s="897">
        <f t="shared" si="2"/>
        <v>0</v>
      </c>
      <c r="E33" s="897">
        <f t="shared" si="2"/>
        <v>0</v>
      </c>
      <c r="F33" s="897">
        <f t="shared" si="2"/>
        <v>0</v>
      </c>
      <c r="G33" s="897">
        <f t="shared" si="2"/>
        <v>0</v>
      </c>
      <c r="H33" s="897">
        <f t="shared" si="2"/>
        <v>0</v>
      </c>
      <c r="I33" s="897">
        <f t="shared" si="2"/>
        <v>0</v>
      </c>
      <c r="J33" s="897">
        <f t="shared" si="2"/>
        <v>0</v>
      </c>
      <c r="K33" s="897">
        <f t="shared" si="2"/>
        <v>0</v>
      </c>
      <c r="L33" s="897">
        <f t="shared" si="2"/>
        <v>0</v>
      </c>
    </row>
    <row r="34" spans="1:12">
      <c r="A34" s="372" t="s">
        <v>511</v>
      </c>
      <c r="C34" s="2">
        <f>SUM(C23:C33)</f>
        <v>0</v>
      </c>
      <c r="D34" s="2">
        <f t="shared" ref="D34:L34" si="4">SUM(D23:D33)</f>
        <v>0</v>
      </c>
      <c r="E34" s="2">
        <f t="shared" si="4"/>
        <v>0</v>
      </c>
      <c r="F34" s="2">
        <f t="shared" si="4"/>
        <v>0</v>
      </c>
      <c r="G34" s="2">
        <f t="shared" si="4"/>
        <v>0</v>
      </c>
      <c r="H34" s="2">
        <f t="shared" si="4"/>
        <v>0</v>
      </c>
      <c r="I34" s="2">
        <f t="shared" si="4"/>
        <v>0</v>
      </c>
      <c r="J34" s="2">
        <f t="shared" si="4"/>
        <v>0</v>
      </c>
      <c r="K34" s="2">
        <f t="shared" si="4"/>
        <v>0</v>
      </c>
      <c r="L34" s="2">
        <f t="shared" si="4"/>
        <v>0</v>
      </c>
    </row>
    <row r="35" spans="1:12">
      <c r="C35" s="2"/>
      <c r="D35" s="2"/>
      <c r="E35" s="2"/>
      <c r="F35" s="2"/>
      <c r="G35" s="327"/>
      <c r="H35" s="327"/>
      <c r="I35" s="327"/>
      <c r="J35" s="327"/>
      <c r="K35" s="327"/>
      <c r="L35" s="327"/>
    </row>
    <row r="36" spans="1:12">
      <c r="A36" s="898" t="s">
        <v>512</v>
      </c>
      <c r="B36" s="898"/>
      <c r="C36" s="503"/>
      <c r="D36" s="503"/>
      <c r="E36" s="503"/>
      <c r="F36" s="503"/>
      <c r="G36" s="503"/>
      <c r="H36" s="503"/>
      <c r="I36" s="503"/>
      <c r="J36" s="503"/>
      <c r="K36" s="503"/>
      <c r="L36" s="503"/>
    </row>
    <row r="37" spans="1:12">
      <c r="A37" s="8">
        <f>A24</f>
        <v>-1</v>
      </c>
      <c r="C37" s="2">
        <f>IFERROR(IF($A37&lt;0,1/$B$4*C11,0),0)</f>
        <v>0</v>
      </c>
      <c r="D37" s="2">
        <f t="shared" ref="D37:L46" si="5">IFERROR(IF($A37&lt;0,1/$B$4*D11,0),0)</f>
        <v>0</v>
      </c>
      <c r="E37" s="2">
        <f t="shared" si="5"/>
        <v>0</v>
      </c>
      <c r="F37" s="2">
        <f t="shared" si="5"/>
        <v>0</v>
      </c>
      <c r="G37" s="2">
        <f t="shared" si="5"/>
        <v>0</v>
      </c>
      <c r="H37" s="2">
        <f t="shared" si="5"/>
        <v>0</v>
      </c>
      <c r="I37" s="2">
        <f t="shared" si="5"/>
        <v>0</v>
      </c>
      <c r="J37" s="2">
        <f t="shared" si="5"/>
        <v>0</v>
      </c>
      <c r="K37" s="2">
        <f t="shared" si="5"/>
        <v>0</v>
      </c>
      <c r="L37" s="2">
        <f t="shared" si="5"/>
        <v>0</v>
      </c>
    </row>
    <row r="38" spans="1:12">
      <c r="A38" s="8">
        <f t="shared" ref="A38:A46" si="6">A25</f>
        <v>-2</v>
      </c>
      <c r="C38" s="2">
        <f t="shared" ref="C38:J46" si="7">IFERROR(IF($A38&lt;0,1/$B$4*C12,0),0)</f>
        <v>0</v>
      </c>
      <c r="D38" s="2">
        <f t="shared" si="7"/>
        <v>0</v>
      </c>
      <c r="E38" s="2">
        <f t="shared" si="7"/>
        <v>0</v>
      </c>
      <c r="F38" s="2">
        <f>IFERROR(IF($A38&lt;0,1/$B$4*F12,0),0)</f>
        <v>0</v>
      </c>
      <c r="G38" s="2">
        <f t="shared" si="7"/>
        <v>0</v>
      </c>
      <c r="H38" s="2">
        <f t="shared" si="7"/>
        <v>0</v>
      </c>
      <c r="I38" s="2">
        <f t="shared" si="7"/>
        <v>0</v>
      </c>
      <c r="J38" s="2">
        <f t="shared" si="7"/>
        <v>0</v>
      </c>
      <c r="K38" s="2">
        <f t="shared" si="5"/>
        <v>0</v>
      </c>
      <c r="L38" s="2">
        <f t="shared" si="5"/>
        <v>0</v>
      </c>
    </row>
    <row r="39" spans="1:12">
      <c r="A39" s="8">
        <f t="shared" si="6"/>
        <v>-3</v>
      </c>
      <c r="C39" s="2">
        <f t="shared" si="7"/>
        <v>0</v>
      </c>
      <c r="D39" s="2">
        <f t="shared" si="7"/>
        <v>0</v>
      </c>
      <c r="E39" s="2">
        <f t="shared" si="7"/>
        <v>0</v>
      </c>
      <c r="F39" s="2">
        <f t="shared" si="7"/>
        <v>0</v>
      </c>
      <c r="G39" s="2">
        <f t="shared" si="7"/>
        <v>0</v>
      </c>
      <c r="H39" s="2">
        <f t="shared" si="7"/>
        <v>0</v>
      </c>
      <c r="I39" s="2">
        <f t="shared" si="7"/>
        <v>0</v>
      </c>
      <c r="J39" s="2">
        <f t="shared" si="7"/>
        <v>0</v>
      </c>
      <c r="K39" s="2">
        <f t="shared" si="5"/>
        <v>0</v>
      </c>
      <c r="L39" s="2">
        <f t="shared" si="5"/>
        <v>0</v>
      </c>
    </row>
    <row r="40" spans="1:12">
      <c r="A40" s="8">
        <f t="shared" si="6"/>
        <v>-4</v>
      </c>
      <c r="C40" s="2">
        <f t="shared" si="7"/>
        <v>0</v>
      </c>
      <c r="D40" s="2">
        <f t="shared" si="7"/>
        <v>0</v>
      </c>
      <c r="E40" s="2">
        <f t="shared" si="7"/>
        <v>0</v>
      </c>
      <c r="F40" s="2">
        <f t="shared" si="7"/>
        <v>0</v>
      </c>
      <c r="G40" s="2">
        <f t="shared" si="7"/>
        <v>0</v>
      </c>
      <c r="H40" s="2">
        <f t="shared" si="7"/>
        <v>0</v>
      </c>
      <c r="I40" s="2">
        <f t="shared" si="7"/>
        <v>0</v>
      </c>
      <c r="J40" s="2">
        <f t="shared" si="7"/>
        <v>0</v>
      </c>
      <c r="K40" s="2">
        <f t="shared" si="5"/>
        <v>0</v>
      </c>
      <c r="L40" s="2">
        <f t="shared" si="5"/>
        <v>0</v>
      </c>
    </row>
    <row r="41" spans="1:12">
      <c r="A41" s="8">
        <f t="shared" si="6"/>
        <v>-5</v>
      </c>
      <c r="C41" s="2">
        <f t="shared" si="7"/>
        <v>0</v>
      </c>
      <c r="D41" s="2">
        <f t="shared" si="7"/>
        <v>0</v>
      </c>
      <c r="E41" s="2">
        <f t="shared" si="7"/>
        <v>0</v>
      </c>
      <c r="F41" s="2">
        <f t="shared" si="7"/>
        <v>0</v>
      </c>
      <c r="G41" s="2">
        <f t="shared" si="7"/>
        <v>0</v>
      </c>
      <c r="H41" s="2">
        <f t="shared" si="7"/>
        <v>0</v>
      </c>
      <c r="I41" s="2">
        <f t="shared" si="7"/>
        <v>0</v>
      </c>
      <c r="J41" s="2">
        <f t="shared" si="7"/>
        <v>0</v>
      </c>
      <c r="K41" s="2">
        <f t="shared" si="5"/>
        <v>0</v>
      </c>
      <c r="L41" s="2">
        <f t="shared" si="5"/>
        <v>0</v>
      </c>
    </row>
    <row r="42" spans="1:12">
      <c r="A42" s="8">
        <f t="shared" si="6"/>
        <v>-6</v>
      </c>
      <c r="C42" s="2">
        <f t="shared" si="7"/>
        <v>0</v>
      </c>
      <c r="D42" s="2">
        <f t="shared" si="7"/>
        <v>0</v>
      </c>
      <c r="E42" s="2">
        <f t="shared" si="7"/>
        <v>0</v>
      </c>
      <c r="F42" s="2">
        <f t="shared" si="7"/>
        <v>0</v>
      </c>
      <c r="G42" s="2">
        <f t="shared" si="7"/>
        <v>0</v>
      </c>
      <c r="H42" s="2">
        <f t="shared" si="7"/>
        <v>0</v>
      </c>
      <c r="I42" s="2">
        <f t="shared" si="7"/>
        <v>0</v>
      </c>
      <c r="J42" s="2">
        <f t="shared" si="7"/>
        <v>0</v>
      </c>
      <c r="K42" s="2">
        <f t="shared" si="5"/>
        <v>0</v>
      </c>
      <c r="L42" s="2">
        <f t="shared" si="5"/>
        <v>0</v>
      </c>
    </row>
    <row r="43" spans="1:12">
      <c r="A43" s="8">
        <f t="shared" si="6"/>
        <v>-7</v>
      </c>
      <c r="C43" s="2">
        <f t="shared" si="7"/>
        <v>0</v>
      </c>
      <c r="D43" s="2">
        <f t="shared" si="7"/>
        <v>0</v>
      </c>
      <c r="E43" s="2">
        <f t="shared" si="7"/>
        <v>0</v>
      </c>
      <c r="F43" s="2">
        <f t="shared" si="7"/>
        <v>0</v>
      </c>
      <c r="G43" s="2">
        <f t="shared" si="7"/>
        <v>0</v>
      </c>
      <c r="H43" s="2">
        <f t="shared" si="7"/>
        <v>0</v>
      </c>
      <c r="I43" s="2">
        <f t="shared" si="7"/>
        <v>0</v>
      </c>
      <c r="J43" s="2">
        <f t="shared" si="7"/>
        <v>0</v>
      </c>
      <c r="K43" s="2">
        <f t="shared" si="5"/>
        <v>0</v>
      </c>
      <c r="L43" s="2">
        <f t="shared" si="5"/>
        <v>0</v>
      </c>
    </row>
    <row r="44" spans="1:12">
      <c r="A44" s="8">
        <f t="shared" si="6"/>
        <v>-8</v>
      </c>
      <c r="C44" s="2">
        <f t="shared" si="7"/>
        <v>0</v>
      </c>
      <c r="D44" s="2">
        <f t="shared" si="7"/>
        <v>0</v>
      </c>
      <c r="E44" s="2">
        <f t="shared" si="7"/>
        <v>0</v>
      </c>
      <c r="F44" s="2">
        <f t="shared" si="7"/>
        <v>0</v>
      </c>
      <c r="G44" s="2">
        <f t="shared" si="7"/>
        <v>0</v>
      </c>
      <c r="H44" s="2">
        <f t="shared" si="7"/>
        <v>0</v>
      </c>
      <c r="I44" s="2">
        <f t="shared" si="7"/>
        <v>0</v>
      </c>
      <c r="J44" s="2">
        <f t="shared" si="7"/>
        <v>0</v>
      </c>
      <c r="K44" s="2">
        <f t="shared" si="5"/>
        <v>0</v>
      </c>
      <c r="L44" s="2">
        <f t="shared" si="5"/>
        <v>0</v>
      </c>
    </row>
    <row r="45" spans="1:12">
      <c r="A45" s="8">
        <f t="shared" si="6"/>
        <v>-9</v>
      </c>
      <c r="C45" s="2">
        <f t="shared" si="7"/>
        <v>0</v>
      </c>
      <c r="D45" s="2">
        <f t="shared" si="7"/>
        <v>0</v>
      </c>
      <c r="E45" s="2">
        <f t="shared" si="7"/>
        <v>0</v>
      </c>
      <c r="F45" s="2">
        <f t="shared" si="7"/>
        <v>0</v>
      </c>
      <c r="G45" s="2">
        <f t="shared" si="7"/>
        <v>0</v>
      </c>
      <c r="H45" s="2">
        <f t="shared" si="7"/>
        <v>0</v>
      </c>
      <c r="I45" s="2">
        <f t="shared" si="7"/>
        <v>0</v>
      </c>
      <c r="J45" s="2">
        <f t="shared" si="7"/>
        <v>0</v>
      </c>
      <c r="K45" s="2">
        <f t="shared" si="5"/>
        <v>0</v>
      </c>
      <c r="L45" s="2">
        <f t="shared" si="5"/>
        <v>0</v>
      </c>
    </row>
    <row r="46" spans="1:12">
      <c r="A46" s="902">
        <f t="shared" si="6"/>
        <v>-10</v>
      </c>
      <c r="B46" s="900"/>
      <c r="C46" s="897">
        <f t="shared" si="7"/>
        <v>0</v>
      </c>
      <c r="D46" s="897">
        <f t="shared" si="7"/>
        <v>0</v>
      </c>
      <c r="E46" s="897">
        <f t="shared" si="7"/>
        <v>0</v>
      </c>
      <c r="F46" s="897">
        <f t="shared" si="7"/>
        <v>0</v>
      </c>
      <c r="G46" s="897">
        <f t="shared" si="7"/>
        <v>0</v>
      </c>
      <c r="H46" s="897">
        <f t="shared" si="7"/>
        <v>0</v>
      </c>
      <c r="I46" s="897">
        <f t="shared" si="7"/>
        <v>0</v>
      </c>
      <c r="J46" s="897">
        <f t="shared" si="7"/>
        <v>0</v>
      </c>
      <c r="K46" s="897">
        <f t="shared" si="5"/>
        <v>0</v>
      </c>
      <c r="L46" s="897">
        <f t="shared" si="5"/>
        <v>0</v>
      </c>
    </row>
    <row r="47" spans="1:12">
      <c r="A47" s="903" t="s">
        <v>513</v>
      </c>
      <c r="B47" s="903"/>
      <c r="C47" s="904">
        <f t="shared" ref="C47:J47" si="8">SUM(C36:C46)</f>
        <v>0</v>
      </c>
      <c r="D47" s="904">
        <f t="shared" si="8"/>
        <v>0</v>
      </c>
      <c r="E47" s="904">
        <f t="shared" si="8"/>
        <v>0</v>
      </c>
      <c r="F47" s="904">
        <f t="shared" si="8"/>
        <v>0</v>
      </c>
      <c r="G47" s="904">
        <f t="shared" si="8"/>
        <v>0</v>
      </c>
      <c r="H47" s="904">
        <f t="shared" si="8"/>
        <v>0</v>
      </c>
      <c r="I47" s="904">
        <f t="shared" si="8"/>
        <v>0</v>
      </c>
      <c r="J47" s="904">
        <f t="shared" si="8"/>
        <v>0</v>
      </c>
      <c r="K47" s="904">
        <f t="shared" ref="K47:L47" si="9">SUM(K36:K46)</f>
        <v>0</v>
      </c>
      <c r="L47" s="904">
        <f t="shared" si="9"/>
        <v>0</v>
      </c>
    </row>
    <row r="48" spans="1:12">
      <c r="A48" s="903" t="s">
        <v>514</v>
      </c>
      <c r="B48" s="903"/>
      <c r="C48" s="904">
        <f>C23-C47</f>
        <v>0</v>
      </c>
      <c r="D48" s="904">
        <f t="shared" ref="D48:L48" si="10">D23-D47</f>
        <v>0</v>
      </c>
      <c r="E48" s="904">
        <f t="shared" si="10"/>
        <v>0</v>
      </c>
      <c r="F48" s="904">
        <f t="shared" si="10"/>
        <v>0</v>
      </c>
      <c r="G48" s="904">
        <f t="shared" si="10"/>
        <v>0</v>
      </c>
      <c r="H48" s="904">
        <f t="shared" si="10"/>
        <v>0</v>
      </c>
      <c r="I48" s="904">
        <f t="shared" si="10"/>
        <v>0</v>
      </c>
      <c r="J48" s="904">
        <f t="shared" si="10"/>
        <v>0</v>
      </c>
      <c r="K48" s="904">
        <f t="shared" si="10"/>
        <v>0</v>
      </c>
      <c r="L48" s="904">
        <f t="shared" si="10"/>
        <v>0</v>
      </c>
    </row>
    <row r="49" spans="3:12">
      <c r="C49" s="9"/>
      <c r="D49" s="9"/>
      <c r="E49" s="9"/>
      <c r="F49" s="9"/>
      <c r="G49" s="9"/>
      <c r="H49" s="9"/>
      <c r="I49" s="9"/>
      <c r="J49" s="9"/>
      <c r="K49" s="9"/>
      <c r="L49" s="9"/>
    </row>
  </sheetData>
  <pageMargins left="0.7" right="0.7" top="0.78740157499999996" bottom="0.78740157499999996" header="0.3" footer="0.3"/>
  <pageSetup paperSize="9"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6C14-8CD8-4579-8022-6BE4331EDAED}">
  <sheetPr>
    <tabColor theme="9" tint="0.79998168889431442"/>
  </sheetPr>
  <dimension ref="A1:M49"/>
  <sheetViews>
    <sheetView workbookViewId="0">
      <selection activeCell="B6" sqref="B6"/>
    </sheetView>
  </sheetViews>
  <sheetFormatPr defaultColWidth="11.28515625" defaultRowHeight="15"/>
  <cols>
    <col min="1" max="1" width="27.7109375" style="7" bestFit="1" customWidth="1"/>
    <col min="2" max="6" width="11.7109375" style="7" customWidth="1"/>
    <col min="7" max="12" width="11.7109375" style="3" customWidth="1"/>
    <col min="13" max="16384" width="11.28515625" style="3"/>
  </cols>
  <sheetData>
    <row r="1" spans="1:13" s="340" customFormat="1" ht="26.1" customHeight="1">
      <c r="A1" s="371" t="s">
        <v>506</v>
      </c>
      <c r="B1" s="340">
        <f>'DAL-US IS-adj'!B1</f>
        <v>0</v>
      </c>
    </row>
    <row r="2" spans="1:13">
      <c r="A2" s="2" t="str">
        <f>'DAL-US IS-adj'!A2</f>
        <v>Ticker</v>
      </c>
      <c r="B2" s="2" t="str">
        <f>'Industry Ratios'!F3</f>
        <v>AAL-US</v>
      </c>
      <c r="C2" s="2"/>
      <c r="D2" s="2"/>
      <c r="E2" s="2"/>
      <c r="F2" s="2"/>
      <c r="G2" s="327"/>
      <c r="H2" s="327"/>
      <c r="I2" s="327"/>
      <c r="J2" s="327"/>
      <c r="K2" s="327"/>
      <c r="L2" s="327"/>
      <c r="M2" s="327"/>
    </row>
    <row r="3" spans="1:13">
      <c r="A3" s="4" t="s">
        <v>507</v>
      </c>
      <c r="B3" s="1055" t="s">
        <v>355</v>
      </c>
      <c r="C3" s="5"/>
      <c r="D3" s="5"/>
      <c r="E3" s="5"/>
      <c r="F3" s="5"/>
      <c r="G3" s="6"/>
    </row>
    <row r="4" spans="1:13">
      <c r="A4" s="5" t="s">
        <v>508</v>
      </c>
      <c r="B4" s="918">
        <v>10</v>
      </c>
      <c r="C4" s="5"/>
      <c r="D4" s="5"/>
      <c r="E4" s="5"/>
    </row>
    <row r="5" spans="1:13">
      <c r="A5" s="5" t="s">
        <v>465</v>
      </c>
      <c r="B5" s="1110">
        <v>0.28000000000000003</v>
      </c>
      <c r="C5" s="5"/>
      <c r="D5" s="1111"/>
      <c r="E5" s="5"/>
    </row>
    <row r="8" spans="1:13">
      <c r="A8" s="380" t="s">
        <v>509</v>
      </c>
      <c r="B8" s="380"/>
      <c r="C8" s="896" t="str">
        <f>'DAL-US IS-adj'!C5</f>
        <v>12/2020</v>
      </c>
      <c r="D8" s="896" t="str">
        <f>'DAL-US IS-adj'!D5</f>
        <v>12/2019</v>
      </c>
      <c r="E8" s="896" t="str">
        <f>'DAL-US IS-adj'!E5</f>
        <v>12/2018</v>
      </c>
      <c r="F8" s="896" t="str">
        <f>'DAL-US IS-adj'!F5</f>
        <v>12/2017</v>
      </c>
      <c r="G8" s="896" t="str">
        <f>'DAL-US IS-adj'!G5</f>
        <v>12/2016</v>
      </c>
      <c r="H8" s="896" t="str">
        <f>'DAL-US IS-adj'!H5</f>
        <v>12/2015</v>
      </c>
      <c r="I8" s="896" t="str">
        <f>'DAL-US IS-adj'!I5</f>
        <v>12/2014</v>
      </c>
      <c r="J8" s="896" t="str">
        <f>'DAL-US IS-adj'!J5</f>
        <v>12/2013</v>
      </c>
      <c r="K8" s="896" t="str">
        <f>'DAL-US IS-adj'!K5</f>
        <v>12/2012</v>
      </c>
      <c r="L8" s="896" t="str">
        <f>'DAL-US IS-adj'!L5</f>
        <v>12/2011</v>
      </c>
    </row>
    <row r="9" spans="1:13">
      <c r="A9" s="897"/>
      <c r="B9" s="898"/>
      <c r="C9" s="899" t="str">
        <f>'DAL-US IS-adj'!C6</f>
        <v>366 DAYS</v>
      </c>
      <c r="D9" s="899" t="str">
        <f>'DAL-US IS-adj'!D6</f>
        <v>365 DAYS</v>
      </c>
      <c r="E9" s="899" t="str">
        <f>'DAL-US IS-adj'!E6</f>
        <v>365 DAYS</v>
      </c>
      <c r="F9" s="899" t="str">
        <f>'DAL-US IS-adj'!F6</f>
        <v>365 DAYS</v>
      </c>
      <c r="G9" s="899" t="str">
        <f>'DAL-US IS-adj'!G6</f>
        <v>366 DAYS</v>
      </c>
      <c r="H9" s="899" t="str">
        <f>'DAL-US IS-adj'!H6</f>
        <v>365 DAYS</v>
      </c>
      <c r="I9" s="899" t="str">
        <f>'DAL-US IS-adj'!I6</f>
        <v>365 DAYS</v>
      </c>
      <c r="J9" s="899" t="str">
        <f>'DAL-US IS-adj'!J6</f>
        <v>365 DAYS</v>
      </c>
      <c r="K9" s="899" t="str">
        <f>'DAL-US IS-adj'!K6</f>
        <v>366 DAYS</v>
      </c>
      <c r="L9" s="899" t="str">
        <f>'DAL-US IS-adj'!L6</f>
        <v>365 DAYS</v>
      </c>
    </row>
    <row r="10" spans="1:13">
      <c r="A10" s="8">
        <v>0</v>
      </c>
      <c r="B10" s="2">
        <v>1</v>
      </c>
      <c r="C10" s="2" cm="1">
        <f t="array" ref="C10">IFERROR(IF($B$4&gt;=1,-_xll.FDS($B$2,"FF_ARPT_SERIES('RESEARCH AND DEVELOPMENT',ANN,0,,B,""IS"")"),0),)</f>
        <v>0</v>
      </c>
      <c r="D10" s="2" cm="1">
        <f t="array" ref="D10">IFERROR(IF($B$4&gt;=1,-_xll.FDS($B$2,"FF_ARPT_SERIES('RESEARCH AND DEVELOPMENT',ANN,-1,,B,""IS"")"),0),)</f>
        <v>0</v>
      </c>
      <c r="E10" s="2" cm="1">
        <f t="array" ref="E10">IFERROR(IF($B$4&gt;=1,-_xll.FDS($B$2,"FF_ARPT_SERIES('RESEARCH AND DEVELOPMENT',ANN,-2,,B,""IS"")"),0),)</f>
        <v>0</v>
      </c>
      <c r="F10" s="2" cm="1">
        <f t="array" ref="F10">IFERROR(IF($B$4&gt;=1,-_xll.FDS($B$2,"FF_ARPT_SERIES('RESEARCH AND DEVELOPMENT',ANN,-3,,B,""IS"")"),0),)</f>
        <v>0</v>
      </c>
      <c r="G10" s="2" cm="1">
        <f t="array" ref="G10">IFERROR(IF($B$4&gt;=1,-_xll.FDS($B$2,"FF_ARPT_SERIES('RESEARCH AND DEVELOPMENT',ANN,-4,,B,""IS"")"),0),)</f>
        <v>0</v>
      </c>
      <c r="H10" s="2" cm="1">
        <f t="array" ref="H10">IFERROR(IF($B$4&gt;=1,-_xll.FDS($B$2,"FF_ARPT_SERIES('RESEARCH AND DEVELOPMENT',ANN,-5,,B,""IS"")"),0),)</f>
        <v>0</v>
      </c>
      <c r="I10" s="2" cm="1">
        <f t="array" ref="I10">IFERROR(IF($B$4&gt;=1,-_xll.FDS($B$2,"FF_ARPT_SERIES('RESEARCH AND DEVELOPMENT',ANN,-6,,B,""IS"")"),0),)</f>
        <v>0</v>
      </c>
      <c r="J10" s="2" cm="1">
        <f t="array" ref="J10">IFERROR(IF($B$4&gt;=1,-_xll.FDS($B$2,"FF_ARPT_SERIES('RESEARCH AND DEVELOPMENT',ANN,-7,,B,""IS"")"),0),)</f>
        <v>0</v>
      </c>
      <c r="K10" s="2" cm="1">
        <f t="array" ref="K10">IFERROR(IF($B$4&gt;=1,-_xll.FDS($B$2,"FF_ARPT_SERIES('RESEARCH AND DEVELOPMENT',ANN,-8,,B,""IS"")"),0),)</f>
        <v>0</v>
      </c>
      <c r="L10" s="2" cm="1">
        <f t="array" ref="L10">IFERROR(IF($B$4&gt;=1,-_xll.FDS($B$2,"FF_ARPT_SERIES('RESEARCH AND DEVELOPMENT',ANN,-9,,B,""IS"")"),0),)</f>
        <v>0</v>
      </c>
    </row>
    <row r="11" spans="1:13">
      <c r="A11" s="8">
        <v>-1</v>
      </c>
      <c r="B11" s="2">
        <f>IF(A11&lt;0,($B$4+A11)/$B$4,0)</f>
        <v>0.9</v>
      </c>
      <c r="C11" s="2" cm="1">
        <f t="array" ref="C11">IFERROR(IF($B$4&gt;=1,-_xll.FDS($B$2,"FF_ARPT_SERIES('RESEARCH AND DEVELOPMENT',ANN,-1,,B,""IS"")"),0),)</f>
        <v>0</v>
      </c>
      <c r="D11" s="2" cm="1">
        <f t="array" ref="D11">IFERROR(IF($B$4&gt;=1,-_xll.FDS($B$2,"FF_ARPT_SERIES('RESEARCH AND DEVELOPMENT',ANN,-2,,B,""IS"")"),0),)</f>
        <v>0</v>
      </c>
      <c r="E11" s="2" cm="1">
        <f t="array" ref="E11">IFERROR(IF($B$4&gt;=1,-_xll.FDS($B$2,"FF_ARPT_SERIES('RESEARCH AND DEVELOPMENT',ANN,-3,,B,""IS"")"),0),)</f>
        <v>0</v>
      </c>
      <c r="F11" s="2" cm="1">
        <f t="array" ref="F11">IFERROR(IF($B$4&gt;=1,-_xll.FDS($B$2,"FF_ARPT_SERIES('RESEARCH AND DEVELOPMENT',ANN,-4,,B,""IS"")"),0),)</f>
        <v>0</v>
      </c>
      <c r="G11" s="2" cm="1">
        <f t="array" ref="G11">IFERROR(IF($B$4&gt;=1,-_xll.FDS($B$2,"FF_ARPT_SERIES('RESEARCH AND DEVELOPMENT',ANN,-5,,B,""IS"")"),0),)</f>
        <v>0</v>
      </c>
      <c r="H11" s="2" cm="1">
        <f t="array" ref="H11">IFERROR(IF($B$4&gt;=1,-_xll.FDS($B$2,"FF_ARPT_SERIES('RESEARCH AND DEVELOPMENT',ANN,-6,,B,""IS"")"),0),)</f>
        <v>0</v>
      </c>
      <c r="I11" s="2" cm="1">
        <f t="array" ref="I11">IFERROR(IF($B$4&gt;=1,-_xll.FDS($B$2,"FF_ARPT_SERIES('RESEARCH AND DEVELOPMENT',ANN,-7,,B,""IS"")"),0),)</f>
        <v>0</v>
      </c>
      <c r="J11" s="2" cm="1">
        <f t="array" ref="J11">IFERROR(IF($B$4&gt;=1,-_xll.FDS($B$2,"FF_ARPT_SERIES('RESEARCH AND DEVELOPMENT',ANN,-8,,B,""IS"")"),0),)</f>
        <v>0</v>
      </c>
      <c r="K11" s="2" cm="1">
        <f t="array" ref="K11">IFERROR(IF($B$4&gt;=1,-_xll.FDS($B$2,"FF_ARPT_SERIES('RESEARCH AND DEVELOPMENT',ANN,-9,,B,""IS"")"),0),)</f>
        <v>0</v>
      </c>
      <c r="L11" s="2" cm="1">
        <f t="array" ref="L11">IFERROR(IF($B$4&gt;=1,-_xll.FDS($B$2,"FF_ARPT_SERIES('RESEARCH AND DEVELOPMENT',ANN,-10,,B,""IS"")"),0),)</f>
        <v>0</v>
      </c>
    </row>
    <row r="12" spans="1:13">
      <c r="A12" s="8">
        <f>IF((0-A11)&lt;$B$4,IF(A11&gt;-1,,A11-1),)</f>
        <v>-2</v>
      </c>
      <c r="B12" s="2">
        <f t="shared" ref="B12:B20" si="0">IF(A12&lt;0,($B$4+A12)/$B$4,0)</f>
        <v>0.8</v>
      </c>
      <c r="C12" s="2" cm="1">
        <f t="array" ref="C12">IFERROR(IF($B$4&gt;=2,-_xll.FDS($B$2,"FF_ARPT_SERIES('RESEARCH AND DEVELOPMENT',ANN,-2,,B,""IS"")"),0),)</f>
        <v>0</v>
      </c>
      <c r="D12" s="2" cm="1">
        <f t="array" ref="D12">IFERROR(IF($B$4&gt;=2,-_xll.FDS($B$2,"FF_ARPT_SERIES('RESEARCH AND DEVELOPMENT',ANN,-3,,B,""IS"")"),0),)</f>
        <v>0</v>
      </c>
      <c r="E12" s="2" cm="1">
        <f t="array" ref="E12">IFERROR(IF($B$4&gt;=2,-_xll.FDS($B$2,"FF_ARPT_SERIES('RESEARCH AND DEVELOPMENT',ANN,-4,,B,""IS"")"),0),)</f>
        <v>0</v>
      </c>
      <c r="F12" s="2" cm="1">
        <f t="array" ref="F12">IFERROR(IF($B$4&gt;=2,-_xll.FDS($B$2,"FF_ARPT_SERIES('RESEARCH AND DEVELOPMENT',ANN,-5,,B,""IS"")"),0),)</f>
        <v>0</v>
      </c>
      <c r="G12" s="2" cm="1">
        <f t="array" ref="G12">IFERROR(IF($B$4&gt;=2,-_xll.FDS($B$2,"FF_ARPT_SERIES('RESEARCH AND DEVELOPMENT',ANN,-6,,B,""IS"")"),0),)</f>
        <v>0</v>
      </c>
      <c r="H12" s="2" cm="1">
        <f t="array" ref="H12">IFERROR(IF($B$4&gt;=2,-_xll.FDS($B$2,"FF_ARPT_SERIES('RESEARCH AND DEVELOPMENT',ANN,-7,,B,""IS"")"),0),)</f>
        <v>0</v>
      </c>
      <c r="I12" s="2" cm="1">
        <f t="array" ref="I12">IFERROR(IF($B$4&gt;=2,-_xll.FDS($B$2,"FF_ARPT_SERIES('RESEARCH AND DEVELOPMENT',ANN,-8,,B,""IS"")"),0),)</f>
        <v>0</v>
      </c>
      <c r="J12" s="2" cm="1">
        <f t="array" ref="J12">IFERROR(IF($B$4&gt;=2,-_xll.FDS($B$2,"FF_ARPT_SERIES('RESEARCH AND DEVELOPMENT',ANN,-9,,B,""IS"")"),0),)</f>
        <v>0</v>
      </c>
      <c r="K12" s="2" cm="1">
        <f t="array" ref="K12">IFERROR(IF($B$4&gt;=2,-_xll.FDS($B$2,"FF_ARPT_SERIES('RESEARCH AND DEVELOPMENT',ANN,-10,,B,""IS"")"),0),)</f>
        <v>0</v>
      </c>
      <c r="L12" s="2" cm="1">
        <f t="array" ref="L12">IFERROR(IF($B$4&gt;=2,-_xll.FDS($B$2,"FF_ARPT_SERIES('RESEARCH AND DEVELOPMENT',ANN,-11,,B,""IS"")"),0),)</f>
        <v>0</v>
      </c>
    </row>
    <row r="13" spans="1:13">
      <c r="A13" s="8">
        <f t="shared" ref="A13:A20" si="1">IF((0-A12)&lt;$B$4,IF(A12&gt;-1,,A12-1),)</f>
        <v>-3</v>
      </c>
      <c r="B13" s="2">
        <f t="shared" si="0"/>
        <v>0.7</v>
      </c>
      <c r="C13" s="2" cm="1">
        <f t="array" ref="C13">IFERROR(IF($B$4&gt;=3,-_xll.FDS($B$2,"FF_ARPT_SERIES('RESEARCH AND DEVELOPMENT',ANN,-3,,B,""IS"")"),0),)</f>
        <v>0</v>
      </c>
      <c r="D13" s="2" cm="1">
        <f t="array" ref="D13">IFERROR(IF($B$4&gt;=3,-_xll.FDS($B$2,"FF_ARPT_SERIES('RESEARCH AND DEVELOPMENT',ANN,-4,,B,""IS"")"),0),)</f>
        <v>0</v>
      </c>
      <c r="E13" s="2" cm="1">
        <f t="array" ref="E13">IFERROR(IF($B$4&gt;=3,-_xll.FDS($B$2,"FF_ARPT_SERIES('RESEARCH AND DEVELOPMENT',ANN,-5,,B,""IS"")"),0),)</f>
        <v>0</v>
      </c>
      <c r="F13" s="2" cm="1">
        <f t="array" ref="F13">IFERROR(IF($B$4&gt;=3,-_xll.FDS($B$2,"FF_ARPT_SERIES('RESEARCH AND DEVELOPMENT',ANN,-6,,B,""IS"")"),0),)</f>
        <v>0</v>
      </c>
      <c r="G13" s="2" cm="1">
        <f t="array" ref="G13">IFERROR(IF($B$4&gt;=3,-_xll.FDS($B$2,"FF_ARPT_SERIES('RESEARCH AND DEVELOPMENT',ANN,-7,,B,""IS"")"),0),)</f>
        <v>0</v>
      </c>
      <c r="H13" s="2" cm="1">
        <f t="array" ref="H13">IFERROR(IF($B$4&gt;=3,-_xll.FDS($B$2,"FF_ARPT_SERIES('RESEARCH AND DEVELOPMENT',ANN,-8,,B,""IS"")"),0),)</f>
        <v>0</v>
      </c>
      <c r="I13" s="2" cm="1">
        <f t="array" ref="I13">IFERROR(IF($B$4&gt;=3,-_xll.FDS($B$2,"FF_ARPT_SERIES('RESEARCH AND DEVELOPMENT',ANN,-9,,B,""IS"")"),0),)</f>
        <v>0</v>
      </c>
      <c r="J13" s="2" cm="1">
        <f t="array" ref="J13">IFERROR(IF($B$4&gt;=3,-_xll.FDS($B$2,"FF_ARPT_SERIES('RESEARCH AND DEVELOPMENT',ANN,-10,,B,""IS"")"),0),)</f>
        <v>0</v>
      </c>
      <c r="K13" s="2" cm="1">
        <f t="array" ref="K13">IFERROR(IF($B$4&gt;=3,-_xll.FDS($B$2,"FF_ARPT_SERIES('RESEARCH AND DEVELOPMENT',ANN,-11,,B,""IS"")"),0),)</f>
        <v>0</v>
      </c>
      <c r="L13" s="2" cm="1">
        <f t="array" ref="L13">IFERROR(IF($B$4&gt;=3,-_xll.FDS($B$2,"FF_ARPT_SERIES('RESEARCH AND DEVELOPMENT',ANN,-12,,B,""IS"")"),0),)</f>
        <v>0</v>
      </c>
    </row>
    <row r="14" spans="1:13">
      <c r="A14" s="8">
        <f t="shared" si="1"/>
        <v>-4</v>
      </c>
      <c r="B14" s="2">
        <f t="shared" si="0"/>
        <v>0.6</v>
      </c>
      <c r="C14" s="2" cm="1">
        <f t="array" ref="C14">IFERROR(IF($B$4&gt;=4,-_xll.FDS($B$2,"FF_ARPT_SERIES('RESEARCH AND DEVELOPMENT',ANN,-4,,B,""IS"")"),0),)</f>
        <v>0</v>
      </c>
      <c r="D14" s="2" cm="1">
        <f t="array" ref="D14">IFERROR(IF($B$4&gt;=4,-_xll.FDS($B$2,"FF_ARPT_SERIES('RESEARCH AND DEVELOPMENT',ANN,-5,,B,""IS"")"),0),)</f>
        <v>0</v>
      </c>
      <c r="E14" s="2" cm="1">
        <f t="array" ref="E14">IFERROR(IF($B$4&gt;=4,-_xll.FDS($B$2,"FF_ARPT_SERIES('RESEARCH AND DEVELOPMENT',ANN,-6,,B,""IS"")"),0),)</f>
        <v>0</v>
      </c>
      <c r="F14" s="2" cm="1">
        <f t="array" ref="F14">IFERROR(IF($B$4&gt;=4,-_xll.FDS($B$2,"FF_ARPT_SERIES('RESEARCH AND DEVELOPMENT',ANN,-7,,B,""IS"")"),0),)</f>
        <v>0</v>
      </c>
      <c r="G14" s="2" cm="1">
        <f t="array" ref="G14">IFERROR(IF($B$4&gt;=4,-_xll.FDS($B$2,"FF_ARPT_SERIES('RESEARCH AND DEVELOPMENT',ANN,-8,,B,""IS"")"),0),)</f>
        <v>0</v>
      </c>
      <c r="H14" s="2" cm="1">
        <f t="array" ref="H14">IFERROR(IF($B$4&gt;=4,-_xll.FDS($B$2,"FF_ARPT_SERIES('RESEARCH AND DEVELOPMENT',ANN,-9,,B,""IS"")"),0),)</f>
        <v>0</v>
      </c>
      <c r="I14" s="2" cm="1">
        <f t="array" ref="I14">IFERROR(IF($B$4&gt;=4,-_xll.FDS($B$2,"FF_ARPT_SERIES('RESEARCH AND DEVELOPMENT',ANN,-10,,B,""IS"")"),0),)</f>
        <v>0</v>
      </c>
      <c r="J14" s="2" cm="1">
        <f t="array" ref="J14">IFERROR(IF($B$4&gt;=4,-_xll.FDS($B$2,"FF_ARPT_SERIES('RESEARCH AND DEVELOPMENT',ANN,-11,,B,""IS"")"),0),)</f>
        <v>0</v>
      </c>
      <c r="K14" s="2" cm="1">
        <f t="array" ref="K14">IFERROR(IF($B$4&gt;=4,-_xll.FDS($B$2,"FF_ARPT_SERIES('RESEARCH AND DEVELOPMENT',ANN,-12,,B,""IS"")"),0),)</f>
        <v>0</v>
      </c>
      <c r="L14" s="2" cm="1">
        <f t="array" ref="L14">IFERROR(IF($B$4&gt;=4,-_xll.FDS($B$2,"FF_ARPT_SERIES('RESEARCH AND DEVELOPMENT',ANN,-13,,B,""IS"")"),0),)</f>
        <v>0</v>
      </c>
    </row>
    <row r="15" spans="1:13">
      <c r="A15" s="8">
        <f t="shared" si="1"/>
        <v>-5</v>
      </c>
      <c r="B15" s="2">
        <f t="shared" si="0"/>
        <v>0.5</v>
      </c>
      <c r="C15" s="2" cm="1">
        <f t="array" ref="C15">IFERROR(IF($B$4&gt;=5,-_xll.FDS($B$2,"FF_ARPT_SERIES('RESEARCH AND DEVELOPMENT',ANN,-5,,B,""IS"")"),0),)</f>
        <v>0</v>
      </c>
      <c r="D15" s="2" cm="1">
        <f t="array" ref="D15">IFERROR(IF($B$4&gt;=5,-_xll.FDS($B$2,"FF_ARPT_SERIES('RESEARCH AND DEVELOPMENT',ANN,-6,,B,""IS"")"),0),)</f>
        <v>0</v>
      </c>
      <c r="E15" s="2" cm="1">
        <f t="array" ref="E15">IFERROR(IF($B$4&gt;=5,-_xll.FDS($B$2,"FF_ARPT_SERIES('RESEARCH AND DEVELOPMENT',ANN,-7,,B,""IS"")"),0),)</f>
        <v>0</v>
      </c>
      <c r="F15" s="2" cm="1">
        <f t="array" ref="F15">IFERROR(IF($B$4&gt;=5,-_xll.FDS($B$2,"FF_ARPT_SERIES('RESEARCH AND DEVELOPMENT',ANN,-8,,B,""IS"")"),0),)</f>
        <v>0</v>
      </c>
      <c r="G15" s="2" cm="1">
        <f t="array" ref="G15">IFERROR(IF($B$4&gt;=5,-_xll.FDS($B$2,"FF_ARPT_SERIES('RESEARCH AND DEVELOPMENT',ANN,-9,,B,""IS"")"),0),)</f>
        <v>0</v>
      </c>
      <c r="H15" s="2" cm="1">
        <f t="array" ref="H15">IFERROR(IF($B$4&gt;=5,-_xll.FDS($B$2,"FF_ARPT_SERIES('RESEARCH AND DEVELOPMENT',ANN,-10,,B,""IS"")"),0),)</f>
        <v>0</v>
      </c>
      <c r="I15" s="2" cm="1">
        <f t="array" ref="I15">IFERROR(IF($B$4&gt;=5,-_xll.FDS($B$2,"FF_ARPT_SERIES('RESEARCH AND DEVELOPMENT',ANN,-11,,B,""IS"")"),0),)</f>
        <v>0</v>
      </c>
      <c r="J15" s="2" cm="1">
        <f t="array" ref="J15">IFERROR(IF($B$4&gt;=5,-_xll.FDS($B$2,"FF_ARPT_SERIES('RESEARCH AND DEVELOPMENT',ANN,-12,,B,""IS"")"),0),)</f>
        <v>0</v>
      </c>
      <c r="K15" s="2" cm="1">
        <f t="array" ref="K15">IFERROR(IF($B$4&gt;=5,-_xll.FDS($B$2,"FF_ARPT_SERIES('RESEARCH AND DEVELOPMENT',ANN,-13,,B,""IS"")"),0),)</f>
        <v>0</v>
      </c>
      <c r="L15" s="2" cm="1">
        <f t="array" ref="L15">IFERROR(IF($B$4&gt;=5,-_xll.FDS($B$2,"FF_ARPT_SERIES('RESEARCH AND DEVELOPMENT',ANN,-14,,B,""IS"")"),0),)</f>
        <v>0</v>
      </c>
    </row>
    <row r="16" spans="1:13">
      <c r="A16" s="8">
        <f t="shared" si="1"/>
        <v>-6</v>
      </c>
      <c r="B16" s="2">
        <f t="shared" si="0"/>
        <v>0.4</v>
      </c>
      <c r="C16" s="2" cm="1">
        <f t="array" ref="C16">IFERROR(IF($B$4&gt;=6,-_xll.FDS($B$2,"FF_ARPT_SERIES('RESEARCH AND DEVELOPMENT',ANN,-6,,B,""IS"")"),0),)</f>
        <v>0</v>
      </c>
      <c r="D16" s="2" cm="1">
        <f t="array" ref="D16">IFERROR(IF($B$4&gt;=6,-_xll.FDS($B$2,"FF_ARPT_SERIES('RESEARCH AND DEVELOPMENT',ANN,-7,,B,""IS"")"),0),)</f>
        <v>0</v>
      </c>
      <c r="E16" s="2" cm="1">
        <f t="array" ref="E16">IFERROR(IF($B$4&gt;=6,-_xll.FDS($B$2,"FF_ARPT_SERIES('RESEARCH AND DEVELOPMENT',ANN,-8,,B,""IS"")"),0),)</f>
        <v>0</v>
      </c>
      <c r="F16" s="2" cm="1">
        <f t="array" ref="F16">IFERROR(IF($B$4&gt;=6,-_xll.FDS($B$2,"FF_ARPT_SERIES('RESEARCH AND DEVELOPMENT',ANN,-9,,B,""IS"")"),0),)</f>
        <v>0</v>
      </c>
      <c r="G16" s="2" cm="1">
        <f t="array" ref="G16">IFERROR(IF($B$4&gt;=6,-_xll.FDS($B$2,"FF_ARPT_SERIES('RESEARCH AND DEVELOPMENT',ANN,-10,,B,""IS"")"),0),)</f>
        <v>0</v>
      </c>
      <c r="H16" s="2" cm="1">
        <f t="array" ref="H16">IFERROR(IF($B$4&gt;=6,-_xll.FDS($B$2,"FF_ARPT_SERIES('RESEARCH AND DEVELOPMENT',ANN,-11,,B,""IS"")"),0),)</f>
        <v>0</v>
      </c>
      <c r="I16" s="2" cm="1">
        <f t="array" ref="I16">IFERROR(IF($B$4&gt;=6,-_xll.FDS($B$2,"FF_ARPT_SERIES('RESEARCH AND DEVELOPMENT',ANN,-12,,B,""IS"")"),0),)</f>
        <v>0</v>
      </c>
      <c r="J16" s="2" cm="1">
        <f t="array" ref="J16">IFERROR(IF($B$4&gt;=6,-_xll.FDS($B$2,"FF_ARPT_SERIES('RESEARCH AND DEVELOPMENT',ANN,-13,,B,""IS"")"),0),)</f>
        <v>0</v>
      </c>
      <c r="K16" s="2" cm="1">
        <f t="array" ref="K16">IFERROR(IF($B$4&gt;=6,-_xll.FDS($B$2,"FF_ARPT_SERIES('RESEARCH AND DEVELOPMENT',ANN,-14,,B,""IS"")"),0),)</f>
        <v>0</v>
      </c>
      <c r="L16" s="2" cm="1">
        <f t="array" ref="L16">IFERROR(IF($B$4&gt;=6,-_xll.FDS($B$2,"FF_ARPT_SERIES('RESEARCH AND DEVELOPMENT',ANN,-15,,B,""IS"")"),0),)</f>
        <v>0</v>
      </c>
    </row>
    <row r="17" spans="1:12">
      <c r="A17" s="8">
        <f t="shared" si="1"/>
        <v>-7</v>
      </c>
      <c r="B17" s="2">
        <f t="shared" si="0"/>
        <v>0.3</v>
      </c>
      <c r="C17" s="2" cm="1">
        <f t="array" ref="C17">IFERROR(IF($B$4&gt;=7,-_xll.FDS($B$2,"FF_ARPT_SERIES('RESEARCH AND DEVELOPMENT',ANN,-7,,B,""IS"")"),0),)</f>
        <v>0</v>
      </c>
      <c r="D17" s="2" cm="1">
        <f t="array" ref="D17">IFERROR(IF($B$4&gt;=7,-_xll.FDS($B$2,"FF_ARPT_SERIES('RESEARCH AND DEVELOPMENT',ANN,-8,,B,""IS"")"),0),)</f>
        <v>0</v>
      </c>
      <c r="E17" s="2" cm="1">
        <f t="array" ref="E17">IFERROR(IF($B$4&gt;=7,-_xll.FDS($B$2,"FF_ARPT_SERIES('RESEARCH AND DEVELOPMENT',ANN,-9,,B,""IS"")"),0),)</f>
        <v>0</v>
      </c>
      <c r="F17" s="2" cm="1">
        <f t="array" ref="F17">IFERROR(IF($B$4&gt;=7,-_xll.FDS($B$2,"FF_ARPT_SERIES('RESEARCH AND DEVELOPMENT',ANN,-10,,B,""IS"")"),0),)</f>
        <v>0</v>
      </c>
      <c r="G17" s="2" cm="1">
        <f t="array" ref="G17">IFERROR(IF($B$4&gt;=7,-_xll.FDS($B$2,"FF_ARPT_SERIES('RESEARCH AND DEVELOPMENT',ANN,-11,,B,""IS"")"),0),)</f>
        <v>0</v>
      </c>
      <c r="H17" s="2" cm="1">
        <f t="array" ref="H17">IFERROR(IF($B$4&gt;=7,-_xll.FDS($B$2,"FF_ARPT_SERIES('RESEARCH AND DEVELOPMENT',ANN,-12,,B,""IS"")"),0),)</f>
        <v>0</v>
      </c>
      <c r="I17" s="2" cm="1">
        <f t="array" ref="I17">IFERROR(IF($B$4&gt;=7,-_xll.FDS($B$2,"FF_ARPT_SERIES('RESEARCH AND DEVELOPMENT',ANN,-13,,B,""IS"")"),0),)</f>
        <v>0</v>
      </c>
      <c r="J17" s="2" cm="1">
        <f t="array" ref="J17">IFERROR(IF($B$4&gt;=7,-_xll.FDS($B$2,"FF_ARPT_SERIES('RESEARCH AND DEVELOPMENT',ANN,-14,,B,""IS"")"),0),)</f>
        <v>0</v>
      </c>
      <c r="K17" s="2" cm="1">
        <f t="array" ref="K17">IFERROR(IF($B$4&gt;=7,-_xll.FDS($B$2,"FF_ARPT_SERIES('RESEARCH AND DEVELOPMENT',ANN,-15,,B,""IS"")"),0),)</f>
        <v>0</v>
      </c>
      <c r="L17" s="2" cm="1">
        <f t="array" ref="L17">IFERROR(IF($B$4&gt;=7,-_xll.FDS($B$2,"FF_ARPT_SERIES('RESEARCH AND DEVELOPMENT',ANN,-16,,B,""IS"")"),0),)</f>
        <v>0</v>
      </c>
    </row>
    <row r="18" spans="1:12">
      <c r="A18" s="8">
        <f t="shared" si="1"/>
        <v>-8</v>
      </c>
      <c r="B18" s="2">
        <f t="shared" si="0"/>
        <v>0.2</v>
      </c>
      <c r="C18" s="2" cm="1">
        <f t="array" ref="C18">IFERROR(IF($B$4&gt;=8,-_xll.FDS($B$2,"FF_ARPT_SERIES('RESEARCH AND DEVELOPMENT',ANN,-8,,B,""IS"")"),0),)</f>
        <v>0</v>
      </c>
      <c r="D18" s="2" cm="1">
        <f t="array" ref="D18">IFERROR(IF($B$4&gt;=8,-_xll.FDS($B$2,"FF_ARPT_SERIES('RESEARCH AND DEVELOPMENT',ANN,-9,,B,""IS"")"),0),)</f>
        <v>0</v>
      </c>
      <c r="E18" s="2" cm="1">
        <f t="array" ref="E18">IFERROR(IF($B$4&gt;=8,-_xll.FDS($B$2,"FF_ARPT_SERIES('RESEARCH AND DEVELOPMENT',ANN,-10,,B,""IS"")"),0),)</f>
        <v>0</v>
      </c>
      <c r="F18" s="2" cm="1">
        <f t="array" ref="F18">IFERROR(IF($B$4&gt;=8,-_xll.FDS($B$2,"FF_ARPT_SERIES('RESEARCH AND DEVELOPMENT',ANN,-11,,B,""IS"")"),0),)</f>
        <v>0</v>
      </c>
      <c r="G18" s="2" cm="1">
        <f t="array" ref="G18">IFERROR(IF($B$4&gt;=8,-_xll.FDS($B$2,"FF_ARPT_SERIES('RESEARCH AND DEVELOPMENT',ANN,-12,,B,""IS"")"),0),)</f>
        <v>0</v>
      </c>
      <c r="H18" s="2" cm="1">
        <f t="array" ref="H18">IFERROR(IF($B$4&gt;=8,-_xll.FDS($B$2,"FF_ARPT_SERIES('RESEARCH AND DEVELOPMENT',ANN,-13,,B,""IS"")"),0),)</f>
        <v>0</v>
      </c>
      <c r="I18" s="2" cm="1">
        <f t="array" ref="I18">IFERROR(IF($B$4&gt;=8,-_xll.FDS($B$2,"FF_ARPT_SERIES('RESEARCH AND DEVELOPMENT',ANN,-14,,B,""IS"")"),0),)</f>
        <v>0</v>
      </c>
      <c r="J18" s="2" cm="1">
        <f t="array" ref="J18">IFERROR(IF($B$4&gt;=8,-_xll.FDS($B$2,"FF_ARPT_SERIES('RESEARCH AND DEVELOPMENT',ANN,-15,,B,""IS"")"),0),)</f>
        <v>0</v>
      </c>
      <c r="K18" s="2" cm="1">
        <f t="array" ref="K18">IFERROR(IF($B$4&gt;=8,-_xll.FDS($B$2,"FF_ARPT_SERIES('RESEARCH AND DEVELOPMENT',ANN,-16,,B,""IS"")"),0),)</f>
        <v>0</v>
      </c>
      <c r="L18" s="2" cm="1">
        <f t="array" ref="L18">IFERROR(IF($B$4&gt;=8,-_xll.FDS($B$2,"FF_ARPT_SERIES('RESEARCH AND DEVELOPMENT',ANN,-17,,B,""IS"")"),0),)</f>
        <v>0</v>
      </c>
    </row>
    <row r="19" spans="1:12">
      <c r="A19" s="8">
        <f t="shared" si="1"/>
        <v>-9</v>
      </c>
      <c r="B19" s="2">
        <f t="shared" si="0"/>
        <v>0.1</v>
      </c>
      <c r="C19" s="2" cm="1">
        <f t="array" ref="C19">IFERROR(IF($B$4&gt;=9,-_xll.FDS($B$2,"FF_ARPT_SERIES('RESEARCH AND DEVELOPMENT',ANN,-9,,B,""IS"")"),0),)</f>
        <v>0</v>
      </c>
      <c r="D19" s="2" cm="1">
        <f t="array" ref="D19">IFERROR(IF($B$4&gt;=9,-_xll.FDS($B$2,"FF_ARPT_SERIES('RESEARCH AND DEVELOPMENT',ANN,-10,,B,""IS"")"),0),)</f>
        <v>0</v>
      </c>
      <c r="E19" s="2" cm="1">
        <f t="array" ref="E19">IFERROR(IF($B$4&gt;=9,-_xll.FDS($B$2,"FF_ARPT_SERIES('RESEARCH AND DEVELOPMENT',ANN,-11,,B,""IS"")"),0),)</f>
        <v>0</v>
      </c>
      <c r="F19" s="2" cm="1">
        <f t="array" ref="F19">IFERROR(IF($B$4&gt;=9,-_xll.FDS($B$2,"FF_ARPT_SERIES('RESEARCH AND DEVELOPMENT',ANN,-12,,B,""IS"")"),0),)</f>
        <v>0</v>
      </c>
      <c r="G19" s="2" cm="1">
        <f t="array" ref="G19">IFERROR(IF($B$4&gt;=9,-_xll.FDS($B$2,"FF_ARPT_SERIES('RESEARCH AND DEVELOPMENT',ANN,-13,,B,""IS"")"),0),)</f>
        <v>0</v>
      </c>
      <c r="H19" s="2" cm="1">
        <f t="array" ref="H19">IFERROR(IF($B$4&gt;=9,-_xll.FDS($B$2,"FF_ARPT_SERIES('RESEARCH AND DEVELOPMENT',ANN,-14,,B,""IS"")"),0),)</f>
        <v>0</v>
      </c>
      <c r="I19" s="2" cm="1">
        <f t="array" ref="I19">IFERROR(IF($B$4&gt;=9,-_xll.FDS($B$2,"FF_ARPT_SERIES('RESEARCH AND DEVELOPMENT',ANN,-15,,B,""IS"")"),0),)</f>
        <v>0</v>
      </c>
      <c r="J19" s="2" cm="1">
        <f t="array" ref="J19">IFERROR(IF($B$4&gt;=9,-_xll.FDS($B$2,"FF_ARPT_SERIES('RESEARCH AND DEVELOPMENT',ANN,-16,,B,""IS"")"),0),)</f>
        <v>0</v>
      </c>
      <c r="K19" s="2" cm="1">
        <f t="array" ref="K19">IFERROR(IF($B$4&gt;=9,-_xll.FDS($B$2,"FF_ARPT_SERIES('RESEARCH AND DEVELOPMENT',ANN,-17,,B,""IS"")"),0),)</f>
        <v>0</v>
      </c>
      <c r="L19" s="2" cm="1">
        <f t="array" ref="L19">IFERROR(IF($B$4&gt;=9,-_xll.FDS($B$2,"FF_ARPT_SERIES('RESEARCH AND DEVELOPMENT',ANN,-18,,B,""IS"")"),0),)</f>
        <v>0</v>
      </c>
    </row>
    <row r="20" spans="1:12">
      <c r="A20" s="8">
        <f t="shared" si="1"/>
        <v>-10</v>
      </c>
      <c r="B20" s="2">
        <f t="shared" si="0"/>
        <v>0</v>
      </c>
      <c r="C20" s="2" cm="1">
        <f t="array" ref="C20">IFERROR(IF($B$4&gt;=10,-_xll.FDS($B$2,"FF_ARPT_SERIES('RESEARCH AND DEVELOPMENT',ANN,-10,,B,""IS"")"),0),)</f>
        <v>0</v>
      </c>
      <c r="D20" s="2" cm="1">
        <f t="array" ref="D20">IFERROR(IF($B$4&gt;=10,-_xll.FDS($B$2,"FF_ARPT_SERIES('RESEARCH AND DEVELOPMENT',ANN,-11,,B,""IS"")"),0),)</f>
        <v>0</v>
      </c>
      <c r="E20" s="2" cm="1">
        <f t="array" ref="E20">IFERROR(IF($B$4&gt;=10,-_xll.FDS($B$2,"FF_ARPT_SERIES('RESEARCH AND DEVELOPMENT',ANN,-12,,B,""IS"")"),0),)</f>
        <v>0</v>
      </c>
      <c r="F20" s="2" cm="1">
        <f t="array" ref="F20">IFERROR(IF($B$4&gt;=10,-_xll.FDS($B$2,"FF_ARPT_SERIES('RESEARCH AND DEVELOPMENT',ANN,-13,,B,""IS"")"),0),)</f>
        <v>0</v>
      </c>
      <c r="G20" s="2" cm="1">
        <f t="array" ref="G20">IFERROR(IF($B$4&gt;=10,-_xll.FDS($B$2,"FF_ARPT_SERIES('RESEARCH AND DEVELOPMENT',ANN,-14,,B,""IS"")"),0),)</f>
        <v>0</v>
      </c>
      <c r="H20" s="2" cm="1">
        <f t="array" ref="H20">IFERROR(IF($B$4&gt;=10,-_xll.FDS($B$2,"FF_ARPT_SERIES('RESEARCH AND DEVELOPMENT',ANN,-15,,B,""IS"")"),0),)</f>
        <v>0</v>
      </c>
      <c r="I20" s="2" cm="1">
        <f t="array" ref="I20">IFERROR(IF($B$4&gt;=10,-_xll.FDS($B$2,"FF_ARPT_SERIES('RESEARCH AND DEVELOPMENT',ANN,-16,,B,""IS"")"),0),)</f>
        <v>0</v>
      </c>
      <c r="J20" s="2" cm="1">
        <f t="array" ref="J20">IFERROR(IF($B$4&gt;=10,-_xll.FDS($B$2,"FF_ARPT_SERIES('RESEARCH AND DEVELOPMENT',ANN,-117,,B,""IS"")"),0),)</f>
        <v>0</v>
      </c>
      <c r="K20" s="2" cm="1">
        <f t="array" ref="K20">IFERROR(IF($B$4&gt;=10,-_xll.FDS($B$2,"FF_ARPT_SERIES('RESEARCH AND DEVELOPMENT',ANN,-18,,B,""IS"")"),0),)</f>
        <v>0</v>
      </c>
      <c r="L20" s="2" cm="1">
        <f t="array" ref="L20">IFERROR(IF($B$4&gt;=10,-_xll.FDS($B$2,"FF_ARPT_SERIES('RESEARCH AND DEVELOPMENT',ANN,-19,,B,""IS"")"),0),)</f>
        <v>0</v>
      </c>
    </row>
    <row r="21" spans="1:12">
      <c r="C21" s="2"/>
      <c r="D21" s="2"/>
      <c r="E21" s="2"/>
      <c r="F21" s="2"/>
      <c r="G21" s="2"/>
      <c r="H21" s="327"/>
      <c r="I21" s="327"/>
      <c r="J21" s="327"/>
      <c r="K21" s="327"/>
      <c r="L21" s="327"/>
    </row>
    <row r="22" spans="1:12">
      <c r="A22" s="503" t="s">
        <v>510</v>
      </c>
      <c r="B22" s="900"/>
      <c r="C22" s="897"/>
      <c r="D22" s="897"/>
      <c r="E22" s="897"/>
      <c r="F22" s="897"/>
      <c r="G22" s="494"/>
      <c r="H22" s="494"/>
      <c r="I22" s="494"/>
      <c r="J22" s="494"/>
      <c r="K22" s="494"/>
      <c r="L22" s="494"/>
    </row>
    <row r="23" spans="1:12">
      <c r="A23" s="8">
        <f>A10</f>
        <v>0</v>
      </c>
      <c r="C23" s="2">
        <f>IFERROR($B10*C10,0)</f>
        <v>0</v>
      </c>
      <c r="D23" s="2">
        <f t="shared" ref="C23:L33" si="2">IFERROR($B10*D10,0)</f>
        <v>0</v>
      </c>
      <c r="E23" s="2">
        <f t="shared" si="2"/>
        <v>0</v>
      </c>
      <c r="F23" s="2">
        <f t="shared" si="2"/>
        <v>0</v>
      </c>
      <c r="G23" s="2">
        <f t="shared" si="2"/>
        <v>0</v>
      </c>
      <c r="H23" s="2">
        <f t="shared" si="2"/>
        <v>0</v>
      </c>
      <c r="I23" s="2">
        <f t="shared" si="2"/>
        <v>0</v>
      </c>
      <c r="J23" s="2">
        <f t="shared" si="2"/>
        <v>0</v>
      </c>
      <c r="K23" s="2">
        <f t="shared" si="2"/>
        <v>0</v>
      </c>
      <c r="L23" s="2">
        <f t="shared" si="2"/>
        <v>0</v>
      </c>
    </row>
    <row r="24" spans="1:12">
      <c r="A24" s="8">
        <f t="shared" ref="A24:A33" si="3">A11</f>
        <v>-1</v>
      </c>
      <c r="C24" s="2">
        <f t="shared" si="2"/>
        <v>0</v>
      </c>
      <c r="D24" s="2">
        <f t="shared" si="2"/>
        <v>0</v>
      </c>
      <c r="E24" s="2">
        <f t="shared" si="2"/>
        <v>0</v>
      </c>
      <c r="F24" s="2">
        <f t="shared" si="2"/>
        <v>0</v>
      </c>
      <c r="G24" s="2">
        <f t="shared" si="2"/>
        <v>0</v>
      </c>
      <c r="H24" s="2">
        <f t="shared" si="2"/>
        <v>0</v>
      </c>
      <c r="I24" s="2">
        <f t="shared" si="2"/>
        <v>0</v>
      </c>
      <c r="J24" s="2">
        <f t="shared" si="2"/>
        <v>0</v>
      </c>
      <c r="K24" s="2">
        <f t="shared" si="2"/>
        <v>0</v>
      </c>
      <c r="L24" s="2">
        <f t="shared" si="2"/>
        <v>0</v>
      </c>
    </row>
    <row r="25" spans="1:12">
      <c r="A25" s="8">
        <f t="shared" si="3"/>
        <v>-2</v>
      </c>
      <c r="C25" s="2">
        <f t="shared" si="2"/>
        <v>0</v>
      </c>
      <c r="D25" s="2">
        <f t="shared" si="2"/>
        <v>0</v>
      </c>
      <c r="E25" s="2">
        <f t="shared" si="2"/>
        <v>0</v>
      </c>
      <c r="F25" s="2">
        <f t="shared" si="2"/>
        <v>0</v>
      </c>
      <c r="G25" s="2">
        <f t="shared" si="2"/>
        <v>0</v>
      </c>
      <c r="H25" s="2">
        <f t="shared" si="2"/>
        <v>0</v>
      </c>
      <c r="I25" s="2">
        <f t="shared" si="2"/>
        <v>0</v>
      </c>
      <c r="J25" s="2">
        <f t="shared" si="2"/>
        <v>0</v>
      </c>
      <c r="K25" s="2">
        <f t="shared" si="2"/>
        <v>0</v>
      </c>
      <c r="L25" s="2">
        <f t="shared" si="2"/>
        <v>0</v>
      </c>
    </row>
    <row r="26" spans="1:12">
      <c r="A26" s="8">
        <f t="shared" si="3"/>
        <v>-3</v>
      </c>
      <c r="C26" s="2">
        <f t="shared" si="2"/>
        <v>0</v>
      </c>
      <c r="D26" s="2">
        <f t="shared" si="2"/>
        <v>0</v>
      </c>
      <c r="E26" s="2">
        <f t="shared" si="2"/>
        <v>0</v>
      </c>
      <c r="F26" s="2">
        <f t="shared" si="2"/>
        <v>0</v>
      </c>
      <c r="G26" s="2">
        <f t="shared" si="2"/>
        <v>0</v>
      </c>
      <c r="H26" s="2">
        <f t="shared" si="2"/>
        <v>0</v>
      </c>
      <c r="I26" s="2">
        <f t="shared" si="2"/>
        <v>0</v>
      </c>
      <c r="J26" s="2">
        <f>IFERROR($B13*J13,0)</f>
        <v>0</v>
      </c>
      <c r="K26" s="2">
        <f t="shared" si="2"/>
        <v>0</v>
      </c>
      <c r="L26" s="2">
        <f t="shared" si="2"/>
        <v>0</v>
      </c>
    </row>
    <row r="27" spans="1:12">
      <c r="A27" s="8">
        <f t="shared" si="3"/>
        <v>-4</v>
      </c>
      <c r="C27" s="2">
        <f t="shared" si="2"/>
        <v>0</v>
      </c>
      <c r="D27" s="2">
        <f t="shared" si="2"/>
        <v>0</v>
      </c>
      <c r="E27" s="2">
        <f t="shared" si="2"/>
        <v>0</v>
      </c>
      <c r="F27" s="2">
        <f t="shared" si="2"/>
        <v>0</v>
      </c>
      <c r="G27" s="2">
        <f t="shared" si="2"/>
        <v>0</v>
      </c>
      <c r="H27" s="2">
        <f t="shared" si="2"/>
        <v>0</v>
      </c>
      <c r="I27" s="2">
        <f t="shared" si="2"/>
        <v>0</v>
      </c>
      <c r="J27" s="2">
        <f t="shared" si="2"/>
        <v>0</v>
      </c>
      <c r="K27" s="2">
        <f t="shared" si="2"/>
        <v>0</v>
      </c>
      <c r="L27" s="2">
        <f t="shared" si="2"/>
        <v>0</v>
      </c>
    </row>
    <row r="28" spans="1:12">
      <c r="A28" s="8">
        <f t="shared" si="3"/>
        <v>-5</v>
      </c>
      <c r="C28" s="2">
        <f t="shared" si="2"/>
        <v>0</v>
      </c>
      <c r="D28" s="2">
        <f t="shared" si="2"/>
        <v>0</v>
      </c>
      <c r="E28" s="2">
        <f t="shared" si="2"/>
        <v>0</v>
      </c>
      <c r="F28" s="2">
        <f t="shared" si="2"/>
        <v>0</v>
      </c>
      <c r="G28" s="2">
        <f t="shared" si="2"/>
        <v>0</v>
      </c>
      <c r="H28" s="2">
        <f t="shared" si="2"/>
        <v>0</v>
      </c>
      <c r="I28" s="2">
        <f t="shared" si="2"/>
        <v>0</v>
      </c>
      <c r="J28" s="2">
        <f t="shared" si="2"/>
        <v>0</v>
      </c>
      <c r="K28" s="2">
        <f t="shared" si="2"/>
        <v>0</v>
      </c>
      <c r="L28" s="2">
        <f t="shared" si="2"/>
        <v>0</v>
      </c>
    </row>
    <row r="29" spans="1:12">
      <c r="A29" s="8">
        <f t="shared" si="3"/>
        <v>-6</v>
      </c>
      <c r="C29" s="2">
        <f t="shared" si="2"/>
        <v>0</v>
      </c>
      <c r="D29" s="2">
        <f t="shared" si="2"/>
        <v>0</v>
      </c>
      <c r="E29" s="2">
        <f t="shared" si="2"/>
        <v>0</v>
      </c>
      <c r="F29" s="2">
        <f t="shared" si="2"/>
        <v>0</v>
      </c>
      <c r="G29" s="2">
        <f t="shared" si="2"/>
        <v>0</v>
      </c>
      <c r="H29" s="2">
        <f t="shared" si="2"/>
        <v>0</v>
      </c>
      <c r="I29" s="2">
        <f t="shared" si="2"/>
        <v>0</v>
      </c>
      <c r="J29" s="2">
        <f t="shared" si="2"/>
        <v>0</v>
      </c>
      <c r="K29" s="2">
        <f t="shared" si="2"/>
        <v>0</v>
      </c>
      <c r="L29" s="2">
        <f>IFERROR($B16*L16,0)</f>
        <v>0</v>
      </c>
    </row>
    <row r="30" spans="1:12">
      <c r="A30" s="8">
        <f t="shared" si="3"/>
        <v>-7</v>
      </c>
      <c r="C30" s="2">
        <f t="shared" si="2"/>
        <v>0</v>
      </c>
      <c r="D30" s="2">
        <f t="shared" si="2"/>
        <v>0</v>
      </c>
      <c r="E30" s="2">
        <f t="shared" si="2"/>
        <v>0</v>
      </c>
      <c r="F30" s="2">
        <f t="shared" si="2"/>
        <v>0</v>
      </c>
      <c r="G30" s="2">
        <f t="shared" si="2"/>
        <v>0</v>
      </c>
      <c r="H30" s="2">
        <f t="shared" si="2"/>
        <v>0</v>
      </c>
      <c r="I30" s="2">
        <f t="shared" si="2"/>
        <v>0</v>
      </c>
      <c r="J30" s="2">
        <f t="shared" si="2"/>
        <v>0</v>
      </c>
      <c r="K30" s="2">
        <f t="shared" si="2"/>
        <v>0</v>
      </c>
      <c r="L30" s="2">
        <f t="shared" si="2"/>
        <v>0</v>
      </c>
    </row>
    <row r="31" spans="1:12">
      <c r="A31" s="8">
        <f t="shared" si="3"/>
        <v>-8</v>
      </c>
      <c r="C31" s="2">
        <f t="shared" si="2"/>
        <v>0</v>
      </c>
      <c r="D31" s="2">
        <f t="shared" si="2"/>
        <v>0</v>
      </c>
      <c r="E31" s="2">
        <f t="shared" si="2"/>
        <v>0</v>
      </c>
      <c r="F31" s="2">
        <f t="shared" si="2"/>
        <v>0</v>
      </c>
      <c r="G31" s="2">
        <f t="shared" si="2"/>
        <v>0</v>
      </c>
      <c r="H31" s="2">
        <f t="shared" si="2"/>
        <v>0</v>
      </c>
      <c r="I31" s="2">
        <f t="shared" si="2"/>
        <v>0</v>
      </c>
      <c r="J31" s="2">
        <f t="shared" si="2"/>
        <v>0</v>
      </c>
      <c r="K31" s="2">
        <f t="shared" si="2"/>
        <v>0</v>
      </c>
      <c r="L31" s="2">
        <f t="shared" si="2"/>
        <v>0</v>
      </c>
    </row>
    <row r="32" spans="1:12">
      <c r="A32" s="8">
        <f t="shared" si="3"/>
        <v>-9</v>
      </c>
      <c r="C32" s="2">
        <f t="shared" si="2"/>
        <v>0</v>
      </c>
      <c r="D32" s="2">
        <f t="shared" si="2"/>
        <v>0</v>
      </c>
      <c r="E32" s="2">
        <f t="shared" si="2"/>
        <v>0</v>
      </c>
      <c r="F32" s="2">
        <f t="shared" si="2"/>
        <v>0</v>
      </c>
      <c r="G32" s="2">
        <f t="shared" si="2"/>
        <v>0</v>
      </c>
      <c r="H32" s="2">
        <f t="shared" si="2"/>
        <v>0</v>
      </c>
      <c r="I32" s="2">
        <f t="shared" si="2"/>
        <v>0</v>
      </c>
      <c r="J32" s="2">
        <f t="shared" si="2"/>
        <v>0</v>
      </c>
      <c r="K32" s="2">
        <f t="shared" si="2"/>
        <v>0</v>
      </c>
      <c r="L32" s="2">
        <f t="shared" si="2"/>
        <v>0</v>
      </c>
    </row>
    <row r="33" spans="1:12">
      <c r="A33" s="902">
        <f t="shared" si="3"/>
        <v>-10</v>
      </c>
      <c r="B33" s="900"/>
      <c r="C33" s="897">
        <f t="shared" si="2"/>
        <v>0</v>
      </c>
      <c r="D33" s="897">
        <f t="shared" si="2"/>
        <v>0</v>
      </c>
      <c r="E33" s="897">
        <f t="shared" si="2"/>
        <v>0</v>
      </c>
      <c r="F33" s="897">
        <f t="shared" si="2"/>
        <v>0</v>
      </c>
      <c r="G33" s="897">
        <f t="shared" si="2"/>
        <v>0</v>
      </c>
      <c r="H33" s="897">
        <f t="shared" si="2"/>
        <v>0</v>
      </c>
      <c r="I33" s="897">
        <f t="shared" si="2"/>
        <v>0</v>
      </c>
      <c r="J33" s="897">
        <f t="shared" si="2"/>
        <v>0</v>
      </c>
      <c r="K33" s="897">
        <f t="shared" si="2"/>
        <v>0</v>
      </c>
      <c r="L33" s="897">
        <f t="shared" si="2"/>
        <v>0</v>
      </c>
    </row>
    <row r="34" spans="1:12">
      <c r="A34" s="372" t="s">
        <v>511</v>
      </c>
      <c r="C34" s="2">
        <f>SUM(C23:C33)</f>
        <v>0</v>
      </c>
      <c r="D34" s="2">
        <f t="shared" ref="D34:L34" si="4">SUM(D23:D33)</f>
        <v>0</v>
      </c>
      <c r="E34" s="2">
        <f t="shared" si="4"/>
        <v>0</v>
      </c>
      <c r="F34" s="2">
        <f t="shared" si="4"/>
        <v>0</v>
      </c>
      <c r="G34" s="2">
        <f t="shared" si="4"/>
        <v>0</v>
      </c>
      <c r="H34" s="2">
        <f t="shared" si="4"/>
        <v>0</v>
      </c>
      <c r="I34" s="2">
        <f t="shared" si="4"/>
        <v>0</v>
      </c>
      <c r="J34" s="2">
        <f t="shared" si="4"/>
        <v>0</v>
      </c>
      <c r="K34" s="2">
        <f t="shared" si="4"/>
        <v>0</v>
      </c>
      <c r="L34" s="2">
        <f t="shared" si="4"/>
        <v>0</v>
      </c>
    </row>
    <row r="35" spans="1:12">
      <c r="C35" s="2"/>
      <c r="D35" s="2"/>
      <c r="E35" s="2"/>
      <c r="F35" s="2"/>
      <c r="G35" s="327"/>
      <c r="H35" s="327"/>
      <c r="I35" s="327"/>
      <c r="J35" s="327"/>
      <c r="K35" s="327"/>
      <c r="L35" s="327"/>
    </row>
    <row r="36" spans="1:12">
      <c r="A36" s="898" t="s">
        <v>512</v>
      </c>
      <c r="B36" s="898"/>
      <c r="C36" s="503"/>
      <c r="D36" s="503"/>
      <c r="E36" s="503"/>
      <c r="F36" s="503"/>
      <c r="G36" s="503"/>
      <c r="H36" s="503"/>
      <c r="I36" s="503"/>
      <c r="J36" s="503"/>
      <c r="K36" s="503"/>
      <c r="L36" s="503"/>
    </row>
    <row r="37" spans="1:12">
      <c r="A37" s="8">
        <f>A24</f>
        <v>-1</v>
      </c>
      <c r="C37" s="2">
        <f>IFERROR(IF($A37&lt;0,1/$B$4*C11,0),0)</f>
        <v>0</v>
      </c>
      <c r="D37" s="2">
        <f t="shared" ref="D37:L46" si="5">IFERROR(IF($A37&lt;0,1/$B$4*D11,0),0)</f>
        <v>0</v>
      </c>
      <c r="E37" s="2">
        <f t="shared" si="5"/>
        <v>0</v>
      </c>
      <c r="F37" s="2">
        <f t="shared" si="5"/>
        <v>0</v>
      </c>
      <c r="G37" s="2">
        <f t="shared" si="5"/>
        <v>0</v>
      </c>
      <c r="H37" s="2">
        <f t="shared" si="5"/>
        <v>0</v>
      </c>
      <c r="I37" s="2">
        <f t="shared" si="5"/>
        <v>0</v>
      </c>
      <c r="J37" s="2">
        <f t="shared" si="5"/>
        <v>0</v>
      </c>
      <c r="K37" s="2">
        <f t="shared" si="5"/>
        <v>0</v>
      </c>
      <c r="L37" s="2">
        <f t="shared" si="5"/>
        <v>0</v>
      </c>
    </row>
    <row r="38" spans="1:12">
      <c r="A38" s="8">
        <f t="shared" ref="A38:A46" si="6">A25</f>
        <v>-2</v>
      </c>
      <c r="C38" s="2">
        <f t="shared" ref="C38:J46" si="7">IFERROR(IF($A38&lt;0,1/$B$4*C12,0),0)</f>
        <v>0</v>
      </c>
      <c r="D38" s="2">
        <f t="shared" si="7"/>
        <v>0</v>
      </c>
      <c r="E38" s="2">
        <f t="shared" si="7"/>
        <v>0</v>
      </c>
      <c r="F38" s="2">
        <f>IFERROR(IF($A38&lt;0,1/$B$4*F12,0),0)</f>
        <v>0</v>
      </c>
      <c r="G38" s="2">
        <f t="shared" si="7"/>
        <v>0</v>
      </c>
      <c r="H38" s="2">
        <f t="shared" si="7"/>
        <v>0</v>
      </c>
      <c r="I38" s="2">
        <f t="shared" si="7"/>
        <v>0</v>
      </c>
      <c r="J38" s="2">
        <f t="shared" si="7"/>
        <v>0</v>
      </c>
      <c r="K38" s="2">
        <f t="shared" si="5"/>
        <v>0</v>
      </c>
      <c r="L38" s="2">
        <f t="shared" si="5"/>
        <v>0</v>
      </c>
    </row>
    <row r="39" spans="1:12">
      <c r="A39" s="8">
        <f t="shared" si="6"/>
        <v>-3</v>
      </c>
      <c r="C39" s="2">
        <f t="shared" si="7"/>
        <v>0</v>
      </c>
      <c r="D39" s="2">
        <f t="shared" si="7"/>
        <v>0</v>
      </c>
      <c r="E39" s="2">
        <f t="shared" si="7"/>
        <v>0</v>
      </c>
      <c r="F39" s="2">
        <f t="shared" si="7"/>
        <v>0</v>
      </c>
      <c r="G39" s="2">
        <f t="shared" si="7"/>
        <v>0</v>
      </c>
      <c r="H39" s="2">
        <f t="shared" si="7"/>
        <v>0</v>
      </c>
      <c r="I39" s="2">
        <f t="shared" si="7"/>
        <v>0</v>
      </c>
      <c r="J39" s="2">
        <f t="shared" si="7"/>
        <v>0</v>
      </c>
      <c r="K39" s="2">
        <f t="shared" si="5"/>
        <v>0</v>
      </c>
      <c r="L39" s="2">
        <f t="shared" si="5"/>
        <v>0</v>
      </c>
    </row>
    <row r="40" spans="1:12">
      <c r="A40" s="8">
        <f t="shared" si="6"/>
        <v>-4</v>
      </c>
      <c r="C40" s="2">
        <f t="shared" si="7"/>
        <v>0</v>
      </c>
      <c r="D40" s="2">
        <f t="shared" si="7"/>
        <v>0</v>
      </c>
      <c r="E40" s="2">
        <f t="shared" si="7"/>
        <v>0</v>
      </c>
      <c r="F40" s="2">
        <f t="shared" si="7"/>
        <v>0</v>
      </c>
      <c r="G40" s="2">
        <f t="shared" si="7"/>
        <v>0</v>
      </c>
      <c r="H40" s="2">
        <f t="shared" si="7"/>
        <v>0</v>
      </c>
      <c r="I40" s="2">
        <f t="shared" si="7"/>
        <v>0</v>
      </c>
      <c r="J40" s="2">
        <f t="shared" si="7"/>
        <v>0</v>
      </c>
      <c r="K40" s="2">
        <f t="shared" si="5"/>
        <v>0</v>
      </c>
      <c r="L40" s="2">
        <f t="shared" si="5"/>
        <v>0</v>
      </c>
    </row>
    <row r="41" spans="1:12">
      <c r="A41" s="8">
        <f t="shared" si="6"/>
        <v>-5</v>
      </c>
      <c r="C41" s="2">
        <f t="shared" si="7"/>
        <v>0</v>
      </c>
      <c r="D41" s="2">
        <f t="shared" si="7"/>
        <v>0</v>
      </c>
      <c r="E41" s="2">
        <f t="shared" si="7"/>
        <v>0</v>
      </c>
      <c r="F41" s="2">
        <f t="shared" si="7"/>
        <v>0</v>
      </c>
      <c r="G41" s="2">
        <f t="shared" si="7"/>
        <v>0</v>
      </c>
      <c r="H41" s="2">
        <f t="shared" si="7"/>
        <v>0</v>
      </c>
      <c r="I41" s="2">
        <f t="shared" si="7"/>
        <v>0</v>
      </c>
      <c r="J41" s="2">
        <f t="shared" si="7"/>
        <v>0</v>
      </c>
      <c r="K41" s="2">
        <f t="shared" si="5"/>
        <v>0</v>
      </c>
      <c r="L41" s="2">
        <f t="shared" si="5"/>
        <v>0</v>
      </c>
    </row>
    <row r="42" spans="1:12">
      <c r="A42" s="8">
        <f t="shared" si="6"/>
        <v>-6</v>
      </c>
      <c r="C42" s="2">
        <f t="shared" si="7"/>
        <v>0</v>
      </c>
      <c r="D42" s="2">
        <f t="shared" si="7"/>
        <v>0</v>
      </c>
      <c r="E42" s="2">
        <f t="shared" si="7"/>
        <v>0</v>
      </c>
      <c r="F42" s="2">
        <f t="shared" si="7"/>
        <v>0</v>
      </c>
      <c r="G42" s="2">
        <f t="shared" si="7"/>
        <v>0</v>
      </c>
      <c r="H42" s="2">
        <f t="shared" si="7"/>
        <v>0</v>
      </c>
      <c r="I42" s="2">
        <f t="shared" si="7"/>
        <v>0</v>
      </c>
      <c r="J42" s="2">
        <f t="shared" si="7"/>
        <v>0</v>
      </c>
      <c r="K42" s="2">
        <f t="shared" si="5"/>
        <v>0</v>
      </c>
      <c r="L42" s="2">
        <f t="shared" si="5"/>
        <v>0</v>
      </c>
    </row>
    <row r="43" spans="1:12">
      <c r="A43" s="8">
        <f t="shared" si="6"/>
        <v>-7</v>
      </c>
      <c r="C43" s="2">
        <f t="shared" si="7"/>
        <v>0</v>
      </c>
      <c r="D43" s="2">
        <f t="shared" si="7"/>
        <v>0</v>
      </c>
      <c r="E43" s="2">
        <f t="shared" si="7"/>
        <v>0</v>
      </c>
      <c r="F43" s="2">
        <f t="shared" si="7"/>
        <v>0</v>
      </c>
      <c r="G43" s="2">
        <f t="shared" si="7"/>
        <v>0</v>
      </c>
      <c r="H43" s="2">
        <f t="shared" si="7"/>
        <v>0</v>
      </c>
      <c r="I43" s="2">
        <f t="shared" si="7"/>
        <v>0</v>
      </c>
      <c r="J43" s="2">
        <f t="shared" si="7"/>
        <v>0</v>
      </c>
      <c r="K43" s="2">
        <f t="shared" si="5"/>
        <v>0</v>
      </c>
      <c r="L43" s="2">
        <f t="shared" si="5"/>
        <v>0</v>
      </c>
    </row>
    <row r="44" spans="1:12">
      <c r="A44" s="8">
        <f t="shared" si="6"/>
        <v>-8</v>
      </c>
      <c r="C44" s="2">
        <f t="shared" si="7"/>
        <v>0</v>
      </c>
      <c r="D44" s="2">
        <f t="shared" si="7"/>
        <v>0</v>
      </c>
      <c r="E44" s="2">
        <f t="shared" si="7"/>
        <v>0</v>
      </c>
      <c r="F44" s="2">
        <f t="shared" si="7"/>
        <v>0</v>
      </c>
      <c r="G44" s="2">
        <f t="shared" si="7"/>
        <v>0</v>
      </c>
      <c r="H44" s="2">
        <f t="shared" si="7"/>
        <v>0</v>
      </c>
      <c r="I44" s="2">
        <f t="shared" si="7"/>
        <v>0</v>
      </c>
      <c r="J44" s="2">
        <f t="shared" si="7"/>
        <v>0</v>
      </c>
      <c r="K44" s="2">
        <f t="shared" si="5"/>
        <v>0</v>
      </c>
      <c r="L44" s="2">
        <f t="shared" si="5"/>
        <v>0</v>
      </c>
    </row>
    <row r="45" spans="1:12">
      <c r="A45" s="8">
        <f t="shared" si="6"/>
        <v>-9</v>
      </c>
      <c r="C45" s="2">
        <f t="shared" si="7"/>
        <v>0</v>
      </c>
      <c r="D45" s="2">
        <f t="shared" si="7"/>
        <v>0</v>
      </c>
      <c r="E45" s="2">
        <f t="shared" si="7"/>
        <v>0</v>
      </c>
      <c r="F45" s="2">
        <f t="shared" si="7"/>
        <v>0</v>
      </c>
      <c r="G45" s="2">
        <f t="shared" si="7"/>
        <v>0</v>
      </c>
      <c r="H45" s="2">
        <f t="shared" si="7"/>
        <v>0</v>
      </c>
      <c r="I45" s="2">
        <f t="shared" si="7"/>
        <v>0</v>
      </c>
      <c r="J45" s="2">
        <f t="shared" si="7"/>
        <v>0</v>
      </c>
      <c r="K45" s="2">
        <f t="shared" si="5"/>
        <v>0</v>
      </c>
      <c r="L45" s="2">
        <f t="shared" si="5"/>
        <v>0</v>
      </c>
    </row>
    <row r="46" spans="1:12">
      <c r="A46" s="902">
        <f t="shared" si="6"/>
        <v>-10</v>
      </c>
      <c r="B46" s="900"/>
      <c r="C46" s="897">
        <f t="shared" si="7"/>
        <v>0</v>
      </c>
      <c r="D46" s="897">
        <f t="shared" si="7"/>
        <v>0</v>
      </c>
      <c r="E46" s="897">
        <f t="shared" si="7"/>
        <v>0</v>
      </c>
      <c r="F46" s="897">
        <f t="shared" si="7"/>
        <v>0</v>
      </c>
      <c r="G46" s="897">
        <f t="shared" si="7"/>
        <v>0</v>
      </c>
      <c r="H46" s="897">
        <f t="shared" si="7"/>
        <v>0</v>
      </c>
      <c r="I46" s="897">
        <f t="shared" si="7"/>
        <v>0</v>
      </c>
      <c r="J46" s="897">
        <f t="shared" si="7"/>
        <v>0</v>
      </c>
      <c r="K46" s="897">
        <f t="shared" si="5"/>
        <v>0</v>
      </c>
      <c r="L46" s="897">
        <f t="shared" si="5"/>
        <v>0</v>
      </c>
    </row>
    <row r="47" spans="1:12">
      <c r="A47" s="903" t="s">
        <v>513</v>
      </c>
      <c r="B47" s="903"/>
      <c r="C47" s="904">
        <f t="shared" ref="C47:J47" si="8">SUM(C36:C46)</f>
        <v>0</v>
      </c>
      <c r="D47" s="904">
        <f t="shared" si="8"/>
        <v>0</v>
      </c>
      <c r="E47" s="904">
        <f t="shared" si="8"/>
        <v>0</v>
      </c>
      <c r="F47" s="904">
        <f t="shared" si="8"/>
        <v>0</v>
      </c>
      <c r="G47" s="904">
        <f t="shared" si="8"/>
        <v>0</v>
      </c>
      <c r="H47" s="904">
        <f t="shared" si="8"/>
        <v>0</v>
      </c>
      <c r="I47" s="904">
        <f t="shared" si="8"/>
        <v>0</v>
      </c>
      <c r="J47" s="904">
        <f t="shared" si="8"/>
        <v>0</v>
      </c>
      <c r="K47" s="904">
        <f t="shared" ref="K47:L47" si="9">SUM(K36:K46)</f>
        <v>0</v>
      </c>
      <c r="L47" s="904">
        <f t="shared" si="9"/>
        <v>0</v>
      </c>
    </row>
    <row r="48" spans="1:12">
      <c r="A48" s="903" t="s">
        <v>514</v>
      </c>
      <c r="B48" s="903"/>
      <c r="C48" s="904">
        <f>C23-C47</f>
        <v>0</v>
      </c>
      <c r="D48" s="904">
        <f t="shared" ref="D48:L48" si="10">D23-D47</f>
        <v>0</v>
      </c>
      <c r="E48" s="904">
        <f t="shared" si="10"/>
        <v>0</v>
      </c>
      <c r="F48" s="904">
        <f t="shared" si="10"/>
        <v>0</v>
      </c>
      <c r="G48" s="904">
        <f t="shared" si="10"/>
        <v>0</v>
      </c>
      <c r="H48" s="904">
        <f t="shared" si="10"/>
        <v>0</v>
      </c>
      <c r="I48" s="904">
        <f t="shared" si="10"/>
        <v>0</v>
      </c>
      <c r="J48" s="904">
        <f t="shared" si="10"/>
        <v>0</v>
      </c>
      <c r="K48" s="904">
        <f t="shared" si="10"/>
        <v>0</v>
      </c>
      <c r="L48" s="904">
        <f t="shared" si="10"/>
        <v>0</v>
      </c>
    </row>
    <row r="49" spans="3:12">
      <c r="C49" s="9"/>
      <c r="D49" s="9"/>
      <c r="E49" s="9"/>
      <c r="F49" s="9"/>
      <c r="G49" s="9"/>
      <c r="H49" s="9"/>
      <c r="I49" s="9"/>
      <c r="J49" s="9"/>
      <c r="K49" s="9"/>
      <c r="L49" s="9"/>
    </row>
  </sheetData>
  <pageMargins left="0.7" right="0.7" top="0.78740157499999996" bottom="0.78740157499999996" header="0.3" footer="0.3"/>
  <pageSetup paperSize="9"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0CFB4-2841-4762-BC7B-A4124D4FC58A}">
  <sheetPr>
    <tabColor theme="9" tint="0.79998168889431442"/>
  </sheetPr>
  <dimension ref="A1:M49"/>
  <sheetViews>
    <sheetView workbookViewId="0">
      <selection activeCell="B6" sqref="B6"/>
    </sheetView>
  </sheetViews>
  <sheetFormatPr defaultColWidth="11.28515625" defaultRowHeight="15"/>
  <cols>
    <col min="1" max="1" width="27.7109375" style="7" bestFit="1" customWidth="1"/>
    <col min="2" max="6" width="11.7109375" style="7" customWidth="1"/>
    <col min="7" max="12" width="11.7109375" style="3" customWidth="1"/>
    <col min="13" max="16384" width="11.28515625" style="3"/>
  </cols>
  <sheetData>
    <row r="1" spans="1:13" s="340" customFormat="1" ht="26.1" customHeight="1">
      <c r="A1" s="371" t="s">
        <v>506</v>
      </c>
      <c r="B1" s="340">
        <f>'DAL-US IS-adj'!B1</f>
        <v>0</v>
      </c>
    </row>
    <row r="2" spans="1:13">
      <c r="A2" s="2" t="str">
        <f>'DAL-US IS-adj'!A2</f>
        <v>Ticker</v>
      </c>
      <c r="B2" s="2" t="str">
        <f>'Industry Ratios'!G3</f>
        <v>LUV-US</v>
      </c>
      <c r="C2" s="2"/>
      <c r="D2" s="2"/>
      <c r="E2" s="2"/>
      <c r="F2" s="2"/>
      <c r="G2" s="327"/>
      <c r="H2" s="327"/>
      <c r="I2" s="327"/>
      <c r="J2" s="327"/>
      <c r="K2" s="327"/>
      <c r="L2" s="327"/>
      <c r="M2" s="327"/>
    </row>
    <row r="3" spans="1:13">
      <c r="A3" s="4" t="s">
        <v>507</v>
      </c>
      <c r="B3" s="1055" t="s">
        <v>355</v>
      </c>
      <c r="C3" s="5"/>
      <c r="D3" s="5"/>
      <c r="E3" s="5"/>
      <c r="F3" s="5"/>
      <c r="G3" s="6"/>
    </row>
    <row r="4" spans="1:13">
      <c r="A4" s="5" t="s">
        <v>508</v>
      </c>
      <c r="B4" s="918">
        <v>10</v>
      </c>
      <c r="C4" s="5"/>
      <c r="D4" s="5"/>
      <c r="E4" s="5"/>
    </row>
    <row r="5" spans="1:13">
      <c r="A5" s="5" t="s">
        <v>465</v>
      </c>
      <c r="B5" s="1110">
        <v>0.27</v>
      </c>
      <c r="C5" s="5"/>
      <c r="D5" s="1111"/>
      <c r="E5" s="5"/>
    </row>
    <row r="8" spans="1:13">
      <c r="A8" s="380" t="s">
        <v>509</v>
      </c>
      <c r="B8" s="380"/>
      <c r="C8" s="896" t="str">
        <f>'DAL-US IS-adj'!C5</f>
        <v>12/2020</v>
      </c>
      <c r="D8" s="896" t="str">
        <f>'DAL-US IS-adj'!D5</f>
        <v>12/2019</v>
      </c>
      <c r="E8" s="896" t="str">
        <f>'DAL-US IS-adj'!E5</f>
        <v>12/2018</v>
      </c>
      <c r="F8" s="896" t="str">
        <f>'DAL-US IS-adj'!F5</f>
        <v>12/2017</v>
      </c>
      <c r="G8" s="896" t="str">
        <f>'DAL-US IS-adj'!G5</f>
        <v>12/2016</v>
      </c>
      <c r="H8" s="896" t="str">
        <f>'DAL-US IS-adj'!H5</f>
        <v>12/2015</v>
      </c>
      <c r="I8" s="896" t="str">
        <f>'DAL-US IS-adj'!I5</f>
        <v>12/2014</v>
      </c>
      <c r="J8" s="896" t="str">
        <f>'DAL-US IS-adj'!J5</f>
        <v>12/2013</v>
      </c>
      <c r="K8" s="896" t="str">
        <f>'DAL-US IS-adj'!K5</f>
        <v>12/2012</v>
      </c>
      <c r="L8" s="896" t="str">
        <f>'DAL-US IS-adj'!L5</f>
        <v>12/2011</v>
      </c>
    </row>
    <row r="9" spans="1:13">
      <c r="A9" s="897"/>
      <c r="B9" s="898"/>
      <c r="C9" s="899" t="str">
        <f>'DAL-US IS-adj'!C6</f>
        <v>366 DAYS</v>
      </c>
      <c r="D9" s="899" t="str">
        <f>'DAL-US IS-adj'!D6</f>
        <v>365 DAYS</v>
      </c>
      <c r="E9" s="899" t="str">
        <f>'DAL-US IS-adj'!E6</f>
        <v>365 DAYS</v>
      </c>
      <c r="F9" s="899" t="str">
        <f>'DAL-US IS-adj'!F6</f>
        <v>365 DAYS</v>
      </c>
      <c r="G9" s="899" t="str">
        <f>'DAL-US IS-adj'!G6</f>
        <v>366 DAYS</v>
      </c>
      <c r="H9" s="899" t="str">
        <f>'DAL-US IS-adj'!H6</f>
        <v>365 DAYS</v>
      </c>
      <c r="I9" s="899" t="str">
        <f>'DAL-US IS-adj'!I6</f>
        <v>365 DAYS</v>
      </c>
      <c r="J9" s="899" t="str">
        <f>'DAL-US IS-adj'!J6</f>
        <v>365 DAYS</v>
      </c>
      <c r="K9" s="899" t="str">
        <f>'DAL-US IS-adj'!K6</f>
        <v>366 DAYS</v>
      </c>
      <c r="L9" s="899" t="str">
        <f>'DAL-US IS-adj'!L6</f>
        <v>365 DAYS</v>
      </c>
    </row>
    <row r="10" spans="1:13">
      <c r="A10" s="8">
        <v>0</v>
      </c>
      <c r="B10" s="2">
        <v>1</v>
      </c>
      <c r="C10" s="2" cm="1">
        <f t="array" ref="C10">IFERROR(IF($B$4&gt;=1,-_xll.FDS($B$2,"FF_ARPT_SERIES('RESEARCH AND DEVELOPMENT',ANN,0,,B,""IS"")"),0),)</f>
        <v>0</v>
      </c>
      <c r="D10" s="2" cm="1">
        <f t="array" ref="D10">IFERROR(IF($B$4&gt;=1,-_xll.FDS($B$2,"FF_ARPT_SERIES('RESEARCH AND DEVELOPMENT',ANN,-1,,B,""IS"")"),0),)</f>
        <v>0</v>
      </c>
      <c r="E10" s="2" cm="1">
        <f t="array" ref="E10">IFERROR(IF($B$4&gt;=1,-_xll.FDS($B$2,"FF_ARPT_SERIES('RESEARCH AND DEVELOPMENT',ANN,-2,,B,""IS"")"),0),)</f>
        <v>0</v>
      </c>
      <c r="F10" s="2" cm="1">
        <f t="array" ref="F10">IFERROR(IF($B$4&gt;=1,-_xll.FDS($B$2,"FF_ARPT_SERIES('RESEARCH AND DEVELOPMENT',ANN,-3,,B,""IS"")"),0),)</f>
        <v>0</v>
      </c>
      <c r="G10" s="2" cm="1">
        <f t="array" ref="G10">IFERROR(IF($B$4&gt;=1,-_xll.FDS($B$2,"FF_ARPT_SERIES('RESEARCH AND DEVELOPMENT',ANN,-4,,B,""IS"")"),0),)</f>
        <v>0</v>
      </c>
      <c r="H10" s="2" cm="1">
        <f t="array" ref="H10">IFERROR(IF($B$4&gt;=1,-_xll.FDS($B$2,"FF_ARPT_SERIES('RESEARCH AND DEVELOPMENT',ANN,-5,,B,""IS"")"),0),)</f>
        <v>0</v>
      </c>
      <c r="I10" s="2" cm="1">
        <f t="array" ref="I10">IFERROR(IF($B$4&gt;=1,-_xll.FDS($B$2,"FF_ARPT_SERIES('RESEARCH AND DEVELOPMENT',ANN,-6,,B,""IS"")"),0),)</f>
        <v>0</v>
      </c>
      <c r="J10" s="2" cm="1">
        <f t="array" ref="J10">IFERROR(IF($B$4&gt;=1,-_xll.FDS($B$2,"FF_ARPT_SERIES('RESEARCH AND DEVELOPMENT',ANN,-7,,B,""IS"")"),0),)</f>
        <v>0</v>
      </c>
      <c r="K10" s="2" cm="1">
        <f t="array" ref="K10">IFERROR(IF($B$4&gt;=1,-_xll.FDS($B$2,"FF_ARPT_SERIES('RESEARCH AND DEVELOPMENT',ANN,-8,,B,""IS"")"),0),)</f>
        <v>0</v>
      </c>
      <c r="L10" s="2" cm="1">
        <f t="array" ref="L10">IFERROR(IF($B$4&gt;=1,-_xll.FDS($B$2,"FF_ARPT_SERIES('RESEARCH AND DEVELOPMENT',ANN,-9,,B,""IS"")"),0),)</f>
        <v>0</v>
      </c>
    </row>
    <row r="11" spans="1:13">
      <c r="A11" s="8">
        <v>-1</v>
      </c>
      <c r="B11" s="2">
        <f>IF(A11&lt;0,($B$4+A11)/$B$4,0)</f>
        <v>0.9</v>
      </c>
      <c r="C11" s="2" cm="1">
        <f t="array" ref="C11">IFERROR(IF($B$4&gt;=1,-_xll.FDS($B$2,"FF_ARPT_SERIES('RESEARCH AND DEVELOPMENT',ANN,-1,,B,""IS"")"),0),)</f>
        <v>0</v>
      </c>
      <c r="D11" s="2" cm="1">
        <f t="array" ref="D11">IFERROR(IF($B$4&gt;=1,-_xll.FDS($B$2,"FF_ARPT_SERIES('RESEARCH AND DEVELOPMENT',ANN,-2,,B,""IS"")"),0),)</f>
        <v>0</v>
      </c>
      <c r="E11" s="2" cm="1">
        <f t="array" ref="E11">IFERROR(IF($B$4&gt;=1,-_xll.FDS($B$2,"FF_ARPT_SERIES('RESEARCH AND DEVELOPMENT',ANN,-3,,B,""IS"")"),0),)</f>
        <v>0</v>
      </c>
      <c r="F11" s="2" cm="1">
        <f t="array" ref="F11">IFERROR(IF($B$4&gt;=1,-_xll.FDS($B$2,"FF_ARPT_SERIES('RESEARCH AND DEVELOPMENT',ANN,-4,,B,""IS"")"),0),)</f>
        <v>0</v>
      </c>
      <c r="G11" s="2" cm="1">
        <f t="array" ref="G11">IFERROR(IF($B$4&gt;=1,-_xll.FDS($B$2,"FF_ARPT_SERIES('RESEARCH AND DEVELOPMENT',ANN,-5,,B,""IS"")"),0),)</f>
        <v>0</v>
      </c>
      <c r="H11" s="2" cm="1">
        <f t="array" ref="H11">IFERROR(IF($B$4&gt;=1,-_xll.FDS($B$2,"FF_ARPT_SERIES('RESEARCH AND DEVELOPMENT',ANN,-6,,B,""IS"")"),0),)</f>
        <v>0</v>
      </c>
      <c r="I11" s="2" cm="1">
        <f t="array" ref="I11">IFERROR(IF($B$4&gt;=1,-_xll.FDS($B$2,"FF_ARPT_SERIES('RESEARCH AND DEVELOPMENT',ANN,-7,,B,""IS"")"),0),)</f>
        <v>0</v>
      </c>
      <c r="J11" s="2" cm="1">
        <f t="array" ref="J11">IFERROR(IF($B$4&gt;=1,-_xll.FDS($B$2,"FF_ARPT_SERIES('RESEARCH AND DEVELOPMENT',ANN,-8,,B,""IS"")"),0),)</f>
        <v>0</v>
      </c>
      <c r="K11" s="2" cm="1">
        <f t="array" ref="K11">IFERROR(IF($B$4&gt;=1,-_xll.FDS($B$2,"FF_ARPT_SERIES('RESEARCH AND DEVELOPMENT',ANN,-9,,B,""IS"")"),0),)</f>
        <v>0</v>
      </c>
      <c r="L11" s="2" cm="1">
        <f t="array" ref="L11">IFERROR(IF($B$4&gt;=1,-_xll.FDS($B$2,"FF_ARPT_SERIES('RESEARCH AND DEVELOPMENT',ANN,-10,,B,""IS"")"),0),)</f>
        <v>0</v>
      </c>
    </row>
    <row r="12" spans="1:13">
      <c r="A12" s="8">
        <f>IF((0-A11)&lt;$B$4,IF(A11&gt;-1,,A11-1),)</f>
        <v>-2</v>
      </c>
      <c r="B12" s="2">
        <f t="shared" ref="B12:B20" si="0">IF(A12&lt;0,($B$4+A12)/$B$4,0)</f>
        <v>0.8</v>
      </c>
      <c r="C12" s="2" cm="1">
        <f t="array" ref="C12">IFERROR(IF($B$4&gt;=2,-_xll.FDS($B$2,"FF_ARPT_SERIES('RESEARCH AND DEVELOPMENT',ANN,-2,,B,""IS"")"),0),)</f>
        <v>0</v>
      </c>
      <c r="D12" s="2" cm="1">
        <f t="array" ref="D12">IFERROR(IF($B$4&gt;=2,-_xll.FDS($B$2,"FF_ARPT_SERIES('RESEARCH AND DEVELOPMENT',ANN,-3,,B,""IS"")"),0),)</f>
        <v>0</v>
      </c>
      <c r="E12" s="2" cm="1">
        <f t="array" ref="E12">IFERROR(IF($B$4&gt;=2,-_xll.FDS($B$2,"FF_ARPT_SERIES('RESEARCH AND DEVELOPMENT',ANN,-4,,B,""IS"")"),0),)</f>
        <v>0</v>
      </c>
      <c r="F12" s="2" cm="1">
        <f t="array" ref="F12">IFERROR(IF($B$4&gt;=2,-_xll.FDS($B$2,"FF_ARPT_SERIES('RESEARCH AND DEVELOPMENT',ANN,-5,,B,""IS"")"),0),)</f>
        <v>0</v>
      </c>
      <c r="G12" s="2" cm="1">
        <f t="array" ref="G12">IFERROR(IF($B$4&gt;=2,-_xll.FDS($B$2,"FF_ARPT_SERIES('RESEARCH AND DEVELOPMENT',ANN,-6,,B,""IS"")"),0),)</f>
        <v>0</v>
      </c>
      <c r="H12" s="2" cm="1">
        <f t="array" ref="H12">IFERROR(IF($B$4&gt;=2,-_xll.FDS($B$2,"FF_ARPT_SERIES('RESEARCH AND DEVELOPMENT',ANN,-7,,B,""IS"")"),0),)</f>
        <v>0</v>
      </c>
      <c r="I12" s="2" cm="1">
        <f t="array" ref="I12">IFERROR(IF($B$4&gt;=2,-_xll.FDS($B$2,"FF_ARPT_SERIES('RESEARCH AND DEVELOPMENT',ANN,-8,,B,""IS"")"),0),)</f>
        <v>0</v>
      </c>
      <c r="J12" s="2" cm="1">
        <f t="array" ref="J12">IFERROR(IF($B$4&gt;=2,-_xll.FDS($B$2,"FF_ARPT_SERIES('RESEARCH AND DEVELOPMENT',ANN,-9,,B,""IS"")"),0),)</f>
        <v>0</v>
      </c>
      <c r="K12" s="2" cm="1">
        <f t="array" ref="K12">IFERROR(IF($B$4&gt;=2,-_xll.FDS($B$2,"FF_ARPT_SERIES('RESEARCH AND DEVELOPMENT',ANN,-10,,B,""IS"")"),0),)</f>
        <v>0</v>
      </c>
      <c r="L12" s="2" cm="1">
        <f t="array" ref="L12">IFERROR(IF($B$4&gt;=2,-_xll.FDS($B$2,"FF_ARPT_SERIES('RESEARCH AND DEVELOPMENT',ANN,-11,,B,""IS"")"),0),)</f>
        <v>0</v>
      </c>
    </row>
    <row r="13" spans="1:13">
      <c r="A13" s="8">
        <f t="shared" ref="A13:A20" si="1">IF((0-A12)&lt;$B$4,IF(A12&gt;-1,,A12-1),)</f>
        <v>-3</v>
      </c>
      <c r="B13" s="2">
        <f t="shared" si="0"/>
        <v>0.7</v>
      </c>
      <c r="C13" s="2" cm="1">
        <f t="array" ref="C13">IFERROR(IF($B$4&gt;=3,-_xll.FDS($B$2,"FF_ARPT_SERIES('RESEARCH AND DEVELOPMENT',ANN,-3,,B,""IS"")"),0),)</f>
        <v>0</v>
      </c>
      <c r="D13" s="2" cm="1">
        <f t="array" ref="D13">IFERROR(IF($B$4&gt;=3,-_xll.FDS($B$2,"FF_ARPT_SERIES('RESEARCH AND DEVELOPMENT',ANN,-4,,B,""IS"")"),0),)</f>
        <v>0</v>
      </c>
      <c r="E13" s="2" cm="1">
        <f t="array" ref="E13">IFERROR(IF($B$4&gt;=3,-_xll.FDS($B$2,"FF_ARPT_SERIES('RESEARCH AND DEVELOPMENT',ANN,-5,,B,""IS"")"),0),)</f>
        <v>0</v>
      </c>
      <c r="F13" s="2" cm="1">
        <f t="array" ref="F13">IFERROR(IF($B$4&gt;=3,-_xll.FDS($B$2,"FF_ARPT_SERIES('RESEARCH AND DEVELOPMENT',ANN,-6,,B,""IS"")"),0),)</f>
        <v>0</v>
      </c>
      <c r="G13" s="2" cm="1">
        <f t="array" ref="G13">IFERROR(IF($B$4&gt;=3,-_xll.FDS($B$2,"FF_ARPT_SERIES('RESEARCH AND DEVELOPMENT',ANN,-7,,B,""IS"")"),0),)</f>
        <v>0</v>
      </c>
      <c r="H13" s="2" cm="1">
        <f t="array" ref="H13">IFERROR(IF($B$4&gt;=3,-_xll.FDS($B$2,"FF_ARPT_SERIES('RESEARCH AND DEVELOPMENT',ANN,-8,,B,""IS"")"),0),)</f>
        <v>0</v>
      </c>
      <c r="I13" s="2" cm="1">
        <f t="array" ref="I13">IFERROR(IF($B$4&gt;=3,-_xll.FDS($B$2,"FF_ARPT_SERIES('RESEARCH AND DEVELOPMENT',ANN,-9,,B,""IS"")"),0),)</f>
        <v>0</v>
      </c>
      <c r="J13" s="2" cm="1">
        <f t="array" ref="J13">IFERROR(IF($B$4&gt;=3,-_xll.FDS($B$2,"FF_ARPT_SERIES('RESEARCH AND DEVELOPMENT',ANN,-10,,B,""IS"")"),0),)</f>
        <v>0</v>
      </c>
      <c r="K13" s="2" cm="1">
        <f t="array" ref="K13">IFERROR(IF($B$4&gt;=3,-_xll.FDS($B$2,"FF_ARPT_SERIES('RESEARCH AND DEVELOPMENT',ANN,-11,,B,""IS"")"),0),)</f>
        <v>0</v>
      </c>
      <c r="L13" s="2" cm="1">
        <f t="array" ref="L13">IFERROR(IF($B$4&gt;=3,-_xll.FDS($B$2,"FF_ARPT_SERIES('RESEARCH AND DEVELOPMENT',ANN,-12,,B,""IS"")"),0),)</f>
        <v>0</v>
      </c>
    </row>
    <row r="14" spans="1:13">
      <c r="A14" s="8">
        <f t="shared" si="1"/>
        <v>-4</v>
      </c>
      <c r="B14" s="2">
        <f t="shared" si="0"/>
        <v>0.6</v>
      </c>
      <c r="C14" s="2" cm="1">
        <f t="array" ref="C14">IFERROR(IF($B$4&gt;=4,-_xll.FDS($B$2,"FF_ARPT_SERIES('RESEARCH AND DEVELOPMENT',ANN,-4,,B,""IS"")"),0),)</f>
        <v>0</v>
      </c>
      <c r="D14" s="2" cm="1">
        <f t="array" ref="D14">IFERROR(IF($B$4&gt;=4,-_xll.FDS($B$2,"FF_ARPT_SERIES('RESEARCH AND DEVELOPMENT',ANN,-5,,B,""IS"")"),0),)</f>
        <v>0</v>
      </c>
      <c r="E14" s="2" cm="1">
        <f t="array" ref="E14">IFERROR(IF($B$4&gt;=4,-_xll.FDS($B$2,"FF_ARPT_SERIES('RESEARCH AND DEVELOPMENT',ANN,-6,,B,""IS"")"),0),)</f>
        <v>0</v>
      </c>
      <c r="F14" s="2" cm="1">
        <f t="array" ref="F14">IFERROR(IF($B$4&gt;=4,-_xll.FDS($B$2,"FF_ARPT_SERIES('RESEARCH AND DEVELOPMENT',ANN,-7,,B,""IS"")"),0),)</f>
        <v>0</v>
      </c>
      <c r="G14" s="2" cm="1">
        <f t="array" ref="G14">IFERROR(IF($B$4&gt;=4,-_xll.FDS($B$2,"FF_ARPT_SERIES('RESEARCH AND DEVELOPMENT',ANN,-8,,B,""IS"")"),0),)</f>
        <v>0</v>
      </c>
      <c r="H14" s="2" cm="1">
        <f t="array" ref="H14">IFERROR(IF($B$4&gt;=4,-_xll.FDS($B$2,"FF_ARPT_SERIES('RESEARCH AND DEVELOPMENT',ANN,-9,,B,""IS"")"),0),)</f>
        <v>0</v>
      </c>
      <c r="I14" s="2" cm="1">
        <f t="array" ref="I14">IFERROR(IF($B$4&gt;=4,-_xll.FDS($B$2,"FF_ARPT_SERIES('RESEARCH AND DEVELOPMENT',ANN,-10,,B,""IS"")"),0),)</f>
        <v>0</v>
      </c>
      <c r="J14" s="2" cm="1">
        <f t="array" ref="J14">IFERROR(IF($B$4&gt;=4,-_xll.FDS($B$2,"FF_ARPT_SERIES('RESEARCH AND DEVELOPMENT',ANN,-11,,B,""IS"")"),0),)</f>
        <v>0</v>
      </c>
      <c r="K14" s="2" cm="1">
        <f t="array" ref="K14">IFERROR(IF($B$4&gt;=4,-_xll.FDS($B$2,"FF_ARPT_SERIES('RESEARCH AND DEVELOPMENT',ANN,-12,,B,""IS"")"),0),)</f>
        <v>0</v>
      </c>
      <c r="L14" s="2" cm="1">
        <f t="array" ref="L14">IFERROR(IF($B$4&gt;=4,-_xll.FDS($B$2,"FF_ARPT_SERIES('RESEARCH AND DEVELOPMENT',ANN,-13,,B,""IS"")"),0),)</f>
        <v>0</v>
      </c>
    </row>
    <row r="15" spans="1:13">
      <c r="A15" s="8">
        <f t="shared" si="1"/>
        <v>-5</v>
      </c>
      <c r="B15" s="2">
        <f t="shared" si="0"/>
        <v>0.5</v>
      </c>
      <c r="C15" s="2" cm="1">
        <f t="array" ref="C15">IFERROR(IF($B$4&gt;=5,-_xll.FDS($B$2,"FF_ARPT_SERIES('RESEARCH AND DEVELOPMENT',ANN,-5,,B,""IS"")"),0),)</f>
        <v>0</v>
      </c>
      <c r="D15" s="2" cm="1">
        <f t="array" ref="D15">IFERROR(IF($B$4&gt;=5,-_xll.FDS($B$2,"FF_ARPT_SERIES('RESEARCH AND DEVELOPMENT',ANN,-6,,B,""IS"")"),0),)</f>
        <v>0</v>
      </c>
      <c r="E15" s="2" cm="1">
        <f t="array" ref="E15">IFERROR(IF($B$4&gt;=5,-_xll.FDS($B$2,"FF_ARPT_SERIES('RESEARCH AND DEVELOPMENT',ANN,-7,,B,""IS"")"),0),)</f>
        <v>0</v>
      </c>
      <c r="F15" s="2" cm="1">
        <f t="array" ref="F15">IFERROR(IF($B$4&gt;=5,-_xll.FDS($B$2,"FF_ARPT_SERIES('RESEARCH AND DEVELOPMENT',ANN,-8,,B,""IS"")"),0),)</f>
        <v>0</v>
      </c>
      <c r="G15" s="2" cm="1">
        <f t="array" ref="G15">IFERROR(IF($B$4&gt;=5,-_xll.FDS($B$2,"FF_ARPT_SERIES('RESEARCH AND DEVELOPMENT',ANN,-9,,B,""IS"")"),0),)</f>
        <v>0</v>
      </c>
      <c r="H15" s="2" cm="1">
        <f t="array" ref="H15">IFERROR(IF($B$4&gt;=5,-_xll.FDS($B$2,"FF_ARPT_SERIES('RESEARCH AND DEVELOPMENT',ANN,-10,,B,""IS"")"),0),)</f>
        <v>0</v>
      </c>
      <c r="I15" s="2" cm="1">
        <f t="array" ref="I15">IFERROR(IF($B$4&gt;=5,-_xll.FDS($B$2,"FF_ARPT_SERIES('RESEARCH AND DEVELOPMENT',ANN,-11,,B,""IS"")"),0),)</f>
        <v>0</v>
      </c>
      <c r="J15" s="2" cm="1">
        <f t="array" ref="J15">IFERROR(IF($B$4&gt;=5,-_xll.FDS($B$2,"FF_ARPT_SERIES('RESEARCH AND DEVELOPMENT',ANN,-12,,B,""IS"")"),0),)</f>
        <v>0</v>
      </c>
      <c r="K15" s="2" cm="1">
        <f t="array" ref="K15">IFERROR(IF($B$4&gt;=5,-_xll.FDS($B$2,"FF_ARPT_SERIES('RESEARCH AND DEVELOPMENT',ANN,-13,,B,""IS"")"),0),)</f>
        <v>0</v>
      </c>
      <c r="L15" s="2" cm="1">
        <f t="array" ref="L15">IFERROR(IF($B$4&gt;=5,-_xll.FDS($B$2,"FF_ARPT_SERIES('RESEARCH AND DEVELOPMENT',ANN,-14,,B,""IS"")"),0),)</f>
        <v>0</v>
      </c>
    </row>
    <row r="16" spans="1:13">
      <c r="A16" s="8">
        <f t="shared" si="1"/>
        <v>-6</v>
      </c>
      <c r="B16" s="2">
        <f t="shared" si="0"/>
        <v>0.4</v>
      </c>
      <c r="C16" s="2" cm="1">
        <f t="array" ref="C16">IFERROR(IF($B$4&gt;=6,-_xll.FDS($B$2,"FF_ARPT_SERIES('RESEARCH AND DEVELOPMENT',ANN,-6,,B,""IS"")"),0),)</f>
        <v>0</v>
      </c>
      <c r="D16" s="2" cm="1">
        <f t="array" ref="D16">IFERROR(IF($B$4&gt;=6,-_xll.FDS($B$2,"FF_ARPT_SERIES('RESEARCH AND DEVELOPMENT',ANN,-7,,B,""IS"")"),0),)</f>
        <v>0</v>
      </c>
      <c r="E16" s="2" cm="1">
        <f t="array" ref="E16">IFERROR(IF($B$4&gt;=6,-_xll.FDS($B$2,"FF_ARPT_SERIES('RESEARCH AND DEVELOPMENT',ANN,-8,,B,""IS"")"),0),)</f>
        <v>0</v>
      </c>
      <c r="F16" s="2" cm="1">
        <f t="array" ref="F16">IFERROR(IF($B$4&gt;=6,-_xll.FDS($B$2,"FF_ARPT_SERIES('RESEARCH AND DEVELOPMENT',ANN,-9,,B,""IS"")"),0),)</f>
        <v>0</v>
      </c>
      <c r="G16" s="2" cm="1">
        <f t="array" ref="G16">IFERROR(IF($B$4&gt;=6,-_xll.FDS($B$2,"FF_ARPT_SERIES('RESEARCH AND DEVELOPMENT',ANN,-10,,B,""IS"")"),0),)</f>
        <v>0</v>
      </c>
      <c r="H16" s="2" cm="1">
        <f t="array" ref="H16">IFERROR(IF($B$4&gt;=6,-_xll.FDS($B$2,"FF_ARPT_SERIES('RESEARCH AND DEVELOPMENT',ANN,-11,,B,""IS"")"),0),)</f>
        <v>0</v>
      </c>
      <c r="I16" s="2" cm="1">
        <f t="array" ref="I16">IFERROR(IF($B$4&gt;=6,-_xll.FDS($B$2,"FF_ARPT_SERIES('RESEARCH AND DEVELOPMENT',ANN,-12,,B,""IS"")"),0),)</f>
        <v>0</v>
      </c>
      <c r="J16" s="2" cm="1">
        <f t="array" ref="J16">IFERROR(IF($B$4&gt;=6,-_xll.FDS($B$2,"FF_ARPT_SERIES('RESEARCH AND DEVELOPMENT',ANN,-13,,B,""IS"")"),0),)</f>
        <v>0</v>
      </c>
      <c r="K16" s="2" cm="1">
        <f t="array" ref="K16">IFERROR(IF($B$4&gt;=6,-_xll.FDS($B$2,"FF_ARPT_SERIES('RESEARCH AND DEVELOPMENT',ANN,-14,,B,""IS"")"),0),)</f>
        <v>0</v>
      </c>
      <c r="L16" s="2" cm="1">
        <f t="array" ref="L16">IFERROR(IF($B$4&gt;=6,-_xll.FDS($B$2,"FF_ARPT_SERIES('RESEARCH AND DEVELOPMENT',ANN,-15,,B,""IS"")"),0),)</f>
        <v>0</v>
      </c>
    </row>
    <row r="17" spans="1:12">
      <c r="A17" s="8">
        <f t="shared" si="1"/>
        <v>-7</v>
      </c>
      <c r="B17" s="2">
        <f t="shared" si="0"/>
        <v>0.3</v>
      </c>
      <c r="C17" s="2" cm="1">
        <f t="array" ref="C17">IFERROR(IF($B$4&gt;=7,-_xll.FDS($B$2,"FF_ARPT_SERIES('RESEARCH AND DEVELOPMENT',ANN,-7,,B,""IS"")"),0),)</f>
        <v>0</v>
      </c>
      <c r="D17" s="2" cm="1">
        <f t="array" ref="D17">IFERROR(IF($B$4&gt;=7,-_xll.FDS($B$2,"FF_ARPT_SERIES('RESEARCH AND DEVELOPMENT',ANN,-8,,B,""IS"")"),0),)</f>
        <v>0</v>
      </c>
      <c r="E17" s="2" cm="1">
        <f t="array" ref="E17">IFERROR(IF($B$4&gt;=7,-_xll.FDS($B$2,"FF_ARPT_SERIES('RESEARCH AND DEVELOPMENT',ANN,-9,,B,""IS"")"),0),)</f>
        <v>0</v>
      </c>
      <c r="F17" s="2" cm="1">
        <f t="array" ref="F17">IFERROR(IF($B$4&gt;=7,-_xll.FDS($B$2,"FF_ARPT_SERIES('RESEARCH AND DEVELOPMENT',ANN,-10,,B,""IS"")"),0),)</f>
        <v>0</v>
      </c>
      <c r="G17" s="2" cm="1">
        <f t="array" ref="G17">IFERROR(IF($B$4&gt;=7,-_xll.FDS($B$2,"FF_ARPT_SERIES('RESEARCH AND DEVELOPMENT',ANN,-11,,B,""IS"")"),0),)</f>
        <v>0</v>
      </c>
      <c r="H17" s="2" cm="1">
        <f t="array" ref="H17">IFERROR(IF($B$4&gt;=7,-_xll.FDS($B$2,"FF_ARPT_SERIES('RESEARCH AND DEVELOPMENT',ANN,-12,,B,""IS"")"),0),)</f>
        <v>0</v>
      </c>
      <c r="I17" s="2" cm="1">
        <f t="array" ref="I17">IFERROR(IF($B$4&gt;=7,-_xll.FDS($B$2,"FF_ARPT_SERIES('RESEARCH AND DEVELOPMENT',ANN,-13,,B,""IS"")"),0),)</f>
        <v>0</v>
      </c>
      <c r="J17" s="2" cm="1">
        <f t="array" ref="J17">IFERROR(IF($B$4&gt;=7,-_xll.FDS($B$2,"FF_ARPT_SERIES('RESEARCH AND DEVELOPMENT',ANN,-14,,B,""IS"")"),0),)</f>
        <v>0</v>
      </c>
      <c r="K17" s="2" cm="1">
        <f t="array" ref="K17">IFERROR(IF($B$4&gt;=7,-_xll.FDS($B$2,"FF_ARPT_SERIES('RESEARCH AND DEVELOPMENT',ANN,-15,,B,""IS"")"),0),)</f>
        <v>0</v>
      </c>
      <c r="L17" s="2" cm="1">
        <f t="array" ref="L17">IFERROR(IF($B$4&gt;=7,-_xll.FDS($B$2,"FF_ARPT_SERIES('RESEARCH AND DEVELOPMENT',ANN,-16,,B,""IS"")"),0),)</f>
        <v>0</v>
      </c>
    </row>
    <row r="18" spans="1:12">
      <c r="A18" s="8">
        <f t="shared" si="1"/>
        <v>-8</v>
      </c>
      <c r="B18" s="2">
        <f t="shared" si="0"/>
        <v>0.2</v>
      </c>
      <c r="C18" s="2" cm="1">
        <f t="array" ref="C18">IFERROR(IF($B$4&gt;=8,-_xll.FDS($B$2,"FF_ARPT_SERIES('RESEARCH AND DEVELOPMENT',ANN,-8,,B,""IS"")"),0),)</f>
        <v>0</v>
      </c>
      <c r="D18" s="2" cm="1">
        <f t="array" ref="D18">IFERROR(IF($B$4&gt;=8,-_xll.FDS($B$2,"FF_ARPT_SERIES('RESEARCH AND DEVELOPMENT',ANN,-9,,B,""IS"")"),0),)</f>
        <v>0</v>
      </c>
      <c r="E18" s="2" cm="1">
        <f t="array" ref="E18">IFERROR(IF($B$4&gt;=8,-_xll.FDS($B$2,"FF_ARPT_SERIES('RESEARCH AND DEVELOPMENT',ANN,-10,,B,""IS"")"),0),)</f>
        <v>0</v>
      </c>
      <c r="F18" s="2" cm="1">
        <f t="array" ref="F18">IFERROR(IF($B$4&gt;=8,-_xll.FDS($B$2,"FF_ARPT_SERIES('RESEARCH AND DEVELOPMENT',ANN,-11,,B,""IS"")"),0),)</f>
        <v>0</v>
      </c>
      <c r="G18" s="2" cm="1">
        <f t="array" ref="G18">IFERROR(IF($B$4&gt;=8,-_xll.FDS($B$2,"FF_ARPT_SERIES('RESEARCH AND DEVELOPMENT',ANN,-12,,B,""IS"")"),0),)</f>
        <v>0</v>
      </c>
      <c r="H18" s="2" cm="1">
        <f t="array" ref="H18">IFERROR(IF($B$4&gt;=8,-_xll.FDS($B$2,"FF_ARPT_SERIES('RESEARCH AND DEVELOPMENT',ANN,-13,,B,""IS"")"),0),)</f>
        <v>0</v>
      </c>
      <c r="I18" s="2" cm="1">
        <f t="array" ref="I18">IFERROR(IF($B$4&gt;=8,-_xll.FDS($B$2,"FF_ARPT_SERIES('RESEARCH AND DEVELOPMENT',ANN,-14,,B,""IS"")"),0),)</f>
        <v>0</v>
      </c>
      <c r="J18" s="2" cm="1">
        <f t="array" ref="J18">IFERROR(IF($B$4&gt;=8,-_xll.FDS($B$2,"FF_ARPT_SERIES('RESEARCH AND DEVELOPMENT',ANN,-15,,B,""IS"")"),0),)</f>
        <v>0</v>
      </c>
      <c r="K18" s="2" cm="1">
        <f t="array" ref="K18">IFERROR(IF($B$4&gt;=8,-_xll.FDS($B$2,"FF_ARPT_SERIES('RESEARCH AND DEVELOPMENT',ANN,-16,,B,""IS"")"),0),)</f>
        <v>0</v>
      </c>
      <c r="L18" s="2" cm="1">
        <f t="array" ref="L18">IFERROR(IF($B$4&gt;=8,-_xll.FDS($B$2,"FF_ARPT_SERIES('RESEARCH AND DEVELOPMENT',ANN,-17,,B,""IS"")"),0),)</f>
        <v>0</v>
      </c>
    </row>
    <row r="19" spans="1:12">
      <c r="A19" s="8">
        <f t="shared" si="1"/>
        <v>-9</v>
      </c>
      <c r="B19" s="2">
        <f t="shared" si="0"/>
        <v>0.1</v>
      </c>
      <c r="C19" s="2" cm="1">
        <f t="array" ref="C19">IFERROR(IF($B$4&gt;=9,-_xll.FDS($B$2,"FF_ARPT_SERIES('RESEARCH AND DEVELOPMENT',ANN,-9,,B,""IS"")"),0),)</f>
        <v>0</v>
      </c>
      <c r="D19" s="2" cm="1">
        <f t="array" ref="D19">IFERROR(IF($B$4&gt;=9,-_xll.FDS($B$2,"FF_ARPT_SERIES('RESEARCH AND DEVELOPMENT',ANN,-10,,B,""IS"")"),0),)</f>
        <v>0</v>
      </c>
      <c r="E19" s="2" cm="1">
        <f t="array" ref="E19">IFERROR(IF($B$4&gt;=9,-_xll.FDS($B$2,"FF_ARPT_SERIES('RESEARCH AND DEVELOPMENT',ANN,-11,,B,""IS"")"),0),)</f>
        <v>0</v>
      </c>
      <c r="F19" s="2" cm="1">
        <f t="array" ref="F19">IFERROR(IF($B$4&gt;=9,-_xll.FDS($B$2,"FF_ARPT_SERIES('RESEARCH AND DEVELOPMENT',ANN,-12,,B,""IS"")"),0),)</f>
        <v>0</v>
      </c>
      <c r="G19" s="2" cm="1">
        <f t="array" ref="G19">IFERROR(IF($B$4&gt;=9,-_xll.FDS($B$2,"FF_ARPT_SERIES('RESEARCH AND DEVELOPMENT',ANN,-13,,B,""IS"")"),0),)</f>
        <v>0</v>
      </c>
      <c r="H19" s="2" cm="1">
        <f t="array" ref="H19">IFERROR(IF($B$4&gt;=9,-_xll.FDS($B$2,"FF_ARPT_SERIES('RESEARCH AND DEVELOPMENT',ANN,-14,,B,""IS"")"),0),)</f>
        <v>0</v>
      </c>
      <c r="I19" s="2" cm="1">
        <f t="array" ref="I19">IFERROR(IF($B$4&gt;=9,-_xll.FDS($B$2,"FF_ARPT_SERIES('RESEARCH AND DEVELOPMENT',ANN,-15,,B,""IS"")"),0),)</f>
        <v>0</v>
      </c>
      <c r="J19" s="2" cm="1">
        <f t="array" ref="J19">IFERROR(IF($B$4&gt;=9,-_xll.FDS($B$2,"FF_ARPT_SERIES('RESEARCH AND DEVELOPMENT',ANN,-16,,B,""IS"")"),0),)</f>
        <v>0</v>
      </c>
      <c r="K19" s="2" cm="1">
        <f t="array" ref="K19">IFERROR(IF($B$4&gt;=9,-_xll.FDS($B$2,"FF_ARPT_SERIES('RESEARCH AND DEVELOPMENT',ANN,-17,,B,""IS"")"),0),)</f>
        <v>0</v>
      </c>
      <c r="L19" s="2" cm="1">
        <f t="array" ref="L19">IFERROR(IF($B$4&gt;=9,-_xll.FDS($B$2,"FF_ARPT_SERIES('RESEARCH AND DEVELOPMENT',ANN,-18,,B,""IS"")"),0),)</f>
        <v>0</v>
      </c>
    </row>
    <row r="20" spans="1:12">
      <c r="A20" s="8">
        <f t="shared" si="1"/>
        <v>-10</v>
      </c>
      <c r="B20" s="2">
        <f t="shared" si="0"/>
        <v>0</v>
      </c>
      <c r="C20" s="2" cm="1">
        <f t="array" ref="C20">IFERROR(IF($B$4&gt;=10,-_xll.FDS($B$2,"FF_ARPT_SERIES('RESEARCH AND DEVELOPMENT',ANN,-10,,B,""IS"")"),0),)</f>
        <v>0</v>
      </c>
      <c r="D20" s="2" cm="1">
        <f t="array" ref="D20">IFERROR(IF($B$4&gt;=10,-_xll.FDS($B$2,"FF_ARPT_SERIES('RESEARCH AND DEVELOPMENT',ANN,-11,,B,""IS"")"),0),)</f>
        <v>0</v>
      </c>
      <c r="E20" s="2" cm="1">
        <f t="array" ref="E20">IFERROR(IF($B$4&gt;=10,-_xll.FDS($B$2,"FF_ARPT_SERIES('RESEARCH AND DEVELOPMENT',ANN,-12,,B,""IS"")"),0),)</f>
        <v>0</v>
      </c>
      <c r="F20" s="2" cm="1">
        <f t="array" ref="F20">IFERROR(IF($B$4&gt;=10,-_xll.FDS($B$2,"FF_ARPT_SERIES('RESEARCH AND DEVELOPMENT',ANN,-13,,B,""IS"")"),0),)</f>
        <v>0</v>
      </c>
      <c r="G20" s="2" cm="1">
        <f t="array" ref="G20">IFERROR(IF($B$4&gt;=10,-_xll.FDS($B$2,"FF_ARPT_SERIES('RESEARCH AND DEVELOPMENT',ANN,-14,,B,""IS"")"),0),)</f>
        <v>0</v>
      </c>
      <c r="H20" s="2" cm="1">
        <f t="array" ref="H20">IFERROR(IF($B$4&gt;=10,-_xll.FDS($B$2,"FF_ARPT_SERIES('RESEARCH AND DEVELOPMENT',ANN,-15,,B,""IS"")"),0),)</f>
        <v>0</v>
      </c>
      <c r="I20" s="2" cm="1">
        <f t="array" ref="I20">IFERROR(IF($B$4&gt;=10,-_xll.FDS($B$2,"FF_ARPT_SERIES('RESEARCH AND DEVELOPMENT',ANN,-16,,B,""IS"")"),0),)</f>
        <v>0</v>
      </c>
      <c r="J20" s="2" cm="1">
        <f t="array" ref="J20">IFERROR(IF($B$4&gt;=10,-_xll.FDS($B$2,"FF_ARPT_SERIES('RESEARCH AND DEVELOPMENT',ANN,-117,,B,""IS"")"),0),)</f>
        <v>0</v>
      </c>
      <c r="K20" s="2" cm="1">
        <f t="array" ref="K20">IFERROR(IF($B$4&gt;=10,-_xll.FDS($B$2,"FF_ARPT_SERIES('RESEARCH AND DEVELOPMENT',ANN,-18,,B,""IS"")"),0),)</f>
        <v>0</v>
      </c>
      <c r="L20" s="2" cm="1">
        <f t="array" ref="L20">IFERROR(IF($B$4&gt;=10,-_xll.FDS($B$2,"FF_ARPT_SERIES('RESEARCH AND DEVELOPMENT',ANN,-19,,B,""IS"")"),0),)</f>
        <v>0</v>
      </c>
    </row>
    <row r="21" spans="1:12">
      <c r="C21" s="2"/>
      <c r="D21" s="2"/>
      <c r="E21" s="2"/>
      <c r="F21" s="2"/>
      <c r="G21" s="2"/>
      <c r="H21" s="327"/>
      <c r="I21" s="327"/>
      <c r="J21" s="327"/>
      <c r="K21" s="327"/>
      <c r="L21" s="327"/>
    </row>
    <row r="22" spans="1:12">
      <c r="A22" s="503" t="s">
        <v>510</v>
      </c>
      <c r="B22" s="900"/>
      <c r="C22" s="897"/>
      <c r="D22" s="897"/>
      <c r="E22" s="897"/>
      <c r="F22" s="897"/>
      <c r="G22" s="494"/>
      <c r="H22" s="494"/>
      <c r="I22" s="494"/>
      <c r="J22" s="494"/>
      <c r="K22" s="494"/>
      <c r="L22" s="494"/>
    </row>
    <row r="23" spans="1:12">
      <c r="A23" s="8">
        <f>A10</f>
        <v>0</v>
      </c>
      <c r="C23" s="2">
        <f>IFERROR($B10*C10,0)</f>
        <v>0</v>
      </c>
      <c r="D23" s="2">
        <f t="shared" ref="C23:L33" si="2">IFERROR($B10*D10,0)</f>
        <v>0</v>
      </c>
      <c r="E23" s="2">
        <f t="shared" si="2"/>
        <v>0</v>
      </c>
      <c r="F23" s="2">
        <f t="shared" si="2"/>
        <v>0</v>
      </c>
      <c r="G23" s="2">
        <f t="shared" si="2"/>
        <v>0</v>
      </c>
      <c r="H23" s="2">
        <f t="shared" si="2"/>
        <v>0</v>
      </c>
      <c r="I23" s="2">
        <f t="shared" si="2"/>
        <v>0</v>
      </c>
      <c r="J23" s="2">
        <f t="shared" si="2"/>
        <v>0</v>
      </c>
      <c r="K23" s="2">
        <f t="shared" si="2"/>
        <v>0</v>
      </c>
      <c r="L23" s="2">
        <f t="shared" si="2"/>
        <v>0</v>
      </c>
    </row>
    <row r="24" spans="1:12">
      <c r="A24" s="8">
        <f t="shared" ref="A24:A33" si="3">A11</f>
        <v>-1</v>
      </c>
      <c r="C24" s="2">
        <f t="shared" si="2"/>
        <v>0</v>
      </c>
      <c r="D24" s="2">
        <f t="shared" si="2"/>
        <v>0</v>
      </c>
      <c r="E24" s="2">
        <f t="shared" si="2"/>
        <v>0</v>
      </c>
      <c r="F24" s="2">
        <f t="shared" si="2"/>
        <v>0</v>
      </c>
      <c r="G24" s="2">
        <f t="shared" si="2"/>
        <v>0</v>
      </c>
      <c r="H24" s="2">
        <f t="shared" si="2"/>
        <v>0</v>
      </c>
      <c r="I24" s="2">
        <f t="shared" si="2"/>
        <v>0</v>
      </c>
      <c r="J24" s="2">
        <f t="shared" si="2"/>
        <v>0</v>
      </c>
      <c r="K24" s="2">
        <f t="shared" si="2"/>
        <v>0</v>
      </c>
      <c r="L24" s="2">
        <f t="shared" si="2"/>
        <v>0</v>
      </c>
    </row>
    <row r="25" spans="1:12">
      <c r="A25" s="8">
        <f t="shared" si="3"/>
        <v>-2</v>
      </c>
      <c r="C25" s="2">
        <f t="shared" si="2"/>
        <v>0</v>
      </c>
      <c r="D25" s="2">
        <f t="shared" si="2"/>
        <v>0</v>
      </c>
      <c r="E25" s="2">
        <f t="shared" si="2"/>
        <v>0</v>
      </c>
      <c r="F25" s="2">
        <f t="shared" si="2"/>
        <v>0</v>
      </c>
      <c r="G25" s="2">
        <f t="shared" si="2"/>
        <v>0</v>
      </c>
      <c r="H25" s="2">
        <f t="shared" si="2"/>
        <v>0</v>
      </c>
      <c r="I25" s="2">
        <f t="shared" si="2"/>
        <v>0</v>
      </c>
      <c r="J25" s="2">
        <f t="shared" si="2"/>
        <v>0</v>
      </c>
      <c r="K25" s="2">
        <f t="shared" si="2"/>
        <v>0</v>
      </c>
      <c r="L25" s="2">
        <f t="shared" si="2"/>
        <v>0</v>
      </c>
    </row>
    <row r="26" spans="1:12">
      <c r="A26" s="8">
        <f t="shared" si="3"/>
        <v>-3</v>
      </c>
      <c r="C26" s="2">
        <f t="shared" si="2"/>
        <v>0</v>
      </c>
      <c r="D26" s="2">
        <f t="shared" si="2"/>
        <v>0</v>
      </c>
      <c r="E26" s="2">
        <f t="shared" si="2"/>
        <v>0</v>
      </c>
      <c r="F26" s="2">
        <f t="shared" si="2"/>
        <v>0</v>
      </c>
      <c r="G26" s="2">
        <f t="shared" si="2"/>
        <v>0</v>
      </c>
      <c r="H26" s="2">
        <f t="shared" si="2"/>
        <v>0</v>
      </c>
      <c r="I26" s="2">
        <f t="shared" si="2"/>
        <v>0</v>
      </c>
      <c r="J26" s="2">
        <f>IFERROR($B13*J13,0)</f>
        <v>0</v>
      </c>
      <c r="K26" s="2">
        <f t="shared" si="2"/>
        <v>0</v>
      </c>
      <c r="L26" s="2">
        <f t="shared" si="2"/>
        <v>0</v>
      </c>
    </row>
    <row r="27" spans="1:12">
      <c r="A27" s="8">
        <f t="shared" si="3"/>
        <v>-4</v>
      </c>
      <c r="C27" s="2">
        <f t="shared" si="2"/>
        <v>0</v>
      </c>
      <c r="D27" s="2">
        <f t="shared" si="2"/>
        <v>0</v>
      </c>
      <c r="E27" s="2">
        <f t="shared" si="2"/>
        <v>0</v>
      </c>
      <c r="F27" s="2">
        <f t="shared" si="2"/>
        <v>0</v>
      </c>
      <c r="G27" s="2">
        <f t="shared" si="2"/>
        <v>0</v>
      </c>
      <c r="H27" s="2">
        <f t="shared" si="2"/>
        <v>0</v>
      </c>
      <c r="I27" s="2">
        <f t="shared" si="2"/>
        <v>0</v>
      </c>
      <c r="J27" s="2">
        <f t="shared" si="2"/>
        <v>0</v>
      </c>
      <c r="K27" s="2">
        <f t="shared" si="2"/>
        <v>0</v>
      </c>
      <c r="L27" s="2">
        <f t="shared" si="2"/>
        <v>0</v>
      </c>
    </row>
    <row r="28" spans="1:12">
      <c r="A28" s="8">
        <f t="shared" si="3"/>
        <v>-5</v>
      </c>
      <c r="C28" s="2">
        <f t="shared" si="2"/>
        <v>0</v>
      </c>
      <c r="D28" s="2">
        <f t="shared" si="2"/>
        <v>0</v>
      </c>
      <c r="E28" s="2">
        <f t="shared" si="2"/>
        <v>0</v>
      </c>
      <c r="F28" s="2">
        <f t="shared" si="2"/>
        <v>0</v>
      </c>
      <c r="G28" s="2">
        <f t="shared" si="2"/>
        <v>0</v>
      </c>
      <c r="H28" s="2">
        <f t="shared" si="2"/>
        <v>0</v>
      </c>
      <c r="I28" s="2">
        <f t="shared" si="2"/>
        <v>0</v>
      </c>
      <c r="J28" s="2">
        <f t="shared" si="2"/>
        <v>0</v>
      </c>
      <c r="K28" s="2">
        <f t="shared" si="2"/>
        <v>0</v>
      </c>
      <c r="L28" s="2">
        <f t="shared" si="2"/>
        <v>0</v>
      </c>
    </row>
    <row r="29" spans="1:12">
      <c r="A29" s="8">
        <f t="shared" si="3"/>
        <v>-6</v>
      </c>
      <c r="C29" s="2">
        <f t="shared" si="2"/>
        <v>0</v>
      </c>
      <c r="D29" s="2">
        <f t="shared" si="2"/>
        <v>0</v>
      </c>
      <c r="E29" s="2">
        <f t="shared" si="2"/>
        <v>0</v>
      </c>
      <c r="F29" s="2">
        <f t="shared" si="2"/>
        <v>0</v>
      </c>
      <c r="G29" s="2">
        <f t="shared" si="2"/>
        <v>0</v>
      </c>
      <c r="H29" s="2">
        <f t="shared" si="2"/>
        <v>0</v>
      </c>
      <c r="I29" s="2">
        <f t="shared" si="2"/>
        <v>0</v>
      </c>
      <c r="J29" s="2">
        <f t="shared" si="2"/>
        <v>0</v>
      </c>
      <c r="K29" s="2">
        <f t="shared" si="2"/>
        <v>0</v>
      </c>
      <c r="L29" s="2">
        <f>IFERROR($B16*L16,0)</f>
        <v>0</v>
      </c>
    </row>
    <row r="30" spans="1:12">
      <c r="A30" s="8">
        <f t="shared" si="3"/>
        <v>-7</v>
      </c>
      <c r="C30" s="2">
        <f t="shared" si="2"/>
        <v>0</v>
      </c>
      <c r="D30" s="2">
        <f t="shared" si="2"/>
        <v>0</v>
      </c>
      <c r="E30" s="2">
        <f t="shared" si="2"/>
        <v>0</v>
      </c>
      <c r="F30" s="2">
        <f t="shared" si="2"/>
        <v>0</v>
      </c>
      <c r="G30" s="2">
        <f t="shared" si="2"/>
        <v>0</v>
      </c>
      <c r="H30" s="2">
        <f t="shared" si="2"/>
        <v>0</v>
      </c>
      <c r="I30" s="2">
        <f t="shared" si="2"/>
        <v>0</v>
      </c>
      <c r="J30" s="2">
        <f t="shared" si="2"/>
        <v>0</v>
      </c>
      <c r="K30" s="2">
        <f t="shared" si="2"/>
        <v>0</v>
      </c>
      <c r="L30" s="2">
        <f t="shared" si="2"/>
        <v>0</v>
      </c>
    </row>
    <row r="31" spans="1:12">
      <c r="A31" s="8">
        <f t="shared" si="3"/>
        <v>-8</v>
      </c>
      <c r="C31" s="2">
        <f t="shared" si="2"/>
        <v>0</v>
      </c>
      <c r="D31" s="2">
        <f t="shared" si="2"/>
        <v>0</v>
      </c>
      <c r="E31" s="2">
        <f t="shared" si="2"/>
        <v>0</v>
      </c>
      <c r="F31" s="2">
        <f t="shared" si="2"/>
        <v>0</v>
      </c>
      <c r="G31" s="2">
        <f t="shared" si="2"/>
        <v>0</v>
      </c>
      <c r="H31" s="2">
        <f t="shared" si="2"/>
        <v>0</v>
      </c>
      <c r="I31" s="2">
        <f t="shared" si="2"/>
        <v>0</v>
      </c>
      <c r="J31" s="2">
        <f t="shared" si="2"/>
        <v>0</v>
      </c>
      <c r="K31" s="2">
        <f t="shared" si="2"/>
        <v>0</v>
      </c>
      <c r="L31" s="2">
        <f t="shared" si="2"/>
        <v>0</v>
      </c>
    </row>
    <row r="32" spans="1:12">
      <c r="A32" s="8">
        <f t="shared" si="3"/>
        <v>-9</v>
      </c>
      <c r="C32" s="2">
        <f t="shared" si="2"/>
        <v>0</v>
      </c>
      <c r="D32" s="2">
        <f t="shared" si="2"/>
        <v>0</v>
      </c>
      <c r="E32" s="2">
        <f t="shared" si="2"/>
        <v>0</v>
      </c>
      <c r="F32" s="2">
        <f t="shared" si="2"/>
        <v>0</v>
      </c>
      <c r="G32" s="2">
        <f t="shared" si="2"/>
        <v>0</v>
      </c>
      <c r="H32" s="2">
        <f t="shared" si="2"/>
        <v>0</v>
      </c>
      <c r="I32" s="2">
        <f t="shared" si="2"/>
        <v>0</v>
      </c>
      <c r="J32" s="2">
        <f t="shared" si="2"/>
        <v>0</v>
      </c>
      <c r="K32" s="2">
        <f t="shared" si="2"/>
        <v>0</v>
      </c>
      <c r="L32" s="2">
        <f t="shared" si="2"/>
        <v>0</v>
      </c>
    </row>
    <row r="33" spans="1:12">
      <c r="A33" s="902">
        <f t="shared" si="3"/>
        <v>-10</v>
      </c>
      <c r="B33" s="900"/>
      <c r="C33" s="897">
        <f t="shared" si="2"/>
        <v>0</v>
      </c>
      <c r="D33" s="897">
        <f t="shared" si="2"/>
        <v>0</v>
      </c>
      <c r="E33" s="897">
        <f t="shared" si="2"/>
        <v>0</v>
      </c>
      <c r="F33" s="897">
        <f t="shared" si="2"/>
        <v>0</v>
      </c>
      <c r="G33" s="897">
        <f t="shared" si="2"/>
        <v>0</v>
      </c>
      <c r="H33" s="897">
        <f t="shared" si="2"/>
        <v>0</v>
      </c>
      <c r="I33" s="897">
        <f t="shared" si="2"/>
        <v>0</v>
      </c>
      <c r="J33" s="897">
        <f t="shared" si="2"/>
        <v>0</v>
      </c>
      <c r="K33" s="897">
        <f t="shared" si="2"/>
        <v>0</v>
      </c>
      <c r="L33" s="897">
        <f t="shared" si="2"/>
        <v>0</v>
      </c>
    </row>
    <row r="34" spans="1:12">
      <c r="A34" s="372" t="s">
        <v>511</v>
      </c>
      <c r="C34" s="2">
        <f>SUM(C23:C33)</f>
        <v>0</v>
      </c>
      <c r="D34" s="2">
        <f t="shared" ref="D34:L34" si="4">SUM(D23:D33)</f>
        <v>0</v>
      </c>
      <c r="E34" s="2">
        <f t="shared" si="4"/>
        <v>0</v>
      </c>
      <c r="F34" s="2">
        <f t="shared" si="4"/>
        <v>0</v>
      </c>
      <c r="G34" s="2">
        <f t="shared" si="4"/>
        <v>0</v>
      </c>
      <c r="H34" s="2">
        <f t="shared" si="4"/>
        <v>0</v>
      </c>
      <c r="I34" s="2">
        <f t="shared" si="4"/>
        <v>0</v>
      </c>
      <c r="J34" s="2">
        <f t="shared" si="4"/>
        <v>0</v>
      </c>
      <c r="K34" s="2">
        <f t="shared" si="4"/>
        <v>0</v>
      </c>
      <c r="L34" s="2">
        <f t="shared" si="4"/>
        <v>0</v>
      </c>
    </row>
    <row r="35" spans="1:12">
      <c r="C35" s="2"/>
      <c r="D35" s="2"/>
      <c r="E35" s="2"/>
      <c r="F35" s="2"/>
      <c r="G35" s="327"/>
      <c r="H35" s="327"/>
      <c r="I35" s="327"/>
      <c r="J35" s="327"/>
      <c r="K35" s="327"/>
      <c r="L35" s="327"/>
    </row>
    <row r="36" spans="1:12">
      <c r="A36" s="898" t="s">
        <v>512</v>
      </c>
      <c r="B36" s="898"/>
      <c r="C36" s="503"/>
      <c r="D36" s="503"/>
      <c r="E36" s="503"/>
      <c r="F36" s="503"/>
      <c r="G36" s="503"/>
      <c r="H36" s="503"/>
      <c r="I36" s="503"/>
      <c r="J36" s="503"/>
      <c r="K36" s="503"/>
      <c r="L36" s="503"/>
    </row>
    <row r="37" spans="1:12">
      <c r="A37" s="8">
        <f>A24</f>
        <v>-1</v>
      </c>
      <c r="C37" s="2">
        <f>IFERROR(IF($A37&lt;0,1/$B$4*C11,0),0)</f>
        <v>0</v>
      </c>
      <c r="D37" s="2">
        <f t="shared" ref="D37:L46" si="5">IFERROR(IF($A37&lt;0,1/$B$4*D11,0),0)</f>
        <v>0</v>
      </c>
      <c r="E37" s="2">
        <f t="shared" si="5"/>
        <v>0</v>
      </c>
      <c r="F37" s="2">
        <f t="shared" si="5"/>
        <v>0</v>
      </c>
      <c r="G37" s="2">
        <f t="shared" si="5"/>
        <v>0</v>
      </c>
      <c r="H37" s="2">
        <f t="shared" si="5"/>
        <v>0</v>
      </c>
      <c r="I37" s="2">
        <f t="shared" si="5"/>
        <v>0</v>
      </c>
      <c r="J37" s="2">
        <f t="shared" si="5"/>
        <v>0</v>
      </c>
      <c r="K37" s="2">
        <f t="shared" si="5"/>
        <v>0</v>
      </c>
      <c r="L37" s="2">
        <f t="shared" si="5"/>
        <v>0</v>
      </c>
    </row>
    <row r="38" spans="1:12">
      <c r="A38" s="8">
        <f t="shared" ref="A38:A46" si="6">A25</f>
        <v>-2</v>
      </c>
      <c r="C38" s="2">
        <f t="shared" ref="C38:J46" si="7">IFERROR(IF($A38&lt;0,1/$B$4*C12,0),0)</f>
        <v>0</v>
      </c>
      <c r="D38" s="2">
        <f t="shared" si="7"/>
        <v>0</v>
      </c>
      <c r="E38" s="2">
        <f t="shared" si="7"/>
        <v>0</v>
      </c>
      <c r="F38" s="2">
        <f>IFERROR(IF($A38&lt;0,1/$B$4*F12,0),0)</f>
        <v>0</v>
      </c>
      <c r="G38" s="2">
        <f t="shared" si="7"/>
        <v>0</v>
      </c>
      <c r="H38" s="2">
        <f t="shared" si="7"/>
        <v>0</v>
      </c>
      <c r="I38" s="2">
        <f t="shared" si="7"/>
        <v>0</v>
      </c>
      <c r="J38" s="2">
        <f t="shared" si="7"/>
        <v>0</v>
      </c>
      <c r="K38" s="2">
        <f t="shared" si="5"/>
        <v>0</v>
      </c>
      <c r="L38" s="2">
        <f t="shared" si="5"/>
        <v>0</v>
      </c>
    </row>
    <row r="39" spans="1:12">
      <c r="A39" s="8">
        <f t="shared" si="6"/>
        <v>-3</v>
      </c>
      <c r="C39" s="2">
        <f t="shared" si="7"/>
        <v>0</v>
      </c>
      <c r="D39" s="2">
        <f t="shared" si="7"/>
        <v>0</v>
      </c>
      <c r="E39" s="2">
        <f t="shared" si="7"/>
        <v>0</v>
      </c>
      <c r="F39" s="2">
        <f t="shared" si="7"/>
        <v>0</v>
      </c>
      <c r="G39" s="2">
        <f t="shared" si="7"/>
        <v>0</v>
      </c>
      <c r="H39" s="2">
        <f t="shared" si="7"/>
        <v>0</v>
      </c>
      <c r="I39" s="2">
        <f t="shared" si="7"/>
        <v>0</v>
      </c>
      <c r="J39" s="2">
        <f t="shared" si="7"/>
        <v>0</v>
      </c>
      <c r="K39" s="2">
        <f t="shared" si="5"/>
        <v>0</v>
      </c>
      <c r="L39" s="2">
        <f t="shared" si="5"/>
        <v>0</v>
      </c>
    </row>
    <row r="40" spans="1:12">
      <c r="A40" s="8">
        <f t="shared" si="6"/>
        <v>-4</v>
      </c>
      <c r="C40" s="2">
        <f t="shared" si="7"/>
        <v>0</v>
      </c>
      <c r="D40" s="2">
        <f t="shared" si="7"/>
        <v>0</v>
      </c>
      <c r="E40" s="2">
        <f t="shared" si="7"/>
        <v>0</v>
      </c>
      <c r="F40" s="2">
        <f t="shared" si="7"/>
        <v>0</v>
      </c>
      <c r="G40" s="2">
        <f t="shared" si="7"/>
        <v>0</v>
      </c>
      <c r="H40" s="2">
        <f t="shared" si="7"/>
        <v>0</v>
      </c>
      <c r="I40" s="2">
        <f t="shared" si="7"/>
        <v>0</v>
      </c>
      <c r="J40" s="2">
        <f t="shared" si="7"/>
        <v>0</v>
      </c>
      <c r="K40" s="2">
        <f t="shared" si="5"/>
        <v>0</v>
      </c>
      <c r="L40" s="2">
        <f t="shared" si="5"/>
        <v>0</v>
      </c>
    </row>
    <row r="41" spans="1:12">
      <c r="A41" s="8">
        <f t="shared" si="6"/>
        <v>-5</v>
      </c>
      <c r="C41" s="2">
        <f t="shared" si="7"/>
        <v>0</v>
      </c>
      <c r="D41" s="2">
        <f t="shared" si="7"/>
        <v>0</v>
      </c>
      <c r="E41" s="2">
        <f t="shared" si="7"/>
        <v>0</v>
      </c>
      <c r="F41" s="2">
        <f t="shared" si="7"/>
        <v>0</v>
      </c>
      <c r="G41" s="2">
        <f t="shared" si="7"/>
        <v>0</v>
      </c>
      <c r="H41" s="2">
        <f t="shared" si="7"/>
        <v>0</v>
      </c>
      <c r="I41" s="2">
        <f t="shared" si="7"/>
        <v>0</v>
      </c>
      <c r="J41" s="2">
        <f t="shared" si="7"/>
        <v>0</v>
      </c>
      <c r="K41" s="2">
        <f t="shared" si="5"/>
        <v>0</v>
      </c>
      <c r="L41" s="2">
        <f t="shared" si="5"/>
        <v>0</v>
      </c>
    </row>
    <row r="42" spans="1:12">
      <c r="A42" s="8">
        <f t="shared" si="6"/>
        <v>-6</v>
      </c>
      <c r="C42" s="2">
        <f t="shared" si="7"/>
        <v>0</v>
      </c>
      <c r="D42" s="2">
        <f t="shared" si="7"/>
        <v>0</v>
      </c>
      <c r="E42" s="2">
        <f t="shared" si="7"/>
        <v>0</v>
      </c>
      <c r="F42" s="2">
        <f t="shared" si="7"/>
        <v>0</v>
      </c>
      <c r="G42" s="2">
        <f t="shared" si="7"/>
        <v>0</v>
      </c>
      <c r="H42" s="2">
        <f t="shared" si="7"/>
        <v>0</v>
      </c>
      <c r="I42" s="2">
        <f t="shared" si="7"/>
        <v>0</v>
      </c>
      <c r="J42" s="2">
        <f t="shared" si="7"/>
        <v>0</v>
      </c>
      <c r="K42" s="2">
        <f t="shared" si="5"/>
        <v>0</v>
      </c>
      <c r="L42" s="2">
        <f t="shared" si="5"/>
        <v>0</v>
      </c>
    </row>
    <row r="43" spans="1:12">
      <c r="A43" s="8">
        <f t="shared" si="6"/>
        <v>-7</v>
      </c>
      <c r="C43" s="2">
        <f t="shared" si="7"/>
        <v>0</v>
      </c>
      <c r="D43" s="2">
        <f t="shared" si="7"/>
        <v>0</v>
      </c>
      <c r="E43" s="2">
        <f t="shared" si="7"/>
        <v>0</v>
      </c>
      <c r="F43" s="2">
        <f t="shared" si="7"/>
        <v>0</v>
      </c>
      <c r="G43" s="2">
        <f t="shared" si="7"/>
        <v>0</v>
      </c>
      <c r="H43" s="2">
        <f t="shared" si="7"/>
        <v>0</v>
      </c>
      <c r="I43" s="2">
        <f t="shared" si="7"/>
        <v>0</v>
      </c>
      <c r="J43" s="2">
        <f t="shared" si="7"/>
        <v>0</v>
      </c>
      <c r="K43" s="2">
        <f t="shared" si="5"/>
        <v>0</v>
      </c>
      <c r="L43" s="2">
        <f t="shared" si="5"/>
        <v>0</v>
      </c>
    </row>
    <row r="44" spans="1:12">
      <c r="A44" s="8">
        <f t="shared" si="6"/>
        <v>-8</v>
      </c>
      <c r="C44" s="2">
        <f t="shared" si="7"/>
        <v>0</v>
      </c>
      <c r="D44" s="2">
        <f t="shared" si="7"/>
        <v>0</v>
      </c>
      <c r="E44" s="2">
        <f t="shared" si="7"/>
        <v>0</v>
      </c>
      <c r="F44" s="2">
        <f t="shared" si="7"/>
        <v>0</v>
      </c>
      <c r="G44" s="2">
        <f t="shared" si="7"/>
        <v>0</v>
      </c>
      <c r="H44" s="2">
        <f t="shared" si="7"/>
        <v>0</v>
      </c>
      <c r="I44" s="2">
        <f t="shared" si="7"/>
        <v>0</v>
      </c>
      <c r="J44" s="2">
        <f t="shared" si="7"/>
        <v>0</v>
      </c>
      <c r="K44" s="2">
        <f t="shared" si="5"/>
        <v>0</v>
      </c>
      <c r="L44" s="2">
        <f t="shared" si="5"/>
        <v>0</v>
      </c>
    </row>
    <row r="45" spans="1:12">
      <c r="A45" s="8">
        <f t="shared" si="6"/>
        <v>-9</v>
      </c>
      <c r="C45" s="2">
        <f t="shared" si="7"/>
        <v>0</v>
      </c>
      <c r="D45" s="2">
        <f t="shared" si="7"/>
        <v>0</v>
      </c>
      <c r="E45" s="2">
        <f t="shared" si="7"/>
        <v>0</v>
      </c>
      <c r="F45" s="2">
        <f t="shared" si="7"/>
        <v>0</v>
      </c>
      <c r="G45" s="2">
        <f t="shared" si="7"/>
        <v>0</v>
      </c>
      <c r="H45" s="2">
        <f t="shared" si="7"/>
        <v>0</v>
      </c>
      <c r="I45" s="2">
        <f t="shared" si="7"/>
        <v>0</v>
      </c>
      <c r="J45" s="2">
        <f t="shared" si="7"/>
        <v>0</v>
      </c>
      <c r="K45" s="2">
        <f t="shared" si="5"/>
        <v>0</v>
      </c>
      <c r="L45" s="2">
        <f t="shared" si="5"/>
        <v>0</v>
      </c>
    </row>
    <row r="46" spans="1:12">
      <c r="A46" s="902">
        <f t="shared" si="6"/>
        <v>-10</v>
      </c>
      <c r="B46" s="900"/>
      <c r="C46" s="897">
        <f t="shared" si="7"/>
        <v>0</v>
      </c>
      <c r="D46" s="897">
        <f t="shared" si="7"/>
        <v>0</v>
      </c>
      <c r="E46" s="897">
        <f t="shared" si="7"/>
        <v>0</v>
      </c>
      <c r="F46" s="897">
        <f t="shared" si="7"/>
        <v>0</v>
      </c>
      <c r="G46" s="897">
        <f t="shared" si="7"/>
        <v>0</v>
      </c>
      <c r="H46" s="897">
        <f t="shared" si="7"/>
        <v>0</v>
      </c>
      <c r="I46" s="897">
        <f t="shared" si="7"/>
        <v>0</v>
      </c>
      <c r="J46" s="897">
        <f t="shared" si="7"/>
        <v>0</v>
      </c>
      <c r="K46" s="897">
        <f t="shared" si="5"/>
        <v>0</v>
      </c>
      <c r="L46" s="897">
        <f t="shared" si="5"/>
        <v>0</v>
      </c>
    </row>
    <row r="47" spans="1:12">
      <c r="A47" s="903" t="s">
        <v>513</v>
      </c>
      <c r="B47" s="903"/>
      <c r="C47" s="904">
        <f t="shared" ref="C47:J47" si="8">SUM(C36:C46)</f>
        <v>0</v>
      </c>
      <c r="D47" s="904">
        <f t="shared" si="8"/>
        <v>0</v>
      </c>
      <c r="E47" s="904">
        <f t="shared" si="8"/>
        <v>0</v>
      </c>
      <c r="F47" s="904">
        <f t="shared" si="8"/>
        <v>0</v>
      </c>
      <c r="G47" s="904">
        <f t="shared" si="8"/>
        <v>0</v>
      </c>
      <c r="H47" s="904">
        <f t="shared" si="8"/>
        <v>0</v>
      </c>
      <c r="I47" s="904">
        <f t="shared" si="8"/>
        <v>0</v>
      </c>
      <c r="J47" s="904">
        <f t="shared" si="8"/>
        <v>0</v>
      </c>
      <c r="K47" s="904">
        <f t="shared" ref="K47:L47" si="9">SUM(K36:K46)</f>
        <v>0</v>
      </c>
      <c r="L47" s="904">
        <f t="shared" si="9"/>
        <v>0</v>
      </c>
    </row>
    <row r="48" spans="1:12">
      <c r="A48" s="903" t="s">
        <v>514</v>
      </c>
      <c r="B48" s="903"/>
      <c r="C48" s="904">
        <f>C23-C47</f>
        <v>0</v>
      </c>
      <c r="D48" s="904">
        <f t="shared" ref="D48:L48" si="10">D23-D47</f>
        <v>0</v>
      </c>
      <c r="E48" s="904">
        <f t="shared" si="10"/>
        <v>0</v>
      </c>
      <c r="F48" s="904">
        <f t="shared" si="10"/>
        <v>0</v>
      </c>
      <c r="G48" s="904">
        <f t="shared" si="10"/>
        <v>0</v>
      </c>
      <c r="H48" s="904">
        <f t="shared" si="10"/>
        <v>0</v>
      </c>
      <c r="I48" s="904">
        <f t="shared" si="10"/>
        <v>0</v>
      </c>
      <c r="J48" s="904">
        <f t="shared" si="10"/>
        <v>0</v>
      </c>
      <c r="K48" s="904">
        <f t="shared" si="10"/>
        <v>0</v>
      </c>
      <c r="L48" s="904">
        <f t="shared" si="10"/>
        <v>0</v>
      </c>
    </row>
    <row r="49" spans="3:12">
      <c r="C49" s="9"/>
      <c r="D49" s="9"/>
      <c r="E49" s="9"/>
      <c r="F49" s="9"/>
      <c r="G49" s="9"/>
      <c r="H49" s="9"/>
      <c r="I49" s="9"/>
      <c r="J49" s="9"/>
      <c r="K49" s="9"/>
      <c r="L49" s="9"/>
    </row>
  </sheetData>
  <pageMargins left="0.7" right="0.7" top="0.78740157499999996" bottom="0.78740157499999996" header="0.3" footer="0.3"/>
  <pageSetup paperSize="9"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4C661-868C-437A-B868-8491C05A39A7}">
  <sheetPr>
    <tabColor theme="9" tint="0.79998168889431442"/>
  </sheetPr>
  <dimension ref="A1:M49"/>
  <sheetViews>
    <sheetView workbookViewId="0">
      <selection activeCell="B6" sqref="B6"/>
    </sheetView>
  </sheetViews>
  <sheetFormatPr defaultColWidth="11.28515625" defaultRowHeight="15"/>
  <cols>
    <col min="1" max="1" width="27.7109375" style="7" bestFit="1" customWidth="1"/>
    <col min="2" max="6" width="11.7109375" style="7" customWidth="1"/>
    <col min="7" max="12" width="11.7109375" style="3" customWidth="1"/>
    <col min="13" max="16384" width="11.28515625" style="3"/>
  </cols>
  <sheetData>
    <row r="1" spans="1:13" s="340" customFormat="1" ht="26.1" customHeight="1">
      <c r="A1" s="371" t="s">
        <v>506</v>
      </c>
      <c r="B1" s="340">
        <f>'DAL-US IS-adj'!B1</f>
        <v>0</v>
      </c>
    </row>
    <row r="2" spans="1:13">
      <c r="A2" s="2" t="str">
        <f>'DAL-US IS-adj'!A2</f>
        <v>Ticker</v>
      </c>
      <c r="B2" s="2" t="str">
        <f>'Industry Ratios'!H3</f>
        <v>ALK-US</v>
      </c>
      <c r="C2" s="2"/>
      <c r="D2" s="2"/>
      <c r="E2" s="2"/>
      <c r="F2" s="2"/>
      <c r="G2" s="327"/>
      <c r="H2" s="327"/>
      <c r="I2" s="327"/>
      <c r="J2" s="327"/>
      <c r="K2" s="327"/>
      <c r="L2" s="327"/>
      <c r="M2" s="327"/>
    </row>
    <row r="3" spans="1:13">
      <c r="A3" s="4" t="s">
        <v>507</v>
      </c>
      <c r="B3" s="1055" t="s">
        <v>355</v>
      </c>
      <c r="C3" s="5"/>
      <c r="D3" s="5"/>
      <c r="E3" s="5"/>
      <c r="F3" s="5"/>
      <c r="G3" s="6"/>
    </row>
    <row r="4" spans="1:13">
      <c r="A4" s="5" t="s">
        <v>508</v>
      </c>
      <c r="B4" s="918">
        <v>10</v>
      </c>
      <c r="C4" s="5"/>
      <c r="D4" s="5"/>
      <c r="E4" s="5"/>
    </row>
    <row r="5" spans="1:13">
      <c r="A5" s="5" t="s">
        <v>465</v>
      </c>
      <c r="B5" s="1110">
        <v>0.27</v>
      </c>
      <c r="C5" s="5"/>
      <c r="D5" s="1111"/>
      <c r="E5" s="5"/>
    </row>
    <row r="8" spans="1:13">
      <c r="A8" s="380" t="s">
        <v>509</v>
      </c>
      <c r="B8" s="380"/>
      <c r="C8" s="896" t="str">
        <f>'DAL-US IS-adj'!C5</f>
        <v>12/2020</v>
      </c>
      <c r="D8" s="896" t="str">
        <f>'DAL-US IS-adj'!D5</f>
        <v>12/2019</v>
      </c>
      <c r="E8" s="896" t="str">
        <f>'DAL-US IS-adj'!E5</f>
        <v>12/2018</v>
      </c>
      <c r="F8" s="896" t="str">
        <f>'DAL-US IS-adj'!F5</f>
        <v>12/2017</v>
      </c>
      <c r="G8" s="896" t="str">
        <f>'DAL-US IS-adj'!G5</f>
        <v>12/2016</v>
      </c>
      <c r="H8" s="896" t="str">
        <f>'DAL-US IS-adj'!H5</f>
        <v>12/2015</v>
      </c>
      <c r="I8" s="896" t="str">
        <f>'DAL-US IS-adj'!I5</f>
        <v>12/2014</v>
      </c>
      <c r="J8" s="896" t="str">
        <f>'DAL-US IS-adj'!J5</f>
        <v>12/2013</v>
      </c>
      <c r="K8" s="896" t="str">
        <f>'DAL-US IS-adj'!K5</f>
        <v>12/2012</v>
      </c>
      <c r="L8" s="896" t="str">
        <f>'DAL-US IS-adj'!L5</f>
        <v>12/2011</v>
      </c>
    </row>
    <row r="9" spans="1:13">
      <c r="A9" s="897"/>
      <c r="B9" s="898"/>
      <c r="C9" s="899" t="str">
        <f>'DAL-US IS-adj'!C6</f>
        <v>366 DAYS</v>
      </c>
      <c r="D9" s="899" t="str">
        <f>'DAL-US IS-adj'!D6</f>
        <v>365 DAYS</v>
      </c>
      <c r="E9" s="899" t="str">
        <f>'DAL-US IS-adj'!E6</f>
        <v>365 DAYS</v>
      </c>
      <c r="F9" s="899" t="str">
        <f>'DAL-US IS-adj'!F6</f>
        <v>365 DAYS</v>
      </c>
      <c r="G9" s="899" t="str">
        <f>'DAL-US IS-adj'!G6</f>
        <v>366 DAYS</v>
      </c>
      <c r="H9" s="899" t="str">
        <f>'DAL-US IS-adj'!H6</f>
        <v>365 DAYS</v>
      </c>
      <c r="I9" s="899" t="str">
        <f>'DAL-US IS-adj'!I6</f>
        <v>365 DAYS</v>
      </c>
      <c r="J9" s="899" t="str">
        <f>'DAL-US IS-adj'!J6</f>
        <v>365 DAYS</v>
      </c>
      <c r="K9" s="899" t="str">
        <f>'DAL-US IS-adj'!K6</f>
        <v>366 DAYS</v>
      </c>
      <c r="L9" s="899" t="str">
        <f>'DAL-US IS-adj'!L6</f>
        <v>365 DAYS</v>
      </c>
    </row>
    <row r="10" spans="1:13">
      <c r="A10" s="8">
        <v>0</v>
      </c>
      <c r="B10" s="2">
        <v>1</v>
      </c>
      <c r="C10" s="2" cm="1">
        <f t="array" ref="C10">IFERROR(IF($B$4&gt;=1,-_xll.FDS($B$2,"FF_ARPT_SERIES('RESEARCH AND DEVELOPMENT',ANN,0,,B,""IS"")"),0),)</f>
        <v>0</v>
      </c>
      <c r="D10" s="2" cm="1">
        <f t="array" ref="D10">IFERROR(IF($B$4&gt;=1,-_xll.FDS($B$2,"FF_ARPT_SERIES('RESEARCH AND DEVELOPMENT',ANN,-1,,B,""IS"")"),0),)</f>
        <v>0</v>
      </c>
      <c r="E10" s="2" cm="1">
        <f t="array" ref="E10">IFERROR(IF($B$4&gt;=1,-_xll.FDS($B$2,"FF_ARPT_SERIES('RESEARCH AND DEVELOPMENT',ANN,-2,,B,""IS"")"),0),)</f>
        <v>0</v>
      </c>
      <c r="F10" s="2" cm="1">
        <f t="array" ref="F10">IFERROR(IF($B$4&gt;=1,-_xll.FDS($B$2,"FF_ARPT_SERIES('RESEARCH AND DEVELOPMENT',ANN,-3,,B,""IS"")"),0),)</f>
        <v>0</v>
      </c>
      <c r="G10" s="2" cm="1">
        <f t="array" ref="G10">IFERROR(IF($B$4&gt;=1,-_xll.FDS($B$2,"FF_ARPT_SERIES('RESEARCH AND DEVELOPMENT',ANN,-4,,B,""IS"")"),0),)</f>
        <v>0</v>
      </c>
      <c r="H10" s="2" cm="1">
        <f t="array" ref="H10">IFERROR(IF($B$4&gt;=1,-_xll.FDS($B$2,"FF_ARPT_SERIES('RESEARCH AND DEVELOPMENT',ANN,-5,,B,""IS"")"),0),)</f>
        <v>0</v>
      </c>
      <c r="I10" s="2" cm="1">
        <f t="array" ref="I10">IFERROR(IF($B$4&gt;=1,-_xll.FDS($B$2,"FF_ARPT_SERIES('RESEARCH AND DEVELOPMENT',ANN,-6,,B,""IS"")"),0),)</f>
        <v>0</v>
      </c>
      <c r="J10" s="2" cm="1">
        <f t="array" ref="J10">IFERROR(IF($B$4&gt;=1,-_xll.FDS($B$2,"FF_ARPT_SERIES('RESEARCH AND DEVELOPMENT',ANN,-7,,B,""IS"")"),0),)</f>
        <v>0</v>
      </c>
      <c r="K10" s="2" cm="1">
        <f t="array" ref="K10">IFERROR(IF($B$4&gt;=1,-_xll.FDS($B$2,"FF_ARPT_SERIES('RESEARCH AND DEVELOPMENT',ANN,-8,,B,""IS"")"),0),)</f>
        <v>0</v>
      </c>
      <c r="L10" s="2" cm="1">
        <f t="array" ref="L10">IFERROR(IF($B$4&gt;=1,-_xll.FDS($B$2,"FF_ARPT_SERIES('RESEARCH AND DEVELOPMENT',ANN,-9,,B,""IS"")"),0),)</f>
        <v>0</v>
      </c>
    </row>
    <row r="11" spans="1:13">
      <c r="A11" s="8">
        <v>-1</v>
      </c>
      <c r="B11" s="2">
        <f>IF(A11&lt;0,($B$4+A11)/$B$4,0)</f>
        <v>0.9</v>
      </c>
      <c r="C11" s="2" cm="1">
        <f t="array" ref="C11">IFERROR(IF($B$4&gt;=1,-_xll.FDS($B$2,"FF_ARPT_SERIES('RESEARCH AND DEVELOPMENT',ANN,-1,,B,""IS"")"),0),)</f>
        <v>0</v>
      </c>
      <c r="D11" s="2" cm="1">
        <f t="array" ref="D11">IFERROR(IF($B$4&gt;=1,-_xll.FDS($B$2,"FF_ARPT_SERIES('RESEARCH AND DEVELOPMENT',ANN,-2,,B,""IS"")"),0),)</f>
        <v>0</v>
      </c>
      <c r="E11" s="2" cm="1">
        <f t="array" ref="E11">IFERROR(IF($B$4&gt;=1,-_xll.FDS($B$2,"FF_ARPT_SERIES('RESEARCH AND DEVELOPMENT',ANN,-3,,B,""IS"")"),0),)</f>
        <v>0</v>
      </c>
      <c r="F11" s="2" cm="1">
        <f t="array" ref="F11">IFERROR(IF($B$4&gt;=1,-_xll.FDS($B$2,"FF_ARPT_SERIES('RESEARCH AND DEVELOPMENT',ANN,-4,,B,""IS"")"),0),)</f>
        <v>0</v>
      </c>
      <c r="G11" s="2" cm="1">
        <f t="array" ref="G11">IFERROR(IF($B$4&gt;=1,-_xll.FDS($B$2,"FF_ARPT_SERIES('RESEARCH AND DEVELOPMENT',ANN,-5,,B,""IS"")"),0),)</f>
        <v>0</v>
      </c>
      <c r="H11" s="2" cm="1">
        <f t="array" ref="H11">IFERROR(IF($B$4&gt;=1,-_xll.FDS($B$2,"FF_ARPT_SERIES('RESEARCH AND DEVELOPMENT',ANN,-6,,B,""IS"")"),0),)</f>
        <v>0</v>
      </c>
      <c r="I11" s="2" cm="1">
        <f t="array" ref="I11">IFERROR(IF($B$4&gt;=1,-_xll.FDS($B$2,"FF_ARPT_SERIES('RESEARCH AND DEVELOPMENT',ANN,-7,,B,""IS"")"),0),)</f>
        <v>0</v>
      </c>
      <c r="J11" s="2" cm="1">
        <f t="array" ref="J11">IFERROR(IF($B$4&gt;=1,-_xll.FDS($B$2,"FF_ARPT_SERIES('RESEARCH AND DEVELOPMENT',ANN,-8,,B,""IS"")"),0),)</f>
        <v>0</v>
      </c>
      <c r="K11" s="2" cm="1">
        <f t="array" ref="K11">IFERROR(IF($B$4&gt;=1,-_xll.FDS($B$2,"FF_ARPT_SERIES('RESEARCH AND DEVELOPMENT',ANN,-9,,B,""IS"")"),0),)</f>
        <v>0</v>
      </c>
      <c r="L11" s="2" cm="1">
        <f t="array" ref="L11">IFERROR(IF($B$4&gt;=1,-_xll.FDS($B$2,"FF_ARPT_SERIES('RESEARCH AND DEVELOPMENT',ANN,-10,,B,""IS"")"),0),)</f>
        <v>0</v>
      </c>
    </row>
    <row r="12" spans="1:13">
      <c r="A12" s="8">
        <f>IF((0-A11)&lt;$B$4,IF(A11&gt;-1,,A11-1),)</f>
        <v>-2</v>
      </c>
      <c r="B12" s="2">
        <f t="shared" ref="B12:B20" si="0">IF(A12&lt;0,($B$4+A12)/$B$4,0)</f>
        <v>0.8</v>
      </c>
      <c r="C12" s="2" cm="1">
        <f t="array" ref="C12">IFERROR(IF($B$4&gt;=2,-_xll.FDS($B$2,"FF_ARPT_SERIES('RESEARCH AND DEVELOPMENT',ANN,-2,,B,""IS"")"),0),)</f>
        <v>0</v>
      </c>
      <c r="D12" s="2" cm="1">
        <f t="array" ref="D12">IFERROR(IF($B$4&gt;=2,-_xll.FDS($B$2,"FF_ARPT_SERIES('RESEARCH AND DEVELOPMENT',ANN,-3,,B,""IS"")"),0),)</f>
        <v>0</v>
      </c>
      <c r="E12" s="2" cm="1">
        <f t="array" ref="E12">IFERROR(IF($B$4&gt;=2,-_xll.FDS($B$2,"FF_ARPT_SERIES('RESEARCH AND DEVELOPMENT',ANN,-4,,B,""IS"")"),0),)</f>
        <v>0</v>
      </c>
      <c r="F12" s="2" cm="1">
        <f t="array" ref="F12">IFERROR(IF($B$4&gt;=2,-_xll.FDS($B$2,"FF_ARPT_SERIES('RESEARCH AND DEVELOPMENT',ANN,-5,,B,""IS"")"),0),)</f>
        <v>0</v>
      </c>
      <c r="G12" s="2" cm="1">
        <f t="array" ref="G12">IFERROR(IF($B$4&gt;=2,-_xll.FDS($B$2,"FF_ARPT_SERIES('RESEARCH AND DEVELOPMENT',ANN,-6,,B,""IS"")"),0),)</f>
        <v>0</v>
      </c>
      <c r="H12" s="2" cm="1">
        <f t="array" ref="H12">IFERROR(IF($B$4&gt;=2,-_xll.FDS($B$2,"FF_ARPT_SERIES('RESEARCH AND DEVELOPMENT',ANN,-7,,B,""IS"")"),0),)</f>
        <v>0</v>
      </c>
      <c r="I12" s="2" cm="1">
        <f t="array" ref="I12">IFERROR(IF($B$4&gt;=2,-_xll.FDS($B$2,"FF_ARPT_SERIES('RESEARCH AND DEVELOPMENT',ANN,-8,,B,""IS"")"),0),)</f>
        <v>0</v>
      </c>
      <c r="J12" s="2" cm="1">
        <f t="array" ref="J12">IFERROR(IF($B$4&gt;=2,-_xll.FDS($B$2,"FF_ARPT_SERIES('RESEARCH AND DEVELOPMENT',ANN,-9,,B,""IS"")"),0),)</f>
        <v>0</v>
      </c>
      <c r="K12" s="2" cm="1">
        <f t="array" ref="K12">IFERROR(IF($B$4&gt;=2,-_xll.FDS($B$2,"FF_ARPT_SERIES('RESEARCH AND DEVELOPMENT',ANN,-10,,B,""IS"")"),0),)</f>
        <v>0</v>
      </c>
      <c r="L12" s="2" cm="1">
        <f t="array" ref="L12">IFERROR(IF($B$4&gt;=2,-_xll.FDS($B$2,"FF_ARPT_SERIES('RESEARCH AND DEVELOPMENT',ANN,-11,,B,""IS"")"),0),)</f>
        <v>0</v>
      </c>
    </row>
    <row r="13" spans="1:13">
      <c r="A13" s="8">
        <f t="shared" ref="A13:A20" si="1">IF((0-A12)&lt;$B$4,IF(A12&gt;-1,,A12-1),)</f>
        <v>-3</v>
      </c>
      <c r="B13" s="2">
        <f t="shared" si="0"/>
        <v>0.7</v>
      </c>
      <c r="C13" s="2" cm="1">
        <f t="array" ref="C13">IFERROR(IF($B$4&gt;=3,-_xll.FDS($B$2,"FF_ARPT_SERIES('RESEARCH AND DEVELOPMENT',ANN,-3,,B,""IS"")"),0),)</f>
        <v>0</v>
      </c>
      <c r="D13" s="2" cm="1">
        <f t="array" ref="D13">IFERROR(IF($B$4&gt;=3,-_xll.FDS($B$2,"FF_ARPT_SERIES('RESEARCH AND DEVELOPMENT',ANN,-4,,B,""IS"")"),0),)</f>
        <v>0</v>
      </c>
      <c r="E13" s="2" cm="1">
        <f t="array" ref="E13">IFERROR(IF($B$4&gt;=3,-_xll.FDS($B$2,"FF_ARPT_SERIES('RESEARCH AND DEVELOPMENT',ANN,-5,,B,""IS"")"),0),)</f>
        <v>0</v>
      </c>
      <c r="F13" s="2" cm="1">
        <f t="array" ref="F13">IFERROR(IF($B$4&gt;=3,-_xll.FDS($B$2,"FF_ARPT_SERIES('RESEARCH AND DEVELOPMENT',ANN,-6,,B,""IS"")"),0),)</f>
        <v>0</v>
      </c>
      <c r="G13" s="2" cm="1">
        <f t="array" ref="G13">IFERROR(IF($B$4&gt;=3,-_xll.FDS($B$2,"FF_ARPT_SERIES('RESEARCH AND DEVELOPMENT',ANN,-7,,B,""IS"")"),0),)</f>
        <v>0</v>
      </c>
      <c r="H13" s="2" cm="1">
        <f t="array" ref="H13">IFERROR(IF($B$4&gt;=3,-_xll.FDS($B$2,"FF_ARPT_SERIES('RESEARCH AND DEVELOPMENT',ANN,-8,,B,""IS"")"),0),)</f>
        <v>0</v>
      </c>
      <c r="I13" s="2" cm="1">
        <f t="array" ref="I13">IFERROR(IF($B$4&gt;=3,-_xll.FDS($B$2,"FF_ARPT_SERIES('RESEARCH AND DEVELOPMENT',ANN,-9,,B,""IS"")"),0),)</f>
        <v>0</v>
      </c>
      <c r="J13" s="2" cm="1">
        <f t="array" ref="J13">IFERROR(IF($B$4&gt;=3,-_xll.FDS($B$2,"FF_ARPT_SERIES('RESEARCH AND DEVELOPMENT',ANN,-10,,B,""IS"")"),0),)</f>
        <v>0</v>
      </c>
      <c r="K13" s="2" cm="1">
        <f t="array" ref="K13">IFERROR(IF($B$4&gt;=3,-_xll.FDS($B$2,"FF_ARPT_SERIES('RESEARCH AND DEVELOPMENT',ANN,-11,,B,""IS"")"),0),)</f>
        <v>0</v>
      </c>
      <c r="L13" s="2" cm="1">
        <f t="array" ref="L13">IFERROR(IF($B$4&gt;=3,-_xll.FDS($B$2,"FF_ARPT_SERIES('RESEARCH AND DEVELOPMENT',ANN,-12,,B,""IS"")"),0),)</f>
        <v>0</v>
      </c>
    </row>
    <row r="14" spans="1:13">
      <c r="A14" s="8">
        <f t="shared" si="1"/>
        <v>-4</v>
      </c>
      <c r="B14" s="2">
        <f t="shared" si="0"/>
        <v>0.6</v>
      </c>
      <c r="C14" s="2" cm="1">
        <f t="array" ref="C14">IFERROR(IF($B$4&gt;=4,-_xll.FDS($B$2,"FF_ARPT_SERIES('RESEARCH AND DEVELOPMENT',ANN,-4,,B,""IS"")"),0),)</f>
        <v>0</v>
      </c>
      <c r="D14" s="2" cm="1">
        <f t="array" ref="D14">IFERROR(IF($B$4&gt;=4,-_xll.FDS($B$2,"FF_ARPT_SERIES('RESEARCH AND DEVELOPMENT',ANN,-5,,B,""IS"")"),0),)</f>
        <v>0</v>
      </c>
      <c r="E14" s="2" cm="1">
        <f t="array" ref="E14">IFERROR(IF($B$4&gt;=4,-_xll.FDS($B$2,"FF_ARPT_SERIES('RESEARCH AND DEVELOPMENT',ANN,-6,,B,""IS"")"),0),)</f>
        <v>0</v>
      </c>
      <c r="F14" s="2" cm="1">
        <f t="array" ref="F14">IFERROR(IF($B$4&gt;=4,-_xll.FDS($B$2,"FF_ARPT_SERIES('RESEARCH AND DEVELOPMENT',ANN,-7,,B,""IS"")"),0),)</f>
        <v>0</v>
      </c>
      <c r="G14" s="2" cm="1">
        <f t="array" ref="G14">IFERROR(IF($B$4&gt;=4,-_xll.FDS($B$2,"FF_ARPT_SERIES('RESEARCH AND DEVELOPMENT',ANN,-8,,B,""IS"")"),0),)</f>
        <v>0</v>
      </c>
      <c r="H14" s="2" cm="1">
        <f t="array" ref="H14">IFERROR(IF($B$4&gt;=4,-_xll.FDS($B$2,"FF_ARPT_SERIES('RESEARCH AND DEVELOPMENT',ANN,-9,,B,""IS"")"),0),)</f>
        <v>0</v>
      </c>
      <c r="I14" s="2" cm="1">
        <f t="array" ref="I14">IFERROR(IF($B$4&gt;=4,-_xll.FDS($B$2,"FF_ARPT_SERIES('RESEARCH AND DEVELOPMENT',ANN,-10,,B,""IS"")"),0),)</f>
        <v>0</v>
      </c>
      <c r="J14" s="2" cm="1">
        <f t="array" ref="J14">IFERROR(IF($B$4&gt;=4,-_xll.FDS($B$2,"FF_ARPT_SERIES('RESEARCH AND DEVELOPMENT',ANN,-11,,B,""IS"")"),0),)</f>
        <v>0</v>
      </c>
      <c r="K14" s="2" cm="1">
        <f t="array" ref="K14">IFERROR(IF($B$4&gt;=4,-_xll.FDS($B$2,"FF_ARPT_SERIES('RESEARCH AND DEVELOPMENT',ANN,-12,,B,""IS"")"),0),)</f>
        <v>0</v>
      </c>
      <c r="L14" s="2" cm="1">
        <f t="array" ref="L14">IFERROR(IF($B$4&gt;=4,-_xll.FDS($B$2,"FF_ARPT_SERIES('RESEARCH AND DEVELOPMENT',ANN,-13,,B,""IS"")"),0),)</f>
        <v>0</v>
      </c>
    </row>
    <row r="15" spans="1:13">
      <c r="A15" s="8">
        <f t="shared" si="1"/>
        <v>-5</v>
      </c>
      <c r="B15" s="2">
        <f t="shared" si="0"/>
        <v>0.5</v>
      </c>
      <c r="C15" s="2" cm="1">
        <f t="array" ref="C15">IFERROR(IF($B$4&gt;=5,-_xll.FDS($B$2,"FF_ARPT_SERIES('RESEARCH AND DEVELOPMENT',ANN,-5,,B,""IS"")"),0),)</f>
        <v>0</v>
      </c>
      <c r="D15" s="2" cm="1">
        <f t="array" ref="D15">IFERROR(IF($B$4&gt;=5,-_xll.FDS($B$2,"FF_ARPT_SERIES('RESEARCH AND DEVELOPMENT',ANN,-6,,B,""IS"")"),0),)</f>
        <v>0</v>
      </c>
      <c r="E15" s="2" cm="1">
        <f t="array" ref="E15">IFERROR(IF($B$4&gt;=5,-_xll.FDS($B$2,"FF_ARPT_SERIES('RESEARCH AND DEVELOPMENT',ANN,-7,,B,""IS"")"),0),)</f>
        <v>0</v>
      </c>
      <c r="F15" s="2" cm="1">
        <f t="array" ref="F15">IFERROR(IF($B$4&gt;=5,-_xll.FDS($B$2,"FF_ARPT_SERIES('RESEARCH AND DEVELOPMENT',ANN,-8,,B,""IS"")"),0),)</f>
        <v>0</v>
      </c>
      <c r="G15" s="2" cm="1">
        <f t="array" ref="G15">IFERROR(IF($B$4&gt;=5,-_xll.FDS($B$2,"FF_ARPT_SERIES('RESEARCH AND DEVELOPMENT',ANN,-9,,B,""IS"")"),0),)</f>
        <v>0</v>
      </c>
      <c r="H15" s="2" cm="1">
        <f t="array" ref="H15">IFERROR(IF($B$4&gt;=5,-_xll.FDS($B$2,"FF_ARPT_SERIES('RESEARCH AND DEVELOPMENT',ANN,-10,,B,""IS"")"),0),)</f>
        <v>0</v>
      </c>
      <c r="I15" s="2" cm="1">
        <f t="array" ref="I15">IFERROR(IF($B$4&gt;=5,-_xll.FDS($B$2,"FF_ARPT_SERIES('RESEARCH AND DEVELOPMENT',ANN,-11,,B,""IS"")"),0),)</f>
        <v>0</v>
      </c>
      <c r="J15" s="2" cm="1">
        <f t="array" ref="J15">IFERROR(IF($B$4&gt;=5,-_xll.FDS($B$2,"FF_ARPT_SERIES('RESEARCH AND DEVELOPMENT',ANN,-12,,B,""IS"")"),0),)</f>
        <v>0</v>
      </c>
      <c r="K15" s="2" cm="1">
        <f t="array" ref="K15">IFERROR(IF($B$4&gt;=5,-_xll.FDS($B$2,"FF_ARPT_SERIES('RESEARCH AND DEVELOPMENT',ANN,-13,,B,""IS"")"),0),)</f>
        <v>0</v>
      </c>
      <c r="L15" s="2" cm="1">
        <f t="array" ref="L15">IFERROR(IF($B$4&gt;=5,-_xll.FDS($B$2,"FF_ARPT_SERIES('RESEARCH AND DEVELOPMENT',ANN,-14,,B,""IS"")"),0),)</f>
        <v>0</v>
      </c>
    </row>
    <row r="16" spans="1:13">
      <c r="A16" s="8">
        <f t="shared" si="1"/>
        <v>-6</v>
      </c>
      <c r="B16" s="2">
        <f t="shared" si="0"/>
        <v>0.4</v>
      </c>
      <c r="C16" s="2" cm="1">
        <f t="array" ref="C16">IFERROR(IF($B$4&gt;=6,-_xll.FDS($B$2,"FF_ARPT_SERIES('RESEARCH AND DEVELOPMENT',ANN,-6,,B,""IS"")"),0),)</f>
        <v>0</v>
      </c>
      <c r="D16" s="2" cm="1">
        <f t="array" ref="D16">IFERROR(IF($B$4&gt;=6,-_xll.FDS($B$2,"FF_ARPT_SERIES('RESEARCH AND DEVELOPMENT',ANN,-7,,B,""IS"")"),0),)</f>
        <v>0</v>
      </c>
      <c r="E16" s="2" cm="1">
        <f t="array" ref="E16">IFERROR(IF($B$4&gt;=6,-_xll.FDS($B$2,"FF_ARPT_SERIES('RESEARCH AND DEVELOPMENT',ANN,-8,,B,""IS"")"),0),)</f>
        <v>0</v>
      </c>
      <c r="F16" s="2" cm="1">
        <f t="array" ref="F16">IFERROR(IF($B$4&gt;=6,-_xll.FDS($B$2,"FF_ARPT_SERIES('RESEARCH AND DEVELOPMENT',ANN,-9,,B,""IS"")"),0),)</f>
        <v>0</v>
      </c>
      <c r="G16" s="2" cm="1">
        <f t="array" ref="G16">IFERROR(IF($B$4&gt;=6,-_xll.FDS($B$2,"FF_ARPT_SERIES('RESEARCH AND DEVELOPMENT',ANN,-10,,B,""IS"")"),0),)</f>
        <v>0</v>
      </c>
      <c r="H16" s="2" cm="1">
        <f t="array" ref="H16">IFERROR(IF($B$4&gt;=6,-_xll.FDS($B$2,"FF_ARPT_SERIES('RESEARCH AND DEVELOPMENT',ANN,-11,,B,""IS"")"),0),)</f>
        <v>0</v>
      </c>
      <c r="I16" s="2" cm="1">
        <f t="array" ref="I16">IFERROR(IF($B$4&gt;=6,-_xll.FDS($B$2,"FF_ARPT_SERIES('RESEARCH AND DEVELOPMENT',ANN,-12,,B,""IS"")"),0),)</f>
        <v>0</v>
      </c>
      <c r="J16" s="2" cm="1">
        <f t="array" ref="J16">IFERROR(IF($B$4&gt;=6,-_xll.FDS($B$2,"FF_ARPT_SERIES('RESEARCH AND DEVELOPMENT',ANN,-13,,B,""IS"")"),0),)</f>
        <v>0</v>
      </c>
      <c r="K16" s="2" cm="1">
        <f t="array" ref="K16">IFERROR(IF($B$4&gt;=6,-_xll.FDS($B$2,"FF_ARPT_SERIES('RESEARCH AND DEVELOPMENT',ANN,-14,,B,""IS"")"),0),)</f>
        <v>0</v>
      </c>
      <c r="L16" s="2" cm="1">
        <f t="array" ref="L16">IFERROR(IF($B$4&gt;=6,-_xll.FDS($B$2,"FF_ARPT_SERIES('RESEARCH AND DEVELOPMENT',ANN,-15,,B,""IS"")"),0),)</f>
        <v>0</v>
      </c>
    </row>
    <row r="17" spans="1:12">
      <c r="A17" s="8">
        <f t="shared" si="1"/>
        <v>-7</v>
      </c>
      <c r="B17" s="2">
        <f t="shared" si="0"/>
        <v>0.3</v>
      </c>
      <c r="C17" s="2" cm="1">
        <f t="array" ref="C17">IFERROR(IF($B$4&gt;=7,-_xll.FDS($B$2,"FF_ARPT_SERIES('RESEARCH AND DEVELOPMENT',ANN,-7,,B,""IS"")"),0),)</f>
        <v>0</v>
      </c>
      <c r="D17" s="2" cm="1">
        <f t="array" ref="D17">IFERROR(IF($B$4&gt;=7,-_xll.FDS($B$2,"FF_ARPT_SERIES('RESEARCH AND DEVELOPMENT',ANN,-8,,B,""IS"")"),0),)</f>
        <v>0</v>
      </c>
      <c r="E17" s="2" cm="1">
        <f t="array" ref="E17">IFERROR(IF($B$4&gt;=7,-_xll.FDS($B$2,"FF_ARPT_SERIES('RESEARCH AND DEVELOPMENT',ANN,-9,,B,""IS"")"),0),)</f>
        <v>0</v>
      </c>
      <c r="F17" s="2" cm="1">
        <f t="array" ref="F17">IFERROR(IF($B$4&gt;=7,-_xll.FDS($B$2,"FF_ARPT_SERIES('RESEARCH AND DEVELOPMENT',ANN,-10,,B,""IS"")"),0),)</f>
        <v>0</v>
      </c>
      <c r="G17" s="2" cm="1">
        <f t="array" ref="G17">IFERROR(IF($B$4&gt;=7,-_xll.FDS($B$2,"FF_ARPT_SERIES('RESEARCH AND DEVELOPMENT',ANN,-11,,B,""IS"")"),0),)</f>
        <v>0</v>
      </c>
      <c r="H17" s="2" cm="1">
        <f t="array" ref="H17">IFERROR(IF($B$4&gt;=7,-_xll.FDS($B$2,"FF_ARPT_SERIES('RESEARCH AND DEVELOPMENT',ANN,-12,,B,""IS"")"),0),)</f>
        <v>0</v>
      </c>
      <c r="I17" s="2" cm="1">
        <f t="array" ref="I17">IFERROR(IF($B$4&gt;=7,-_xll.FDS($B$2,"FF_ARPT_SERIES('RESEARCH AND DEVELOPMENT',ANN,-13,,B,""IS"")"),0),)</f>
        <v>0</v>
      </c>
      <c r="J17" s="2" cm="1">
        <f t="array" ref="J17">IFERROR(IF($B$4&gt;=7,-_xll.FDS($B$2,"FF_ARPT_SERIES('RESEARCH AND DEVELOPMENT',ANN,-14,,B,""IS"")"),0),)</f>
        <v>0</v>
      </c>
      <c r="K17" s="2" cm="1">
        <f t="array" ref="K17">IFERROR(IF($B$4&gt;=7,-_xll.FDS($B$2,"FF_ARPT_SERIES('RESEARCH AND DEVELOPMENT',ANN,-15,,B,""IS"")"),0),)</f>
        <v>0</v>
      </c>
      <c r="L17" s="2" cm="1">
        <f t="array" ref="L17">IFERROR(IF($B$4&gt;=7,-_xll.FDS($B$2,"FF_ARPT_SERIES('RESEARCH AND DEVELOPMENT',ANN,-16,,B,""IS"")"),0),)</f>
        <v>0</v>
      </c>
    </row>
    <row r="18" spans="1:12">
      <c r="A18" s="8">
        <f t="shared" si="1"/>
        <v>-8</v>
      </c>
      <c r="B18" s="2">
        <f t="shared" si="0"/>
        <v>0.2</v>
      </c>
      <c r="C18" s="2" cm="1">
        <f t="array" ref="C18">IFERROR(IF($B$4&gt;=8,-_xll.FDS($B$2,"FF_ARPT_SERIES('RESEARCH AND DEVELOPMENT',ANN,-8,,B,""IS"")"),0),)</f>
        <v>0</v>
      </c>
      <c r="D18" s="2" cm="1">
        <f t="array" ref="D18">IFERROR(IF($B$4&gt;=8,-_xll.FDS($B$2,"FF_ARPT_SERIES('RESEARCH AND DEVELOPMENT',ANN,-9,,B,""IS"")"),0),)</f>
        <v>0</v>
      </c>
      <c r="E18" s="2" cm="1">
        <f t="array" ref="E18">IFERROR(IF($B$4&gt;=8,-_xll.FDS($B$2,"FF_ARPT_SERIES('RESEARCH AND DEVELOPMENT',ANN,-10,,B,""IS"")"),0),)</f>
        <v>0</v>
      </c>
      <c r="F18" s="2" cm="1">
        <f t="array" ref="F18">IFERROR(IF($B$4&gt;=8,-_xll.FDS($B$2,"FF_ARPT_SERIES('RESEARCH AND DEVELOPMENT',ANN,-11,,B,""IS"")"),0),)</f>
        <v>0</v>
      </c>
      <c r="G18" s="2" cm="1">
        <f t="array" ref="G18">IFERROR(IF($B$4&gt;=8,-_xll.FDS($B$2,"FF_ARPT_SERIES('RESEARCH AND DEVELOPMENT',ANN,-12,,B,""IS"")"),0),)</f>
        <v>0</v>
      </c>
      <c r="H18" s="2" cm="1">
        <f t="array" ref="H18">IFERROR(IF($B$4&gt;=8,-_xll.FDS($B$2,"FF_ARPT_SERIES('RESEARCH AND DEVELOPMENT',ANN,-13,,B,""IS"")"),0),)</f>
        <v>0</v>
      </c>
      <c r="I18" s="2" cm="1">
        <f t="array" ref="I18">IFERROR(IF($B$4&gt;=8,-_xll.FDS($B$2,"FF_ARPT_SERIES('RESEARCH AND DEVELOPMENT',ANN,-14,,B,""IS"")"),0),)</f>
        <v>0</v>
      </c>
      <c r="J18" s="2" cm="1">
        <f t="array" ref="J18">IFERROR(IF($B$4&gt;=8,-_xll.FDS($B$2,"FF_ARPT_SERIES('RESEARCH AND DEVELOPMENT',ANN,-15,,B,""IS"")"),0),)</f>
        <v>0</v>
      </c>
      <c r="K18" s="2" cm="1">
        <f t="array" ref="K18">IFERROR(IF($B$4&gt;=8,-_xll.FDS($B$2,"FF_ARPT_SERIES('RESEARCH AND DEVELOPMENT',ANN,-16,,B,""IS"")"),0),)</f>
        <v>0</v>
      </c>
      <c r="L18" s="2" cm="1">
        <f t="array" ref="L18">IFERROR(IF($B$4&gt;=8,-_xll.FDS($B$2,"FF_ARPT_SERIES('RESEARCH AND DEVELOPMENT',ANN,-17,,B,""IS"")"),0),)</f>
        <v>0</v>
      </c>
    </row>
    <row r="19" spans="1:12">
      <c r="A19" s="8">
        <f t="shared" si="1"/>
        <v>-9</v>
      </c>
      <c r="B19" s="2">
        <f t="shared" si="0"/>
        <v>0.1</v>
      </c>
      <c r="C19" s="2" cm="1">
        <f t="array" ref="C19">IFERROR(IF($B$4&gt;=9,-_xll.FDS($B$2,"FF_ARPT_SERIES('RESEARCH AND DEVELOPMENT',ANN,-9,,B,""IS"")"),0),)</f>
        <v>0</v>
      </c>
      <c r="D19" s="2" cm="1">
        <f t="array" ref="D19">IFERROR(IF($B$4&gt;=9,-_xll.FDS($B$2,"FF_ARPT_SERIES('RESEARCH AND DEVELOPMENT',ANN,-10,,B,""IS"")"),0),)</f>
        <v>0</v>
      </c>
      <c r="E19" s="2" cm="1">
        <f t="array" ref="E19">IFERROR(IF($B$4&gt;=9,-_xll.FDS($B$2,"FF_ARPT_SERIES('RESEARCH AND DEVELOPMENT',ANN,-11,,B,""IS"")"),0),)</f>
        <v>0</v>
      </c>
      <c r="F19" s="2" cm="1">
        <f t="array" ref="F19">IFERROR(IF($B$4&gt;=9,-_xll.FDS($B$2,"FF_ARPT_SERIES('RESEARCH AND DEVELOPMENT',ANN,-12,,B,""IS"")"),0),)</f>
        <v>0</v>
      </c>
      <c r="G19" s="2" cm="1">
        <f t="array" ref="G19">IFERROR(IF($B$4&gt;=9,-_xll.FDS($B$2,"FF_ARPT_SERIES('RESEARCH AND DEVELOPMENT',ANN,-13,,B,""IS"")"),0),)</f>
        <v>0</v>
      </c>
      <c r="H19" s="2" cm="1">
        <f t="array" ref="H19">IFERROR(IF($B$4&gt;=9,-_xll.FDS($B$2,"FF_ARPT_SERIES('RESEARCH AND DEVELOPMENT',ANN,-14,,B,""IS"")"),0),)</f>
        <v>0</v>
      </c>
      <c r="I19" s="2" cm="1">
        <f t="array" ref="I19">IFERROR(IF($B$4&gt;=9,-_xll.FDS($B$2,"FF_ARPT_SERIES('RESEARCH AND DEVELOPMENT',ANN,-15,,B,""IS"")"),0),)</f>
        <v>0</v>
      </c>
      <c r="J19" s="2" cm="1">
        <f t="array" ref="J19">IFERROR(IF($B$4&gt;=9,-_xll.FDS($B$2,"FF_ARPT_SERIES('RESEARCH AND DEVELOPMENT',ANN,-16,,B,""IS"")"),0),)</f>
        <v>0</v>
      </c>
      <c r="K19" s="2" cm="1">
        <f t="array" ref="K19">IFERROR(IF($B$4&gt;=9,-_xll.FDS($B$2,"FF_ARPT_SERIES('RESEARCH AND DEVELOPMENT',ANN,-17,,B,""IS"")"),0),)</f>
        <v>0</v>
      </c>
      <c r="L19" s="2" cm="1">
        <f t="array" ref="L19">IFERROR(IF($B$4&gt;=9,-_xll.FDS($B$2,"FF_ARPT_SERIES('RESEARCH AND DEVELOPMENT',ANN,-18,,B,""IS"")"),0),)</f>
        <v>0</v>
      </c>
    </row>
    <row r="20" spans="1:12">
      <c r="A20" s="8">
        <f t="shared" si="1"/>
        <v>-10</v>
      </c>
      <c r="B20" s="2">
        <f t="shared" si="0"/>
        <v>0</v>
      </c>
      <c r="C20" s="2" cm="1">
        <f t="array" ref="C20">IFERROR(IF($B$4&gt;=10,-_xll.FDS($B$2,"FF_ARPT_SERIES('RESEARCH AND DEVELOPMENT',ANN,-10,,B,""IS"")"),0),)</f>
        <v>0</v>
      </c>
      <c r="D20" s="2" cm="1">
        <f t="array" ref="D20">IFERROR(IF($B$4&gt;=10,-_xll.FDS($B$2,"FF_ARPT_SERIES('RESEARCH AND DEVELOPMENT',ANN,-11,,B,""IS"")"),0),)</f>
        <v>0</v>
      </c>
      <c r="E20" s="2" cm="1">
        <f t="array" ref="E20">IFERROR(IF($B$4&gt;=10,-_xll.FDS($B$2,"FF_ARPT_SERIES('RESEARCH AND DEVELOPMENT',ANN,-12,,B,""IS"")"),0),)</f>
        <v>0</v>
      </c>
      <c r="F20" s="2" cm="1">
        <f t="array" ref="F20">IFERROR(IF($B$4&gt;=10,-_xll.FDS($B$2,"FF_ARPT_SERIES('RESEARCH AND DEVELOPMENT',ANN,-13,,B,""IS"")"),0),)</f>
        <v>0</v>
      </c>
      <c r="G20" s="2" cm="1">
        <f t="array" ref="G20">IFERROR(IF($B$4&gt;=10,-_xll.FDS($B$2,"FF_ARPT_SERIES('RESEARCH AND DEVELOPMENT',ANN,-14,,B,""IS"")"),0),)</f>
        <v>0</v>
      </c>
      <c r="H20" s="2" cm="1">
        <f t="array" ref="H20">IFERROR(IF($B$4&gt;=10,-_xll.FDS($B$2,"FF_ARPT_SERIES('RESEARCH AND DEVELOPMENT',ANN,-15,,B,""IS"")"),0),)</f>
        <v>0</v>
      </c>
      <c r="I20" s="2" cm="1">
        <f t="array" ref="I20">IFERROR(IF($B$4&gt;=10,-_xll.FDS($B$2,"FF_ARPT_SERIES('RESEARCH AND DEVELOPMENT',ANN,-16,,B,""IS"")"),0),)</f>
        <v>0</v>
      </c>
      <c r="J20" s="2" cm="1">
        <f t="array" ref="J20">IFERROR(IF($B$4&gt;=10,-_xll.FDS($B$2,"FF_ARPT_SERIES('RESEARCH AND DEVELOPMENT',ANN,-117,,B,""IS"")"),0),)</f>
        <v>0</v>
      </c>
      <c r="K20" s="2" cm="1">
        <f t="array" ref="K20">IFERROR(IF($B$4&gt;=10,-_xll.FDS($B$2,"FF_ARPT_SERIES('RESEARCH AND DEVELOPMENT',ANN,-18,,B,""IS"")"),0),)</f>
        <v>0</v>
      </c>
      <c r="L20" s="2" cm="1">
        <f t="array" ref="L20">IFERROR(IF($B$4&gt;=10,-_xll.FDS($B$2,"FF_ARPT_SERIES('RESEARCH AND DEVELOPMENT',ANN,-19,,B,""IS"")"),0),)</f>
        <v>0</v>
      </c>
    </row>
    <row r="21" spans="1:12">
      <c r="C21" s="2"/>
      <c r="D21" s="2"/>
      <c r="E21" s="2"/>
      <c r="F21" s="2"/>
      <c r="G21" s="2"/>
      <c r="H21" s="327"/>
      <c r="I21" s="327"/>
      <c r="J21" s="327"/>
      <c r="K21" s="327"/>
      <c r="L21" s="327"/>
    </row>
    <row r="22" spans="1:12">
      <c r="A22" s="503" t="s">
        <v>510</v>
      </c>
      <c r="B22" s="900"/>
      <c r="C22" s="897"/>
      <c r="D22" s="897"/>
      <c r="E22" s="897"/>
      <c r="F22" s="897"/>
      <c r="G22" s="494"/>
      <c r="H22" s="494"/>
      <c r="I22" s="494"/>
      <c r="J22" s="494"/>
      <c r="K22" s="494"/>
      <c r="L22" s="494"/>
    </row>
    <row r="23" spans="1:12">
      <c r="A23" s="8">
        <f>A10</f>
        <v>0</v>
      </c>
      <c r="C23" s="2">
        <f>IFERROR($B10*C10,0)</f>
        <v>0</v>
      </c>
      <c r="D23" s="2">
        <f t="shared" ref="C23:L33" si="2">IFERROR($B10*D10,0)</f>
        <v>0</v>
      </c>
      <c r="E23" s="2">
        <f t="shared" si="2"/>
        <v>0</v>
      </c>
      <c r="F23" s="2">
        <f t="shared" si="2"/>
        <v>0</v>
      </c>
      <c r="G23" s="2">
        <f t="shared" si="2"/>
        <v>0</v>
      </c>
      <c r="H23" s="2">
        <f t="shared" si="2"/>
        <v>0</v>
      </c>
      <c r="I23" s="2">
        <f t="shared" si="2"/>
        <v>0</v>
      </c>
      <c r="J23" s="2">
        <f t="shared" si="2"/>
        <v>0</v>
      </c>
      <c r="K23" s="2">
        <f t="shared" si="2"/>
        <v>0</v>
      </c>
      <c r="L23" s="2">
        <f t="shared" si="2"/>
        <v>0</v>
      </c>
    </row>
    <row r="24" spans="1:12">
      <c r="A24" s="8">
        <f t="shared" ref="A24:A33" si="3">A11</f>
        <v>-1</v>
      </c>
      <c r="C24" s="2">
        <f t="shared" si="2"/>
        <v>0</v>
      </c>
      <c r="D24" s="2">
        <f t="shared" si="2"/>
        <v>0</v>
      </c>
      <c r="E24" s="2">
        <f t="shared" si="2"/>
        <v>0</v>
      </c>
      <c r="F24" s="2">
        <f t="shared" si="2"/>
        <v>0</v>
      </c>
      <c r="G24" s="2">
        <f t="shared" si="2"/>
        <v>0</v>
      </c>
      <c r="H24" s="2">
        <f t="shared" si="2"/>
        <v>0</v>
      </c>
      <c r="I24" s="2">
        <f t="shared" si="2"/>
        <v>0</v>
      </c>
      <c r="J24" s="2">
        <f t="shared" si="2"/>
        <v>0</v>
      </c>
      <c r="K24" s="2">
        <f t="shared" si="2"/>
        <v>0</v>
      </c>
      <c r="L24" s="2">
        <f t="shared" si="2"/>
        <v>0</v>
      </c>
    </row>
    <row r="25" spans="1:12">
      <c r="A25" s="8">
        <f t="shared" si="3"/>
        <v>-2</v>
      </c>
      <c r="C25" s="2">
        <f t="shared" si="2"/>
        <v>0</v>
      </c>
      <c r="D25" s="2">
        <f t="shared" si="2"/>
        <v>0</v>
      </c>
      <c r="E25" s="2">
        <f t="shared" si="2"/>
        <v>0</v>
      </c>
      <c r="F25" s="2">
        <f t="shared" si="2"/>
        <v>0</v>
      </c>
      <c r="G25" s="2">
        <f t="shared" si="2"/>
        <v>0</v>
      </c>
      <c r="H25" s="2">
        <f t="shared" si="2"/>
        <v>0</v>
      </c>
      <c r="I25" s="2">
        <f t="shared" si="2"/>
        <v>0</v>
      </c>
      <c r="J25" s="2">
        <f t="shared" si="2"/>
        <v>0</v>
      </c>
      <c r="K25" s="2">
        <f t="shared" si="2"/>
        <v>0</v>
      </c>
      <c r="L25" s="2">
        <f t="shared" si="2"/>
        <v>0</v>
      </c>
    </row>
    <row r="26" spans="1:12">
      <c r="A26" s="8">
        <f t="shared" si="3"/>
        <v>-3</v>
      </c>
      <c r="C26" s="2">
        <f t="shared" si="2"/>
        <v>0</v>
      </c>
      <c r="D26" s="2">
        <f t="shared" si="2"/>
        <v>0</v>
      </c>
      <c r="E26" s="2">
        <f t="shared" si="2"/>
        <v>0</v>
      </c>
      <c r="F26" s="2">
        <f t="shared" si="2"/>
        <v>0</v>
      </c>
      <c r="G26" s="2">
        <f t="shared" si="2"/>
        <v>0</v>
      </c>
      <c r="H26" s="2">
        <f t="shared" si="2"/>
        <v>0</v>
      </c>
      <c r="I26" s="2">
        <f t="shared" si="2"/>
        <v>0</v>
      </c>
      <c r="J26" s="2">
        <f>IFERROR($B13*J13,0)</f>
        <v>0</v>
      </c>
      <c r="K26" s="2">
        <f t="shared" si="2"/>
        <v>0</v>
      </c>
      <c r="L26" s="2">
        <f t="shared" si="2"/>
        <v>0</v>
      </c>
    </row>
    <row r="27" spans="1:12">
      <c r="A27" s="8">
        <f t="shared" si="3"/>
        <v>-4</v>
      </c>
      <c r="C27" s="2">
        <f t="shared" si="2"/>
        <v>0</v>
      </c>
      <c r="D27" s="2">
        <f t="shared" si="2"/>
        <v>0</v>
      </c>
      <c r="E27" s="2">
        <f t="shared" si="2"/>
        <v>0</v>
      </c>
      <c r="F27" s="2">
        <f t="shared" si="2"/>
        <v>0</v>
      </c>
      <c r="G27" s="2">
        <f t="shared" si="2"/>
        <v>0</v>
      </c>
      <c r="H27" s="2">
        <f t="shared" si="2"/>
        <v>0</v>
      </c>
      <c r="I27" s="2">
        <f t="shared" si="2"/>
        <v>0</v>
      </c>
      <c r="J27" s="2">
        <f t="shared" si="2"/>
        <v>0</v>
      </c>
      <c r="K27" s="2">
        <f t="shared" si="2"/>
        <v>0</v>
      </c>
      <c r="L27" s="2">
        <f t="shared" si="2"/>
        <v>0</v>
      </c>
    </row>
    <row r="28" spans="1:12">
      <c r="A28" s="8">
        <f t="shared" si="3"/>
        <v>-5</v>
      </c>
      <c r="C28" s="2">
        <f t="shared" si="2"/>
        <v>0</v>
      </c>
      <c r="D28" s="2">
        <f t="shared" si="2"/>
        <v>0</v>
      </c>
      <c r="E28" s="2">
        <f t="shared" si="2"/>
        <v>0</v>
      </c>
      <c r="F28" s="2">
        <f t="shared" si="2"/>
        <v>0</v>
      </c>
      <c r="G28" s="2">
        <f t="shared" si="2"/>
        <v>0</v>
      </c>
      <c r="H28" s="2">
        <f t="shared" si="2"/>
        <v>0</v>
      </c>
      <c r="I28" s="2">
        <f t="shared" si="2"/>
        <v>0</v>
      </c>
      <c r="J28" s="2">
        <f t="shared" si="2"/>
        <v>0</v>
      </c>
      <c r="K28" s="2">
        <f t="shared" si="2"/>
        <v>0</v>
      </c>
      <c r="L28" s="2">
        <f t="shared" si="2"/>
        <v>0</v>
      </c>
    </row>
    <row r="29" spans="1:12">
      <c r="A29" s="8">
        <f t="shared" si="3"/>
        <v>-6</v>
      </c>
      <c r="C29" s="2">
        <f t="shared" si="2"/>
        <v>0</v>
      </c>
      <c r="D29" s="2">
        <f t="shared" si="2"/>
        <v>0</v>
      </c>
      <c r="E29" s="2">
        <f t="shared" si="2"/>
        <v>0</v>
      </c>
      <c r="F29" s="2">
        <f t="shared" si="2"/>
        <v>0</v>
      </c>
      <c r="G29" s="2">
        <f t="shared" si="2"/>
        <v>0</v>
      </c>
      <c r="H29" s="2">
        <f t="shared" si="2"/>
        <v>0</v>
      </c>
      <c r="I29" s="2">
        <f t="shared" si="2"/>
        <v>0</v>
      </c>
      <c r="J29" s="2">
        <f t="shared" si="2"/>
        <v>0</v>
      </c>
      <c r="K29" s="2">
        <f t="shared" si="2"/>
        <v>0</v>
      </c>
      <c r="L29" s="2">
        <f>IFERROR($B16*L16,0)</f>
        <v>0</v>
      </c>
    </row>
    <row r="30" spans="1:12">
      <c r="A30" s="8">
        <f t="shared" si="3"/>
        <v>-7</v>
      </c>
      <c r="C30" s="2">
        <f t="shared" si="2"/>
        <v>0</v>
      </c>
      <c r="D30" s="2">
        <f t="shared" si="2"/>
        <v>0</v>
      </c>
      <c r="E30" s="2">
        <f t="shared" si="2"/>
        <v>0</v>
      </c>
      <c r="F30" s="2">
        <f t="shared" si="2"/>
        <v>0</v>
      </c>
      <c r="G30" s="2">
        <f t="shared" si="2"/>
        <v>0</v>
      </c>
      <c r="H30" s="2">
        <f t="shared" si="2"/>
        <v>0</v>
      </c>
      <c r="I30" s="2">
        <f t="shared" si="2"/>
        <v>0</v>
      </c>
      <c r="J30" s="2">
        <f t="shared" si="2"/>
        <v>0</v>
      </c>
      <c r="K30" s="2">
        <f t="shared" si="2"/>
        <v>0</v>
      </c>
      <c r="L30" s="2">
        <f t="shared" si="2"/>
        <v>0</v>
      </c>
    </row>
    <row r="31" spans="1:12">
      <c r="A31" s="8">
        <f t="shared" si="3"/>
        <v>-8</v>
      </c>
      <c r="C31" s="2">
        <f t="shared" si="2"/>
        <v>0</v>
      </c>
      <c r="D31" s="2">
        <f t="shared" si="2"/>
        <v>0</v>
      </c>
      <c r="E31" s="2">
        <f t="shared" si="2"/>
        <v>0</v>
      </c>
      <c r="F31" s="2">
        <f t="shared" si="2"/>
        <v>0</v>
      </c>
      <c r="G31" s="2">
        <f t="shared" si="2"/>
        <v>0</v>
      </c>
      <c r="H31" s="2">
        <f t="shared" si="2"/>
        <v>0</v>
      </c>
      <c r="I31" s="2">
        <f t="shared" si="2"/>
        <v>0</v>
      </c>
      <c r="J31" s="2">
        <f t="shared" si="2"/>
        <v>0</v>
      </c>
      <c r="K31" s="2">
        <f t="shared" si="2"/>
        <v>0</v>
      </c>
      <c r="L31" s="2">
        <f t="shared" si="2"/>
        <v>0</v>
      </c>
    </row>
    <row r="32" spans="1:12">
      <c r="A32" s="8">
        <f t="shared" si="3"/>
        <v>-9</v>
      </c>
      <c r="C32" s="2">
        <f t="shared" si="2"/>
        <v>0</v>
      </c>
      <c r="D32" s="2">
        <f t="shared" si="2"/>
        <v>0</v>
      </c>
      <c r="E32" s="2">
        <f t="shared" si="2"/>
        <v>0</v>
      </c>
      <c r="F32" s="2">
        <f t="shared" si="2"/>
        <v>0</v>
      </c>
      <c r="G32" s="2">
        <f t="shared" si="2"/>
        <v>0</v>
      </c>
      <c r="H32" s="2">
        <f t="shared" si="2"/>
        <v>0</v>
      </c>
      <c r="I32" s="2">
        <f t="shared" si="2"/>
        <v>0</v>
      </c>
      <c r="J32" s="2">
        <f t="shared" si="2"/>
        <v>0</v>
      </c>
      <c r="K32" s="2">
        <f t="shared" si="2"/>
        <v>0</v>
      </c>
      <c r="L32" s="2">
        <f t="shared" si="2"/>
        <v>0</v>
      </c>
    </row>
    <row r="33" spans="1:12">
      <c r="A33" s="902">
        <f t="shared" si="3"/>
        <v>-10</v>
      </c>
      <c r="B33" s="900"/>
      <c r="C33" s="897">
        <f t="shared" si="2"/>
        <v>0</v>
      </c>
      <c r="D33" s="897">
        <f t="shared" si="2"/>
        <v>0</v>
      </c>
      <c r="E33" s="897">
        <f t="shared" si="2"/>
        <v>0</v>
      </c>
      <c r="F33" s="897">
        <f t="shared" si="2"/>
        <v>0</v>
      </c>
      <c r="G33" s="897">
        <f t="shared" si="2"/>
        <v>0</v>
      </c>
      <c r="H33" s="897">
        <f t="shared" si="2"/>
        <v>0</v>
      </c>
      <c r="I33" s="897">
        <f t="shared" si="2"/>
        <v>0</v>
      </c>
      <c r="J33" s="897">
        <f t="shared" si="2"/>
        <v>0</v>
      </c>
      <c r="K33" s="897">
        <f t="shared" si="2"/>
        <v>0</v>
      </c>
      <c r="L33" s="897">
        <f t="shared" si="2"/>
        <v>0</v>
      </c>
    </row>
    <row r="34" spans="1:12">
      <c r="A34" s="372" t="s">
        <v>511</v>
      </c>
      <c r="C34" s="2">
        <f>SUM(C23:C33)</f>
        <v>0</v>
      </c>
      <c r="D34" s="2">
        <f t="shared" ref="D34:L34" si="4">SUM(D23:D33)</f>
        <v>0</v>
      </c>
      <c r="E34" s="2">
        <f t="shared" si="4"/>
        <v>0</v>
      </c>
      <c r="F34" s="2">
        <f t="shared" si="4"/>
        <v>0</v>
      </c>
      <c r="G34" s="2">
        <f t="shared" si="4"/>
        <v>0</v>
      </c>
      <c r="H34" s="2">
        <f t="shared" si="4"/>
        <v>0</v>
      </c>
      <c r="I34" s="2">
        <f t="shared" si="4"/>
        <v>0</v>
      </c>
      <c r="J34" s="2">
        <f t="shared" si="4"/>
        <v>0</v>
      </c>
      <c r="K34" s="2">
        <f t="shared" si="4"/>
        <v>0</v>
      </c>
      <c r="L34" s="2">
        <f t="shared" si="4"/>
        <v>0</v>
      </c>
    </row>
    <row r="35" spans="1:12">
      <c r="C35" s="2"/>
      <c r="D35" s="2"/>
      <c r="E35" s="2"/>
      <c r="F35" s="2"/>
      <c r="G35" s="327"/>
      <c r="H35" s="327"/>
      <c r="I35" s="327"/>
      <c r="J35" s="327"/>
      <c r="K35" s="327"/>
      <c r="L35" s="327"/>
    </row>
    <row r="36" spans="1:12">
      <c r="A36" s="898" t="s">
        <v>512</v>
      </c>
      <c r="B36" s="898"/>
      <c r="C36" s="503"/>
      <c r="D36" s="503"/>
      <c r="E36" s="503"/>
      <c r="F36" s="503"/>
      <c r="G36" s="503"/>
      <c r="H36" s="503"/>
      <c r="I36" s="503"/>
      <c r="J36" s="503"/>
      <c r="K36" s="503"/>
      <c r="L36" s="503"/>
    </row>
    <row r="37" spans="1:12">
      <c r="A37" s="8">
        <f>A24</f>
        <v>-1</v>
      </c>
      <c r="C37" s="2">
        <f>IFERROR(IF($A37&lt;0,1/$B$4*C11,0),0)</f>
        <v>0</v>
      </c>
      <c r="D37" s="2">
        <f t="shared" ref="D37:L46" si="5">IFERROR(IF($A37&lt;0,1/$B$4*D11,0),0)</f>
        <v>0</v>
      </c>
      <c r="E37" s="2">
        <f t="shared" si="5"/>
        <v>0</v>
      </c>
      <c r="F37" s="2">
        <f t="shared" si="5"/>
        <v>0</v>
      </c>
      <c r="G37" s="2">
        <f t="shared" si="5"/>
        <v>0</v>
      </c>
      <c r="H37" s="2">
        <f t="shared" si="5"/>
        <v>0</v>
      </c>
      <c r="I37" s="2">
        <f t="shared" si="5"/>
        <v>0</v>
      </c>
      <c r="J37" s="2">
        <f t="shared" si="5"/>
        <v>0</v>
      </c>
      <c r="K37" s="2">
        <f t="shared" si="5"/>
        <v>0</v>
      </c>
      <c r="L37" s="2">
        <f t="shared" si="5"/>
        <v>0</v>
      </c>
    </row>
    <row r="38" spans="1:12">
      <c r="A38" s="8">
        <f t="shared" ref="A38:A46" si="6">A25</f>
        <v>-2</v>
      </c>
      <c r="C38" s="2">
        <f t="shared" ref="C38:J46" si="7">IFERROR(IF($A38&lt;0,1/$B$4*C12,0),0)</f>
        <v>0</v>
      </c>
      <c r="D38" s="2">
        <f t="shared" si="7"/>
        <v>0</v>
      </c>
      <c r="E38" s="2">
        <f t="shared" si="7"/>
        <v>0</v>
      </c>
      <c r="F38" s="2">
        <f>IFERROR(IF($A38&lt;0,1/$B$4*F12,0),0)</f>
        <v>0</v>
      </c>
      <c r="G38" s="2">
        <f t="shared" si="7"/>
        <v>0</v>
      </c>
      <c r="H38" s="2">
        <f t="shared" si="7"/>
        <v>0</v>
      </c>
      <c r="I38" s="2">
        <f t="shared" si="7"/>
        <v>0</v>
      </c>
      <c r="J38" s="2">
        <f t="shared" si="7"/>
        <v>0</v>
      </c>
      <c r="K38" s="2">
        <f t="shared" si="5"/>
        <v>0</v>
      </c>
      <c r="L38" s="2">
        <f t="shared" si="5"/>
        <v>0</v>
      </c>
    </row>
    <row r="39" spans="1:12">
      <c r="A39" s="8">
        <f t="shared" si="6"/>
        <v>-3</v>
      </c>
      <c r="C39" s="2">
        <f t="shared" si="7"/>
        <v>0</v>
      </c>
      <c r="D39" s="2">
        <f t="shared" si="7"/>
        <v>0</v>
      </c>
      <c r="E39" s="2">
        <f t="shared" si="7"/>
        <v>0</v>
      </c>
      <c r="F39" s="2">
        <f t="shared" si="7"/>
        <v>0</v>
      </c>
      <c r="G39" s="2">
        <f t="shared" si="7"/>
        <v>0</v>
      </c>
      <c r="H39" s="2">
        <f t="shared" si="7"/>
        <v>0</v>
      </c>
      <c r="I39" s="2">
        <f t="shared" si="7"/>
        <v>0</v>
      </c>
      <c r="J39" s="2">
        <f t="shared" si="7"/>
        <v>0</v>
      </c>
      <c r="K39" s="2">
        <f t="shared" si="5"/>
        <v>0</v>
      </c>
      <c r="L39" s="2">
        <f t="shared" si="5"/>
        <v>0</v>
      </c>
    </row>
    <row r="40" spans="1:12">
      <c r="A40" s="8">
        <f t="shared" si="6"/>
        <v>-4</v>
      </c>
      <c r="C40" s="2">
        <f t="shared" si="7"/>
        <v>0</v>
      </c>
      <c r="D40" s="2">
        <f t="shared" si="7"/>
        <v>0</v>
      </c>
      <c r="E40" s="2">
        <f t="shared" si="7"/>
        <v>0</v>
      </c>
      <c r="F40" s="2">
        <f t="shared" si="7"/>
        <v>0</v>
      </c>
      <c r="G40" s="2">
        <f t="shared" si="7"/>
        <v>0</v>
      </c>
      <c r="H40" s="2">
        <f t="shared" si="7"/>
        <v>0</v>
      </c>
      <c r="I40" s="2">
        <f t="shared" si="7"/>
        <v>0</v>
      </c>
      <c r="J40" s="2">
        <f t="shared" si="7"/>
        <v>0</v>
      </c>
      <c r="K40" s="2">
        <f t="shared" si="5"/>
        <v>0</v>
      </c>
      <c r="L40" s="2">
        <f t="shared" si="5"/>
        <v>0</v>
      </c>
    </row>
    <row r="41" spans="1:12">
      <c r="A41" s="8">
        <f t="shared" si="6"/>
        <v>-5</v>
      </c>
      <c r="C41" s="2">
        <f t="shared" si="7"/>
        <v>0</v>
      </c>
      <c r="D41" s="2">
        <f t="shared" si="7"/>
        <v>0</v>
      </c>
      <c r="E41" s="2">
        <f t="shared" si="7"/>
        <v>0</v>
      </c>
      <c r="F41" s="2">
        <f t="shared" si="7"/>
        <v>0</v>
      </c>
      <c r="G41" s="2">
        <f t="shared" si="7"/>
        <v>0</v>
      </c>
      <c r="H41" s="2">
        <f t="shared" si="7"/>
        <v>0</v>
      </c>
      <c r="I41" s="2">
        <f t="shared" si="7"/>
        <v>0</v>
      </c>
      <c r="J41" s="2">
        <f t="shared" si="7"/>
        <v>0</v>
      </c>
      <c r="K41" s="2">
        <f t="shared" si="5"/>
        <v>0</v>
      </c>
      <c r="L41" s="2">
        <f t="shared" si="5"/>
        <v>0</v>
      </c>
    </row>
    <row r="42" spans="1:12">
      <c r="A42" s="8">
        <f t="shared" si="6"/>
        <v>-6</v>
      </c>
      <c r="C42" s="2">
        <f t="shared" si="7"/>
        <v>0</v>
      </c>
      <c r="D42" s="2">
        <f t="shared" si="7"/>
        <v>0</v>
      </c>
      <c r="E42" s="2">
        <f t="shared" si="7"/>
        <v>0</v>
      </c>
      <c r="F42" s="2">
        <f t="shared" si="7"/>
        <v>0</v>
      </c>
      <c r="G42" s="2">
        <f t="shared" si="7"/>
        <v>0</v>
      </c>
      <c r="H42" s="2">
        <f t="shared" si="7"/>
        <v>0</v>
      </c>
      <c r="I42" s="2">
        <f t="shared" si="7"/>
        <v>0</v>
      </c>
      <c r="J42" s="2">
        <f t="shared" si="7"/>
        <v>0</v>
      </c>
      <c r="K42" s="2">
        <f t="shared" si="5"/>
        <v>0</v>
      </c>
      <c r="L42" s="2">
        <f t="shared" si="5"/>
        <v>0</v>
      </c>
    </row>
    <row r="43" spans="1:12">
      <c r="A43" s="8">
        <f t="shared" si="6"/>
        <v>-7</v>
      </c>
      <c r="C43" s="2">
        <f t="shared" si="7"/>
        <v>0</v>
      </c>
      <c r="D43" s="2">
        <f t="shared" si="7"/>
        <v>0</v>
      </c>
      <c r="E43" s="2">
        <f t="shared" si="7"/>
        <v>0</v>
      </c>
      <c r="F43" s="2">
        <f t="shared" si="7"/>
        <v>0</v>
      </c>
      <c r="G43" s="2">
        <f t="shared" si="7"/>
        <v>0</v>
      </c>
      <c r="H43" s="2">
        <f t="shared" si="7"/>
        <v>0</v>
      </c>
      <c r="I43" s="2">
        <f t="shared" si="7"/>
        <v>0</v>
      </c>
      <c r="J43" s="2">
        <f t="shared" si="7"/>
        <v>0</v>
      </c>
      <c r="K43" s="2">
        <f t="shared" si="5"/>
        <v>0</v>
      </c>
      <c r="L43" s="2">
        <f t="shared" si="5"/>
        <v>0</v>
      </c>
    </row>
    <row r="44" spans="1:12">
      <c r="A44" s="8">
        <f t="shared" si="6"/>
        <v>-8</v>
      </c>
      <c r="C44" s="2">
        <f t="shared" si="7"/>
        <v>0</v>
      </c>
      <c r="D44" s="2">
        <f t="shared" si="7"/>
        <v>0</v>
      </c>
      <c r="E44" s="2">
        <f t="shared" si="7"/>
        <v>0</v>
      </c>
      <c r="F44" s="2">
        <f t="shared" si="7"/>
        <v>0</v>
      </c>
      <c r="G44" s="2">
        <f t="shared" si="7"/>
        <v>0</v>
      </c>
      <c r="H44" s="2">
        <f t="shared" si="7"/>
        <v>0</v>
      </c>
      <c r="I44" s="2">
        <f t="shared" si="7"/>
        <v>0</v>
      </c>
      <c r="J44" s="2">
        <f t="shared" si="7"/>
        <v>0</v>
      </c>
      <c r="K44" s="2">
        <f t="shared" si="5"/>
        <v>0</v>
      </c>
      <c r="L44" s="2">
        <f t="shared" si="5"/>
        <v>0</v>
      </c>
    </row>
    <row r="45" spans="1:12">
      <c r="A45" s="8">
        <f t="shared" si="6"/>
        <v>-9</v>
      </c>
      <c r="C45" s="2">
        <f t="shared" si="7"/>
        <v>0</v>
      </c>
      <c r="D45" s="2">
        <f t="shared" si="7"/>
        <v>0</v>
      </c>
      <c r="E45" s="2">
        <f t="shared" si="7"/>
        <v>0</v>
      </c>
      <c r="F45" s="2">
        <f t="shared" si="7"/>
        <v>0</v>
      </c>
      <c r="G45" s="2">
        <f t="shared" si="7"/>
        <v>0</v>
      </c>
      <c r="H45" s="2">
        <f t="shared" si="7"/>
        <v>0</v>
      </c>
      <c r="I45" s="2">
        <f t="shared" si="7"/>
        <v>0</v>
      </c>
      <c r="J45" s="2">
        <f t="shared" si="7"/>
        <v>0</v>
      </c>
      <c r="K45" s="2">
        <f t="shared" si="5"/>
        <v>0</v>
      </c>
      <c r="L45" s="2">
        <f t="shared" si="5"/>
        <v>0</v>
      </c>
    </row>
    <row r="46" spans="1:12">
      <c r="A46" s="902">
        <f t="shared" si="6"/>
        <v>-10</v>
      </c>
      <c r="B46" s="900"/>
      <c r="C46" s="897">
        <f t="shared" si="7"/>
        <v>0</v>
      </c>
      <c r="D46" s="897">
        <f t="shared" si="7"/>
        <v>0</v>
      </c>
      <c r="E46" s="897">
        <f t="shared" si="7"/>
        <v>0</v>
      </c>
      <c r="F46" s="897">
        <f t="shared" si="7"/>
        <v>0</v>
      </c>
      <c r="G46" s="897">
        <f t="shared" si="7"/>
        <v>0</v>
      </c>
      <c r="H46" s="897">
        <f t="shared" si="7"/>
        <v>0</v>
      </c>
      <c r="I46" s="897">
        <f t="shared" si="7"/>
        <v>0</v>
      </c>
      <c r="J46" s="897">
        <f t="shared" si="7"/>
        <v>0</v>
      </c>
      <c r="K46" s="897">
        <f t="shared" si="5"/>
        <v>0</v>
      </c>
      <c r="L46" s="897">
        <f t="shared" si="5"/>
        <v>0</v>
      </c>
    </row>
    <row r="47" spans="1:12">
      <c r="A47" s="903" t="s">
        <v>513</v>
      </c>
      <c r="B47" s="903"/>
      <c r="C47" s="904">
        <f t="shared" ref="C47:J47" si="8">SUM(C36:C46)</f>
        <v>0</v>
      </c>
      <c r="D47" s="904">
        <f t="shared" si="8"/>
        <v>0</v>
      </c>
      <c r="E47" s="904">
        <f t="shared" si="8"/>
        <v>0</v>
      </c>
      <c r="F47" s="904">
        <f t="shared" si="8"/>
        <v>0</v>
      </c>
      <c r="G47" s="904">
        <f t="shared" si="8"/>
        <v>0</v>
      </c>
      <c r="H47" s="904">
        <f t="shared" si="8"/>
        <v>0</v>
      </c>
      <c r="I47" s="904">
        <f t="shared" si="8"/>
        <v>0</v>
      </c>
      <c r="J47" s="904">
        <f t="shared" si="8"/>
        <v>0</v>
      </c>
      <c r="K47" s="904">
        <f t="shared" ref="K47:L47" si="9">SUM(K36:K46)</f>
        <v>0</v>
      </c>
      <c r="L47" s="904">
        <f t="shared" si="9"/>
        <v>0</v>
      </c>
    </row>
    <row r="48" spans="1:12">
      <c r="A48" s="903" t="s">
        <v>514</v>
      </c>
      <c r="B48" s="903"/>
      <c r="C48" s="904">
        <f>C23-C47</f>
        <v>0</v>
      </c>
      <c r="D48" s="904">
        <f t="shared" ref="D48:L48" si="10">D23-D47</f>
        <v>0</v>
      </c>
      <c r="E48" s="904">
        <f t="shared" si="10"/>
        <v>0</v>
      </c>
      <c r="F48" s="904">
        <f t="shared" si="10"/>
        <v>0</v>
      </c>
      <c r="G48" s="904">
        <f t="shared" si="10"/>
        <v>0</v>
      </c>
      <c r="H48" s="904">
        <f t="shared" si="10"/>
        <v>0</v>
      </c>
      <c r="I48" s="904">
        <f t="shared" si="10"/>
        <v>0</v>
      </c>
      <c r="J48" s="904">
        <f t="shared" si="10"/>
        <v>0</v>
      </c>
      <c r="K48" s="904">
        <f t="shared" si="10"/>
        <v>0</v>
      </c>
      <c r="L48" s="904">
        <f t="shared" si="10"/>
        <v>0</v>
      </c>
    </row>
    <row r="49" spans="3:12">
      <c r="C49" s="9"/>
      <c r="D49" s="9"/>
      <c r="E49" s="9"/>
      <c r="F49" s="9"/>
      <c r="G49" s="9"/>
      <c r="H49" s="9"/>
      <c r="I49" s="9"/>
      <c r="J49" s="9"/>
      <c r="K49" s="9"/>
      <c r="L49" s="9"/>
    </row>
  </sheetData>
  <pageMargins left="0.7" right="0.7" top="0.78740157499999996" bottom="0.78740157499999996" header="0.3" footer="0.3"/>
  <pageSetup paperSize="9"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3FD30-B85B-4714-92CE-7E625496CD6B}">
  <sheetPr>
    <tabColor theme="9" tint="0.79998168889431442"/>
  </sheetPr>
  <dimension ref="A1:M49"/>
  <sheetViews>
    <sheetView workbookViewId="0">
      <selection activeCell="B6" sqref="B6"/>
    </sheetView>
  </sheetViews>
  <sheetFormatPr defaultColWidth="11.28515625" defaultRowHeight="15"/>
  <cols>
    <col min="1" max="1" width="27.7109375" style="7" bestFit="1" customWidth="1"/>
    <col min="2" max="6" width="11.7109375" style="7" customWidth="1"/>
    <col min="7" max="12" width="11.7109375" style="3" customWidth="1"/>
    <col min="13" max="16384" width="11.28515625" style="3"/>
  </cols>
  <sheetData>
    <row r="1" spans="1:13" s="340" customFormat="1" ht="26.1" customHeight="1">
      <c r="A1" s="371" t="s">
        <v>506</v>
      </c>
      <c r="B1" s="340">
        <f>'DAL-US IS-adj'!B1</f>
        <v>0</v>
      </c>
    </row>
    <row r="2" spans="1:13">
      <c r="A2" s="2" t="str">
        <f>'DAL-US IS-adj'!A2</f>
        <v>Ticker</v>
      </c>
      <c r="B2" s="2" t="str">
        <f>'Industry Ratios'!I3</f>
        <v>skyw-US</v>
      </c>
      <c r="C2" s="2"/>
      <c r="D2" s="2"/>
      <c r="E2" s="2"/>
      <c r="F2" s="2"/>
      <c r="G2" s="327"/>
      <c r="H2" s="327"/>
      <c r="I2" s="327"/>
      <c r="J2" s="327"/>
      <c r="K2" s="327"/>
      <c r="L2" s="327"/>
      <c r="M2" s="327"/>
    </row>
    <row r="3" spans="1:13">
      <c r="A3" s="4" t="s">
        <v>507</v>
      </c>
      <c r="B3" s="1055" t="s">
        <v>355</v>
      </c>
      <c r="C3" s="5"/>
      <c r="D3" s="5"/>
      <c r="E3" s="5"/>
      <c r="F3" s="5"/>
      <c r="G3" s="6"/>
    </row>
    <row r="4" spans="1:13">
      <c r="A4" s="5" t="s">
        <v>508</v>
      </c>
      <c r="B4" s="918">
        <v>10</v>
      </c>
      <c r="C4" s="5"/>
      <c r="D4" s="5"/>
      <c r="E4" s="5"/>
    </row>
    <row r="5" spans="1:13">
      <c r="A5" s="5" t="s">
        <v>465</v>
      </c>
      <c r="B5" s="1110">
        <v>0.27</v>
      </c>
      <c r="C5" s="5"/>
      <c r="D5" s="1111"/>
      <c r="E5" s="5"/>
    </row>
    <row r="8" spans="1:13">
      <c r="A8" s="380" t="s">
        <v>509</v>
      </c>
      <c r="B8" s="380"/>
      <c r="C8" s="896" t="str">
        <f>'DAL-US IS-adj'!C5</f>
        <v>12/2020</v>
      </c>
      <c r="D8" s="896" t="str">
        <f>'DAL-US IS-adj'!D5</f>
        <v>12/2019</v>
      </c>
      <c r="E8" s="896" t="str">
        <f>'DAL-US IS-adj'!E5</f>
        <v>12/2018</v>
      </c>
      <c r="F8" s="896" t="str">
        <f>'DAL-US IS-adj'!F5</f>
        <v>12/2017</v>
      </c>
      <c r="G8" s="896" t="str">
        <f>'DAL-US IS-adj'!G5</f>
        <v>12/2016</v>
      </c>
      <c r="H8" s="896" t="str">
        <f>'DAL-US IS-adj'!H5</f>
        <v>12/2015</v>
      </c>
      <c r="I8" s="896" t="str">
        <f>'DAL-US IS-adj'!I5</f>
        <v>12/2014</v>
      </c>
      <c r="J8" s="896" t="str">
        <f>'DAL-US IS-adj'!J5</f>
        <v>12/2013</v>
      </c>
      <c r="K8" s="896" t="str">
        <f>'DAL-US IS-adj'!K5</f>
        <v>12/2012</v>
      </c>
      <c r="L8" s="896" t="str">
        <f>'DAL-US IS-adj'!L5</f>
        <v>12/2011</v>
      </c>
    </row>
    <row r="9" spans="1:13">
      <c r="A9" s="897"/>
      <c r="B9" s="898"/>
      <c r="C9" s="899" t="str">
        <f>'DAL-US IS-adj'!C6</f>
        <v>366 DAYS</v>
      </c>
      <c r="D9" s="899" t="str">
        <f>'DAL-US IS-adj'!D6</f>
        <v>365 DAYS</v>
      </c>
      <c r="E9" s="899" t="str">
        <f>'DAL-US IS-adj'!E6</f>
        <v>365 DAYS</v>
      </c>
      <c r="F9" s="899" t="str">
        <f>'DAL-US IS-adj'!F6</f>
        <v>365 DAYS</v>
      </c>
      <c r="G9" s="899" t="str">
        <f>'DAL-US IS-adj'!G6</f>
        <v>366 DAYS</v>
      </c>
      <c r="H9" s="899" t="str">
        <f>'DAL-US IS-adj'!H6</f>
        <v>365 DAYS</v>
      </c>
      <c r="I9" s="899" t="str">
        <f>'DAL-US IS-adj'!I6</f>
        <v>365 DAYS</v>
      </c>
      <c r="J9" s="899" t="str">
        <f>'DAL-US IS-adj'!J6</f>
        <v>365 DAYS</v>
      </c>
      <c r="K9" s="899" t="str">
        <f>'DAL-US IS-adj'!K6</f>
        <v>366 DAYS</v>
      </c>
      <c r="L9" s="899" t="str">
        <f>'DAL-US IS-adj'!L6</f>
        <v>365 DAYS</v>
      </c>
    </row>
    <row r="10" spans="1:13">
      <c r="A10" s="8">
        <v>0</v>
      </c>
      <c r="B10" s="2">
        <v>1</v>
      </c>
      <c r="C10" s="2" cm="1">
        <f t="array" ref="C10">IFERROR(IF($B$4&gt;=1,-_xll.FDS($B$2,"FF_ARPT_SERIES('RESEARCH AND DEVELOPMENT',ANN,0,,B,""IS"")"),0),)</f>
        <v>0</v>
      </c>
      <c r="D10" s="2" cm="1">
        <f t="array" ref="D10">IFERROR(IF($B$4&gt;=1,-_xll.FDS($B$2,"FF_ARPT_SERIES('RESEARCH AND DEVELOPMENT',ANN,-1,,B,""IS"")"),0),)</f>
        <v>0</v>
      </c>
      <c r="E10" s="2" cm="1">
        <f t="array" ref="E10">IFERROR(IF($B$4&gt;=1,-_xll.FDS($B$2,"FF_ARPT_SERIES('RESEARCH AND DEVELOPMENT',ANN,-2,,B,""IS"")"),0),)</f>
        <v>0</v>
      </c>
      <c r="F10" s="2" cm="1">
        <f t="array" ref="F10">IFERROR(IF($B$4&gt;=1,-_xll.FDS($B$2,"FF_ARPT_SERIES('RESEARCH AND DEVELOPMENT',ANN,-3,,B,""IS"")"),0),)</f>
        <v>0</v>
      </c>
      <c r="G10" s="2" cm="1">
        <f t="array" ref="G10">IFERROR(IF($B$4&gt;=1,-_xll.FDS($B$2,"FF_ARPT_SERIES('RESEARCH AND DEVELOPMENT',ANN,-4,,B,""IS"")"),0),)</f>
        <v>0</v>
      </c>
      <c r="H10" s="2" cm="1">
        <f t="array" ref="H10">IFERROR(IF($B$4&gt;=1,-_xll.FDS($B$2,"FF_ARPT_SERIES('RESEARCH AND DEVELOPMENT',ANN,-5,,B,""IS"")"),0),)</f>
        <v>0</v>
      </c>
      <c r="I10" s="2" cm="1">
        <f t="array" ref="I10">IFERROR(IF($B$4&gt;=1,-_xll.FDS($B$2,"FF_ARPT_SERIES('RESEARCH AND DEVELOPMENT',ANN,-6,,B,""IS"")"),0),)</f>
        <v>0</v>
      </c>
      <c r="J10" s="2" cm="1">
        <f t="array" ref="J10">IFERROR(IF($B$4&gt;=1,-_xll.FDS($B$2,"FF_ARPT_SERIES('RESEARCH AND DEVELOPMENT',ANN,-7,,B,""IS"")"),0),)</f>
        <v>0</v>
      </c>
      <c r="K10" s="2" cm="1">
        <f t="array" ref="K10">IFERROR(IF($B$4&gt;=1,-_xll.FDS($B$2,"FF_ARPT_SERIES('RESEARCH AND DEVELOPMENT',ANN,-8,,B,""IS"")"),0),)</f>
        <v>0</v>
      </c>
      <c r="L10" s="2" cm="1">
        <f t="array" ref="L10">IFERROR(IF($B$4&gt;=1,-_xll.FDS($B$2,"FF_ARPT_SERIES('RESEARCH AND DEVELOPMENT',ANN,-9,,B,""IS"")"),0),)</f>
        <v>0</v>
      </c>
    </row>
    <row r="11" spans="1:13">
      <c r="A11" s="8">
        <v>-1</v>
      </c>
      <c r="B11" s="2">
        <f>IF(A11&lt;0,($B$4+A11)/$B$4,0)</f>
        <v>0.9</v>
      </c>
      <c r="C11" s="2" cm="1">
        <f t="array" ref="C11">IFERROR(IF($B$4&gt;=1,-_xll.FDS($B$2,"FF_ARPT_SERIES('RESEARCH AND DEVELOPMENT',ANN,-1,,B,""IS"")"),0),)</f>
        <v>0</v>
      </c>
      <c r="D11" s="2" cm="1">
        <f t="array" ref="D11">IFERROR(IF($B$4&gt;=1,-_xll.FDS($B$2,"FF_ARPT_SERIES('RESEARCH AND DEVELOPMENT',ANN,-2,,B,""IS"")"),0),)</f>
        <v>0</v>
      </c>
      <c r="E11" s="2" cm="1">
        <f t="array" ref="E11">IFERROR(IF($B$4&gt;=1,-_xll.FDS($B$2,"FF_ARPT_SERIES('RESEARCH AND DEVELOPMENT',ANN,-3,,B,""IS"")"),0),)</f>
        <v>0</v>
      </c>
      <c r="F11" s="2" cm="1">
        <f t="array" ref="F11">IFERROR(IF($B$4&gt;=1,-_xll.FDS($B$2,"FF_ARPT_SERIES('RESEARCH AND DEVELOPMENT',ANN,-4,,B,""IS"")"),0),)</f>
        <v>0</v>
      </c>
      <c r="G11" s="2" cm="1">
        <f t="array" ref="G11">IFERROR(IF($B$4&gt;=1,-_xll.FDS($B$2,"FF_ARPT_SERIES('RESEARCH AND DEVELOPMENT',ANN,-5,,B,""IS"")"),0),)</f>
        <v>0</v>
      </c>
      <c r="H11" s="2" cm="1">
        <f t="array" ref="H11">IFERROR(IF($B$4&gt;=1,-_xll.FDS($B$2,"FF_ARPT_SERIES('RESEARCH AND DEVELOPMENT',ANN,-6,,B,""IS"")"),0),)</f>
        <v>0</v>
      </c>
      <c r="I11" s="2" cm="1">
        <f t="array" ref="I11">IFERROR(IF($B$4&gt;=1,-_xll.FDS($B$2,"FF_ARPT_SERIES('RESEARCH AND DEVELOPMENT',ANN,-7,,B,""IS"")"),0),)</f>
        <v>0</v>
      </c>
      <c r="J11" s="2" cm="1">
        <f t="array" ref="J11">IFERROR(IF($B$4&gt;=1,-_xll.FDS($B$2,"FF_ARPT_SERIES('RESEARCH AND DEVELOPMENT',ANN,-8,,B,""IS"")"),0),)</f>
        <v>0</v>
      </c>
      <c r="K11" s="2" cm="1">
        <f t="array" ref="K11">IFERROR(IF($B$4&gt;=1,-_xll.FDS($B$2,"FF_ARPT_SERIES('RESEARCH AND DEVELOPMENT',ANN,-9,,B,""IS"")"),0),)</f>
        <v>0</v>
      </c>
      <c r="L11" s="2" cm="1">
        <f t="array" ref="L11">IFERROR(IF($B$4&gt;=1,-_xll.FDS($B$2,"FF_ARPT_SERIES('RESEARCH AND DEVELOPMENT',ANN,-10,,B,""IS"")"),0),)</f>
        <v>0</v>
      </c>
    </row>
    <row r="12" spans="1:13">
      <c r="A12" s="8">
        <f>IF((0-A11)&lt;$B$4,IF(A11&gt;-1,,A11-1),)</f>
        <v>-2</v>
      </c>
      <c r="B12" s="2">
        <f t="shared" ref="B12:B20" si="0">IF(A12&lt;0,($B$4+A12)/$B$4,0)</f>
        <v>0.8</v>
      </c>
      <c r="C12" s="2" cm="1">
        <f t="array" ref="C12">IFERROR(IF($B$4&gt;=2,-_xll.FDS($B$2,"FF_ARPT_SERIES('RESEARCH AND DEVELOPMENT',ANN,-2,,B,""IS"")"),0),)</f>
        <v>0</v>
      </c>
      <c r="D12" s="2" cm="1">
        <f t="array" ref="D12">IFERROR(IF($B$4&gt;=2,-_xll.FDS($B$2,"FF_ARPT_SERIES('RESEARCH AND DEVELOPMENT',ANN,-3,,B,""IS"")"),0),)</f>
        <v>0</v>
      </c>
      <c r="E12" s="2" cm="1">
        <f t="array" ref="E12">IFERROR(IF($B$4&gt;=2,-_xll.FDS($B$2,"FF_ARPT_SERIES('RESEARCH AND DEVELOPMENT',ANN,-4,,B,""IS"")"),0),)</f>
        <v>0</v>
      </c>
      <c r="F12" s="2" cm="1">
        <f t="array" ref="F12">IFERROR(IF($B$4&gt;=2,-_xll.FDS($B$2,"FF_ARPT_SERIES('RESEARCH AND DEVELOPMENT',ANN,-5,,B,""IS"")"),0),)</f>
        <v>0</v>
      </c>
      <c r="G12" s="2" cm="1">
        <f t="array" ref="G12">IFERROR(IF($B$4&gt;=2,-_xll.FDS($B$2,"FF_ARPT_SERIES('RESEARCH AND DEVELOPMENT',ANN,-6,,B,""IS"")"),0),)</f>
        <v>0</v>
      </c>
      <c r="H12" s="2" cm="1">
        <f t="array" ref="H12">IFERROR(IF($B$4&gt;=2,-_xll.FDS($B$2,"FF_ARPT_SERIES('RESEARCH AND DEVELOPMENT',ANN,-7,,B,""IS"")"),0),)</f>
        <v>0</v>
      </c>
      <c r="I12" s="2" cm="1">
        <f t="array" ref="I12">IFERROR(IF($B$4&gt;=2,-_xll.FDS($B$2,"FF_ARPT_SERIES('RESEARCH AND DEVELOPMENT',ANN,-8,,B,""IS"")"),0),)</f>
        <v>0</v>
      </c>
      <c r="J12" s="2" cm="1">
        <f t="array" ref="J12">IFERROR(IF($B$4&gt;=2,-_xll.FDS($B$2,"FF_ARPT_SERIES('RESEARCH AND DEVELOPMENT',ANN,-9,,B,""IS"")"),0),)</f>
        <v>0</v>
      </c>
      <c r="K12" s="2" cm="1">
        <f t="array" ref="K12">IFERROR(IF($B$4&gt;=2,-_xll.FDS($B$2,"FF_ARPT_SERIES('RESEARCH AND DEVELOPMENT',ANN,-10,,B,""IS"")"),0),)</f>
        <v>0</v>
      </c>
      <c r="L12" s="2" cm="1">
        <f t="array" ref="L12">IFERROR(IF($B$4&gt;=2,-_xll.FDS($B$2,"FF_ARPT_SERIES('RESEARCH AND DEVELOPMENT',ANN,-11,,B,""IS"")"),0),)</f>
        <v>0</v>
      </c>
    </row>
    <row r="13" spans="1:13">
      <c r="A13" s="8">
        <f t="shared" ref="A13:A20" si="1">IF((0-A12)&lt;$B$4,IF(A12&gt;-1,,A12-1),)</f>
        <v>-3</v>
      </c>
      <c r="B13" s="2">
        <f t="shared" si="0"/>
        <v>0.7</v>
      </c>
      <c r="C13" s="2" cm="1">
        <f t="array" ref="C13">IFERROR(IF($B$4&gt;=3,-_xll.FDS($B$2,"FF_ARPT_SERIES('RESEARCH AND DEVELOPMENT',ANN,-3,,B,""IS"")"),0),)</f>
        <v>0</v>
      </c>
      <c r="D13" s="2" cm="1">
        <f t="array" ref="D13">IFERROR(IF($B$4&gt;=3,-_xll.FDS($B$2,"FF_ARPT_SERIES('RESEARCH AND DEVELOPMENT',ANN,-4,,B,""IS"")"),0),)</f>
        <v>0</v>
      </c>
      <c r="E13" s="2" cm="1">
        <f t="array" ref="E13">IFERROR(IF($B$4&gt;=3,-_xll.FDS($B$2,"FF_ARPT_SERIES('RESEARCH AND DEVELOPMENT',ANN,-5,,B,""IS"")"),0),)</f>
        <v>0</v>
      </c>
      <c r="F13" s="2" cm="1">
        <f t="array" ref="F13">IFERROR(IF($B$4&gt;=3,-_xll.FDS($B$2,"FF_ARPT_SERIES('RESEARCH AND DEVELOPMENT',ANN,-6,,B,""IS"")"),0),)</f>
        <v>0</v>
      </c>
      <c r="G13" s="2" cm="1">
        <f t="array" ref="G13">IFERROR(IF($B$4&gt;=3,-_xll.FDS($B$2,"FF_ARPT_SERIES('RESEARCH AND DEVELOPMENT',ANN,-7,,B,""IS"")"),0),)</f>
        <v>0</v>
      </c>
      <c r="H13" s="2" cm="1">
        <f t="array" ref="H13">IFERROR(IF($B$4&gt;=3,-_xll.FDS($B$2,"FF_ARPT_SERIES('RESEARCH AND DEVELOPMENT',ANN,-8,,B,""IS"")"),0),)</f>
        <v>0</v>
      </c>
      <c r="I13" s="2" cm="1">
        <f t="array" ref="I13">IFERROR(IF($B$4&gt;=3,-_xll.FDS($B$2,"FF_ARPT_SERIES('RESEARCH AND DEVELOPMENT',ANN,-9,,B,""IS"")"),0),)</f>
        <v>0</v>
      </c>
      <c r="J13" s="2" cm="1">
        <f t="array" ref="J13">IFERROR(IF($B$4&gt;=3,-_xll.FDS($B$2,"FF_ARPT_SERIES('RESEARCH AND DEVELOPMENT',ANN,-10,,B,""IS"")"),0),)</f>
        <v>0</v>
      </c>
      <c r="K13" s="2" cm="1">
        <f t="array" ref="K13">IFERROR(IF($B$4&gt;=3,-_xll.FDS($B$2,"FF_ARPT_SERIES('RESEARCH AND DEVELOPMENT',ANN,-11,,B,""IS"")"),0),)</f>
        <v>0</v>
      </c>
      <c r="L13" s="2" cm="1">
        <f t="array" ref="L13">IFERROR(IF($B$4&gt;=3,-_xll.FDS($B$2,"FF_ARPT_SERIES('RESEARCH AND DEVELOPMENT',ANN,-12,,B,""IS"")"),0),)</f>
        <v>0</v>
      </c>
    </row>
    <row r="14" spans="1:13">
      <c r="A14" s="8">
        <f t="shared" si="1"/>
        <v>-4</v>
      </c>
      <c r="B14" s="2">
        <f t="shared" si="0"/>
        <v>0.6</v>
      </c>
      <c r="C14" s="2" cm="1">
        <f t="array" ref="C14">IFERROR(IF($B$4&gt;=4,-_xll.FDS($B$2,"FF_ARPT_SERIES('RESEARCH AND DEVELOPMENT',ANN,-4,,B,""IS"")"),0),)</f>
        <v>0</v>
      </c>
      <c r="D14" s="2" cm="1">
        <f t="array" ref="D14">IFERROR(IF($B$4&gt;=4,-_xll.FDS($B$2,"FF_ARPT_SERIES('RESEARCH AND DEVELOPMENT',ANN,-5,,B,""IS"")"),0),)</f>
        <v>0</v>
      </c>
      <c r="E14" s="2" cm="1">
        <f t="array" ref="E14">IFERROR(IF($B$4&gt;=4,-_xll.FDS($B$2,"FF_ARPT_SERIES('RESEARCH AND DEVELOPMENT',ANN,-6,,B,""IS"")"),0),)</f>
        <v>0</v>
      </c>
      <c r="F14" s="2" cm="1">
        <f t="array" ref="F14">IFERROR(IF($B$4&gt;=4,-_xll.FDS($B$2,"FF_ARPT_SERIES('RESEARCH AND DEVELOPMENT',ANN,-7,,B,""IS"")"),0),)</f>
        <v>0</v>
      </c>
      <c r="G14" s="2" cm="1">
        <f t="array" ref="G14">IFERROR(IF($B$4&gt;=4,-_xll.FDS($B$2,"FF_ARPT_SERIES('RESEARCH AND DEVELOPMENT',ANN,-8,,B,""IS"")"),0),)</f>
        <v>0</v>
      </c>
      <c r="H14" s="2" cm="1">
        <f t="array" ref="H14">IFERROR(IF($B$4&gt;=4,-_xll.FDS($B$2,"FF_ARPT_SERIES('RESEARCH AND DEVELOPMENT',ANN,-9,,B,""IS"")"),0),)</f>
        <v>0</v>
      </c>
      <c r="I14" s="2" cm="1">
        <f t="array" ref="I14">IFERROR(IF($B$4&gt;=4,-_xll.FDS($B$2,"FF_ARPT_SERIES('RESEARCH AND DEVELOPMENT',ANN,-10,,B,""IS"")"),0),)</f>
        <v>0</v>
      </c>
      <c r="J14" s="2" cm="1">
        <f t="array" ref="J14">IFERROR(IF($B$4&gt;=4,-_xll.FDS($B$2,"FF_ARPT_SERIES('RESEARCH AND DEVELOPMENT',ANN,-11,,B,""IS"")"),0),)</f>
        <v>0</v>
      </c>
      <c r="K14" s="2" cm="1">
        <f t="array" ref="K14">IFERROR(IF($B$4&gt;=4,-_xll.FDS($B$2,"FF_ARPT_SERIES('RESEARCH AND DEVELOPMENT',ANN,-12,,B,""IS"")"),0),)</f>
        <v>0</v>
      </c>
      <c r="L14" s="2" cm="1">
        <f t="array" ref="L14">IFERROR(IF($B$4&gt;=4,-_xll.FDS($B$2,"FF_ARPT_SERIES('RESEARCH AND DEVELOPMENT',ANN,-13,,B,""IS"")"),0),)</f>
        <v>0</v>
      </c>
    </row>
    <row r="15" spans="1:13">
      <c r="A15" s="8">
        <f t="shared" si="1"/>
        <v>-5</v>
      </c>
      <c r="B15" s="2">
        <f t="shared" si="0"/>
        <v>0.5</v>
      </c>
      <c r="C15" s="2" cm="1">
        <f t="array" ref="C15">IFERROR(IF($B$4&gt;=5,-_xll.FDS($B$2,"FF_ARPT_SERIES('RESEARCH AND DEVELOPMENT',ANN,-5,,B,""IS"")"),0),)</f>
        <v>0</v>
      </c>
      <c r="D15" s="2" cm="1">
        <f t="array" ref="D15">IFERROR(IF($B$4&gt;=5,-_xll.FDS($B$2,"FF_ARPT_SERIES('RESEARCH AND DEVELOPMENT',ANN,-6,,B,""IS"")"),0),)</f>
        <v>0</v>
      </c>
      <c r="E15" s="2" cm="1">
        <f t="array" ref="E15">IFERROR(IF($B$4&gt;=5,-_xll.FDS($B$2,"FF_ARPT_SERIES('RESEARCH AND DEVELOPMENT',ANN,-7,,B,""IS"")"),0),)</f>
        <v>0</v>
      </c>
      <c r="F15" s="2" cm="1">
        <f t="array" ref="F15">IFERROR(IF($B$4&gt;=5,-_xll.FDS($B$2,"FF_ARPT_SERIES('RESEARCH AND DEVELOPMENT',ANN,-8,,B,""IS"")"),0),)</f>
        <v>0</v>
      </c>
      <c r="G15" s="2" cm="1">
        <f t="array" ref="G15">IFERROR(IF($B$4&gt;=5,-_xll.FDS($B$2,"FF_ARPT_SERIES('RESEARCH AND DEVELOPMENT',ANN,-9,,B,""IS"")"),0),)</f>
        <v>0</v>
      </c>
      <c r="H15" s="2" cm="1">
        <f t="array" ref="H15">IFERROR(IF($B$4&gt;=5,-_xll.FDS($B$2,"FF_ARPT_SERIES('RESEARCH AND DEVELOPMENT',ANN,-10,,B,""IS"")"),0),)</f>
        <v>0</v>
      </c>
      <c r="I15" s="2" cm="1">
        <f t="array" ref="I15">IFERROR(IF($B$4&gt;=5,-_xll.FDS($B$2,"FF_ARPT_SERIES('RESEARCH AND DEVELOPMENT',ANN,-11,,B,""IS"")"),0),)</f>
        <v>0</v>
      </c>
      <c r="J15" s="2" cm="1">
        <f t="array" ref="J15">IFERROR(IF($B$4&gt;=5,-_xll.FDS($B$2,"FF_ARPT_SERIES('RESEARCH AND DEVELOPMENT',ANN,-12,,B,""IS"")"),0),)</f>
        <v>0</v>
      </c>
      <c r="K15" s="2" cm="1">
        <f t="array" ref="K15">IFERROR(IF($B$4&gt;=5,-_xll.FDS($B$2,"FF_ARPT_SERIES('RESEARCH AND DEVELOPMENT',ANN,-13,,B,""IS"")"),0),)</f>
        <v>0</v>
      </c>
      <c r="L15" s="2" cm="1">
        <f t="array" ref="L15">IFERROR(IF($B$4&gt;=5,-_xll.FDS($B$2,"FF_ARPT_SERIES('RESEARCH AND DEVELOPMENT',ANN,-14,,B,""IS"")"),0),)</f>
        <v>0</v>
      </c>
    </row>
    <row r="16" spans="1:13">
      <c r="A16" s="8">
        <f t="shared" si="1"/>
        <v>-6</v>
      </c>
      <c r="B16" s="2">
        <f t="shared" si="0"/>
        <v>0.4</v>
      </c>
      <c r="C16" s="2" cm="1">
        <f t="array" ref="C16">IFERROR(IF($B$4&gt;=6,-_xll.FDS($B$2,"FF_ARPT_SERIES('RESEARCH AND DEVELOPMENT',ANN,-6,,B,""IS"")"),0),)</f>
        <v>0</v>
      </c>
      <c r="D16" s="2" cm="1">
        <f t="array" ref="D16">IFERROR(IF($B$4&gt;=6,-_xll.FDS($B$2,"FF_ARPT_SERIES('RESEARCH AND DEVELOPMENT',ANN,-7,,B,""IS"")"),0),)</f>
        <v>0</v>
      </c>
      <c r="E16" s="2" cm="1">
        <f t="array" ref="E16">IFERROR(IF($B$4&gt;=6,-_xll.FDS($B$2,"FF_ARPT_SERIES('RESEARCH AND DEVELOPMENT',ANN,-8,,B,""IS"")"),0),)</f>
        <v>0</v>
      </c>
      <c r="F16" s="2" cm="1">
        <f t="array" ref="F16">IFERROR(IF($B$4&gt;=6,-_xll.FDS($B$2,"FF_ARPT_SERIES('RESEARCH AND DEVELOPMENT',ANN,-9,,B,""IS"")"),0),)</f>
        <v>0</v>
      </c>
      <c r="G16" s="2" cm="1">
        <f t="array" ref="G16">IFERROR(IF($B$4&gt;=6,-_xll.FDS($B$2,"FF_ARPT_SERIES('RESEARCH AND DEVELOPMENT',ANN,-10,,B,""IS"")"),0),)</f>
        <v>0</v>
      </c>
      <c r="H16" s="2" cm="1">
        <f t="array" ref="H16">IFERROR(IF($B$4&gt;=6,-_xll.FDS($B$2,"FF_ARPT_SERIES('RESEARCH AND DEVELOPMENT',ANN,-11,,B,""IS"")"),0),)</f>
        <v>0</v>
      </c>
      <c r="I16" s="2" cm="1">
        <f t="array" ref="I16">IFERROR(IF($B$4&gt;=6,-_xll.FDS($B$2,"FF_ARPT_SERIES('RESEARCH AND DEVELOPMENT',ANN,-12,,B,""IS"")"),0),)</f>
        <v>0</v>
      </c>
      <c r="J16" s="2" cm="1">
        <f t="array" ref="J16">IFERROR(IF($B$4&gt;=6,-_xll.FDS($B$2,"FF_ARPT_SERIES('RESEARCH AND DEVELOPMENT',ANN,-13,,B,""IS"")"),0),)</f>
        <v>0</v>
      </c>
      <c r="K16" s="2" cm="1">
        <f t="array" ref="K16">IFERROR(IF($B$4&gt;=6,-_xll.FDS($B$2,"FF_ARPT_SERIES('RESEARCH AND DEVELOPMENT',ANN,-14,,B,""IS"")"),0),)</f>
        <v>0</v>
      </c>
      <c r="L16" s="2" cm="1">
        <f t="array" ref="L16">IFERROR(IF($B$4&gt;=6,-_xll.FDS($B$2,"FF_ARPT_SERIES('RESEARCH AND DEVELOPMENT',ANN,-15,,B,""IS"")"),0),)</f>
        <v>0</v>
      </c>
    </row>
    <row r="17" spans="1:12">
      <c r="A17" s="8">
        <f t="shared" si="1"/>
        <v>-7</v>
      </c>
      <c r="B17" s="2">
        <f t="shared" si="0"/>
        <v>0.3</v>
      </c>
      <c r="C17" s="2" cm="1">
        <f t="array" ref="C17">IFERROR(IF($B$4&gt;=7,-_xll.FDS($B$2,"FF_ARPT_SERIES('RESEARCH AND DEVELOPMENT',ANN,-7,,B,""IS"")"),0),)</f>
        <v>0</v>
      </c>
      <c r="D17" s="2" cm="1">
        <f t="array" ref="D17">IFERROR(IF($B$4&gt;=7,-_xll.FDS($B$2,"FF_ARPT_SERIES('RESEARCH AND DEVELOPMENT',ANN,-8,,B,""IS"")"),0),)</f>
        <v>0</v>
      </c>
      <c r="E17" s="2" cm="1">
        <f t="array" ref="E17">IFERROR(IF($B$4&gt;=7,-_xll.FDS($B$2,"FF_ARPT_SERIES('RESEARCH AND DEVELOPMENT',ANN,-9,,B,""IS"")"),0),)</f>
        <v>0</v>
      </c>
      <c r="F17" s="2" cm="1">
        <f t="array" ref="F17">IFERROR(IF($B$4&gt;=7,-_xll.FDS($B$2,"FF_ARPT_SERIES('RESEARCH AND DEVELOPMENT',ANN,-10,,B,""IS"")"),0),)</f>
        <v>0</v>
      </c>
      <c r="G17" s="2" cm="1">
        <f t="array" ref="G17">IFERROR(IF($B$4&gt;=7,-_xll.FDS($B$2,"FF_ARPT_SERIES('RESEARCH AND DEVELOPMENT',ANN,-11,,B,""IS"")"),0),)</f>
        <v>0</v>
      </c>
      <c r="H17" s="2" cm="1">
        <f t="array" ref="H17">IFERROR(IF($B$4&gt;=7,-_xll.FDS($B$2,"FF_ARPT_SERIES('RESEARCH AND DEVELOPMENT',ANN,-12,,B,""IS"")"),0),)</f>
        <v>0</v>
      </c>
      <c r="I17" s="2" cm="1">
        <f t="array" ref="I17">IFERROR(IF($B$4&gt;=7,-_xll.FDS($B$2,"FF_ARPT_SERIES('RESEARCH AND DEVELOPMENT',ANN,-13,,B,""IS"")"),0),)</f>
        <v>0</v>
      </c>
      <c r="J17" s="2" cm="1">
        <f t="array" ref="J17">IFERROR(IF($B$4&gt;=7,-_xll.FDS($B$2,"FF_ARPT_SERIES('RESEARCH AND DEVELOPMENT',ANN,-14,,B,""IS"")"),0),)</f>
        <v>0</v>
      </c>
      <c r="K17" s="2" cm="1">
        <f t="array" ref="K17">IFERROR(IF($B$4&gt;=7,-_xll.FDS($B$2,"FF_ARPT_SERIES('RESEARCH AND DEVELOPMENT',ANN,-15,,B,""IS"")"),0),)</f>
        <v>0</v>
      </c>
      <c r="L17" s="2" cm="1">
        <f t="array" ref="L17">IFERROR(IF($B$4&gt;=7,-_xll.FDS($B$2,"FF_ARPT_SERIES('RESEARCH AND DEVELOPMENT',ANN,-16,,B,""IS"")"),0),)</f>
        <v>0</v>
      </c>
    </row>
    <row r="18" spans="1:12">
      <c r="A18" s="8">
        <f t="shared" si="1"/>
        <v>-8</v>
      </c>
      <c r="B18" s="2">
        <f t="shared" si="0"/>
        <v>0.2</v>
      </c>
      <c r="C18" s="2" cm="1">
        <f t="array" ref="C18">IFERROR(IF($B$4&gt;=8,-_xll.FDS($B$2,"FF_ARPT_SERIES('RESEARCH AND DEVELOPMENT',ANN,-8,,B,""IS"")"),0),)</f>
        <v>0</v>
      </c>
      <c r="D18" s="2" cm="1">
        <f t="array" ref="D18">IFERROR(IF($B$4&gt;=8,-_xll.FDS($B$2,"FF_ARPT_SERIES('RESEARCH AND DEVELOPMENT',ANN,-9,,B,""IS"")"),0),)</f>
        <v>0</v>
      </c>
      <c r="E18" s="2" cm="1">
        <f t="array" ref="E18">IFERROR(IF($B$4&gt;=8,-_xll.FDS($B$2,"FF_ARPT_SERIES('RESEARCH AND DEVELOPMENT',ANN,-10,,B,""IS"")"),0),)</f>
        <v>0</v>
      </c>
      <c r="F18" s="2" cm="1">
        <f t="array" ref="F18">IFERROR(IF($B$4&gt;=8,-_xll.FDS($B$2,"FF_ARPT_SERIES('RESEARCH AND DEVELOPMENT',ANN,-11,,B,""IS"")"),0),)</f>
        <v>0</v>
      </c>
      <c r="G18" s="2" cm="1">
        <f t="array" ref="G18">IFERROR(IF($B$4&gt;=8,-_xll.FDS($B$2,"FF_ARPT_SERIES('RESEARCH AND DEVELOPMENT',ANN,-12,,B,""IS"")"),0),)</f>
        <v>0</v>
      </c>
      <c r="H18" s="2" cm="1">
        <f t="array" ref="H18">IFERROR(IF($B$4&gt;=8,-_xll.FDS($B$2,"FF_ARPT_SERIES('RESEARCH AND DEVELOPMENT',ANN,-13,,B,""IS"")"),0),)</f>
        <v>0</v>
      </c>
      <c r="I18" s="2" cm="1">
        <f t="array" ref="I18">IFERROR(IF($B$4&gt;=8,-_xll.FDS($B$2,"FF_ARPT_SERIES('RESEARCH AND DEVELOPMENT',ANN,-14,,B,""IS"")"),0),)</f>
        <v>0</v>
      </c>
      <c r="J18" s="2" cm="1">
        <f t="array" ref="J18">IFERROR(IF($B$4&gt;=8,-_xll.FDS($B$2,"FF_ARPT_SERIES('RESEARCH AND DEVELOPMENT',ANN,-15,,B,""IS"")"),0),)</f>
        <v>0</v>
      </c>
      <c r="K18" s="2" cm="1">
        <f t="array" ref="K18">IFERROR(IF($B$4&gt;=8,-_xll.FDS($B$2,"FF_ARPT_SERIES('RESEARCH AND DEVELOPMENT',ANN,-16,,B,""IS"")"),0),)</f>
        <v>0</v>
      </c>
      <c r="L18" s="2" cm="1">
        <f t="array" ref="L18">IFERROR(IF($B$4&gt;=8,-_xll.FDS($B$2,"FF_ARPT_SERIES('RESEARCH AND DEVELOPMENT',ANN,-17,,B,""IS"")"),0),)</f>
        <v>0</v>
      </c>
    </row>
    <row r="19" spans="1:12">
      <c r="A19" s="8">
        <f t="shared" si="1"/>
        <v>-9</v>
      </c>
      <c r="B19" s="2">
        <f t="shared" si="0"/>
        <v>0.1</v>
      </c>
      <c r="C19" s="2" cm="1">
        <f t="array" ref="C19">IFERROR(IF($B$4&gt;=9,-_xll.FDS($B$2,"FF_ARPT_SERIES('RESEARCH AND DEVELOPMENT',ANN,-9,,B,""IS"")"),0),)</f>
        <v>0</v>
      </c>
      <c r="D19" s="2" cm="1">
        <f t="array" ref="D19">IFERROR(IF($B$4&gt;=9,-_xll.FDS($B$2,"FF_ARPT_SERIES('RESEARCH AND DEVELOPMENT',ANN,-10,,B,""IS"")"),0),)</f>
        <v>0</v>
      </c>
      <c r="E19" s="2" cm="1">
        <f t="array" ref="E19">IFERROR(IF($B$4&gt;=9,-_xll.FDS($B$2,"FF_ARPT_SERIES('RESEARCH AND DEVELOPMENT',ANN,-11,,B,""IS"")"),0),)</f>
        <v>0</v>
      </c>
      <c r="F19" s="2" cm="1">
        <f t="array" ref="F19">IFERROR(IF($B$4&gt;=9,-_xll.FDS($B$2,"FF_ARPT_SERIES('RESEARCH AND DEVELOPMENT',ANN,-12,,B,""IS"")"),0),)</f>
        <v>0</v>
      </c>
      <c r="G19" s="2" cm="1">
        <f t="array" ref="G19">IFERROR(IF($B$4&gt;=9,-_xll.FDS($B$2,"FF_ARPT_SERIES('RESEARCH AND DEVELOPMENT',ANN,-13,,B,""IS"")"),0),)</f>
        <v>0</v>
      </c>
      <c r="H19" s="2" cm="1">
        <f t="array" ref="H19">IFERROR(IF($B$4&gt;=9,-_xll.FDS($B$2,"FF_ARPT_SERIES('RESEARCH AND DEVELOPMENT',ANN,-14,,B,""IS"")"),0),)</f>
        <v>0</v>
      </c>
      <c r="I19" s="2" cm="1">
        <f t="array" ref="I19">IFERROR(IF($B$4&gt;=9,-_xll.FDS($B$2,"FF_ARPT_SERIES('RESEARCH AND DEVELOPMENT',ANN,-15,,B,""IS"")"),0),)</f>
        <v>0</v>
      </c>
      <c r="J19" s="2" cm="1">
        <f t="array" ref="J19">IFERROR(IF($B$4&gt;=9,-_xll.FDS($B$2,"FF_ARPT_SERIES('RESEARCH AND DEVELOPMENT',ANN,-16,,B,""IS"")"),0),)</f>
        <v>0</v>
      </c>
      <c r="K19" s="2" cm="1">
        <f t="array" ref="K19">IFERROR(IF($B$4&gt;=9,-_xll.FDS($B$2,"FF_ARPT_SERIES('RESEARCH AND DEVELOPMENT',ANN,-17,,B,""IS"")"),0),)</f>
        <v>0</v>
      </c>
      <c r="L19" s="2" cm="1">
        <f t="array" ref="L19">IFERROR(IF($B$4&gt;=9,-_xll.FDS($B$2,"FF_ARPT_SERIES('RESEARCH AND DEVELOPMENT',ANN,-18,,B,""IS"")"),0),)</f>
        <v>0</v>
      </c>
    </row>
    <row r="20" spans="1:12">
      <c r="A20" s="8">
        <f t="shared" si="1"/>
        <v>-10</v>
      </c>
      <c r="B20" s="2">
        <f t="shared" si="0"/>
        <v>0</v>
      </c>
      <c r="C20" s="2" cm="1">
        <f t="array" ref="C20">IFERROR(IF($B$4&gt;=10,-_xll.FDS($B$2,"FF_ARPT_SERIES('RESEARCH AND DEVELOPMENT',ANN,-10,,B,""IS"")"),0),)</f>
        <v>0</v>
      </c>
      <c r="D20" s="2" cm="1">
        <f t="array" ref="D20">IFERROR(IF($B$4&gt;=10,-_xll.FDS($B$2,"FF_ARPT_SERIES('RESEARCH AND DEVELOPMENT',ANN,-11,,B,""IS"")"),0),)</f>
        <v>0</v>
      </c>
      <c r="E20" s="2" cm="1">
        <f t="array" ref="E20">IFERROR(IF($B$4&gt;=10,-_xll.FDS($B$2,"FF_ARPT_SERIES('RESEARCH AND DEVELOPMENT',ANN,-12,,B,""IS"")"),0),)</f>
        <v>0</v>
      </c>
      <c r="F20" s="2" cm="1">
        <f t="array" ref="F20">IFERROR(IF($B$4&gt;=10,-_xll.FDS($B$2,"FF_ARPT_SERIES('RESEARCH AND DEVELOPMENT',ANN,-13,,B,""IS"")"),0),)</f>
        <v>0</v>
      </c>
      <c r="G20" s="2" cm="1">
        <f t="array" ref="G20">IFERROR(IF($B$4&gt;=10,-_xll.FDS($B$2,"FF_ARPT_SERIES('RESEARCH AND DEVELOPMENT',ANN,-14,,B,""IS"")"),0),)</f>
        <v>0</v>
      </c>
      <c r="H20" s="2" cm="1">
        <f t="array" ref="H20">IFERROR(IF($B$4&gt;=10,-_xll.FDS($B$2,"FF_ARPT_SERIES('RESEARCH AND DEVELOPMENT',ANN,-15,,B,""IS"")"),0),)</f>
        <v>0</v>
      </c>
      <c r="I20" s="2" cm="1">
        <f t="array" ref="I20">IFERROR(IF($B$4&gt;=10,-_xll.FDS($B$2,"FF_ARPT_SERIES('RESEARCH AND DEVELOPMENT',ANN,-16,,B,""IS"")"),0),)</f>
        <v>0</v>
      </c>
      <c r="J20" s="2" cm="1">
        <f t="array" ref="J20">IFERROR(IF($B$4&gt;=10,-_xll.FDS($B$2,"FF_ARPT_SERIES('RESEARCH AND DEVELOPMENT',ANN,-117,,B,""IS"")"),0),)</f>
        <v>0</v>
      </c>
      <c r="K20" s="2" cm="1">
        <f t="array" ref="K20">IFERROR(IF($B$4&gt;=10,-_xll.FDS($B$2,"FF_ARPT_SERIES('RESEARCH AND DEVELOPMENT',ANN,-18,,B,""IS"")"),0),)</f>
        <v>0</v>
      </c>
      <c r="L20" s="2" cm="1">
        <f t="array" ref="L20">IFERROR(IF($B$4&gt;=10,-_xll.FDS($B$2,"FF_ARPT_SERIES('RESEARCH AND DEVELOPMENT',ANN,-19,,B,""IS"")"),0),)</f>
        <v>0</v>
      </c>
    </row>
    <row r="21" spans="1:12">
      <c r="C21" s="2"/>
      <c r="D21" s="2"/>
      <c r="E21" s="2"/>
      <c r="F21" s="2"/>
      <c r="G21" s="2"/>
      <c r="H21" s="327"/>
      <c r="I21" s="327"/>
      <c r="J21" s="327"/>
      <c r="K21" s="327"/>
      <c r="L21" s="327"/>
    </row>
    <row r="22" spans="1:12">
      <c r="A22" s="503" t="s">
        <v>510</v>
      </c>
      <c r="B22" s="900"/>
      <c r="C22" s="897"/>
      <c r="D22" s="897"/>
      <c r="E22" s="897"/>
      <c r="F22" s="897"/>
      <c r="G22" s="494"/>
      <c r="H22" s="494"/>
      <c r="I22" s="494"/>
      <c r="J22" s="494"/>
      <c r="K22" s="494"/>
      <c r="L22" s="494"/>
    </row>
    <row r="23" spans="1:12">
      <c r="A23" s="8">
        <f>A10</f>
        <v>0</v>
      </c>
      <c r="C23" s="2">
        <f>IFERROR($B10*C10,0)</f>
        <v>0</v>
      </c>
      <c r="D23" s="2">
        <f t="shared" ref="C23:L33" si="2">IFERROR($B10*D10,0)</f>
        <v>0</v>
      </c>
      <c r="E23" s="2">
        <f t="shared" si="2"/>
        <v>0</v>
      </c>
      <c r="F23" s="2">
        <f t="shared" si="2"/>
        <v>0</v>
      </c>
      <c r="G23" s="2">
        <f t="shared" si="2"/>
        <v>0</v>
      </c>
      <c r="H23" s="2">
        <f t="shared" si="2"/>
        <v>0</v>
      </c>
      <c r="I23" s="2">
        <f t="shared" si="2"/>
        <v>0</v>
      </c>
      <c r="J23" s="2">
        <f t="shared" si="2"/>
        <v>0</v>
      </c>
      <c r="K23" s="2">
        <f t="shared" si="2"/>
        <v>0</v>
      </c>
      <c r="L23" s="2">
        <f t="shared" si="2"/>
        <v>0</v>
      </c>
    </row>
    <row r="24" spans="1:12">
      <c r="A24" s="8">
        <f t="shared" ref="A24:A33" si="3">A11</f>
        <v>-1</v>
      </c>
      <c r="C24" s="2">
        <f t="shared" si="2"/>
        <v>0</v>
      </c>
      <c r="D24" s="2">
        <f t="shared" si="2"/>
        <v>0</v>
      </c>
      <c r="E24" s="2">
        <f t="shared" si="2"/>
        <v>0</v>
      </c>
      <c r="F24" s="2">
        <f t="shared" si="2"/>
        <v>0</v>
      </c>
      <c r="G24" s="2">
        <f t="shared" si="2"/>
        <v>0</v>
      </c>
      <c r="H24" s="2">
        <f t="shared" si="2"/>
        <v>0</v>
      </c>
      <c r="I24" s="2">
        <f t="shared" si="2"/>
        <v>0</v>
      </c>
      <c r="J24" s="2">
        <f t="shared" si="2"/>
        <v>0</v>
      </c>
      <c r="K24" s="2">
        <f t="shared" si="2"/>
        <v>0</v>
      </c>
      <c r="L24" s="2">
        <f t="shared" si="2"/>
        <v>0</v>
      </c>
    </row>
    <row r="25" spans="1:12">
      <c r="A25" s="8">
        <f t="shared" si="3"/>
        <v>-2</v>
      </c>
      <c r="C25" s="2">
        <f t="shared" si="2"/>
        <v>0</v>
      </c>
      <c r="D25" s="2">
        <f t="shared" si="2"/>
        <v>0</v>
      </c>
      <c r="E25" s="2">
        <f t="shared" si="2"/>
        <v>0</v>
      </c>
      <c r="F25" s="2">
        <f t="shared" si="2"/>
        <v>0</v>
      </c>
      <c r="G25" s="2">
        <f t="shared" si="2"/>
        <v>0</v>
      </c>
      <c r="H25" s="2">
        <f t="shared" si="2"/>
        <v>0</v>
      </c>
      <c r="I25" s="2">
        <f t="shared" si="2"/>
        <v>0</v>
      </c>
      <c r="J25" s="2">
        <f t="shared" si="2"/>
        <v>0</v>
      </c>
      <c r="K25" s="2">
        <f t="shared" si="2"/>
        <v>0</v>
      </c>
      <c r="L25" s="2">
        <f t="shared" si="2"/>
        <v>0</v>
      </c>
    </row>
    <row r="26" spans="1:12">
      <c r="A26" s="8">
        <f t="shared" si="3"/>
        <v>-3</v>
      </c>
      <c r="C26" s="2">
        <f t="shared" si="2"/>
        <v>0</v>
      </c>
      <c r="D26" s="2">
        <f t="shared" si="2"/>
        <v>0</v>
      </c>
      <c r="E26" s="2">
        <f t="shared" si="2"/>
        <v>0</v>
      </c>
      <c r="F26" s="2">
        <f t="shared" si="2"/>
        <v>0</v>
      </c>
      <c r="G26" s="2">
        <f t="shared" si="2"/>
        <v>0</v>
      </c>
      <c r="H26" s="2">
        <f t="shared" si="2"/>
        <v>0</v>
      </c>
      <c r="I26" s="2">
        <f t="shared" si="2"/>
        <v>0</v>
      </c>
      <c r="J26" s="2">
        <f>IFERROR($B13*J13,0)</f>
        <v>0</v>
      </c>
      <c r="K26" s="2">
        <f t="shared" si="2"/>
        <v>0</v>
      </c>
      <c r="L26" s="2">
        <f t="shared" si="2"/>
        <v>0</v>
      </c>
    </row>
    <row r="27" spans="1:12">
      <c r="A27" s="8">
        <f t="shared" si="3"/>
        <v>-4</v>
      </c>
      <c r="C27" s="2">
        <f t="shared" si="2"/>
        <v>0</v>
      </c>
      <c r="D27" s="2">
        <f t="shared" si="2"/>
        <v>0</v>
      </c>
      <c r="E27" s="2">
        <f t="shared" si="2"/>
        <v>0</v>
      </c>
      <c r="F27" s="2">
        <f t="shared" si="2"/>
        <v>0</v>
      </c>
      <c r="G27" s="2">
        <f t="shared" si="2"/>
        <v>0</v>
      </c>
      <c r="H27" s="2">
        <f t="shared" si="2"/>
        <v>0</v>
      </c>
      <c r="I27" s="2">
        <f t="shared" si="2"/>
        <v>0</v>
      </c>
      <c r="J27" s="2">
        <f t="shared" si="2"/>
        <v>0</v>
      </c>
      <c r="K27" s="2">
        <f t="shared" si="2"/>
        <v>0</v>
      </c>
      <c r="L27" s="2">
        <f t="shared" si="2"/>
        <v>0</v>
      </c>
    </row>
    <row r="28" spans="1:12">
      <c r="A28" s="8">
        <f t="shared" si="3"/>
        <v>-5</v>
      </c>
      <c r="C28" s="2">
        <f t="shared" si="2"/>
        <v>0</v>
      </c>
      <c r="D28" s="2">
        <f t="shared" si="2"/>
        <v>0</v>
      </c>
      <c r="E28" s="2">
        <f t="shared" si="2"/>
        <v>0</v>
      </c>
      <c r="F28" s="2">
        <f t="shared" si="2"/>
        <v>0</v>
      </c>
      <c r="G28" s="2">
        <f t="shared" si="2"/>
        <v>0</v>
      </c>
      <c r="H28" s="2">
        <f t="shared" si="2"/>
        <v>0</v>
      </c>
      <c r="I28" s="2">
        <f t="shared" si="2"/>
        <v>0</v>
      </c>
      <c r="J28" s="2">
        <f t="shared" si="2"/>
        <v>0</v>
      </c>
      <c r="K28" s="2">
        <f t="shared" si="2"/>
        <v>0</v>
      </c>
      <c r="L28" s="2">
        <f t="shared" si="2"/>
        <v>0</v>
      </c>
    </row>
    <row r="29" spans="1:12">
      <c r="A29" s="8">
        <f t="shared" si="3"/>
        <v>-6</v>
      </c>
      <c r="C29" s="2">
        <f t="shared" si="2"/>
        <v>0</v>
      </c>
      <c r="D29" s="2">
        <f t="shared" si="2"/>
        <v>0</v>
      </c>
      <c r="E29" s="2">
        <f t="shared" si="2"/>
        <v>0</v>
      </c>
      <c r="F29" s="2">
        <f t="shared" si="2"/>
        <v>0</v>
      </c>
      <c r="G29" s="2">
        <f t="shared" si="2"/>
        <v>0</v>
      </c>
      <c r="H29" s="2">
        <f t="shared" si="2"/>
        <v>0</v>
      </c>
      <c r="I29" s="2">
        <f t="shared" si="2"/>
        <v>0</v>
      </c>
      <c r="J29" s="2">
        <f t="shared" si="2"/>
        <v>0</v>
      </c>
      <c r="K29" s="2">
        <f t="shared" si="2"/>
        <v>0</v>
      </c>
      <c r="L29" s="2">
        <f>IFERROR($B16*L16,0)</f>
        <v>0</v>
      </c>
    </row>
    <row r="30" spans="1:12">
      <c r="A30" s="8">
        <f t="shared" si="3"/>
        <v>-7</v>
      </c>
      <c r="C30" s="2">
        <f t="shared" si="2"/>
        <v>0</v>
      </c>
      <c r="D30" s="2">
        <f t="shared" si="2"/>
        <v>0</v>
      </c>
      <c r="E30" s="2">
        <f t="shared" si="2"/>
        <v>0</v>
      </c>
      <c r="F30" s="2">
        <f t="shared" si="2"/>
        <v>0</v>
      </c>
      <c r="G30" s="2">
        <f t="shared" si="2"/>
        <v>0</v>
      </c>
      <c r="H30" s="2">
        <f t="shared" si="2"/>
        <v>0</v>
      </c>
      <c r="I30" s="2">
        <f t="shared" si="2"/>
        <v>0</v>
      </c>
      <c r="J30" s="2">
        <f t="shared" si="2"/>
        <v>0</v>
      </c>
      <c r="K30" s="2">
        <f t="shared" si="2"/>
        <v>0</v>
      </c>
      <c r="L30" s="2">
        <f t="shared" si="2"/>
        <v>0</v>
      </c>
    </row>
    <row r="31" spans="1:12">
      <c r="A31" s="8">
        <f t="shared" si="3"/>
        <v>-8</v>
      </c>
      <c r="C31" s="2">
        <f t="shared" si="2"/>
        <v>0</v>
      </c>
      <c r="D31" s="2">
        <f t="shared" si="2"/>
        <v>0</v>
      </c>
      <c r="E31" s="2">
        <f t="shared" si="2"/>
        <v>0</v>
      </c>
      <c r="F31" s="2">
        <f t="shared" si="2"/>
        <v>0</v>
      </c>
      <c r="G31" s="2">
        <f t="shared" si="2"/>
        <v>0</v>
      </c>
      <c r="H31" s="2">
        <f t="shared" si="2"/>
        <v>0</v>
      </c>
      <c r="I31" s="2">
        <f t="shared" si="2"/>
        <v>0</v>
      </c>
      <c r="J31" s="2">
        <f t="shared" si="2"/>
        <v>0</v>
      </c>
      <c r="K31" s="2">
        <f t="shared" si="2"/>
        <v>0</v>
      </c>
      <c r="L31" s="2">
        <f t="shared" si="2"/>
        <v>0</v>
      </c>
    </row>
    <row r="32" spans="1:12">
      <c r="A32" s="8">
        <f t="shared" si="3"/>
        <v>-9</v>
      </c>
      <c r="C32" s="2">
        <f t="shared" si="2"/>
        <v>0</v>
      </c>
      <c r="D32" s="2">
        <f t="shared" si="2"/>
        <v>0</v>
      </c>
      <c r="E32" s="2">
        <f t="shared" si="2"/>
        <v>0</v>
      </c>
      <c r="F32" s="2">
        <f t="shared" si="2"/>
        <v>0</v>
      </c>
      <c r="G32" s="2">
        <f t="shared" si="2"/>
        <v>0</v>
      </c>
      <c r="H32" s="2">
        <f t="shared" si="2"/>
        <v>0</v>
      </c>
      <c r="I32" s="2">
        <f t="shared" si="2"/>
        <v>0</v>
      </c>
      <c r="J32" s="2">
        <f t="shared" si="2"/>
        <v>0</v>
      </c>
      <c r="K32" s="2">
        <f t="shared" si="2"/>
        <v>0</v>
      </c>
      <c r="L32" s="2">
        <f t="shared" si="2"/>
        <v>0</v>
      </c>
    </row>
    <row r="33" spans="1:12">
      <c r="A33" s="902">
        <f t="shared" si="3"/>
        <v>-10</v>
      </c>
      <c r="B33" s="900"/>
      <c r="C33" s="897">
        <f t="shared" si="2"/>
        <v>0</v>
      </c>
      <c r="D33" s="897">
        <f t="shared" si="2"/>
        <v>0</v>
      </c>
      <c r="E33" s="897">
        <f t="shared" si="2"/>
        <v>0</v>
      </c>
      <c r="F33" s="897">
        <f t="shared" si="2"/>
        <v>0</v>
      </c>
      <c r="G33" s="897">
        <f t="shared" si="2"/>
        <v>0</v>
      </c>
      <c r="H33" s="897">
        <f t="shared" si="2"/>
        <v>0</v>
      </c>
      <c r="I33" s="897">
        <f t="shared" si="2"/>
        <v>0</v>
      </c>
      <c r="J33" s="897">
        <f t="shared" si="2"/>
        <v>0</v>
      </c>
      <c r="K33" s="897">
        <f t="shared" si="2"/>
        <v>0</v>
      </c>
      <c r="L33" s="897">
        <f t="shared" si="2"/>
        <v>0</v>
      </c>
    </row>
    <row r="34" spans="1:12">
      <c r="A34" s="372" t="s">
        <v>511</v>
      </c>
      <c r="C34" s="2">
        <f>SUM(C23:C33)</f>
        <v>0</v>
      </c>
      <c r="D34" s="2">
        <f t="shared" ref="D34:L34" si="4">SUM(D23:D33)</f>
        <v>0</v>
      </c>
      <c r="E34" s="2">
        <f t="shared" si="4"/>
        <v>0</v>
      </c>
      <c r="F34" s="2">
        <f t="shared" si="4"/>
        <v>0</v>
      </c>
      <c r="G34" s="2">
        <f t="shared" si="4"/>
        <v>0</v>
      </c>
      <c r="H34" s="2">
        <f t="shared" si="4"/>
        <v>0</v>
      </c>
      <c r="I34" s="2">
        <f t="shared" si="4"/>
        <v>0</v>
      </c>
      <c r="J34" s="2">
        <f t="shared" si="4"/>
        <v>0</v>
      </c>
      <c r="K34" s="2">
        <f t="shared" si="4"/>
        <v>0</v>
      </c>
      <c r="L34" s="2">
        <f t="shared" si="4"/>
        <v>0</v>
      </c>
    </row>
    <row r="35" spans="1:12">
      <c r="C35" s="2"/>
      <c r="D35" s="2"/>
      <c r="E35" s="2"/>
      <c r="F35" s="2"/>
      <c r="G35" s="327"/>
      <c r="H35" s="327"/>
      <c r="I35" s="327"/>
      <c r="J35" s="327"/>
      <c r="K35" s="327"/>
      <c r="L35" s="327"/>
    </row>
    <row r="36" spans="1:12">
      <c r="A36" s="898" t="s">
        <v>512</v>
      </c>
      <c r="B36" s="898"/>
      <c r="C36" s="503"/>
      <c r="D36" s="503"/>
      <c r="E36" s="503"/>
      <c r="F36" s="503"/>
      <c r="G36" s="503"/>
      <c r="H36" s="503"/>
      <c r="I36" s="503"/>
      <c r="J36" s="503"/>
      <c r="K36" s="503"/>
      <c r="L36" s="503"/>
    </row>
    <row r="37" spans="1:12">
      <c r="A37" s="8">
        <f>A24</f>
        <v>-1</v>
      </c>
      <c r="C37" s="2">
        <f>IFERROR(IF($A37&lt;0,1/$B$4*C11,0),0)</f>
        <v>0</v>
      </c>
      <c r="D37" s="2">
        <f t="shared" ref="D37:L46" si="5">IFERROR(IF($A37&lt;0,1/$B$4*D11,0),0)</f>
        <v>0</v>
      </c>
      <c r="E37" s="2">
        <f t="shared" si="5"/>
        <v>0</v>
      </c>
      <c r="F37" s="2">
        <f t="shared" si="5"/>
        <v>0</v>
      </c>
      <c r="G37" s="2">
        <f t="shared" si="5"/>
        <v>0</v>
      </c>
      <c r="H37" s="2">
        <f t="shared" si="5"/>
        <v>0</v>
      </c>
      <c r="I37" s="2">
        <f t="shared" si="5"/>
        <v>0</v>
      </c>
      <c r="J37" s="2">
        <f t="shared" si="5"/>
        <v>0</v>
      </c>
      <c r="K37" s="2">
        <f t="shared" si="5"/>
        <v>0</v>
      </c>
      <c r="L37" s="2">
        <f t="shared" si="5"/>
        <v>0</v>
      </c>
    </row>
    <row r="38" spans="1:12">
      <c r="A38" s="8">
        <f t="shared" ref="A38:A46" si="6">A25</f>
        <v>-2</v>
      </c>
      <c r="C38" s="2">
        <f t="shared" ref="C38:J46" si="7">IFERROR(IF($A38&lt;0,1/$B$4*C12,0),0)</f>
        <v>0</v>
      </c>
      <c r="D38" s="2">
        <f t="shared" si="7"/>
        <v>0</v>
      </c>
      <c r="E38" s="2">
        <f t="shared" si="7"/>
        <v>0</v>
      </c>
      <c r="F38" s="2">
        <f>IFERROR(IF($A38&lt;0,1/$B$4*F12,0),0)</f>
        <v>0</v>
      </c>
      <c r="G38" s="2">
        <f t="shared" si="7"/>
        <v>0</v>
      </c>
      <c r="H38" s="2">
        <f t="shared" si="7"/>
        <v>0</v>
      </c>
      <c r="I38" s="2">
        <f t="shared" si="7"/>
        <v>0</v>
      </c>
      <c r="J38" s="2">
        <f t="shared" si="7"/>
        <v>0</v>
      </c>
      <c r="K38" s="2">
        <f t="shared" si="5"/>
        <v>0</v>
      </c>
      <c r="L38" s="2">
        <f t="shared" si="5"/>
        <v>0</v>
      </c>
    </row>
    <row r="39" spans="1:12">
      <c r="A39" s="8">
        <f t="shared" si="6"/>
        <v>-3</v>
      </c>
      <c r="C39" s="2">
        <f t="shared" si="7"/>
        <v>0</v>
      </c>
      <c r="D39" s="2">
        <f t="shared" si="7"/>
        <v>0</v>
      </c>
      <c r="E39" s="2">
        <f t="shared" si="7"/>
        <v>0</v>
      </c>
      <c r="F39" s="2">
        <f t="shared" si="7"/>
        <v>0</v>
      </c>
      <c r="G39" s="2">
        <f t="shared" si="7"/>
        <v>0</v>
      </c>
      <c r="H39" s="2">
        <f t="shared" si="7"/>
        <v>0</v>
      </c>
      <c r="I39" s="2">
        <f t="shared" si="7"/>
        <v>0</v>
      </c>
      <c r="J39" s="2">
        <f t="shared" si="7"/>
        <v>0</v>
      </c>
      <c r="K39" s="2">
        <f t="shared" si="5"/>
        <v>0</v>
      </c>
      <c r="L39" s="2">
        <f t="shared" si="5"/>
        <v>0</v>
      </c>
    </row>
    <row r="40" spans="1:12">
      <c r="A40" s="8">
        <f t="shared" si="6"/>
        <v>-4</v>
      </c>
      <c r="C40" s="2">
        <f t="shared" si="7"/>
        <v>0</v>
      </c>
      <c r="D40" s="2">
        <f t="shared" si="7"/>
        <v>0</v>
      </c>
      <c r="E40" s="2">
        <f t="shared" si="7"/>
        <v>0</v>
      </c>
      <c r="F40" s="2">
        <f t="shared" si="7"/>
        <v>0</v>
      </c>
      <c r="G40" s="2">
        <f t="shared" si="7"/>
        <v>0</v>
      </c>
      <c r="H40" s="2">
        <f t="shared" si="7"/>
        <v>0</v>
      </c>
      <c r="I40" s="2">
        <f t="shared" si="7"/>
        <v>0</v>
      </c>
      <c r="J40" s="2">
        <f t="shared" si="7"/>
        <v>0</v>
      </c>
      <c r="K40" s="2">
        <f t="shared" si="5"/>
        <v>0</v>
      </c>
      <c r="L40" s="2">
        <f t="shared" si="5"/>
        <v>0</v>
      </c>
    </row>
    <row r="41" spans="1:12">
      <c r="A41" s="8">
        <f t="shared" si="6"/>
        <v>-5</v>
      </c>
      <c r="C41" s="2">
        <f t="shared" si="7"/>
        <v>0</v>
      </c>
      <c r="D41" s="2">
        <f t="shared" si="7"/>
        <v>0</v>
      </c>
      <c r="E41" s="2">
        <f t="shared" si="7"/>
        <v>0</v>
      </c>
      <c r="F41" s="2">
        <f t="shared" si="7"/>
        <v>0</v>
      </c>
      <c r="G41" s="2">
        <f t="shared" si="7"/>
        <v>0</v>
      </c>
      <c r="H41" s="2">
        <f t="shared" si="7"/>
        <v>0</v>
      </c>
      <c r="I41" s="2">
        <f t="shared" si="7"/>
        <v>0</v>
      </c>
      <c r="J41" s="2">
        <f t="shared" si="7"/>
        <v>0</v>
      </c>
      <c r="K41" s="2">
        <f t="shared" si="5"/>
        <v>0</v>
      </c>
      <c r="L41" s="2">
        <f t="shared" si="5"/>
        <v>0</v>
      </c>
    </row>
    <row r="42" spans="1:12">
      <c r="A42" s="8">
        <f t="shared" si="6"/>
        <v>-6</v>
      </c>
      <c r="C42" s="2">
        <f t="shared" si="7"/>
        <v>0</v>
      </c>
      <c r="D42" s="2">
        <f t="shared" si="7"/>
        <v>0</v>
      </c>
      <c r="E42" s="2">
        <f t="shared" si="7"/>
        <v>0</v>
      </c>
      <c r="F42" s="2">
        <f t="shared" si="7"/>
        <v>0</v>
      </c>
      <c r="G42" s="2">
        <f t="shared" si="7"/>
        <v>0</v>
      </c>
      <c r="H42" s="2">
        <f t="shared" si="7"/>
        <v>0</v>
      </c>
      <c r="I42" s="2">
        <f t="shared" si="7"/>
        <v>0</v>
      </c>
      <c r="J42" s="2">
        <f t="shared" si="7"/>
        <v>0</v>
      </c>
      <c r="K42" s="2">
        <f t="shared" si="5"/>
        <v>0</v>
      </c>
      <c r="L42" s="2">
        <f t="shared" si="5"/>
        <v>0</v>
      </c>
    </row>
    <row r="43" spans="1:12">
      <c r="A43" s="8">
        <f t="shared" si="6"/>
        <v>-7</v>
      </c>
      <c r="C43" s="2">
        <f t="shared" si="7"/>
        <v>0</v>
      </c>
      <c r="D43" s="2">
        <f t="shared" si="7"/>
        <v>0</v>
      </c>
      <c r="E43" s="2">
        <f t="shared" si="7"/>
        <v>0</v>
      </c>
      <c r="F43" s="2">
        <f t="shared" si="7"/>
        <v>0</v>
      </c>
      <c r="G43" s="2">
        <f t="shared" si="7"/>
        <v>0</v>
      </c>
      <c r="H43" s="2">
        <f t="shared" si="7"/>
        <v>0</v>
      </c>
      <c r="I43" s="2">
        <f t="shared" si="7"/>
        <v>0</v>
      </c>
      <c r="J43" s="2">
        <f t="shared" si="7"/>
        <v>0</v>
      </c>
      <c r="K43" s="2">
        <f t="shared" si="5"/>
        <v>0</v>
      </c>
      <c r="L43" s="2">
        <f t="shared" si="5"/>
        <v>0</v>
      </c>
    </row>
    <row r="44" spans="1:12">
      <c r="A44" s="8">
        <f t="shared" si="6"/>
        <v>-8</v>
      </c>
      <c r="C44" s="2">
        <f t="shared" si="7"/>
        <v>0</v>
      </c>
      <c r="D44" s="2">
        <f t="shared" si="7"/>
        <v>0</v>
      </c>
      <c r="E44" s="2">
        <f t="shared" si="7"/>
        <v>0</v>
      </c>
      <c r="F44" s="2">
        <f t="shared" si="7"/>
        <v>0</v>
      </c>
      <c r="G44" s="2">
        <f t="shared" si="7"/>
        <v>0</v>
      </c>
      <c r="H44" s="2">
        <f t="shared" si="7"/>
        <v>0</v>
      </c>
      <c r="I44" s="2">
        <f t="shared" si="7"/>
        <v>0</v>
      </c>
      <c r="J44" s="2">
        <f t="shared" si="7"/>
        <v>0</v>
      </c>
      <c r="K44" s="2">
        <f t="shared" si="5"/>
        <v>0</v>
      </c>
      <c r="L44" s="2">
        <f t="shared" si="5"/>
        <v>0</v>
      </c>
    </row>
    <row r="45" spans="1:12">
      <c r="A45" s="8">
        <f t="shared" si="6"/>
        <v>-9</v>
      </c>
      <c r="C45" s="2">
        <f t="shared" si="7"/>
        <v>0</v>
      </c>
      <c r="D45" s="2">
        <f t="shared" si="7"/>
        <v>0</v>
      </c>
      <c r="E45" s="2">
        <f t="shared" si="7"/>
        <v>0</v>
      </c>
      <c r="F45" s="2">
        <f t="shared" si="7"/>
        <v>0</v>
      </c>
      <c r="G45" s="2">
        <f t="shared" si="7"/>
        <v>0</v>
      </c>
      <c r="H45" s="2">
        <f t="shared" si="7"/>
        <v>0</v>
      </c>
      <c r="I45" s="2">
        <f t="shared" si="7"/>
        <v>0</v>
      </c>
      <c r="J45" s="2">
        <f t="shared" si="7"/>
        <v>0</v>
      </c>
      <c r="K45" s="2">
        <f t="shared" si="5"/>
        <v>0</v>
      </c>
      <c r="L45" s="2">
        <f t="shared" si="5"/>
        <v>0</v>
      </c>
    </row>
    <row r="46" spans="1:12">
      <c r="A46" s="902">
        <f t="shared" si="6"/>
        <v>-10</v>
      </c>
      <c r="B46" s="900"/>
      <c r="C46" s="897">
        <f t="shared" si="7"/>
        <v>0</v>
      </c>
      <c r="D46" s="897">
        <f t="shared" si="7"/>
        <v>0</v>
      </c>
      <c r="E46" s="897">
        <f t="shared" si="7"/>
        <v>0</v>
      </c>
      <c r="F46" s="897">
        <f t="shared" si="7"/>
        <v>0</v>
      </c>
      <c r="G46" s="897">
        <f t="shared" si="7"/>
        <v>0</v>
      </c>
      <c r="H46" s="897">
        <f t="shared" si="7"/>
        <v>0</v>
      </c>
      <c r="I46" s="897">
        <f t="shared" si="7"/>
        <v>0</v>
      </c>
      <c r="J46" s="897">
        <f t="shared" si="7"/>
        <v>0</v>
      </c>
      <c r="K46" s="897">
        <f t="shared" si="5"/>
        <v>0</v>
      </c>
      <c r="L46" s="897">
        <f t="shared" si="5"/>
        <v>0</v>
      </c>
    </row>
    <row r="47" spans="1:12">
      <c r="A47" s="903" t="s">
        <v>513</v>
      </c>
      <c r="B47" s="903"/>
      <c r="C47" s="904">
        <f t="shared" ref="C47:J47" si="8">SUM(C36:C46)</f>
        <v>0</v>
      </c>
      <c r="D47" s="904">
        <f t="shared" si="8"/>
        <v>0</v>
      </c>
      <c r="E47" s="904">
        <f t="shared" si="8"/>
        <v>0</v>
      </c>
      <c r="F47" s="904">
        <f t="shared" si="8"/>
        <v>0</v>
      </c>
      <c r="G47" s="904">
        <f t="shared" si="8"/>
        <v>0</v>
      </c>
      <c r="H47" s="904">
        <f t="shared" si="8"/>
        <v>0</v>
      </c>
      <c r="I47" s="904">
        <f t="shared" si="8"/>
        <v>0</v>
      </c>
      <c r="J47" s="904">
        <f t="shared" si="8"/>
        <v>0</v>
      </c>
      <c r="K47" s="904">
        <f t="shared" ref="K47:L47" si="9">SUM(K36:K46)</f>
        <v>0</v>
      </c>
      <c r="L47" s="904">
        <f t="shared" si="9"/>
        <v>0</v>
      </c>
    </row>
    <row r="48" spans="1:12">
      <c r="A48" s="903" t="s">
        <v>514</v>
      </c>
      <c r="B48" s="903"/>
      <c r="C48" s="904">
        <f>C23-C47</f>
        <v>0</v>
      </c>
      <c r="D48" s="904">
        <f t="shared" ref="D48:L48" si="10">D23-D47</f>
        <v>0</v>
      </c>
      <c r="E48" s="904">
        <f t="shared" si="10"/>
        <v>0</v>
      </c>
      <c r="F48" s="904">
        <f t="shared" si="10"/>
        <v>0</v>
      </c>
      <c r="G48" s="904">
        <f t="shared" si="10"/>
        <v>0</v>
      </c>
      <c r="H48" s="904">
        <f t="shared" si="10"/>
        <v>0</v>
      </c>
      <c r="I48" s="904">
        <f t="shared" si="10"/>
        <v>0</v>
      </c>
      <c r="J48" s="904">
        <f t="shared" si="10"/>
        <v>0</v>
      </c>
      <c r="K48" s="904">
        <f t="shared" si="10"/>
        <v>0</v>
      </c>
      <c r="L48" s="904">
        <f t="shared" si="10"/>
        <v>0</v>
      </c>
    </row>
    <row r="49" spans="3:12">
      <c r="C49" s="9"/>
      <c r="D49" s="9"/>
      <c r="E49" s="9"/>
      <c r="F49" s="9"/>
      <c r="G49" s="9"/>
      <c r="H49" s="9"/>
      <c r="I49" s="9"/>
      <c r="J49" s="9"/>
      <c r="K49" s="9"/>
      <c r="L49" s="9"/>
    </row>
  </sheetData>
  <pageMargins left="0.7" right="0.7" top="0.78740157499999996" bottom="0.78740157499999996" header="0.3" footer="0.3"/>
  <pageSetup paperSize="9"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2">
    <tabColor theme="9" tint="0.79998168889431442"/>
  </sheetPr>
  <dimension ref="A1:M47"/>
  <sheetViews>
    <sheetView topLeftCell="A7" workbookViewId="0">
      <selection activeCell="D31" sqref="D31"/>
    </sheetView>
  </sheetViews>
  <sheetFormatPr defaultColWidth="11.28515625" defaultRowHeight="15"/>
  <cols>
    <col min="1" max="1" width="35.7109375" style="7" customWidth="1"/>
    <col min="2" max="2" width="13.7109375" style="7" customWidth="1"/>
    <col min="3" max="6" width="11.7109375" style="7" customWidth="1"/>
    <col min="7" max="12" width="11.7109375" style="3" customWidth="1"/>
    <col min="13" max="16384" width="11.28515625" style="3"/>
  </cols>
  <sheetData>
    <row r="1" spans="1:13" s="340" customFormat="1" ht="26.1" customHeight="1">
      <c r="A1" s="371" t="s">
        <v>515</v>
      </c>
      <c r="B1" s="340">
        <f>'DAL-US IS-adj'!B1</f>
        <v>0</v>
      </c>
    </row>
    <row r="2" spans="1:13">
      <c r="A2" s="2" t="str">
        <f>'DAL-US IS-adj'!A2</f>
        <v>Ticker</v>
      </c>
      <c r="B2" s="1056" t="str">
        <f>'At a Glance'!CPYATGLANCEFF_RWIdentifier</f>
        <v>DAL-US</v>
      </c>
      <c r="C2" s="2"/>
      <c r="D2" s="2"/>
      <c r="E2" s="2"/>
      <c r="F2" s="2"/>
      <c r="G2" s="327"/>
      <c r="H2" s="327"/>
      <c r="I2" s="327"/>
      <c r="J2" s="327"/>
      <c r="K2" s="327"/>
      <c r="L2" s="327"/>
      <c r="M2" s="327"/>
    </row>
    <row r="3" spans="1:13">
      <c r="A3" s="4" t="s">
        <v>507</v>
      </c>
      <c r="B3" s="1055" t="s">
        <v>516</v>
      </c>
      <c r="C3" s="5"/>
      <c r="D3" s="5"/>
      <c r="E3" s="5"/>
      <c r="F3" s="5"/>
      <c r="G3" s="6"/>
    </row>
    <row r="4" spans="1:13">
      <c r="A4" s="5" t="s">
        <v>517</v>
      </c>
      <c r="B4" s="918">
        <f>'Ind Leases'!B24</f>
        <v>2011</v>
      </c>
      <c r="C4" s="5"/>
      <c r="D4" s="5"/>
      <c r="E4" s="5"/>
      <c r="H4" s="326"/>
      <c r="I4" s="326"/>
    </row>
    <row r="5" spans="1:13">
      <c r="A5" s="5" t="s">
        <v>518</v>
      </c>
      <c r="B5" s="1020">
        <f>'Ind Leases'!B15</f>
        <v>2.4909240000000003E-2</v>
      </c>
      <c r="C5" s="5" t="s">
        <v>519</v>
      </c>
      <c r="D5" s="5"/>
      <c r="E5" s="5"/>
    </row>
    <row r="6" spans="1:13">
      <c r="C6" s="5"/>
    </row>
    <row r="7" spans="1:13">
      <c r="A7" s="519"/>
      <c r="B7" s="519"/>
      <c r="C7" s="906"/>
      <c r="D7" s="519"/>
      <c r="E7" s="519"/>
      <c r="F7" s="519"/>
      <c r="G7" s="519"/>
      <c r="H7" s="519"/>
      <c r="I7" s="519"/>
      <c r="J7" s="519"/>
      <c r="K7" s="519"/>
      <c r="L7" s="519"/>
    </row>
    <row r="8" spans="1:13">
      <c r="A8" s="525"/>
      <c r="B8" s="525"/>
      <c r="C8" s="525"/>
      <c r="D8" s="525" t="str">
        <f>'DAL-US IS-adj'!D5</f>
        <v>12/2019</v>
      </c>
      <c r="E8" s="525" t="str">
        <f>'DAL-US IS-adj'!E5</f>
        <v>12/2018</v>
      </c>
      <c r="F8" s="525" t="str">
        <f>'DAL-US IS-adj'!F5</f>
        <v>12/2017</v>
      </c>
      <c r="G8" s="525" t="str">
        <f>'DAL-US IS-adj'!G5</f>
        <v>12/2016</v>
      </c>
      <c r="H8" s="525" t="str">
        <f>'DAL-US IS-adj'!H5</f>
        <v>12/2015</v>
      </c>
      <c r="I8" s="525" t="str">
        <f>'DAL-US IS-adj'!I5</f>
        <v>12/2014</v>
      </c>
      <c r="J8" s="525" t="str">
        <f>'DAL-US IS-adj'!J5</f>
        <v>12/2013</v>
      </c>
      <c r="K8" s="525" t="str">
        <f>'DAL-US IS-adj'!K5</f>
        <v>12/2012</v>
      </c>
      <c r="L8" s="525" t="str">
        <f>'DAL-US IS-adj'!L5</f>
        <v>12/2011</v>
      </c>
    </row>
    <row r="9" spans="1:13" ht="30">
      <c r="A9" s="907" t="s">
        <v>520</v>
      </c>
      <c r="B9" s="908" t="s">
        <v>521</v>
      </c>
      <c r="C9" s="1074" t="s">
        <v>522</v>
      </c>
      <c r="D9" s="1074" t="s">
        <v>522</v>
      </c>
      <c r="E9" s="1074" t="s">
        <v>522</v>
      </c>
      <c r="F9" s="1074" t="s">
        <v>522</v>
      </c>
      <c r="G9" s="1074" t="s">
        <v>522</v>
      </c>
      <c r="H9" s="1074" t="s">
        <v>522</v>
      </c>
      <c r="I9" s="1074" t="s">
        <v>522</v>
      </c>
      <c r="J9" s="1074" t="s">
        <v>522</v>
      </c>
      <c r="K9" s="1074" t="s">
        <v>522</v>
      </c>
      <c r="L9" s="1074" t="s">
        <v>522</v>
      </c>
    </row>
    <row r="10" spans="1:13" ht="14.45" customHeight="1">
      <c r="A10" s="328">
        <v>0</v>
      </c>
      <c r="C10" s="1057"/>
      <c r="D10" s="329"/>
      <c r="E10" s="329"/>
      <c r="F10" s="329"/>
      <c r="G10" s="329"/>
      <c r="H10" s="329"/>
      <c r="I10" s="329"/>
      <c r="J10" s="329"/>
      <c r="K10" s="329"/>
      <c r="L10" s="329"/>
    </row>
    <row r="11" spans="1:13">
      <c r="A11" s="8">
        <v>1</v>
      </c>
      <c r="B11" s="2"/>
      <c r="C11" s="330"/>
      <c r="G11" s="7"/>
      <c r="H11" s="7"/>
      <c r="I11" s="7"/>
      <c r="J11" s="7"/>
      <c r="K11" s="7"/>
      <c r="L11" s="7"/>
    </row>
    <row r="12" spans="1:13">
      <c r="A12" s="8">
        <v>2</v>
      </c>
      <c r="B12" s="2"/>
      <c r="G12" s="7"/>
      <c r="H12" s="7"/>
      <c r="I12" s="7"/>
      <c r="J12" s="7"/>
      <c r="K12" s="7"/>
      <c r="L12" s="7"/>
    </row>
    <row r="13" spans="1:13">
      <c r="A13" s="8">
        <v>3</v>
      </c>
      <c r="B13" s="2"/>
      <c r="G13" s="7"/>
      <c r="H13" s="7"/>
      <c r="I13" s="7"/>
      <c r="J13" s="7"/>
      <c r="K13" s="7"/>
      <c r="L13" s="7"/>
    </row>
    <row r="14" spans="1:13">
      <c r="A14" s="8">
        <v>4</v>
      </c>
      <c r="B14" s="2"/>
      <c r="G14" s="7"/>
      <c r="H14" s="7"/>
      <c r="I14" s="7"/>
      <c r="J14" s="7"/>
      <c r="K14" s="7"/>
      <c r="L14" s="7"/>
    </row>
    <row r="15" spans="1:13">
      <c r="A15" s="8">
        <v>5</v>
      </c>
      <c r="B15" s="2"/>
      <c r="C15" s="330"/>
      <c r="G15" s="7"/>
      <c r="H15" s="7"/>
      <c r="I15" s="7"/>
      <c r="J15" s="7"/>
      <c r="K15" s="7"/>
      <c r="L15" s="7"/>
    </row>
    <row r="16" spans="1:13">
      <c r="A16" s="14" t="s">
        <v>523</v>
      </c>
      <c r="B16" s="2"/>
      <c r="G16" s="7"/>
      <c r="H16" s="7"/>
      <c r="I16" s="7"/>
      <c r="J16" s="7"/>
      <c r="K16" s="7"/>
      <c r="L16" s="7"/>
    </row>
    <row r="17" spans="1:12">
      <c r="A17" s="910" t="s">
        <v>524</v>
      </c>
      <c r="B17" s="911"/>
      <c r="C17" s="909"/>
      <c r="D17" s="909"/>
      <c r="E17" s="909"/>
      <c r="F17" s="909"/>
      <c r="G17" s="909"/>
      <c r="H17" s="909"/>
      <c r="I17" s="909"/>
      <c r="J17" s="909"/>
      <c r="K17" s="909"/>
      <c r="L17" s="909"/>
    </row>
    <row r="18" spans="1:12">
      <c r="A18" s="5" t="s">
        <v>525</v>
      </c>
      <c r="B18" s="2"/>
      <c r="G18" s="7"/>
      <c r="H18" s="7"/>
      <c r="I18" s="7"/>
      <c r="J18" s="7"/>
      <c r="K18" s="7"/>
      <c r="L18" s="7"/>
    </row>
    <row r="19" spans="1:12">
      <c r="A19" s="5"/>
      <c r="B19" s="2"/>
      <c r="G19" s="7"/>
      <c r="H19" s="7"/>
      <c r="I19" s="7"/>
      <c r="J19" s="7"/>
      <c r="K19" s="7"/>
      <c r="L19" s="7"/>
    </row>
    <row r="20" spans="1:12">
      <c r="A20" s="912" t="s">
        <v>526</v>
      </c>
      <c r="B20" s="898" t="s">
        <v>527</v>
      </c>
      <c r="C20" s="907"/>
      <c r="D20" s="907" t="str">
        <f t="shared" ref="D20:J20" si="0">D8</f>
        <v>12/2019</v>
      </c>
      <c r="E20" s="907" t="str">
        <f t="shared" si="0"/>
        <v>12/2018</v>
      </c>
      <c r="F20" s="907" t="str">
        <f t="shared" si="0"/>
        <v>12/2017</v>
      </c>
      <c r="G20" s="907" t="str">
        <f t="shared" si="0"/>
        <v>12/2016</v>
      </c>
      <c r="H20" s="907" t="str">
        <f t="shared" si="0"/>
        <v>12/2015</v>
      </c>
      <c r="I20" s="907" t="str">
        <f t="shared" si="0"/>
        <v>12/2014</v>
      </c>
      <c r="J20" s="907" t="str">
        <f t="shared" si="0"/>
        <v>12/2013</v>
      </c>
      <c r="K20" s="907" t="str">
        <f t="shared" ref="K20:L20" si="1">K8</f>
        <v>12/2012</v>
      </c>
      <c r="L20" s="907" t="str">
        <f t="shared" si="1"/>
        <v>12/2011</v>
      </c>
    </row>
    <row r="21" spans="1:12">
      <c r="A21" s="8">
        <f>A11</f>
        <v>1</v>
      </c>
      <c r="C21" s="8"/>
      <c r="D21" s="8"/>
      <c r="E21" s="8"/>
      <c r="F21" s="8"/>
      <c r="G21" s="8"/>
      <c r="H21" s="8"/>
      <c r="I21" s="8"/>
      <c r="J21" s="8"/>
      <c r="K21" s="8"/>
      <c r="L21" s="8"/>
    </row>
    <row r="22" spans="1:12">
      <c r="A22" s="8">
        <f>A12</f>
        <v>2</v>
      </c>
      <c r="C22" s="8"/>
      <c r="D22" s="8"/>
      <c r="E22" s="8"/>
      <c r="F22" s="8"/>
      <c r="G22" s="8"/>
      <c r="H22" s="8"/>
      <c r="I22" s="8"/>
      <c r="J22" s="8"/>
      <c r="K22" s="8"/>
      <c r="L22" s="8"/>
    </row>
    <row r="23" spans="1:12">
      <c r="A23" s="8">
        <f>A13</f>
        <v>3</v>
      </c>
      <c r="C23" s="8"/>
      <c r="D23" s="8"/>
      <c r="E23" s="8"/>
      <c r="F23" s="8"/>
      <c r="G23" s="8"/>
      <c r="H23" s="8"/>
      <c r="I23" s="8"/>
      <c r="J23" s="8"/>
      <c r="K23" s="8"/>
      <c r="L23" s="8"/>
    </row>
    <row r="24" spans="1:12">
      <c r="A24" s="8">
        <f>A14</f>
        <v>4</v>
      </c>
      <c r="C24" s="8"/>
      <c r="D24" s="8"/>
      <c r="E24" s="8"/>
      <c r="F24" s="8"/>
      <c r="G24" s="8"/>
      <c r="H24" s="8"/>
      <c r="I24" s="8"/>
      <c r="J24" s="8"/>
      <c r="K24" s="8"/>
      <c r="L24" s="8"/>
    </row>
    <row r="25" spans="1:12">
      <c r="A25" s="8">
        <f>A15</f>
        <v>5</v>
      </c>
      <c r="C25" s="8"/>
      <c r="D25" s="8"/>
      <c r="E25" s="8"/>
      <c r="F25" s="8"/>
      <c r="G25" s="8"/>
      <c r="H25" s="8"/>
      <c r="I25" s="8"/>
      <c r="J25" s="8"/>
      <c r="K25" s="8"/>
      <c r="L25" s="8"/>
    </row>
    <row r="26" spans="1:12">
      <c r="A26" s="14" t="s">
        <v>523</v>
      </c>
      <c r="C26" s="8"/>
      <c r="D26" s="8"/>
      <c r="E26" s="8"/>
      <c r="F26" s="8"/>
      <c r="G26" s="8"/>
      <c r="H26" s="8"/>
      <c r="I26" s="8"/>
      <c r="J26" s="8"/>
      <c r="K26" s="8"/>
      <c r="L26" s="8"/>
    </row>
    <row r="27" spans="1:12">
      <c r="A27" s="913"/>
      <c r="B27" s="914" t="s">
        <v>528</v>
      </c>
      <c r="C27" s="913"/>
      <c r="D27" s="913"/>
      <c r="E27" s="913"/>
      <c r="F27" s="913"/>
      <c r="G27" s="913"/>
      <c r="H27" s="913"/>
      <c r="I27" s="913"/>
      <c r="J27" s="913"/>
      <c r="K27" s="913"/>
      <c r="L27" s="913"/>
    </row>
    <row r="28" spans="1:12">
      <c r="A28" s="8"/>
      <c r="B28" s="3"/>
      <c r="C28" s="1058" t="s">
        <v>529</v>
      </c>
      <c r="G28" s="7"/>
      <c r="H28" s="7"/>
      <c r="I28" s="7"/>
      <c r="J28" s="7"/>
      <c r="K28" s="7"/>
      <c r="L28" s="7"/>
    </row>
    <row r="29" spans="1:12">
      <c r="A29" s="637"/>
      <c r="B29" s="1061" t="s">
        <v>530</v>
      </c>
      <c r="G29" s="7"/>
      <c r="H29" s="7"/>
      <c r="I29" s="7"/>
      <c r="J29" s="7"/>
      <c r="K29" s="7"/>
      <c r="L29" s="7"/>
    </row>
    <row r="30" spans="1:12">
      <c r="A30" s="8"/>
      <c r="B30" s="519" t="s">
        <v>531</v>
      </c>
      <c r="C30" s="380"/>
      <c r="D30" s="380">
        <f t="shared" ref="D30:L30" si="2">D27/(5+D17)/1000</f>
        <v>0</v>
      </c>
      <c r="E30" s="380">
        <f t="shared" si="2"/>
        <v>0</v>
      </c>
      <c r="F30" s="380">
        <f t="shared" si="2"/>
        <v>0</v>
      </c>
      <c r="G30" s="380">
        <f t="shared" si="2"/>
        <v>0</v>
      </c>
      <c r="H30" s="380">
        <f t="shared" si="2"/>
        <v>0</v>
      </c>
      <c r="I30" s="380">
        <f t="shared" si="2"/>
        <v>0</v>
      </c>
      <c r="J30" s="380">
        <f t="shared" si="2"/>
        <v>0</v>
      </c>
      <c r="K30" s="380">
        <f t="shared" si="2"/>
        <v>0</v>
      </c>
      <c r="L30" s="380">
        <f t="shared" si="2"/>
        <v>0</v>
      </c>
    </row>
    <row r="31" spans="1:12">
      <c r="A31" s="8"/>
      <c r="B31" s="7" t="s">
        <v>532</v>
      </c>
      <c r="C31" s="2"/>
      <c r="D31" s="2">
        <f t="shared" ref="D31:L31" si="3">D10/1000</f>
        <v>0</v>
      </c>
      <c r="E31" s="2">
        <f t="shared" si="3"/>
        <v>0</v>
      </c>
      <c r="F31" s="2">
        <f t="shared" si="3"/>
        <v>0</v>
      </c>
      <c r="G31" s="2">
        <f t="shared" si="3"/>
        <v>0</v>
      </c>
      <c r="H31" s="2">
        <f t="shared" si="3"/>
        <v>0</v>
      </c>
      <c r="I31" s="2">
        <f t="shared" si="3"/>
        <v>0</v>
      </c>
      <c r="J31" s="2">
        <f t="shared" si="3"/>
        <v>0</v>
      </c>
      <c r="K31" s="2">
        <f t="shared" si="3"/>
        <v>0</v>
      </c>
      <c r="L31" s="2">
        <f t="shared" si="3"/>
        <v>0</v>
      </c>
    </row>
    <row r="32" spans="1:12">
      <c r="B32" s="519" t="s">
        <v>533</v>
      </c>
      <c r="C32" s="380"/>
      <c r="D32" s="380">
        <f t="shared" ref="D32:L32" si="4">(D31-D30)</f>
        <v>0</v>
      </c>
      <c r="E32" s="380">
        <f t="shared" si="4"/>
        <v>0</v>
      </c>
      <c r="F32" s="380">
        <f t="shared" si="4"/>
        <v>0</v>
      </c>
      <c r="G32" s="380">
        <f t="shared" si="4"/>
        <v>0</v>
      </c>
      <c r="H32" s="380">
        <f t="shared" si="4"/>
        <v>0</v>
      </c>
      <c r="I32" s="380">
        <f t="shared" si="4"/>
        <v>0</v>
      </c>
      <c r="J32" s="380">
        <f t="shared" si="4"/>
        <v>0</v>
      </c>
      <c r="K32" s="380">
        <f t="shared" si="4"/>
        <v>0</v>
      </c>
      <c r="L32" s="380">
        <f t="shared" si="4"/>
        <v>0</v>
      </c>
    </row>
    <row r="33" spans="1:12">
      <c r="B33" s="519" t="s">
        <v>534</v>
      </c>
      <c r="C33" s="380"/>
      <c r="D33" s="380">
        <f t="shared" ref="D33:L33" si="5">D27/1000</f>
        <v>0</v>
      </c>
      <c r="E33" s="380">
        <f t="shared" si="5"/>
        <v>0</v>
      </c>
      <c r="F33" s="380">
        <f t="shared" si="5"/>
        <v>0</v>
      </c>
      <c r="G33" s="380">
        <f t="shared" si="5"/>
        <v>0</v>
      </c>
      <c r="H33" s="380">
        <f t="shared" si="5"/>
        <v>0</v>
      </c>
      <c r="I33" s="380">
        <f t="shared" si="5"/>
        <v>0</v>
      </c>
      <c r="J33" s="380">
        <f t="shared" si="5"/>
        <v>0</v>
      </c>
      <c r="K33" s="380">
        <f t="shared" si="5"/>
        <v>0</v>
      </c>
      <c r="L33" s="380">
        <f t="shared" si="5"/>
        <v>0</v>
      </c>
    </row>
    <row r="35" spans="1:12">
      <c r="A35" s="8"/>
      <c r="G35" s="7"/>
      <c r="H35" s="7"/>
      <c r="I35" s="7"/>
      <c r="J35" s="7"/>
      <c r="K35" s="7"/>
      <c r="L35" s="7"/>
    </row>
    <row r="36" spans="1:12">
      <c r="A36" s="8"/>
      <c r="G36" s="7"/>
      <c r="H36" s="7"/>
      <c r="I36" s="7"/>
      <c r="J36" s="7"/>
      <c r="K36" s="7"/>
      <c r="L36" s="7"/>
    </row>
    <row r="37" spans="1:12">
      <c r="A37" s="8"/>
      <c r="G37" s="7"/>
      <c r="H37" s="7"/>
      <c r="I37" s="7"/>
      <c r="J37" s="7"/>
      <c r="K37" s="7"/>
      <c r="L37" s="7"/>
    </row>
    <row r="38" spans="1:12">
      <c r="A38" s="8"/>
      <c r="G38" s="7"/>
      <c r="H38" s="7"/>
      <c r="I38" s="7"/>
      <c r="J38" s="7"/>
      <c r="K38" s="7"/>
      <c r="L38" s="7"/>
    </row>
    <row r="39" spans="1:12">
      <c r="A39" s="8"/>
      <c r="G39" s="7"/>
      <c r="H39" s="7"/>
      <c r="I39" s="7"/>
      <c r="J39" s="7"/>
      <c r="K39" s="7"/>
      <c r="L39" s="7"/>
    </row>
    <row r="40" spans="1:12">
      <c r="A40" s="8"/>
      <c r="G40" s="7"/>
      <c r="H40" s="7"/>
      <c r="I40" s="7"/>
      <c r="J40" s="7"/>
      <c r="K40" s="7"/>
      <c r="L40" s="7"/>
    </row>
    <row r="41" spans="1:12">
      <c r="A41" s="8"/>
      <c r="G41" s="7"/>
      <c r="H41" s="7"/>
      <c r="I41" s="7"/>
      <c r="J41" s="7"/>
      <c r="K41" s="7"/>
      <c r="L41" s="7"/>
    </row>
    <row r="42" spans="1:12">
      <c r="A42" s="8"/>
      <c r="G42" s="7"/>
      <c r="H42" s="7"/>
      <c r="I42" s="7"/>
      <c r="J42" s="7"/>
      <c r="K42" s="7"/>
      <c r="L42" s="7"/>
    </row>
    <row r="43" spans="1:12">
      <c r="A43" s="8"/>
      <c r="G43" s="7"/>
      <c r="H43" s="7"/>
      <c r="I43" s="7"/>
      <c r="J43" s="7"/>
      <c r="K43" s="7"/>
      <c r="L43" s="7"/>
    </row>
    <row r="44" spans="1:12">
      <c r="A44" s="8"/>
      <c r="G44" s="7"/>
      <c r="H44" s="7"/>
      <c r="I44" s="7"/>
      <c r="J44" s="7"/>
      <c r="K44" s="7"/>
      <c r="L44" s="7"/>
    </row>
    <row r="45" spans="1:12">
      <c r="G45" s="7"/>
      <c r="H45" s="7"/>
      <c r="I45" s="7"/>
      <c r="J45" s="7"/>
      <c r="K45" s="7"/>
      <c r="L45" s="7"/>
    </row>
    <row r="46" spans="1:12">
      <c r="G46" s="7"/>
      <c r="H46" s="7"/>
      <c r="I46" s="7"/>
      <c r="J46" s="7"/>
      <c r="K46" s="7"/>
      <c r="L46" s="7"/>
    </row>
    <row r="47" spans="1:12">
      <c r="C47" s="9"/>
      <c r="D47" s="9"/>
      <c r="E47" s="9"/>
      <c r="F47" s="9"/>
      <c r="G47" s="9"/>
      <c r="H47" s="9"/>
      <c r="I47" s="9"/>
      <c r="J47" s="9"/>
      <c r="K47" s="9"/>
      <c r="L47" s="9"/>
    </row>
  </sheetData>
  <pageMargins left="0.7" right="0.7" top="0.78740157499999996" bottom="0.78740157499999996"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A64A4-7340-4541-97E8-AE40B00A12C7}">
  <sheetPr>
    <tabColor theme="9" tint="0.79998168889431442"/>
  </sheetPr>
  <dimension ref="A1:M47"/>
  <sheetViews>
    <sheetView workbookViewId="0">
      <selection activeCell="F11" sqref="F11:L16"/>
    </sheetView>
  </sheetViews>
  <sheetFormatPr defaultColWidth="11.28515625" defaultRowHeight="15"/>
  <cols>
    <col min="1" max="1" width="35.7109375" style="7" customWidth="1"/>
    <col min="2" max="2" width="13.7109375" style="7" customWidth="1"/>
    <col min="3" max="6" width="11.7109375" style="7" customWidth="1"/>
    <col min="7" max="12" width="11.7109375" style="3" customWidth="1"/>
    <col min="13" max="16384" width="11.28515625" style="3"/>
  </cols>
  <sheetData>
    <row r="1" spans="1:13" s="340" customFormat="1" ht="26.1" customHeight="1">
      <c r="A1" s="371" t="s">
        <v>515</v>
      </c>
      <c r="B1" s="340">
        <f>'DAL-US IS-adj'!B1</f>
        <v>0</v>
      </c>
    </row>
    <row r="2" spans="1:13">
      <c r="A2" s="2" t="str">
        <f>'DAL-US IS-adj'!A2</f>
        <v>Ticker</v>
      </c>
      <c r="B2" s="1056" t="str">
        <f>'Industry Ratios'!E3</f>
        <v>AC-CA</v>
      </c>
      <c r="C2" s="2"/>
      <c r="D2" s="2"/>
      <c r="E2" s="2"/>
      <c r="F2" s="2"/>
      <c r="G2" s="327"/>
      <c r="H2" s="327"/>
      <c r="I2" s="327"/>
      <c r="J2" s="327"/>
      <c r="K2" s="327"/>
      <c r="L2" s="327"/>
      <c r="M2" s="327"/>
    </row>
    <row r="3" spans="1:13">
      <c r="A3" s="4" t="s">
        <v>507</v>
      </c>
      <c r="B3" s="1055" t="s">
        <v>516</v>
      </c>
      <c r="C3" s="5"/>
      <c r="D3" s="5"/>
      <c r="E3" s="5"/>
      <c r="F3" s="5"/>
      <c r="G3" s="6"/>
    </row>
    <row r="4" spans="1:13">
      <c r="A4" s="5" t="s">
        <v>517</v>
      </c>
      <c r="B4" s="918">
        <f>'Ind Leases'!C24</f>
        <v>2018</v>
      </c>
      <c r="C4" s="5"/>
      <c r="D4" s="5"/>
      <c r="E4" s="5"/>
      <c r="H4" s="326"/>
      <c r="I4" s="326"/>
    </row>
    <row r="5" spans="1:13">
      <c r="A5" s="5" t="s">
        <v>518</v>
      </c>
      <c r="B5" s="1020">
        <f>'Ind Leases'!C15</f>
        <v>4.2963395000000001E-2</v>
      </c>
      <c r="C5" s="5" t="s">
        <v>519</v>
      </c>
      <c r="D5" s="5"/>
      <c r="E5" s="5"/>
    </row>
    <row r="6" spans="1:13">
      <c r="C6" s="5"/>
    </row>
    <row r="7" spans="1:13">
      <c r="A7" s="519"/>
      <c r="B7" s="519"/>
      <c r="C7" s="906"/>
      <c r="D7" s="519"/>
      <c r="E7" s="519"/>
      <c r="F7" s="519"/>
      <c r="G7" s="519"/>
      <c r="H7" s="519"/>
      <c r="I7" s="519"/>
      <c r="J7" s="519"/>
      <c r="K7" s="519"/>
      <c r="L7" s="519"/>
    </row>
    <row r="8" spans="1:13">
      <c r="A8" s="525"/>
      <c r="B8" s="525"/>
      <c r="C8" s="525"/>
      <c r="D8" s="525" t="str">
        <f>'DAL-US IS-adj'!D5</f>
        <v>12/2019</v>
      </c>
      <c r="E8" s="525" t="str">
        <f>'DAL-US IS-adj'!E5</f>
        <v>12/2018</v>
      </c>
      <c r="F8" s="525" t="str">
        <f>'DAL-US IS-adj'!F5</f>
        <v>12/2017</v>
      </c>
      <c r="G8" s="525" t="str">
        <f>'DAL-US IS-adj'!G5</f>
        <v>12/2016</v>
      </c>
      <c r="H8" s="525" t="str">
        <f>'DAL-US IS-adj'!H5</f>
        <v>12/2015</v>
      </c>
      <c r="I8" s="525" t="str">
        <f>'DAL-US IS-adj'!I5</f>
        <v>12/2014</v>
      </c>
      <c r="J8" s="525" t="str">
        <f>'DAL-US IS-adj'!J5</f>
        <v>12/2013</v>
      </c>
      <c r="K8" s="525" t="str">
        <f>'DAL-US IS-adj'!K5</f>
        <v>12/2012</v>
      </c>
      <c r="L8" s="525" t="str">
        <f>'DAL-US IS-adj'!L5</f>
        <v>12/2011</v>
      </c>
    </row>
    <row r="9" spans="1:13" ht="30">
      <c r="A9" s="907" t="s">
        <v>520</v>
      </c>
      <c r="B9" s="908" t="s">
        <v>521</v>
      </c>
      <c r="C9" s="1074" t="s">
        <v>522</v>
      </c>
      <c r="D9" s="1074" t="s">
        <v>522</v>
      </c>
      <c r="E9" s="1074" t="s">
        <v>522</v>
      </c>
      <c r="F9" s="907" t="str">
        <f>'DAL-US IS-adj'!F6</f>
        <v>365 DAYS</v>
      </c>
      <c r="G9" s="907" t="str">
        <f>'DAL-US IS-adj'!G6</f>
        <v>366 DAYS</v>
      </c>
      <c r="H9" s="907" t="str">
        <f>'DAL-US IS-adj'!H6</f>
        <v>365 DAYS</v>
      </c>
      <c r="I9" s="907" t="str">
        <f>'DAL-US IS-adj'!I6</f>
        <v>365 DAYS</v>
      </c>
      <c r="J9" s="907" t="str">
        <f>'DAL-US IS-adj'!J6</f>
        <v>365 DAYS</v>
      </c>
      <c r="K9" s="907" t="str">
        <f>'DAL-US IS-adj'!K6</f>
        <v>366 DAYS</v>
      </c>
      <c r="L9" s="907" t="str">
        <f>'DAL-US IS-adj'!L6</f>
        <v>365 DAYS</v>
      </c>
    </row>
    <row r="10" spans="1:13" ht="14.45" customHeight="1">
      <c r="A10" s="328">
        <v>0</v>
      </c>
      <c r="C10" s="1057"/>
      <c r="D10" s="329"/>
      <c r="E10" s="329"/>
      <c r="F10" s="329">
        <f>G11</f>
        <v>572</v>
      </c>
      <c r="G10" s="329">
        <f t="shared" ref="G10:H10" si="0">H11</f>
        <v>536</v>
      </c>
      <c r="H10" s="329">
        <f t="shared" si="0"/>
        <v>359</v>
      </c>
      <c r="I10" s="329">
        <f>J11</f>
        <v>359</v>
      </c>
      <c r="J10" s="329">
        <f>K11</f>
        <v>377</v>
      </c>
      <c r="K10" s="329">
        <f>L11</f>
        <v>395</v>
      </c>
      <c r="L10" s="329" cm="1">
        <f t="array" ref="L10">IFERROR(_xll.FDS($B$2,"FF_OPER_LEASE_COMMIT_YR1(ANN_R,-10)"),)</f>
        <v>0</v>
      </c>
    </row>
    <row r="11" spans="1:13">
      <c r="A11" s="8">
        <v>1</v>
      </c>
      <c r="B11" s="2"/>
      <c r="C11" s="330"/>
      <c r="F11" s="7" cm="1">
        <f t="array" ref="F11">_xll.FDS($B$2,"FF_OPER_LEASE_COMMIT_YR1(ANN_R,-3)")</f>
        <v>606</v>
      </c>
      <c r="G11" s="7" cm="1">
        <f t="array" ref="G11">_xll.FDS($B$2,"FF_OPER_LEASE_COMMIT_YR1(ANN_R,-4)")</f>
        <v>572</v>
      </c>
      <c r="H11" s="7" cm="1">
        <f t="array" ref="H11">_xll.FDS($B$2,"FF_OPER_LEASE_COMMIT_YR1(ANN_R,-5)")</f>
        <v>536</v>
      </c>
      <c r="I11" s="7" cm="1">
        <f t="array" ref="I11">_xll.FDS($B$2,"FF_OPER_LEASE_COMMIT_YR1(ANN_R,-6)")</f>
        <v>359</v>
      </c>
      <c r="J11" s="7" cm="1">
        <f t="array" ref="J11">_xll.FDS($B$2,"FF_OPER_LEASE_COMMIT_YR1(ANN_R,-7)")</f>
        <v>359</v>
      </c>
      <c r="K11" s="7">
        <f>(J11+L11)/2</f>
        <v>377</v>
      </c>
      <c r="L11" s="7" cm="1">
        <f t="array" ref="L11">_xll.FDS($B$2,"FF_OPER_LEASE_COMMIT_YR1(ANN_R,-9)")</f>
        <v>395</v>
      </c>
    </row>
    <row r="12" spans="1:13">
      <c r="A12" s="8">
        <v>2</v>
      </c>
      <c r="B12" s="2"/>
      <c r="F12" s="7" cm="1">
        <f t="array" ref="F12">_xll.FDS($B$2,"FF_OPER_LEASE_COMMIT_YR2(ANN_R,-3)")</f>
        <v>520</v>
      </c>
      <c r="G12" s="7" cm="1">
        <f t="array" ref="G12">_xll.FDS($B$2,"FF_OPER_LEASE_COMMIT_YR2(ANN_R,-4)")</f>
        <v>507</v>
      </c>
      <c r="H12" s="7" cm="1">
        <f t="array" ref="H12">_xll.FDS($B$2,"FF_OPER_LEASE_COMMIT_YR2(ANN_R,-5)")</f>
        <v>477</v>
      </c>
      <c r="I12" s="7" cm="1">
        <f t="array" ref="I12">_xll.FDS($B$2,"FF_OPER_LEASE_COMMIT_YR2(ANN_R,-6)")</f>
        <v>300</v>
      </c>
      <c r="J12" s="7" cm="1">
        <f t="array" ref="J12">_xll.FDS($B$2,"FF_OPER_LEASE_COMMIT_YR2(ANN_R,-7)")</f>
        <v>306</v>
      </c>
      <c r="K12" s="7">
        <f t="shared" ref="K12:K16" si="1">(J12+L12)/2</f>
        <v>334</v>
      </c>
      <c r="L12" s="7" cm="1">
        <f t="array" ref="L12">_xll.FDS($B$2,"FF_OPER_LEASE_COMMIT_YR2(ANN_R,-9)")</f>
        <v>362</v>
      </c>
    </row>
    <row r="13" spans="1:13">
      <c r="A13" s="8">
        <v>3</v>
      </c>
      <c r="B13" s="2"/>
      <c r="F13" s="7" cm="1">
        <f t="array" ref="F13">_xll.FDS($B$2,"FF_OPER_LEASE_COMMIT_YR3(ANN_R,-3)")</f>
        <v>397</v>
      </c>
      <c r="G13" s="7" cm="1">
        <f t="array" ref="G13">_xll.FDS($B$2,"FF_OPER_LEASE_COMMIT_YR3(ANN_R,-4)")</f>
        <v>420</v>
      </c>
      <c r="H13" s="7" cm="1">
        <f t="array" ref="H13">_xll.FDS($B$2,"FF_OPER_LEASE_COMMIT_YR3(ANN_R,-5)")</f>
        <v>420</v>
      </c>
      <c r="I13" s="7" cm="1">
        <f t="array" ref="I13">_xll.FDS($B$2,"FF_OPER_LEASE_COMMIT_YR3(ANN_R,-6)")</f>
        <v>266</v>
      </c>
      <c r="J13" s="7" cm="1">
        <f t="array" ref="J13">_xll.FDS($B$2,"FF_OPER_LEASE_COMMIT_YR3(ANN_R,-7)")</f>
        <v>250</v>
      </c>
      <c r="K13" s="7">
        <f t="shared" si="1"/>
        <v>273</v>
      </c>
      <c r="L13" s="7" cm="1">
        <f t="array" ref="L13">_xll.FDS($B$2,"FF_OPER_LEASE_COMMIT_YR3(ANN_R,-9)")</f>
        <v>296</v>
      </c>
    </row>
    <row r="14" spans="1:13">
      <c r="A14" s="8">
        <v>4</v>
      </c>
      <c r="B14" s="2"/>
      <c r="F14" s="7" cm="1">
        <f t="array" ref="F14">_xll.FDS($B$2,"FF_OPER_LEASE_COMMIT_YR4(ANN_R,-3)")</f>
        <v>288</v>
      </c>
      <c r="G14" s="7" cm="1">
        <f t="array" ref="G14">_xll.FDS($B$2,"FF_OPER_LEASE_COMMIT_YR4(ANN_R,-4)")</f>
        <v>305</v>
      </c>
      <c r="H14" s="7" cm="1">
        <f t="array" ref="H14">_xll.FDS($B$2,"FF_OPER_LEASE_COMMIT_YR4(ANN_R,-5)")</f>
        <v>333</v>
      </c>
      <c r="I14" s="7" cm="1">
        <f t="array" ref="I14">_xll.FDS($B$2,"FF_OPER_LEASE_COMMIT_YR4(ANN_R,-6)")</f>
        <v>227</v>
      </c>
      <c r="J14" s="7" cm="1">
        <f t="array" ref="J14">_xll.FDS($B$2,"FF_OPER_LEASE_COMMIT_YR4(ANN_R,-7)")</f>
        <v>219</v>
      </c>
      <c r="K14" s="7">
        <f t="shared" si="1"/>
        <v>233</v>
      </c>
      <c r="L14" s="7" cm="1">
        <f t="array" ref="L14">_xll.FDS($B$2,"FF_OPER_LEASE_COMMIT_YR4(ANN_R,-9)")</f>
        <v>247</v>
      </c>
    </row>
    <row r="15" spans="1:13">
      <c r="A15" s="8">
        <v>5</v>
      </c>
      <c r="B15" s="2"/>
      <c r="C15" s="330"/>
      <c r="F15" s="7" cm="1">
        <f t="array" ref="F15">_xll.FDS($B$2,"FF_OPER_LEASE_COMMIT_YR5(ANN_R,-3)")</f>
        <v>210</v>
      </c>
      <c r="G15" s="7" cm="1">
        <f t="array" ref="G15">_xll.FDS($B$2,"FF_OPER_LEASE_COMMIT_YR5(ANN_R,-4)")</f>
        <v>206</v>
      </c>
      <c r="H15" s="7" cm="1">
        <f t="array" ref="H15">_xll.FDS($B$2,"FF_OPER_LEASE_COMMIT_YR5(ANN_R,-5)")</f>
        <v>228</v>
      </c>
      <c r="I15" s="7" cm="1">
        <f t="array" ref="I15">_xll.FDS($B$2,"FF_OPER_LEASE_COMMIT_YR5(ANN_R,-6)")</f>
        <v>185</v>
      </c>
      <c r="J15" s="7" cm="1">
        <f t="array" ref="J15">_xll.FDS($B$2,"FF_OPER_LEASE_COMMIT_YR5(ANN_R,-7)")</f>
        <v>191</v>
      </c>
      <c r="K15" s="7">
        <f t="shared" si="1"/>
        <v>198</v>
      </c>
      <c r="L15" s="7" cm="1">
        <f t="array" ref="L15">_xll.FDS($B$2,"FF_OPER_LEASE_COMMIT_YR5(ANN_R,-9)")</f>
        <v>205</v>
      </c>
    </row>
    <row r="16" spans="1:13">
      <c r="A16" s="14" t="s">
        <v>523</v>
      </c>
      <c r="B16" s="2"/>
      <c r="F16" s="7" cm="1">
        <f t="array" ref="F16">_xll.FDS($B$2,"FF_OPER_LEASE_COMMIT_5YR(ANN_R,-3)")</f>
        <v>882</v>
      </c>
      <c r="G16" s="7" cm="1">
        <f t="array" ref="G16">_xll.FDS($B$2,"FF_OPER_LEASE_COMMIT_5YR(ANN_R,-4)")</f>
        <v>508</v>
      </c>
      <c r="H16" s="7" cm="1">
        <f t="array" ref="H16">_xll.FDS($B$2,"FF_OPER_LEASE_COMMIT_5YR(ANN_R,-5)")</f>
        <v>346</v>
      </c>
      <c r="I16" s="7" cm="1">
        <f t="array" ref="I16">_xll.FDS($B$2,"FF_OPER_LEASE_COMMIT_5YR(ANN_R,-6)")</f>
        <v>296</v>
      </c>
      <c r="J16" s="7" cm="1">
        <f t="array" ref="J16">_xll.FDS($B$2,"FF_OPER_LEASE_COMMIT_5YR(ANN_R,-7)")</f>
        <v>419</v>
      </c>
      <c r="K16" s="7">
        <f t="shared" si="1"/>
        <v>515.5</v>
      </c>
      <c r="L16" s="7" cm="1">
        <f t="array" ref="L16">_xll.FDS($B$2,"FF_OPER_LEASE_COMMIT_5YR(ANN_R,-9)")</f>
        <v>612</v>
      </c>
    </row>
    <row r="17" spans="1:12">
      <c r="A17" s="910" t="s">
        <v>524</v>
      </c>
      <c r="B17" s="911"/>
      <c r="C17" s="909"/>
      <c r="D17" s="909"/>
      <c r="E17" s="909"/>
      <c r="F17" s="909">
        <f t="shared" ref="F17:H17" si="2">IF(F16&gt;0,ROUND(F16/AVERAGE(F11:F15),0),0)</f>
        <v>2</v>
      </c>
      <c r="G17" s="909">
        <f t="shared" si="2"/>
        <v>1</v>
      </c>
      <c r="H17" s="909">
        <f t="shared" si="2"/>
        <v>1</v>
      </c>
      <c r="I17" s="909">
        <f>IF(I16&gt;0,ROUND(I16/AVERAGE(I11:I15),0),0)</f>
        <v>1</v>
      </c>
      <c r="J17" s="909">
        <f t="shared" ref="J17:L17" si="3">IF(J16&gt;0,ROUND(J16/AVERAGE(J11:J15),0),0)</f>
        <v>2</v>
      </c>
      <c r="K17" s="909">
        <f>IF(K16&gt;0,ROUND(K16/AVERAGE(K11:K15),0),0)</f>
        <v>2</v>
      </c>
      <c r="L17" s="909">
        <f t="shared" si="3"/>
        <v>2</v>
      </c>
    </row>
    <row r="18" spans="1:12">
      <c r="A18" s="5" t="s">
        <v>525</v>
      </c>
      <c r="B18" s="2"/>
      <c r="G18" s="7"/>
      <c r="H18" s="7"/>
      <c r="I18" s="7"/>
      <c r="J18" s="7"/>
      <c r="K18" s="7"/>
      <c r="L18" s="7"/>
    </row>
    <row r="19" spans="1:12">
      <c r="A19" s="5"/>
      <c r="B19" s="2"/>
      <c r="G19" s="7"/>
      <c r="H19" s="7"/>
      <c r="I19" s="7"/>
      <c r="J19" s="7"/>
      <c r="K19" s="7"/>
      <c r="L19" s="7"/>
    </row>
    <row r="20" spans="1:12">
      <c r="A20" s="912" t="s">
        <v>526</v>
      </c>
      <c r="B20" s="898" t="s">
        <v>527</v>
      </c>
      <c r="C20" s="907"/>
      <c r="D20" s="907" t="str">
        <f t="shared" ref="D20:L20" si="4">D8</f>
        <v>12/2019</v>
      </c>
      <c r="E20" s="907" t="str">
        <f t="shared" si="4"/>
        <v>12/2018</v>
      </c>
      <c r="F20" s="907" t="str">
        <f t="shared" si="4"/>
        <v>12/2017</v>
      </c>
      <c r="G20" s="907" t="str">
        <f t="shared" si="4"/>
        <v>12/2016</v>
      </c>
      <c r="H20" s="907" t="str">
        <f t="shared" si="4"/>
        <v>12/2015</v>
      </c>
      <c r="I20" s="907" t="str">
        <f t="shared" si="4"/>
        <v>12/2014</v>
      </c>
      <c r="J20" s="907" t="str">
        <f t="shared" si="4"/>
        <v>12/2013</v>
      </c>
      <c r="K20" s="907" t="str">
        <f t="shared" si="4"/>
        <v>12/2012</v>
      </c>
      <c r="L20" s="907" t="str">
        <f t="shared" si="4"/>
        <v>12/2011</v>
      </c>
    </row>
    <row r="21" spans="1:12">
      <c r="A21" s="8">
        <f>A11</f>
        <v>1</v>
      </c>
      <c r="C21" s="8"/>
      <c r="D21" s="8"/>
      <c r="E21" s="8"/>
      <c r="F21" s="8">
        <f t="shared" ref="F21:L25" si="5">F11/(1+$B$5)^$A21</f>
        <v>581.0366911295099</v>
      </c>
      <c r="G21" s="8">
        <f t="shared" si="5"/>
        <v>548.43727281531301</v>
      </c>
      <c r="H21" s="8">
        <f t="shared" si="5"/>
        <v>513.92024165910448</v>
      </c>
      <c r="I21" s="8">
        <f t="shared" si="5"/>
        <v>344.21150514107933</v>
      </c>
      <c r="J21" s="8">
        <f>J11/(1+$B$5)^$A21</f>
        <v>344.21150514107933</v>
      </c>
      <c r="K21" s="8">
        <f>K11/(1+$B$5)^$A21</f>
        <v>361.47002071918359</v>
      </c>
      <c r="L21" s="8">
        <f t="shared" si="5"/>
        <v>378.7285362972878</v>
      </c>
    </row>
    <row r="22" spans="1:12">
      <c r="A22" s="8">
        <f>A12</f>
        <v>2</v>
      </c>
      <c r="C22" s="8"/>
      <c r="D22" s="8"/>
      <c r="E22" s="8"/>
      <c r="F22" s="8">
        <f t="shared" si="5"/>
        <v>478.04107154020676</v>
      </c>
      <c r="G22" s="8">
        <f t="shared" si="5"/>
        <v>466.09004475170156</v>
      </c>
      <c r="H22" s="8">
        <f t="shared" si="5"/>
        <v>438.51075216284352</v>
      </c>
      <c r="I22" s="8">
        <f t="shared" si="5"/>
        <v>275.79292588858084</v>
      </c>
      <c r="J22" s="8">
        <f t="shared" si="5"/>
        <v>281.3087844063524</v>
      </c>
      <c r="K22" s="8">
        <f t="shared" si="5"/>
        <v>307.04945748928662</v>
      </c>
      <c r="L22" s="8">
        <f t="shared" si="5"/>
        <v>332.79013057222085</v>
      </c>
    </row>
    <row r="23" spans="1:12">
      <c r="A23" s="8">
        <f>A13</f>
        <v>3</v>
      </c>
      <c r="C23" s="8"/>
      <c r="D23" s="8"/>
      <c r="E23" s="8"/>
      <c r="F23" s="8">
        <f t="shared" si="5"/>
        <v>349.93171733116162</v>
      </c>
      <c r="G23" s="8">
        <f t="shared" si="5"/>
        <v>370.20483949392411</v>
      </c>
      <c r="H23" s="8">
        <f t="shared" si="5"/>
        <v>370.20483949392411</v>
      </c>
      <c r="I23" s="8">
        <f t="shared" si="5"/>
        <v>234.46306501281862</v>
      </c>
      <c r="J23" s="8">
        <f t="shared" si="5"/>
        <v>220.36002350828818</v>
      </c>
      <c r="K23" s="8">
        <f t="shared" si="5"/>
        <v>240.63314567105067</v>
      </c>
      <c r="L23" s="8">
        <f t="shared" si="5"/>
        <v>260.90626783381316</v>
      </c>
    </row>
    <row r="24" spans="1:12">
      <c r="A24" s="8">
        <f>A14</f>
        <v>4</v>
      </c>
      <c r="C24" s="8"/>
      <c r="D24" s="8"/>
      <c r="E24" s="8"/>
      <c r="F24" s="8">
        <f t="shared" si="5"/>
        <v>243.39756150458953</v>
      </c>
      <c r="G24" s="8">
        <f t="shared" si="5"/>
        <v>257.76477867673543</v>
      </c>
      <c r="H24" s="8">
        <f t="shared" si="5"/>
        <v>281.42843048968166</v>
      </c>
      <c r="I24" s="8">
        <f t="shared" si="5"/>
        <v>191.84460576924243</v>
      </c>
      <c r="J24" s="8">
        <f t="shared" si="5"/>
        <v>185.08356239411495</v>
      </c>
      <c r="K24" s="8">
        <f t="shared" si="5"/>
        <v>196.91538830058806</v>
      </c>
      <c r="L24" s="8">
        <f t="shared" si="5"/>
        <v>208.74721420706118</v>
      </c>
    </row>
    <row r="25" spans="1:12">
      <c r="A25" s="8">
        <f>A15</f>
        <v>5</v>
      </c>
      <c r="C25" s="8"/>
      <c r="D25" s="8"/>
      <c r="E25" s="8"/>
      <c r="F25" s="8">
        <f t="shared" si="5"/>
        <v>170.16645977023629</v>
      </c>
      <c r="G25" s="8">
        <f t="shared" si="5"/>
        <v>166.92519386985083</v>
      </c>
      <c r="H25" s="8">
        <f t="shared" si="5"/>
        <v>184.75215632197083</v>
      </c>
      <c r="I25" s="8">
        <f t="shared" si="5"/>
        <v>149.90854789282719</v>
      </c>
      <c r="J25" s="8">
        <f t="shared" si="5"/>
        <v>154.77044674340539</v>
      </c>
      <c r="K25" s="8">
        <f t="shared" si="5"/>
        <v>160.44266206907992</v>
      </c>
      <c r="L25" s="8">
        <f t="shared" si="5"/>
        <v>166.11487739475447</v>
      </c>
    </row>
    <row r="26" spans="1:12">
      <c r="A26" s="14" t="s">
        <v>523</v>
      </c>
      <c r="C26" s="8"/>
      <c r="D26" s="8"/>
      <c r="E26" s="8"/>
      <c r="F26" s="8">
        <f t="shared" ref="F26:L26" si="6">IF(F17&gt;0,(F16/F17*(1-(1+$B$5)^(-F17))/$B$5)/(1+$B$5)^5,F16/F17/(1+$B$5)^6)</f>
        <v>671.14399875874767</v>
      </c>
      <c r="G26" s="8">
        <f t="shared" si="6"/>
        <v>394.68381279953911</v>
      </c>
      <c r="H26" s="8">
        <f t="shared" si="6"/>
        <v>268.8200772217333</v>
      </c>
      <c r="I26" s="8">
        <f t="shared" si="6"/>
        <v>229.97324525327471</v>
      </c>
      <c r="J26" s="8">
        <f>IF(J17&gt;0,(J16/J17*(1-(1+$B$5)^(-J17))/$B$5)/(1+$B$5)^5,J16/J17/(1+$B$5)^6)</f>
        <v>318.83144612235287</v>
      </c>
      <c r="K26" s="8">
        <f>IF(K17&gt;0,(K16/K17*(1-(1+$B$5)^(-K17))/$B$5)/(1+$B$5)^5,K16/K17/(1+$B$5)^6)</f>
        <v>392.26160018155821</v>
      </c>
      <c r="L26" s="8">
        <f t="shared" si="6"/>
        <v>465.6917542407636</v>
      </c>
    </row>
    <row r="27" spans="1:12">
      <c r="A27" s="913"/>
      <c r="B27" s="914" t="s">
        <v>528</v>
      </c>
      <c r="C27" s="913"/>
      <c r="D27" s="913"/>
      <c r="E27" s="913"/>
      <c r="F27" s="913">
        <f t="shared" ref="F27:L27" si="7">SUM(F21:F26)</f>
        <v>2493.7175000344519</v>
      </c>
      <c r="G27" s="913">
        <f t="shared" si="7"/>
        <v>2204.105942407064</v>
      </c>
      <c r="H27" s="913">
        <f t="shared" si="7"/>
        <v>2057.6364973492582</v>
      </c>
      <c r="I27" s="913">
        <f t="shared" si="7"/>
        <v>1426.1938949578232</v>
      </c>
      <c r="J27" s="913">
        <f t="shared" si="7"/>
        <v>1504.565768315593</v>
      </c>
      <c r="K27" s="913">
        <f t="shared" si="7"/>
        <v>1658.7722744307471</v>
      </c>
      <c r="L27" s="913">
        <f t="shared" si="7"/>
        <v>1812.9787805459014</v>
      </c>
    </row>
    <row r="28" spans="1:12">
      <c r="A28" s="8"/>
      <c r="B28" s="3"/>
      <c r="C28" s="1058" t="s">
        <v>529</v>
      </c>
      <c r="G28" s="7"/>
      <c r="H28" s="7"/>
      <c r="I28" s="7"/>
      <c r="J28" s="7"/>
      <c r="K28" s="7"/>
      <c r="L28" s="7"/>
    </row>
    <row r="29" spans="1:12">
      <c r="A29" s="637"/>
      <c r="B29" s="1061" t="s">
        <v>530</v>
      </c>
      <c r="G29" s="7"/>
      <c r="H29" s="7"/>
      <c r="I29" s="7"/>
      <c r="J29" s="7"/>
      <c r="K29" s="7"/>
      <c r="L29" s="7"/>
    </row>
    <row r="30" spans="1:12">
      <c r="A30" s="8"/>
      <c r="B30" s="519" t="s">
        <v>531</v>
      </c>
      <c r="C30" s="380"/>
      <c r="D30" s="380">
        <f t="shared" ref="D30:L30" si="8">D27/(5+D17)/1000</f>
        <v>0</v>
      </c>
      <c r="E30" s="380">
        <f t="shared" si="8"/>
        <v>0</v>
      </c>
      <c r="F30" s="380">
        <f t="shared" si="8"/>
        <v>0.35624535714777888</v>
      </c>
      <c r="G30" s="380">
        <f t="shared" si="8"/>
        <v>0.36735099040117736</v>
      </c>
      <c r="H30" s="380">
        <f t="shared" si="8"/>
        <v>0.34293941622487639</v>
      </c>
      <c r="I30" s="380">
        <f t="shared" si="8"/>
        <v>0.23769898249297056</v>
      </c>
      <c r="J30" s="380">
        <f t="shared" si="8"/>
        <v>0.21493796690222758</v>
      </c>
      <c r="K30" s="380">
        <f>K27/(5+K17)/1000</f>
        <v>0.23696746777582101</v>
      </c>
      <c r="L30" s="380">
        <f t="shared" si="8"/>
        <v>0.25899696864941452</v>
      </c>
    </row>
    <row r="31" spans="1:12">
      <c r="A31" s="8"/>
      <c r="B31" s="7" t="s">
        <v>532</v>
      </c>
      <c r="C31" s="2"/>
      <c r="D31" s="2">
        <f t="shared" ref="D31:L31" si="9">D10/1000</f>
        <v>0</v>
      </c>
      <c r="E31" s="2">
        <f t="shared" si="9"/>
        <v>0</v>
      </c>
      <c r="F31" s="2">
        <f t="shared" si="9"/>
        <v>0.57199999999999995</v>
      </c>
      <c r="G31" s="2">
        <f t="shared" si="9"/>
        <v>0.53600000000000003</v>
      </c>
      <c r="H31" s="2">
        <f t="shared" si="9"/>
        <v>0.35899999999999999</v>
      </c>
      <c r="I31" s="2">
        <f t="shared" si="9"/>
        <v>0.35899999999999999</v>
      </c>
      <c r="J31" s="2">
        <f t="shared" si="9"/>
        <v>0.377</v>
      </c>
      <c r="K31" s="2">
        <f t="shared" si="9"/>
        <v>0.39500000000000002</v>
      </c>
      <c r="L31" s="2">
        <f t="shared" si="9"/>
        <v>0</v>
      </c>
    </row>
    <row r="32" spans="1:12">
      <c r="B32" s="519" t="s">
        <v>533</v>
      </c>
      <c r="C32" s="380"/>
      <c r="D32" s="380">
        <f t="shared" ref="D32:L32" si="10">(D31-D30)</f>
        <v>0</v>
      </c>
      <c r="E32" s="380">
        <f t="shared" si="10"/>
        <v>0</v>
      </c>
      <c r="F32" s="380">
        <f t="shared" si="10"/>
        <v>0.21575464285222107</v>
      </c>
      <c r="G32" s="380">
        <f t="shared" si="10"/>
        <v>0.16864900959882267</v>
      </c>
      <c r="H32" s="380">
        <f t="shared" si="10"/>
        <v>1.6060583775123594E-2</v>
      </c>
      <c r="I32" s="380">
        <f t="shared" si="10"/>
        <v>0.12130101750702943</v>
      </c>
      <c r="J32" s="380">
        <f t="shared" si="10"/>
        <v>0.16206203309777242</v>
      </c>
      <c r="K32" s="380">
        <f t="shared" si="10"/>
        <v>0.15803253222417901</v>
      </c>
      <c r="L32" s="380">
        <f t="shared" si="10"/>
        <v>-0.25899696864941452</v>
      </c>
    </row>
    <row r="33" spans="1:12">
      <c r="B33" s="519" t="s">
        <v>534</v>
      </c>
      <c r="C33" s="380"/>
      <c r="D33" s="380">
        <f t="shared" ref="D33:L33" si="11">D27/1000</f>
        <v>0</v>
      </c>
      <c r="E33" s="380">
        <f t="shared" si="11"/>
        <v>0</v>
      </c>
      <c r="F33" s="380">
        <f t="shared" si="11"/>
        <v>2.4937175000344518</v>
      </c>
      <c r="G33" s="380">
        <f t="shared" si="11"/>
        <v>2.2041059424070641</v>
      </c>
      <c r="H33" s="380">
        <f t="shared" si="11"/>
        <v>2.0576364973492582</v>
      </c>
      <c r="I33" s="380">
        <f t="shared" si="11"/>
        <v>1.4261938949578232</v>
      </c>
      <c r="J33" s="380">
        <f t="shared" si="11"/>
        <v>1.5045657683155931</v>
      </c>
      <c r="K33" s="380">
        <f t="shared" si="11"/>
        <v>1.6587722744307472</v>
      </c>
      <c r="L33" s="380">
        <f t="shared" si="11"/>
        <v>1.8129787805459014</v>
      </c>
    </row>
    <row r="35" spans="1:12">
      <c r="A35" s="8"/>
      <c r="G35" s="7"/>
      <c r="H35" s="7"/>
      <c r="I35" s="7"/>
      <c r="J35" s="7"/>
      <c r="K35" s="7"/>
      <c r="L35" s="7"/>
    </row>
    <row r="36" spans="1:12">
      <c r="A36" s="8"/>
      <c r="G36" s="7"/>
      <c r="H36" s="7"/>
      <c r="I36" s="7"/>
      <c r="J36" s="7"/>
      <c r="K36" s="7"/>
      <c r="L36" s="7"/>
    </row>
    <row r="37" spans="1:12">
      <c r="A37" s="8"/>
      <c r="G37" s="7"/>
      <c r="H37" s="7"/>
      <c r="I37" s="7"/>
      <c r="J37" s="7"/>
      <c r="K37" s="7"/>
      <c r="L37" s="7"/>
    </row>
    <row r="38" spans="1:12">
      <c r="A38" s="8"/>
      <c r="G38" s="7"/>
      <c r="H38" s="7"/>
      <c r="I38" s="7"/>
      <c r="J38" s="7"/>
      <c r="K38" s="7"/>
      <c r="L38" s="7"/>
    </row>
    <row r="39" spans="1:12">
      <c r="A39" s="8"/>
      <c r="G39" s="7"/>
      <c r="H39" s="7"/>
      <c r="I39" s="7"/>
      <c r="J39" s="7"/>
      <c r="K39" s="7"/>
      <c r="L39" s="7"/>
    </row>
    <row r="40" spans="1:12">
      <c r="A40" s="8"/>
      <c r="G40" s="7"/>
      <c r="H40" s="7"/>
      <c r="I40" s="7"/>
      <c r="J40" s="7"/>
      <c r="K40" s="7"/>
      <c r="L40" s="7"/>
    </row>
    <row r="41" spans="1:12">
      <c r="A41" s="8"/>
      <c r="G41" s="7"/>
      <c r="H41" s="7"/>
      <c r="I41" s="7"/>
      <c r="J41" s="7"/>
      <c r="K41" s="7"/>
      <c r="L41" s="7"/>
    </row>
    <row r="42" spans="1:12">
      <c r="A42" s="8"/>
      <c r="G42" s="7"/>
      <c r="H42" s="7"/>
      <c r="I42" s="7"/>
      <c r="J42" s="7"/>
      <c r="K42" s="7"/>
      <c r="L42" s="7"/>
    </row>
    <row r="43" spans="1:12">
      <c r="A43" s="8"/>
      <c r="G43" s="7"/>
      <c r="H43" s="7"/>
      <c r="I43" s="7"/>
      <c r="J43" s="7"/>
      <c r="K43" s="7"/>
      <c r="L43" s="7"/>
    </row>
    <row r="44" spans="1:12">
      <c r="A44" s="8"/>
      <c r="G44" s="7"/>
      <c r="H44" s="7"/>
      <c r="I44" s="7"/>
      <c r="J44" s="7"/>
      <c r="K44" s="7"/>
      <c r="L44" s="7"/>
    </row>
    <row r="45" spans="1:12">
      <c r="G45" s="7"/>
      <c r="H45" s="7"/>
      <c r="I45" s="7"/>
      <c r="J45" s="7"/>
      <c r="K45" s="7"/>
      <c r="L45" s="7"/>
    </row>
    <row r="46" spans="1:12">
      <c r="G46" s="7"/>
      <c r="H46" s="7"/>
      <c r="I46" s="7"/>
      <c r="J46" s="7"/>
      <c r="K46" s="7"/>
      <c r="L46" s="7"/>
    </row>
    <row r="47" spans="1:12">
      <c r="C47" s="9"/>
      <c r="D47" s="9"/>
      <c r="E47" s="9"/>
      <c r="F47" s="9"/>
      <c r="G47" s="9"/>
      <c r="H47" s="9"/>
      <c r="I47" s="9"/>
      <c r="J47" s="9"/>
      <c r="K47" s="9"/>
      <c r="L47" s="9"/>
    </row>
  </sheetData>
  <pageMargins left="0.7" right="0.7" top="0.78740157499999996" bottom="0.78740157499999996" header="0.3" footer="0.3"/>
  <pageSetup paperSize="9"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4C1BE-07EF-4E58-9900-F7CFF44ECAFC}">
  <sheetPr>
    <tabColor theme="9" tint="0.79998168889431442"/>
  </sheetPr>
  <dimension ref="A1:M47"/>
  <sheetViews>
    <sheetView workbookViewId="0">
      <selection activeCell="O26" sqref="O26"/>
    </sheetView>
  </sheetViews>
  <sheetFormatPr defaultColWidth="11.28515625" defaultRowHeight="15"/>
  <cols>
    <col min="1" max="1" width="35.7109375" style="7" customWidth="1"/>
    <col min="2" max="2" width="13.7109375" style="7" customWidth="1"/>
    <col min="3" max="6" width="11.7109375" style="7" customWidth="1"/>
    <col min="7" max="12" width="11.7109375" style="3" customWidth="1"/>
    <col min="13" max="16384" width="11.28515625" style="3"/>
  </cols>
  <sheetData>
    <row r="1" spans="1:13" s="340" customFormat="1" ht="26.1" customHeight="1">
      <c r="A1" s="371" t="s">
        <v>515</v>
      </c>
      <c r="B1" s="340">
        <f>'DAL-US IS-adj'!B1</f>
        <v>0</v>
      </c>
    </row>
    <row r="2" spans="1:13">
      <c r="A2" s="2" t="str">
        <f>'DAL-US IS-adj'!A2</f>
        <v>Ticker</v>
      </c>
      <c r="B2" s="1056" t="str">
        <f>'Industry Ratios'!F3</f>
        <v>AAL-US</v>
      </c>
      <c r="C2" s="2"/>
      <c r="D2" s="2"/>
      <c r="E2" s="2"/>
      <c r="F2" s="2"/>
      <c r="G2" s="327"/>
      <c r="H2" s="327"/>
      <c r="I2" s="327"/>
      <c r="J2" s="327"/>
      <c r="K2" s="327"/>
      <c r="L2" s="327"/>
      <c r="M2" s="327"/>
    </row>
    <row r="3" spans="1:13">
      <c r="A3" s="4" t="s">
        <v>507</v>
      </c>
      <c r="B3" s="1055" t="s">
        <v>516</v>
      </c>
      <c r="C3" s="5"/>
      <c r="D3" s="5"/>
      <c r="E3" s="5"/>
      <c r="F3" s="5"/>
      <c r="G3" s="6"/>
    </row>
    <row r="4" spans="1:13">
      <c r="A4" s="5" t="s">
        <v>517</v>
      </c>
      <c r="B4" s="918">
        <f>'Ind Leases'!D24</f>
        <v>2006</v>
      </c>
      <c r="C4" s="5"/>
      <c r="D4" s="5"/>
      <c r="E4" s="5"/>
      <c r="H4" s="326"/>
      <c r="I4" s="326"/>
    </row>
    <row r="5" spans="1:13">
      <c r="A5" s="5" t="s">
        <v>518</v>
      </c>
      <c r="B5" s="1020">
        <f>'Ind Leases'!C15</f>
        <v>4.2963395000000001E-2</v>
      </c>
      <c r="C5" s="5" t="s">
        <v>519</v>
      </c>
      <c r="D5" s="5"/>
      <c r="E5" s="5"/>
    </row>
    <row r="6" spans="1:13">
      <c r="C6" s="5"/>
    </row>
    <row r="7" spans="1:13">
      <c r="A7" s="519"/>
      <c r="B7" s="519"/>
      <c r="C7" s="906"/>
      <c r="D7" s="519"/>
      <c r="E7" s="519"/>
      <c r="F7" s="519"/>
      <c r="G7" s="519"/>
      <c r="H7" s="519"/>
      <c r="I7" s="519"/>
      <c r="J7" s="519"/>
      <c r="K7" s="519"/>
      <c r="L7" s="519"/>
    </row>
    <row r="8" spans="1:13">
      <c r="A8" s="525"/>
      <c r="B8" s="525"/>
      <c r="C8" s="525"/>
      <c r="D8" s="525" t="str">
        <f>'DAL-US IS-adj'!D5</f>
        <v>12/2019</v>
      </c>
      <c r="E8" s="525" t="str">
        <f>'DAL-US IS-adj'!E5</f>
        <v>12/2018</v>
      </c>
      <c r="F8" s="525" t="str">
        <f>'DAL-US IS-adj'!F5</f>
        <v>12/2017</v>
      </c>
      <c r="G8" s="525" t="str">
        <f>'DAL-US IS-adj'!G5</f>
        <v>12/2016</v>
      </c>
      <c r="H8" s="525" t="str">
        <f>'DAL-US IS-adj'!H5</f>
        <v>12/2015</v>
      </c>
      <c r="I8" s="525" t="str">
        <f>'DAL-US IS-adj'!I5</f>
        <v>12/2014</v>
      </c>
      <c r="J8" s="525" t="str">
        <f>'DAL-US IS-adj'!J5</f>
        <v>12/2013</v>
      </c>
      <c r="K8" s="525" t="str">
        <f>'DAL-US IS-adj'!K5</f>
        <v>12/2012</v>
      </c>
      <c r="L8" s="525" t="str">
        <f>'DAL-US IS-adj'!L5</f>
        <v>12/2011</v>
      </c>
    </row>
    <row r="9" spans="1:13" ht="30">
      <c r="A9" s="907" t="s">
        <v>520</v>
      </c>
      <c r="B9" s="908" t="s">
        <v>521</v>
      </c>
      <c r="C9" s="1074" t="s">
        <v>522</v>
      </c>
      <c r="D9" s="1074" t="s">
        <v>522</v>
      </c>
      <c r="E9" s="1074" t="s">
        <v>522</v>
      </c>
      <c r="F9" s="907" t="str">
        <f>'DAL-US IS-adj'!F6</f>
        <v>365 DAYS</v>
      </c>
      <c r="G9" s="907" t="str">
        <f>'DAL-US IS-adj'!G6</f>
        <v>366 DAYS</v>
      </c>
      <c r="H9" s="907" t="str">
        <f>'DAL-US IS-adj'!H6</f>
        <v>365 DAYS</v>
      </c>
      <c r="I9" s="907" t="str">
        <f>'DAL-US IS-adj'!I6</f>
        <v>365 DAYS</v>
      </c>
      <c r="J9" s="907" t="str">
        <f>'DAL-US IS-adj'!J6</f>
        <v>365 DAYS</v>
      </c>
      <c r="K9" s="907" t="str">
        <f>'DAL-US IS-adj'!K6</f>
        <v>366 DAYS</v>
      </c>
      <c r="L9" s="907" t="str">
        <f>'DAL-US IS-adj'!L6</f>
        <v>365 DAYS</v>
      </c>
    </row>
    <row r="10" spans="1:13" ht="14.45" customHeight="1">
      <c r="A10" s="328">
        <v>0</v>
      </c>
      <c r="C10" s="1057"/>
      <c r="D10" s="329"/>
      <c r="E10" s="329"/>
      <c r="F10" s="329">
        <f>G11</f>
        <v>2250</v>
      </c>
      <c r="G10" s="329">
        <f t="shared" ref="G10:H10" si="0">H11</f>
        <v>2198</v>
      </c>
      <c r="H10" s="329">
        <f t="shared" si="0"/>
        <v>2232.5</v>
      </c>
      <c r="I10" s="329">
        <f>J11</f>
        <v>2267</v>
      </c>
      <c r="J10" s="329">
        <f>K11</f>
        <v>1033</v>
      </c>
      <c r="K10" s="329">
        <f>L11</f>
        <v>1176</v>
      </c>
      <c r="L10" s="329" cm="1">
        <f t="array" ref="L10">IFERROR(_xll.FDS($B$2,"FF_OPER_LEASE_COMMIT_YR1(ANN_R,-10)"),)</f>
        <v>1254</v>
      </c>
    </row>
    <row r="11" spans="1:13">
      <c r="A11" s="8">
        <v>1</v>
      </c>
      <c r="B11" s="2"/>
      <c r="C11" s="330"/>
      <c r="F11" s="7" cm="1">
        <f t="array" ref="F11">_xll.FDS($B$2,"FF_OPER_LEASE_COMMIT_YR1(ANN_R,-3)")</f>
        <v>2572</v>
      </c>
      <c r="G11" s="7" cm="1">
        <f t="array" ref="G11">_xll.FDS($B$2,"FF_OPER_LEASE_COMMIT_YR1(ANN_R,-4)")</f>
        <v>2250</v>
      </c>
      <c r="H11" s="7" cm="1">
        <f t="array" ref="H11">_xll.FDS($B$2,"FF_OPER_LEASE_COMMIT_YR1(ANN_R,-5)")</f>
        <v>2198</v>
      </c>
      <c r="I11" s="7">
        <f>(H11+J11)/2</f>
        <v>2232.5</v>
      </c>
      <c r="J11" s="7" cm="1">
        <f t="array" ref="J11">_xll.FDS($B$2,"FF_OPER_LEASE_COMMIT_YR1(ANN_R,-7)")</f>
        <v>2267</v>
      </c>
      <c r="K11" s="7" cm="1">
        <f t="array" ref="K11">IFERROR(_xll.FDS($B$2,"FF_OPER_LEASE_COMMIT_YR1(ANN_R,-8)"),0)</f>
        <v>1033</v>
      </c>
      <c r="L11" s="7" cm="1">
        <f t="array" ref="L11">_xll.FDS($B$2,"FF_OPER_LEASE_COMMIT_YR1(ANN_R,-9)")</f>
        <v>1176</v>
      </c>
    </row>
    <row r="12" spans="1:13">
      <c r="A12" s="8">
        <v>2</v>
      </c>
      <c r="B12" s="2"/>
      <c r="F12" s="7" cm="1">
        <f t="array" ref="F12">_xll.FDS($B$2,"FF_OPER_LEASE_COMMIT_YR2(ANN_R,-3)")</f>
        <v>2329</v>
      </c>
      <c r="G12" s="7" cm="1">
        <f t="array" ref="G12">_xll.FDS($B$2,"FF_OPER_LEASE_COMMIT_YR2(ANN_R,-4)")</f>
        <v>2016</v>
      </c>
      <c r="H12" s="7" cm="1">
        <f t="array" ref="H12">_xll.FDS($B$2,"FF_OPER_LEASE_COMMIT_YR2(ANN_R,-5)")</f>
        <v>2078</v>
      </c>
      <c r="I12" s="7">
        <f t="shared" ref="I12:I16" si="1">(H12+J12)/2</f>
        <v>2006</v>
      </c>
      <c r="J12" s="7" cm="1">
        <f t="array" ref="J12">_xll.FDS($B$2,"FF_OPER_LEASE_COMMIT_YR2(ANN_R,-7)")</f>
        <v>1934</v>
      </c>
      <c r="K12" s="7" cm="1">
        <f t="array" ref="K12">IFERROR(_xll.FDS($B$2,"FF_OPER_LEASE_COMMIT_YR2(ANN_R,-8)"),0)</f>
        <v>962</v>
      </c>
      <c r="L12" s="7" cm="1">
        <f t="array" ref="L12">_xll.FDS($B$2,"FF_OPER_LEASE_COMMIT_YR2(ANN_R,-9)")</f>
        <v>1091</v>
      </c>
    </row>
    <row r="13" spans="1:13">
      <c r="A13" s="8">
        <v>3</v>
      </c>
      <c r="B13" s="2"/>
      <c r="F13" s="7" cm="1">
        <f t="array" ref="F13">_xll.FDS($B$2,"FF_OPER_LEASE_COMMIT_YR3(ANN_R,-3)")</f>
        <v>2104</v>
      </c>
      <c r="G13" s="7" cm="1">
        <f t="array" ref="G13">_xll.FDS($B$2,"FF_OPER_LEASE_COMMIT_YR3(ANN_R,-4)")</f>
        <v>1815</v>
      </c>
      <c r="H13" s="7" cm="1">
        <f t="array" ref="H13">_xll.FDS($B$2,"FF_OPER_LEASE_COMMIT_YR3(ANN_R,-5)")</f>
        <v>1829</v>
      </c>
      <c r="I13" s="7">
        <f t="shared" si="1"/>
        <v>1790</v>
      </c>
      <c r="J13" s="7" cm="1">
        <f t="array" ref="J13">_xll.FDS($B$2,"FF_OPER_LEASE_COMMIT_YR3(ANN_R,-7)")</f>
        <v>1751</v>
      </c>
      <c r="K13" s="7" cm="1">
        <f t="array" ref="K13">IFERROR(_xll.FDS($B$2,"FF_OPER_LEASE_COMMIT_YR3(ANN_R,-8)"),0)</f>
        <v>892</v>
      </c>
      <c r="L13" s="7" cm="1">
        <f t="array" ref="L13">_xll.FDS($B$2,"FF_OPER_LEASE_COMMIT_YR3(ANN_R,-9)")</f>
        <v>942</v>
      </c>
    </row>
    <row r="14" spans="1:13">
      <c r="A14" s="8">
        <v>4</v>
      </c>
      <c r="B14" s="2"/>
      <c r="F14" s="7" cm="1">
        <f t="array" ref="F14">_xll.FDS($B$2,"FF_OPER_LEASE_COMMIT_YR4(ANN_R,-3)")</f>
        <v>1621</v>
      </c>
      <c r="G14" s="7" cm="1">
        <f t="array" ref="G14">_xll.FDS($B$2,"FF_OPER_LEASE_COMMIT_YR4(ANN_R,-4)")</f>
        <v>1639</v>
      </c>
      <c r="H14" s="7" cm="1">
        <f t="array" ref="H14">_xll.FDS($B$2,"FF_OPER_LEASE_COMMIT_YR4(ANN_R,-5)")</f>
        <v>1643</v>
      </c>
      <c r="I14" s="7">
        <f t="shared" si="1"/>
        <v>1646.5</v>
      </c>
      <c r="J14" s="7" cm="1">
        <f t="array" ref="J14">_xll.FDS($B$2,"FF_OPER_LEASE_COMMIT_YR4(ANN_R,-7)")</f>
        <v>1650</v>
      </c>
      <c r="K14" s="7" cm="1">
        <f t="array" ref="K14">IFERROR(_xll.FDS($B$2,"FF_OPER_LEASE_COMMIT_YR4(ANN_R,-8)"),0)</f>
        <v>816</v>
      </c>
      <c r="L14" s="7" cm="1">
        <f t="array" ref="L14">_xll.FDS($B$2,"FF_OPER_LEASE_COMMIT_YR4(ANN_R,-9)")</f>
        <v>779</v>
      </c>
    </row>
    <row r="15" spans="1:13">
      <c r="A15" s="8">
        <v>5</v>
      </c>
      <c r="B15" s="2"/>
      <c r="C15" s="330"/>
      <c r="F15" s="7" cm="1">
        <f t="array" ref="F15">_xll.FDS($B$2,"FF_OPER_LEASE_COMMIT_YR5(ANN_R,-3)")</f>
        <v>1398</v>
      </c>
      <c r="G15" s="7" cm="1">
        <f t="array" ref="G15">_xll.FDS($B$2,"FF_OPER_LEASE_COMMIT_YR5(ANN_R,-4)")</f>
        <v>1214</v>
      </c>
      <c r="H15" s="7" cm="1">
        <f t="array" ref="H15">_xll.FDS($B$2,"FF_OPER_LEASE_COMMIT_YR5(ANN_R,-5)")</f>
        <v>1493</v>
      </c>
      <c r="I15" s="7">
        <f t="shared" si="1"/>
        <v>1459.5</v>
      </c>
      <c r="J15" s="7" cm="1">
        <f t="array" ref="J15">_xll.FDS($B$2,"FF_OPER_LEASE_COMMIT_YR5(ANN_R,-7)")</f>
        <v>1426</v>
      </c>
      <c r="K15" s="7" cm="1">
        <f t="array" ref="K15">IFERROR(_xll.FDS($B$2,"FF_OPER_LEASE_COMMIT_YR5(ANN_R,-8)"),0)</f>
        <v>777</v>
      </c>
      <c r="L15" s="7" cm="1">
        <f t="array" ref="L15">_xll.FDS($B$2,"FF_OPER_LEASE_COMMIT_YR5(ANN_R,-9)")</f>
        <v>685</v>
      </c>
    </row>
    <row r="16" spans="1:13">
      <c r="A16" s="14" t="s">
        <v>523</v>
      </c>
      <c r="B16" s="2"/>
      <c r="F16" s="7" cm="1">
        <f t="array" ref="F16">_xll.FDS($B$2,"FF_OPER_LEASE_COMMIT_5YR(ANN_R,-3)")</f>
        <v>3965</v>
      </c>
      <c r="G16" s="7" cm="1">
        <f t="array" ref="G16">_xll.FDS($B$2,"FF_OPER_LEASE_COMMIT_5YR(ANN_R,-4)")</f>
        <v>3793</v>
      </c>
      <c r="H16" s="7" cm="1">
        <f t="array" ref="H16">_xll.FDS($B$2,"FF_OPER_LEASE_COMMIT_5YR(ANN_R,-5)")</f>
        <v>4704</v>
      </c>
      <c r="I16" s="7">
        <f t="shared" si="1"/>
        <v>5684</v>
      </c>
      <c r="J16" s="7" cm="1">
        <f t="array" ref="J16">_xll.FDS($B$2,"FF_OPER_LEASE_COMMIT_5YR(ANN_R,-7)")</f>
        <v>6664</v>
      </c>
      <c r="K16" s="7" cm="1">
        <f t="array" ref="K16">IFERROR(_xll.FDS($B$2,"FF_OPER_LEASE_COMMIT_5YR(ANN_R,-8)"),0)</f>
        <v>4531</v>
      </c>
      <c r="L16" s="7" cm="1">
        <f t="array" ref="L16">_xll.FDS($B$2,"FF_OPER_LEASE_COMMIT_5YR(ANN_R,-9)")</f>
        <v>5940</v>
      </c>
    </row>
    <row r="17" spans="1:12">
      <c r="A17" s="910" t="s">
        <v>524</v>
      </c>
      <c r="B17" s="911"/>
      <c r="C17" s="909"/>
      <c r="D17" s="909"/>
      <c r="E17" s="909"/>
      <c r="F17" s="909">
        <f t="shared" ref="F17:H17" si="2">IF(F16&gt;0,ROUND(F16/AVERAGE(F11:F15),0),0)</f>
        <v>2</v>
      </c>
      <c r="G17" s="909">
        <f t="shared" si="2"/>
        <v>2</v>
      </c>
      <c r="H17" s="909">
        <f t="shared" si="2"/>
        <v>3</v>
      </c>
      <c r="I17" s="909">
        <f>IF(I16&gt;0,ROUND(I16/AVERAGE(I11:I15),0),0)</f>
        <v>3</v>
      </c>
      <c r="J17" s="909">
        <f t="shared" ref="J17:L17" si="3">IF(J16&gt;0,ROUND(J16/AVERAGE(J11:J15),0),0)</f>
        <v>4</v>
      </c>
      <c r="K17" s="909">
        <f>IF(K16&gt;0,ROUND(K16/AVERAGE(K11:K15),0),0)</f>
        <v>5</v>
      </c>
      <c r="L17" s="909">
        <f t="shared" si="3"/>
        <v>6</v>
      </c>
    </row>
    <row r="18" spans="1:12">
      <c r="A18" s="5" t="s">
        <v>525</v>
      </c>
      <c r="B18" s="2"/>
      <c r="G18" s="7"/>
      <c r="H18" s="7"/>
      <c r="I18" s="7"/>
      <c r="J18" s="7"/>
      <c r="K18" s="7"/>
      <c r="L18" s="7"/>
    </row>
    <row r="19" spans="1:12">
      <c r="A19" s="5"/>
      <c r="B19" s="2"/>
      <c r="G19" s="7"/>
      <c r="H19" s="7"/>
      <c r="I19" s="7"/>
      <c r="J19" s="7"/>
      <c r="K19" s="7"/>
      <c r="L19" s="7"/>
    </row>
    <row r="20" spans="1:12">
      <c r="A20" s="912" t="s">
        <v>526</v>
      </c>
      <c r="B20" s="898" t="s">
        <v>527</v>
      </c>
      <c r="C20" s="907"/>
      <c r="D20" s="907" t="str">
        <f t="shared" ref="D20:L20" si="4">D8</f>
        <v>12/2019</v>
      </c>
      <c r="E20" s="907" t="str">
        <f t="shared" si="4"/>
        <v>12/2018</v>
      </c>
      <c r="F20" s="907" t="str">
        <f t="shared" si="4"/>
        <v>12/2017</v>
      </c>
      <c r="G20" s="907" t="str">
        <f t="shared" si="4"/>
        <v>12/2016</v>
      </c>
      <c r="H20" s="907" t="str">
        <f t="shared" si="4"/>
        <v>12/2015</v>
      </c>
      <c r="I20" s="907" t="str">
        <f t="shared" si="4"/>
        <v>12/2014</v>
      </c>
      <c r="J20" s="907" t="str">
        <f t="shared" si="4"/>
        <v>12/2013</v>
      </c>
      <c r="K20" s="907" t="str">
        <f t="shared" si="4"/>
        <v>12/2012</v>
      </c>
      <c r="L20" s="907" t="str">
        <f t="shared" si="4"/>
        <v>12/2011</v>
      </c>
    </row>
    <row r="21" spans="1:12">
      <c r="A21" s="8">
        <f>A11</f>
        <v>1</v>
      </c>
      <c r="C21" s="8"/>
      <c r="D21" s="8"/>
      <c r="E21" s="8"/>
      <c r="F21" s="8">
        <f t="shared" ref="F21:L25" si="5">F11/(1+$B$5)^$A21</f>
        <v>2466.0501148268968</v>
      </c>
      <c r="G21" s="8">
        <f t="shared" si="5"/>
        <v>2157.314447263032</v>
      </c>
      <c r="H21" s="8">
        <f t="shared" si="5"/>
        <v>2107.4565133707306</v>
      </c>
      <c r="I21" s="8">
        <f t="shared" si="5"/>
        <v>2140.5353348954304</v>
      </c>
      <c r="J21" s="8">
        <f>J11/(1+$B$5)^$A21</f>
        <v>2173.6141564201303</v>
      </c>
      <c r="K21" s="8">
        <f>K11/(1+$B$5)^$A21</f>
        <v>990.44703289898314</v>
      </c>
      <c r="L21" s="8">
        <f t="shared" si="5"/>
        <v>1127.5563511028113</v>
      </c>
    </row>
    <row r="22" spans="1:12">
      <c r="A22" s="8">
        <f>A12</f>
        <v>2</v>
      </c>
      <c r="C22" s="8"/>
      <c r="D22" s="8"/>
      <c r="E22" s="8"/>
      <c r="F22" s="8">
        <f t="shared" si="5"/>
        <v>2141.072414648349</v>
      </c>
      <c r="G22" s="8">
        <f t="shared" si="5"/>
        <v>1853.3284619712631</v>
      </c>
      <c r="H22" s="8">
        <f t="shared" si="5"/>
        <v>1910.325666654903</v>
      </c>
      <c r="I22" s="8">
        <f t="shared" si="5"/>
        <v>1844.1353644416438</v>
      </c>
      <c r="J22" s="8">
        <f t="shared" si="5"/>
        <v>1777.9450622283844</v>
      </c>
      <c r="K22" s="8">
        <f>K12/(1+$B$5)^$A22</f>
        <v>884.37598234938253</v>
      </c>
      <c r="L22" s="8">
        <f t="shared" si="5"/>
        <v>1002.9669404814722</v>
      </c>
    </row>
    <row r="23" spans="1:12">
      <c r="A23" s="8">
        <f>A13</f>
        <v>3</v>
      </c>
      <c r="C23" s="8"/>
      <c r="D23" s="8"/>
      <c r="E23" s="8"/>
      <c r="F23" s="8">
        <f t="shared" si="5"/>
        <v>1854.5499578457532</v>
      </c>
      <c r="G23" s="8">
        <f t="shared" si="5"/>
        <v>1599.8137706701721</v>
      </c>
      <c r="H23" s="8">
        <f t="shared" si="5"/>
        <v>1612.1539319866363</v>
      </c>
      <c r="I23" s="8">
        <f t="shared" si="5"/>
        <v>1577.7777683193433</v>
      </c>
      <c r="J23" s="8">
        <f t="shared" si="5"/>
        <v>1543.4016046520503</v>
      </c>
      <c r="K23" s="8">
        <f t="shared" si="5"/>
        <v>786.2445638775722</v>
      </c>
      <c r="L23" s="8">
        <f t="shared" si="5"/>
        <v>830.31656857922985</v>
      </c>
    </row>
    <row r="24" spans="1:12">
      <c r="A24" s="8">
        <f>A14</f>
        <v>4</v>
      </c>
      <c r="C24" s="8"/>
      <c r="D24" s="8"/>
      <c r="E24" s="8"/>
      <c r="F24" s="8">
        <f t="shared" si="5"/>
        <v>1369.956413885207</v>
      </c>
      <c r="G24" s="8">
        <f t="shared" si="5"/>
        <v>1385.1687614792438</v>
      </c>
      <c r="H24" s="8">
        <f t="shared" si="5"/>
        <v>1388.5492831668078</v>
      </c>
      <c r="I24" s="8">
        <f t="shared" si="5"/>
        <v>1391.5072396434259</v>
      </c>
      <c r="J24" s="8">
        <f t="shared" si="5"/>
        <v>1394.4651961200443</v>
      </c>
      <c r="K24" s="8">
        <f t="shared" si="5"/>
        <v>689.62642426300374</v>
      </c>
      <c r="L24" s="8">
        <f t="shared" si="5"/>
        <v>658.3565986530391</v>
      </c>
    </row>
    <row r="25" spans="1:12">
      <c r="A25" s="8">
        <f>A15</f>
        <v>5</v>
      </c>
      <c r="C25" s="8"/>
      <c r="D25" s="8"/>
      <c r="E25" s="8"/>
      <c r="F25" s="8">
        <f t="shared" si="5"/>
        <v>1132.8224321847158</v>
      </c>
      <c r="G25" s="8">
        <f t="shared" si="5"/>
        <v>983.72420076698495</v>
      </c>
      <c r="H25" s="8">
        <f t="shared" si="5"/>
        <v>1209.8024973188703</v>
      </c>
      <c r="I25" s="8">
        <f t="shared" si="5"/>
        <v>1182.6568954031422</v>
      </c>
      <c r="J25" s="8">
        <f t="shared" si="5"/>
        <v>1155.5112934874139</v>
      </c>
      <c r="K25" s="8">
        <f t="shared" si="5"/>
        <v>629.61590114987428</v>
      </c>
      <c r="L25" s="8">
        <f t="shared" si="5"/>
        <v>555.06678544100885</v>
      </c>
    </row>
    <row r="26" spans="1:12">
      <c r="A26" s="14" t="s">
        <v>523</v>
      </c>
      <c r="C26" s="8"/>
      <c r="D26" s="8"/>
      <c r="E26" s="8"/>
      <c r="F26" s="8">
        <f t="shared" ref="F26:I26" si="6">IF(F17&gt;0,(F16/F17*(1-(1+$B$5)^(-F17))/$B$5)/(1+$B$5)^5,F16/F17/(1+$B$5)^6)</f>
        <v>3017.1042574585417</v>
      </c>
      <c r="G26" s="8">
        <f t="shared" si="6"/>
        <v>2886.2235683581966</v>
      </c>
      <c r="H26" s="8">
        <f t="shared" si="6"/>
        <v>3506.2266076131359</v>
      </c>
      <c r="I26" s="8">
        <f t="shared" si="6"/>
        <v>4236.6904841992064</v>
      </c>
      <c r="J26" s="8">
        <f>IF(J17&gt;0,(J16/J17*(1-(1+$B$5)^(-J17))/$B$5)/(1+$B$5)^5,J16/J17/(1+$B$5)^6)</f>
        <v>4866.2810626249202</v>
      </c>
      <c r="K26" s="8">
        <f>IF(K17&gt;0,(K16/K17*(1-(1+$B$5)^(-K17))/$B$5)/(1+$B$5)^5,K16/K17/(1+$B$5)^6)</f>
        <v>3241.975630746841</v>
      </c>
      <c r="L26" s="8">
        <f>IF(L17&gt;0,(L16/L17*(1-(1+$B$5)^(-L17))/$B$5)/(1+$B$5)^5,L16/L17/(1+$B$5)^6)</f>
        <v>4165.0432175675433</v>
      </c>
    </row>
    <row r="27" spans="1:12">
      <c r="A27" s="913"/>
      <c r="B27" s="914" t="s">
        <v>528</v>
      </c>
      <c r="C27" s="913"/>
      <c r="D27" s="913"/>
      <c r="E27" s="913"/>
      <c r="F27" s="913">
        <f t="shared" ref="F27:I27" si="7">SUM(F21:F26)</f>
        <v>11981.555590849464</v>
      </c>
      <c r="G27" s="913">
        <f t="shared" si="7"/>
        <v>10865.573210508892</v>
      </c>
      <c r="H27" s="913">
        <f t="shared" si="7"/>
        <v>11734.514500111085</v>
      </c>
      <c r="I27" s="913">
        <f t="shared" si="7"/>
        <v>12373.303086902193</v>
      </c>
      <c r="J27" s="913">
        <f>SUM(J21:J26)</f>
        <v>12911.218375532942</v>
      </c>
      <c r="K27" s="913">
        <f>SUM(K21:K26)</f>
        <v>7222.2855352856568</v>
      </c>
      <c r="L27" s="913">
        <f t="shared" ref="L27" si="8">SUM(L21:L26)</f>
        <v>8339.3064618251046</v>
      </c>
    </row>
    <row r="28" spans="1:12">
      <c r="A28" s="8"/>
      <c r="B28" s="3"/>
      <c r="C28" s="1058" t="s">
        <v>529</v>
      </c>
      <c r="G28" s="7"/>
      <c r="H28" s="7"/>
      <c r="I28" s="7"/>
      <c r="J28" s="7"/>
      <c r="K28" s="7"/>
      <c r="L28" s="7"/>
    </row>
    <row r="29" spans="1:12">
      <c r="A29" s="637"/>
      <c r="B29" s="1061" t="s">
        <v>530</v>
      </c>
      <c r="G29" s="7"/>
      <c r="H29" s="7"/>
      <c r="I29" s="7"/>
      <c r="J29" s="7"/>
      <c r="K29" s="7"/>
      <c r="L29" s="7"/>
    </row>
    <row r="30" spans="1:12">
      <c r="A30" s="8"/>
      <c r="B30" s="519" t="s">
        <v>531</v>
      </c>
      <c r="C30" s="380"/>
      <c r="D30" s="380">
        <f t="shared" ref="D30:L30" si="9">D27/(5+D17)/1000</f>
        <v>0</v>
      </c>
      <c r="E30" s="380">
        <f t="shared" si="9"/>
        <v>0</v>
      </c>
      <c r="F30" s="380">
        <f t="shared" si="9"/>
        <v>1.7116507986927807</v>
      </c>
      <c r="G30" s="380">
        <f t="shared" si="9"/>
        <v>1.5522247443584132</v>
      </c>
      <c r="H30" s="380">
        <f t="shared" si="9"/>
        <v>1.4668143125138857</v>
      </c>
      <c r="I30" s="380">
        <f t="shared" si="9"/>
        <v>1.5466628858627742</v>
      </c>
      <c r="J30" s="380">
        <f t="shared" si="9"/>
        <v>1.4345798195036603</v>
      </c>
      <c r="K30" s="380">
        <f>K27/(5+K17)/1000</f>
        <v>0.72222855352856574</v>
      </c>
      <c r="L30" s="380">
        <f t="shared" si="9"/>
        <v>0.75811876925682775</v>
      </c>
    </row>
    <row r="31" spans="1:12">
      <c r="A31" s="8"/>
      <c r="B31" s="7" t="s">
        <v>532</v>
      </c>
      <c r="C31" s="2"/>
      <c r="D31" s="2">
        <f t="shared" ref="D31:L31" si="10">D10/1000</f>
        <v>0</v>
      </c>
      <c r="E31" s="2">
        <f t="shared" si="10"/>
        <v>0</v>
      </c>
      <c r="F31" s="2">
        <f t="shared" si="10"/>
        <v>2.25</v>
      </c>
      <c r="G31" s="2">
        <f t="shared" si="10"/>
        <v>2.198</v>
      </c>
      <c r="H31" s="2">
        <f t="shared" si="10"/>
        <v>2.2324999999999999</v>
      </c>
      <c r="I31" s="2">
        <f t="shared" si="10"/>
        <v>2.2669999999999999</v>
      </c>
      <c r="J31" s="2">
        <f t="shared" si="10"/>
        <v>1.0329999999999999</v>
      </c>
      <c r="K31" s="2">
        <f t="shared" si="10"/>
        <v>1.1759999999999999</v>
      </c>
      <c r="L31" s="2">
        <f t="shared" si="10"/>
        <v>1.254</v>
      </c>
    </row>
    <row r="32" spans="1:12">
      <c r="B32" s="519" t="s">
        <v>533</v>
      </c>
      <c r="C32" s="380"/>
      <c r="D32" s="380">
        <f t="shared" ref="D32:L32" si="11">(D31-D30)</f>
        <v>0</v>
      </c>
      <c r="E32" s="380">
        <f t="shared" si="11"/>
        <v>0</v>
      </c>
      <c r="F32" s="380">
        <f t="shared" si="11"/>
        <v>0.5383492013072193</v>
      </c>
      <c r="G32" s="380">
        <f t="shared" si="11"/>
        <v>0.64577525564158678</v>
      </c>
      <c r="H32" s="380">
        <f t="shared" si="11"/>
        <v>0.76568568748611421</v>
      </c>
      <c r="I32" s="380">
        <f t="shared" si="11"/>
        <v>0.72033711413722568</v>
      </c>
      <c r="J32" s="380">
        <f t="shared" si="11"/>
        <v>-0.4015798195036604</v>
      </c>
      <c r="K32" s="380">
        <f t="shared" si="11"/>
        <v>0.45377144647143419</v>
      </c>
      <c r="L32" s="380">
        <f t="shared" si="11"/>
        <v>0.49588123074317225</v>
      </c>
    </row>
    <row r="33" spans="1:12">
      <c r="B33" s="519" t="s">
        <v>534</v>
      </c>
      <c r="C33" s="380"/>
      <c r="D33" s="380">
        <f t="shared" ref="D33:L33" si="12">D27/1000</f>
        <v>0</v>
      </c>
      <c r="E33" s="380">
        <f t="shared" si="12"/>
        <v>0</v>
      </c>
      <c r="F33" s="380">
        <f t="shared" si="12"/>
        <v>11.981555590849464</v>
      </c>
      <c r="G33" s="380">
        <f t="shared" si="12"/>
        <v>10.865573210508892</v>
      </c>
      <c r="H33" s="380">
        <f t="shared" si="12"/>
        <v>11.734514500111086</v>
      </c>
      <c r="I33" s="380">
        <f t="shared" si="12"/>
        <v>12.373303086902194</v>
      </c>
      <c r="J33" s="380">
        <f t="shared" si="12"/>
        <v>12.911218375532943</v>
      </c>
      <c r="K33" s="380">
        <f t="shared" si="12"/>
        <v>7.222285535285657</v>
      </c>
      <c r="L33" s="380">
        <f t="shared" si="12"/>
        <v>8.3393064618251049</v>
      </c>
    </row>
    <row r="35" spans="1:12">
      <c r="A35" s="8"/>
      <c r="G35" s="7"/>
      <c r="H35" s="7"/>
      <c r="I35" s="7"/>
      <c r="J35" s="7"/>
      <c r="K35" s="7"/>
      <c r="L35" s="7"/>
    </row>
    <row r="36" spans="1:12">
      <c r="A36" s="8"/>
      <c r="G36" s="7"/>
      <c r="H36" s="7"/>
      <c r="I36" s="7"/>
      <c r="J36" s="7"/>
      <c r="K36" s="7"/>
      <c r="L36" s="7"/>
    </row>
    <row r="37" spans="1:12">
      <c r="A37" s="8"/>
      <c r="G37" s="7"/>
      <c r="H37" s="7"/>
      <c r="I37" s="7"/>
      <c r="J37" s="7"/>
      <c r="K37" s="7"/>
      <c r="L37" s="7"/>
    </row>
    <row r="38" spans="1:12">
      <c r="A38" s="8"/>
      <c r="G38" s="7"/>
      <c r="H38" s="7"/>
      <c r="I38" s="7"/>
      <c r="J38" s="7"/>
      <c r="K38" s="7"/>
      <c r="L38" s="7"/>
    </row>
    <row r="39" spans="1:12">
      <c r="A39" s="8"/>
      <c r="G39" s="7"/>
      <c r="H39" s="7"/>
      <c r="I39" s="7"/>
      <c r="J39" s="7"/>
      <c r="K39" s="7"/>
      <c r="L39" s="7"/>
    </row>
    <row r="40" spans="1:12">
      <c r="A40" s="8"/>
      <c r="G40" s="7"/>
      <c r="H40" s="7"/>
      <c r="I40" s="7"/>
      <c r="J40" s="7"/>
      <c r="K40" s="7"/>
      <c r="L40" s="7"/>
    </row>
    <row r="41" spans="1:12">
      <c r="A41" s="8"/>
      <c r="G41" s="7"/>
      <c r="H41" s="7"/>
      <c r="I41" s="7"/>
      <c r="J41" s="7"/>
      <c r="K41" s="7"/>
      <c r="L41" s="7"/>
    </row>
    <row r="42" spans="1:12">
      <c r="A42" s="8"/>
      <c r="G42" s="7"/>
      <c r="H42" s="7"/>
      <c r="I42" s="7"/>
      <c r="J42" s="7"/>
      <c r="K42" s="7"/>
      <c r="L42" s="7"/>
    </row>
    <row r="43" spans="1:12">
      <c r="A43" s="8"/>
      <c r="G43" s="7"/>
      <c r="H43" s="7"/>
      <c r="I43" s="7"/>
      <c r="J43" s="7"/>
      <c r="K43" s="7"/>
      <c r="L43" s="7"/>
    </row>
    <row r="44" spans="1:12">
      <c r="A44" s="8"/>
      <c r="G44" s="7"/>
      <c r="H44" s="7"/>
      <c r="I44" s="7"/>
      <c r="J44" s="7"/>
      <c r="K44" s="7"/>
      <c r="L44" s="7"/>
    </row>
    <row r="45" spans="1:12">
      <c r="G45" s="7"/>
      <c r="H45" s="7"/>
      <c r="I45" s="7"/>
      <c r="J45" s="7"/>
      <c r="K45" s="7"/>
      <c r="L45" s="7"/>
    </row>
    <row r="46" spans="1:12">
      <c r="G46" s="7"/>
      <c r="H46" s="7"/>
      <c r="I46" s="7"/>
      <c r="J46" s="7"/>
      <c r="K46" s="7"/>
      <c r="L46" s="7"/>
    </row>
    <row r="47" spans="1:12">
      <c r="C47" s="9"/>
      <c r="D47" s="9"/>
      <c r="E47" s="9"/>
      <c r="F47" s="9"/>
      <c r="G47" s="9"/>
      <c r="H47" s="9"/>
      <c r="I47" s="9"/>
      <c r="J47" s="9"/>
      <c r="K47" s="9"/>
      <c r="L47" s="9"/>
    </row>
  </sheetData>
  <pageMargins left="0.7" right="0.7" top="0.78740157499999996" bottom="0.78740157499999996"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A6B63-CB1F-4B0C-8653-D8A131986BF2}">
  <sheetPr>
    <tabColor theme="9" tint="0.79998168889431442"/>
  </sheetPr>
  <dimension ref="A1:M47"/>
  <sheetViews>
    <sheetView workbookViewId="0">
      <selection activeCell="L37" sqref="L37"/>
    </sheetView>
  </sheetViews>
  <sheetFormatPr defaultColWidth="11.28515625" defaultRowHeight="15"/>
  <cols>
    <col min="1" max="1" width="35.7109375" style="7" customWidth="1"/>
    <col min="2" max="2" width="13.7109375" style="7" customWidth="1"/>
    <col min="3" max="6" width="11.7109375" style="7" customWidth="1"/>
    <col min="7" max="12" width="11.7109375" style="3" customWidth="1"/>
    <col min="13" max="16384" width="11.28515625" style="3"/>
  </cols>
  <sheetData>
    <row r="1" spans="1:13" s="340" customFormat="1" ht="26.1" customHeight="1">
      <c r="A1" s="371" t="s">
        <v>515</v>
      </c>
      <c r="B1" s="340">
        <f>'DAL-US IS-adj'!B1</f>
        <v>0</v>
      </c>
    </row>
    <row r="2" spans="1:13">
      <c r="A2" s="2" t="str">
        <f>'DAL-US IS-adj'!A2</f>
        <v>Ticker</v>
      </c>
      <c r="B2" s="1056" t="str">
        <f>'Industry Ratios'!G3</f>
        <v>LUV-US</v>
      </c>
      <c r="C2" s="2"/>
      <c r="D2" s="2"/>
      <c r="E2" s="2"/>
      <c r="F2" s="2"/>
      <c r="G2" s="327"/>
      <c r="H2" s="327"/>
      <c r="I2" s="327"/>
      <c r="J2" s="327"/>
      <c r="K2" s="327"/>
      <c r="L2" s="327"/>
      <c r="M2" s="327"/>
    </row>
    <row r="3" spans="1:13">
      <c r="A3" s="4" t="s">
        <v>507</v>
      </c>
      <c r="B3" s="1055" t="s">
        <v>516</v>
      </c>
      <c r="C3" s="5"/>
      <c r="D3" s="5"/>
      <c r="E3" s="5"/>
      <c r="F3" s="5"/>
      <c r="G3" s="6"/>
    </row>
    <row r="4" spans="1:13">
      <c r="A4" s="5" t="s">
        <v>517</v>
      </c>
      <c r="B4" s="918">
        <f>'Ind Leases'!E24</f>
        <v>2019</v>
      </c>
      <c r="C4" s="5"/>
      <c r="D4" s="5"/>
      <c r="E4" s="5"/>
      <c r="H4" s="326"/>
      <c r="I4" s="326"/>
    </row>
    <row r="5" spans="1:13">
      <c r="A5" s="5" t="s">
        <v>518</v>
      </c>
      <c r="B5" s="1020">
        <f>'Ind Leases'!D15</f>
        <v>4.6987389999999997E-2</v>
      </c>
      <c r="C5" s="5" t="s">
        <v>519</v>
      </c>
      <c r="D5" s="5"/>
      <c r="E5" s="5"/>
    </row>
    <row r="6" spans="1:13">
      <c r="C6" s="5"/>
    </row>
    <row r="7" spans="1:13">
      <c r="A7" s="519"/>
      <c r="B7" s="519"/>
      <c r="C7" s="906"/>
      <c r="D7" s="519"/>
      <c r="E7" s="519"/>
      <c r="F7" s="519"/>
      <c r="G7" s="519"/>
      <c r="H7" s="519"/>
      <c r="I7" s="519"/>
      <c r="J7" s="519"/>
      <c r="K7" s="519"/>
      <c r="L7" s="519"/>
    </row>
    <row r="8" spans="1:13">
      <c r="A8" s="525"/>
      <c r="B8" s="525"/>
      <c r="C8" s="525"/>
      <c r="D8" s="525" t="str">
        <f>'DAL-US IS-adj'!D5</f>
        <v>12/2019</v>
      </c>
      <c r="E8" s="525" t="str">
        <f>'DAL-US IS-adj'!E5</f>
        <v>12/2018</v>
      </c>
      <c r="F8" s="525" t="str">
        <f>'DAL-US IS-adj'!F5</f>
        <v>12/2017</v>
      </c>
      <c r="G8" s="525" t="str">
        <f>'DAL-US IS-adj'!G5</f>
        <v>12/2016</v>
      </c>
      <c r="H8" s="525" t="str">
        <f>'DAL-US IS-adj'!H5</f>
        <v>12/2015</v>
      </c>
      <c r="I8" s="525" t="str">
        <f>'DAL-US IS-adj'!I5</f>
        <v>12/2014</v>
      </c>
      <c r="J8" s="525" t="str">
        <f>'DAL-US IS-adj'!J5</f>
        <v>12/2013</v>
      </c>
      <c r="K8" s="525" t="str">
        <f>'DAL-US IS-adj'!K5</f>
        <v>12/2012</v>
      </c>
      <c r="L8" s="525" t="str">
        <f>'DAL-US IS-adj'!L5</f>
        <v>12/2011</v>
      </c>
    </row>
    <row r="9" spans="1:13" ht="30">
      <c r="A9" s="907" t="s">
        <v>520</v>
      </c>
      <c r="B9" s="908" t="s">
        <v>521</v>
      </c>
      <c r="C9" s="1074" t="s">
        <v>522</v>
      </c>
      <c r="D9" s="1074" t="s">
        <v>522</v>
      </c>
      <c r="E9" s="1074" t="s">
        <v>522</v>
      </c>
      <c r="F9" s="907" t="str">
        <f>'DAL-US IS-adj'!F6</f>
        <v>365 DAYS</v>
      </c>
      <c r="G9" s="907" t="str">
        <f>'DAL-US IS-adj'!G6</f>
        <v>366 DAYS</v>
      </c>
      <c r="H9" s="907" t="str">
        <f>'DAL-US IS-adj'!H6</f>
        <v>365 DAYS</v>
      </c>
      <c r="I9" s="907" t="str">
        <f>'DAL-US IS-adj'!I6</f>
        <v>365 DAYS</v>
      </c>
      <c r="J9" s="907" t="str">
        <f>'DAL-US IS-adj'!J6</f>
        <v>365 DAYS</v>
      </c>
      <c r="K9" s="907" t="str">
        <f>'DAL-US IS-adj'!K6</f>
        <v>366 DAYS</v>
      </c>
      <c r="L9" s="907" t="str">
        <f>'DAL-US IS-adj'!L6</f>
        <v>365 DAYS</v>
      </c>
    </row>
    <row r="10" spans="1:13" ht="14.45" customHeight="1">
      <c r="A10" s="328">
        <v>0</v>
      </c>
      <c r="C10" s="1057"/>
      <c r="D10" s="329"/>
      <c r="E10" s="329">
        <f>F11</f>
        <v>463.5</v>
      </c>
      <c r="F10" s="329">
        <f>G11</f>
        <v>671</v>
      </c>
      <c r="G10" s="329">
        <f t="shared" ref="G10:H10" si="0">H11</f>
        <v>557</v>
      </c>
      <c r="H10" s="329">
        <f t="shared" si="0"/>
        <v>597</v>
      </c>
      <c r="I10" s="329">
        <f>J11</f>
        <v>637</v>
      </c>
      <c r="J10" s="329">
        <f>K11</f>
        <v>688</v>
      </c>
      <c r="K10" s="329">
        <f>L11</f>
        <v>640</v>
      </c>
      <c r="L10" s="329" cm="1">
        <f t="array" ref="L10">IFERROR(_xll.FDS($B$2,"FF_OPER_LEASE_COMMIT_YR1(ANN_R,-10)"),)</f>
        <v>386</v>
      </c>
    </row>
    <row r="11" spans="1:13">
      <c r="A11" s="8">
        <v>1</v>
      </c>
      <c r="B11" s="2"/>
      <c r="C11" s="330"/>
      <c r="E11" s="7" cm="1">
        <f t="array" ref="E11">_xll.FDS($B$2,"FF_OPER_LEASE_COMMIT_YR1(ANN_R,-2)")</f>
        <v>256</v>
      </c>
      <c r="F11" s="7">
        <f>(E11+G11)/2</f>
        <v>463.5</v>
      </c>
      <c r="G11" s="7" cm="1">
        <f t="array" ref="G11">_xll.FDS($B$2,"FF_OPER_LEASE_COMMIT_YR1(ANN_R,-4)")</f>
        <v>671</v>
      </c>
      <c r="H11" s="7" cm="1">
        <f t="array" ref="H11">_xll.FDS($B$2,"FF_OPER_LEASE_COMMIT_YR1(ANN_R,-5)")</f>
        <v>557</v>
      </c>
      <c r="I11" s="7">
        <f>(H11+J11)/2</f>
        <v>597</v>
      </c>
      <c r="J11" s="7" cm="1">
        <f t="array" ref="J11">_xll.FDS($B$2,"FF_OPER_LEASE_COMMIT_YR1(ANN_R,-7)")</f>
        <v>637</v>
      </c>
      <c r="K11" s="7" cm="1">
        <f t="array" ref="K11">IFERROR(_xll.FDS($B$2,"FF_OPER_LEASE_COMMIT_YR1(ANN_R,-8)"),0)</f>
        <v>688</v>
      </c>
      <c r="L11" s="7" cm="1">
        <f t="array" ref="L11">_xll.FDS($B$2,"FF_OPER_LEASE_COMMIT_YR1(ANN_R,-9)")</f>
        <v>640</v>
      </c>
    </row>
    <row r="12" spans="1:13">
      <c r="A12" s="8">
        <v>2</v>
      </c>
      <c r="B12" s="2"/>
      <c r="E12" s="7" cm="1">
        <f t="array" ref="E12">_xll.FDS($B$2,"FF_OPER_LEASE_COMMIT_YR2(ANN_R,-2)")</f>
        <v>279</v>
      </c>
      <c r="F12" s="7">
        <f t="shared" ref="F12:F16" si="1">(E12+G12)/2</f>
        <v>420.5</v>
      </c>
      <c r="G12" s="7" cm="1">
        <f t="array" ref="G12">_xll.FDS($B$2,"FF_OPER_LEASE_COMMIT_YR2(ANN_R,-4)")</f>
        <v>562</v>
      </c>
      <c r="H12" s="7" cm="1">
        <f t="array" ref="H12">_xll.FDS($B$2,"FF_OPER_LEASE_COMMIT_YR2(ANN_R,-5)")</f>
        <v>545</v>
      </c>
      <c r="I12" s="7">
        <f t="shared" ref="I12:I16" si="2">(H12+J12)/2</f>
        <v>555</v>
      </c>
      <c r="J12" s="7" cm="1">
        <f t="array" ref="J12">_xll.FDS($B$2,"FF_OPER_LEASE_COMMIT_YR2(ANN_R,-7)")</f>
        <v>565</v>
      </c>
      <c r="K12" s="7" cm="1">
        <f t="array" ref="K12">IFERROR(_xll.FDS($B$2,"FF_OPER_LEASE_COMMIT_YR2(ANN_R,-8)"),0)</f>
        <v>614</v>
      </c>
      <c r="L12" s="7" cm="1">
        <f t="array" ref="L12">_xll.FDS($B$2,"FF_OPER_LEASE_COMMIT_YR2(ANN_R,-9)")</f>
        <v>717</v>
      </c>
    </row>
    <row r="13" spans="1:13">
      <c r="A13" s="8">
        <v>3</v>
      </c>
      <c r="B13" s="2"/>
      <c r="E13" s="7" cm="1">
        <f t="array" ref="E13">_xll.FDS($B$2,"FF_OPER_LEASE_COMMIT_YR3(ANN_R,-2)")</f>
        <v>203</v>
      </c>
      <c r="F13" s="7">
        <f t="shared" si="1"/>
        <v>347</v>
      </c>
      <c r="G13" s="7" cm="1">
        <f t="array" ref="G13">_xll.FDS($B$2,"FF_OPER_LEASE_COMMIT_YR3(ANN_R,-4)")</f>
        <v>491</v>
      </c>
      <c r="H13" s="7" cm="1">
        <f t="array" ref="H13">_xll.FDS($B$2,"FF_OPER_LEASE_COMMIT_YR3(ANN_R,-5)")</f>
        <v>474</v>
      </c>
      <c r="I13" s="7">
        <f t="shared" si="2"/>
        <v>456</v>
      </c>
      <c r="J13" s="7" cm="1">
        <f t="array" ref="J13">_xll.FDS($B$2,"FF_OPER_LEASE_COMMIT_YR3(ANN_R,-7)")</f>
        <v>438</v>
      </c>
      <c r="K13" s="7" cm="1">
        <f t="array" ref="K13">IFERROR(_xll.FDS($B$2,"FF_OPER_LEASE_COMMIT_YR3(ANN_R,-8)"),0)</f>
        <v>507</v>
      </c>
      <c r="L13" s="7" cm="1">
        <f t="array" ref="L13">_xll.FDS($B$2,"FF_OPER_LEASE_COMMIT_YR3(ANN_R,-9)")</f>
        <v>642</v>
      </c>
    </row>
    <row r="14" spans="1:13">
      <c r="A14" s="8">
        <v>4</v>
      </c>
      <c r="B14" s="2"/>
      <c r="E14" s="7" cm="1">
        <f t="array" ref="E14">_xll.FDS($B$2,"FF_OPER_LEASE_COMMIT_YR4(ANN_R,-2)")</f>
        <v>155</v>
      </c>
      <c r="F14" s="7">
        <f t="shared" si="1"/>
        <v>266</v>
      </c>
      <c r="G14" s="7" cm="1">
        <f t="array" ref="G14">_xll.FDS($B$2,"FF_OPER_LEASE_COMMIT_YR4(ANN_R,-4)")</f>
        <v>377</v>
      </c>
      <c r="H14" s="7" cm="1">
        <f t="array" ref="H14">_xll.FDS($B$2,"FF_OPER_LEASE_COMMIT_YR4(ANN_R,-5)")</f>
        <v>407</v>
      </c>
      <c r="I14" s="7">
        <f t="shared" si="2"/>
        <v>408.5</v>
      </c>
      <c r="J14" s="7" cm="1">
        <f t="array" ref="J14">_xll.FDS($B$2,"FF_OPER_LEASE_COMMIT_YR4(ANN_R,-7)")</f>
        <v>410</v>
      </c>
      <c r="K14" s="7" cm="1">
        <f t="array" ref="K14">IFERROR(_xll.FDS($B$2,"FF_OPER_LEASE_COMMIT_YR4(ANN_R,-8)"),0)</f>
        <v>392</v>
      </c>
      <c r="L14" s="7" cm="1">
        <f t="array" ref="L14">_xll.FDS($B$2,"FF_OPER_LEASE_COMMIT_YR4(ANN_R,-9)")</f>
        <v>579</v>
      </c>
    </row>
    <row r="15" spans="1:13">
      <c r="A15" s="8">
        <v>5</v>
      </c>
      <c r="B15" s="2"/>
      <c r="C15" s="330"/>
      <c r="E15" s="7" cm="1">
        <f t="array" ref="E15">_xll.FDS($B$2,"FF_OPER_LEASE_COMMIT_YR5(ANN_R,-2)")</f>
        <v>139</v>
      </c>
      <c r="F15" s="7">
        <f t="shared" si="1"/>
        <v>185.5</v>
      </c>
      <c r="G15" s="7" cm="1">
        <f t="array" ref="G15">_xll.FDS($B$2,"FF_OPER_LEASE_COMMIT_YR5(ANN_R,-4)")</f>
        <v>232</v>
      </c>
      <c r="H15" s="7" cm="1">
        <f t="array" ref="H15">_xll.FDS($B$2,"FF_OPER_LEASE_COMMIT_YR5(ANN_R,-5)")</f>
        <v>307</v>
      </c>
      <c r="I15" s="7">
        <f t="shared" si="2"/>
        <v>317</v>
      </c>
      <c r="J15" s="7" cm="1">
        <f t="array" ref="J15">_xll.FDS($B$2,"FF_OPER_LEASE_COMMIT_YR5(ANN_R,-7)")</f>
        <v>327</v>
      </c>
      <c r="K15" s="7" cm="1">
        <f t="array" ref="K15">IFERROR(_xll.FDS($B$2,"FF_OPER_LEASE_COMMIT_YR5(ANN_R,-8)"),0)</f>
        <v>369</v>
      </c>
      <c r="L15" s="7" cm="1">
        <f t="array" ref="L15">_xll.FDS($B$2,"FF_OPER_LEASE_COMMIT_YR5(ANN_R,-9)")</f>
        <v>489</v>
      </c>
    </row>
    <row r="16" spans="1:13">
      <c r="A16" s="14" t="s">
        <v>523</v>
      </c>
      <c r="B16" s="2"/>
      <c r="E16" s="7" cm="1">
        <f t="array" ref="E16">_xll.FDS($B$2,"FF_OPER_LEASE_COMMIT_5YR(ANN_R,-2)")</f>
        <v>473</v>
      </c>
      <c r="F16" s="7">
        <f t="shared" si="1"/>
        <v>594</v>
      </c>
      <c r="G16" s="7" cm="1">
        <f t="array" ref="G16">_xll.FDS($B$2,"FF_OPER_LEASE_COMMIT_5YR(ANN_R,-4)")</f>
        <v>715</v>
      </c>
      <c r="H16" s="7" cm="1">
        <f t="array" ref="H16">_xll.FDS($B$2,"FF_OPER_LEASE_COMMIT_5YR(ANN_R,-5)")</f>
        <v>1529</v>
      </c>
      <c r="I16" s="7">
        <f t="shared" si="2"/>
        <v>1521</v>
      </c>
      <c r="J16" s="7" cm="1">
        <f t="array" ref="J16">_xll.FDS($B$2,"FF_OPER_LEASE_COMMIT_5YR(ANN_R,-7)")</f>
        <v>1513</v>
      </c>
      <c r="K16" s="7" cm="1">
        <f t="array" ref="K16">IFERROR(_xll.FDS($B$2,"FF_OPER_LEASE_COMMIT_5YR(ANN_R,-8)"),0)</f>
        <v>1823</v>
      </c>
      <c r="L16" s="7" cm="1">
        <f t="array" ref="L16">_xll.FDS($B$2,"FF_OPER_LEASE_COMMIT_5YR(ANN_R,-9)")</f>
        <v>2516</v>
      </c>
    </row>
    <row r="17" spans="1:12">
      <c r="A17" s="910" t="s">
        <v>524</v>
      </c>
      <c r="B17" s="911"/>
      <c r="C17" s="909"/>
      <c r="D17" s="909"/>
      <c r="E17" s="909">
        <f t="shared" ref="E17:H17" si="3">IF(E16&gt;0,ROUND(E16/AVERAGE(E11:E15),0),0)</f>
        <v>2</v>
      </c>
      <c r="F17" s="909">
        <f t="shared" si="3"/>
        <v>2</v>
      </c>
      <c r="G17" s="909">
        <f t="shared" si="3"/>
        <v>2</v>
      </c>
      <c r="H17" s="909">
        <f t="shared" si="3"/>
        <v>3</v>
      </c>
      <c r="I17" s="909">
        <f>IF(I16&gt;0,ROUND(I16/AVERAGE(I11:I15),0),0)</f>
        <v>3</v>
      </c>
      <c r="J17" s="909">
        <f t="shared" ref="J17:L17" si="4">IF(J16&gt;0,ROUND(J16/AVERAGE(J11:J15),0),0)</f>
        <v>3</v>
      </c>
      <c r="K17" s="909">
        <f>IF(K16&gt;0,ROUND(K16/AVERAGE(K11:K15),0),0)</f>
        <v>4</v>
      </c>
      <c r="L17" s="909">
        <f t="shared" si="4"/>
        <v>4</v>
      </c>
    </row>
    <row r="18" spans="1:12">
      <c r="A18" s="5" t="s">
        <v>525</v>
      </c>
      <c r="B18" s="2"/>
      <c r="G18" s="7"/>
      <c r="H18" s="7"/>
      <c r="I18" s="7"/>
      <c r="J18" s="7"/>
      <c r="K18" s="7"/>
      <c r="L18" s="7"/>
    </row>
    <row r="19" spans="1:12">
      <c r="A19" s="5"/>
      <c r="B19" s="2"/>
      <c r="G19" s="7"/>
      <c r="H19" s="7"/>
      <c r="I19" s="7"/>
      <c r="J19" s="7"/>
      <c r="K19" s="7"/>
      <c r="L19" s="7"/>
    </row>
    <row r="20" spans="1:12">
      <c r="A20" s="912" t="s">
        <v>526</v>
      </c>
      <c r="B20" s="898" t="s">
        <v>527</v>
      </c>
      <c r="C20" s="907"/>
      <c r="D20" s="907" t="str">
        <f t="shared" ref="D20:L20" si="5">D8</f>
        <v>12/2019</v>
      </c>
      <c r="E20" s="907" t="str">
        <f t="shared" si="5"/>
        <v>12/2018</v>
      </c>
      <c r="F20" s="907" t="str">
        <f t="shared" si="5"/>
        <v>12/2017</v>
      </c>
      <c r="G20" s="907" t="str">
        <f t="shared" si="5"/>
        <v>12/2016</v>
      </c>
      <c r="H20" s="907" t="str">
        <f t="shared" si="5"/>
        <v>12/2015</v>
      </c>
      <c r="I20" s="907" t="str">
        <f t="shared" si="5"/>
        <v>12/2014</v>
      </c>
      <c r="J20" s="907" t="str">
        <f t="shared" si="5"/>
        <v>12/2013</v>
      </c>
      <c r="K20" s="907" t="str">
        <f t="shared" si="5"/>
        <v>12/2012</v>
      </c>
      <c r="L20" s="907" t="str">
        <f t="shared" si="5"/>
        <v>12/2011</v>
      </c>
    </row>
    <row r="21" spans="1:12">
      <c r="A21" s="8">
        <f>A11</f>
        <v>1</v>
      </c>
      <c r="C21" s="8"/>
      <c r="D21" s="8"/>
      <c r="E21" s="8">
        <f>E11/(1+$B$5)^$A21</f>
        <v>244.511063308986</v>
      </c>
      <c r="F21" s="8">
        <f>F11/(1+$B$5)^$A21</f>
        <v>442.69874157701173</v>
      </c>
      <c r="G21" s="8">
        <f t="shared" ref="F21:L25" si="6">G11/(1+$B$5)^$A21</f>
        <v>640.88641984503749</v>
      </c>
      <c r="H21" s="8">
        <f t="shared" si="6"/>
        <v>532.00258696525464</v>
      </c>
      <c r="I21" s="8">
        <f t="shared" si="6"/>
        <v>570.20744060728373</v>
      </c>
      <c r="J21" s="8">
        <f>J11/(1+$B$5)^$A21</f>
        <v>608.41229424931282</v>
      </c>
      <c r="K21" s="8">
        <f>K11/(1+$B$5)^$A21</f>
        <v>657.12348264289983</v>
      </c>
      <c r="L21" s="8">
        <f t="shared" si="6"/>
        <v>611.27765827246503</v>
      </c>
    </row>
    <row r="22" spans="1:12">
      <c r="A22" s="8">
        <f>A12</f>
        <v>2</v>
      </c>
      <c r="C22" s="8"/>
      <c r="D22" s="8"/>
      <c r="E22" s="8">
        <f t="shared" ref="E22:E25" si="7">E12/(1+$B$5)^$A22</f>
        <v>254.51964054042017</v>
      </c>
      <c r="F22" s="8">
        <f t="shared" si="6"/>
        <v>383.60397436289134</v>
      </c>
      <c r="G22" s="8">
        <f t="shared" si="6"/>
        <v>512.68830818536253</v>
      </c>
      <c r="H22" s="8">
        <f t="shared" si="6"/>
        <v>497.17994299114338</v>
      </c>
      <c r="I22" s="8">
        <f t="shared" si="6"/>
        <v>506.30251075244871</v>
      </c>
      <c r="J22" s="8">
        <f t="shared" si="6"/>
        <v>515.4250785137541</v>
      </c>
      <c r="K22" s="8">
        <f>K12/(1+$B$5)^$A22</f>
        <v>560.12566054415049</v>
      </c>
      <c r="L22" s="8">
        <f t="shared" si="6"/>
        <v>654.08810848559597</v>
      </c>
    </row>
    <row r="23" spans="1:12">
      <c r="A23" s="8">
        <f>A13</f>
        <v>3</v>
      </c>
      <c r="C23" s="8"/>
      <c r="D23" s="8"/>
      <c r="E23" s="8">
        <f t="shared" si="7"/>
        <v>176.87713082628366</v>
      </c>
      <c r="F23" s="8">
        <f t="shared" si="6"/>
        <v>302.34662264394302</v>
      </c>
      <c r="G23" s="8">
        <f t="shared" si="6"/>
        <v>427.81611446160235</v>
      </c>
      <c r="H23" s="8">
        <f t="shared" si="6"/>
        <v>413.00374389979538</v>
      </c>
      <c r="I23" s="8">
        <f t="shared" si="6"/>
        <v>397.32005742258792</v>
      </c>
      <c r="J23" s="8">
        <f t="shared" si="6"/>
        <v>381.63637094538052</v>
      </c>
      <c r="K23" s="8">
        <f t="shared" si="6"/>
        <v>441.75716910800895</v>
      </c>
      <c r="L23" s="8">
        <f t="shared" si="6"/>
        <v>559.38481768706458</v>
      </c>
    </row>
    <row r="24" spans="1:12">
      <c r="A24" s="8">
        <f>A14</f>
        <v>4</v>
      </c>
      <c r="C24" s="8"/>
      <c r="D24" s="8"/>
      <c r="E24" s="8">
        <f t="shared" si="7"/>
        <v>128.99292596739286</v>
      </c>
      <c r="F24" s="8">
        <f t="shared" si="6"/>
        <v>221.3685052085581</v>
      </c>
      <c r="G24" s="8">
        <f t="shared" si="6"/>
        <v>313.74408444972335</v>
      </c>
      <c r="H24" s="8">
        <f t="shared" si="6"/>
        <v>338.71045721760584</v>
      </c>
      <c r="I24" s="8">
        <f t="shared" si="6"/>
        <v>339.95877585599993</v>
      </c>
      <c r="J24" s="8">
        <f t="shared" si="6"/>
        <v>341.20709449439408</v>
      </c>
      <c r="K24" s="8">
        <f t="shared" si="6"/>
        <v>326.22727083366459</v>
      </c>
      <c r="L24" s="8">
        <f t="shared" si="6"/>
        <v>481.85099442013211</v>
      </c>
    </row>
    <row r="25" spans="1:12">
      <c r="A25" s="8">
        <f>A15</f>
        <v>5</v>
      </c>
      <c r="C25" s="8"/>
      <c r="D25" s="8"/>
      <c r="E25" s="8">
        <f t="shared" si="7"/>
        <v>110.48607486844283</v>
      </c>
      <c r="F25" s="8">
        <f t="shared" si="6"/>
        <v>147.44724379925285</v>
      </c>
      <c r="G25" s="8">
        <f t="shared" si="6"/>
        <v>184.40841273006285</v>
      </c>
      <c r="H25" s="8">
        <f t="shared" si="6"/>
        <v>244.02320132814353</v>
      </c>
      <c r="I25" s="8">
        <f t="shared" si="6"/>
        <v>251.97183980788762</v>
      </c>
      <c r="J25" s="8">
        <f t="shared" si="6"/>
        <v>259.92047828763168</v>
      </c>
      <c r="K25" s="8">
        <f t="shared" si="6"/>
        <v>293.3047599025569</v>
      </c>
      <c r="L25" s="8">
        <f t="shared" si="6"/>
        <v>388.68842165948593</v>
      </c>
    </row>
    <row r="26" spans="1:12">
      <c r="A26" s="14" t="s">
        <v>523</v>
      </c>
      <c r="C26" s="8"/>
      <c r="D26" s="8"/>
      <c r="E26" s="8">
        <f>IF(E17&gt;0,(E16/E17*(1-(1+$B$5)^(-E17))/$B$5)/(1+$B$5)^5,E16/E17/(1+$B$5)^6)</f>
        <v>351.03963565755686</v>
      </c>
      <c r="F26" s="8">
        <f>IF(F17&gt;0,(F16/F17*(1-(1+$B$5)^(-F17))/$B$5)/(1+$B$5)^5,F16/F17/(1+$B$5)^6)</f>
        <v>440.84047268623425</v>
      </c>
      <c r="G26" s="8">
        <f t="shared" ref="G26:I26" si="8">IF(G17&gt;0,(G16/G17*(1-(1+$B$5)^(-G17))/$B$5)/(1+$B$5)^5,G16/G17/(1+$B$5)^6)</f>
        <v>530.64130971491147</v>
      </c>
      <c r="H26" s="8">
        <f t="shared" si="8"/>
        <v>1109.4876977271147</v>
      </c>
      <c r="I26" s="8">
        <f t="shared" si="8"/>
        <v>1103.6826607213482</v>
      </c>
      <c r="J26" s="8">
        <f>IF(J17&gt;0,(J16/J17*(1-(1+$B$5)^(-J17))/$B$5)/(1+$B$5)^5,J16/J17/(1+$B$5)^6)</f>
        <v>1097.8776237155814</v>
      </c>
      <c r="K26" s="8">
        <f>IF(K17&gt;0,(K16/K17*(1-(1+$B$5)^(-K17))/$B$5)/(1+$B$5)^5,K16/K17/(1+$B$5)^6)</f>
        <v>1293.5937122233245</v>
      </c>
      <c r="L26" s="8">
        <f>IF(L17&gt;0,(L16/L17*(1-(1+$B$5)^(-L17))/$B$5)/(1+$B$5)^5,L16/L17/(1+$B$5)^6)</f>
        <v>1785.3438178573144</v>
      </c>
    </row>
    <row r="27" spans="1:12">
      <c r="A27" s="913"/>
      <c r="B27" s="914" t="s">
        <v>528</v>
      </c>
      <c r="C27" s="913"/>
      <c r="D27" s="913"/>
      <c r="E27" s="913">
        <f t="shared" ref="E27:I27" si="9">SUM(E21:E26)</f>
        <v>1266.4264711690826</v>
      </c>
      <c r="F27" s="913">
        <f t="shared" si="9"/>
        <v>1938.3055602778913</v>
      </c>
      <c r="G27" s="913">
        <f t="shared" si="9"/>
        <v>2610.1846493867001</v>
      </c>
      <c r="H27" s="913">
        <f t="shared" si="9"/>
        <v>3134.4076301290575</v>
      </c>
      <c r="I27" s="913">
        <f t="shared" si="9"/>
        <v>3169.4432851675565</v>
      </c>
      <c r="J27" s="913">
        <f>SUM(J21:J26)</f>
        <v>3204.4789402060551</v>
      </c>
      <c r="K27" s="913">
        <f>SUM(K21:K26)</f>
        <v>3572.1320552546049</v>
      </c>
      <c r="L27" s="913">
        <f t="shared" ref="L27" si="10">SUM(L21:L26)</f>
        <v>4480.6338183820581</v>
      </c>
    </row>
    <row r="28" spans="1:12">
      <c r="A28" s="8"/>
      <c r="B28" s="3"/>
      <c r="C28" s="1058" t="s">
        <v>529</v>
      </c>
      <c r="G28" s="7"/>
      <c r="H28" s="7"/>
      <c r="I28" s="7"/>
      <c r="J28" s="7"/>
      <c r="K28" s="7"/>
      <c r="L28" s="7"/>
    </row>
    <row r="29" spans="1:12">
      <c r="A29" s="637"/>
      <c r="B29" s="1061" t="s">
        <v>530</v>
      </c>
      <c r="G29" s="7"/>
      <c r="H29" s="7"/>
      <c r="I29" s="7"/>
      <c r="J29" s="7"/>
      <c r="K29" s="7"/>
      <c r="L29" s="7"/>
    </row>
    <row r="30" spans="1:12">
      <c r="A30" s="8"/>
      <c r="B30" s="519" t="s">
        <v>531</v>
      </c>
      <c r="C30" s="380"/>
      <c r="D30" s="380">
        <f t="shared" ref="D30:L30" si="11">D27/(5+D17)/1000</f>
        <v>0</v>
      </c>
      <c r="E30" s="380">
        <f t="shared" si="11"/>
        <v>0.18091806730986895</v>
      </c>
      <c r="F30" s="380">
        <f t="shared" si="11"/>
        <v>0.27690079432541309</v>
      </c>
      <c r="G30" s="380">
        <f t="shared" si="11"/>
        <v>0.37288352134095715</v>
      </c>
      <c r="H30" s="380">
        <f t="shared" si="11"/>
        <v>0.39180095376613217</v>
      </c>
      <c r="I30" s="380">
        <f t="shared" si="11"/>
        <v>0.39618041064594456</v>
      </c>
      <c r="J30" s="380">
        <f t="shared" si="11"/>
        <v>0.4005598675257569</v>
      </c>
      <c r="K30" s="380">
        <f>K27/(5+K17)/1000</f>
        <v>0.39690356169495611</v>
      </c>
      <c r="L30" s="380">
        <f t="shared" si="11"/>
        <v>0.49784820204245089</v>
      </c>
    </row>
    <row r="31" spans="1:12">
      <c r="A31" s="8"/>
      <c r="B31" s="7" t="s">
        <v>532</v>
      </c>
      <c r="C31" s="2"/>
      <c r="D31" s="2">
        <f t="shared" ref="D31:L31" si="12">D10/1000</f>
        <v>0</v>
      </c>
      <c r="E31" s="2">
        <f t="shared" si="12"/>
        <v>0.46350000000000002</v>
      </c>
      <c r="F31" s="2">
        <f t="shared" si="12"/>
        <v>0.67100000000000004</v>
      </c>
      <c r="G31" s="2">
        <f t="shared" si="12"/>
        <v>0.55700000000000005</v>
      </c>
      <c r="H31" s="2">
        <f t="shared" si="12"/>
        <v>0.59699999999999998</v>
      </c>
      <c r="I31" s="2">
        <f t="shared" si="12"/>
        <v>0.63700000000000001</v>
      </c>
      <c r="J31" s="2">
        <f t="shared" si="12"/>
        <v>0.68799999999999994</v>
      </c>
      <c r="K31" s="2">
        <f t="shared" si="12"/>
        <v>0.64</v>
      </c>
      <c r="L31" s="2">
        <f t="shared" si="12"/>
        <v>0.38600000000000001</v>
      </c>
    </row>
    <row r="32" spans="1:12">
      <c r="B32" s="519" t="s">
        <v>533</v>
      </c>
      <c r="C32" s="380"/>
      <c r="D32" s="380">
        <f t="shared" ref="D32:L32" si="13">(D31-D30)</f>
        <v>0</v>
      </c>
      <c r="E32" s="380">
        <f t="shared" si="13"/>
        <v>0.2825819326901311</v>
      </c>
      <c r="F32" s="380">
        <f t="shared" si="13"/>
        <v>0.39409920567458695</v>
      </c>
      <c r="G32" s="380">
        <f t="shared" si="13"/>
        <v>0.1841164786590429</v>
      </c>
      <c r="H32" s="380">
        <f t="shared" si="13"/>
        <v>0.20519904623386781</v>
      </c>
      <c r="I32" s="380">
        <f t="shared" si="13"/>
        <v>0.24081958935405545</v>
      </c>
      <c r="J32" s="380">
        <f t="shared" si="13"/>
        <v>0.28744013247424305</v>
      </c>
      <c r="K32" s="380">
        <f t="shared" si="13"/>
        <v>0.2430964383050439</v>
      </c>
      <c r="L32" s="380">
        <f t="shared" si="13"/>
        <v>-0.11184820204245088</v>
      </c>
    </row>
    <row r="33" spans="1:12">
      <c r="B33" s="519" t="s">
        <v>534</v>
      </c>
      <c r="C33" s="380"/>
      <c r="D33" s="380">
        <f t="shared" ref="D33:L33" si="14">D27/1000</f>
        <v>0</v>
      </c>
      <c r="E33" s="380">
        <f t="shared" si="14"/>
        <v>1.2664264711690825</v>
      </c>
      <c r="F33" s="380">
        <f t="shared" si="14"/>
        <v>1.9383055602778914</v>
      </c>
      <c r="G33" s="380">
        <f t="shared" si="14"/>
        <v>2.6101846493867003</v>
      </c>
      <c r="H33" s="380">
        <f t="shared" si="14"/>
        <v>3.1344076301290573</v>
      </c>
      <c r="I33" s="380">
        <f t="shared" si="14"/>
        <v>3.1694432851675565</v>
      </c>
      <c r="J33" s="380">
        <f t="shared" si="14"/>
        <v>3.2044789402060552</v>
      </c>
      <c r="K33" s="380">
        <f t="shared" si="14"/>
        <v>3.5721320552546048</v>
      </c>
      <c r="L33" s="380">
        <f t="shared" si="14"/>
        <v>4.4806338183820582</v>
      </c>
    </row>
    <row r="35" spans="1:12">
      <c r="A35" s="8"/>
      <c r="G35" s="7"/>
      <c r="H35" s="7"/>
      <c r="I35" s="7"/>
      <c r="J35" s="7"/>
      <c r="K35" s="7"/>
      <c r="L35" s="7"/>
    </row>
    <row r="36" spans="1:12">
      <c r="A36" s="8"/>
      <c r="G36" s="7"/>
      <c r="H36" s="7"/>
      <c r="I36" s="7"/>
      <c r="J36" s="7"/>
      <c r="K36" s="7"/>
      <c r="L36" s="7"/>
    </row>
    <row r="37" spans="1:12">
      <c r="A37" s="8"/>
      <c r="G37" s="7"/>
      <c r="H37" s="7"/>
      <c r="I37" s="7"/>
      <c r="J37" s="7"/>
      <c r="K37" s="7"/>
      <c r="L37" s="7"/>
    </row>
    <row r="38" spans="1:12">
      <c r="A38" s="8"/>
      <c r="G38" s="7"/>
      <c r="H38" s="7"/>
      <c r="I38" s="7"/>
      <c r="J38" s="7"/>
      <c r="K38" s="7"/>
      <c r="L38" s="7"/>
    </row>
    <row r="39" spans="1:12">
      <c r="A39" s="8"/>
      <c r="G39" s="7"/>
      <c r="H39" s="7"/>
      <c r="I39" s="7"/>
      <c r="J39" s="7"/>
      <c r="K39" s="7"/>
      <c r="L39" s="7"/>
    </row>
    <row r="40" spans="1:12">
      <c r="A40" s="8"/>
      <c r="G40" s="7"/>
      <c r="H40" s="7"/>
      <c r="I40" s="7"/>
      <c r="J40" s="7"/>
      <c r="K40" s="7"/>
      <c r="L40" s="7"/>
    </row>
    <row r="41" spans="1:12">
      <c r="A41" s="8"/>
      <c r="G41" s="7"/>
      <c r="H41" s="7"/>
      <c r="I41" s="7"/>
      <c r="J41" s="7"/>
      <c r="K41" s="7"/>
      <c r="L41" s="7"/>
    </row>
    <row r="42" spans="1:12">
      <c r="A42" s="8"/>
      <c r="G42" s="7"/>
      <c r="H42" s="7"/>
      <c r="I42" s="7"/>
      <c r="J42" s="7"/>
      <c r="K42" s="7"/>
      <c r="L42" s="7"/>
    </row>
    <row r="43" spans="1:12">
      <c r="A43" s="8"/>
      <c r="G43" s="7"/>
      <c r="H43" s="7"/>
      <c r="I43" s="7"/>
      <c r="J43" s="7"/>
      <c r="K43" s="7"/>
      <c r="L43" s="7"/>
    </row>
    <row r="44" spans="1:12">
      <c r="A44" s="8"/>
      <c r="G44" s="7"/>
      <c r="H44" s="7"/>
      <c r="I44" s="7"/>
      <c r="J44" s="7"/>
      <c r="K44" s="7"/>
      <c r="L44" s="7"/>
    </row>
    <row r="45" spans="1:12">
      <c r="G45" s="7"/>
      <c r="H45" s="7"/>
      <c r="I45" s="7"/>
      <c r="J45" s="7"/>
      <c r="K45" s="7"/>
      <c r="L45" s="7"/>
    </row>
    <row r="46" spans="1:12">
      <c r="G46" s="7"/>
      <c r="H46" s="7"/>
      <c r="I46" s="7"/>
      <c r="J46" s="7"/>
      <c r="K46" s="7"/>
      <c r="L46" s="7"/>
    </row>
    <row r="47" spans="1:12">
      <c r="C47" s="9"/>
      <c r="D47" s="9"/>
      <c r="E47" s="9"/>
      <c r="F47" s="9"/>
      <c r="G47" s="9"/>
      <c r="H47" s="9"/>
      <c r="I47" s="9"/>
      <c r="J47" s="9"/>
      <c r="K47" s="9"/>
      <c r="L47" s="9"/>
    </row>
  </sheetData>
  <pageMargins left="0.7" right="0.7" top="0.78740157499999996" bottom="0.78740157499999996"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14A6F-0CAB-45A7-B2CD-FDB164FF3A69}">
  <sheetPr>
    <tabColor theme="9" tint="0.79998168889431442"/>
  </sheetPr>
  <dimension ref="A1:O47"/>
  <sheetViews>
    <sheetView workbookViewId="0">
      <selection activeCell="P20" sqref="P20"/>
    </sheetView>
  </sheetViews>
  <sheetFormatPr defaultColWidth="11.28515625" defaultRowHeight="15"/>
  <cols>
    <col min="1" max="1" width="35.7109375" style="7" customWidth="1"/>
    <col min="2" max="2" width="13.7109375" style="7" customWidth="1"/>
    <col min="3" max="6" width="11.7109375" style="7" customWidth="1"/>
    <col min="7" max="12" width="11.7109375" style="3" customWidth="1"/>
    <col min="13" max="16384" width="11.28515625" style="3"/>
  </cols>
  <sheetData>
    <row r="1" spans="1:15" s="340" customFormat="1" ht="26.1" customHeight="1">
      <c r="A1" s="371" t="s">
        <v>515</v>
      </c>
      <c r="B1" s="340">
        <f>'DAL-US IS-adj'!B1</f>
        <v>0</v>
      </c>
    </row>
    <row r="2" spans="1:15">
      <c r="A2" s="2" t="str">
        <f>'DAL-US IS-adj'!A2</f>
        <v>Ticker</v>
      </c>
      <c r="B2" s="1056" t="str">
        <f>'Industry Ratios'!H3</f>
        <v>ALK-US</v>
      </c>
      <c r="C2" s="2"/>
      <c r="D2" s="2"/>
      <c r="E2" s="2"/>
      <c r="F2" s="2"/>
      <c r="G2" s="327"/>
      <c r="H2" s="327"/>
      <c r="I2" s="327"/>
      <c r="J2" s="327"/>
      <c r="K2" s="327"/>
      <c r="L2" s="327"/>
      <c r="M2" s="327"/>
    </row>
    <row r="3" spans="1:15">
      <c r="A3" s="4" t="s">
        <v>507</v>
      </c>
      <c r="B3" s="1055" t="s">
        <v>516</v>
      </c>
      <c r="C3" s="5"/>
      <c r="D3" s="5"/>
      <c r="E3" s="5"/>
      <c r="F3" s="5"/>
      <c r="G3" s="6"/>
    </row>
    <row r="4" spans="1:15">
      <c r="A4" s="5" t="s">
        <v>517</v>
      </c>
      <c r="B4" s="918">
        <f>'Ind Leases'!F24</f>
        <v>2019</v>
      </c>
      <c r="C4" s="5"/>
      <c r="D4" s="5"/>
      <c r="E4" s="5"/>
      <c r="H4" s="326"/>
      <c r="I4" s="326"/>
    </row>
    <row r="5" spans="1:15">
      <c r="A5" s="5" t="s">
        <v>518</v>
      </c>
      <c r="B5" s="1020">
        <f>'Ind Leases'!E15</f>
        <v>1.9773684999999999E-2</v>
      </c>
      <c r="C5" s="5" t="s">
        <v>519</v>
      </c>
      <c r="D5" s="5"/>
      <c r="E5" s="5"/>
    </row>
    <row r="6" spans="1:15">
      <c r="C6" s="5"/>
    </row>
    <row r="7" spans="1:15">
      <c r="A7" s="519"/>
      <c r="B7" s="519"/>
      <c r="C7" s="906"/>
      <c r="D7" s="519"/>
      <c r="E7" s="519"/>
      <c r="F7" s="519"/>
      <c r="G7" s="519"/>
      <c r="H7" s="519"/>
      <c r="I7" s="519"/>
      <c r="J7" s="519"/>
      <c r="K7" s="519"/>
      <c r="L7" s="519"/>
    </row>
    <row r="8" spans="1:15">
      <c r="A8" s="525"/>
      <c r="B8" s="525"/>
      <c r="C8" s="525"/>
      <c r="D8" s="525" t="str">
        <f>'DAL-US IS-adj'!D5</f>
        <v>12/2019</v>
      </c>
      <c r="E8" s="525" t="str">
        <f>'DAL-US IS-adj'!E5</f>
        <v>12/2018</v>
      </c>
      <c r="F8" s="525" t="str">
        <f>'DAL-US IS-adj'!F5</f>
        <v>12/2017</v>
      </c>
      <c r="G8" s="525" t="str">
        <f>'DAL-US IS-adj'!G5</f>
        <v>12/2016</v>
      </c>
      <c r="H8" s="525" t="str">
        <f>'DAL-US IS-adj'!H5</f>
        <v>12/2015</v>
      </c>
      <c r="I8" s="525" t="str">
        <f>'DAL-US IS-adj'!I5</f>
        <v>12/2014</v>
      </c>
      <c r="J8" s="525" t="str">
        <f>'DAL-US IS-adj'!J5</f>
        <v>12/2013</v>
      </c>
      <c r="K8" s="525" t="str">
        <f>'DAL-US IS-adj'!K5</f>
        <v>12/2012</v>
      </c>
      <c r="L8" s="525" t="str">
        <f>'DAL-US IS-adj'!L5</f>
        <v>12/2011</v>
      </c>
    </row>
    <row r="9" spans="1:15" ht="30">
      <c r="A9" s="907" t="s">
        <v>520</v>
      </c>
      <c r="B9" s="908" t="s">
        <v>521</v>
      </c>
      <c r="C9" s="1074" t="s">
        <v>522</v>
      </c>
      <c r="D9" s="1074" t="s">
        <v>522</v>
      </c>
      <c r="E9" s="907" t="str">
        <f>'DAL-US IS-adj'!E6</f>
        <v>365 DAYS</v>
      </c>
      <c r="F9" s="907" t="str">
        <f>'DAL-US IS-adj'!F6</f>
        <v>365 DAYS</v>
      </c>
      <c r="G9" s="907" t="str">
        <f>'DAL-US IS-adj'!G6</f>
        <v>366 DAYS</v>
      </c>
      <c r="H9" s="907" t="str">
        <f>'DAL-US IS-adj'!H6</f>
        <v>365 DAYS</v>
      </c>
      <c r="I9" s="907" t="str">
        <f>'DAL-US IS-adj'!I6</f>
        <v>365 DAYS</v>
      </c>
      <c r="J9" s="907" t="str">
        <f>'DAL-US IS-adj'!J6</f>
        <v>365 DAYS</v>
      </c>
      <c r="K9" s="907" t="str">
        <f>'DAL-US IS-adj'!K6</f>
        <v>366 DAYS</v>
      </c>
      <c r="L9" s="907" t="str">
        <f>'DAL-US IS-adj'!L6</f>
        <v>365 DAYS</v>
      </c>
    </row>
    <row r="10" spans="1:15" ht="14.45" customHeight="1">
      <c r="A10" s="328">
        <v>0</v>
      </c>
      <c r="C10" s="1057"/>
      <c r="D10" s="329"/>
      <c r="E10" s="329">
        <f>F11</f>
        <v>387.5</v>
      </c>
      <c r="F10" s="329">
        <f>G11</f>
        <v>425</v>
      </c>
      <c r="G10" s="329">
        <f t="shared" ref="G10:H10" si="0">H11</f>
        <v>315.5</v>
      </c>
      <c r="H10" s="329">
        <f t="shared" si="0"/>
        <v>206</v>
      </c>
      <c r="I10" s="329">
        <f>J11</f>
        <v>221</v>
      </c>
      <c r="J10" s="329">
        <f>K11</f>
        <v>189</v>
      </c>
      <c r="K10" s="329">
        <f>L11</f>
        <v>200.1</v>
      </c>
      <c r="L10" s="329" cm="1">
        <f t="array" ref="L10">IFERROR(_xll.FDS($B$2,"FF_OPER_LEASE_COMMIT_YR1(ANN_R,-10)"),)</f>
        <v>214.5</v>
      </c>
      <c r="N10" s="3" t="e" cm="1">
        <f t="array" ref="N10">_xll.FDS($B$2,"FF_OPER_LEASE_COMMIT_YR1(ANN_R,-3)")</f>
        <v>#N/A</v>
      </c>
      <c r="O10" s="3" cm="1">
        <f t="array" ref="O10">_xll.FDS($B$2,"FF_OPER_LEASE_COMMIT_YR1(ANN_R,-6)")</f>
        <v>206</v>
      </c>
    </row>
    <row r="11" spans="1:15">
      <c r="A11" s="8">
        <v>1</v>
      </c>
      <c r="B11" s="2"/>
      <c r="C11" s="330"/>
      <c r="E11" s="7" cm="1">
        <f t="array" ref="E11">_xll.FDS($B$2,"FF_OPER_LEASE_COMMIT_YR1(ANN_R,-2)")</f>
        <v>350</v>
      </c>
      <c r="F11" s="7">
        <f>(E11+G11)/2</f>
        <v>387.5</v>
      </c>
      <c r="G11" s="7" cm="1">
        <f t="array" ref="G11">_xll.FDS($B$2,"FF_OPER_LEASE_COMMIT_YR1(ANN_R,-4)")</f>
        <v>425</v>
      </c>
      <c r="H11" s="7">
        <f>(G11+I11)/2</f>
        <v>315.5</v>
      </c>
      <c r="I11" s="3" cm="1">
        <f t="array" ref="I11">_xll.FDS($B$2,"FF_OPER_LEASE_COMMIT_YR1(ANN_R,-6)")</f>
        <v>206</v>
      </c>
      <c r="J11" s="7" cm="1">
        <f t="array" ref="J11">_xll.FDS($B$2,"FF_OPER_LEASE_COMMIT_YR1(ANN_R,-7)")</f>
        <v>221</v>
      </c>
      <c r="K11" s="7" cm="1">
        <f t="array" ref="K11">IFERROR(_xll.FDS($B$2,"FF_OPER_LEASE_COMMIT_YR1(ANN_R,-8)"),0)</f>
        <v>189</v>
      </c>
      <c r="L11" s="7" cm="1">
        <f t="array" ref="L11">_xll.FDS($B$2,"FF_OPER_LEASE_COMMIT_YR1(ANN_R,-9)")</f>
        <v>200.1</v>
      </c>
    </row>
    <row r="12" spans="1:15">
      <c r="A12" s="8">
        <v>2</v>
      </c>
      <c r="B12" s="2"/>
      <c r="E12" s="7" cm="1">
        <f t="array" ref="E12">_xll.FDS($B$2,"FF_OPER_LEASE_COMMIT_YR2(ANN_R,-2)")</f>
        <v>320</v>
      </c>
      <c r="F12" s="7">
        <f t="shared" ref="F12:F16" si="1">(E12+G12)/2</f>
        <v>354.5</v>
      </c>
      <c r="G12" s="7" cm="1">
        <f t="array" ref="G12">_xll.FDS($B$2,"FF_OPER_LEASE_COMMIT_YR2(ANN_R,-4)")</f>
        <v>389</v>
      </c>
      <c r="H12" s="7">
        <f t="shared" ref="H12:H16" si="2">(G12+I12)/2</f>
        <v>292</v>
      </c>
      <c r="I12" s="3" cm="1">
        <f t="array" ref="I12">_xll.FDS($B$2,"FF_OPER_LEASE_COMMIT_YR2(ANN_R,-6)")</f>
        <v>195</v>
      </c>
      <c r="J12" s="7" cm="1">
        <f t="array" ref="J12">_xll.FDS($B$2,"FF_OPER_LEASE_COMMIT_YR2(ANN_R,-7)")</f>
        <v>186</v>
      </c>
      <c r="K12" s="7" cm="1">
        <f t="array" ref="K12">IFERROR(_xll.FDS($B$2,"FF_OPER_LEASE_COMMIT_YR2(ANN_R,-8)"),0)</f>
        <v>168</v>
      </c>
      <c r="L12" s="7" cm="1">
        <f t="array" ref="L12">_xll.FDS($B$2,"FF_OPER_LEASE_COMMIT_YR2(ANN_R,-9)")</f>
        <v>166.7</v>
      </c>
    </row>
    <row r="13" spans="1:15">
      <c r="A13" s="8">
        <v>3</v>
      </c>
      <c r="B13" s="2"/>
      <c r="E13" s="7" cm="1">
        <f t="array" ref="E13">_xll.FDS($B$2,"FF_OPER_LEASE_COMMIT_YR3(ANN_R,-2)")</f>
        <v>286</v>
      </c>
      <c r="F13" s="7">
        <f t="shared" si="1"/>
        <v>327</v>
      </c>
      <c r="G13" s="7" cm="1">
        <f t="array" ref="G13">_xll.FDS($B$2,"FF_OPER_LEASE_COMMIT_YR3(ANN_R,-4)")</f>
        <v>368</v>
      </c>
      <c r="H13" s="7">
        <f t="shared" si="2"/>
        <v>264.5</v>
      </c>
      <c r="I13" s="3" cm="1">
        <f t="array" ref="I13">_xll.FDS($B$2,"FF_OPER_LEASE_COMMIT_YR3(ANN_R,-6)")</f>
        <v>161</v>
      </c>
      <c r="J13" s="7" cm="1">
        <f t="array" ref="J13">_xll.FDS($B$2,"FF_OPER_LEASE_COMMIT_YR3(ANN_R,-7)")</f>
        <v>154</v>
      </c>
      <c r="K13" s="7" cm="1">
        <f t="array" ref="K13">IFERROR(_xll.FDS($B$2,"FF_OPER_LEASE_COMMIT_YR3(ANN_R,-8)"),0)</f>
        <v>135</v>
      </c>
      <c r="L13" s="7" cm="1">
        <f t="array" ref="L13">_xll.FDS($B$2,"FF_OPER_LEASE_COMMIT_YR3(ANN_R,-9)")</f>
        <v>153.30000000000001</v>
      </c>
    </row>
    <row r="14" spans="1:15">
      <c r="A14" s="8">
        <v>4</v>
      </c>
      <c r="B14" s="2"/>
      <c r="E14" s="7" cm="1">
        <f t="array" ref="E14">_xll.FDS($B$2,"FF_OPER_LEASE_COMMIT_YR4(ANN_R,-2)")</f>
        <v>262</v>
      </c>
      <c r="F14" s="7">
        <f t="shared" si="1"/>
        <v>299</v>
      </c>
      <c r="G14" s="7" cm="1">
        <f t="array" ref="G14">_xll.FDS($B$2,"FF_OPER_LEASE_COMMIT_YR4(ANN_R,-4)")</f>
        <v>336</v>
      </c>
      <c r="H14" s="7">
        <f t="shared" si="2"/>
        <v>217</v>
      </c>
      <c r="I14" s="3" cm="1">
        <f t="array" ref="I14">_xll.FDS($B$2,"FF_OPER_LEASE_COMMIT_YR4(ANN_R,-6)")</f>
        <v>98</v>
      </c>
      <c r="J14" s="7" cm="1">
        <f t="array" ref="J14">_xll.FDS($B$2,"FF_OPER_LEASE_COMMIT_YR4(ANN_R,-7)")</f>
        <v>119</v>
      </c>
      <c r="K14" s="7" cm="1">
        <f t="array" ref="K14">IFERROR(_xll.FDS($B$2,"FF_OPER_LEASE_COMMIT_YR4(ANN_R,-8)"),0)</f>
        <v>104</v>
      </c>
      <c r="L14" s="7" cm="1">
        <f t="array" ref="L14">_xll.FDS($B$2,"FF_OPER_LEASE_COMMIT_YR4(ANN_R,-9)")</f>
        <v>121.7</v>
      </c>
    </row>
    <row r="15" spans="1:15">
      <c r="A15" s="8">
        <v>5</v>
      </c>
      <c r="B15" s="2"/>
      <c r="C15" s="330"/>
      <c r="E15" s="7" cm="1">
        <f t="array" ref="E15">_xll.FDS($B$2,"FF_OPER_LEASE_COMMIT_YR5(ANN_R,-2)")</f>
        <v>208</v>
      </c>
      <c r="F15" s="7">
        <f t="shared" si="1"/>
        <v>250</v>
      </c>
      <c r="G15" s="7" cm="1">
        <f t="array" ref="G15">_xll.FDS($B$2,"FF_OPER_LEASE_COMMIT_YR5(ANN_R,-4)")</f>
        <v>292</v>
      </c>
      <c r="H15" s="7">
        <f t="shared" si="2"/>
        <v>189</v>
      </c>
      <c r="I15" s="3" cm="1">
        <f t="array" ref="I15">_xll.FDS($B$2,"FF_OPER_LEASE_COMMIT_YR5(ANN_R,-6)")</f>
        <v>86</v>
      </c>
      <c r="J15" s="7" cm="1">
        <f t="array" ref="J15">_xll.FDS($B$2,"FF_OPER_LEASE_COMMIT_YR5(ANN_R,-7)")</f>
        <v>55</v>
      </c>
      <c r="K15" s="7" cm="1">
        <f t="array" ref="K15">IFERROR(_xll.FDS($B$2,"FF_OPER_LEASE_COMMIT_YR5(ANN_R,-8)"),0)</f>
        <v>69</v>
      </c>
      <c r="L15" s="7" cm="1">
        <f t="array" ref="L15">_xll.FDS($B$2,"FF_OPER_LEASE_COMMIT_YR5(ANN_R,-9)")</f>
        <v>90.8</v>
      </c>
    </row>
    <row r="16" spans="1:15">
      <c r="A16" s="14" t="s">
        <v>523</v>
      </c>
      <c r="B16" s="2"/>
      <c r="E16" s="7" cm="1">
        <f t="array" ref="E16">_xll.FDS($B$2,"FF_OPER_LEASE_COMMIT_5YR(ANN_R,-2)")</f>
        <v>847</v>
      </c>
      <c r="F16" s="7">
        <f t="shared" si="1"/>
        <v>985.5</v>
      </c>
      <c r="G16" s="7" cm="1">
        <f t="array" ref="G16">_xll.FDS($B$2,"FF_OPER_LEASE_COMMIT_5YR(ANN_R,-4)")</f>
        <v>1124</v>
      </c>
      <c r="H16" s="7">
        <f t="shared" si="2"/>
        <v>742</v>
      </c>
      <c r="I16" s="3" cm="1">
        <f t="array" ref="I16">_xll.FDS($B$2,"FF_OPER_LEASE_COMMIT_5YR(ANN_R,-6)")</f>
        <v>360</v>
      </c>
      <c r="J16" s="7" cm="1">
        <f t="array" ref="J16">_xll.FDS($B$2,"FF_OPER_LEASE_COMMIT_5YR(ANN_R,-7)")</f>
        <v>160</v>
      </c>
      <c r="K16" s="7" cm="1">
        <f t="array" ref="K16">IFERROR(_xll.FDS($B$2,"FF_OPER_LEASE_COMMIT_5YR(ANN_R,-8)"),0)</f>
        <v>209</v>
      </c>
      <c r="L16" s="7" cm="1">
        <f t="array" ref="L16">_xll.FDS($B$2,"FF_OPER_LEASE_COMMIT_5YR(ANN_R,-9)")</f>
        <v>242.2</v>
      </c>
    </row>
    <row r="17" spans="1:12">
      <c r="A17" s="910" t="s">
        <v>524</v>
      </c>
      <c r="B17" s="911"/>
      <c r="C17" s="909"/>
      <c r="D17" s="909"/>
      <c r="E17" s="909">
        <f t="shared" ref="E17:H17" si="3">IF(E16&gt;0,ROUND(E16/AVERAGE(E11:E15),0),0)</f>
        <v>3</v>
      </c>
      <c r="F17" s="909">
        <f t="shared" si="3"/>
        <v>3</v>
      </c>
      <c r="G17" s="909">
        <f t="shared" si="3"/>
        <v>3</v>
      </c>
      <c r="H17" s="909">
        <f t="shared" si="3"/>
        <v>3</v>
      </c>
      <c r="I17" s="909">
        <f>IF(I16&gt;0,ROUND(I16/AVERAGE(I11:I15),0),0)</f>
        <v>2</v>
      </c>
      <c r="J17" s="909">
        <f t="shared" ref="J17:L17" si="4">IF(J16&gt;0,ROUND(J16/AVERAGE(J11:J15),0),0)</f>
        <v>1</v>
      </c>
      <c r="K17" s="909">
        <f>IF(K16&gt;0,ROUND(K16/AVERAGE(K11:K15),0),0)</f>
        <v>2</v>
      </c>
      <c r="L17" s="909">
        <f t="shared" si="4"/>
        <v>2</v>
      </c>
    </row>
    <row r="18" spans="1:12">
      <c r="A18" s="5" t="s">
        <v>525</v>
      </c>
      <c r="B18" s="2"/>
      <c r="G18" s="7"/>
      <c r="H18" s="7"/>
      <c r="I18" s="7"/>
      <c r="J18" s="7"/>
      <c r="K18" s="7"/>
      <c r="L18" s="7"/>
    </row>
    <row r="19" spans="1:12">
      <c r="A19" s="5"/>
      <c r="B19" s="2"/>
      <c r="G19" s="7"/>
      <c r="H19" s="7"/>
      <c r="I19" s="7"/>
      <c r="J19" s="7"/>
      <c r="K19" s="7"/>
      <c r="L19" s="7"/>
    </row>
    <row r="20" spans="1:12">
      <c r="A20" s="912" t="s">
        <v>526</v>
      </c>
      <c r="B20" s="898" t="s">
        <v>527</v>
      </c>
      <c r="C20" s="907"/>
      <c r="D20" s="907" t="str">
        <f t="shared" ref="D20:L20" si="5">D8</f>
        <v>12/2019</v>
      </c>
      <c r="E20" s="907" t="str">
        <f t="shared" si="5"/>
        <v>12/2018</v>
      </c>
      <c r="F20" s="907" t="str">
        <f t="shared" si="5"/>
        <v>12/2017</v>
      </c>
      <c r="G20" s="907" t="str">
        <f t="shared" si="5"/>
        <v>12/2016</v>
      </c>
      <c r="H20" s="907" t="str">
        <f t="shared" si="5"/>
        <v>12/2015</v>
      </c>
      <c r="I20" s="907" t="str">
        <f t="shared" si="5"/>
        <v>12/2014</v>
      </c>
      <c r="J20" s="907" t="str">
        <f t="shared" si="5"/>
        <v>12/2013</v>
      </c>
      <c r="K20" s="907" t="str">
        <f t="shared" si="5"/>
        <v>12/2012</v>
      </c>
      <c r="L20" s="907" t="str">
        <f t="shared" si="5"/>
        <v>12/2011</v>
      </c>
    </row>
    <row r="21" spans="1:12">
      <c r="A21" s="8">
        <f>A11</f>
        <v>1</v>
      </c>
      <c r="C21" s="8"/>
      <c r="D21" s="8"/>
      <c r="E21" s="8">
        <f>E11/(1+$B$5)^$A21</f>
        <v>343.21340621767462</v>
      </c>
      <c r="F21" s="8">
        <f>F11/(1+$B$5)^$A21</f>
        <v>379.98627116956834</v>
      </c>
      <c r="G21" s="8">
        <f t="shared" ref="F21:L25" si="6">G11/(1+$B$5)^$A21</f>
        <v>416.75913612146206</v>
      </c>
      <c r="H21" s="8">
        <f t="shared" si="6"/>
        <v>309.3823704619324</v>
      </c>
      <c r="I21" s="8">
        <f t="shared" si="6"/>
        <v>202.00560480240279</v>
      </c>
      <c r="J21" s="8">
        <f>J11/(1+$B$5)^$A21</f>
        <v>216.71475078316027</v>
      </c>
      <c r="K21" s="8">
        <f>K11/(1+$B$5)^$A21</f>
        <v>185.33523935754431</v>
      </c>
      <c r="L21" s="8">
        <f t="shared" si="6"/>
        <v>196.22000738330482</v>
      </c>
    </row>
    <row r="22" spans="1:12">
      <c r="A22" s="8">
        <f>A12</f>
        <v>2</v>
      </c>
      <c r="C22" s="8"/>
      <c r="D22" s="8"/>
      <c r="E22" s="8">
        <f t="shared" ref="E22:E25" si="7">E12/(1+$B$5)^$A22</f>
        <v>307.71054290948842</v>
      </c>
      <c r="F22" s="8">
        <f t="shared" si="6"/>
        <v>340.88558581691768</v>
      </c>
      <c r="G22" s="8">
        <f t="shared" si="6"/>
        <v>374.06062872434688</v>
      </c>
      <c r="H22" s="8">
        <f t="shared" si="6"/>
        <v>280.78587040490822</v>
      </c>
      <c r="I22" s="8">
        <f t="shared" si="6"/>
        <v>187.51111208546953</v>
      </c>
      <c r="J22" s="8">
        <f t="shared" si="6"/>
        <v>178.85675306614016</v>
      </c>
      <c r="K22" s="8">
        <f>K12/(1+$B$5)^$A22</f>
        <v>161.54803502748143</v>
      </c>
      <c r="L22" s="8">
        <f t="shared" si="6"/>
        <v>160.29796094691162</v>
      </c>
    </row>
    <row r="23" spans="1:12">
      <c r="A23" s="8">
        <f>A13</f>
        <v>3</v>
      </c>
      <c r="C23" s="8"/>
      <c r="D23" s="8"/>
      <c r="E23" s="8">
        <f t="shared" si="7"/>
        <v>269.68365802198093</v>
      </c>
      <c r="F23" s="8">
        <f t="shared" si="6"/>
        <v>308.34460200415299</v>
      </c>
      <c r="G23" s="8">
        <f t="shared" si="6"/>
        <v>347.0055459863251</v>
      </c>
      <c r="H23" s="8">
        <f t="shared" si="6"/>
        <v>249.41023617767115</v>
      </c>
      <c r="I23" s="8">
        <f t="shared" si="6"/>
        <v>151.81492636901723</v>
      </c>
      <c r="J23" s="8">
        <f t="shared" si="6"/>
        <v>145.21427739645125</v>
      </c>
      <c r="K23" s="8">
        <f t="shared" si="6"/>
        <v>127.29823018520078</v>
      </c>
      <c r="L23" s="8">
        <f t="shared" si="6"/>
        <v>144.55421249919468</v>
      </c>
    </row>
    <row r="24" spans="1:12">
      <c r="A24" s="8">
        <f>A14</f>
        <v>4</v>
      </c>
      <c r="C24" s="8"/>
      <c r="D24" s="8"/>
      <c r="E24" s="8">
        <f t="shared" si="7"/>
        <v>242.2624403615709</v>
      </c>
      <c r="F24" s="8">
        <f t="shared" si="6"/>
        <v>276.47507506912098</v>
      </c>
      <c r="G24" s="8">
        <f t="shared" si="6"/>
        <v>310.68770977667106</v>
      </c>
      <c r="H24" s="8">
        <f t="shared" si="6"/>
        <v>200.65247923076672</v>
      </c>
      <c r="I24" s="8">
        <f t="shared" si="6"/>
        <v>90.617248684862389</v>
      </c>
      <c r="J24" s="8">
        <f t="shared" si="6"/>
        <v>110.03523054590434</v>
      </c>
      <c r="K24" s="8">
        <f t="shared" si="6"/>
        <v>96.165243502302943</v>
      </c>
      <c r="L24" s="8">
        <f t="shared" si="6"/>
        <v>112.53182821375259</v>
      </c>
    </row>
    <row r="25" spans="1:12">
      <c r="A25" s="8">
        <f>A15</f>
        <v>5</v>
      </c>
      <c r="C25" s="8"/>
      <c r="D25" s="8"/>
      <c r="E25" s="8">
        <f t="shared" si="7"/>
        <v>188.60114732672855</v>
      </c>
      <c r="F25" s="8">
        <f t="shared" si="6"/>
        <v>226.68407130616413</v>
      </c>
      <c r="G25" s="8">
        <f t="shared" si="6"/>
        <v>264.76699528559971</v>
      </c>
      <c r="H25" s="8">
        <f t="shared" si="6"/>
        <v>171.37315790746007</v>
      </c>
      <c r="I25" s="8">
        <f t="shared" si="6"/>
        <v>77.979320529320461</v>
      </c>
      <c r="J25" s="8">
        <f t="shared" si="6"/>
        <v>49.870495687356104</v>
      </c>
      <c r="K25" s="8">
        <f t="shared" si="6"/>
        <v>62.564803680501299</v>
      </c>
      <c r="L25" s="8">
        <f t="shared" si="6"/>
        <v>82.331654698398808</v>
      </c>
    </row>
    <row r="26" spans="1:12">
      <c r="A26" s="14" t="s">
        <v>523</v>
      </c>
      <c r="C26" s="8"/>
      <c r="D26" s="8"/>
      <c r="E26" s="8">
        <f>IF(E17&gt;0,(E16/E17*(1-(1+$B$5)^(-E17))/$B$5)/(1+$B$5)^5,E16/E17/(1+$B$5)^6)</f>
        <v>738.60510608009986</v>
      </c>
      <c r="F26" s="8">
        <f>IF(F17&gt;0,(F16/F17*(1-(1+$B$5)^(-F17))/$B$5)/(1+$B$5)^5,F16/F17/(1+$B$5)^6)</f>
        <v>859.38055731043505</v>
      </c>
      <c r="G26" s="8">
        <f t="shared" ref="G26:I26" si="8">IF(G17&gt;0,(G16/G17*(1-(1+$B$5)^(-G17))/$B$5)/(1+$B$5)^5,G16/G17/(1+$B$5)^6)</f>
        <v>980.15600854077013</v>
      </c>
      <c r="H26" s="8">
        <f t="shared" si="8"/>
        <v>647.0424896238892</v>
      </c>
      <c r="I26" s="8">
        <f t="shared" si="8"/>
        <v>316.99222358877529</v>
      </c>
      <c r="J26" s="8">
        <f>IF(J17&gt;0,(J16/J17*(1-(1+$B$5)^(-J17))/$B$5)/(1+$B$5)^5,J16/J17/(1+$B$5)^6)</f>
        <v>142.26470811113902</v>
      </c>
      <c r="K26" s="8">
        <f>IF(K17&gt;0,(K16/K17*(1-(1+$B$5)^(-K17))/$B$5)/(1+$B$5)^5,K16/K17/(1+$B$5)^6)</f>
        <v>184.03159647237231</v>
      </c>
      <c r="L26" s="8">
        <f>IF(L17&gt;0,(L16/L17*(1-(1+$B$5)^(-L17))/$B$5)/(1+$B$5)^5,L16/L17/(1+$B$5)^6)</f>
        <v>213.26532375889269</v>
      </c>
    </row>
    <row r="27" spans="1:12">
      <c r="A27" s="913"/>
      <c r="B27" s="914" t="s">
        <v>528</v>
      </c>
      <c r="C27" s="913"/>
      <c r="D27" s="913"/>
      <c r="E27" s="913">
        <f t="shared" ref="E27:I27" si="9">SUM(E21:E26)</f>
        <v>2090.0763009175434</v>
      </c>
      <c r="F27" s="913">
        <f t="shared" si="9"/>
        <v>2391.7561626763591</v>
      </c>
      <c r="G27" s="913">
        <f t="shared" si="9"/>
        <v>2693.4360244351751</v>
      </c>
      <c r="H27" s="913">
        <f t="shared" si="9"/>
        <v>1858.6466038066278</v>
      </c>
      <c r="I27" s="913">
        <f t="shared" si="9"/>
        <v>1026.9204360598478</v>
      </c>
      <c r="J27" s="913">
        <f>SUM(J21:J26)</f>
        <v>842.95621559015115</v>
      </c>
      <c r="K27" s="913">
        <f>SUM(K21:K26)</f>
        <v>816.94314822540309</v>
      </c>
      <c r="L27" s="913">
        <f t="shared" ref="L27" si="10">SUM(L21:L26)</f>
        <v>909.20098750045508</v>
      </c>
    </row>
    <row r="28" spans="1:12">
      <c r="A28" s="8"/>
      <c r="B28" s="3"/>
      <c r="C28" s="1058" t="s">
        <v>529</v>
      </c>
      <c r="G28" s="7"/>
      <c r="H28" s="7"/>
      <c r="I28" s="7"/>
      <c r="J28" s="7"/>
      <c r="K28" s="7"/>
      <c r="L28" s="7"/>
    </row>
    <row r="29" spans="1:12">
      <c r="A29" s="637"/>
      <c r="B29" s="1061" t="s">
        <v>530</v>
      </c>
      <c r="G29" s="7"/>
      <c r="H29" s="7"/>
      <c r="I29" s="7"/>
      <c r="J29" s="7"/>
      <c r="K29" s="7"/>
      <c r="L29" s="7"/>
    </row>
    <row r="30" spans="1:12">
      <c r="A30" s="8"/>
      <c r="B30" s="519" t="s">
        <v>531</v>
      </c>
      <c r="C30" s="380"/>
      <c r="D30" s="380">
        <f t="shared" ref="D30:L30" si="11">D27/(5+D17)/1000</f>
        <v>0</v>
      </c>
      <c r="E30" s="380">
        <f t="shared" si="11"/>
        <v>0.26125953761469295</v>
      </c>
      <c r="F30" s="380">
        <f t="shared" si="11"/>
        <v>0.29896952033454488</v>
      </c>
      <c r="G30" s="380">
        <f t="shared" si="11"/>
        <v>0.33667950305439687</v>
      </c>
      <c r="H30" s="380">
        <f t="shared" si="11"/>
        <v>0.23233082547582848</v>
      </c>
      <c r="I30" s="380">
        <f t="shared" si="11"/>
        <v>0.14670291943712113</v>
      </c>
      <c r="J30" s="380">
        <f t="shared" si="11"/>
        <v>0.14049270259835853</v>
      </c>
      <c r="K30" s="380">
        <f>K27/(5+K17)/1000</f>
        <v>0.11670616403220045</v>
      </c>
      <c r="L30" s="380">
        <f t="shared" si="11"/>
        <v>0.12988585535720787</v>
      </c>
    </row>
    <row r="31" spans="1:12">
      <c r="A31" s="8"/>
      <c r="B31" s="7" t="s">
        <v>532</v>
      </c>
      <c r="C31" s="2"/>
      <c r="D31" s="2">
        <f t="shared" ref="D31:L31" si="12">D10/1000</f>
        <v>0</v>
      </c>
      <c r="E31" s="2">
        <f t="shared" si="12"/>
        <v>0.38750000000000001</v>
      </c>
      <c r="F31" s="2">
        <f t="shared" si="12"/>
        <v>0.42499999999999999</v>
      </c>
      <c r="G31" s="2">
        <f t="shared" si="12"/>
        <v>0.3155</v>
      </c>
      <c r="H31" s="2">
        <f t="shared" si="12"/>
        <v>0.20599999999999999</v>
      </c>
      <c r="I31" s="2">
        <f t="shared" si="12"/>
        <v>0.221</v>
      </c>
      <c r="J31" s="2">
        <f t="shared" si="12"/>
        <v>0.189</v>
      </c>
      <c r="K31" s="2">
        <f t="shared" si="12"/>
        <v>0.2001</v>
      </c>
      <c r="L31" s="2">
        <f t="shared" si="12"/>
        <v>0.2145</v>
      </c>
    </row>
    <row r="32" spans="1:12">
      <c r="B32" s="519" t="s">
        <v>533</v>
      </c>
      <c r="C32" s="380"/>
      <c r="D32" s="380">
        <f t="shared" ref="D32:L32" si="13">(D31-D30)</f>
        <v>0</v>
      </c>
      <c r="E32" s="380">
        <f t="shared" si="13"/>
        <v>0.12624046238530706</v>
      </c>
      <c r="F32" s="380">
        <f t="shared" si="13"/>
        <v>0.12603047966545511</v>
      </c>
      <c r="G32" s="380">
        <f t="shared" si="13"/>
        <v>-2.1179503054396864E-2</v>
      </c>
      <c r="H32" s="380">
        <f t="shared" si="13"/>
        <v>-2.633082547582849E-2</v>
      </c>
      <c r="I32" s="380">
        <f t="shared" si="13"/>
        <v>7.429708056287887E-2</v>
      </c>
      <c r="J32" s="380">
        <f t="shared" si="13"/>
        <v>4.8507297401641475E-2</v>
      </c>
      <c r="K32" s="380">
        <f t="shared" si="13"/>
        <v>8.3393835967799548E-2</v>
      </c>
      <c r="L32" s="380">
        <f t="shared" si="13"/>
        <v>8.4614144642792127E-2</v>
      </c>
    </row>
    <row r="33" spans="1:12">
      <c r="B33" s="519" t="s">
        <v>534</v>
      </c>
      <c r="C33" s="380"/>
      <c r="D33" s="380">
        <f t="shared" ref="D33:L33" si="14">D27/1000</f>
        <v>0</v>
      </c>
      <c r="E33" s="380">
        <f t="shared" si="14"/>
        <v>2.0900763009175436</v>
      </c>
      <c r="F33" s="380">
        <f t="shared" si="14"/>
        <v>2.391756162676359</v>
      </c>
      <c r="G33" s="380">
        <f t="shared" si="14"/>
        <v>2.6934360244351749</v>
      </c>
      <c r="H33" s="380">
        <f t="shared" si="14"/>
        <v>1.8586466038066278</v>
      </c>
      <c r="I33" s="380">
        <f t="shared" si="14"/>
        <v>1.0269204360598478</v>
      </c>
      <c r="J33" s="380">
        <f t="shared" si="14"/>
        <v>0.8429562155901511</v>
      </c>
      <c r="K33" s="380">
        <f t="shared" si="14"/>
        <v>0.81694314822540304</v>
      </c>
      <c r="L33" s="380">
        <f t="shared" si="14"/>
        <v>0.90920098750045508</v>
      </c>
    </row>
    <row r="35" spans="1:12">
      <c r="A35" s="8"/>
      <c r="G35" s="7"/>
      <c r="H35" s="7"/>
      <c r="I35" s="7"/>
      <c r="J35" s="7"/>
      <c r="K35" s="7"/>
      <c r="L35" s="7"/>
    </row>
    <row r="36" spans="1:12">
      <c r="A36" s="8"/>
      <c r="G36" s="7"/>
      <c r="H36" s="7"/>
      <c r="I36" s="7"/>
      <c r="J36" s="7"/>
      <c r="K36" s="7"/>
      <c r="L36" s="7"/>
    </row>
    <row r="37" spans="1:12">
      <c r="A37" s="8"/>
      <c r="G37" s="7"/>
      <c r="H37" s="7"/>
      <c r="I37" s="7"/>
      <c r="J37" s="7"/>
      <c r="K37" s="7"/>
      <c r="L37" s="7"/>
    </row>
    <row r="38" spans="1:12">
      <c r="A38" s="8"/>
      <c r="G38" s="7"/>
      <c r="H38" s="7"/>
      <c r="I38" s="7"/>
      <c r="J38" s="7"/>
      <c r="K38" s="7"/>
      <c r="L38" s="7"/>
    </row>
    <row r="39" spans="1:12">
      <c r="A39" s="8"/>
      <c r="G39" s="7"/>
      <c r="H39" s="7"/>
      <c r="I39" s="7"/>
      <c r="J39" s="7"/>
      <c r="K39" s="7"/>
      <c r="L39" s="7"/>
    </row>
    <row r="40" spans="1:12">
      <c r="A40" s="8"/>
      <c r="G40" s="7"/>
      <c r="H40" s="7"/>
      <c r="I40" s="7"/>
      <c r="J40" s="7"/>
      <c r="K40" s="7"/>
      <c r="L40" s="7"/>
    </row>
    <row r="41" spans="1:12">
      <c r="A41" s="8"/>
      <c r="G41" s="7"/>
      <c r="H41" s="7"/>
      <c r="I41" s="7"/>
      <c r="J41" s="7"/>
      <c r="K41" s="7"/>
      <c r="L41" s="7"/>
    </row>
    <row r="42" spans="1:12">
      <c r="A42" s="8"/>
      <c r="G42" s="7"/>
      <c r="H42" s="7"/>
      <c r="I42" s="7"/>
      <c r="J42" s="7"/>
      <c r="K42" s="7"/>
      <c r="L42" s="7"/>
    </row>
    <row r="43" spans="1:12">
      <c r="A43" s="8"/>
      <c r="G43" s="7"/>
      <c r="H43" s="7"/>
      <c r="I43" s="7"/>
      <c r="J43" s="7"/>
      <c r="K43" s="7"/>
      <c r="L43" s="7"/>
    </row>
    <row r="44" spans="1:12">
      <c r="A44" s="8"/>
      <c r="G44" s="7"/>
      <c r="H44" s="7"/>
      <c r="I44" s="7"/>
      <c r="J44" s="7"/>
      <c r="K44" s="7"/>
      <c r="L44" s="7"/>
    </row>
    <row r="45" spans="1:12">
      <c r="G45" s="7"/>
      <c r="H45" s="7"/>
      <c r="I45" s="7"/>
      <c r="J45" s="7"/>
      <c r="K45" s="7"/>
      <c r="L45" s="7"/>
    </row>
    <row r="46" spans="1:12">
      <c r="G46" s="7"/>
      <c r="H46" s="7"/>
      <c r="I46" s="7"/>
      <c r="J46" s="7"/>
      <c r="K46" s="7"/>
      <c r="L46" s="7"/>
    </row>
    <row r="47" spans="1:12">
      <c r="C47" s="9"/>
      <c r="D47" s="9"/>
      <c r="E47" s="9"/>
      <c r="F47" s="9"/>
      <c r="G47" s="9"/>
      <c r="H47" s="9"/>
      <c r="I47" s="9"/>
      <c r="J47" s="9"/>
      <c r="K47" s="9"/>
      <c r="L47" s="9"/>
    </row>
  </sheetData>
  <pageMargins left="0.7" right="0.7" top="0.78740157499999996" bottom="0.78740157499999996" header="0.3" footer="0.3"/>
  <pageSetup paperSize="9" orientation="portrait" horizontalDpi="1200" verticalDpi="1200"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6A197-334F-45E7-9B9E-8526E7348F7E}">
  <sheetPr>
    <tabColor theme="9" tint="0.79998168889431442"/>
  </sheetPr>
  <dimension ref="A1:M47"/>
  <sheetViews>
    <sheetView topLeftCell="A4" workbookViewId="0">
      <selection activeCell="G36" sqref="G36"/>
    </sheetView>
  </sheetViews>
  <sheetFormatPr defaultColWidth="11.28515625" defaultRowHeight="15"/>
  <cols>
    <col min="1" max="1" width="35.7109375" style="7" customWidth="1"/>
    <col min="2" max="2" width="13.7109375" style="7" customWidth="1"/>
    <col min="3" max="6" width="11.7109375" style="7" customWidth="1"/>
    <col min="7" max="12" width="11.7109375" style="3" customWidth="1"/>
    <col min="13" max="16384" width="11.28515625" style="3"/>
  </cols>
  <sheetData>
    <row r="1" spans="1:13" s="340" customFormat="1" ht="26.1" customHeight="1">
      <c r="A1" s="371" t="s">
        <v>515</v>
      </c>
      <c r="B1" s="340">
        <f>'DAL-US IS-adj'!B1</f>
        <v>0</v>
      </c>
    </row>
    <row r="2" spans="1:13">
      <c r="A2" s="2" t="str">
        <f>'DAL-US IS-adj'!A2</f>
        <v>Ticker</v>
      </c>
      <c r="B2" s="1056" t="str">
        <f>'Industry Ratios'!I3</f>
        <v>skyw-US</v>
      </c>
      <c r="C2" s="2"/>
      <c r="D2" s="2"/>
      <c r="E2" s="2"/>
      <c r="F2" s="2"/>
      <c r="G2" s="327"/>
      <c r="H2" s="327"/>
      <c r="I2" s="327"/>
      <c r="J2" s="327"/>
      <c r="K2" s="327"/>
      <c r="L2" s="327"/>
      <c r="M2" s="327"/>
    </row>
    <row r="3" spans="1:13">
      <c r="A3" s="4" t="s">
        <v>507</v>
      </c>
      <c r="B3" s="1055" t="s">
        <v>516</v>
      </c>
      <c r="C3" s="5"/>
      <c r="D3" s="5"/>
      <c r="E3" s="5"/>
      <c r="F3" s="5"/>
      <c r="G3" s="6"/>
    </row>
    <row r="4" spans="1:13">
      <c r="A4" s="5" t="s">
        <v>517</v>
      </c>
      <c r="B4" s="918">
        <f>'Ind Leases'!G24</f>
        <v>2019</v>
      </c>
      <c r="C4" s="5"/>
      <c r="D4" s="5"/>
      <c r="E4" s="5"/>
      <c r="H4" s="326"/>
      <c r="I4" s="326"/>
    </row>
    <row r="5" spans="1:13">
      <c r="A5" s="5" t="s">
        <v>518</v>
      </c>
      <c r="B5" s="1020">
        <f>'Ind Leases'!F15</f>
        <v>5.5E-2</v>
      </c>
      <c r="C5" s="5" t="s">
        <v>519</v>
      </c>
      <c r="D5" s="5"/>
      <c r="E5" s="5"/>
    </row>
    <row r="6" spans="1:13">
      <c r="C6" s="5"/>
    </row>
    <row r="7" spans="1:13">
      <c r="A7" s="519"/>
      <c r="B7" s="519"/>
      <c r="C7" s="906"/>
      <c r="D7" s="519"/>
      <c r="E7" s="519"/>
      <c r="F7" s="519"/>
      <c r="G7" s="519"/>
      <c r="H7" s="519"/>
      <c r="I7" s="519"/>
      <c r="J7" s="519"/>
      <c r="K7" s="519"/>
      <c r="L7" s="519"/>
    </row>
    <row r="8" spans="1:13">
      <c r="A8" s="525"/>
      <c r="B8" s="525"/>
      <c r="C8" s="525"/>
      <c r="D8" s="525" t="str">
        <f>'DAL-US IS-adj'!D5</f>
        <v>12/2019</v>
      </c>
      <c r="E8" s="525" t="str">
        <f>'DAL-US IS-adj'!E5</f>
        <v>12/2018</v>
      </c>
      <c r="F8" s="525" t="str">
        <f>'DAL-US IS-adj'!F5</f>
        <v>12/2017</v>
      </c>
      <c r="G8" s="525" t="str">
        <f>'DAL-US IS-adj'!G5</f>
        <v>12/2016</v>
      </c>
      <c r="H8" s="525" t="str">
        <f>'DAL-US IS-adj'!H5</f>
        <v>12/2015</v>
      </c>
      <c r="I8" s="525" t="str">
        <f>'DAL-US IS-adj'!I5</f>
        <v>12/2014</v>
      </c>
      <c r="J8" s="525" t="str">
        <f>'DAL-US IS-adj'!J5</f>
        <v>12/2013</v>
      </c>
      <c r="K8" s="525" t="str">
        <f>'DAL-US IS-adj'!K5</f>
        <v>12/2012</v>
      </c>
      <c r="L8" s="525" t="str">
        <f>'DAL-US IS-adj'!L5</f>
        <v>12/2011</v>
      </c>
    </row>
    <row r="9" spans="1:13" ht="30">
      <c r="A9" s="907" t="s">
        <v>520</v>
      </c>
      <c r="B9" s="908" t="s">
        <v>521</v>
      </c>
      <c r="C9" s="1074" t="s">
        <v>522</v>
      </c>
      <c r="D9" s="1074" t="s">
        <v>522</v>
      </c>
      <c r="E9" s="907" t="str">
        <f>'DAL-US IS-adj'!E6</f>
        <v>365 DAYS</v>
      </c>
      <c r="F9" s="907" t="str">
        <f>'DAL-US IS-adj'!F6</f>
        <v>365 DAYS</v>
      </c>
      <c r="G9" s="907" t="str">
        <f>'DAL-US IS-adj'!G6</f>
        <v>366 DAYS</v>
      </c>
      <c r="H9" s="907" t="str">
        <f>'DAL-US IS-adj'!H6</f>
        <v>365 DAYS</v>
      </c>
      <c r="I9" s="907" t="str">
        <f>'DAL-US IS-adj'!I6</f>
        <v>365 DAYS</v>
      </c>
      <c r="J9" s="907" t="str">
        <f>'DAL-US IS-adj'!J6</f>
        <v>365 DAYS</v>
      </c>
      <c r="K9" s="907" t="str">
        <f>'DAL-US IS-adj'!K6</f>
        <v>366 DAYS</v>
      </c>
      <c r="L9" s="907" t="str">
        <f>'DAL-US IS-adj'!L6</f>
        <v>365 DAYS</v>
      </c>
    </row>
    <row r="10" spans="1:13" ht="14.45" customHeight="1">
      <c r="A10" s="328">
        <v>0</v>
      </c>
      <c r="C10" s="1057"/>
      <c r="D10" s="329"/>
      <c r="E10" s="329">
        <f>F11</f>
        <v>0</v>
      </c>
      <c r="F10" s="329">
        <f>G11</f>
        <v>0</v>
      </c>
      <c r="G10" s="329">
        <f t="shared" ref="G10:H10" si="0">H11</f>
        <v>0</v>
      </c>
      <c r="H10" s="329">
        <f t="shared" si="0"/>
        <v>342.98399999999998</v>
      </c>
      <c r="I10" s="329">
        <f>J11</f>
        <v>380.41300000000001</v>
      </c>
      <c r="J10" s="329">
        <f>K11</f>
        <v>387.99900000000002</v>
      </c>
      <c r="K10" s="329">
        <f>L11</f>
        <v>392.16500000000002</v>
      </c>
      <c r="L10" s="329" cm="1">
        <f t="array" ref="L10">IFERROR(_xll.FDS($B$2,"FF_OPER_LEASE_COMMIT_YR1(ANN_R,-10)"),)</f>
        <v>373.166</v>
      </c>
    </row>
    <row r="11" spans="1:13">
      <c r="A11" s="8">
        <v>1</v>
      </c>
      <c r="B11" s="2"/>
      <c r="C11" s="330"/>
      <c r="E11" s="7" cm="1">
        <f t="array" ref="E11">_xll.FDS($B$2,"FF_OPER_LEASE_COMMIT_YR1(ANN_R,-2)")</f>
        <v>87.256</v>
      </c>
      <c r="F11" s="528">
        <v>0</v>
      </c>
      <c r="G11" s="528">
        <v>0</v>
      </c>
      <c r="H11" s="528">
        <v>0</v>
      </c>
      <c r="I11" s="3" cm="1">
        <f t="array" ref="I11">_xll.FDS($B$2,"FF_OPER_LEASE_COMMIT_YR1(ANN_R,-6)")</f>
        <v>342.98399999999998</v>
      </c>
      <c r="J11" s="7" cm="1">
        <f t="array" ref="J11">_xll.FDS($B$2,"FF_OPER_LEASE_COMMIT_YR1(ANN_R,-7)")</f>
        <v>380.41300000000001</v>
      </c>
      <c r="K11" s="7" cm="1">
        <f t="array" ref="K11">IFERROR(_xll.FDS($B$2,"FF_OPER_LEASE_COMMIT_YR1(ANN_R,-8)"),0)</f>
        <v>387.99900000000002</v>
      </c>
      <c r="L11" s="7" cm="1">
        <f t="array" ref="L11">_xll.FDS($B$2,"FF_OPER_LEASE_COMMIT_YR1(ANN_R,-9)")</f>
        <v>392.16500000000002</v>
      </c>
    </row>
    <row r="12" spans="1:13">
      <c r="A12" s="8">
        <v>2</v>
      </c>
      <c r="B12" s="2"/>
      <c r="E12" s="7" cm="1">
        <f t="array" ref="E12">_xll.FDS($B$2,"FF_OPER_LEASE_COMMIT_YR2(ANN_R,-2)")</f>
        <v>101.741</v>
      </c>
      <c r="F12" s="528">
        <v>0</v>
      </c>
      <c r="G12" s="528">
        <v>0</v>
      </c>
      <c r="H12" s="528">
        <v>0</v>
      </c>
      <c r="I12" s="3" cm="1">
        <f t="array" ref="I12">_xll.FDS($B$2,"FF_OPER_LEASE_COMMIT_YR2(ANN_R,-6)")</f>
        <v>269.20999999999998</v>
      </c>
      <c r="J12" s="7" cm="1">
        <f t="array" ref="J12">_xll.FDS($B$2,"FF_OPER_LEASE_COMMIT_YR2(ANN_R,-7)")</f>
        <v>331.15100000000001</v>
      </c>
      <c r="K12" s="7" cm="1">
        <f t="array" ref="K12">IFERROR(_xll.FDS($B$2,"FF_OPER_LEASE_COMMIT_YR2(ANN_R,-8)"),0)</f>
        <v>360.79700000000003</v>
      </c>
      <c r="L12" s="7" cm="1">
        <f t="array" ref="L12">_xll.FDS($B$2,"FF_OPER_LEASE_COMMIT_YR2(ANN_R,-9)")</f>
        <v>369.00200000000001</v>
      </c>
    </row>
    <row r="13" spans="1:13">
      <c r="A13" s="8">
        <v>3</v>
      </c>
      <c r="B13" s="2"/>
      <c r="E13" s="7" cm="1">
        <f t="array" ref="E13">_xll.FDS($B$2,"FF_OPER_LEASE_COMMIT_YR3(ANN_R,-2)")</f>
        <v>90.787000000000006</v>
      </c>
      <c r="F13" s="528">
        <v>0</v>
      </c>
      <c r="G13" s="528">
        <v>0</v>
      </c>
      <c r="H13" s="528">
        <v>0</v>
      </c>
      <c r="I13" s="3" cm="1">
        <f t="array" ref="I13">_xll.FDS($B$2,"FF_OPER_LEASE_COMMIT_YR3(ANN_R,-6)")</f>
        <v>199.00899999999999</v>
      </c>
      <c r="J13" s="7" cm="1">
        <f t="array" ref="J13">_xll.FDS($B$2,"FF_OPER_LEASE_COMMIT_YR3(ANN_R,-7)")</f>
        <v>258.464</v>
      </c>
      <c r="K13" s="7" cm="1">
        <f t="array" ref="K13">IFERROR(_xll.FDS($B$2,"FF_OPER_LEASE_COMMIT_YR3(ANN_R,-8)"),0)</f>
        <v>309.37799999999999</v>
      </c>
      <c r="L13" s="7" cm="1">
        <f t="array" ref="L13">_xll.FDS($B$2,"FF_OPER_LEASE_COMMIT_YR3(ANN_R,-9)")</f>
        <v>348.32299999999998</v>
      </c>
    </row>
    <row r="14" spans="1:13">
      <c r="A14" s="8">
        <v>4</v>
      </c>
      <c r="B14" s="2"/>
      <c r="E14" s="7" cm="1">
        <f t="array" ref="E14">_xll.FDS($B$2,"FF_OPER_LEASE_COMMIT_YR4(ANN_R,-2)")</f>
        <v>72.593000000000004</v>
      </c>
      <c r="F14" s="528">
        <v>0</v>
      </c>
      <c r="G14" s="528">
        <v>0</v>
      </c>
      <c r="H14" s="528">
        <v>0</v>
      </c>
      <c r="I14" s="3" cm="1">
        <f t="array" ref="I14">_xll.FDS($B$2,"FF_OPER_LEASE_COMMIT_YR4(ANN_R,-6)")</f>
        <v>153.33799999999999</v>
      </c>
      <c r="J14" s="7" cm="1">
        <f t="array" ref="J14">_xll.FDS($B$2,"FF_OPER_LEASE_COMMIT_YR4(ANN_R,-7)")</f>
        <v>194.25800000000001</v>
      </c>
      <c r="K14" s="7" cm="1">
        <f t="array" ref="K14">IFERROR(_xll.FDS($B$2,"FF_OPER_LEASE_COMMIT_YR4(ANN_R,-8)"),0)</f>
        <v>239.989</v>
      </c>
      <c r="L14" s="7" cm="1">
        <f t="array" ref="L14">_xll.FDS($B$2,"FF_OPER_LEASE_COMMIT_YR4(ANN_R,-9)")</f>
        <v>305.82799999999997</v>
      </c>
    </row>
    <row r="15" spans="1:13">
      <c r="A15" s="8">
        <v>5</v>
      </c>
      <c r="B15" s="2"/>
      <c r="C15" s="330"/>
      <c r="E15" s="7" cm="1">
        <f t="array" ref="E15">_xll.FDS($B$2,"FF_OPER_LEASE_COMMIT_YR5(ANN_R,-2)")</f>
        <v>65.748999999999995</v>
      </c>
      <c r="F15" s="528">
        <v>0</v>
      </c>
      <c r="G15" s="528">
        <v>0</v>
      </c>
      <c r="H15" s="528">
        <v>0</v>
      </c>
      <c r="I15" s="3" cm="1">
        <f t="array" ref="I15">_xll.FDS($B$2,"FF_OPER_LEASE_COMMIT_YR5(ANN_R,-6)")</f>
        <v>118.273</v>
      </c>
      <c r="J15" s="7" cm="1">
        <f t="array" ref="J15">_xll.FDS($B$2,"FF_OPER_LEASE_COMMIT_YR5(ANN_R,-7)")</f>
        <v>153.29400000000001</v>
      </c>
      <c r="K15" s="7" cm="1">
        <f t="array" ref="K15">IFERROR(_xll.FDS($B$2,"FF_OPER_LEASE_COMMIT_YR5(ANN_R,-8)"),0)</f>
        <v>182.291</v>
      </c>
      <c r="L15" s="7" cm="1">
        <f t="array" ref="L15">_xll.FDS($B$2,"FF_OPER_LEASE_COMMIT_YR5(ANN_R,-9)")</f>
        <v>239.69800000000001</v>
      </c>
    </row>
    <row r="16" spans="1:13">
      <c r="A16" s="14" t="s">
        <v>523</v>
      </c>
      <c r="B16" s="2"/>
      <c r="E16" s="7" cm="1">
        <f t="array" ref="E16">_xll.FDS($B$2,"FF_OPER_LEASE_COMMIT_5YR(ANN_R,-2)")</f>
        <v>59.82</v>
      </c>
      <c r="F16" s="528">
        <v>0</v>
      </c>
      <c r="G16" s="528">
        <v>0</v>
      </c>
      <c r="H16" s="528">
        <v>0</v>
      </c>
      <c r="I16" s="3" cm="1">
        <f t="array" ref="I16">_xll.FDS($B$2,"FF_OPER_LEASE_COMMIT_5YR(ANN_R,-6)")</f>
        <v>453.50700000000001</v>
      </c>
      <c r="J16" s="7" cm="1">
        <f t="array" ref="J16">_xll.FDS($B$2,"FF_OPER_LEASE_COMMIT_5YR(ANN_R,-7)")</f>
        <v>571.78300000000002</v>
      </c>
      <c r="K16" s="7" cm="1">
        <f t="array" ref="K16">IFERROR(_xll.FDS($B$2,"FF_OPER_LEASE_COMMIT_5YR(ANN_R,-8)"),0)</f>
        <v>720.73299999999995</v>
      </c>
      <c r="L16" s="7" cm="1">
        <f t="array" ref="L16">_xll.FDS($B$2,"FF_OPER_LEASE_COMMIT_5YR(ANN_R,-9)")</f>
        <v>907.25199999999995</v>
      </c>
    </row>
    <row r="17" spans="1:12">
      <c r="A17" s="910" t="s">
        <v>524</v>
      </c>
      <c r="B17" s="911"/>
      <c r="C17" s="909"/>
      <c r="D17" s="909"/>
      <c r="E17" s="909">
        <f t="shared" ref="E17:H17" si="1">IF(E16&gt;0,ROUND(E16/AVERAGE(E11:E15),0),0)</f>
        <v>1</v>
      </c>
      <c r="F17" s="909">
        <f t="shared" si="1"/>
        <v>0</v>
      </c>
      <c r="G17" s="909">
        <f t="shared" si="1"/>
        <v>0</v>
      </c>
      <c r="H17" s="909">
        <f t="shared" si="1"/>
        <v>0</v>
      </c>
      <c r="I17" s="909">
        <f>IF(I16&gt;0,ROUND(I16/AVERAGE(I11:I15),0),0)</f>
        <v>2</v>
      </c>
      <c r="J17" s="909">
        <f t="shared" ref="J17:L17" si="2">IF(J16&gt;0,ROUND(J16/AVERAGE(J11:J15),0),0)</f>
        <v>2</v>
      </c>
      <c r="K17" s="909">
        <f>IF(K16&gt;0,ROUND(K16/AVERAGE(K11:K15),0),0)</f>
        <v>2</v>
      </c>
      <c r="L17" s="909">
        <f t="shared" si="2"/>
        <v>3</v>
      </c>
    </row>
    <row r="18" spans="1:12">
      <c r="A18" s="5" t="s">
        <v>525</v>
      </c>
      <c r="B18" s="2"/>
      <c r="G18" s="7"/>
      <c r="H18" s="7"/>
      <c r="I18" s="7"/>
      <c r="J18" s="7"/>
      <c r="K18" s="7"/>
      <c r="L18" s="7"/>
    </row>
    <row r="19" spans="1:12">
      <c r="A19" s="5"/>
      <c r="B19" s="2"/>
      <c r="G19" s="7"/>
      <c r="H19" s="7"/>
      <c r="I19" s="7"/>
      <c r="J19" s="7"/>
      <c r="K19" s="7"/>
      <c r="L19" s="7"/>
    </row>
    <row r="20" spans="1:12">
      <c r="A20" s="912" t="s">
        <v>526</v>
      </c>
      <c r="B20" s="898" t="s">
        <v>527</v>
      </c>
      <c r="C20" s="907"/>
      <c r="D20" s="907" t="str">
        <f t="shared" ref="D20:L20" si="3">D8</f>
        <v>12/2019</v>
      </c>
      <c r="E20" s="907" t="str">
        <f t="shared" si="3"/>
        <v>12/2018</v>
      </c>
      <c r="F20" s="907" t="str">
        <f t="shared" si="3"/>
        <v>12/2017</v>
      </c>
      <c r="G20" s="907" t="str">
        <f t="shared" si="3"/>
        <v>12/2016</v>
      </c>
      <c r="H20" s="907" t="str">
        <f t="shared" si="3"/>
        <v>12/2015</v>
      </c>
      <c r="I20" s="907" t="str">
        <f t="shared" si="3"/>
        <v>12/2014</v>
      </c>
      <c r="J20" s="907" t="str">
        <f t="shared" si="3"/>
        <v>12/2013</v>
      </c>
      <c r="K20" s="907" t="str">
        <f t="shared" si="3"/>
        <v>12/2012</v>
      </c>
      <c r="L20" s="907" t="str">
        <f t="shared" si="3"/>
        <v>12/2011</v>
      </c>
    </row>
    <row r="21" spans="1:12">
      <c r="A21" s="8">
        <f>A11</f>
        <v>1</v>
      </c>
      <c r="C21" s="8"/>
      <c r="D21" s="8"/>
      <c r="E21" s="8">
        <f>E11/(1+$B$5)^$A21</f>
        <v>82.707109004739337</v>
      </c>
      <c r="F21" s="8">
        <f>F11/(1+$B$5)^$A21</f>
        <v>0</v>
      </c>
      <c r="G21" s="8">
        <f t="shared" ref="F21:L25" si="4">G11/(1+$B$5)^$A21</f>
        <v>0</v>
      </c>
      <c r="H21" s="8">
        <f t="shared" si="4"/>
        <v>0</v>
      </c>
      <c r="I21" s="8">
        <f t="shared" si="4"/>
        <v>325.10331753554505</v>
      </c>
      <c r="J21" s="8">
        <f>J11/(1+$B$5)^$A21</f>
        <v>360.58104265402847</v>
      </c>
      <c r="K21" s="8">
        <f>K11/(1+$B$5)^$A21</f>
        <v>367.77156398104268</v>
      </c>
      <c r="L21" s="8">
        <f t="shared" si="4"/>
        <v>371.72037914691947</v>
      </c>
    </row>
    <row r="22" spans="1:12">
      <c r="A22" s="8">
        <f>A12</f>
        <v>2</v>
      </c>
      <c r="C22" s="8"/>
      <c r="D22" s="8"/>
      <c r="E22" s="8">
        <f t="shared" ref="E22:E25" si="5">E12/(1+$B$5)^$A22</f>
        <v>91.409447227151233</v>
      </c>
      <c r="F22" s="8">
        <f t="shared" si="4"/>
        <v>0</v>
      </c>
      <c r="G22" s="8">
        <f t="shared" si="4"/>
        <v>0</v>
      </c>
      <c r="H22" s="8">
        <f t="shared" si="4"/>
        <v>0</v>
      </c>
      <c r="I22" s="8">
        <f t="shared" si="4"/>
        <v>241.87237483434782</v>
      </c>
      <c r="J22" s="8">
        <f t="shared" si="4"/>
        <v>297.52341591608456</v>
      </c>
      <c r="K22" s="8">
        <f>K12/(1+$B$5)^$A22</f>
        <v>324.15893623233984</v>
      </c>
      <c r="L22" s="8">
        <f t="shared" si="4"/>
        <v>331.53073830327264</v>
      </c>
    </row>
    <row r="23" spans="1:12">
      <c r="A23" s="8">
        <f>A13</f>
        <v>3</v>
      </c>
      <c r="C23" s="8"/>
      <c r="D23" s="8"/>
      <c r="E23" s="8">
        <f t="shared" si="5"/>
        <v>77.315449730256717</v>
      </c>
      <c r="F23" s="8">
        <f t="shared" si="4"/>
        <v>0</v>
      </c>
      <c r="G23" s="8">
        <f t="shared" si="4"/>
        <v>0</v>
      </c>
      <c r="H23" s="8">
        <f t="shared" si="4"/>
        <v>0</v>
      </c>
      <c r="I23" s="8">
        <f t="shared" si="4"/>
        <v>169.47878369555835</v>
      </c>
      <c r="J23" s="8">
        <f t="shared" si="4"/>
        <v>220.11147409960753</v>
      </c>
      <c r="K23" s="8">
        <f t="shared" si="4"/>
        <v>263.47053219786267</v>
      </c>
      <c r="L23" s="8">
        <f t="shared" si="4"/>
        <v>296.63662634950163</v>
      </c>
    </row>
    <row r="24" spans="1:12">
      <c r="A24" s="8">
        <f>A14</f>
        <v>4</v>
      </c>
      <c r="C24" s="8"/>
      <c r="D24" s="8"/>
      <c r="E24" s="8">
        <f t="shared" si="5"/>
        <v>58.598285046536724</v>
      </c>
      <c r="F24" s="8">
        <f t="shared" si="4"/>
        <v>0</v>
      </c>
      <c r="G24" s="8">
        <f t="shared" si="4"/>
        <v>0</v>
      </c>
      <c r="H24" s="8">
        <f t="shared" si="4"/>
        <v>0</v>
      </c>
      <c r="I24" s="8">
        <f t="shared" si="4"/>
        <v>123.77700098447298</v>
      </c>
      <c r="J24" s="8">
        <f t="shared" si="4"/>
        <v>156.80831012039909</v>
      </c>
      <c r="K24" s="8">
        <f t="shared" si="4"/>
        <v>193.72313900835206</v>
      </c>
      <c r="L24" s="8">
        <f t="shared" si="4"/>
        <v>246.86948217062567</v>
      </c>
    </row>
    <row r="25" spans="1:12">
      <c r="A25" s="8">
        <f>A15</f>
        <v>5</v>
      </c>
      <c r="C25" s="8"/>
      <c r="D25" s="8"/>
      <c r="E25" s="8">
        <f t="shared" si="5"/>
        <v>50.306818630688575</v>
      </c>
      <c r="F25" s="8">
        <f t="shared" si="4"/>
        <v>0</v>
      </c>
      <c r="G25" s="8">
        <f t="shared" si="4"/>
        <v>0</v>
      </c>
      <c r="H25" s="8">
        <f t="shared" si="4"/>
        <v>0</v>
      </c>
      <c r="I25" s="8">
        <f t="shared" si="4"/>
        <v>90.494735431830605</v>
      </c>
      <c r="J25" s="8">
        <f t="shared" si="4"/>
        <v>117.29050563769451</v>
      </c>
      <c r="K25" s="8">
        <f t="shared" si="4"/>
        <v>139.4771064960205</v>
      </c>
      <c r="L25" s="8">
        <f t="shared" si="4"/>
        <v>183.40117434696791</v>
      </c>
    </row>
    <row r="26" spans="1:12">
      <c r="A26" s="14" t="s">
        <v>523</v>
      </c>
      <c r="C26" s="8"/>
      <c r="D26" s="8"/>
      <c r="E26" s="8">
        <f>IF(E17&gt;0,(E16/E17*(1-(1+$B$5)^(-E17))/$B$5)/(1+$B$5)^5,E16/E17/(1+$B$5)^6)</f>
        <v>43.384205731531353</v>
      </c>
      <c r="F26" s="8" t="e">
        <f>IF(F17&gt;0,(F16/F17*(1-(1+$B$5)^(-F17))/$B$5)/(1+$B$5)^5,F16/F17/(1+$B$5)^6)</f>
        <v>#DIV/0!</v>
      </c>
      <c r="G26" s="8" t="e">
        <f t="shared" ref="G26:I26" si="6">IF(G17&gt;0,(G16/G17*(1-(1+$B$5)^(-G17))/$B$5)/(1+$B$5)^5,G16/G17/(1+$B$5)^6)</f>
        <v>#DIV/0!</v>
      </c>
      <c r="H26" s="8" t="e">
        <f t="shared" si="6"/>
        <v>#DIV/0!</v>
      </c>
      <c r="I26" s="8">
        <f t="shared" si="6"/>
        <v>320.33073336721918</v>
      </c>
      <c r="J26" s="8">
        <f>IF(J17&gt;0,(J16/J17*(1-(1+$B$5)^(-J17))/$B$5)/(1+$B$5)^5,J16/J17/(1+$B$5)^6)</f>
        <v>403.87395942490116</v>
      </c>
      <c r="K26" s="8">
        <f>IF(K17&gt;0,(K16/K17*(1-(1+$B$5)^(-K17))/$B$5)/(1+$B$5)^5,K16/K17/(1+$B$5)^6)</f>
        <v>509.08349915647591</v>
      </c>
      <c r="L26" s="8">
        <f>IF(L17&gt;0,(L16/L17*(1-(1+$B$5)^(-L17))/$B$5)/(1+$B$5)^5,L16/L17/(1+$B$5)^6)</f>
        <v>624.27451018277429</v>
      </c>
    </row>
    <row r="27" spans="1:12">
      <c r="A27" s="913"/>
      <c r="B27" s="914" t="s">
        <v>528</v>
      </c>
      <c r="C27" s="913"/>
      <c r="D27" s="913"/>
      <c r="E27" s="913">
        <f>IFERROR(SUM(E21:E26),0)</f>
        <v>403.72131537090388</v>
      </c>
      <c r="F27" s="913">
        <f t="shared" ref="F27:L27" si="7">IFERROR(SUM(F21:F26),0)</f>
        <v>0</v>
      </c>
      <c r="G27" s="913">
        <f t="shared" si="7"/>
        <v>0</v>
      </c>
      <c r="H27" s="913">
        <f t="shared" si="7"/>
        <v>0</v>
      </c>
      <c r="I27" s="913">
        <f t="shared" si="7"/>
        <v>1271.056945848974</v>
      </c>
      <c r="J27" s="913">
        <f t="shared" si="7"/>
        <v>1556.1887078527152</v>
      </c>
      <c r="K27" s="913">
        <f t="shared" si="7"/>
        <v>1797.6847770720935</v>
      </c>
      <c r="L27" s="913">
        <f t="shared" si="7"/>
        <v>2054.4329105000616</v>
      </c>
    </row>
    <row r="28" spans="1:12">
      <c r="A28" s="8"/>
      <c r="B28" s="3"/>
      <c r="C28" s="1058" t="s">
        <v>529</v>
      </c>
      <c r="G28" s="7"/>
      <c r="H28" s="7"/>
      <c r="I28" s="7"/>
      <c r="J28" s="7"/>
      <c r="K28" s="7"/>
      <c r="L28" s="7"/>
    </row>
    <row r="29" spans="1:12">
      <c r="A29" s="637"/>
      <c r="B29" s="1061" t="s">
        <v>530</v>
      </c>
      <c r="G29" s="7"/>
      <c r="H29" s="7"/>
      <c r="I29" s="7"/>
      <c r="J29" s="7"/>
      <c r="K29" s="7"/>
      <c r="L29" s="7"/>
    </row>
    <row r="30" spans="1:12">
      <c r="A30" s="8"/>
      <c r="B30" s="519" t="s">
        <v>531</v>
      </c>
      <c r="C30" s="380"/>
      <c r="D30" s="380">
        <f t="shared" ref="D30:L30" si="8">D27/(5+D17)/1000</f>
        <v>0</v>
      </c>
      <c r="E30" s="380">
        <f t="shared" si="8"/>
        <v>6.7286885895150653E-2</v>
      </c>
      <c r="F30" s="380">
        <f t="shared" si="8"/>
        <v>0</v>
      </c>
      <c r="G30" s="380">
        <f t="shared" si="8"/>
        <v>0</v>
      </c>
      <c r="H30" s="380">
        <f t="shared" si="8"/>
        <v>0</v>
      </c>
      <c r="I30" s="380">
        <f t="shared" si="8"/>
        <v>0.18157956369271055</v>
      </c>
      <c r="J30" s="380">
        <f t="shared" si="8"/>
        <v>0.22231267255038786</v>
      </c>
      <c r="K30" s="380">
        <f>K27/(5+K17)/1000</f>
        <v>0.2568121110102991</v>
      </c>
      <c r="L30" s="380">
        <f t="shared" si="8"/>
        <v>0.25680411381250767</v>
      </c>
    </row>
    <row r="31" spans="1:12">
      <c r="A31" s="8"/>
      <c r="B31" s="7" t="s">
        <v>532</v>
      </c>
      <c r="C31" s="2"/>
      <c r="D31" s="2">
        <f t="shared" ref="D31:L31" si="9">D10/1000</f>
        <v>0</v>
      </c>
      <c r="E31" s="2">
        <f t="shared" si="9"/>
        <v>0</v>
      </c>
      <c r="F31" s="2">
        <f t="shared" si="9"/>
        <v>0</v>
      </c>
      <c r="G31" s="2">
        <f t="shared" si="9"/>
        <v>0</v>
      </c>
      <c r="H31" s="2">
        <f t="shared" si="9"/>
        <v>0.34298399999999996</v>
      </c>
      <c r="I31" s="2">
        <f t="shared" si="9"/>
        <v>0.380413</v>
      </c>
      <c r="J31" s="2">
        <f t="shared" si="9"/>
        <v>0.38799900000000004</v>
      </c>
      <c r="K31" s="2">
        <f t="shared" si="9"/>
        <v>0.39216500000000004</v>
      </c>
      <c r="L31" s="2">
        <f t="shared" si="9"/>
        <v>0.373166</v>
      </c>
    </row>
    <row r="32" spans="1:12">
      <c r="B32" s="519" t="s">
        <v>533</v>
      </c>
      <c r="C32" s="380"/>
      <c r="D32" s="380">
        <f t="shared" ref="D32:L32" si="10">(D31-D30)</f>
        <v>0</v>
      </c>
      <c r="E32" s="380">
        <f t="shared" si="10"/>
        <v>-6.7286885895150653E-2</v>
      </c>
      <c r="F32" s="380">
        <f t="shared" si="10"/>
        <v>0</v>
      </c>
      <c r="G32" s="380">
        <f t="shared" si="10"/>
        <v>0</v>
      </c>
      <c r="H32" s="380">
        <f t="shared" si="10"/>
        <v>0.34298399999999996</v>
      </c>
      <c r="I32" s="380">
        <f t="shared" si="10"/>
        <v>0.19883343630728945</v>
      </c>
      <c r="J32" s="380">
        <f t="shared" si="10"/>
        <v>0.16568632744961218</v>
      </c>
      <c r="K32" s="380">
        <f t="shared" si="10"/>
        <v>0.13535288898970094</v>
      </c>
      <c r="L32" s="380">
        <f t="shared" si="10"/>
        <v>0.11636188618749232</v>
      </c>
    </row>
    <row r="33" spans="1:12">
      <c r="B33" s="519" t="s">
        <v>534</v>
      </c>
      <c r="C33" s="380"/>
      <c r="D33" s="380">
        <f t="shared" ref="D33:L33" si="11">D27/1000</f>
        <v>0</v>
      </c>
      <c r="E33" s="380">
        <f t="shared" si="11"/>
        <v>0.40372131537090389</v>
      </c>
      <c r="F33" s="380">
        <f t="shared" si="11"/>
        <v>0</v>
      </c>
      <c r="G33" s="380">
        <f t="shared" si="11"/>
        <v>0</v>
      </c>
      <c r="H33" s="380">
        <f t="shared" si="11"/>
        <v>0</v>
      </c>
      <c r="I33" s="380">
        <f t="shared" si="11"/>
        <v>1.271056945848974</v>
      </c>
      <c r="J33" s="380">
        <f t="shared" si="11"/>
        <v>1.5561887078527152</v>
      </c>
      <c r="K33" s="380">
        <f t="shared" si="11"/>
        <v>1.7976847770720936</v>
      </c>
      <c r="L33" s="380">
        <f t="shared" si="11"/>
        <v>2.0544329105000614</v>
      </c>
    </row>
    <row r="35" spans="1:12">
      <c r="A35" s="8"/>
      <c r="G35" s="7"/>
      <c r="H35" s="7"/>
      <c r="I35" s="7"/>
      <c r="J35" s="7"/>
      <c r="K35" s="7"/>
      <c r="L35" s="7"/>
    </row>
    <row r="36" spans="1:12">
      <c r="A36" s="8"/>
      <c r="G36" s="7"/>
      <c r="H36" s="7"/>
      <c r="I36" s="7"/>
      <c r="J36" s="7"/>
      <c r="K36" s="7"/>
      <c r="L36" s="7"/>
    </row>
    <row r="37" spans="1:12">
      <c r="A37" s="8"/>
      <c r="G37" s="7"/>
      <c r="H37" s="7"/>
      <c r="I37" s="7"/>
      <c r="J37" s="7"/>
      <c r="K37" s="7"/>
      <c r="L37" s="7"/>
    </row>
    <row r="38" spans="1:12">
      <c r="A38" s="8"/>
      <c r="G38" s="7"/>
      <c r="H38" s="7"/>
      <c r="I38" s="7"/>
      <c r="J38" s="7"/>
      <c r="K38" s="7"/>
      <c r="L38" s="7"/>
    </row>
    <row r="39" spans="1:12">
      <c r="A39" s="8"/>
      <c r="G39" s="7"/>
      <c r="H39" s="7"/>
      <c r="I39" s="7"/>
      <c r="J39" s="7"/>
      <c r="K39" s="7"/>
      <c r="L39" s="7"/>
    </row>
    <row r="40" spans="1:12">
      <c r="A40" s="8"/>
      <c r="G40" s="7"/>
      <c r="H40" s="7"/>
      <c r="I40" s="7"/>
      <c r="J40" s="7"/>
      <c r="K40" s="7"/>
      <c r="L40" s="7"/>
    </row>
    <row r="41" spans="1:12">
      <c r="A41" s="8"/>
      <c r="G41" s="7"/>
      <c r="H41" s="7"/>
      <c r="I41" s="7"/>
      <c r="J41" s="7"/>
      <c r="K41" s="7"/>
      <c r="L41" s="7"/>
    </row>
    <row r="42" spans="1:12">
      <c r="A42" s="8"/>
      <c r="G42" s="7"/>
      <c r="H42" s="7"/>
      <c r="I42" s="7"/>
      <c r="J42" s="7"/>
      <c r="K42" s="7"/>
      <c r="L42" s="7"/>
    </row>
    <row r="43" spans="1:12">
      <c r="A43" s="8"/>
      <c r="G43" s="7"/>
      <c r="H43" s="7"/>
      <c r="I43" s="7"/>
      <c r="J43" s="7"/>
      <c r="K43" s="7"/>
      <c r="L43" s="7"/>
    </row>
    <row r="44" spans="1:12">
      <c r="A44" s="8"/>
      <c r="G44" s="7"/>
      <c r="H44" s="7"/>
      <c r="I44" s="7"/>
      <c r="J44" s="7"/>
      <c r="K44" s="7"/>
      <c r="L44" s="7"/>
    </row>
    <row r="45" spans="1:12">
      <c r="G45" s="7"/>
      <c r="H45" s="7"/>
      <c r="I45" s="7"/>
      <c r="J45" s="7"/>
      <c r="K45" s="7"/>
      <c r="L45" s="7"/>
    </row>
    <row r="46" spans="1:12">
      <c r="G46" s="7"/>
      <c r="H46" s="7"/>
      <c r="I46" s="7"/>
      <c r="J46" s="7"/>
      <c r="K46" s="7"/>
      <c r="L46" s="7"/>
    </row>
    <row r="47" spans="1:12">
      <c r="C47" s="9"/>
      <c r="D47" s="9"/>
      <c r="E47" s="9"/>
      <c r="F47" s="9"/>
      <c r="G47" s="9"/>
      <c r="H47" s="9"/>
      <c r="I47" s="9"/>
      <c r="J47" s="9"/>
      <c r="K47" s="9"/>
      <c r="L47" s="9"/>
    </row>
  </sheetData>
  <pageMargins left="0.7" right="0.7" top="0.78740157499999996" bottom="0.78740157499999996" header="0.3" footer="0.3"/>
  <pageSetup paperSize="9" orientation="portrait" horizontalDpi="1200" verticalDpi="120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0">
    <tabColor theme="9" tint="0.79998168889431442"/>
  </sheetPr>
  <dimension ref="A1:CV327"/>
  <sheetViews>
    <sheetView topLeftCell="A130" zoomScale="115" zoomScaleNormal="115" workbookViewId="0">
      <selection activeCell="B156" sqref="B156"/>
    </sheetView>
  </sheetViews>
  <sheetFormatPr defaultColWidth="10.7109375" defaultRowHeight="15" outlineLevelRow="1"/>
  <cols>
    <col min="1" max="1" width="36" style="3" customWidth="1"/>
    <col min="2" max="5" width="10.7109375" style="3" customWidth="1"/>
    <col min="6" max="10" width="12.28515625" style="3" customWidth="1"/>
    <col min="11" max="16384" width="10.7109375" style="3"/>
  </cols>
  <sheetData>
    <row r="1" spans="1:100" s="251" customFormat="1" ht="12.75" hidden="1">
      <c r="A1" s="250" t="s">
        <v>474</v>
      </c>
      <c r="B1" s="251" t="s">
        <v>475</v>
      </c>
      <c r="C1" s="251" t="s">
        <v>476</v>
      </c>
      <c r="D1" s="251" t="s">
        <v>477</v>
      </c>
      <c r="G1" s="251" t="s">
        <v>478</v>
      </c>
      <c r="K1" s="251" t="s">
        <v>479</v>
      </c>
    </row>
    <row r="2" spans="1:100" s="253" customFormat="1" ht="12.75" hidden="1">
      <c r="A2" s="252"/>
    </row>
    <row r="3" spans="1:100" s="253" customFormat="1" ht="12.75" hidden="1">
      <c r="A3" s="252" t="s">
        <v>480</v>
      </c>
      <c r="K3" s="254">
        <v>1</v>
      </c>
    </row>
    <row r="4" spans="1:100" s="340" customFormat="1" ht="26.1" customHeight="1">
      <c r="A4" s="371" t="s">
        <v>481</v>
      </c>
    </row>
    <row r="5" spans="1:100" s="253" customFormat="1" ht="16.350000000000001" customHeight="1" outlineLevel="1">
      <c r="A5" s="252"/>
    </row>
    <row r="6" spans="1:100" s="253" customFormat="1" ht="16.350000000000001" customHeight="1" outlineLevel="1">
      <c r="A6" s="255" t="s">
        <v>535</v>
      </c>
      <c r="B6" s="256" t="s">
        <v>173</v>
      </c>
      <c r="C6" s="257"/>
      <c r="D6" s="257"/>
      <c r="E6" s="257"/>
      <c r="F6" s="257"/>
      <c r="G6" s="257"/>
      <c r="H6" s="257"/>
      <c r="I6" s="257"/>
      <c r="J6" s="257"/>
    </row>
    <row r="7" spans="1:100" s="253" customFormat="1" ht="16.350000000000001" customHeight="1" outlineLevel="1">
      <c r="A7" s="255" t="s">
        <v>536</v>
      </c>
      <c r="B7" s="258">
        <v>2020</v>
      </c>
      <c r="C7" s="257"/>
      <c r="D7" s="257"/>
      <c r="E7" s="257"/>
      <c r="F7" s="257"/>
      <c r="G7" s="257"/>
      <c r="H7" s="257"/>
      <c r="I7" s="257"/>
      <c r="J7" s="257"/>
    </row>
    <row r="8" spans="1:100" s="253" customFormat="1" ht="16.350000000000001" customHeight="1" outlineLevel="1">
      <c r="A8" s="255" t="s">
        <v>537</v>
      </c>
      <c r="B8" s="258">
        <f>B7-8</f>
        <v>2012</v>
      </c>
      <c r="C8" s="257"/>
      <c r="D8" s="257"/>
      <c r="E8" s="257"/>
      <c r="F8" s="257"/>
      <c r="G8" s="257"/>
      <c r="H8" s="257"/>
      <c r="I8" s="257"/>
      <c r="J8" s="257"/>
    </row>
    <row r="9" spans="1:100" s="253" customFormat="1" ht="16.350000000000001" customHeight="1" outlineLevel="1">
      <c r="A9" s="255" t="s">
        <v>538</v>
      </c>
      <c r="B9" s="256" t="str">
        <f>'At a Glance'!CPYATGLANCEFF_RWIdentifier</f>
        <v>DAL-US</v>
      </c>
      <c r="C9" s="1055" t="s">
        <v>516</v>
      </c>
      <c r="D9" s="257"/>
      <c r="E9" s="257"/>
      <c r="F9" s="257"/>
      <c r="G9" s="257"/>
      <c r="H9" s="257"/>
      <c r="I9" s="257"/>
      <c r="J9" s="257"/>
    </row>
    <row r="10" spans="1:100" s="253" customFormat="1" ht="16.350000000000001" customHeight="1" outlineLevel="1">
      <c r="A10" s="259"/>
      <c r="B10" s="257"/>
      <c r="C10" s="257"/>
      <c r="D10" s="257"/>
      <c r="E10" s="257"/>
      <c r="F10" s="257"/>
      <c r="G10" s="257"/>
      <c r="H10" s="257"/>
      <c r="I10" s="257"/>
      <c r="J10" s="257"/>
    </row>
    <row r="11" spans="1:100" s="262" customFormat="1" ht="16.350000000000001" customHeight="1">
      <c r="A11" s="260"/>
      <c r="B11" s="261" t="str">
        <f t="array" ref="B11:J11">_xll.FDSRC("-",$B$9,"LIF(SWP_GET_LANGUAGE_QUICK==""JP"",PROPER(CONVERT_DATE(FF_FP_END_DATE(ANN,"&amp;$B$7&amp;","&amp;$B$8&amp;",Y,RP),""M/DD/YYYY"")),PROPER(CONVERT_DATE(FF_FP_END_DATE(ANN,"&amp;$B$7&amp;","&amp;$B$8&amp;",Y,RP),""MMM 'YY"")))")</f>
        <v>Dec '20</v>
      </c>
      <c r="C11" s="261" t="str">
        <v>Dec '19</v>
      </c>
      <c r="D11" s="261" t="str">
        <v>Dec '18</v>
      </c>
      <c r="E11" s="261" t="str">
        <v>Dec '17</v>
      </c>
      <c r="F11" s="261" t="str">
        <v>Dec '16</v>
      </c>
      <c r="G11" s="261" t="str">
        <v>Dec '15</v>
      </c>
      <c r="H11" s="261" t="str">
        <v>Dec '14</v>
      </c>
      <c r="I11" s="261" t="str">
        <v>Dec '13</v>
      </c>
      <c r="J11" s="261" t="str">
        <v>Dec '12</v>
      </c>
    </row>
    <row r="12" spans="1:100" s="253" customFormat="1" ht="16.350000000000001" customHeight="1">
      <c r="A12" s="259"/>
      <c r="B12" s="263" t="str">
        <f t="array" ref="B12:J12">_xll.FDSRC("-",$B$9,"CONCAT(INT_ARRAY(FF_FY_LENGTH_DAYS(ANN,"&amp;$B$7&amp;","&amp;$B$8&amp;",Y)))+"" DAYS""")</f>
        <v>366 DAYS</v>
      </c>
      <c r="C12" s="263" t="str">
        <v>365 DAYS</v>
      </c>
      <c r="D12" s="263" t="str">
        <v>365 DAYS</v>
      </c>
      <c r="E12" s="263" t="str">
        <v>365 DAYS</v>
      </c>
      <c r="F12" s="263" t="str">
        <v>366 DAYS</v>
      </c>
      <c r="G12" s="263" t="str">
        <v>365 DAYS</v>
      </c>
      <c r="H12" s="263" t="str">
        <v>365 DAYS</v>
      </c>
      <c r="I12" s="263" t="str">
        <v>365 DAYS</v>
      </c>
      <c r="J12" s="263" t="str">
        <v>366 DAYS</v>
      </c>
      <c r="K12" s="264"/>
      <c r="L12" s="264"/>
      <c r="M12" s="264"/>
      <c r="N12" s="264"/>
      <c r="O12" s="264"/>
      <c r="P12" s="264"/>
      <c r="Q12" s="264"/>
      <c r="R12" s="264"/>
      <c r="S12" s="264"/>
      <c r="T12" s="264"/>
      <c r="U12" s="264"/>
      <c r="V12" s="264"/>
      <c r="W12" s="264"/>
      <c r="X12" s="264"/>
      <c r="Y12" s="264"/>
      <c r="Z12" s="264"/>
      <c r="AA12" s="264"/>
      <c r="AB12" s="264"/>
      <c r="AC12" s="264"/>
      <c r="AD12" s="264"/>
      <c r="AE12" s="264"/>
      <c r="AF12" s="264"/>
      <c r="AG12" s="264"/>
      <c r="AH12" s="264"/>
      <c r="AI12" s="264"/>
      <c r="AJ12" s="264"/>
      <c r="AK12" s="264"/>
      <c r="AL12" s="264"/>
      <c r="AM12" s="264"/>
      <c r="AN12" s="264"/>
      <c r="AO12" s="264"/>
      <c r="AP12" s="264"/>
      <c r="AQ12" s="264"/>
      <c r="AR12" s="264"/>
      <c r="AS12" s="264"/>
      <c r="AT12" s="264"/>
      <c r="AU12" s="264"/>
      <c r="AV12" s="264"/>
      <c r="AW12" s="264"/>
      <c r="AX12" s="264"/>
      <c r="AY12" s="264"/>
      <c r="AZ12" s="264"/>
      <c r="BA12" s="264"/>
      <c r="BB12" s="264"/>
      <c r="BC12" s="264"/>
      <c r="BD12" s="264"/>
      <c r="BE12" s="264"/>
      <c r="BF12" s="264"/>
      <c r="BG12" s="264"/>
      <c r="BH12" s="264"/>
      <c r="BI12" s="264"/>
      <c r="BJ12" s="264"/>
      <c r="BK12" s="264"/>
      <c r="BL12" s="264"/>
      <c r="BM12" s="264"/>
      <c r="BN12" s="264"/>
      <c r="BO12" s="264"/>
      <c r="BP12" s="264"/>
      <c r="BQ12" s="264"/>
      <c r="BR12" s="264"/>
      <c r="BS12" s="264"/>
      <c r="BT12" s="264"/>
      <c r="BU12" s="264"/>
      <c r="BV12" s="264"/>
      <c r="BW12" s="264"/>
      <c r="BX12" s="264"/>
      <c r="BY12" s="264"/>
      <c r="BZ12" s="264"/>
      <c r="CA12" s="264"/>
      <c r="CB12" s="264"/>
      <c r="CC12" s="264"/>
      <c r="CD12" s="264"/>
      <c r="CE12" s="264"/>
      <c r="CF12" s="264"/>
      <c r="CG12" s="264"/>
      <c r="CH12" s="264"/>
      <c r="CI12" s="264"/>
      <c r="CJ12" s="264"/>
      <c r="CK12" s="264"/>
      <c r="CL12" s="264"/>
      <c r="CM12" s="264"/>
      <c r="CN12" s="264"/>
      <c r="CO12" s="264"/>
      <c r="CP12" s="264"/>
      <c r="CQ12" s="264"/>
      <c r="CR12" s="264"/>
      <c r="CS12" s="264"/>
      <c r="CT12" s="264"/>
      <c r="CU12" s="264"/>
      <c r="CV12" s="264"/>
    </row>
    <row r="13" spans="1:100" s="253" customFormat="1" ht="12.75">
      <c r="A13" s="252" t="s">
        <v>539</v>
      </c>
    </row>
    <row r="14" spans="1:100" s="253" customFormat="1" ht="12.6" customHeight="1">
      <c r="A14" s="265" t="s">
        <v>540</v>
      </c>
      <c r="B14" s="266"/>
      <c r="C14" s="266"/>
      <c r="D14" s="266"/>
      <c r="E14" s="266"/>
      <c r="F14" s="266"/>
      <c r="G14" s="266"/>
      <c r="H14" s="266"/>
      <c r="I14" s="266"/>
      <c r="J14" s="266"/>
    </row>
    <row r="15" spans="1:100" s="253" customFormat="1" ht="12.75">
      <c r="A15" s="267" t="str" cm="1">
        <f t="array" ref="A15">_xll.FDSR(B9,"FORMULA_DESCRIPTION(""FF_ASSETS_CURR"")")</f>
        <v>Total Current Assets</v>
      </c>
      <c r="B15" s="268">
        <f t="array" ref="B15:J15">_xll.FDSR(B9,"FF_ASSETS_CURR(ANN_R,"&amp;B7&amp;","&amp;B8&amp;")")</f>
        <v>17404</v>
      </c>
      <c r="C15" s="268">
        <v>8249</v>
      </c>
      <c r="D15" s="268">
        <v>6340</v>
      </c>
      <c r="E15" s="268">
        <v>7804</v>
      </c>
      <c r="F15" s="268">
        <v>7451</v>
      </c>
      <c r="G15" s="268">
        <v>9056</v>
      </c>
      <c r="H15" s="268">
        <v>12465</v>
      </c>
      <c r="I15" s="268">
        <v>9651</v>
      </c>
      <c r="J15" s="268">
        <v>8272</v>
      </c>
    </row>
    <row r="16" spans="1:100" s="253" customFormat="1" ht="12.75">
      <c r="A16" s="267" t="str" cm="1">
        <f t="array" ref="A16">_xll.FDSR(B9,"FORMULA_DESCRIPTION(""FF_LIABS_CURR"")")</f>
        <v>Total Current Liabilities</v>
      </c>
      <c r="B16" s="268">
        <f t="array" ref="B16:J16">_xll.FDSR(B9,"FF_LIABS_CURR(ANN_R,"&amp;B7&amp;","&amp;B8&amp;")")</f>
        <v>15927</v>
      </c>
      <c r="C16" s="268">
        <v>20204</v>
      </c>
      <c r="D16" s="268">
        <v>18578</v>
      </c>
      <c r="E16" s="268">
        <v>18959</v>
      </c>
      <c r="F16" s="268">
        <v>15239</v>
      </c>
      <c r="G16" s="268">
        <v>17526</v>
      </c>
      <c r="H16" s="268">
        <v>16879</v>
      </c>
      <c r="I16" s="268">
        <v>14152</v>
      </c>
      <c r="J16" s="268">
        <v>13270</v>
      </c>
    </row>
    <row r="17" spans="1:10" s="253" customFormat="1" ht="12.75">
      <c r="A17" s="267" t="str" cm="1">
        <f t="array" ref="A17">_xll.FDSR(B9,"FORMULA_DESCRIPTION(""FF_INVEN"")")</f>
        <v>Inventories</v>
      </c>
      <c r="B17" s="268">
        <f t="array" ref="B17:J17">_xll.FDSR(B9,"FF_INVEN(ANN_R,"&amp;B7&amp;","&amp;B8&amp;")")</f>
        <v>732</v>
      </c>
      <c r="C17" s="268">
        <v>1251</v>
      </c>
      <c r="D17" s="268">
        <v>1055</v>
      </c>
      <c r="E17" s="268">
        <v>1329</v>
      </c>
      <c r="F17" s="268">
        <v>891</v>
      </c>
      <c r="G17" s="268">
        <v>697</v>
      </c>
      <c r="H17" s="268">
        <v>852</v>
      </c>
      <c r="I17" s="268">
        <v>1063</v>
      </c>
      <c r="J17" s="268">
        <v>1023</v>
      </c>
    </row>
    <row r="18" spans="1:10" s="253" customFormat="1" ht="12.75">
      <c r="A18" s="267" t="str" cm="1">
        <f t="array" ref="A18">_xll.FDSR(B9,"FORMULA_DESCRIPTION(""FF_RECEIV_ST"")")</f>
        <v>Short-Term Receivables</v>
      </c>
      <c r="B18" s="268">
        <f t="array" ref="B18:J18">_xll.FDSR(B9,"FF_RECEIV_ST(ANN_R,"&amp;B7&amp;","&amp;B8&amp;")")</f>
        <v>1396</v>
      </c>
      <c r="C18" s="268">
        <v>2854</v>
      </c>
      <c r="D18" s="268">
        <v>2314</v>
      </c>
      <c r="E18" s="268">
        <v>2377</v>
      </c>
      <c r="F18" s="268">
        <v>2064</v>
      </c>
      <c r="G18" s="268">
        <v>2139</v>
      </c>
      <c r="H18" s="268">
        <v>3222</v>
      </c>
      <c r="I18" s="268">
        <v>1609</v>
      </c>
      <c r="J18" s="268">
        <v>1693</v>
      </c>
    </row>
    <row r="19" spans="1:10" s="253" customFormat="1" ht="12.75">
      <c r="A19" s="269" t="str" cm="1">
        <f t="array" ref="A19">_xll.FDSR(B9,"FORMULA_DESCRIPTION(""FF_CASH_ST"")")</f>
        <v>Cash &amp; Short Term Investments</v>
      </c>
      <c r="B19" s="270">
        <f t="array" ref="B19:J19">_xll.FDSR(B9,"FF_CASH_ST(ANN_R,"&amp;B7&amp;","&amp;B8&amp;")")</f>
        <v>14288</v>
      </c>
      <c r="C19" s="270">
        <v>3094</v>
      </c>
      <c r="D19" s="270">
        <v>1815</v>
      </c>
      <c r="E19" s="270">
        <v>2639</v>
      </c>
      <c r="F19" s="270">
        <v>3642</v>
      </c>
      <c r="G19" s="270">
        <v>5424</v>
      </c>
      <c r="H19" s="270">
        <v>4383</v>
      </c>
      <c r="I19" s="270">
        <v>3925</v>
      </c>
      <c r="J19" s="270">
        <v>3749</v>
      </c>
    </row>
    <row r="20" spans="1:10" s="273" customFormat="1" ht="12.75">
      <c r="A20" s="271" t="s">
        <v>89</v>
      </c>
      <c r="B20" s="272">
        <f t="shared" ref="B20:I20" si="0">B15/B16</f>
        <v>1.0927356062033027</v>
      </c>
      <c r="C20" s="272">
        <f t="shared" si="0"/>
        <v>0.40828548802217385</v>
      </c>
      <c r="D20" s="272">
        <f t="shared" si="0"/>
        <v>0.34126386048013779</v>
      </c>
      <c r="E20" s="272">
        <f t="shared" si="0"/>
        <v>0.41162508571127171</v>
      </c>
      <c r="F20" s="272">
        <f t="shared" si="0"/>
        <v>0.48894284401863641</v>
      </c>
      <c r="G20" s="272">
        <f t="shared" si="0"/>
        <v>0.51671801894328429</v>
      </c>
      <c r="H20" s="272">
        <f t="shared" si="0"/>
        <v>0.7384916168019432</v>
      </c>
      <c r="I20" s="272">
        <f t="shared" si="0"/>
        <v>0.68195308083663086</v>
      </c>
      <c r="J20" s="272"/>
    </row>
    <row r="21" spans="1:10" s="273" customFormat="1" ht="12.75">
      <c r="A21" s="271" t="s">
        <v>90</v>
      </c>
      <c r="B21" s="272">
        <f t="shared" ref="B21:I21" si="1">(B15-B17)/B16</f>
        <v>1.0467759151127016</v>
      </c>
      <c r="C21" s="272">
        <f t="shared" si="1"/>
        <v>0.3463670560285092</v>
      </c>
      <c r="D21" s="272">
        <f t="shared" si="1"/>
        <v>0.28447626224566691</v>
      </c>
      <c r="E21" s="272">
        <f t="shared" si="1"/>
        <v>0.34152645181707897</v>
      </c>
      <c r="F21" s="272">
        <f t="shared" si="1"/>
        <v>0.43047444058009054</v>
      </c>
      <c r="G21" s="272">
        <f t="shared" si="1"/>
        <v>0.47694853360721212</v>
      </c>
      <c r="H21" s="272">
        <f t="shared" si="1"/>
        <v>0.68801469281355532</v>
      </c>
      <c r="I21" s="272">
        <f t="shared" si="1"/>
        <v>0.60684002261164505</v>
      </c>
      <c r="J21" s="272"/>
    </row>
    <row r="22" spans="1:10">
      <c r="A22" s="271" t="s">
        <v>541</v>
      </c>
      <c r="B22" s="272">
        <f>(B19+B18)/B16</f>
        <v>0.98474288943303823</v>
      </c>
      <c r="C22" s="272">
        <f t="shared" ref="C22:I22" si="2">(C19+C18)/C16</f>
        <v>0.29439714907939024</v>
      </c>
      <c r="D22" s="272">
        <f t="shared" si="2"/>
        <v>0.22225212617073958</v>
      </c>
      <c r="E22" s="272">
        <f t="shared" si="2"/>
        <v>0.26457091618756262</v>
      </c>
      <c r="F22" s="272">
        <f t="shared" si="2"/>
        <v>0.37443401798018244</v>
      </c>
      <c r="G22" s="272">
        <f t="shared" si="2"/>
        <v>0.4315302978432044</v>
      </c>
      <c r="H22" s="272">
        <f t="shared" si="2"/>
        <v>0.45055986729071629</v>
      </c>
      <c r="I22" s="272">
        <f t="shared" si="2"/>
        <v>0.39104013566987</v>
      </c>
      <c r="J22" s="272"/>
    </row>
    <row r="23" spans="1:10" s="273" customFormat="1" ht="12.75">
      <c r="A23" s="271" t="s">
        <v>542</v>
      </c>
      <c r="B23" s="272">
        <f t="shared" ref="B23:I23" si="3">(B19)/B16</f>
        <v>0.89709298675205629</v>
      </c>
      <c r="C23" s="272">
        <f t="shared" si="3"/>
        <v>0.15313799247673729</v>
      </c>
      <c r="D23" s="272">
        <f t="shared" si="3"/>
        <v>9.769619980622242E-2</v>
      </c>
      <c r="E23" s="272">
        <f t="shared" si="3"/>
        <v>0.13919510522706893</v>
      </c>
      <c r="F23" s="272">
        <f t="shared" si="3"/>
        <v>0.23899205984644661</v>
      </c>
      <c r="G23" s="272">
        <f t="shared" si="3"/>
        <v>0.30948305374871621</v>
      </c>
      <c r="H23" s="272">
        <f t="shared" si="3"/>
        <v>0.25967178150364356</v>
      </c>
      <c r="I23" s="272">
        <f t="shared" si="3"/>
        <v>0.27734595816845675</v>
      </c>
      <c r="J23" s="272"/>
    </row>
    <row r="24" spans="1:10" s="273" customFormat="1" ht="12.75">
      <c r="A24" s="274" t="s">
        <v>543</v>
      </c>
      <c r="B24" s="272"/>
      <c r="C24" s="272"/>
      <c r="D24" s="272"/>
      <c r="E24" s="272"/>
      <c r="F24" s="272"/>
      <c r="G24" s="272"/>
      <c r="H24" s="272"/>
      <c r="I24" s="272"/>
      <c r="J24" s="272"/>
    </row>
    <row r="25" spans="1:10" s="273" customFormat="1" ht="12.75">
      <c r="A25" s="271" t="str" cm="1">
        <f t="array" ref="A25">_xll.FDSR(B70,"FORMULA_DESCRIPTION(""FF_CURR_RATIO"")")</f>
        <v>Current Ratio</v>
      </c>
      <c r="B25" s="275">
        <f t="array" ref="B25:J25">_xll.FDSR($B$9,"FF_CURR_RATIO(ANN_R,"&amp;$B$7&amp;","&amp;$B$8&amp;")")</f>
        <v>1.0927356062033</v>
      </c>
      <c r="C25" s="275">
        <v>0.40828548802217401</v>
      </c>
      <c r="D25" s="275">
        <v>0.34126386048013801</v>
      </c>
      <c r="E25" s="275">
        <v>0.41162508571127199</v>
      </c>
      <c r="F25" s="275">
        <v>0.48894284401863602</v>
      </c>
      <c r="G25" s="275">
        <v>0.51671801894328395</v>
      </c>
      <c r="H25" s="275">
        <v>0.73849161680194297</v>
      </c>
      <c r="I25" s="275">
        <v>0.68195308083663098</v>
      </c>
      <c r="J25" s="275">
        <v>0.62336096458176304</v>
      </c>
    </row>
    <row r="26" spans="1:10" s="273" customFormat="1" ht="12.75">
      <c r="A26" s="271" t="str" cm="1">
        <f t="array" ref="A26">_xll.FDSR($B$9,"FORMULA_DESCRIPTION(""FF_QUICK_RATIO"")")</f>
        <v>Quick Ratio</v>
      </c>
      <c r="B26" s="275">
        <f t="array" ref="B26:J26">_xll.FDSR($B$9,"FF_QUICK_RATIO(ANN_R,"&amp;$B$7&amp;","&amp;$B$8&amp;")")</f>
        <v>1.0467759151127001</v>
      </c>
      <c r="C26" s="275">
        <v>0.34636705602850898</v>
      </c>
      <c r="D26" s="275">
        <v>0.28447626224566702</v>
      </c>
      <c r="E26" s="275">
        <v>0.34152645181707902</v>
      </c>
      <c r="F26" s="275">
        <v>0.43047444058009099</v>
      </c>
      <c r="G26" s="275">
        <v>0.47694853360721201</v>
      </c>
      <c r="H26" s="275">
        <v>0.68801469281355498</v>
      </c>
      <c r="I26" s="275">
        <v>0.60684002261164505</v>
      </c>
      <c r="J26" s="275">
        <v>0.54626978146194405</v>
      </c>
    </row>
    <row r="27" spans="1:10" s="273" customFormat="1" ht="12.75">
      <c r="A27" s="271" t="str" cm="1">
        <f t="array" ref="A27">_xll.FDSR($B$9,"FORMULA_DESCRIPTION(""FF_CASH_RATIO"")")</f>
        <v>Cash Ratio</v>
      </c>
      <c r="B27" s="275">
        <f t="array" ref="B27:J27">_xll.FDSR($B$9,"FF_CASH_RATIO(ANN_R,"&amp;$B$7&amp;","&amp;$B$8&amp;")")</f>
        <v>0.89709298675205595</v>
      </c>
      <c r="C27" s="275">
        <v>0.15313799247673701</v>
      </c>
      <c r="D27" s="275">
        <v>9.7696199806222406E-2</v>
      </c>
      <c r="E27" s="275">
        <v>0.13919510522706899</v>
      </c>
      <c r="F27" s="275">
        <v>0.238992059846447</v>
      </c>
      <c r="G27" s="275">
        <v>0.30948305374871599</v>
      </c>
      <c r="H27" s="275">
        <v>0.25967178150364401</v>
      </c>
      <c r="I27" s="275">
        <v>0.27734595816845697</v>
      </c>
      <c r="J27" s="275">
        <v>0.28251695553880901</v>
      </c>
    </row>
    <row r="28" spans="1:10" s="273" customFormat="1" ht="12.75">
      <c r="A28" s="271"/>
      <c r="B28" s="272"/>
      <c r="C28" s="272"/>
      <c r="D28" s="272"/>
      <c r="E28" s="272"/>
      <c r="F28" s="272"/>
      <c r="G28" s="272"/>
      <c r="H28" s="272"/>
      <c r="I28" s="272"/>
      <c r="J28" s="272"/>
    </row>
    <row r="29" spans="1:10" s="252" customFormat="1" ht="12.75"/>
    <row r="30" spans="1:10" s="252" customFormat="1" ht="12.75">
      <c r="A30" s="276" t="s">
        <v>544</v>
      </c>
      <c r="B30" s="277" t="str">
        <f>B11</f>
        <v>Dec '20</v>
      </c>
      <c r="C30" s="277" t="str">
        <f t="shared" ref="C30:J30" si="4">C11</f>
        <v>Dec '19</v>
      </c>
      <c r="D30" s="277" t="str">
        <f t="shared" si="4"/>
        <v>Dec '18</v>
      </c>
      <c r="E30" s="277" t="str">
        <f t="shared" si="4"/>
        <v>Dec '17</v>
      </c>
      <c r="F30" s="277" t="str">
        <f t="shared" si="4"/>
        <v>Dec '16</v>
      </c>
      <c r="G30" s="277" t="str">
        <f t="shared" si="4"/>
        <v>Dec '15</v>
      </c>
      <c r="H30" s="277" t="str">
        <f t="shared" si="4"/>
        <v>Dec '14</v>
      </c>
      <c r="I30" s="277" t="str">
        <f t="shared" si="4"/>
        <v>Dec '13</v>
      </c>
      <c r="J30" s="277" t="str">
        <f t="shared" si="4"/>
        <v>Dec '12</v>
      </c>
    </row>
    <row r="31" spans="1:10" s="252" customFormat="1" ht="12.75">
      <c r="A31" s="267" t="str" cm="1">
        <f t="array" ref="A31">_xll.FDSR(B9,"FORMULA_DESCRIPTION(""FF_SALES"")")</f>
        <v>Sales</v>
      </c>
      <c r="B31" s="268">
        <f t="array" ref="B31:J31">_xll.FDSR(B9,"FF_SALES(ANN_R,"&amp;B7&amp;","&amp;B8&amp;")")</f>
        <v>17095</v>
      </c>
      <c r="C31" s="268">
        <v>47006</v>
      </c>
      <c r="D31" s="268">
        <v>44441</v>
      </c>
      <c r="E31" s="268">
        <v>41128</v>
      </c>
      <c r="F31" s="268">
        <v>39602</v>
      </c>
      <c r="G31" s="268">
        <v>40506</v>
      </c>
      <c r="H31" s="268">
        <v>40204</v>
      </c>
      <c r="I31" s="268">
        <v>37638</v>
      </c>
      <c r="J31" s="268">
        <v>36695</v>
      </c>
    </row>
    <row r="32" spans="1:10" s="253" customFormat="1" ht="12.75">
      <c r="A32" s="267" t="s">
        <v>382</v>
      </c>
      <c r="B32" s="268">
        <f t="array" ref="B32:J32">_xll.FDSR(B9,"FF_WKCAP(ANN_R,"&amp;B7&amp;","&amp;B8&amp;")")</f>
        <v>1477</v>
      </c>
      <c r="C32" s="268">
        <v>-11955</v>
      </c>
      <c r="D32" s="268">
        <v>-12238</v>
      </c>
      <c r="E32" s="268">
        <v>-11155</v>
      </c>
      <c r="F32" s="268">
        <v>-7788</v>
      </c>
      <c r="G32" s="268">
        <v>-8470</v>
      </c>
      <c r="H32" s="268">
        <v>-4414</v>
      </c>
      <c r="I32" s="268">
        <v>-4501</v>
      </c>
      <c r="J32" s="268">
        <v>-4998</v>
      </c>
    </row>
    <row r="33" spans="1:10" s="253" customFormat="1" ht="12.75">
      <c r="A33" s="267" t="s">
        <v>545</v>
      </c>
      <c r="B33" s="268">
        <f>AVERAGE(B32:C32)</f>
        <v>-5239</v>
      </c>
      <c r="C33" s="268">
        <f t="shared" ref="C33:I33" si="5">AVERAGE(C32:D32)</f>
        <v>-12096.5</v>
      </c>
      <c r="D33" s="268">
        <f t="shared" si="5"/>
        <v>-11696.5</v>
      </c>
      <c r="E33" s="268">
        <f t="shared" si="5"/>
        <v>-9471.5</v>
      </c>
      <c r="F33" s="268">
        <f t="shared" si="5"/>
        <v>-8129</v>
      </c>
      <c r="G33" s="268">
        <f t="shared" si="5"/>
        <v>-6442</v>
      </c>
      <c r="H33" s="268">
        <f t="shared" si="5"/>
        <v>-4457.5</v>
      </c>
      <c r="I33" s="268">
        <f t="shared" si="5"/>
        <v>-4749.5</v>
      </c>
      <c r="J33" s="268"/>
    </row>
    <row r="34" spans="1:10" s="253" customFormat="1" ht="12.75">
      <c r="A34" s="267" t="str" cm="1">
        <f t="array" ref="A34">_xll.FDSR(B9,"FORMULA_DESCRIPTION(""FF_RECEIV_ST"")")</f>
        <v>Short-Term Receivables</v>
      </c>
      <c r="B34" s="268">
        <f t="array" ref="B34:J34">_xll.FDSR(B9,"FF_RECEIV_ST(ANN_R,"&amp;B7&amp;","&amp;B8&amp;")")</f>
        <v>1396</v>
      </c>
      <c r="C34" s="268">
        <v>2854</v>
      </c>
      <c r="D34" s="268">
        <v>2314</v>
      </c>
      <c r="E34" s="268">
        <v>2377</v>
      </c>
      <c r="F34" s="268">
        <v>2064</v>
      </c>
      <c r="G34" s="268">
        <v>2139</v>
      </c>
      <c r="H34" s="268">
        <v>3222</v>
      </c>
      <c r="I34" s="268">
        <v>1609</v>
      </c>
      <c r="J34" s="268">
        <v>1693</v>
      </c>
    </row>
    <row r="35" spans="1:10" s="253" customFormat="1" ht="12.75">
      <c r="A35" s="267" t="str">
        <f>A34&amp; " (last)"</f>
        <v>Short-Term Receivables (last)</v>
      </c>
      <c r="B35" s="268">
        <f>C34</f>
        <v>2854</v>
      </c>
      <c r="C35" s="268">
        <f t="shared" ref="C35:I35" si="6">D34</f>
        <v>2314</v>
      </c>
      <c r="D35" s="268">
        <f t="shared" si="6"/>
        <v>2377</v>
      </c>
      <c r="E35" s="268">
        <f t="shared" si="6"/>
        <v>2064</v>
      </c>
      <c r="F35" s="268">
        <f t="shared" si="6"/>
        <v>2139</v>
      </c>
      <c r="G35" s="268">
        <f t="shared" si="6"/>
        <v>3222</v>
      </c>
      <c r="H35" s="268">
        <f t="shared" si="6"/>
        <v>1609</v>
      </c>
      <c r="I35" s="268">
        <f t="shared" si="6"/>
        <v>1693</v>
      </c>
      <c r="J35" s="268"/>
    </row>
    <row r="36" spans="1:10" s="253" customFormat="1" ht="12.75">
      <c r="A36" s="267" t="s">
        <v>546</v>
      </c>
      <c r="B36" s="268">
        <f>AVERAGE(B34:B35)</f>
        <v>2125</v>
      </c>
      <c r="C36" s="268">
        <f t="shared" ref="C36:I36" si="7">AVERAGE(C34:C35)</f>
        <v>2584</v>
      </c>
      <c r="D36" s="268">
        <f t="shared" si="7"/>
        <v>2345.5</v>
      </c>
      <c r="E36" s="268">
        <f t="shared" si="7"/>
        <v>2220.5</v>
      </c>
      <c r="F36" s="268">
        <f t="shared" si="7"/>
        <v>2101.5</v>
      </c>
      <c r="G36" s="268">
        <f t="shared" si="7"/>
        <v>2680.5</v>
      </c>
      <c r="H36" s="268">
        <f t="shared" si="7"/>
        <v>2415.5</v>
      </c>
      <c r="I36" s="268">
        <f t="shared" si="7"/>
        <v>1651</v>
      </c>
      <c r="J36" s="268"/>
    </row>
    <row r="37" spans="1:10" s="253" customFormat="1" ht="12.75">
      <c r="A37" s="267" t="s">
        <v>547</v>
      </c>
      <c r="B37" s="268">
        <f t="array" ref="B37:J37">_xll.FDSR(B9,"FF_COGS(ANN_R,"&amp;B7&amp;","&amp;B8&amp;")")</f>
        <v>23631</v>
      </c>
      <c r="C37" s="268">
        <v>36584</v>
      </c>
      <c r="D37" s="268">
        <v>35510</v>
      </c>
      <c r="E37" s="268">
        <v>31655</v>
      </c>
      <c r="F37" s="268">
        <v>28625</v>
      </c>
      <c r="G37" s="268">
        <v>28456</v>
      </c>
      <c r="H37" s="268">
        <v>31943</v>
      </c>
      <c r="I37" s="268">
        <v>31341</v>
      </c>
      <c r="J37" s="268">
        <v>30795</v>
      </c>
    </row>
    <row r="38" spans="1:10" s="253" customFormat="1" ht="12.75">
      <c r="A38" s="267" t="s">
        <v>548</v>
      </c>
      <c r="B38" s="1069">
        <f>'DAL-US IS-adj'!C9*1000</f>
        <v>23631</v>
      </c>
      <c r="C38" s="1069">
        <f>'DAL-US IS-adj'!D9*1000</f>
        <v>36584</v>
      </c>
      <c r="D38" s="1069">
        <f>'DAL-US IS-adj'!E9*1000</f>
        <v>35510</v>
      </c>
      <c r="E38" s="1069">
        <f>'DAL-US IS-adj'!F9*1000</f>
        <v>31013</v>
      </c>
      <c r="F38" s="1069">
        <f>'DAL-US IS-adj'!G9*1000</f>
        <v>28625</v>
      </c>
      <c r="G38" s="1069">
        <f>'DAL-US IS-adj'!H9*1000</f>
        <v>28456</v>
      </c>
      <c r="H38" s="1069">
        <f>'DAL-US IS-adj'!I9*1000</f>
        <v>31943</v>
      </c>
      <c r="I38" s="1069">
        <f>'DAL-US IS-adj'!J9*1000</f>
        <v>31341</v>
      </c>
      <c r="J38" s="1069">
        <f>'DAL-US IS-adj'!K9*1000</f>
        <v>30795</v>
      </c>
    </row>
    <row r="39" spans="1:10" s="252" customFormat="1" ht="12.75">
      <c r="A39" s="267" t="str" cm="1">
        <f t="array" ref="A39">_xll.FDSR(B9,"FORMULA_DESCRIPTION(""FF_INVEN"")")</f>
        <v>Inventories</v>
      </c>
      <c r="B39" s="268">
        <f t="array" ref="B39:J39">_xll.FDSR(B9,"FF_INVEN(ANN_R,"&amp;B7&amp;","&amp;B8&amp;")")</f>
        <v>732</v>
      </c>
      <c r="C39" s="268">
        <v>1251</v>
      </c>
      <c r="D39" s="268">
        <v>1055</v>
      </c>
      <c r="E39" s="268">
        <v>1329</v>
      </c>
      <c r="F39" s="268">
        <v>891</v>
      </c>
      <c r="G39" s="268">
        <v>697</v>
      </c>
      <c r="H39" s="268">
        <v>852</v>
      </c>
      <c r="I39" s="268">
        <v>1063</v>
      </c>
      <c r="J39" s="268">
        <v>1023</v>
      </c>
    </row>
    <row r="40" spans="1:10" s="252" customFormat="1" ht="12.75">
      <c r="A40" s="252" t="str">
        <f>A39&amp;" (last)"</f>
        <v>Inventories (last)</v>
      </c>
      <c r="B40" s="278">
        <f>C39</f>
        <v>1251</v>
      </c>
      <c r="C40" s="278">
        <f t="shared" ref="C40:I40" si="8">D39</f>
        <v>1055</v>
      </c>
      <c r="D40" s="278">
        <f t="shared" si="8"/>
        <v>1329</v>
      </c>
      <c r="E40" s="278">
        <f t="shared" si="8"/>
        <v>891</v>
      </c>
      <c r="F40" s="278">
        <f t="shared" si="8"/>
        <v>697</v>
      </c>
      <c r="G40" s="278">
        <f t="shared" si="8"/>
        <v>852</v>
      </c>
      <c r="H40" s="278">
        <f t="shared" si="8"/>
        <v>1063</v>
      </c>
      <c r="I40" s="278">
        <f t="shared" si="8"/>
        <v>1023</v>
      </c>
      <c r="J40" s="278"/>
    </row>
    <row r="41" spans="1:10" s="252" customFormat="1" ht="12.75">
      <c r="A41" s="279" t="s">
        <v>549</v>
      </c>
      <c r="B41" s="280">
        <f t="shared" ref="B41:I41" si="9">AVERAGE(B39:B40)</f>
        <v>991.5</v>
      </c>
      <c r="C41" s="280">
        <f>AVERAGE(C39:C40)</f>
        <v>1153</v>
      </c>
      <c r="D41" s="280">
        <f t="shared" si="9"/>
        <v>1192</v>
      </c>
      <c r="E41" s="280">
        <f t="shared" si="9"/>
        <v>1110</v>
      </c>
      <c r="F41" s="280">
        <f t="shared" si="9"/>
        <v>794</v>
      </c>
      <c r="G41" s="280">
        <f t="shared" si="9"/>
        <v>774.5</v>
      </c>
      <c r="H41" s="280">
        <f t="shared" si="9"/>
        <v>957.5</v>
      </c>
      <c r="I41" s="280">
        <f t="shared" si="9"/>
        <v>1043</v>
      </c>
      <c r="J41" s="280"/>
    </row>
    <row r="42" spans="1:10" s="252" customFormat="1" ht="12.75">
      <c r="A42" s="252" t="s">
        <v>550</v>
      </c>
      <c r="B42" s="281">
        <f>B39-B40</f>
        <v>-519</v>
      </c>
      <c r="C42" s="281">
        <f>C39-C40</f>
        <v>196</v>
      </c>
      <c r="D42" s="281">
        <f t="shared" ref="D42:I42" si="10">D39-D40</f>
        <v>-274</v>
      </c>
      <c r="E42" s="281">
        <f t="shared" si="10"/>
        <v>438</v>
      </c>
      <c r="F42" s="281">
        <f t="shared" si="10"/>
        <v>194</v>
      </c>
      <c r="G42" s="281">
        <f t="shared" si="10"/>
        <v>-155</v>
      </c>
      <c r="H42" s="281">
        <f t="shared" si="10"/>
        <v>-211</v>
      </c>
      <c r="I42" s="281">
        <f t="shared" si="10"/>
        <v>40</v>
      </c>
      <c r="J42" s="281"/>
    </row>
    <row r="43" spans="1:10" s="252" customFormat="1" ht="12.75">
      <c r="A43" s="252" t="s">
        <v>551</v>
      </c>
      <c r="B43" s="281">
        <f>B37+B42</f>
        <v>23112</v>
      </c>
      <c r="C43" s="281">
        <f>C38+C42</f>
        <v>36780</v>
      </c>
      <c r="D43" s="281">
        <f t="shared" ref="D43:H43" si="11">D38+D42</f>
        <v>35236</v>
      </c>
      <c r="E43" s="281">
        <f>E38+E42</f>
        <v>31451</v>
      </c>
      <c r="F43" s="281">
        <f t="shared" si="11"/>
        <v>28819</v>
      </c>
      <c r="G43" s="281">
        <f t="shared" si="11"/>
        <v>28301</v>
      </c>
      <c r="H43" s="281">
        <f t="shared" si="11"/>
        <v>31732</v>
      </c>
      <c r="I43" s="281">
        <f>I38+I42</f>
        <v>31381</v>
      </c>
      <c r="J43" s="281"/>
    </row>
    <row r="44" spans="1:10" s="252" customFormat="1" ht="12.75">
      <c r="A44" s="252" t="s">
        <v>552</v>
      </c>
      <c r="B44" s="296">
        <f>B38+B42</f>
        <v>23112</v>
      </c>
      <c r="C44" s="296">
        <f t="shared" ref="C44:I44" si="12">C38+C42</f>
        <v>36780</v>
      </c>
      <c r="D44" s="296">
        <f t="shared" si="12"/>
        <v>35236</v>
      </c>
      <c r="E44" s="296">
        <f t="shared" si="12"/>
        <v>31451</v>
      </c>
      <c r="F44" s="296">
        <f t="shared" si="12"/>
        <v>28819</v>
      </c>
      <c r="G44" s="296">
        <f t="shared" si="12"/>
        <v>28301</v>
      </c>
      <c r="H44" s="296">
        <f t="shared" si="12"/>
        <v>31732</v>
      </c>
      <c r="I44" s="296">
        <f t="shared" si="12"/>
        <v>31381</v>
      </c>
      <c r="J44" s="296"/>
    </row>
    <row r="45" spans="1:10" s="252" customFormat="1" ht="12.75">
      <c r="A45" s="267" t="str" cm="1">
        <f t="array" ref="A45">_xll.FDSR(B9,"FORMULA_DESCRIPTION(""FF_PAY_ACCT"")")</f>
        <v>Accounts Payable</v>
      </c>
      <c r="B45" s="268">
        <f t="array" ref="B45:J45">_xll.FDSR(B9,"FF_PAY_ACCT(ANN_R,"&amp;B7&amp;","&amp;B8&amp;")")</f>
        <v>2840</v>
      </c>
      <c r="C45" s="268">
        <v>3266</v>
      </c>
      <c r="D45" s="268">
        <v>2976</v>
      </c>
      <c r="E45" s="268">
        <v>3634</v>
      </c>
      <c r="F45" s="268">
        <v>2572</v>
      </c>
      <c r="G45" s="268">
        <v>2743</v>
      </c>
      <c r="H45" s="268">
        <v>2622</v>
      </c>
      <c r="I45" s="268">
        <v>2300</v>
      </c>
      <c r="J45" s="268">
        <v>2293</v>
      </c>
    </row>
    <row r="46" spans="1:10" s="252" customFormat="1" ht="12.75">
      <c r="A46" s="252" t="str">
        <f>A45&amp; " (last)"</f>
        <v>Accounts Payable (last)</v>
      </c>
      <c r="B46" s="278">
        <f>C45</f>
        <v>3266</v>
      </c>
      <c r="C46" s="278">
        <f t="shared" ref="C46:I46" si="13">D45</f>
        <v>2976</v>
      </c>
      <c r="D46" s="278">
        <f t="shared" si="13"/>
        <v>3634</v>
      </c>
      <c r="E46" s="278">
        <f t="shared" si="13"/>
        <v>2572</v>
      </c>
      <c r="F46" s="278">
        <f t="shared" si="13"/>
        <v>2743</v>
      </c>
      <c r="G46" s="278">
        <f t="shared" si="13"/>
        <v>2622</v>
      </c>
      <c r="H46" s="278">
        <f t="shared" si="13"/>
        <v>2300</v>
      </c>
      <c r="I46" s="278">
        <f t="shared" si="13"/>
        <v>2293</v>
      </c>
      <c r="J46" s="278"/>
    </row>
    <row r="47" spans="1:10" s="252" customFormat="1" ht="12.75">
      <c r="A47" s="282" t="s">
        <v>553</v>
      </c>
      <c r="B47" s="283">
        <f>AVERAGE(B45:B46)</f>
        <v>3053</v>
      </c>
      <c r="C47" s="283">
        <f t="shared" ref="C47:I47" si="14">AVERAGE(C45:C46)</f>
        <v>3121</v>
      </c>
      <c r="D47" s="283">
        <f t="shared" si="14"/>
        <v>3305</v>
      </c>
      <c r="E47" s="283">
        <f t="shared" si="14"/>
        <v>3103</v>
      </c>
      <c r="F47" s="283">
        <f t="shared" si="14"/>
        <v>2657.5</v>
      </c>
      <c r="G47" s="283">
        <f t="shared" si="14"/>
        <v>2682.5</v>
      </c>
      <c r="H47" s="283">
        <f t="shared" si="14"/>
        <v>2461</v>
      </c>
      <c r="I47" s="283">
        <f t="shared" si="14"/>
        <v>2296.5</v>
      </c>
      <c r="J47" s="283"/>
    </row>
    <row r="48" spans="1:10" s="252" customFormat="1" ht="12.75">
      <c r="A48" s="284" t="s">
        <v>554</v>
      </c>
      <c r="B48" s="267">
        <f t="shared" ref="B48:I48" si="15">B31/B36</f>
        <v>8.0447058823529414</v>
      </c>
      <c r="C48" s="267">
        <f t="shared" si="15"/>
        <v>18.191176470588236</v>
      </c>
      <c r="D48" s="267">
        <f t="shared" si="15"/>
        <v>18.947345981667024</v>
      </c>
      <c r="E48" s="267">
        <f t="shared" si="15"/>
        <v>18.521954514748931</v>
      </c>
      <c r="F48" s="267">
        <f t="shared" si="15"/>
        <v>18.844634784677613</v>
      </c>
      <c r="G48" s="267">
        <f t="shared" si="15"/>
        <v>15.11135982092893</v>
      </c>
      <c r="H48" s="267">
        <f t="shared" si="15"/>
        <v>16.644173049058168</v>
      </c>
      <c r="I48" s="267">
        <f t="shared" si="15"/>
        <v>22.79709267110842</v>
      </c>
      <c r="J48" s="267"/>
    </row>
    <row r="49" spans="1:10" s="252" customFormat="1" ht="12.75">
      <c r="A49" s="284" t="s">
        <v>555</v>
      </c>
      <c r="B49" s="267">
        <f>B37/B41</f>
        <v>23.833585476550681</v>
      </c>
      <c r="C49" s="267">
        <f t="shared" ref="C49:I49" si="16">C38/C41</f>
        <v>31.72940156114484</v>
      </c>
      <c r="D49" s="267">
        <f t="shared" si="16"/>
        <v>29.790268456375838</v>
      </c>
      <c r="E49" s="267">
        <f t="shared" si="16"/>
        <v>27.93963963963964</v>
      </c>
      <c r="F49" s="267">
        <f t="shared" si="16"/>
        <v>36.051637279596974</v>
      </c>
      <c r="G49" s="267">
        <f t="shared" si="16"/>
        <v>36.741123305358293</v>
      </c>
      <c r="H49" s="267">
        <f t="shared" si="16"/>
        <v>33.360835509138383</v>
      </c>
      <c r="I49" s="267">
        <f t="shared" si="16"/>
        <v>30.048897411313519</v>
      </c>
      <c r="J49" s="267"/>
    </row>
    <row r="50" spans="1:10" s="252" customFormat="1" ht="12.75">
      <c r="A50" s="284" t="s">
        <v>556</v>
      </c>
      <c r="B50" s="267">
        <f>B38/B41</f>
        <v>23.833585476550681</v>
      </c>
      <c r="C50" s="267">
        <f t="shared" ref="C50:I50" si="17">C38/C41</f>
        <v>31.72940156114484</v>
      </c>
      <c r="D50" s="267">
        <f t="shared" si="17"/>
        <v>29.790268456375838</v>
      </c>
      <c r="E50" s="267">
        <f t="shared" si="17"/>
        <v>27.93963963963964</v>
      </c>
      <c r="F50" s="267">
        <f t="shared" si="17"/>
        <v>36.051637279596974</v>
      </c>
      <c r="G50" s="267">
        <f t="shared" si="17"/>
        <v>36.741123305358293</v>
      </c>
      <c r="H50" s="267">
        <f t="shared" si="17"/>
        <v>33.360835509138383</v>
      </c>
      <c r="I50" s="267">
        <f t="shared" si="17"/>
        <v>30.048897411313519</v>
      </c>
      <c r="J50" s="267"/>
    </row>
    <row r="51" spans="1:10" s="252" customFormat="1" ht="12.75">
      <c r="A51" s="284" t="s">
        <v>557</v>
      </c>
      <c r="B51" s="267">
        <f>B43/B47</f>
        <v>7.5702587618735668</v>
      </c>
      <c r="C51" s="267">
        <f>C43/C47</f>
        <v>11.784684396026915</v>
      </c>
      <c r="D51" s="267">
        <f t="shared" ref="D51:I51" si="18">D43/D47</f>
        <v>10.661422087745839</v>
      </c>
      <c r="E51" s="267">
        <f t="shared" si="18"/>
        <v>10.135675153077667</v>
      </c>
      <c r="F51" s="267">
        <f t="shared" si="18"/>
        <v>10.844402634054562</v>
      </c>
      <c r="G51" s="267">
        <f t="shared" si="18"/>
        <v>10.550232991612303</v>
      </c>
      <c r="H51" s="267">
        <f t="shared" si="18"/>
        <v>12.893945550589191</v>
      </c>
      <c r="I51" s="267">
        <f t="shared" si="18"/>
        <v>13.664707163074244</v>
      </c>
      <c r="J51" s="267"/>
    </row>
    <row r="52" spans="1:10" s="252" customFormat="1" ht="12.75">
      <c r="A52" s="284" t="s">
        <v>558</v>
      </c>
      <c r="B52" s="267">
        <f>B44/B47</f>
        <v>7.5702587618735668</v>
      </c>
      <c r="C52" s="267">
        <f t="shared" ref="C52:I52" si="19">C44/C47</f>
        <v>11.784684396026915</v>
      </c>
      <c r="D52" s="267">
        <f t="shared" si="19"/>
        <v>10.661422087745839</v>
      </c>
      <c r="E52" s="267">
        <f t="shared" si="19"/>
        <v>10.135675153077667</v>
      </c>
      <c r="F52" s="267">
        <f t="shared" si="19"/>
        <v>10.844402634054562</v>
      </c>
      <c r="G52" s="267">
        <f t="shared" si="19"/>
        <v>10.550232991612303</v>
      </c>
      <c r="H52" s="267">
        <f t="shared" si="19"/>
        <v>12.893945550589191</v>
      </c>
      <c r="I52" s="267">
        <f t="shared" si="19"/>
        <v>13.664707163074244</v>
      </c>
      <c r="J52" s="267"/>
    </row>
    <row r="53" spans="1:10" s="252" customFormat="1" ht="12.75">
      <c r="A53" s="284" t="s">
        <v>559</v>
      </c>
      <c r="B53" s="267">
        <f>B31/B33</f>
        <v>-3.2630272952853598</v>
      </c>
      <c r="C53" s="267">
        <f t="shared" ref="C53:I53" si="20">C31/C33</f>
        <v>-3.8859174141280537</v>
      </c>
      <c r="D53" s="267">
        <f t="shared" si="20"/>
        <v>-3.7995126747317576</v>
      </c>
      <c r="E53" s="267">
        <f t="shared" si="20"/>
        <v>-4.3422900279786729</v>
      </c>
      <c r="F53" s="267">
        <f t="shared" si="20"/>
        <v>-4.8716939352933943</v>
      </c>
      <c r="G53" s="267">
        <f t="shared" si="20"/>
        <v>-6.2877988202421609</v>
      </c>
      <c r="H53" s="267">
        <f t="shared" si="20"/>
        <v>-9.0194054963544588</v>
      </c>
      <c r="I53" s="267">
        <f t="shared" si="20"/>
        <v>-7.9246236445941678</v>
      </c>
      <c r="J53" s="267"/>
    </row>
    <row r="54" spans="1:10" s="252" customFormat="1" ht="12.75">
      <c r="A54" s="285" t="s">
        <v>560</v>
      </c>
    </row>
    <row r="55" spans="1:10" s="252" customFormat="1" ht="12.75">
      <c r="A55" s="252" t="s">
        <v>384</v>
      </c>
      <c r="B55" s="267">
        <f>365/B49</f>
        <v>15.314523295670941</v>
      </c>
      <c r="C55" s="267">
        <f t="shared" ref="C55:I55" si="21">365/C49</f>
        <v>11.503526131642248</v>
      </c>
      <c r="D55" s="267">
        <f t="shared" si="21"/>
        <v>12.252323289214306</v>
      </c>
      <c r="E55" s="267">
        <f t="shared" si="21"/>
        <v>13.063876438912713</v>
      </c>
      <c r="F55" s="267">
        <f t="shared" si="21"/>
        <v>10.124366812227075</v>
      </c>
      <c r="G55" s="267">
        <f t="shared" si="21"/>
        <v>9.934372364351983</v>
      </c>
      <c r="H55" s="267">
        <f t="shared" si="21"/>
        <v>10.940972983126192</v>
      </c>
      <c r="I55" s="267">
        <f t="shared" si="21"/>
        <v>12.14686831945375</v>
      </c>
      <c r="J55" s="267"/>
    </row>
    <row r="56" spans="1:10" s="252" customFormat="1" ht="12.75">
      <c r="A56" s="252" t="s">
        <v>561</v>
      </c>
      <c r="B56" s="267">
        <f>365/B50</f>
        <v>15.314523295670941</v>
      </c>
      <c r="C56" s="267">
        <f t="shared" ref="C56:I56" si="22">365/C50</f>
        <v>11.503526131642248</v>
      </c>
      <c r="D56" s="267">
        <f t="shared" si="22"/>
        <v>12.252323289214306</v>
      </c>
      <c r="E56" s="267">
        <f t="shared" si="22"/>
        <v>13.063876438912713</v>
      </c>
      <c r="F56" s="267">
        <f t="shared" si="22"/>
        <v>10.124366812227075</v>
      </c>
      <c r="G56" s="267">
        <f t="shared" si="22"/>
        <v>9.934372364351983</v>
      </c>
      <c r="H56" s="267">
        <f t="shared" si="22"/>
        <v>10.940972983126192</v>
      </c>
      <c r="I56" s="267">
        <f t="shared" si="22"/>
        <v>12.14686831945375</v>
      </c>
      <c r="J56" s="267"/>
    </row>
    <row r="57" spans="1:10" s="252" customFormat="1" ht="12.75">
      <c r="A57" s="252" t="s">
        <v>385</v>
      </c>
      <c r="B57" s="267">
        <f>365/B48</f>
        <v>45.37145364141562</v>
      </c>
      <c r="C57" s="267">
        <f t="shared" ref="C57:I57" si="23">365/C48</f>
        <v>20.064672594987872</v>
      </c>
      <c r="D57" s="267">
        <f t="shared" si="23"/>
        <v>19.263911703156992</v>
      </c>
      <c r="E57" s="267">
        <f t="shared" si="23"/>
        <v>19.706343610192569</v>
      </c>
      <c r="F57" s="267">
        <f t="shared" si="23"/>
        <v>19.368908135952729</v>
      </c>
      <c r="G57" s="267">
        <f t="shared" si="23"/>
        <v>24.154014220115538</v>
      </c>
      <c r="H57" s="267">
        <f t="shared" si="23"/>
        <v>21.929596557556462</v>
      </c>
      <c r="I57" s="267">
        <f t="shared" si="23"/>
        <v>16.010813539507943</v>
      </c>
      <c r="J57" s="267"/>
    </row>
    <row r="58" spans="1:10" s="279" customFormat="1" ht="12.75">
      <c r="A58" s="279" t="s">
        <v>562</v>
      </c>
      <c r="B58" s="271">
        <f>B55+B57</f>
        <v>60.685976937086565</v>
      </c>
      <c r="C58" s="271">
        <f t="shared" ref="C58:I58" si="24">C55+C57</f>
        <v>31.568198726630122</v>
      </c>
      <c r="D58" s="271">
        <f t="shared" si="24"/>
        <v>31.516234992371299</v>
      </c>
      <c r="E58" s="271">
        <f t="shared" si="24"/>
        <v>32.770220049105284</v>
      </c>
      <c r="F58" s="271">
        <f t="shared" si="24"/>
        <v>29.493274948179803</v>
      </c>
      <c r="G58" s="271">
        <f t="shared" si="24"/>
        <v>34.088386584467521</v>
      </c>
      <c r="H58" s="271">
        <f t="shared" si="24"/>
        <v>32.870569540682652</v>
      </c>
      <c r="I58" s="271">
        <f t="shared" si="24"/>
        <v>28.157681858961695</v>
      </c>
      <c r="J58" s="271"/>
    </row>
    <row r="59" spans="1:10" s="279" customFormat="1" ht="12.75">
      <c r="A59" s="279" t="s">
        <v>563</v>
      </c>
      <c r="B59" s="271">
        <f>B56+B57</f>
        <v>60.685976937086565</v>
      </c>
      <c r="C59" s="271">
        <f t="shared" ref="C59:I59" si="25">C56+C57</f>
        <v>31.568198726630122</v>
      </c>
      <c r="D59" s="271">
        <f t="shared" si="25"/>
        <v>31.516234992371299</v>
      </c>
      <c r="E59" s="271">
        <f t="shared" si="25"/>
        <v>32.770220049105284</v>
      </c>
      <c r="F59" s="271">
        <f t="shared" si="25"/>
        <v>29.493274948179803</v>
      </c>
      <c r="G59" s="271">
        <f t="shared" si="25"/>
        <v>34.088386584467521</v>
      </c>
      <c r="H59" s="271">
        <f t="shared" si="25"/>
        <v>32.870569540682652</v>
      </c>
      <c r="I59" s="271">
        <f t="shared" si="25"/>
        <v>28.157681858961695</v>
      </c>
      <c r="J59" s="271"/>
    </row>
    <row r="60" spans="1:10" s="252" customFormat="1" ht="12.75">
      <c r="A60" s="252" t="s">
        <v>386</v>
      </c>
      <c r="B60" s="267">
        <f>365/B51</f>
        <v>48.214996538594669</v>
      </c>
      <c r="C60" s="267">
        <f t="shared" ref="C60:I60" si="26">365/C51</f>
        <v>30.972403480152256</v>
      </c>
      <c r="D60" s="267">
        <f t="shared" si="26"/>
        <v>34.235582926552389</v>
      </c>
      <c r="E60" s="267">
        <f t="shared" si="26"/>
        <v>36.011414581412353</v>
      </c>
      <c r="F60" s="267">
        <f t="shared" si="26"/>
        <v>33.657916652208613</v>
      </c>
      <c r="G60" s="267">
        <f t="shared" si="26"/>
        <v>34.596392353627081</v>
      </c>
      <c r="H60" s="267">
        <f t="shared" si="26"/>
        <v>28.30785957393168</v>
      </c>
      <c r="I60" s="267">
        <f t="shared" si="26"/>
        <v>26.711146872311271</v>
      </c>
      <c r="J60" s="267"/>
    </row>
    <row r="61" spans="1:10" s="252" customFormat="1" ht="12.75">
      <c r="A61" s="252" t="s">
        <v>564</v>
      </c>
      <c r="B61" s="267">
        <f>365/B52</f>
        <v>48.214996538594669</v>
      </c>
      <c r="C61" s="267">
        <f t="shared" ref="C61:I61" si="27">365/C52</f>
        <v>30.972403480152256</v>
      </c>
      <c r="D61" s="267">
        <f t="shared" si="27"/>
        <v>34.235582926552389</v>
      </c>
      <c r="E61" s="267">
        <f t="shared" si="27"/>
        <v>36.011414581412353</v>
      </c>
      <c r="F61" s="267">
        <f t="shared" si="27"/>
        <v>33.657916652208613</v>
      </c>
      <c r="G61" s="267">
        <f t="shared" si="27"/>
        <v>34.596392353627081</v>
      </c>
      <c r="H61" s="267">
        <f t="shared" si="27"/>
        <v>28.30785957393168</v>
      </c>
      <c r="I61" s="267">
        <f t="shared" si="27"/>
        <v>26.711146872311271</v>
      </c>
      <c r="J61" s="267"/>
    </row>
    <row r="62" spans="1:10" s="279" customFormat="1" ht="12.75">
      <c r="A62" s="279" t="s">
        <v>565</v>
      </c>
      <c r="B62" s="271">
        <f>B58-B60</f>
        <v>12.470980398491896</v>
      </c>
      <c r="C62" s="271">
        <f>C58-C60</f>
        <v>0.59579524647786641</v>
      </c>
      <c r="D62" s="271">
        <f t="shared" ref="D62:I62" si="28">D58-D60</f>
        <v>-2.7193479341810907</v>
      </c>
      <c r="E62" s="271">
        <f t="shared" si="28"/>
        <v>-3.2411945323070697</v>
      </c>
      <c r="F62" s="271">
        <f t="shared" si="28"/>
        <v>-4.16464170402881</v>
      </c>
      <c r="G62" s="271">
        <f t="shared" si="28"/>
        <v>-0.50800576915955986</v>
      </c>
      <c r="H62" s="271">
        <f t="shared" si="28"/>
        <v>4.5627099667509725</v>
      </c>
      <c r="I62" s="271">
        <f t="shared" si="28"/>
        <v>1.4465349866504233</v>
      </c>
      <c r="J62" s="271"/>
    </row>
    <row r="63" spans="1:10" s="279" customFormat="1" ht="12.75">
      <c r="A63" s="279" t="s">
        <v>566</v>
      </c>
      <c r="B63" s="271">
        <f>B59-B61</f>
        <v>12.470980398491896</v>
      </c>
      <c r="C63" s="271">
        <f t="shared" ref="C63:I63" si="29">C59-C61</f>
        <v>0.59579524647786641</v>
      </c>
      <c r="D63" s="271">
        <f t="shared" si="29"/>
        <v>-2.7193479341810907</v>
      </c>
      <c r="E63" s="271">
        <f t="shared" si="29"/>
        <v>-3.2411945323070697</v>
      </c>
      <c r="F63" s="271">
        <f t="shared" si="29"/>
        <v>-4.16464170402881</v>
      </c>
      <c r="G63" s="271">
        <f t="shared" si="29"/>
        <v>-0.50800576915955986</v>
      </c>
      <c r="H63" s="271">
        <f t="shared" si="29"/>
        <v>4.5627099667509725</v>
      </c>
      <c r="I63" s="271">
        <f t="shared" si="29"/>
        <v>1.4465349866504233</v>
      </c>
      <c r="J63" s="271"/>
    </row>
    <row r="64" spans="1:10" s="279" customFormat="1" ht="12.75">
      <c r="A64" s="274" t="s">
        <v>543</v>
      </c>
      <c r="B64" s="286"/>
      <c r="C64" s="271"/>
      <c r="D64" s="271"/>
      <c r="E64" s="271"/>
      <c r="F64" s="271"/>
      <c r="G64" s="271"/>
      <c r="H64" s="271"/>
      <c r="I64" s="271"/>
      <c r="J64" s="271"/>
    </row>
    <row r="65" spans="1:10" s="279" customFormat="1" ht="12.75">
      <c r="A65" s="271" t="str" cm="1">
        <f t="array" ref="A65">_xll.FDSR($B$9,"FORMULA_DESCRIPTION(""FF_RECEIV_TURN"")")</f>
        <v>Receivables Turnover</v>
      </c>
      <c r="B65" s="275">
        <f t="array" ref="B65:J65">_xll.FDSR($B$9,"FF_RECEIV_TURN(ANN_R,"&amp;$B$7&amp;","&amp;$B$8&amp;")")</f>
        <v>8.0447058823529396</v>
      </c>
      <c r="C65" s="275">
        <v>18.1911764705882</v>
      </c>
      <c r="D65" s="275">
        <v>18.947345981666999</v>
      </c>
      <c r="E65" s="275">
        <v>18.521954514748899</v>
      </c>
      <c r="F65" s="275">
        <v>18.844634784677599</v>
      </c>
      <c r="G65" s="275">
        <v>15.1113598209289</v>
      </c>
      <c r="H65" s="275">
        <v>16.6441730490582</v>
      </c>
      <c r="I65" s="275">
        <v>22.797092671108398</v>
      </c>
      <c r="J65" s="275">
        <v>22.539926289926299</v>
      </c>
    </row>
    <row r="66" spans="1:10" s="279" customFormat="1" ht="12.75">
      <c r="A66" s="271" t="str" cm="1">
        <f t="array" ref="A66">_xll.FDSR($B$9,"FORMULA_DESCRIPTION(""FF_INVEN_TURN"")")</f>
        <v>Inventory Turnover</v>
      </c>
      <c r="B66" s="275">
        <f t="array" ref="B66:J66">_xll.FDSR($B$9,"FF_INVEN_TURN(ANN_R,"&amp;$B$7&amp;","&amp;$B$8&amp;")")</f>
        <v>23.833585476550699</v>
      </c>
      <c r="C66" s="275">
        <v>31.729401561144801</v>
      </c>
      <c r="D66" s="275">
        <v>29.790268456375799</v>
      </c>
      <c r="E66" s="275">
        <v>28.518018018018001</v>
      </c>
      <c r="F66" s="275">
        <v>36.051637279597003</v>
      </c>
      <c r="G66" s="275">
        <v>36.7411233053583</v>
      </c>
      <c r="H66" s="275">
        <v>33.360835509138397</v>
      </c>
      <c r="I66" s="275">
        <v>30.048897411313501</v>
      </c>
      <c r="J66" s="275">
        <v>44.309352517985602</v>
      </c>
    </row>
    <row r="67" spans="1:10" s="279" customFormat="1" ht="12.75">
      <c r="A67" s="271" t="str" cm="1">
        <f t="array" ref="A67">_xll.FDSR($B$9,"FORMULA_DESCRIPTION(""FF_PAY_TURN"")")</f>
        <v>Payables Turnover</v>
      </c>
      <c r="B67" s="275">
        <f t="array" ref="B67:J67">_xll.FDSR($B$9,"FF_PAY_TURN(ANN_R,"&amp;$B$7&amp;","&amp;$B$8&amp;")")</f>
        <v>7.5702999999999996</v>
      </c>
      <c r="C67" s="275">
        <v>11.784700000000001</v>
      </c>
      <c r="D67" s="275">
        <v>10.6614</v>
      </c>
      <c r="E67" s="275">
        <v>10.342599999999999</v>
      </c>
      <c r="F67" s="275">
        <v>10.8444</v>
      </c>
      <c r="G67" s="275">
        <v>10.5502</v>
      </c>
      <c r="H67" s="275">
        <v>12.8939</v>
      </c>
      <c r="I67" s="275">
        <v>13.6647</v>
      </c>
      <c r="J67" s="275">
        <v>16.157699999999998</v>
      </c>
    </row>
    <row r="68" spans="1:10" s="279" customFormat="1" ht="12.75">
      <c r="A68" s="271" t="str" cm="1">
        <f t="array" ref="A68">_xll.FDSR($B$9,"FORMULA_DESCRIPTION(""FF_INVEN_DAYS"")")</f>
        <v>Inventories - Days Held</v>
      </c>
      <c r="B68" s="275">
        <f t="array" ref="B68:J68">_xll.FDSR($B$9,"FF_INVEN_DAYS(ANN_R,"&amp;$B$7&amp;","&amp;$B$8&amp;")")</f>
        <v>15.314523295670901</v>
      </c>
      <c r="C68" s="275">
        <v>11.5035261316422</v>
      </c>
      <c r="D68" s="275">
        <v>12.252323289214299</v>
      </c>
      <c r="E68" s="275">
        <v>12.798925920075799</v>
      </c>
      <c r="F68" s="275">
        <v>10.1243668122271</v>
      </c>
      <c r="G68" s="275">
        <v>9.9343723643519795</v>
      </c>
      <c r="H68" s="275">
        <v>10.940972983126199</v>
      </c>
      <c r="I68" s="275">
        <v>12.1468683194538</v>
      </c>
      <c r="J68" s="275">
        <v>8.2375385614547803</v>
      </c>
    </row>
    <row r="69" spans="1:10" s="279" customFormat="1" ht="12.75">
      <c r="A69" s="271" t="str" cm="1">
        <f t="array" ref="A69">_xll.FDSR($B$9,"FORMULA_DESCRIPTION(""FF_RECEIV_TURN_DAYS"")")</f>
        <v>Receivables Days</v>
      </c>
      <c r="B69" s="275">
        <f t="array" ref="B69:J69">_xll.FDSR($B$9,"FF_RECEIV_TURN_DAYS(ANN_R,"&amp;$B$7&amp;","&amp;$B$8&amp;")")</f>
        <v>45.371453641415599</v>
      </c>
      <c r="C69" s="275">
        <v>20.064672594987901</v>
      </c>
      <c r="D69" s="275">
        <v>19.263911703157</v>
      </c>
      <c r="E69" s="275">
        <v>19.706343610192601</v>
      </c>
      <c r="F69" s="275">
        <v>19.368908135952701</v>
      </c>
      <c r="G69" s="275">
        <v>24.154014220115499</v>
      </c>
      <c r="H69" s="275">
        <v>21.929596557556501</v>
      </c>
      <c r="I69" s="275">
        <v>16.0108135395079</v>
      </c>
      <c r="J69" s="275">
        <v>16.193486851069601</v>
      </c>
    </row>
    <row r="70" spans="1:10" s="279" customFormat="1" ht="12.75">
      <c r="A70" s="271" t="str" cm="1">
        <f t="array" ref="A70">_xll.FDSR($B$9,"FORMULA_DESCRIPTION(""FF_PAY_TURN_DAYS"")")</f>
        <v>Days of Payables Outstanding</v>
      </c>
      <c r="B70" s="275">
        <f t="array" ref="B70:J70">_xll.FDSR($B$9,"FF_PAY_TURN_DAYS(ANN_R,"&amp;$B$7&amp;","&amp;$B$8&amp;")")</f>
        <v>48.214733894297503</v>
      </c>
      <c r="C70" s="275">
        <v>30.972362469982301</v>
      </c>
      <c r="D70" s="275">
        <v>34.235653854090501</v>
      </c>
      <c r="E70" s="275">
        <v>35.290932647496803</v>
      </c>
      <c r="F70" s="275">
        <v>33.657924827560798</v>
      </c>
      <c r="G70" s="275">
        <v>34.5965005402741</v>
      </c>
      <c r="H70" s="275">
        <v>28.3079595777848</v>
      </c>
      <c r="I70" s="275">
        <v>26.7111608743697</v>
      </c>
      <c r="J70" s="275">
        <v>22.589848802738</v>
      </c>
    </row>
    <row r="71" spans="1:10" s="279" customFormat="1" ht="12.75">
      <c r="A71" s="271" t="str" cm="1">
        <f t="array" ref="A71">_xll.FDSR($B$9,"FORMULA_DESCRIPTION(""FF_CASH_CONV_CYCLE"")")</f>
        <v>Cash Conversion Cycle</v>
      </c>
      <c r="B71" s="275">
        <f t="array" ref="B71:J71">_xll.FDSR($B$9,"FF_CASH_CONV_CYCLE(ANN_R,"&amp;$B$7&amp;","&amp;$B$8&amp;")")</f>
        <v>12.4712430427891</v>
      </c>
      <c r="C71" s="275">
        <v>0.595836256647861</v>
      </c>
      <c r="D71" s="275">
        <v>-2.7194188617191601</v>
      </c>
      <c r="E71" s="275">
        <v>-2.7856631172283799</v>
      </c>
      <c r="F71" s="275">
        <v>-4.1646498793809696</v>
      </c>
      <c r="G71" s="275">
        <v>-0.50811395580659302</v>
      </c>
      <c r="H71" s="275">
        <v>4.5626099628978096</v>
      </c>
      <c r="I71" s="275">
        <v>1.44652098459197</v>
      </c>
      <c r="J71" s="275">
        <v>1.8411766097864</v>
      </c>
    </row>
    <row r="72" spans="1:10" s="279" customFormat="1" ht="12.75">
      <c r="A72" s="271" t="s">
        <v>567</v>
      </c>
      <c r="B72" s="275">
        <f t="array" ref="B72:J72">_xll.FDSR($B$9,"FF_SALES_WKCAP(ANN_R,"&amp;$B$7&amp;","&amp;$B$8&amp;")")</f>
        <v>11.5741367637102</v>
      </c>
      <c r="C72" s="275" t="e">
        <v>#N/A</v>
      </c>
      <c r="D72" s="275" t="e">
        <v>#N/A</v>
      </c>
      <c r="E72" s="275" t="e">
        <v>#N/A</v>
      </c>
      <c r="F72" s="275" t="e">
        <v>#N/A</v>
      </c>
      <c r="G72" s="275" t="e">
        <v>#N/A</v>
      </c>
      <c r="H72" s="275" t="e">
        <v>#N/A</v>
      </c>
      <c r="I72" s="275" t="e">
        <v>#N/A</v>
      </c>
      <c r="J72" s="275" t="e">
        <v>#N/A</v>
      </c>
    </row>
    <row r="73" spans="1:10" s="252" customFormat="1" ht="12.75"/>
    <row r="74" spans="1:10" s="252" customFormat="1" ht="12.75">
      <c r="A74" s="287" t="s">
        <v>568</v>
      </c>
      <c r="B74" s="288" t="str">
        <f t="shared" ref="B74:J74" si="30">B200</f>
        <v>Dec '20</v>
      </c>
      <c r="C74" s="288" t="str">
        <f t="shared" si="30"/>
        <v>Dec '19</v>
      </c>
      <c r="D74" s="288" t="str">
        <f t="shared" si="30"/>
        <v>Dec '18</v>
      </c>
      <c r="E74" s="288" t="str">
        <f t="shared" si="30"/>
        <v>Dec '17</v>
      </c>
      <c r="F74" s="288" t="str">
        <f t="shared" si="30"/>
        <v>Dec '16</v>
      </c>
      <c r="G74" s="288" t="str">
        <f t="shared" si="30"/>
        <v>Dec '15</v>
      </c>
      <c r="H74" s="288" t="str">
        <f t="shared" si="30"/>
        <v>Dec '14</v>
      </c>
      <c r="I74" s="288" t="str">
        <f t="shared" si="30"/>
        <v>Dec '13</v>
      </c>
      <c r="J74" s="288" t="str">
        <f t="shared" si="30"/>
        <v>Dec '12</v>
      </c>
    </row>
    <row r="75" spans="1:10" s="252" customFormat="1" ht="12.6" customHeight="1">
      <c r="A75" s="267" t="str">
        <f t="shared" ref="A75:I75" si="31">A31</f>
        <v>Sales</v>
      </c>
      <c r="B75" s="278">
        <f t="shared" si="31"/>
        <v>17095</v>
      </c>
      <c r="C75" s="278">
        <f t="shared" si="31"/>
        <v>47006</v>
      </c>
      <c r="D75" s="278">
        <f t="shared" si="31"/>
        <v>44441</v>
      </c>
      <c r="E75" s="278">
        <f t="shared" si="31"/>
        <v>41128</v>
      </c>
      <c r="F75" s="278">
        <f t="shared" si="31"/>
        <v>39602</v>
      </c>
      <c r="G75" s="278">
        <f t="shared" si="31"/>
        <v>40506</v>
      </c>
      <c r="H75" s="278">
        <f t="shared" si="31"/>
        <v>40204</v>
      </c>
      <c r="I75" s="278">
        <f t="shared" si="31"/>
        <v>37638</v>
      </c>
      <c r="J75" s="278"/>
    </row>
    <row r="76" spans="1:10" s="252" customFormat="1" ht="12.6" customHeight="1">
      <c r="A76" s="289" t="str">
        <f>A176</f>
        <v>Total Assets</v>
      </c>
      <c r="B76" s="278">
        <f t="array" ref="B76:J76">_xll.FDSR(B9,"FF_ASSETS(ANN_R,"&amp;B7&amp;","&amp;B8&amp;",FY)")</f>
        <v>71996</v>
      </c>
      <c r="C76" s="281">
        <v>64532</v>
      </c>
      <c r="D76" s="281">
        <v>60266</v>
      </c>
      <c r="E76" s="281">
        <v>53671</v>
      </c>
      <c r="F76" s="281">
        <v>58899</v>
      </c>
      <c r="G76" s="281">
        <v>60634</v>
      </c>
      <c r="H76" s="281">
        <v>54121</v>
      </c>
      <c r="I76" s="281">
        <v>59394</v>
      </c>
      <c r="J76" s="281">
        <v>44550</v>
      </c>
    </row>
    <row r="77" spans="1:10" s="252" customFormat="1" ht="12.6" customHeight="1">
      <c r="A77" s="289" t="s">
        <v>569</v>
      </c>
      <c r="B77" s="278">
        <f t="shared" ref="B77:H77" si="32">AVERAGE(B76:C76)</f>
        <v>68264</v>
      </c>
      <c r="C77" s="278">
        <f t="shared" si="32"/>
        <v>62399</v>
      </c>
      <c r="D77" s="278">
        <f t="shared" si="32"/>
        <v>56968.5</v>
      </c>
      <c r="E77" s="278">
        <f t="shared" si="32"/>
        <v>56285</v>
      </c>
      <c r="F77" s="278">
        <f t="shared" si="32"/>
        <v>59766.5</v>
      </c>
      <c r="G77" s="278">
        <f t="shared" si="32"/>
        <v>57377.5</v>
      </c>
      <c r="H77" s="278">
        <f t="shared" si="32"/>
        <v>56757.5</v>
      </c>
      <c r="I77" s="278">
        <f>AVERAGE(I75:J75)</f>
        <v>37638</v>
      </c>
      <c r="J77" s="278"/>
    </row>
    <row r="78" spans="1:10" s="252" customFormat="1" ht="12.6" customHeight="1">
      <c r="A78" s="289" t="s">
        <v>448</v>
      </c>
      <c r="B78" s="278">
        <f>'DAL-US R&amp;D'!C34*1000</f>
        <v>0</v>
      </c>
      <c r="C78" s="278">
        <f>'DAL-US R&amp;D'!D34*1000</f>
        <v>0</v>
      </c>
      <c r="D78" s="278">
        <f>'DAL-US R&amp;D'!E34*1000</f>
        <v>0</v>
      </c>
      <c r="E78" s="278">
        <f>'DAL-US R&amp;D'!F34*1000</f>
        <v>0</v>
      </c>
      <c r="F78" s="278">
        <f>'DAL-US R&amp;D'!G34*1000</f>
        <v>0</v>
      </c>
      <c r="G78" s="278">
        <f>'DAL-US R&amp;D'!H34*1000</f>
        <v>0</v>
      </c>
      <c r="H78" s="278">
        <f>'DAL-US R&amp;D'!I34*1000</f>
        <v>0</v>
      </c>
      <c r="I78" s="278">
        <f>'DAL-US R&amp;D'!J34*1000</f>
        <v>0</v>
      </c>
      <c r="J78" s="278"/>
    </row>
    <row r="79" spans="1:10" s="252" customFormat="1" ht="12.6" customHeight="1">
      <c r="A79" s="289" t="s">
        <v>570</v>
      </c>
      <c r="B79" s="278">
        <f>AVERAGE(B78:C78)</f>
        <v>0</v>
      </c>
      <c r="C79" s="278">
        <f t="shared" ref="C79:I79" si="33">AVERAGE(C78:D78)</f>
        <v>0</v>
      </c>
      <c r="D79" s="278">
        <f t="shared" si="33"/>
        <v>0</v>
      </c>
      <c r="E79" s="278">
        <f t="shared" si="33"/>
        <v>0</v>
      </c>
      <c r="F79" s="278">
        <f t="shared" si="33"/>
        <v>0</v>
      </c>
      <c r="G79" s="278">
        <f t="shared" si="33"/>
        <v>0</v>
      </c>
      <c r="H79" s="278">
        <f t="shared" si="33"/>
        <v>0</v>
      </c>
      <c r="I79" s="278">
        <f t="shared" si="33"/>
        <v>0</v>
      </c>
      <c r="J79" s="278"/>
    </row>
    <row r="80" spans="1:10" s="252" customFormat="1" ht="12.6" customHeight="1">
      <c r="A80" s="289" t="s">
        <v>571</v>
      </c>
      <c r="B80" s="278">
        <f t="array" ref="B80:J80">_xll.FDSR(B9,"FF_PPE_NET(ANN_R,"&amp;B7&amp;","&amp;B8&amp;",FY)")</f>
        <v>32262</v>
      </c>
      <c r="C80" s="281">
        <v>36937</v>
      </c>
      <c r="D80" s="281">
        <v>34329</v>
      </c>
      <c r="E80" s="281">
        <v>26563</v>
      </c>
      <c r="F80" s="281">
        <v>24375</v>
      </c>
      <c r="G80" s="281">
        <v>23039</v>
      </c>
      <c r="H80" s="281">
        <v>21929</v>
      </c>
      <c r="I80" s="281">
        <v>21854</v>
      </c>
      <c r="J80" s="281">
        <v>20713</v>
      </c>
    </row>
    <row r="81" spans="1:10" s="252" customFormat="1" ht="12.6" customHeight="1">
      <c r="A81" s="289" t="s">
        <v>572</v>
      </c>
      <c r="B81" s="278">
        <f>AVERAGE(B80:C80)</f>
        <v>34599.5</v>
      </c>
      <c r="C81" s="278">
        <f t="shared" ref="C81:I81" si="34">AVERAGE(C80:D80)</f>
        <v>35633</v>
      </c>
      <c r="D81" s="278">
        <f t="shared" si="34"/>
        <v>30446</v>
      </c>
      <c r="E81" s="278">
        <f t="shared" si="34"/>
        <v>25469</v>
      </c>
      <c r="F81" s="278">
        <f t="shared" si="34"/>
        <v>23707</v>
      </c>
      <c r="G81" s="278">
        <f t="shared" si="34"/>
        <v>22484</v>
      </c>
      <c r="H81" s="278">
        <f t="shared" si="34"/>
        <v>21891.5</v>
      </c>
      <c r="I81" s="278">
        <f t="shared" si="34"/>
        <v>21283.5</v>
      </c>
      <c r="J81" s="278"/>
    </row>
    <row r="82" spans="1:10" s="252" customFormat="1" ht="12.6" customHeight="1">
      <c r="A82" s="289" t="s">
        <v>573</v>
      </c>
      <c r="B82" s="278">
        <f t="shared" ref="B82:I82" si="35">B201</f>
        <v>35548</v>
      </c>
      <c r="C82" s="278">
        <f t="shared" si="35"/>
        <v>17255</v>
      </c>
      <c r="D82" s="278">
        <f t="shared" si="35"/>
        <v>16527</v>
      </c>
      <c r="E82" s="278">
        <f t="shared" si="35"/>
        <v>8834</v>
      </c>
      <c r="F82" s="278">
        <f t="shared" si="35"/>
        <v>7332</v>
      </c>
      <c r="G82" s="278">
        <f t="shared" si="35"/>
        <v>8329</v>
      </c>
      <c r="H82" s="278">
        <f t="shared" si="35"/>
        <v>9777</v>
      </c>
      <c r="I82" s="278">
        <f t="shared" si="35"/>
        <v>11342</v>
      </c>
      <c r="J82" s="278"/>
    </row>
    <row r="83" spans="1:10" s="252" customFormat="1" ht="12.6" customHeight="1">
      <c r="A83" s="289" t="s">
        <v>574</v>
      </c>
      <c r="B83" s="278">
        <f>AVERAGE(B82:C82)</f>
        <v>26401.5</v>
      </c>
      <c r="C83" s="278">
        <f t="shared" ref="C83:I83" si="36">AVERAGE(C82:D82)</f>
        <v>16891</v>
      </c>
      <c r="D83" s="278">
        <f t="shared" si="36"/>
        <v>12680.5</v>
      </c>
      <c r="E83" s="278">
        <f t="shared" si="36"/>
        <v>8083</v>
      </c>
      <c r="F83" s="278">
        <f t="shared" si="36"/>
        <v>7830.5</v>
      </c>
      <c r="G83" s="278">
        <f t="shared" si="36"/>
        <v>9053</v>
      </c>
      <c r="H83" s="278">
        <f t="shared" si="36"/>
        <v>10559.5</v>
      </c>
      <c r="I83" s="278">
        <f t="shared" si="36"/>
        <v>11342</v>
      </c>
      <c r="J83" s="278"/>
    </row>
    <row r="84" spans="1:10" s="252" customFormat="1" ht="12.6" customHeight="1">
      <c r="A84" s="289" t="s">
        <v>575</v>
      </c>
      <c r="B84" s="1070"/>
      <c r="C84" s="278">
        <f>'DAL-US Lease'!D27</f>
        <v>0</v>
      </c>
      <c r="D84" s="278">
        <f>'DAL-US Lease'!E27</f>
        <v>0</v>
      </c>
      <c r="E84" s="278">
        <f>'DAL-US Lease'!F27</f>
        <v>0</v>
      </c>
      <c r="F84" s="278">
        <f>'DAL-US Lease'!G27</f>
        <v>0</v>
      </c>
      <c r="G84" s="278">
        <f>'DAL-US Lease'!H27</f>
        <v>0</v>
      </c>
      <c r="H84" s="278">
        <f>'DAL-US Lease'!I27</f>
        <v>0</v>
      </c>
      <c r="I84" s="278">
        <f>'DAL-US Lease'!J27</f>
        <v>0</v>
      </c>
      <c r="J84" s="278"/>
    </row>
    <row r="85" spans="1:10" s="252" customFormat="1" ht="12.6" customHeight="1">
      <c r="A85" s="289" t="s">
        <v>576</v>
      </c>
      <c r="B85" s="1070">
        <f>(B84+C84)/2</f>
        <v>0</v>
      </c>
      <c r="C85" s="278">
        <f t="shared" ref="C85:I85" si="37">AVERAGE(C84:D84)</f>
        <v>0</v>
      </c>
      <c r="D85" s="278">
        <f t="shared" si="37"/>
        <v>0</v>
      </c>
      <c r="E85" s="278">
        <f t="shared" si="37"/>
        <v>0</v>
      </c>
      <c r="F85" s="278">
        <f t="shared" si="37"/>
        <v>0</v>
      </c>
      <c r="G85" s="278">
        <f t="shared" si="37"/>
        <v>0</v>
      </c>
      <c r="H85" s="278">
        <f t="shared" si="37"/>
        <v>0</v>
      </c>
      <c r="I85" s="278">
        <f t="shared" si="37"/>
        <v>0</v>
      </c>
      <c r="J85" s="278"/>
    </row>
    <row r="86" spans="1:10" ht="12.6" customHeight="1">
      <c r="A86" s="290" t="str">
        <f t="shared" ref="A86:I86" si="38">A147</f>
        <v>Total Shareholders' Equity</v>
      </c>
      <c r="B86" s="278">
        <f t="shared" si="38"/>
        <v>1534</v>
      </c>
      <c r="C86" s="278">
        <f t="shared" si="38"/>
        <v>15358</v>
      </c>
      <c r="D86" s="278">
        <f t="shared" si="38"/>
        <v>13687</v>
      </c>
      <c r="E86" s="278">
        <f t="shared" si="38"/>
        <v>12530</v>
      </c>
      <c r="F86" s="278">
        <f t="shared" si="38"/>
        <v>12287</v>
      </c>
      <c r="G86" s="278">
        <f t="shared" si="38"/>
        <v>10850</v>
      </c>
      <c r="H86" s="278">
        <f t="shared" si="38"/>
        <v>8813</v>
      </c>
      <c r="I86" s="278">
        <f t="shared" si="38"/>
        <v>11643</v>
      </c>
      <c r="J86" s="278"/>
    </row>
    <row r="87" spans="1:10" ht="12.6" customHeight="1">
      <c r="A87" s="290" t="s">
        <v>577</v>
      </c>
      <c r="B87" s="278">
        <f>AVERAGE(B86:C86)</f>
        <v>8446</v>
      </c>
      <c r="C87" s="278">
        <f t="shared" ref="C87:I87" si="39">AVERAGE(C86:D86)</f>
        <v>14522.5</v>
      </c>
      <c r="D87" s="278">
        <f t="shared" si="39"/>
        <v>13108.5</v>
      </c>
      <c r="E87" s="278">
        <f t="shared" si="39"/>
        <v>12408.5</v>
      </c>
      <c r="F87" s="278">
        <f t="shared" si="39"/>
        <v>11568.5</v>
      </c>
      <c r="G87" s="278">
        <f t="shared" si="39"/>
        <v>9831.5</v>
      </c>
      <c r="H87" s="278">
        <f t="shared" si="39"/>
        <v>10228</v>
      </c>
      <c r="I87" s="278">
        <f t="shared" si="39"/>
        <v>11643</v>
      </c>
      <c r="J87" s="278"/>
    </row>
    <row r="88" spans="1:10" ht="12.6" customHeight="1">
      <c r="A88" s="290" t="str">
        <f t="shared" ref="A88:I88" si="40">A150</f>
        <v>Cash &amp; Short Term Investments</v>
      </c>
      <c r="B88" s="278">
        <f t="shared" si="40"/>
        <v>14288</v>
      </c>
      <c r="C88" s="278">
        <f t="shared" si="40"/>
        <v>3094</v>
      </c>
      <c r="D88" s="278">
        <f t="shared" si="40"/>
        <v>1815</v>
      </c>
      <c r="E88" s="278">
        <f t="shared" si="40"/>
        <v>2639</v>
      </c>
      <c r="F88" s="278">
        <f t="shared" si="40"/>
        <v>3642</v>
      </c>
      <c r="G88" s="278">
        <f t="shared" si="40"/>
        <v>5424</v>
      </c>
      <c r="H88" s="278">
        <f t="shared" si="40"/>
        <v>4383</v>
      </c>
      <c r="I88" s="278">
        <f t="shared" si="40"/>
        <v>3925</v>
      </c>
      <c r="J88" s="278"/>
    </row>
    <row r="89" spans="1:10" ht="12.6" customHeight="1">
      <c r="A89" s="291" t="s">
        <v>578</v>
      </c>
      <c r="B89" s="292">
        <f>AVERAGE(B88:C88)</f>
        <v>8691</v>
      </c>
      <c r="C89" s="292">
        <f>AVERAGE(C88:D88)</f>
        <v>2454.5</v>
      </c>
      <c r="D89" s="292">
        <f>AVERAGE(D88:E88)</f>
        <v>2227</v>
      </c>
      <c r="E89" s="292">
        <f>AVERAGE(E88:F88)</f>
        <v>3140.5</v>
      </c>
      <c r="F89" s="292">
        <f t="shared" ref="F89:I89" si="41">AVERAGE(F88:G88)</f>
        <v>4533</v>
      </c>
      <c r="G89" s="292">
        <f t="shared" si="41"/>
        <v>4903.5</v>
      </c>
      <c r="H89" s="292">
        <f t="shared" si="41"/>
        <v>4154</v>
      </c>
      <c r="I89" s="292">
        <f t="shared" si="41"/>
        <v>3925</v>
      </c>
      <c r="J89" s="292"/>
    </row>
    <row r="90" spans="1:10" s="252" customFormat="1" ht="12.75">
      <c r="A90" s="289" t="s">
        <v>579</v>
      </c>
      <c r="B90" s="293">
        <f t="shared" ref="B90:I90" si="42">B75/B77</f>
        <v>0.25042482128208132</v>
      </c>
      <c r="C90" s="293">
        <f t="shared" si="42"/>
        <v>0.75331335438067915</v>
      </c>
      <c r="D90" s="293">
        <f t="shared" si="42"/>
        <v>0.78009777333087582</v>
      </c>
      <c r="E90" s="293">
        <f t="shared" si="42"/>
        <v>0.7307097805809718</v>
      </c>
      <c r="F90" s="293">
        <f t="shared" si="42"/>
        <v>0.66261199836028539</v>
      </c>
      <c r="G90" s="293">
        <f t="shared" si="42"/>
        <v>0.70595616748725543</v>
      </c>
      <c r="H90" s="293">
        <f t="shared" si="42"/>
        <v>0.70834691450469101</v>
      </c>
      <c r="I90" s="293">
        <f t="shared" si="42"/>
        <v>1</v>
      </c>
      <c r="J90" s="293"/>
    </row>
    <row r="91" spans="1:10" s="252" customFormat="1" ht="12.75">
      <c r="A91" s="289" t="s">
        <v>580</v>
      </c>
      <c r="B91" s="293">
        <f>B75/(B77+B79+B85)</f>
        <v>0.25042482128208132</v>
      </c>
      <c r="C91" s="293">
        <f t="shared" ref="C91:I91" si="43">C75/(C77+C79+C85)</f>
        <v>0.75331335438067915</v>
      </c>
      <c r="D91" s="293">
        <f t="shared" si="43"/>
        <v>0.78009777333087582</v>
      </c>
      <c r="E91" s="293">
        <f t="shared" si="43"/>
        <v>0.7307097805809718</v>
      </c>
      <c r="F91" s="293">
        <f t="shared" si="43"/>
        <v>0.66261199836028539</v>
      </c>
      <c r="G91" s="293">
        <f t="shared" si="43"/>
        <v>0.70595616748725543</v>
      </c>
      <c r="H91" s="293">
        <f t="shared" si="43"/>
        <v>0.70834691450469101</v>
      </c>
      <c r="I91" s="293">
        <f t="shared" si="43"/>
        <v>1</v>
      </c>
      <c r="J91" s="293"/>
    </row>
    <row r="92" spans="1:10" s="252" customFormat="1" ht="12.75">
      <c r="A92" s="289" t="s">
        <v>581</v>
      </c>
      <c r="B92" s="293">
        <f t="shared" ref="B92:I92" si="44">B75/B81</f>
        <v>0.49408228442607555</v>
      </c>
      <c r="C92" s="293">
        <f t="shared" si="44"/>
        <v>1.3191704319030113</v>
      </c>
      <c r="D92" s="293">
        <f t="shared" si="44"/>
        <v>1.4596662944229126</v>
      </c>
      <c r="E92" s="293">
        <f t="shared" si="44"/>
        <v>1.6148258667399584</v>
      </c>
      <c r="F92" s="293">
        <f t="shared" si="44"/>
        <v>1.6704770742818578</v>
      </c>
      <c r="G92" s="293">
        <f t="shared" si="44"/>
        <v>1.8015477673011919</v>
      </c>
      <c r="H92" s="293">
        <f t="shared" si="44"/>
        <v>1.836511888175776</v>
      </c>
      <c r="I92" s="293">
        <f t="shared" si="44"/>
        <v>1.7684121502572416</v>
      </c>
      <c r="J92" s="293"/>
    </row>
    <row r="93" spans="1:10" s="252" customFormat="1" ht="12.75">
      <c r="A93" s="289" t="s">
        <v>582</v>
      </c>
      <c r="B93" s="293">
        <f>B75/(B81+B79+B85)</f>
        <v>0.49408228442607555</v>
      </c>
      <c r="C93" s="293">
        <f t="shared" ref="C93:I93" si="45">C75/(C81+C79+C85)</f>
        <v>1.3191704319030113</v>
      </c>
      <c r="D93" s="293">
        <f t="shared" si="45"/>
        <v>1.4596662944229126</v>
      </c>
      <c r="E93" s="293">
        <f t="shared" si="45"/>
        <v>1.6148258667399584</v>
      </c>
      <c r="F93" s="293">
        <f t="shared" si="45"/>
        <v>1.6704770742818578</v>
      </c>
      <c r="G93" s="293">
        <f t="shared" si="45"/>
        <v>1.8015477673011919</v>
      </c>
      <c r="H93" s="293">
        <f t="shared" si="45"/>
        <v>1.836511888175776</v>
      </c>
      <c r="I93" s="293">
        <f t="shared" si="45"/>
        <v>1.7684121502572416</v>
      </c>
      <c r="J93" s="293"/>
    </row>
    <row r="94" spans="1:10" s="252" customFormat="1" ht="12.75">
      <c r="A94" s="252" t="s">
        <v>583</v>
      </c>
      <c r="B94" s="267">
        <f t="shared" ref="B94:I94" si="46">B75/(B83+B87-B89)</f>
        <v>0.65356603521113299</v>
      </c>
      <c r="C94" s="267">
        <f t="shared" si="46"/>
        <v>1.6231914085431127</v>
      </c>
      <c r="D94" s="267">
        <f t="shared" si="46"/>
        <v>1.8861302096596215</v>
      </c>
      <c r="E94" s="267">
        <f t="shared" si="46"/>
        <v>2.370353293758285</v>
      </c>
      <c r="F94" s="267">
        <f t="shared" si="46"/>
        <v>2.6639311179873535</v>
      </c>
      <c r="G94" s="267">
        <f t="shared" si="46"/>
        <v>2.8972176525284317</v>
      </c>
      <c r="H94" s="267">
        <f t="shared" si="46"/>
        <v>2.4170499293594254</v>
      </c>
      <c r="I94" s="267">
        <f t="shared" si="46"/>
        <v>1.9747114375655823</v>
      </c>
      <c r="J94" s="267"/>
    </row>
    <row r="95" spans="1:10" s="252" customFormat="1" ht="12.75">
      <c r="A95" s="289" t="s">
        <v>584</v>
      </c>
      <c r="B95" s="267">
        <f t="shared" ref="B95:I95" si="47">B75/(B83+B85+B87+B79-B89)</f>
        <v>0.65356603521113299</v>
      </c>
      <c r="C95" s="267">
        <f t="shared" si="47"/>
        <v>1.6231914085431127</v>
      </c>
      <c r="D95" s="267">
        <f t="shared" si="47"/>
        <v>1.8861302096596215</v>
      </c>
      <c r="E95" s="267">
        <f t="shared" si="47"/>
        <v>2.370353293758285</v>
      </c>
      <c r="F95" s="267">
        <f t="shared" si="47"/>
        <v>2.6639311179873535</v>
      </c>
      <c r="G95" s="267">
        <f t="shared" si="47"/>
        <v>2.8972176525284317</v>
      </c>
      <c r="H95" s="267">
        <f t="shared" si="47"/>
        <v>2.4170499293594254</v>
      </c>
      <c r="I95" s="267">
        <f t="shared" si="47"/>
        <v>1.9747114375655823</v>
      </c>
      <c r="J95" s="267"/>
    </row>
    <row r="96" spans="1:10" s="252" customFormat="1" ht="12.75">
      <c r="A96" s="274" t="s">
        <v>543</v>
      </c>
      <c r="B96" s="294"/>
      <c r="C96" s="294"/>
      <c r="D96" s="294"/>
      <c r="E96" s="294"/>
      <c r="F96" s="294"/>
      <c r="G96" s="294"/>
      <c r="H96" s="294"/>
      <c r="I96" s="294"/>
      <c r="J96" s="294"/>
    </row>
    <row r="97" spans="1:10" s="252" customFormat="1" ht="12.75">
      <c r="A97" s="289" t="s">
        <v>95</v>
      </c>
      <c r="B97" s="275">
        <f t="array" ref="B97:J97">_xll.FDSR($B$9,"FF_ASSET_TURN(ANN_R,"&amp;$B$7&amp;","&amp;$B$8&amp;")")</f>
        <v>0.25042482128208099</v>
      </c>
      <c r="C97" s="275">
        <v>0.75331335438067903</v>
      </c>
      <c r="D97" s="275">
        <v>0.78009777333087604</v>
      </c>
      <c r="E97" s="275">
        <v>0.73070978058097202</v>
      </c>
      <c r="F97" s="275">
        <v>0.66261199836028495</v>
      </c>
      <c r="G97" s="275">
        <v>0.70595616748725498</v>
      </c>
      <c r="H97" s="275">
        <v>0.70834691450469101</v>
      </c>
      <c r="I97" s="275">
        <v>0.72419764488570804</v>
      </c>
      <c r="J97" s="275">
        <v>0.83351315744642196</v>
      </c>
    </row>
    <row r="98" spans="1:10" s="252" customFormat="1" ht="12.75">
      <c r="A98" s="253"/>
      <c r="B98" s="253"/>
      <c r="C98" s="253"/>
      <c r="D98" s="253"/>
      <c r="E98" s="253"/>
      <c r="F98" s="253"/>
      <c r="G98" s="253"/>
      <c r="H98" s="253"/>
      <c r="I98" s="253"/>
      <c r="J98" s="253"/>
    </row>
    <row r="99" spans="1:10" s="252" customFormat="1" ht="12.75">
      <c r="A99" s="287" t="s">
        <v>585</v>
      </c>
      <c r="B99" s="288" t="str">
        <f t="shared" ref="B99:J99" si="48">B11</f>
        <v>Dec '20</v>
      </c>
      <c r="C99" s="288" t="str">
        <f t="shared" si="48"/>
        <v>Dec '19</v>
      </c>
      <c r="D99" s="288" t="str">
        <f t="shared" si="48"/>
        <v>Dec '18</v>
      </c>
      <c r="E99" s="288" t="str">
        <f t="shared" si="48"/>
        <v>Dec '17</v>
      </c>
      <c r="F99" s="288" t="str">
        <f t="shared" si="48"/>
        <v>Dec '16</v>
      </c>
      <c r="G99" s="288" t="str">
        <f t="shared" si="48"/>
        <v>Dec '15</v>
      </c>
      <c r="H99" s="288" t="str">
        <f t="shared" si="48"/>
        <v>Dec '14</v>
      </c>
      <c r="I99" s="288" t="str">
        <f t="shared" si="48"/>
        <v>Dec '13</v>
      </c>
      <c r="J99" s="288" t="str">
        <f t="shared" si="48"/>
        <v>Dec '12</v>
      </c>
    </row>
    <row r="100" spans="1:10" s="252" customFormat="1" ht="12.75">
      <c r="A100" s="252" t="str">
        <f t="shared" ref="A100:I100" si="49">A136</f>
        <v>EBIT</v>
      </c>
      <c r="B100" s="281">
        <f t="shared" si="49"/>
        <v>-8281</v>
      </c>
      <c r="C100" s="281">
        <f t="shared" si="49"/>
        <v>6658</v>
      </c>
      <c r="D100" s="281">
        <f t="shared" si="49"/>
        <v>5267</v>
      </c>
      <c r="E100" s="281">
        <f t="shared" si="49"/>
        <v>6037</v>
      </c>
      <c r="F100" s="281">
        <f t="shared" si="49"/>
        <v>7281</v>
      </c>
      <c r="G100" s="281">
        <f t="shared" si="49"/>
        <v>8380</v>
      </c>
      <c r="H100" s="281">
        <f t="shared" si="49"/>
        <v>4764</v>
      </c>
      <c r="I100" s="281">
        <f t="shared" si="49"/>
        <v>3174</v>
      </c>
      <c r="J100" s="281"/>
    </row>
    <row r="101" spans="1:10" s="252" customFormat="1" ht="12.75">
      <c r="A101" s="252" t="str">
        <f>'DAL-US R&amp;D'!A48</f>
        <v>R&amp;D Adjustment to operating income</v>
      </c>
      <c r="B101" s="281">
        <f>'DAL-US R&amp;D'!C48*1000</f>
        <v>0</v>
      </c>
      <c r="C101" s="281">
        <f>'DAL-US R&amp;D'!D48*1000</f>
        <v>0</v>
      </c>
      <c r="D101" s="281">
        <f>'DAL-US R&amp;D'!E48*1000</f>
        <v>0</v>
      </c>
      <c r="E101" s="281">
        <f>'DAL-US R&amp;D'!F48*1000</f>
        <v>0</v>
      </c>
      <c r="F101" s="281">
        <f>'DAL-US R&amp;D'!G48*1000</f>
        <v>0</v>
      </c>
      <c r="G101" s="281">
        <f>'DAL-US R&amp;D'!H48*1000</f>
        <v>0</v>
      </c>
      <c r="H101" s="281">
        <f>'DAL-US R&amp;D'!I48*1000</f>
        <v>0</v>
      </c>
      <c r="I101" s="281">
        <f>'DAL-US R&amp;D'!J48*1000</f>
        <v>0</v>
      </c>
      <c r="J101" s="281"/>
    </row>
    <row r="102" spans="1:10" s="252" customFormat="1" ht="12.75">
      <c r="A102" s="252" t="str">
        <f>'DAL-US Lease'!B32</f>
        <v>Adjustment to operating earnings leases</v>
      </c>
      <c r="B102" s="281">
        <f>'DAL-US Lease'!C32*1000</f>
        <v>0</v>
      </c>
      <c r="C102" s="281">
        <f>'DAL-US Lease'!D32*1000</f>
        <v>0</v>
      </c>
      <c r="D102" s="281">
        <f>'DAL-US Lease'!E32*1000</f>
        <v>0</v>
      </c>
      <c r="E102" s="281">
        <f>'DAL-US Lease'!F32*1000</f>
        <v>0</v>
      </c>
      <c r="F102" s="281">
        <f>'DAL-US Lease'!G32*1000</f>
        <v>0</v>
      </c>
      <c r="G102" s="281">
        <f>'DAL-US Lease'!H32*1000</f>
        <v>0</v>
      </c>
      <c r="H102" s="281">
        <f>'DAL-US Lease'!I32*1000</f>
        <v>0</v>
      </c>
      <c r="I102" s="281">
        <f>'DAL-US Lease'!J32*1000</f>
        <v>0</v>
      </c>
      <c r="J102" s="281"/>
    </row>
    <row r="103" spans="1:10" s="252" customFormat="1" ht="12.75">
      <c r="A103" s="267" t="str">
        <f t="shared" ref="A103:I103" si="50">A122</f>
        <v>Interest Expenses</v>
      </c>
      <c r="B103" s="281">
        <f t="shared" si="50"/>
        <v>929</v>
      </c>
      <c r="C103" s="281">
        <f t="shared" si="50"/>
        <v>301</v>
      </c>
      <c r="D103" s="281">
        <f t="shared" si="50"/>
        <v>311</v>
      </c>
      <c r="E103" s="281">
        <f t="shared" si="50"/>
        <v>396</v>
      </c>
      <c r="F103" s="281">
        <f t="shared" si="50"/>
        <v>388</v>
      </c>
      <c r="G103" s="281">
        <f t="shared" si="50"/>
        <v>481</v>
      </c>
      <c r="H103" s="281">
        <f t="shared" si="50"/>
        <v>619</v>
      </c>
      <c r="I103" s="281">
        <f t="shared" si="50"/>
        <v>852</v>
      </c>
      <c r="J103" s="267"/>
    </row>
    <row r="104" spans="1:10" s="252" customFormat="1" ht="12.75">
      <c r="A104" s="252" t="str" cm="1">
        <f t="array" ref="A104">_xll.FDSR(B9,"FORMULA_DESCRIPTION(""FF_OPER_CF"")")&amp;" (OCF)"</f>
        <v>Net Cash from Operating Activities (OCF)</v>
      </c>
      <c r="B104" s="281">
        <f t="array" ref="B104:J104">_xll.FDSR(B9,"FF_OPER_CF(ANN_R,"&amp;B7&amp;","&amp;B8&amp;")")</f>
        <v>-3793</v>
      </c>
      <c r="C104" s="281">
        <v>8425</v>
      </c>
      <c r="D104" s="281">
        <v>7014</v>
      </c>
      <c r="E104" s="281">
        <v>5023</v>
      </c>
      <c r="F104" s="281">
        <v>7216</v>
      </c>
      <c r="G104" s="281">
        <v>7920</v>
      </c>
      <c r="H104" s="281">
        <v>4885</v>
      </c>
      <c r="I104" s="281">
        <v>4273</v>
      </c>
      <c r="J104" s="281">
        <v>2476</v>
      </c>
    </row>
    <row r="105" spans="1:10" s="252" customFormat="1" ht="12.75">
      <c r="A105" s="253" t="s">
        <v>586</v>
      </c>
      <c r="B105" s="295">
        <f>'DAL-US CFS-adj'!C17*1000</f>
        <v>2878.6299999999983</v>
      </c>
      <c r="C105" s="295">
        <f>'DAL-US CFS-adj'!D17*1000</f>
        <v>9428.8799999999974</v>
      </c>
      <c r="D105" s="295">
        <f>'DAL-US CFS-adj'!E17*1000</f>
        <v>7821.0900000000047</v>
      </c>
      <c r="E105" s="295">
        <f>'DAL-US CFS-adj'!F17*1000</f>
        <v>7277.9799999999987</v>
      </c>
      <c r="F105" s="295">
        <f>'DAL-US CFS-adj'!G17*1000</f>
        <v>9147.0899999999947</v>
      </c>
      <c r="G105" s="295">
        <f>'DAL-US CFS-adj'!H17*1000</f>
        <v>10420.870000000001</v>
      </c>
      <c r="H105" s="295">
        <f>'DAL-US CFS-adj'!I17*1000</f>
        <v>8444.82</v>
      </c>
      <c r="I105" s="295">
        <f>'DAL-US CFS-adj'!J17*1000</f>
        <v>-3539.1800000000017</v>
      </c>
      <c r="J105" s="295"/>
    </row>
    <row r="106" spans="1:10" s="252" customFormat="1" ht="12.75">
      <c r="A106" s="253" t="str" cm="1">
        <f t="array" ref="A106">_xll.FDSR(B9,"FORMULA_DESCRIPTION(""FF_CAPEX"")")</f>
        <v>Capital Expenditures - Total</v>
      </c>
      <c r="B106" s="296">
        <f t="array" ref="B106:J106">_xll.FDSR(B9,"FF_CAPEX(ANN_R,"&amp;B7&amp;","&amp;B8&amp;")")</f>
        <v>1899</v>
      </c>
      <c r="C106" s="296">
        <v>4936</v>
      </c>
      <c r="D106" s="296">
        <v>5168</v>
      </c>
      <c r="E106" s="296">
        <v>3891</v>
      </c>
      <c r="F106" s="296">
        <v>3391</v>
      </c>
      <c r="G106" s="296">
        <v>2945</v>
      </c>
      <c r="H106" s="296">
        <v>2249</v>
      </c>
      <c r="I106" s="296">
        <v>2568</v>
      </c>
      <c r="J106" s="296">
        <v>1968</v>
      </c>
    </row>
    <row r="107" spans="1:10" s="252" customFormat="1" ht="12.75">
      <c r="A107" s="282" t="s">
        <v>587</v>
      </c>
      <c r="B107" s="297">
        <f>(-'DAL-US CFS-adj'!C20)*1000</f>
        <v>0</v>
      </c>
      <c r="C107" s="297">
        <f>(-'DAL-US CFS-adj'!D20)*1000</f>
        <v>0</v>
      </c>
      <c r="D107" s="297">
        <f>(-'DAL-US CFS-adj'!E20)*1000</f>
        <v>0</v>
      </c>
      <c r="E107" s="297">
        <f>(-'DAL-US CFS-adj'!F20)*1000</f>
        <v>0</v>
      </c>
      <c r="F107" s="297">
        <f>(-'DAL-US CFS-adj'!G20)*1000</f>
        <v>0</v>
      </c>
      <c r="G107" s="297">
        <f>(-'DAL-US CFS-adj'!H20)*1000</f>
        <v>0</v>
      </c>
      <c r="H107" s="297">
        <f>(-'DAL-US CFS-adj'!I20)*1000</f>
        <v>0</v>
      </c>
      <c r="I107" s="297">
        <f>(-'DAL-US CFS-adj'!J20)*1000</f>
        <v>0</v>
      </c>
      <c r="J107" s="297"/>
    </row>
    <row r="108" spans="1:10" s="252" customFormat="1" ht="12.75">
      <c r="A108" s="279" t="s">
        <v>588</v>
      </c>
      <c r="B108" s="298">
        <f t="shared" ref="B108:I108" si="51">IFERROR(B100/B103,"n/a")</f>
        <v>-8.9138858988159306</v>
      </c>
      <c r="C108" s="298">
        <f t="shared" si="51"/>
        <v>22.119601328903656</v>
      </c>
      <c r="D108" s="298">
        <f t="shared" si="51"/>
        <v>16.935691318327976</v>
      </c>
      <c r="E108" s="298">
        <f t="shared" si="51"/>
        <v>15.244949494949495</v>
      </c>
      <c r="F108" s="298">
        <f t="shared" si="51"/>
        <v>18.765463917525775</v>
      </c>
      <c r="G108" s="298">
        <f t="shared" si="51"/>
        <v>17.422037422037423</v>
      </c>
      <c r="H108" s="298">
        <f t="shared" si="51"/>
        <v>7.696284329563813</v>
      </c>
      <c r="I108" s="298">
        <f t="shared" si="51"/>
        <v>3.7253521126760565</v>
      </c>
      <c r="J108" s="298"/>
    </row>
    <row r="109" spans="1:10" s="252" customFormat="1" ht="12.75">
      <c r="A109" s="279" t="s">
        <v>589</v>
      </c>
      <c r="B109" s="298">
        <f t="shared" ref="B109:H109" si="52">(B100+B101+B102)/B103</f>
        <v>-8.9138858988159306</v>
      </c>
      <c r="C109" s="298">
        <f t="shared" si="52"/>
        <v>22.119601328903656</v>
      </c>
      <c r="D109" s="298">
        <f t="shared" si="52"/>
        <v>16.935691318327976</v>
      </c>
      <c r="E109" s="298">
        <f t="shared" si="52"/>
        <v>15.244949494949495</v>
      </c>
      <c r="F109" s="298">
        <f t="shared" si="52"/>
        <v>18.765463917525775</v>
      </c>
      <c r="G109" s="298">
        <f t="shared" si="52"/>
        <v>17.422037422037423</v>
      </c>
      <c r="H109" s="298">
        <f t="shared" si="52"/>
        <v>7.696284329563813</v>
      </c>
      <c r="I109" s="298">
        <f>IFERROR((I100+I101+I102)/I103,"n/a")</f>
        <v>3.7253521126760565</v>
      </c>
      <c r="J109" s="298"/>
    </row>
    <row r="110" spans="1:10" s="252" customFormat="1" ht="12.75">
      <c r="A110" s="271" t="s">
        <v>590</v>
      </c>
      <c r="B110" s="271">
        <f t="shared" ref="B110:I110" si="53">B104/B106</f>
        <v>-1.9973670352817272</v>
      </c>
      <c r="C110" s="271">
        <f t="shared" si="53"/>
        <v>1.7068476499189627</v>
      </c>
      <c r="D110" s="271">
        <f t="shared" si="53"/>
        <v>1.3571981424148607</v>
      </c>
      <c r="E110" s="271">
        <f t="shared" si="53"/>
        <v>1.2909277820611669</v>
      </c>
      <c r="F110" s="271">
        <f t="shared" si="53"/>
        <v>2.1279858448835154</v>
      </c>
      <c r="G110" s="271">
        <f t="shared" si="53"/>
        <v>2.6893039049235994</v>
      </c>
      <c r="H110" s="271">
        <f t="shared" si="53"/>
        <v>2.1720764784348598</v>
      </c>
      <c r="I110" s="271">
        <f t="shared" si="53"/>
        <v>1.6639408099688473</v>
      </c>
      <c r="J110" s="271"/>
    </row>
    <row r="111" spans="1:10" s="252" customFormat="1" ht="12.75">
      <c r="A111" s="271" t="s">
        <v>591</v>
      </c>
      <c r="B111" s="271">
        <f>B105/SUM(B106:B107)</f>
        <v>1.5158662453923109</v>
      </c>
      <c r="C111" s="271">
        <f t="shared" ref="C111:I111" si="54">C105/SUM(C106:C107)</f>
        <v>1.9102269043760125</v>
      </c>
      <c r="D111" s="271">
        <f t="shared" si="54"/>
        <v>1.5133688080495364</v>
      </c>
      <c r="E111" s="271">
        <f t="shared" si="54"/>
        <v>1.8704651760472883</v>
      </c>
      <c r="F111" s="271">
        <f t="shared" si="54"/>
        <v>2.6974609259805353</v>
      </c>
      <c r="G111" s="271">
        <f t="shared" si="54"/>
        <v>3.5384957555178271</v>
      </c>
      <c r="H111" s="271">
        <f t="shared" si="54"/>
        <v>3.7549221876389507</v>
      </c>
      <c r="I111" s="271">
        <f t="shared" si="54"/>
        <v>-1.3781853582554524</v>
      </c>
      <c r="J111" s="271"/>
    </row>
    <row r="112" spans="1:10" s="252" customFormat="1" ht="12.75">
      <c r="A112" s="274" t="s">
        <v>543</v>
      </c>
      <c r="B112" s="271"/>
      <c r="C112" s="271"/>
      <c r="D112" s="271"/>
      <c r="E112" s="271"/>
      <c r="F112" s="271"/>
      <c r="G112" s="271"/>
      <c r="H112" s="271"/>
      <c r="I112" s="271"/>
      <c r="J112" s="271"/>
    </row>
    <row r="113" spans="1:10" s="252" customFormat="1" ht="12.75">
      <c r="A113" s="271" t="str" cm="1">
        <f t="array" ref="A113">_xll.FDSR(B201,"FORMULA_DESCRIPTION(""FF_EBIT_OPER_INT_COVG"")")</f>
        <v>EBIT Interest Coverage</v>
      </c>
      <c r="B113" s="275">
        <f t="array" ref="B113:J113">_xll.FDSR($B$9,"FF_EBIT_OPER_INT_COVG(ANN_R,"&amp;$B$7&amp;","&amp;$B$8&amp;")")</f>
        <v>-8.9138858988159306</v>
      </c>
      <c r="C113" s="275">
        <v>22.119601328903698</v>
      </c>
      <c r="D113" s="275">
        <v>16.935691318328001</v>
      </c>
      <c r="E113" s="275">
        <v>15.2449494949495</v>
      </c>
      <c r="F113" s="275">
        <v>16.5102040816327</v>
      </c>
      <c r="G113" s="275">
        <v>16.2088974854932</v>
      </c>
      <c r="H113" s="275">
        <v>7.3067484662576696</v>
      </c>
      <c r="I113" s="275">
        <v>3.6027241770715102</v>
      </c>
      <c r="J113" s="275">
        <v>2.6620959843290901</v>
      </c>
    </row>
    <row r="114" spans="1:10" s="252" customFormat="1" ht="12.75">
      <c r="A114" s="272"/>
      <c r="B114" s="275"/>
      <c r="C114" s="275"/>
      <c r="D114" s="275"/>
      <c r="E114" s="275"/>
      <c r="F114" s="275"/>
      <c r="G114" s="275"/>
      <c r="H114" s="275"/>
      <c r="I114" s="275"/>
      <c r="J114" s="275"/>
    </row>
    <row r="115" spans="1:10" s="252" customFormat="1" ht="12.6" customHeight="1">
      <c r="A115" s="287" t="s">
        <v>74</v>
      </c>
      <c r="B115" s="288" t="str">
        <f t="shared" ref="B115:J115" si="55">B11</f>
        <v>Dec '20</v>
      </c>
      <c r="C115" s="288" t="str">
        <f t="shared" si="55"/>
        <v>Dec '19</v>
      </c>
      <c r="D115" s="288" t="str">
        <f t="shared" si="55"/>
        <v>Dec '18</v>
      </c>
      <c r="E115" s="288" t="str">
        <f t="shared" si="55"/>
        <v>Dec '17</v>
      </c>
      <c r="F115" s="288" t="str">
        <f t="shared" si="55"/>
        <v>Dec '16</v>
      </c>
      <c r="G115" s="288" t="str">
        <f t="shared" si="55"/>
        <v>Dec '15</v>
      </c>
      <c r="H115" s="288" t="str">
        <f t="shared" si="55"/>
        <v>Dec '14</v>
      </c>
      <c r="I115" s="288" t="str">
        <f t="shared" si="55"/>
        <v>Dec '13</v>
      </c>
      <c r="J115" s="288" t="str">
        <f t="shared" si="55"/>
        <v>Dec '12</v>
      </c>
    </row>
    <row r="116" spans="1:10" s="252" customFormat="1" ht="12.75">
      <c r="A116" s="252" t="str">
        <f t="shared" ref="A116:I116" si="56">A175</f>
        <v>Sales</v>
      </c>
      <c r="B116" s="281">
        <f t="shared" si="56"/>
        <v>17095</v>
      </c>
      <c r="C116" s="281">
        <f t="shared" si="56"/>
        <v>47006</v>
      </c>
      <c r="D116" s="281">
        <f t="shared" si="56"/>
        <v>44441</v>
      </c>
      <c r="E116" s="281">
        <f t="shared" si="56"/>
        <v>41128</v>
      </c>
      <c r="F116" s="281">
        <f t="shared" si="56"/>
        <v>39602</v>
      </c>
      <c r="G116" s="281">
        <f t="shared" si="56"/>
        <v>40506</v>
      </c>
      <c r="H116" s="281">
        <f t="shared" si="56"/>
        <v>40204</v>
      </c>
      <c r="I116" s="281">
        <f t="shared" si="56"/>
        <v>37638</v>
      </c>
      <c r="J116" s="281"/>
    </row>
    <row r="117" spans="1:10" s="252" customFormat="1" ht="12.75">
      <c r="A117" s="252" t="s">
        <v>592</v>
      </c>
      <c r="B117" s="1069">
        <f>'DAL-US IS-adj'!C9*1000</f>
        <v>23631</v>
      </c>
      <c r="C117" s="1069">
        <f>'DAL-US IS-adj'!D9*1000</f>
        <v>36584</v>
      </c>
      <c r="D117" s="1069">
        <f>'DAL-US IS-adj'!E9*1000</f>
        <v>35510</v>
      </c>
      <c r="E117" s="1069">
        <f>'DAL-US IS-adj'!F9*1000</f>
        <v>31013</v>
      </c>
      <c r="F117" s="1069">
        <f>'DAL-US IS-adj'!G9*1000</f>
        <v>28625</v>
      </c>
      <c r="G117" s="1069">
        <f>'DAL-US IS-adj'!H9*1000</f>
        <v>28456</v>
      </c>
      <c r="H117" s="1069">
        <f>'DAL-US IS-adj'!I9*1000</f>
        <v>31943</v>
      </c>
      <c r="I117" s="1069">
        <f>'DAL-US IS-adj'!J9*1000</f>
        <v>31341</v>
      </c>
      <c r="J117" s="1069"/>
    </row>
    <row r="118" spans="1:10" s="252" customFormat="1" ht="12.75">
      <c r="A118" s="252" t="s">
        <v>593</v>
      </c>
      <c r="B118" s="1069">
        <f>'DAL-US IS-adj'!C10*1000</f>
        <v>582</v>
      </c>
      <c r="C118" s="1069">
        <f>'DAL-US IS-adj'!D10*1000</f>
        <v>1993</v>
      </c>
      <c r="D118" s="1069">
        <f>'DAL-US IS-adj'!E10*1000</f>
        <v>1941</v>
      </c>
      <c r="E118" s="1069">
        <f>'DAL-US IS-adj'!F10*1000</f>
        <v>1787</v>
      </c>
      <c r="F118" s="1069">
        <f>'DAL-US IS-adj'!G10*1000</f>
        <v>1710</v>
      </c>
      <c r="G118" s="1069">
        <f>'DAL-US IS-adj'!H10*1000</f>
        <v>1672</v>
      </c>
      <c r="H118" s="1069">
        <f>'DAL-US IS-adj'!I10*1000</f>
        <v>1700</v>
      </c>
      <c r="I118" s="1069">
        <f>'DAL-US IS-adj'!J10*1000</f>
        <v>1603</v>
      </c>
      <c r="J118" s="1069"/>
    </row>
    <row r="119" spans="1:10" s="252" customFormat="1" ht="12.75">
      <c r="A119" s="252" t="s">
        <v>547</v>
      </c>
      <c r="B119" s="299">
        <f>IS!C15*1000</f>
        <v>23631</v>
      </c>
      <c r="C119" s="299">
        <f>IS!D15*1000</f>
        <v>36584</v>
      </c>
      <c r="D119" s="299">
        <f>IS!E15*1000</f>
        <v>35510</v>
      </c>
      <c r="E119" s="299">
        <f>IS!F15*1000</f>
        <v>31013</v>
      </c>
      <c r="F119" s="299">
        <f>IS!G15*1000</f>
        <v>28625</v>
      </c>
      <c r="G119" s="299">
        <f>IS!H15*1000</f>
        <v>28456</v>
      </c>
      <c r="H119" s="299">
        <f>IS!I15*1000</f>
        <v>31943</v>
      </c>
      <c r="I119" s="299">
        <f>IS!J15*1000</f>
        <v>31341</v>
      </c>
      <c r="J119" s="299"/>
    </row>
    <row r="120" spans="1:10" s="252" customFormat="1" ht="12.75">
      <c r="A120" s="252" t="s">
        <v>42</v>
      </c>
      <c r="B120" s="299">
        <f>IS!C17*1000</f>
        <v>582</v>
      </c>
      <c r="C120" s="299">
        <f>IS!D17*1000</f>
        <v>1993</v>
      </c>
      <c r="D120" s="299">
        <f>IS!E17*1000</f>
        <v>1941</v>
      </c>
      <c r="E120" s="299">
        <f>IS!F17*1000</f>
        <v>1787</v>
      </c>
      <c r="F120" s="299">
        <f>IS!G17*1000</f>
        <v>1710</v>
      </c>
      <c r="G120" s="299">
        <f>IS!H17*1000</f>
        <v>1672</v>
      </c>
      <c r="H120" s="299">
        <f>IS!I17*1000</f>
        <v>1700</v>
      </c>
      <c r="I120" s="299">
        <f>IS!J17*1000</f>
        <v>1603</v>
      </c>
      <c r="J120" s="299"/>
    </row>
    <row r="121" spans="1:10" s="252" customFormat="1" ht="12.75">
      <c r="A121" s="252" t="s">
        <v>410</v>
      </c>
      <c r="B121" s="300">
        <f t="array" ref="B121:J121">_xll.FDSR($B$9,"FF_NET_INC(ANN_R,"&amp;$B$7&amp;","&amp;$B$8&amp;")")</f>
        <v>-12385</v>
      </c>
      <c r="C121" s="268">
        <v>4767</v>
      </c>
      <c r="D121" s="268">
        <v>3935</v>
      </c>
      <c r="E121" s="268">
        <v>3205</v>
      </c>
      <c r="F121" s="268">
        <v>4373</v>
      </c>
      <c r="G121" s="268">
        <v>4526</v>
      </c>
      <c r="H121" s="268">
        <v>659</v>
      </c>
      <c r="I121" s="268">
        <v>10540</v>
      </c>
      <c r="J121" s="268">
        <v>1009</v>
      </c>
    </row>
    <row r="122" spans="1:10">
      <c r="A122" s="252" t="s">
        <v>594</v>
      </c>
      <c r="B122" s="299">
        <f t="array" ref="B122:I122">IFERROR(_xll.FDSR($B$9,"FF_INT_EXP_NET(ANN_R,"&amp;$B$7&amp;","&amp;$B$8&amp;")"),0)</f>
        <v>929</v>
      </c>
      <c r="C122" s="299">
        <v>301</v>
      </c>
      <c r="D122" s="252">
        <v>311</v>
      </c>
      <c r="E122" s="299">
        <v>396</v>
      </c>
      <c r="F122" s="299">
        <v>388</v>
      </c>
      <c r="G122" s="252">
        <v>481</v>
      </c>
      <c r="H122" s="299">
        <v>619</v>
      </c>
      <c r="I122" s="299">
        <v>852</v>
      </c>
      <c r="J122" s="299"/>
    </row>
    <row r="123" spans="1:10" s="252" customFormat="1" ht="12.75">
      <c r="A123" s="252" t="s">
        <v>465</v>
      </c>
      <c r="B123" s="301">
        <v>0.21</v>
      </c>
      <c r="C123" s="302">
        <v>0.245</v>
      </c>
      <c r="D123" s="302">
        <v>0.35</v>
      </c>
      <c r="E123" s="302">
        <v>0.35</v>
      </c>
      <c r="F123" s="302">
        <v>0.35</v>
      </c>
      <c r="G123" s="302">
        <v>0.35</v>
      </c>
      <c r="H123" s="302">
        <v>0.35</v>
      </c>
      <c r="I123" s="302">
        <v>0.35</v>
      </c>
      <c r="J123" s="302"/>
    </row>
    <row r="124" spans="1:10" s="252" customFormat="1" ht="12.75">
      <c r="A124" s="282" t="s">
        <v>461</v>
      </c>
      <c r="B124" s="1071">
        <f>'DAL-US IS-adj'!C14*1000</f>
        <v>-5713.3700000000008</v>
      </c>
      <c r="C124" s="1071">
        <f>'DAL-US IS-adj'!D14*1000</f>
        <v>5770.8799999999983</v>
      </c>
      <c r="D124" s="1071">
        <f>'DAL-US IS-adj'!E14*1000</f>
        <v>4742.0900000000038</v>
      </c>
      <c r="E124" s="1071">
        <f>'DAL-US IS-adj'!F14*1000</f>
        <v>5706.98</v>
      </c>
      <c r="F124" s="1071">
        <f>'DAL-US IS-adj'!G14*1000</f>
        <v>6304.0899999999965</v>
      </c>
      <c r="G124" s="1071">
        <f>'DAL-US IS-adj'!H14*1000</f>
        <v>7026.8700000000008</v>
      </c>
      <c r="H124" s="1071">
        <f>'DAL-US IS-adj'!I14*1000</f>
        <v>4218.8199999999988</v>
      </c>
      <c r="I124" s="1071">
        <f>'DAL-US IS-adj'!J14*1000</f>
        <v>2727.8199999999983</v>
      </c>
      <c r="J124" s="303"/>
    </row>
    <row r="125" spans="1:10" s="252" customFormat="1" ht="12.75">
      <c r="A125" s="252" t="s">
        <v>595</v>
      </c>
      <c r="B125" s="632">
        <f>(B116-B119)/B116</f>
        <v>-0.38233401579409182</v>
      </c>
      <c r="C125" s="632">
        <f t="shared" ref="C125:I125" si="57">(C116-C117)/C116</f>
        <v>0.22171637663277027</v>
      </c>
      <c r="D125" s="632">
        <f t="shared" si="57"/>
        <v>0.20096307463828447</v>
      </c>
      <c r="E125" s="632">
        <f t="shared" si="57"/>
        <v>0.24593950593269792</v>
      </c>
      <c r="F125" s="632">
        <f t="shared" si="57"/>
        <v>0.27718297055704255</v>
      </c>
      <c r="G125" s="632">
        <f t="shared" si="57"/>
        <v>0.29748679208018564</v>
      </c>
      <c r="H125" s="632">
        <f t="shared" si="57"/>
        <v>0.20547706695851159</v>
      </c>
      <c r="I125" s="632">
        <f t="shared" si="57"/>
        <v>0.16730432010202456</v>
      </c>
      <c r="J125" s="304"/>
    </row>
    <row r="126" spans="1:10" s="252" customFormat="1" ht="12.75">
      <c r="A126" s="252" t="s">
        <v>596</v>
      </c>
      <c r="B126" s="632">
        <f>(B116-B117)/B116</f>
        <v>-0.38233401579409182</v>
      </c>
      <c r="C126" s="632">
        <f t="shared" ref="C126:I126" si="58">(C116-C117)/C116</f>
        <v>0.22171637663277027</v>
      </c>
      <c r="D126" s="632">
        <f t="shared" si="58"/>
        <v>0.20096307463828447</v>
      </c>
      <c r="E126" s="632">
        <f t="shared" si="58"/>
        <v>0.24593950593269792</v>
      </c>
      <c r="F126" s="632">
        <f t="shared" si="58"/>
        <v>0.27718297055704255</v>
      </c>
      <c r="G126" s="632">
        <f t="shared" si="58"/>
        <v>0.29748679208018564</v>
      </c>
      <c r="H126" s="632">
        <f t="shared" si="58"/>
        <v>0.20547706695851159</v>
      </c>
      <c r="I126" s="632">
        <f t="shared" si="58"/>
        <v>0.16730432010202456</v>
      </c>
      <c r="J126" s="304"/>
    </row>
    <row r="127" spans="1:10" s="252" customFormat="1" ht="12.75">
      <c r="A127" s="252" t="s">
        <v>597</v>
      </c>
      <c r="B127" s="632">
        <f>(B116-B119)/(B120)</f>
        <v>-11.230240549828178</v>
      </c>
      <c r="C127" s="632">
        <f t="shared" ref="C127:I127" si="59">(C116-C119)/(C120)</f>
        <v>5.2293025589563475</v>
      </c>
      <c r="D127" s="632">
        <f t="shared" si="59"/>
        <v>4.6012364760432769</v>
      </c>
      <c r="E127" s="632">
        <f t="shared" si="59"/>
        <v>5.660324566312255</v>
      </c>
      <c r="F127" s="632">
        <f t="shared" si="59"/>
        <v>6.4192982456140353</v>
      </c>
      <c r="G127" s="632">
        <f t="shared" si="59"/>
        <v>7.2069377990430619</v>
      </c>
      <c r="H127" s="632">
        <f t="shared" si="59"/>
        <v>4.8594117647058823</v>
      </c>
      <c r="I127" s="632">
        <f t="shared" si="59"/>
        <v>3.9282595134123519</v>
      </c>
      <c r="J127" s="304"/>
    </row>
    <row r="128" spans="1:10" s="252" customFormat="1" ht="12.75">
      <c r="A128" s="252" t="s">
        <v>598</v>
      </c>
      <c r="B128" s="632">
        <f>(B116-B117)/(B118)</f>
        <v>-11.230240549828178</v>
      </c>
      <c r="C128" s="632">
        <f t="shared" ref="C128:I128" si="60">(C116-C117)/(C118)</f>
        <v>5.2293025589563475</v>
      </c>
      <c r="D128" s="632">
        <f t="shared" si="60"/>
        <v>4.6012364760432769</v>
      </c>
      <c r="E128" s="632">
        <f t="shared" si="60"/>
        <v>5.660324566312255</v>
      </c>
      <c r="F128" s="632">
        <f t="shared" si="60"/>
        <v>6.4192982456140353</v>
      </c>
      <c r="G128" s="632">
        <f t="shared" si="60"/>
        <v>7.2069377990430619</v>
      </c>
      <c r="H128" s="632">
        <f t="shared" si="60"/>
        <v>4.8594117647058823</v>
      </c>
      <c r="I128" s="632">
        <f t="shared" si="60"/>
        <v>3.9282595134123519</v>
      </c>
      <c r="J128" s="304"/>
    </row>
    <row r="129" spans="1:10" s="252" customFormat="1" ht="12.75">
      <c r="A129" s="252" t="s">
        <v>599</v>
      </c>
      <c r="B129" s="632">
        <f t="shared" ref="B129:I129" si="61">B121/B116</f>
        <v>-0.72448084235156474</v>
      </c>
      <c r="C129" s="632">
        <f t="shared" si="61"/>
        <v>0.10141258562736671</v>
      </c>
      <c r="D129" s="632">
        <f t="shared" si="61"/>
        <v>8.8544362188069575E-2</v>
      </c>
      <c r="E129" s="632">
        <f t="shared" si="61"/>
        <v>7.7927446022174676E-2</v>
      </c>
      <c r="F129" s="632">
        <f t="shared" si="61"/>
        <v>0.11042371597394071</v>
      </c>
      <c r="G129" s="632">
        <f t="shared" si="61"/>
        <v>0.11173653285932948</v>
      </c>
      <c r="H129" s="632">
        <f t="shared" si="61"/>
        <v>1.639140384041389E-2</v>
      </c>
      <c r="I129" s="632">
        <f t="shared" si="61"/>
        <v>0.28003613369467029</v>
      </c>
      <c r="J129" s="304"/>
    </row>
    <row r="130" spans="1:10" s="252" customFormat="1" ht="12.75">
      <c r="A130" s="252" t="s">
        <v>600</v>
      </c>
      <c r="B130" s="632">
        <f t="shared" ref="B130:I130" si="62">B124/B116</f>
        <v>-0.33421292775665407</v>
      </c>
      <c r="C130" s="632">
        <f t="shared" si="62"/>
        <v>0.12276900821171761</v>
      </c>
      <c r="D130" s="632">
        <f t="shared" si="62"/>
        <v>0.10670529466033626</v>
      </c>
      <c r="E130" s="632">
        <f t="shared" si="62"/>
        <v>0.13876142773779418</v>
      </c>
      <c r="F130" s="632">
        <f t="shared" si="62"/>
        <v>0.15918615221453453</v>
      </c>
      <c r="G130" s="632">
        <f t="shared" si="62"/>
        <v>0.17347726262775887</v>
      </c>
      <c r="H130" s="632">
        <f t="shared" si="62"/>
        <v>0.10493532981792854</v>
      </c>
      <c r="I130" s="632">
        <f t="shared" si="62"/>
        <v>7.2475158084914143E-2</v>
      </c>
      <c r="J130" s="304"/>
    </row>
    <row r="131" spans="1:10" s="252" customFormat="1" ht="12.75">
      <c r="A131" s="274" t="s">
        <v>543</v>
      </c>
      <c r="B131" s="304"/>
      <c r="C131" s="304"/>
      <c r="D131" s="304"/>
      <c r="E131" s="304"/>
      <c r="F131" s="304"/>
      <c r="G131" s="304"/>
      <c r="H131" s="304"/>
      <c r="I131" s="304"/>
      <c r="J131" s="304"/>
    </row>
    <row r="132" spans="1:10" s="252" customFormat="1" ht="12.75">
      <c r="A132" s="252" t="s">
        <v>595</v>
      </c>
      <c r="B132" s="1072">
        <f t="array" ref="B132:J132">_xll.FDSR($B$9,"FF_GROSS_MGN(ANN_R,"&amp;$B$7&amp;","&amp;$B$8&amp;")")</f>
        <v>-38.233401579409197</v>
      </c>
      <c r="C132" s="1072">
        <v>22.171637663277</v>
      </c>
      <c r="D132" s="1072">
        <v>20.096307463828399</v>
      </c>
      <c r="E132" s="1072">
        <v>23.0329702392531</v>
      </c>
      <c r="F132" s="1072">
        <v>27.718297055704301</v>
      </c>
      <c r="G132" s="1072">
        <v>29.748679208018601</v>
      </c>
      <c r="H132" s="1072">
        <v>20.5477066958512</v>
      </c>
      <c r="I132" s="1072">
        <v>16.730432010202499</v>
      </c>
      <c r="J132" s="1072">
        <v>16.0784848071944</v>
      </c>
    </row>
    <row r="133" spans="1:10" s="252" customFormat="1" ht="12.75">
      <c r="A133" s="252" t="s">
        <v>80</v>
      </c>
      <c r="B133" s="1072">
        <f t="array" ref="B133:J133">_xll.FDSR($B$9,"FF_NET_MGN(ANN_R,"&amp;$B$7&amp;","&amp;$B$8&amp;")")</f>
        <v>-72.4480842351565</v>
      </c>
      <c r="C133" s="1072">
        <v>10.1412585627367</v>
      </c>
      <c r="D133" s="1072">
        <v>8.8544362188069599</v>
      </c>
      <c r="E133" s="1072">
        <v>7.7927446022174696</v>
      </c>
      <c r="F133" s="1072">
        <v>11.0423715973941</v>
      </c>
      <c r="G133" s="1072">
        <v>11.1736532859329</v>
      </c>
      <c r="H133" s="1072">
        <v>1.6391403840413901</v>
      </c>
      <c r="I133" s="1072">
        <v>28.003613369467001</v>
      </c>
      <c r="J133" s="1072">
        <v>2.7496934187219</v>
      </c>
    </row>
    <row r="134" spans="1:10" s="252" customFormat="1" ht="12.75">
      <c r="B134" s="632"/>
      <c r="C134" s="304"/>
      <c r="D134" s="304"/>
      <c r="E134" s="304"/>
      <c r="F134" s="304"/>
      <c r="G134" s="304"/>
      <c r="H134" s="304"/>
      <c r="I134" s="304"/>
      <c r="J134" s="304"/>
    </row>
    <row r="135" spans="1:10" s="252" customFormat="1" ht="12.6" customHeight="1">
      <c r="A135" s="287" t="s">
        <v>601</v>
      </c>
      <c r="B135" s="288" t="str">
        <f t="shared" ref="B135:J135" si="63">B115</f>
        <v>Dec '20</v>
      </c>
      <c r="C135" s="288" t="str">
        <f t="shared" si="63"/>
        <v>Dec '19</v>
      </c>
      <c r="D135" s="288" t="str">
        <f t="shared" si="63"/>
        <v>Dec '18</v>
      </c>
      <c r="E135" s="288" t="str">
        <f t="shared" si="63"/>
        <v>Dec '17</v>
      </c>
      <c r="F135" s="288" t="str">
        <f t="shared" si="63"/>
        <v>Dec '16</v>
      </c>
      <c r="G135" s="288" t="str">
        <f t="shared" si="63"/>
        <v>Dec '15</v>
      </c>
      <c r="H135" s="288" t="str">
        <f t="shared" si="63"/>
        <v>Dec '14</v>
      </c>
      <c r="I135" s="288" t="str">
        <f t="shared" si="63"/>
        <v>Dec '13</v>
      </c>
      <c r="J135" s="288" t="str">
        <f t="shared" si="63"/>
        <v>Dec '12</v>
      </c>
    </row>
    <row r="136" spans="1:10" s="252" customFormat="1" ht="12.75">
      <c r="A136" s="252" t="str" cm="1">
        <f t="array" ref="A136">_xll.FDSR(B9,"FORMULA_DESCRIPTION(""FF_EBIT_OPER"")")</f>
        <v>EBIT</v>
      </c>
      <c r="B136" s="281">
        <f t="array" ref="B136:J136">_xll.FDSR(B9,"FF_EBIT_OPER(ANN_R,"&amp;B7&amp;","&amp;B8&amp;")")</f>
        <v>-8281</v>
      </c>
      <c r="C136" s="281">
        <v>6658</v>
      </c>
      <c r="D136" s="281">
        <v>5267</v>
      </c>
      <c r="E136" s="281">
        <v>6037</v>
      </c>
      <c r="F136" s="281">
        <v>7281</v>
      </c>
      <c r="G136" s="281">
        <v>8380</v>
      </c>
      <c r="H136" s="281">
        <v>4764</v>
      </c>
      <c r="I136" s="281">
        <v>3174</v>
      </c>
      <c r="J136" s="281">
        <v>2718</v>
      </c>
    </row>
    <row r="137" spans="1:10" s="252" customFormat="1" ht="12.75">
      <c r="A137" s="252" t="s">
        <v>602</v>
      </c>
      <c r="B137" s="281">
        <f>'DAL-US IS-adj'!C11*1000</f>
        <v>-7118.0000000000009</v>
      </c>
      <c r="C137" s="281">
        <f>'DAL-US IS-adj'!D11*1000</f>
        <v>8428.9999999999964</v>
      </c>
      <c r="D137" s="281">
        <f>'DAL-US IS-adj'!E11*1000</f>
        <v>6990.0000000000045</v>
      </c>
      <c r="E137" s="281">
        <f>'DAL-US IS-adj'!F11*1000</f>
        <v>8434.0000000000018</v>
      </c>
      <c r="F137" s="281">
        <f>'DAL-US IS-adj'!G11*1000</f>
        <v>9266.9999999999964</v>
      </c>
      <c r="G137" s="281">
        <f>'DAL-US IS-adj'!H11*1000</f>
        <v>10378</v>
      </c>
      <c r="H137" s="281">
        <f>'DAL-US IS-adj'!I11*1000</f>
        <v>6560.9999999999991</v>
      </c>
      <c r="I137" s="281">
        <f>'DAL-US IS-adj'!J11*1000</f>
        <v>4693.9999999999973</v>
      </c>
      <c r="J137" s="281">
        <f>'DAL-US IS-adj'!K11*1000</f>
        <v>4309.9999999999991</v>
      </c>
    </row>
    <row r="138" spans="1:10" s="252" customFormat="1" ht="12.75">
      <c r="A138" s="252" t="str">
        <f t="shared" ref="A138:I138" si="64">A122</f>
        <v>Interest Expenses</v>
      </c>
      <c r="B138" s="281">
        <f t="shared" si="64"/>
        <v>929</v>
      </c>
      <c r="C138" s="281">
        <f t="shared" si="64"/>
        <v>301</v>
      </c>
      <c r="D138" s="281">
        <f t="shared" si="64"/>
        <v>311</v>
      </c>
      <c r="E138" s="281">
        <f t="shared" si="64"/>
        <v>396</v>
      </c>
      <c r="F138" s="281">
        <f t="shared" si="64"/>
        <v>388</v>
      </c>
      <c r="G138" s="281">
        <f t="shared" si="64"/>
        <v>481</v>
      </c>
      <c r="H138" s="281">
        <f t="shared" si="64"/>
        <v>619</v>
      </c>
      <c r="I138" s="281">
        <f t="shared" si="64"/>
        <v>852</v>
      </c>
      <c r="J138" s="281"/>
    </row>
    <row r="139" spans="1:10" s="252" customFormat="1" ht="12.75">
      <c r="A139" s="252" t="str">
        <f t="shared" ref="A139:I139" si="65">A123</f>
        <v>Marginal tax rate</v>
      </c>
      <c r="B139" s="305">
        <f t="shared" si="65"/>
        <v>0.21</v>
      </c>
      <c r="C139" s="305">
        <f t="shared" si="65"/>
        <v>0.245</v>
      </c>
      <c r="D139" s="305">
        <f t="shared" si="65"/>
        <v>0.35</v>
      </c>
      <c r="E139" s="305">
        <f t="shared" si="65"/>
        <v>0.35</v>
      </c>
      <c r="F139" s="305">
        <f t="shared" si="65"/>
        <v>0.35</v>
      </c>
      <c r="G139" s="305">
        <f t="shared" si="65"/>
        <v>0.35</v>
      </c>
      <c r="H139" s="305">
        <f t="shared" si="65"/>
        <v>0.35</v>
      </c>
      <c r="I139" s="305">
        <f t="shared" si="65"/>
        <v>0.35</v>
      </c>
      <c r="J139" s="305"/>
    </row>
    <row r="140" spans="1:10" s="252" customFormat="1" ht="12.75">
      <c r="A140" s="252" t="str" cm="1">
        <f t="array" ref="A140">_xll.FDSR(B9,"FORMULA_DESCRIPTION(""FF_NET_INC"")")</f>
        <v>Net Income</v>
      </c>
      <c r="B140" s="281">
        <f t="array" ref="B140:J140">_xll.FDSR(B9,"FF_NET_INC(ANN_R,"&amp;B7&amp;","&amp;B8&amp;")")</f>
        <v>-12385</v>
      </c>
      <c r="C140" s="281">
        <v>4767</v>
      </c>
      <c r="D140" s="281">
        <v>3935</v>
      </c>
      <c r="E140" s="281">
        <v>3205</v>
      </c>
      <c r="F140" s="281">
        <v>4373</v>
      </c>
      <c r="G140" s="281">
        <v>4526</v>
      </c>
      <c r="H140" s="281">
        <v>659</v>
      </c>
      <c r="I140" s="281">
        <v>10540</v>
      </c>
      <c r="J140" s="281">
        <v>1009</v>
      </c>
    </row>
    <row r="141" spans="1:10" s="252" customFormat="1" ht="12.75">
      <c r="A141" s="267" t="s">
        <v>603</v>
      </c>
      <c r="B141" s="281">
        <f>'DAL-US IS-adj'!C14*1000</f>
        <v>-5713.3700000000008</v>
      </c>
      <c r="C141" s="281">
        <f>'DAL-US IS-adj'!D14*1000</f>
        <v>5770.8799999999983</v>
      </c>
      <c r="D141" s="281">
        <f>'DAL-US IS-adj'!E14*1000</f>
        <v>4742.0900000000038</v>
      </c>
      <c r="E141" s="281">
        <f>'DAL-US IS-adj'!F14*1000</f>
        <v>5706.98</v>
      </c>
      <c r="F141" s="281">
        <f>'DAL-US IS-adj'!G14*1000</f>
        <v>6304.0899999999965</v>
      </c>
      <c r="G141" s="281">
        <f>'DAL-US IS-adj'!H14*1000</f>
        <v>7026.8700000000008</v>
      </c>
      <c r="H141" s="281">
        <f>'DAL-US IS-adj'!I14*1000</f>
        <v>4218.8199999999988</v>
      </c>
      <c r="I141" s="281">
        <f>'DAL-US IS-adj'!J14*1000</f>
        <v>2727.8199999999983</v>
      </c>
      <c r="J141" s="281">
        <f>'DAL-US IS-adj'!K14*1000</f>
        <v>2350.0999999999995</v>
      </c>
    </row>
    <row r="142" spans="1:10" s="252" customFormat="1" ht="12.75">
      <c r="A142" s="252" t="str">
        <f>'DAL-US R&amp;D'!A48&amp;" R&amp;D"</f>
        <v>R&amp;D Adjustment to operating income R&amp;D</v>
      </c>
      <c r="B142" s="281">
        <f>'DAL-US R&amp;D'!C48*1000</f>
        <v>0</v>
      </c>
      <c r="C142" s="281">
        <f>'DAL-US R&amp;D'!D48*1000</f>
        <v>0</v>
      </c>
      <c r="D142" s="281">
        <f>'DAL-US R&amp;D'!E48*1000</f>
        <v>0</v>
      </c>
      <c r="E142" s="281">
        <f>'DAL-US R&amp;D'!F48*1000</f>
        <v>0</v>
      </c>
      <c r="F142" s="281">
        <f>'DAL-US R&amp;D'!G48*1000</f>
        <v>0</v>
      </c>
      <c r="G142" s="281">
        <f>'DAL-US R&amp;D'!H48*1000</f>
        <v>0</v>
      </c>
      <c r="H142" s="281">
        <f>'DAL-US R&amp;D'!I48*1000</f>
        <v>0</v>
      </c>
      <c r="I142" s="281">
        <f>'DAL-US R&amp;D'!J48*1000</f>
        <v>0</v>
      </c>
      <c r="J142" s="281"/>
    </row>
    <row r="143" spans="1:10" s="252" customFormat="1" ht="12.75">
      <c r="A143" s="252" t="str">
        <f>'DAL-US Lease'!B32</f>
        <v>Adjustment to operating earnings leases</v>
      </c>
      <c r="B143" s="306">
        <f>'DAL-US Lease'!C32*1000</f>
        <v>0</v>
      </c>
      <c r="C143" s="306">
        <f>'DAL-US Lease'!D32*1000</f>
        <v>0</v>
      </c>
      <c r="D143" s="306">
        <f>'DAL-US Lease'!E32*1000</f>
        <v>0</v>
      </c>
      <c r="E143" s="306">
        <f>'DAL-US Lease'!F32*1000</f>
        <v>0</v>
      </c>
      <c r="F143" s="306">
        <f>'DAL-US Lease'!G32*1000</f>
        <v>0</v>
      </c>
      <c r="G143" s="306">
        <f>'DAL-US Lease'!H32*1000</f>
        <v>0</v>
      </c>
      <c r="H143" s="306">
        <f>'DAL-US Lease'!I32*1000</f>
        <v>0</v>
      </c>
      <c r="I143" s="306">
        <f>'DAL-US Lease'!J32*1000</f>
        <v>0</v>
      </c>
      <c r="J143" s="306"/>
    </row>
    <row r="144" spans="1:10" s="252" customFormat="1" ht="12.75">
      <c r="A144" s="252" t="str">
        <f>'DAL-US R&amp;D'!A34</f>
        <v>Value of Research Asset</v>
      </c>
      <c r="B144" s="281">
        <f>'DAL-US R&amp;D'!C34*1000</f>
        <v>0</v>
      </c>
      <c r="C144" s="281">
        <f>'DAL-US R&amp;D'!D34*1000</f>
        <v>0</v>
      </c>
      <c r="D144" s="281">
        <f>'DAL-US R&amp;D'!E34*1000</f>
        <v>0</v>
      </c>
      <c r="E144" s="281">
        <f>'DAL-US R&amp;D'!F34*1000</f>
        <v>0</v>
      </c>
      <c r="F144" s="281">
        <f>'DAL-US R&amp;D'!G34*1000</f>
        <v>0</v>
      </c>
      <c r="G144" s="281">
        <f>'DAL-US R&amp;D'!H34*1000</f>
        <v>0</v>
      </c>
      <c r="H144" s="281">
        <f>'DAL-US R&amp;D'!I34*1000</f>
        <v>0</v>
      </c>
      <c r="I144" s="281">
        <f>'DAL-US R&amp;D'!J34*1000</f>
        <v>0</v>
      </c>
      <c r="J144" s="281"/>
    </row>
    <row r="145" spans="1:10" s="252" customFormat="1" ht="12.75">
      <c r="A145" s="252" t="str">
        <f>'DAL-US Lease'!B27</f>
        <v>Debt value of leases</v>
      </c>
      <c r="B145" s="1073">
        <f>'DAL-US Lease'!C27</f>
        <v>0</v>
      </c>
      <c r="C145" s="281">
        <f>'DAL-US Lease'!D27</f>
        <v>0</v>
      </c>
      <c r="D145" s="281">
        <f>'DAL-US Lease'!E27</f>
        <v>0</v>
      </c>
      <c r="E145" s="281">
        <f>'DAL-US Lease'!F27</f>
        <v>0</v>
      </c>
      <c r="F145" s="281">
        <f>'DAL-US Lease'!G27</f>
        <v>0</v>
      </c>
      <c r="G145" s="281">
        <f>'DAL-US Lease'!H27</f>
        <v>0</v>
      </c>
      <c r="H145" s="281">
        <f>'DAL-US Lease'!I27</f>
        <v>0</v>
      </c>
      <c r="I145" s="281">
        <f>'DAL-US Lease'!J27</f>
        <v>0</v>
      </c>
      <c r="J145" s="281"/>
    </row>
    <row r="146" spans="1:10" s="252" customFormat="1" ht="12.75">
      <c r="A146" s="267" t="str" cm="1">
        <f t="array" ref="A146">_xll.FDSR(B9,"FORMULA_DESCRIPTION(""FF_ASSETS"")")</f>
        <v>Total Assets</v>
      </c>
      <c r="B146" s="281">
        <f t="array" ref="B146:J146">_xll.FDSR(B9,"FF_ASSETS(ANN_R,"&amp;B7&amp;","&amp;B8&amp;")")</f>
        <v>71996</v>
      </c>
      <c r="C146" s="281">
        <v>64532</v>
      </c>
      <c r="D146" s="281">
        <v>60266</v>
      </c>
      <c r="E146" s="281">
        <v>53671</v>
      </c>
      <c r="F146" s="281">
        <v>58899</v>
      </c>
      <c r="G146" s="281">
        <v>60634</v>
      </c>
      <c r="H146" s="281">
        <v>54121</v>
      </c>
      <c r="I146" s="281">
        <v>59394</v>
      </c>
      <c r="J146" s="281">
        <v>44550</v>
      </c>
    </row>
    <row r="147" spans="1:10" s="252" customFormat="1" ht="12.75">
      <c r="A147" s="252" t="str" cm="1">
        <f t="array" ref="A147">_xll.FDSR(B9,"FORMULA_DESCRIPTION(""FF_SHLDRS_EQ"")")</f>
        <v>Total Shareholders' Equity</v>
      </c>
      <c r="B147" s="281">
        <f t="array" ref="B147:J147">_xll.FDSR(B9,"FF_SHLDRS_EQ(ANN_R,"&amp;B7&amp;","&amp;B8&amp;")")</f>
        <v>1534</v>
      </c>
      <c r="C147" s="281">
        <v>15358</v>
      </c>
      <c r="D147" s="281">
        <v>13687</v>
      </c>
      <c r="E147" s="281">
        <v>12530</v>
      </c>
      <c r="F147" s="281">
        <v>12287</v>
      </c>
      <c r="G147" s="281">
        <v>10850</v>
      </c>
      <c r="H147" s="281">
        <v>8813</v>
      </c>
      <c r="I147" s="281">
        <v>11643</v>
      </c>
      <c r="J147" s="281">
        <v>-2131</v>
      </c>
    </row>
    <row r="148" spans="1:10" s="252" customFormat="1" ht="12.75">
      <c r="A148" s="252" t="str" cm="1">
        <f t="array" ref="A148">_xll.FDSR(B9,"FORMULA_DESCRIPTION(""FF_DEBT_LT"")")</f>
        <v>Long-Term Debt</v>
      </c>
      <c r="B148" s="281">
        <f t="array" ref="B148:J148">_xll.FDSR(B9,"FF_DEBT_LT(ANN_R,"&amp;B7&amp;","&amp;B8&amp;")")</f>
        <v>33138</v>
      </c>
      <c r="C148" s="281">
        <v>14167</v>
      </c>
      <c r="D148" s="281">
        <v>14054</v>
      </c>
      <c r="E148" s="281">
        <v>6592</v>
      </c>
      <c r="F148" s="281">
        <v>6201</v>
      </c>
      <c r="G148" s="281">
        <v>6766</v>
      </c>
      <c r="H148" s="281">
        <v>8561</v>
      </c>
      <c r="I148" s="281">
        <v>9795</v>
      </c>
      <c r="J148" s="281">
        <v>11082</v>
      </c>
    </row>
    <row r="149" spans="1:10" s="252" customFormat="1" ht="12.75">
      <c r="A149" s="252" t="str" cm="1">
        <f t="array" ref="A149">_xll.FDSR(B9,"FORMULA_DESCRIPTION(""FF_DEBT_ST"")")</f>
        <v>Short-Term Debt (incl. Current Portion of LTD)</v>
      </c>
      <c r="B149" s="281">
        <f t="array" ref="B149:J149">_xll.FDSR(B9,"FF_DEBT_ST(ANN_R,"&amp;B7&amp;","&amp;B8&amp;")")</f>
        <v>2410</v>
      </c>
      <c r="C149" s="281">
        <v>3088</v>
      </c>
      <c r="D149" s="281">
        <v>2473</v>
      </c>
      <c r="E149" s="281">
        <v>2242</v>
      </c>
      <c r="F149" s="281">
        <v>1131</v>
      </c>
      <c r="G149" s="281">
        <v>1563</v>
      </c>
      <c r="H149" s="281">
        <v>1216</v>
      </c>
      <c r="I149" s="281">
        <v>1547</v>
      </c>
      <c r="J149" s="281">
        <v>1627</v>
      </c>
    </row>
    <row r="150" spans="1:10" s="252" customFormat="1" ht="12.75">
      <c r="A150" s="282" t="str" cm="1">
        <f t="array" ref="A150">_xll.FDSR(B9,"FORMULA_DESCRIPTION(""FF_CASH_ST"")")</f>
        <v>Cash &amp; Short Term Investments</v>
      </c>
      <c r="B150" s="283">
        <f t="array" ref="B150:J150">_xll.FDSR(B9,"FF_CASH_ST(ANN_R,"&amp;B7&amp;","&amp;B8&amp;")")</f>
        <v>14288</v>
      </c>
      <c r="C150" s="283">
        <v>3094</v>
      </c>
      <c r="D150" s="283">
        <v>1815</v>
      </c>
      <c r="E150" s="283">
        <v>2639</v>
      </c>
      <c r="F150" s="283">
        <v>3642</v>
      </c>
      <c r="G150" s="283">
        <v>5424</v>
      </c>
      <c r="H150" s="283">
        <v>4383</v>
      </c>
      <c r="I150" s="307">
        <v>3925</v>
      </c>
      <c r="J150" s="307">
        <v>3749</v>
      </c>
    </row>
    <row r="151" spans="1:10" s="252" customFormat="1" ht="12.75">
      <c r="A151" s="308" t="s">
        <v>601</v>
      </c>
      <c r="B151" s="309"/>
      <c r="C151" s="309"/>
      <c r="D151" s="309"/>
      <c r="E151" s="309"/>
      <c r="F151" s="309"/>
      <c r="G151" s="309"/>
      <c r="H151" s="309"/>
      <c r="I151" s="310"/>
      <c r="J151" s="310"/>
    </row>
    <row r="152" spans="1:10" s="252" customFormat="1" ht="12.75">
      <c r="A152" s="279" t="s">
        <v>81</v>
      </c>
      <c r="B152" s="311">
        <f t="shared" ref="B152:I152" si="66">B136*(1-B139)/AVERAGE(B146:C146)</f>
        <v>-9.583367514356031E-2</v>
      </c>
      <c r="C152" s="311">
        <f t="shared" si="66"/>
        <v>8.0558823058061821E-2</v>
      </c>
      <c r="D152" s="311">
        <f t="shared" si="66"/>
        <v>6.0095491368036727E-2</v>
      </c>
      <c r="E152" s="311">
        <f t="shared" si="66"/>
        <v>6.971750910544551E-2</v>
      </c>
      <c r="F152" s="311">
        <f t="shared" si="66"/>
        <v>7.9185664209883475E-2</v>
      </c>
      <c r="G152" s="311">
        <f t="shared" si="66"/>
        <v>9.4932682671779012E-2</v>
      </c>
      <c r="H152" s="311">
        <f t="shared" si="66"/>
        <v>5.4558428401532834E-2</v>
      </c>
      <c r="I152" s="311">
        <f t="shared" si="66"/>
        <v>3.9696374971138301E-2</v>
      </c>
      <c r="J152" s="311"/>
    </row>
    <row r="153" spans="1:10" s="252" customFormat="1" ht="12.75">
      <c r="A153" s="279" t="s">
        <v>604</v>
      </c>
      <c r="B153" s="311">
        <f t="shared" ref="B153:I153" si="67">B136/AVERAGE(B146:C146)</f>
        <v>-0.1213084495488105</v>
      </c>
      <c r="C153" s="311">
        <f t="shared" si="67"/>
        <v>0.10670042789147262</v>
      </c>
      <c r="D153" s="311">
        <f t="shared" si="67"/>
        <v>9.2454602104671879E-2</v>
      </c>
      <c r="E153" s="311">
        <f t="shared" si="67"/>
        <v>0.10725770631607</v>
      </c>
      <c r="F153" s="311">
        <f t="shared" si="67"/>
        <v>0.12182409878443609</v>
      </c>
      <c r="G153" s="311">
        <f t="shared" si="67"/>
        <v>0.14605028103350617</v>
      </c>
      <c r="H153" s="311">
        <f t="shared" si="67"/>
        <v>8.393604369466591E-2</v>
      </c>
      <c r="I153" s="311">
        <f t="shared" si="67"/>
        <v>6.1071346109443543E-2</v>
      </c>
      <c r="J153" s="311"/>
    </row>
    <row r="154" spans="1:10" s="252" customFormat="1" ht="12.75">
      <c r="A154" s="279" t="s">
        <v>82</v>
      </c>
      <c r="B154" s="311">
        <f>B140/AVERAGE(B147:C147)</f>
        <v>-1.4663746152024626</v>
      </c>
      <c r="C154" s="311">
        <f t="shared" ref="C154:I154" si="68">C140/AVERAGE(C147:D147)</f>
        <v>0.32824926837665691</v>
      </c>
      <c r="D154" s="311">
        <f t="shared" si="68"/>
        <v>0.3001869016287142</v>
      </c>
      <c r="E154" s="311">
        <f t="shared" si="68"/>
        <v>0.25829068783495185</v>
      </c>
      <c r="F154" s="311">
        <f t="shared" si="68"/>
        <v>0.37800924925444096</v>
      </c>
      <c r="G154" s="311">
        <f t="shared" si="68"/>
        <v>0.46035701571479426</v>
      </c>
      <c r="H154" s="311">
        <f t="shared" si="68"/>
        <v>6.4430973797418856E-2</v>
      </c>
      <c r="I154" s="311">
        <f t="shared" si="68"/>
        <v>2.2161480235492008</v>
      </c>
      <c r="J154" s="311"/>
    </row>
    <row r="155" spans="1:10" s="252" customFormat="1" ht="12.75">
      <c r="A155" s="284" t="s">
        <v>605</v>
      </c>
      <c r="B155" s="311">
        <f>B136*(1-B139)/(AVERAGE(B148:C148)+AVERAGE(B147:C147)-AVERAGE(B150:C150))</f>
        <v>-0.27948264445156468</v>
      </c>
      <c r="C155" s="311">
        <f t="shared" ref="C155:I155" si="69">C136*(1-C139)/(AVERAGE(C148:D148)+AVERAGE(C147:D147)-AVERAGE(C150:D150))</f>
        <v>0.19201978722997881</v>
      </c>
      <c r="D155" s="311">
        <f t="shared" si="69"/>
        <v>0.16145393666438729</v>
      </c>
      <c r="E155" s="311">
        <f t="shared" si="69"/>
        <v>0.25050592103163205</v>
      </c>
      <c r="F155" s="311">
        <f t="shared" si="69"/>
        <v>0.35007396996819296</v>
      </c>
      <c r="G155" s="311">
        <f t="shared" si="69"/>
        <v>0.43259341619346386</v>
      </c>
      <c r="H155" s="311">
        <f t="shared" si="69"/>
        <v>0.20302911093627066</v>
      </c>
      <c r="I155" s="311">
        <f t="shared" si="69"/>
        <v>0.18165089148139996</v>
      </c>
      <c r="J155" s="311"/>
    </row>
    <row r="156" spans="1:10" s="252" customFormat="1" ht="12.75">
      <c r="A156" s="284" t="s">
        <v>606</v>
      </c>
      <c r="B156" s="311">
        <f>B136*(1-B139)/(AVERAGE(B148:C148)+AVERAGE(B147:C147)-AVERAGE(B150:C150)+AVERAGE(B149:C149))</f>
        <v>-0.25010953300326882</v>
      </c>
      <c r="C156" s="311">
        <f t="shared" ref="C156:I156" si="70">C136*(1-C139)/(AVERAGE(C148:D148)+AVERAGE(C147:D147)-AVERAGE(C150:D150)+AVERAGE(C149:D149))</f>
        <v>0.17358299665043683</v>
      </c>
      <c r="D156" s="311">
        <f t="shared" si="70"/>
        <v>0.14529963500551737</v>
      </c>
      <c r="E156" s="311">
        <f t="shared" si="70"/>
        <v>0.22615699383320848</v>
      </c>
      <c r="F156" s="311">
        <f t="shared" si="70"/>
        <v>0.31835396206107902</v>
      </c>
      <c r="G156" s="311">
        <f t="shared" si="70"/>
        <v>0.38960017166154065</v>
      </c>
      <c r="H156" s="311">
        <f t="shared" si="70"/>
        <v>0.18616647127784292</v>
      </c>
      <c r="I156" s="311">
        <f t="shared" si="70"/>
        <v>0.15938043184364015</v>
      </c>
      <c r="J156" s="311"/>
    </row>
    <row r="157" spans="1:10" s="252" customFormat="1" ht="12.75">
      <c r="A157" s="279" t="s">
        <v>607</v>
      </c>
      <c r="B157" s="311">
        <f t="shared" ref="B157:I157" si="71">B137*(1-B139)/(AVERAGE(B146:C146)+AVERAGE(B144:C144)+AVERAGE(B145:C145))</f>
        <v>-8.237460447673739E-2</v>
      </c>
      <c r="C157" s="311">
        <f t="shared" si="71"/>
        <v>0.10198713120402567</v>
      </c>
      <c r="D157" s="311">
        <f t="shared" si="71"/>
        <v>7.9754601226993918E-2</v>
      </c>
      <c r="E157" s="311">
        <f t="shared" si="71"/>
        <v>9.7398951763347272E-2</v>
      </c>
      <c r="F157" s="311">
        <f t="shared" si="71"/>
        <v>0.10078472053742477</v>
      </c>
      <c r="G157" s="311">
        <f t="shared" si="71"/>
        <v>0.11756699054507429</v>
      </c>
      <c r="H157" s="311">
        <f t="shared" si="71"/>
        <v>7.5138087477425883E-2</v>
      </c>
      <c r="I157" s="311">
        <f t="shared" si="71"/>
        <v>5.8706611252212701E-2</v>
      </c>
      <c r="J157" s="311"/>
    </row>
    <row r="158" spans="1:10" s="252" customFormat="1" ht="12.75">
      <c r="A158" s="279" t="s">
        <v>608</v>
      </c>
      <c r="B158" s="311">
        <f t="shared" ref="B158:I158" si="72">(B137)/(AVERAGE(B144:C144)+AVERAGE(B145:C145)+AVERAGE(B146:C146))</f>
        <v>-0.10427165123637644</v>
      </c>
      <c r="C158" s="311">
        <f t="shared" si="72"/>
        <v>0.13508229298546445</v>
      </c>
      <c r="D158" s="311">
        <f t="shared" si="72"/>
        <v>0.12269938650306757</v>
      </c>
      <c r="E158" s="311">
        <f t="shared" si="72"/>
        <v>0.14984454117438042</v>
      </c>
      <c r="F158" s="311">
        <f t="shared" si="72"/>
        <v>0.15505341621142274</v>
      </c>
      <c r="G158" s="311">
        <f t="shared" si="72"/>
        <v>0.18087229314626813</v>
      </c>
      <c r="H158" s="311">
        <f t="shared" si="72"/>
        <v>0.11559705765757827</v>
      </c>
      <c r="I158" s="311">
        <f t="shared" si="72"/>
        <v>9.031786346494261E-2</v>
      </c>
      <c r="J158" s="311"/>
    </row>
    <row r="159" spans="1:10" s="252" customFormat="1" ht="12.75">
      <c r="A159" s="279" t="s">
        <v>609</v>
      </c>
      <c r="B159" s="311">
        <f t="shared" ref="B159:I159" si="73">B141/(AVERAGE(B147:C147)+AVERAGE(B144:C144))</f>
        <v>-0.67645867866445664</v>
      </c>
      <c r="C159" s="311">
        <f t="shared" si="73"/>
        <v>0.397375107591668</v>
      </c>
      <c r="D159" s="311">
        <f t="shared" si="73"/>
        <v>0.36175687530991368</v>
      </c>
      <c r="E159" s="311">
        <f t="shared" si="73"/>
        <v>0.45992505137607281</v>
      </c>
      <c r="F159" s="311">
        <f t="shared" si="73"/>
        <v>0.54493581708951</v>
      </c>
      <c r="G159" s="311">
        <f t="shared" si="73"/>
        <v>0.71473020393632725</v>
      </c>
      <c r="H159" s="311">
        <f t="shared" si="73"/>
        <v>0.41247751271020716</v>
      </c>
      <c r="I159" s="311">
        <f t="shared" si="73"/>
        <v>0.57355340622371709</v>
      </c>
      <c r="J159" s="311"/>
    </row>
    <row r="160" spans="1:10" s="252" customFormat="1" ht="12.75">
      <c r="A160" s="284" t="s">
        <v>610</v>
      </c>
      <c r="B160" s="311">
        <f t="shared" ref="B160:I160" si="74">(B137)*(1-B139)/(AVERAGE(B148:C148)+AVERAGE(B144:C144)+AVERAGE(B145:C145)+AVERAGE(B147:C147)-AVERAGE(B150:C150))</f>
        <v>-0.24023154971697111</v>
      </c>
      <c r="C160" s="311">
        <f t="shared" si="74"/>
        <v>0.24309624310025393</v>
      </c>
      <c r="D160" s="311">
        <f t="shared" si="74"/>
        <v>0.21427055577825474</v>
      </c>
      <c r="E160" s="311">
        <f t="shared" si="74"/>
        <v>0.34996967665741013</v>
      </c>
      <c r="F160" s="311">
        <f t="shared" si="74"/>
        <v>0.44556180190842498</v>
      </c>
      <c r="G160" s="311">
        <f t="shared" si="74"/>
        <v>0.53573442401620142</v>
      </c>
      <c r="H160" s="311">
        <f t="shared" si="74"/>
        <v>0.27961250983477576</v>
      </c>
      <c r="I160" s="311">
        <f t="shared" si="74"/>
        <v>0.26864186660796818</v>
      </c>
      <c r="J160" s="311"/>
    </row>
    <row r="161" spans="1:10" s="252" customFormat="1" ht="12.75">
      <c r="A161" s="284" t="s">
        <v>611</v>
      </c>
      <c r="B161" s="311">
        <f t="shared" ref="B161:I161" si="75">(B137)*(1-B139)/(AVERAGE(B148:C148)+AVERAGE(B144:C144)+AVERAGE(B145:C145)+AVERAGE(B147:C147)-AVERAGE(B150:C150)+AVERAGE(B149:C149))</f>
        <v>-0.21498365607019293</v>
      </c>
      <c r="C161" s="311">
        <f t="shared" si="75"/>
        <v>0.21975534376187014</v>
      </c>
      <c r="D161" s="311">
        <f t="shared" si="75"/>
        <v>0.19283167812579588</v>
      </c>
      <c r="E161" s="311">
        <f t="shared" si="75"/>
        <v>0.3159529710103165</v>
      </c>
      <c r="F161" s="311">
        <f t="shared" si="75"/>
        <v>0.40518969460513909</v>
      </c>
      <c r="G161" s="311">
        <f t="shared" si="75"/>
        <v>0.48249052285244259</v>
      </c>
      <c r="H161" s="311">
        <f t="shared" si="75"/>
        <v>0.25638921453692848</v>
      </c>
      <c r="I161" s="311">
        <f t="shared" si="75"/>
        <v>0.2357062845223839</v>
      </c>
      <c r="J161" s="311"/>
    </row>
    <row r="162" spans="1:10" s="252" customFormat="1" ht="12.75">
      <c r="A162" s="274" t="s">
        <v>543</v>
      </c>
      <c r="B162" s="309"/>
      <c r="C162" s="309"/>
      <c r="D162" s="309"/>
      <c r="E162" s="309"/>
      <c r="F162" s="309"/>
      <c r="G162" s="309"/>
      <c r="H162" s="309"/>
      <c r="I162" s="310"/>
      <c r="J162" s="310"/>
    </row>
    <row r="163" spans="1:10" s="252" customFormat="1" ht="12.75">
      <c r="A163" s="271" t="str" cm="1">
        <f t="array" ref="A163">_xll.FDSR($B$9,"FORMULA_DESCRIPTION(""FF_ROA"")")</f>
        <v>Return on Average Assets</v>
      </c>
      <c r="B163" s="275">
        <f t="array" ref="B163:J163">_xll.FDSR($B$9,"FF_ROA(ANN_R,"&amp;$B$7&amp;","&amp;$B$8&amp;")")</f>
        <v>-18.142798546818199</v>
      </c>
      <c r="C163" s="275">
        <v>7.6395455055369501</v>
      </c>
      <c r="D163" s="275">
        <v>6.9073259783915697</v>
      </c>
      <c r="E163" s="275">
        <v>5.6942346984098799</v>
      </c>
      <c r="F163" s="275">
        <v>7.3168079107861397</v>
      </c>
      <c r="G163" s="275">
        <v>7.8881094505686002</v>
      </c>
      <c r="H163" s="275">
        <v>1.1610800334757501</v>
      </c>
      <c r="I163" s="275">
        <v>20.2801508504579</v>
      </c>
      <c r="J163" s="275">
        <v>2.2919056434485299</v>
      </c>
    </row>
    <row r="164" spans="1:10" s="252" customFormat="1" ht="12.6" customHeight="1">
      <c r="A164" s="271" t="str" cm="1">
        <f t="array" ref="A164">_xll.FDSR($B$9,"FORMULA_DESCRIPTION(""FF_ROE"")")</f>
        <v>Return on Average Total Equity</v>
      </c>
      <c r="B164" s="275">
        <f t="array" ref="B164:J164">_xll.FDSR($B$9,"FF_ROE(ANN_R,"&amp;$B$7&amp;","&amp;$B$8&amp;")")</f>
        <v>-146.63746152024601</v>
      </c>
      <c r="C164" s="275">
        <v>32.8249268376657</v>
      </c>
      <c r="D164" s="275">
        <v>30.018690162871401</v>
      </c>
      <c r="E164" s="275">
        <v>25.829068783495199</v>
      </c>
      <c r="F164" s="275">
        <v>37.8009249254441</v>
      </c>
      <c r="G164" s="275">
        <v>46.0357015714794</v>
      </c>
      <c r="H164" s="275">
        <v>6.4430973797418902</v>
      </c>
      <c r="I164" s="275">
        <v>221.61480235491999</v>
      </c>
      <c r="J164" s="275" t="e">
        <v>#N/A</v>
      </c>
    </row>
    <row r="165" spans="1:10" s="252" customFormat="1" ht="12.75">
      <c r="A165" s="271" t="str" cm="1">
        <f t="array" ref="A165">_xll.FDSR($B$9,"FORMULA_DESCRIPTION(""FF_ROTC"")")</f>
        <v>Return on Average Total Capital</v>
      </c>
      <c r="B165" s="275">
        <f t="array" ref="B165:J165">_xll.FDSR($B$9,"FF_ROTC(ANN_R,"&amp;$B$7&amp;","&amp;$B$8&amp;")")</f>
        <v>-23.7635411435541</v>
      </c>
      <c r="C165" s="275">
        <v>21.1947092810416</v>
      </c>
      <c r="D165" s="275">
        <v>20.423436348830901</v>
      </c>
      <c r="E165" s="275">
        <v>29.460996022741099</v>
      </c>
      <c r="F165" s="275">
        <v>37.5328625186865</v>
      </c>
      <c r="G165" s="275">
        <v>44.375016547962602</v>
      </c>
      <c r="H165" s="275">
        <v>22.917618761274799</v>
      </c>
      <c r="I165" s="275">
        <v>18.913684712332</v>
      </c>
      <c r="J165" s="275">
        <v>23.6625603969878</v>
      </c>
    </row>
    <row r="166" spans="1:10" s="252" customFormat="1" ht="12.75">
      <c r="A166" s="271" t="str" cm="1">
        <f t="array" ref="A166">_xll.FDSR($B$9,"FORMULA_DESCRIPTION(""FF_ROIC"")")</f>
        <v>Return on Average Invested Capital</v>
      </c>
      <c r="B166" s="275">
        <f t="array" ref="B166:J166">_xll.FDSR($B$9,"FF_ROIC(ANN_R,"&amp;$B$7&amp;","&amp;$B$8&amp;")")</f>
        <v>-38.584357524494898</v>
      </c>
      <c r="C166" s="275">
        <v>16.648622219117801</v>
      </c>
      <c r="D166" s="275">
        <v>16.793632503254202</v>
      </c>
      <c r="E166" s="275">
        <v>17.043339537357099</v>
      </c>
      <c r="F166" s="275">
        <v>24.224462663416801</v>
      </c>
      <c r="G166" s="275">
        <v>25.870248642469299</v>
      </c>
      <c r="H166" s="275">
        <v>3.3958569514583101</v>
      </c>
      <c r="I166" s="275">
        <v>69.367205238737697</v>
      </c>
      <c r="J166" s="275">
        <v>10.400989588702201</v>
      </c>
    </row>
    <row r="167" spans="1:10" s="252" customFormat="1" ht="12.75">
      <c r="A167" s="284"/>
      <c r="B167" s="267"/>
      <c r="C167" s="267"/>
      <c r="D167" s="267"/>
      <c r="E167" s="267"/>
      <c r="F167" s="267"/>
      <c r="G167" s="267"/>
      <c r="H167" s="267"/>
      <c r="I167" s="268"/>
      <c r="J167" s="268"/>
    </row>
    <row r="168" spans="1:10" s="252" customFormat="1" ht="12.75">
      <c r="A168" s="287" t="s">
        <v>612</v>
      </c>
      <c r="B168" s="288" t="str">
        <f t="shared" ref="B168:J168" si="76">B11</f>
        <v>Dec '20</v>
      </c>
      <c r="C168" s="288" t="str">
        <f t="shared" si="76"/>
        <v>Dec '19</v>
      </c>
      <c r="D168" s="288" t="str">
        <f t="shared" si="76"/>
        <v>Dec '18</v>
      </c>
      <c r="E168" s="288" t="str">
        <f t="shared" si="76"/>
        <v>Dec '17</v>
      </c>
      <c r="F168" s="288" t="str">
        <f t="shared" si="76"/>
        <v>Dec '16</v>
      </c>
      <c r="G168" s="288" t="str">
        <f t="shared" si="76"/>
        <v>Dec '15</v>
      </c>
      <c r="H168" s="288" t="str">
        <f t="shared" si="76"/>
        <v>Dec '14</v>
      </c>
      <c r="I168" s="288" t="str">
        <f t="shared" si="76"/>
        <v>Dec '13</v>
      </c>
      <c r="J168" s="288" t="str">
        <f t="shared" si="76"/>
        <v>Dec '12</v>
      </c>
    </row>
    <row r="169" spans="1:10" s="252" customFormat="1" ht="12.75">
      <c r="A169" s="252" t="str" cm="1">
        <f t="array" ref="A169">_xll.FDSR(B9,"FORMULA_DESCRIPTION(""FF_NET_INC"")")</f>
        <v>Net Income</v>
      </c>
      <c r="B169" s="281">
        <f t="array" ref="B169:J169">_xll.FDSR(B9,"FF_NET_INC(ANN_R,"&amp;B7&amp;","&amp;B8&amp;",FY)")</f>
        <v>-12385</v>
      </c>
      <c r="C169" s="281">
        <v>4767</v>
      </c>
      <c r="D169" s="281">
        <v>3935</v>
      </c>
      <c r="E169" s="281">
        <v>3205</v>
      </c>
      <c r="F169" s="281">
        <v>4373</v>
      </c>
      <c r="G169" s="281">
        <v>4526</v>
      </c>
      <c r="H169" s="281">
        <v>659</v>
      </c>
      <c r="I169" s="281">
        <v>10540</v>
      </c>
      <c r="J169" s="281">
        <v>1009</v>
      </c>
    </row>
    <row r="170" spans="1:10" s="252" customFormat="1" ht="12.75">
      <c r="A170" s="252" t="s">
        <v>613</v>
      </c>
      <c r="B170" s="281">
        <f>'DAL-US IS-adj'!C14*1000</f>
        <v>-5713.3700000000008</v>
      </c>
      <c r="C170" s="281">
        <f>'DAL-US IS-adj'!D14*1000</f>
        <v>5770.8799999999983</v>
      </c>
      <c r="D170" s="281">
        <f>'DAL-US IS-adj'!E14*1000</f>
        <v>4742.0900000000038</v>
      </c>
      <c r="E170" s="281">
        <f>'DAL-US IS-adj'!F14*1000</f>
        <v>5706.98</v>
      </c>
      <c r="F170" s="281">
        <f>'DAL-US IS-adj'!G14*1000</f>
        <v>6304.0899999999965</v>
      </c>
      <c r="G170" s="281">
        <f>'DAL-US IS-adj'!H14*1000</f>
        <v>7026.8700000000008</v>
      </c>
      <c r="H170" s="281">
        <f>'DAL-US IS-adj'!I14*1000</f>
        <v>4218.8199999999988</v>
      </c>
      <c r="I170" s="281">
        <f>'DAL-US IS-adj'!J14*1000</f>
        <v>2727.8199999999983</v>
      </c>
      <c r="J170" s="281"/>
    </row>
    <row r="171" spans="1:10" s="252" customFormat="1" ht="12.75">
      <c r="A171" s="252" t="s">
        <v>614</v>
      </c>
      <c r="B171" s="281">
        <f t="array" ref="B171:J171">_xll.FDSR(B9,"FF_PTX_INC(ANN_R,"&amp;B7&amp;","&amp;B8&amp;")")</f>
        <v>-15587</v>
      </c>
      <c r="C171" s="281">
        <v>6198</v>
      </c>
      <c r="D171" s="281">
        <v>5151</v>
      </c>
      <c r="E171" s="281">
        <v>5500</v>
      </c>
      <c r="F171" s="281">
        <v>6636</v>
      </c>
      <c r="G171" s="281">
        <v>7157</v>
      </c>
      <c r="H171" s="281">
        <v>1072</v>
      </c>
      <c r="I171" s="281">
        <v>2527</v>
      </c>
      <c r="J171" s="281">
        <v>1025</v>
      </c>
    </row>
    <row r="172" spans="1:10" s="252" customFormat="1" ht="12.75">
      <c r="A172" s="252" t="s">
        <v>615</v>
      </c>
      <c r="B172" s="281">
        <f>B174-B103</f>
        <v>-9210</v>
      </c>
      <c r="C172" s="281">
        <f t="shared" ref="C172:I172" si="77">C174-C103</f>
        <v>6357</v>
      </c>
      <c r="D172" s="281">
        <f t="shared" si="77"/>
        <v>4956</v>
      </c>
      <c r="E172" s="281">
        <f t="shared" si="77"/>
        <v>5641</v>
      </c>
      <c r="F172" s="281">
        <f t="shared" si="77"/>
        <v>6893</v>
      </c>
      <c r="G172" s="281">
        <f t="shared" si="77"/>
        <v>7899</v>
      </c>
      <c r="H172" s="281">
        <f t="shared" si="77"/>
        <v>4145</v>
      </c>
      <c r="I172" s="281">
        <f t="shared" si="77"/>
        <v>2322</v>
      </c>
      <c r="J172" s="281"/>
    </row>
    <row r="173" spans="1:10" s="252" customFormat="1" ht="12.75">
      <c r="A173" s="252" t="str" cm="1">
        <f t="array" ref="A173">_xll.FDSR(B9,"FORMULA_DESCRIPTION(""FF_EBIT_OPER"")")</f>
        <v>EBIT</v>
      </c>
      <c r="B173" s="299">
        <f t="array" ref="B173:J173">_xll.FDSR(B9,"FF_EBIT_OPER(ANN_R,"&amp;B7&amp;","&amp;B8&amp;",FY)")</f>
        <v>-8281</v>
      </c>
      <c r="C173" s="281">
        <v>6658</v>
      </c>
      <c r="D173" s="281">
        <v>5267</v>
      </c>
      <c r="E173" s="281">
        <v>6037</v>
      </c>
      <c r="F173" s="281">
        <v>7281</v>
      </c>
      <c r="G173" s="281">
        <v>8380</v>
      </c>
      <c r="H173" s="281">
        <v>4764</v>
      </c>
      <c r="I173" s="281">
        <v>3174</v>
      </c>
      <c r="J173" s="281">
        <v>2718</v>
      </c>
    </row>
    <row r="174" spans="1:10" s="252" customFormat="1" ht="12.75">
      <c r="A174" s="252" t="s">
        <v>616</v>
      </c>
      <c r="B174" s="312">
        <f>B173+B101+B143</f>
        <v>-8281</v>
      </c>
      <c r="C174" s="312">
        <f t="shared" ref="C174:I174" si="78">C173+C101+C143</f>
        <v>6658</v>
      </c>
      <c r="D174" s="312">
        <f t="shared" si="78"/>
        <v>5267</v>
      </c>
      <c r="E174" s="312">
        <f t="shared" si="78"/>
        <v>6037</v>
      </c>
      <c r="F174" s="312">
        <f t="shared" si="78"/>
        <v>7281</v>
      </c>
      <c r="G174" s="312">
        <f t="shared" si="78"/>
        <v>8380</v>
      </c>
      <c r="H174" s="312">
        <f t="shared" si="78"/>
        <v>4764</v>
      </c>
      <c r="I174" s="312">
        <f t="shared" si="78"/>
        <v>3174</v>
      </c>
      <c r="J174" s="312"/>
    </row>
    <row r="175" spans="1:10" s="252" customFormat="1" ht="12.75">
      <c r="A175" s="252" t="str" cm="1">
        <f t="array" ref="A175">_xll.FDSR(B9,"FORMULA_DESCRIPTION(""FF_SALES"")")</f>
        <v>Sales</v>
      </c>
      <c r="B175" s="281">
        <f t="array" ref="B175:J175">_xll.FDSR(B9,"FF_SALES(ANN_R,"&amp;B7&amp;","&amp;B8&amp;",FY)")</f>
        <v>17095</v>
      </c>
      <c r="C175" s="281">
        <v>47006</v>
      </c>
      <c r="D175" s="281">
        <v>44441</v>
      </c>
      <c r="E175" s="281">
        <v>41128</v>
      </c>
      <c r="F175" s="281">
        <v>39602</v>
      </c>
      <c r="G175" s="281">
        <v>40506</v>
      </c>
      <c r="H175" s="281">
        <v>40204</v>
      </c>
      <c r="I175" s="281">
        <v>37638</v>
      </c>
      <c r="J175" s="281">
        <v>36695</v>
      </c>
    </row>
    <row r="176" spans="1:10" s="252" customFormat="1" ht="12.75">
      <c r="A176" s="252" t="str" cm="1">
        <f t="array" ref="A176">_xll.FDSR(B9,"FORMULA_DESCRIPTION(""FF_ASSETS"")")</f>
        <v>Total Assets</v>
      </c>
      <c r="B176" s="278">
        <f t="array" ref="B176:J176">_xll.FDSR(B9,"FF_ASSETS(ANN_R,"&amp;B7&amp;","&amp;B8&amp;",FY)")</f>
        <v>71996</v>
      </c>
      <c r="C176" s="281">
        <v>64532</v>
      </c>
      <c r="D176" s="281">
        <v>60266</v>
      </c>
      <c r="E176" s="281">
        <v>53671</v>
      </c>
      <c r="F176" s="281">
        <v>58899</v>
      </c>
      <c r="G176" s="281">
        <v>60634</v>
      </c>
      <c r="H176" s="281">
        <v>54121</v>
      </c>
      <c r="I176" s="281">
        <v>59394</v>
      </c>
      <c r="J176" s="281">
        <v>44550</v>
      </c>
    </row>
    <row r="177" spans="1:10" s="252" customFormat="1" ht="12.75">
      <c r="A177" s="252" t="s">
        <v>617</v>
      </c>
      <c r="B177" s="278">
        <f>B176+B144+B145</f>
        <v>71996</v>
      </c>
      <c r="C177" s="278">
        <f t="shared" ref="C177:I177" si="79">C176+C144+C145</f>
        <v>64532</v>
      </c>
      <c r="D177" s="278">
        <f t="shared" si="79"/>
        <v>60266</v>
      </c>
      <c r="E177" s="278">
        <f t="shared" si="79"/>
        <v>53671</v>
      </c>
      <c r="F177" s="278">
        <f t="shared" si="79"/>
        <v>58899</v>
      </c>
      <c r="G177" s="278">
        <f t="shared" si="79"/>
        <v>60634</v>
      </c>
      <c r="H177" s="278">
        <f t="shared" si="79"/>
        <v>54121</v>
      </c>
      <c r="I177" s="278">
        <f t="shared" si="79"/>
        <v>59394</v>
      </c>
      <c r="J177" s="278"/>
    </row>
    <row r="178" spans="1:10" s="252" customFormat="1" ht="12.75">
      <c r="A178" s="252" t="str" cm="1">
        <f t="array" ref="A178">_xll.FDSR(B9,"FORMULA_DESCRIPTION(""FF_SHLDRS_EQ"")")</f>
        <v>Total Shareholders' Equity</v>
      </c>
      <c r="B178" s="278">
        <f t="array" ref="B178:J178">_xll.FDSR(B9,"FF_SHLDRS_EQ(ANN_R,"&amp;B7&amp;","&amp;B8&amp;",FY)")</f>
        <v>1534</v>
      </c>
      <c r="C178" s="281">
        <v>15358</v>
      </c>
      <c r="D178" s="281">
        <v>13687</v>
      </c>
      <c r="E178" s="281">
        <v>12530</v>
      </c>
      <c r="F178" s="281">
        <v>12287</v>
      </c>
      <c r="G178" s="281">
        <v>10850</v>
      </c>
      <c r="H178" s="281">
        <v>8813</v>
      </c>
      <c r="I178" s="281">
        <v>11643</v>
      </c>
      <c r="J178" s="281">
        <v>-2131</v>
      </c>
    </row>
    <row r="179" spans="1:10" s="252" customFormat="1" ht="12.75">
      <c r="A179" s="282" t="str">
        <f>A178&amp;" adj. for R&amp;D"</f>
        <v>Total Shareholders' Equity adj. for R&amp;D</v>
      </c>
      <c r="B179" s="292">
        <f t="shared" ref="B179:I179" si="80">B178+B144</f>
        <v>1534</v>
      </c>
      <c r="C179" s="292">
        <f t="shared" si="80"/>
        <v>15358</v>
      </c>
      <c r="D179" s="292">
        <f t="shared" si="80"/>
        <v>13687</v>
      </c>
      <c r="E179" s="292">
        <f t="shared" si="80"/>
        <v>12530</v>
      </c>
      <c r="F179" s="292">
        <f t="shared" si="80"/>
        <v>12287</v>
      </c>
      <c r="G179" s="292">
        <f t="shared" si="80"/>
        <v>10850</v>
      </c>
      <c r="H179" s="292">
        <f t="shared" si="80"/>
        <v>8813</v>
      </c>
      <c r="I179" s="313">
        <f t="shared" si="80"/>
        <v>11643</v>
      </c>
      <c r="J179" s="313"/>
    </row>
    <row r="180" spans="1:10" s="279" customFormat="1" ht="12.75">
      <c r="A180" s="285" t="s">
        <v>618</v>
      </c>
      <c r="B180" s="271"/>
      <c r="C180" s="271"/>
      <c r="D180" s="271"/>
      <c r="E180" s="271"/>
      <c r="F180" s="271"/>
      <c r="G180" s="271"/>
      <c r="H180" s="271"/>
      <c r="I180" s="271"/>
      <c r="J180" s="271"/>
    </row>
    <row r="181" spans="1:10" s="279" customFormat="1" ht="12.75">
      <c r="A181" s="284" t="s">
        <v>619</v>
      </c>
      <c r="B181" s="314">
        <f>B169/B171</f>
        <v>0.79457240007698726</v>
      </c>
      <c r="C181" s="314">
        <f t="shared" ref="C181:I181" si="81">C169/C171</f>
        <v>0.76911907066795737</v>
      </c>
      <c r="D181" s="314">
        <f t="shared" si="81"/>
        <v>0.76392933410988162</v>
      </c>
      <c r="E181" s="314">
        <f t="shared" si="81"/>
        <v>0.58272727272727276</v>
      </c>
      <c r="F181" s="314">
        <f t="shared" si="81"/>
        <v>0.65898131404460514</v>
      </c>
      <c r="G181" s="314">
        <f t="shared" si="81"/>
        <v>0.6323878720134134</v>
      </c>
      <c r="H181" s="314">
        <f t="shared" si="81"/>
        <v>0.61473880597014929</v>
      </c>
      <c r="I181" s="314">
        <f t="shared" si="81"/>
        <v>4.1709537000395729</v>
      </c>
      <c r="J181" s="314"/>
    </row>
    <row r="182" spans="1:10" s="252" customFormat="1" ht="12.6" customHeight="1">
      <c r="A182" s="284" t="s">
        <v>620</v>
      </c>
      <c r="B182" s="314">
        <f>B171/B173</f>
        <v>1.8822605965463108</v>
      </c>
      <c r="C182" s="314">
        <f t="shared" ref="C182:I182" si="82">C171/C173</f>
        <v>0.93091018323820962</v>
      </c>
      <c r="D182" s="314">
        <f t="shared" si="82"/>
        <v>0.97797607746345172</v>
      </c>
      <c r="E182" s="314">
        <f t="shared" si="82"/>
        <v>0.91104853404008612</v>
      </c>
      <c r="F182" s="314">
        <f t="shared" si="82"/>
        <v>0.91141326740832307</v>
      </c>
      <c r="G182" s="314">
        <f t="shared" si="82"/>
        <v>0.85405727923627683</v>
      </c>
      <c r="H182" s="314">
        <f t="shared" si="82"/>
        <v>0.22502099076406382</v>
      </c>
      <c r="I182" s="314">
        <f t="shared" si="82"/>
        <v>0.79615626969124131</v>
      </c>
      <c r="J182" s="314"/>
    </row>
    <row r="183" spans="1:10" s="252" customFormat="1" ht="12.6" customHeight="1">
      <c r="A183" s="284" t="s">
        <v>621</v>
      </c>
      <c r="B183" s="314">
        <f>B173/B175</f>
        <v>-0.48441064638783271</v>
      </c>
      <c r="C183" s="314">
        <f t="shared" ref="C183:I183" si="83">C173/C175</f>
        <v>0.14164149257541592</v>
      </c>
      <c r="D183" s="314">
        <f t="shared" si="83"/>
        <v>0.11851668504309083</v>
      </c>
      <c r="E183" s="314">
        <f t="shared" si="83"/>
        <v>0.14678564481618361</v>
      </c>
      <c r="F183" s="314">
        <f t="shared" si="83"/>
        <v>0.18385435079036413</v>
      </c>
      <c r="G183" s="314">
        <f t="shared" si="83"/>
        <v>0.20688293092381377</v>
      </c>
      <c r="H183" s="314">
        <f t="shared" si="83"/>
        <v>0.1184956720724306</v>
      </c>
      <c r="I183" s="314">
        <f t="shared" si="83"/>
        <v>8.4329666826080021E-2</v>
      </c>
      <c r="J183" s="314"/>
    </row>
    <row r="184" spans="1:10" s="252" customFormat="1" ht="12.75">
      <c r="A184" s="284" t="s">
        <v>622</v>
      </c>
      <c r="B184" s="314">
        <f>B175/AVERAGE(B176:C176)</f>
        <v>0.25042482128208132</v>
      </c>
      <c r="C184" s="314">
        <f t="shared" ref="C184:I184" si="84">C175/AVERAGE(C176:D176)</f>
        <v>0.75331335438067915</v>
      </c>
      <c r="D184" s="314">
        <f t="shared" si="84"/>
        <v>0.78009777333087582</v>
      </c>
      <c r="E184" s="314">
        <f t="shared" si="84"/>
        <v>0.7307097805809718</v>
      </c>
      <c r="F184" s="314">
        <f t="shared" si="84"/>
        <v>0.66261199836028539</v>
      </c>
      <c r="G184" s="314">
        <f t="shared" si="84"/>
        <v>0.70595616748725543</v>
      </c>
      <c r="H184" s="314">
        <f t="shared" si="84"/>
        <v>0.70834691450469101</v>
      </c>
      <c r="I184" s="314">
        <f t="shared" si="84"/>
        <v>0.7241976448857077</v>
      </c>
      <c r="J184" s="314"/>
    </row>
    <row r="185" spans="1:10" s="252" customFormat="1" ht="12.75">
      <c r="A185" s="315" t="s">
        <v>623</v>
      </c>
      <c r="B185" s="316">
        <f>AVERAGE(B176:C176)/AVERAGE(B178:C178)</f>
        <v>8.0824058726024148</v>
      </c>
      <c r="C185" s="316">
        <f t="shared" ref="C185:I185" si="85">AVERAGE(C176:D176)/AVERAGE(C178:D178)</f>
        <v>4.2967119986228264</v>
      </c>
      <c r="D185" s="316">
        <f t="shared" si="85"/>
        <v>4.3459205858793917</v>
      </c>
      <c r="E185" s="316">
        <f t="shared" si="85"/>
        <v>4.536003545956401</v>
      </c>
      <c r="F185" s="316">
        <f t="shared" si="85"/>
        <v>5.166313696676319</v>
      </c>
      <c r="G185" s="316">
        <f t="shared" si="85"/>
        <v>5.8360880842190914</v>
      </c>
      <c r="H185" s="316">
        <f t="shared" si="85"/>
        <v>5.5492276104810321</v>
      </c>
      <c r="I185" s="316">
        <f t="shared" si="85"/>
        <v>10.927670311185871</v>
      </c>
      <c r="J185" s="316"/>
    </row>
    <row r="186" spans="1:10" s="252" customFormat="1" ht="12.75">
      <c r="A186" s="284" t="s">
        <v>624</v>
      </c>
      <c r="B186" s="311">
        <f>B181*B182*B183</f>
        <v>-0.72448084235156485</v>
      </c>
      <c r="C186" s="317">
        <f t="shared" ref="C186:H186" si="86">C181*C182*C183</f>
        <v>0.10141258562736671</v>
      </c>
      <c r="D186" s="317">
        <f t="shared" si="86"/>
        <v>8.8544362188069589E-2</v>
      </c>
      <c r="E186" s="317">
        <f t="shared" si="86"/>
        <v>7.7927446022174676E-2</v>
      </c>
      <c r="F186" s="317">
        <f t="shared" si="86"/>
        <v>0.11042371597394071</v>
      </c>
      <c r="G186" s="317">
        <f t="shared" si="86"/>
        <v>0.11173653285932948</v>
      </c>
      <c r="H186" s="317">
        <f t="shared" si="86"/>
        <v>1.639140384041389E-2</v>
      </c>
      <c r="I186" s="317">
        <f>I181*I182*I183</f>
        <v>0.28003613369467029</v>
      </c>
      <c r="J186" s="317"/>
    </row>
    <row r="187" spans="1:10" s="252" customFormat="1" ht="12.75">
      <c r="A187" s="284" t="s">
        <v>82</v>
      </c>
      <c r="B187" s="317">
        <f t="shared" ref="B187:I187" si="87">B181*B182*B183*B184*B185</f>
        <v>-1.4663746152024628</v>
      </c>
      <c r="C187" s="317">
        <f t="shared" si="87"/>
        <v>0.32824926837665686</v>
      </c>
      <c r="D187" s="317">
        <f t="shared" si="87"/>
        <v>0.30018690162871425</v>
      </c>
      <c r="E187" s="317">
        <f t="shared" si="87"/>
        <v>0.25829068783495185</v>
      </c>
      <c r="F187" s="317">
        <f t="shared" si="87"/>
        <v>0.3780092492544409</v>
      </c>
      <c r="G187" s="317">
        <f t="shared" si="87"/>
        <v>0.4603570157147942</v>
      </c>
      <c r="H187" s="317">
        <f t="shared" si="87"/>
        <v>6.4430973797418842E-2</v>
      </c>
      <c r="I187" s="317">
        <f t="shared" si="87"/>
        <v>2.2161480235492013</v>
      </c>
      <c r="J187" s="317"/>
    </row>
    <row r="188" spans="1:10" s="252" customFormat="1" ht="12.75">
      <c r="A188" s="274" t="s">
        <v>543</v>
      </c>
      <c r="B188" s="318"/>
      <c r="C188" s="319"/>
      <c r="D188" s="319"/>
      <c r="E188" s="319"/>
      <c r="F188" s="319"/>
      <c r="G188" s="319"/>
      <c r="H188" s="319"/>
      <c r="I188" s="319"/>
      <c r="J188" s="319"/>
    </row>
    <row r="189" spans="1:10" s="252" customFormat="1" ht="12.75">
      <c r="A189" s="320" t="str" cm="1">
        <f t="array" ref="A189">"100-"&amp;_xll.FDSR(B9,"FORMULA_DESCRIPTION(""FF_TAX_RATE"")")</f>
        <v>100-Tax Rate</v>
      </c>
      <c r="B189" s="275" t="e">
        <f t="array" ref="B189:I189">100-_xll.FDSR($B$9,"FF_TAX_RATE(ANN_R,"&amp;$B$7&amp;","&amp;$B$8&amp;")")</f>
        <v>#N/A</v>
      </c>
      <c r="C189" s="275">
        <v>76.911907066795692</v>
      </c>
      <c r="D189" s="275">
        <v>76.392933410988206</v>
      </c>
      <c r="E189" s="275">
        <v>58.272727272727302</v>
      </c>
      <c r="F189" s="275">
        <v>65.8981314044605</v>
      </c>
      <c r="G189" s="275">
        <v>63.238787201341303</v>
      </c>
      <c r="H189" s="275">
        <v>61.473880597014897</v>
      </c>
      <c r="I189" s="275">
        <v>417.09537000395699</v>
      </c>
      <c r="J189" s="275"/>
    </row>
    <row r="190" spans="1:10" s="252" customFormat="1" ht="12.75">
      <c r="A190" s="320" t="e" cm="1">
        <f t="array" ref="A190">_xll.FDSR(#REF!,"FORMULA_DESCRIPTION(""FF_ASSET_TURN"")")</f>
        <v>#VALUE!</v>
      </c>
      <c r="B190" s="275">
        <f t="array" ref="B190:J190">_xll.FDSR($B$9,"FF_ASSET_TURN(ANN_R,"&amp;$B$7&amp;","&amp;$B$8&amp;")")</f>
        <v>0.25042482128208099</v>
      </c>
      <c r="C190" s="275">
        <v>0.75331335438067903</v>
      </c>
      <c r="D190" s="275">
        <v>0.78009777333087604</v>
      </c>
      <c r="E190" s="275">
        <v>0.73070978058097202</v>
      </c>
      <c r="F190" s="275">
        <v>0.66261199836028495</v>
      </c>
      <c r="G190" s="275">
        <v>0.70595616748725498</v>
      </c>
      <c r="H190" s="275">
        <v>0.70834691450469101</v>
      </c>
      <c r="I190" s="275">
        <v>0.72419764488570804</v>
      </c>
      <c r="J190" s="275">
        <v>0.83351315744642196</v>
      </c>
    </row>
    <row r="191" spans="1:10" s="279" customFormat="1" ht="12.75">
      <c r="A191" s="285" t="s">
        <v>625</v>
      </c>
      <c r="B191" s="271"/>
      <c r="C191" s="271"/>
      <c r="D191" s="271"/>
      <c r="E191" s="271"/>
      <c r="F191" s="271"/>
      <c r="G191" s="271"/>
      <c r="H191" s="271"/>
      <c r="I191" s="271"/>
      <c r="J191" s="271"/>
    </row>
    <row r="192" spans="1:10" s="279" customFormat="1" ht="12.75">
      <c r="A192" s="284" t="s">
        <v>619</v>
      </c>
      <c r="B192" s="314">
        <f>B170/B172</f>
        <v>0.62034419109663419</v>
      </c>
      <c r="C192" s="314">
        <f t="shared" ref="C192:I192" si="88">C170/C172</f>
        <v>0.90779927638823321</v>
      </c>
      <c r="D192" s="314">
        <f t="shared" si="88"/>
        <v>0.95683817594834619</v>
      </c>
      <c r="E192" s="314">
        <f t="shared" si="88"/>
        <v>1.0116965077113986</v>
      </c>
      <c r="F192" s="314">
        <f t="shared" si="88"/>
        <v>0.91456405048599976</v>
      </c>
      <c r="G192" s="314">
        <f t="shared" si="88"/>
        <v>0.8895898214963921</v>
      </c>
      <c r="H192" s="314">
        <f t="shared" si="88"/>
        <v>1.0178094089264171</v>
      </c>
      <c r="I192" s="314">
        <f t="shared" si="88"/>
        <v>1.1747717484926781</v>
      </c>
      <c r="J192" s="314"/>
    </row>
    <row r="193" spans="1:10" s="252" customFormat="1" ht="12.6" customHeight="1">
      <c r="A193" s="284" t="s">
        <v>620</v>
      </c>
      <c r="B193" s="314">
        <f>B172/B174</f>
        <v>1.1121845187779253</v>
      </c>
      <c r="C193" s="314">
        <f t="shared" ref="C193:I193" si="89">C172/C174</f>
        <v>0.95479122859717636</v>
      </c>
      <c r="D193" s="314">
        <f t="shared" si="89"/>
        <v>0.94095310423390921</v>
      </c>
      <c r="E193" s="314">
        <f t="shared" si="89"/>
        <v>0.93440450554911381</v>
      </c>
      <c r="F193" s="314">
        <f t="shared" si="89"/>
        <v>0.94671061667353384</v>
      </c>
      <c r="G193" s="314">
        <f t="shared" si="89"/>
        <v>0.94260143198090696</v>
      </c>
      <c r="H193" s="314">
        <f t="shared" si="89"/>
        <v>0.87006717044500415</v>
      </c>
      <c r="I193" s="314">
        <f t="shared" si="89"/>
        <v>0.73156899810964082</v>
      </c>
      <c r="J193" s="314"/>
    </row>
    <row r="194" spans="1:10" s="252" customFormat="1" ht="12.6" customHeight="1">
      <c r="A194" s="284" t="s">
        <v>621</v>
      </c>
      <c r="B194" s="314">
        <f>B174/B175</f>
        <v>-0.48441064638783271</v>
      </c>
      <c r="C194" s="314">
        <f t="shared" ref="C194:I194" si="90">C174/C175</f>
        <v>0.14164149257541592</v>
      </c>
      <c r="D194" s="314">
        <f t="shared" si="90"/>
        <v>0.11851668504309083</v>
      </c>
      <c r="E194" s="314">
        <f t="shared" si="90"/>
        <v>0.14678564481618361</v>
      </c>
      <c r="F194" s="314">
        <f t="shared" si="90"/>
        <v>0.18385435079036413</v>
      </c>
      <c r="G194" s="314">
        <f t="shared" si="90"/>
        <v>0.20688293092381377</v>
      </c>
      <c r="H194" s="314">
        <f t="shared" si="90"/>
        <v>0.1184956720724306</v>
      </c>
      <c r="I194" s="314">
        <f t="shared" si="90"/>
        <v>8.4329666826080021E-2</v>
      </c>
      <c r="J194" s="314"/>
    </row>
    <row r="195" spans="1:10" s="252" customFormat="1" ht="12.75">
      <c r="A195" s="284" t="s">
        <v>622</v>
      </c>
      <c r="B195" s="314">
        <f>B175/AVERAGE(B177:C177)</f>
        <v>0.25042482128208132</v>
      </c>
      <c r="C195" s="314">
        <f t="shared" ref="C195:I195" si="91">C175/AVERAGE(C177:D177)</f>
        <v>0.75331335438067915</v>
      </c>
      <c r="D195" s="314">
        <f t="shared" si="91"/>
        <v>0.78009777333087582</v>
      </c>
      <c r="E195" s="314">
        <f t="shared" si="91"/>
        <v>0.7307097805809718</v>
      </c>
      <c r="F195" s="314">
        <f t="shared" si="91"/>
        <v>0.66261199836028539</v>
      </c>
      <c r="G195" s="314">
        <f t="shared" si="91"/>
        <v>0.70595616748725543</v>
      </c>
      <c r="H195" s="314">
        <f t="shared" si="91"/>
        <v>0.70834691450469101</v>
      </c>
      <c r="I195" s="314">
        <f t="shared" si="91"/>
        <v>0.63370037377512878</v>
      </c>
      <c r="J195" s="314"/>
    </row>
    <row r="196" spans="1:10" s="252" customFormat="1" ht="12.75">
      <c r="A196" s="315" t="s">
        <v>623</v>
      </c>
      <c r="B196" s="316">
        <f>AVERAGE(B177:C177)/AVERAGE(B179:C179)</f>
        <v>8.0824058726024148</v>
      </c>
      <c r="C196" s="316">
        <f t="shared" ref="C196:I196" si="92">AVERAGE(C177:D177)/AVERAGE(C179:D179)</f>
        <v>4.2967119986228264</v>
      </c>
      <c r="D196" s="316">
        <f t="shared" si="92"/>
        <v>4.3459205858793917</v>
      </c>
      <c r="E196" s="316">
        <f t="shared" si="92"/>
        <v>4.536003545956401</v>
      </c>
      <c r="F196" s="316">
        <f t="shared" si="92"/>
        <v>5.166313696676319</v>
      </c>
      <c r="G196" s="316">
        <f t="shared" si="92"/>
        <v>5.8360880842190914</v>
      </c>
      <c r="H196" s="316">
        <f t="shared" si="92"/>
        <v>5.5492276104810321</v>
      </c>
      <c r="I196" s="316">
        <f t="shared" si="92"/>
        <v>5.1012625611955684</v>
      </c>
      <c r="J196" s="316"/>
    </row>
    <row r="197" spans="1:10" s="252" customFormat="1" ht="12.75">
      <c r="A197" s="284" t="s">
        <v>624</v>
      </c>
      <c r="B197" s="311">
        <f>B192*B193*B194</f>
        <v>-0.33421292775665401</v>
      </c>
      <c r="C197" s="309">
        <f t="shared" ref="C197:H197" si="93">C192*C193*C194</f>
        <v>0.12276900821171763</v>
      </c>
      <c r="D197" s="309">
        <f t="shared" si="93"/>
        <v>0.10670529466033625</v>
      </c>
      <c r="E197" s="309">
        <f t="shared" si="93"/>
        <v>0.13876142773779418</v>
      </c>
      <c r="F197" s="309">
        <f t="shared" si="93"/>
        <v>0.15918615221453453</v>
      </c>
      <c r="G197" s="309">
        <f t="shared" si="93"/>
        <v>0.17347726262775889</v>
      </c>
      <c r="H197" s="309">
        <f t="shared" si="93"/>
        <v>0.10493532981792852</v>
      </c>
      <c r="I197" s="309">
        <f>I192*I193*I194</f>
        <v>7.2475158084914143E-2</v>
      </c>
      <c r="J197" s="309"/>
    </row>
    <row r="198" spans="1:10" s="252" customFormat="1" ht="12.75">
      <c r="A198" s="284" t="s">
        <v>82</v>
      </c>
      <c r="B198" s="317">
        <f>B192*B193*B194*B195*B196</f>
        <v>-0.67645867866445653</v>
      </c>
      <c r="C198" s="309">
        <f t="shared" ref="C198:I198" si="94">C192*C193*C194*C195*C196</f>
        <v>0.397375107591668</v>
      </c>
      <c r="D198" s="309">
        <f t="shared" si="94"/>
        <v>0.36175687530991368</v>
      </c>
      <c r="E198" s="309">
        <f t="shared" si="94"/>
        <v>0.45992505137607281</v>
      </c>
      <c r="F198" s="309">
        <f t="shared" si="94"/>
        <v>0.54493581708950989</v>
      </c>
      <c r="G198" s="309">
        <f t="shared" si="94"/>
        <v>0.71473020393632725</v>
      </c>
      <c r="H198" s="309">
        <f t="shared" si="94"/>
        <v>0.41247751271020711</v>
      </c>
      <c r="I198" s="309">
        <f t="shared" si="94"/>
        <v>0.23428841363909633</v>
      </c>
      <c r="J198" s="309"/>
    </row>
    <row r="199" spans="1:10" s="252" customFormat="1" ht="12.75">
      <c r="A199" s="289"/>
      <c r="B199" s="319"/>
      <c r="C199" s="319"/>
      <c r="D199" s="319"/>
      <c r="E199" s="319"/>
      <c r="F199" s="319"/>
      <c r="G199" s="319"/>
      <c r="H199" s="319"/>
      <c r="I199" s="319"/>
      <c r="J199" s="319"/>
    </row>
    <row r="200" spans="1:10" s="252" customFormat="1" ht="12.75">
      <c r="A200" s="287" t="s">
        <v>626</v>
      </c>
      <c r="B200" s="288" t="str">
        <f t="shared" ref="B200:J200" si="95">B11</f>
        <v>Dec '20</v>
      </c>
      <c r="C200" s="288" t="str">
        <f t="shared" si="95"/>
        <v>Dec '19</v>
      </c>
      <c r="D200" s="288" t="str">
        <f t="shared" si="95"/>
        <v>Dec '18</v>
      </c>
      <c r="E200" s="288" t="str">
        <f t="shared" si="95"/>
        <v>Dec '17</v>
      </c>
      <c r="F200" s="288" t="str">
        <f t="shared" si="95"/>
        <v>Dec '16</v>
      </c>
      <c r="G200" s="288" t="str">
        <f t="shared" si="95"/>
        <v>Dec '15</v>
      </c>
      <c r="H200" s="288" t="str">
        <f t="shared" si="95"/>
        <v>Dec '14</v>
      </c>
      <c r="I200" s="288" t="str">
        <f t="shared" si="95"/>
        <v>Dec '13</v>
      </c>
      <c r="J200" s="288" t="str">
        <f t="shared" si="95"/>
        <v>Dec '12</v>
      </c>
    </row>
    <row r="201" spans="1:10" s="252" customFormat="1" ht="12.75">
      <c r="A201" s="252" t="str" cm="1">
        <f t="array" ref="A201">_xll.FDSR(B9,"FORMULA_DESCRIPTION(""FF_DEBT"")")</f>
        <v>Total Debt</v>
      </c>
      <c r="B201" s="281">
        <f t="array" ref="B201:J201">_xll.FDSR(B9,"FF_DEBT(ANN_R,"&amp;B7&amp;","&amp;B8&amp;",FY)")</f>
        <v>35548</v>
      </c>
      <c r="C201" s="281">
        <v>17255</v>
      </c>
      <c r="D201" s="281">
        <v>16527</v>
      </c>
      <c r="E201" s="281">
        <v>8834</v>
      </c>
      <c r="F201" s="281">
        <v>7332</v>
      </c>
      <c r="G201" s="281">
        <v>8329</v>
      </c>
      <c r="H201" s="281">
        <v>9777</v>
      </c>
      <c r="I201" s="281">
        <v>11342</v>
      </c>
      <c r="J201" s="281">
        <v>12709</v>
      </c>
    </row>
    <row r="202" spans="1:10" s="252" customFormat="1" ht="12.75">
      <c r="A202" s="252" t="str" cm="1">
        <f t="array" ref="A202">_xll.FDSR(B9,"FORMULA_DESCRIPTION(""FF_DEBT_LT"")")</f>
        <v>Long-Term Debt</v>
      </c>
      <c r="B202" s="281">
        <f t="array" ref="B202:J202">_xll.FDSR(B9,"FF_DEBT_LT(ANN_R,"&amp;B7&amp;","&amp;B8&amp;",FY)")</f>
        <v>33138</v>
      </c>
      <c r="C202" s="281">
        <v>14167</v>
      </c>
      <c r="D202" s="281">
        <v>14054</v>
      </c>
      <c r="E202" s="281">
        <v>6592</v>
      </c>
      <c r="F202" s="281">
        <v>6201</v>
      </c>
      <c r="G202" s="281">
        <v>6766</v>
      </c>
      <c r="H202" s="281">
        <v>8561</v>
      </c>
      <c r="I202" s="281">
        <v>9795</v>
      </c>
      <c r="J202" s="281">
        <v>11082</v>
      </c>
    </row>
    <row r="203" spans="1:10" s="252" customFormat="1" ht="12.75">
      <c r="A203" s="252" t="str" cm="1">
        <f t="array" ref="A203">_xll.FDSR(B9,"FORMULA_DESCRIPTION(""FF_DEBT_ST"")")</f>
        <v>Short-Term Debt (incl. Current Portion of LTD)</v>
      </c>
      <c r="B203" s="281">
        <f t="array" ref="B203:J203">_xll.FDSR(B9,"FF_DEBT_ST(ANN_R,"&amp;B7&amp;","&amp;B8&amp;",FY)")</f>
        <v>2410</v>
      </c>
      <c r="C203" s="281">
        <v>3088</v>
      </c>
      <c r="D203" s="281">
        <v>2473</v>
      </c>
      <c r="E203" s="281">
        <v>2242</v>
      </c>
      <c r="F203" s="281">
        <v>1131</v>
      </c>
      <c r="G203" s="281">
        <v>1563</v>
      </c>
      <c r="H203" s="281">
        <v>1216</v>
      </c>
      <c r="I203" s="281">
        <v>1547</v>
      </c>
      <c r="J203" s="281">
        <v>1627</v>
      </c>
    </row>
    <row r="204" spans="1:10">
      <c r="A204" s="252" t="str" cm="1">
        <f t="array" ref="A204">_xll.FDSR(B9,"FORMULA_DESCRIPTION(""FF_SHLDRS_EQ"")")</f>
        <v>Total Shareholders' Equity</v>
      </c>
      <c r="B204" s="281">
        <f t="array" ref="B204:J204">_xll.FDSR(B9,"FF_SHLDRS_EQ(ANN_R,"&amp;B7&amp;","&amp;B8&amp;",FY)")</f>
        <v>1534</v>
      </c>
      <c r="C204" s="281">
        <v>15358</v>
      </c>
      <c r="D204" s="281">
        <v>13687</v>
      </c>
      <c r="E204" s="281">
        <v>12530</v>
      </c>
      <c r="F204" s="281">
        <v>12287</v>
      </c>
      <c r="G204" s="281">
        <v>10850</v>
      </c>
      <c r="H204" s="281">
        <v>8813</v>
      </c>
      <c r="I204" s="281">
        <v>11643</v>
      </c>
      <c r="J204" s="281">
        <v>-2131</v>
      </c>
    </row>
    <row r="205" spans="1:10">
      <c r="A205" s="252" t="str">
        <f t="shared" ref="A205:I206" si="96">A144</f>
        <v>Value of Research Asset</v>
      </c>
      <c r="B205" s="281">
        <f t="shared" si="96"/>
        <v>0</v>
      </c>
      <c r="C205" s="281">
        <f t="shared" si="96"/>
        <v>0</v>
      </c>
      <c r="D205" s="281">
        <f t="shared" si="96"/>
        <v>0</v>
      </c>
      <c r="E205" s="281">
        <f t="shared" si="96"/>
        <v>0</v>
      </c>
      <c r="F205" s="281">
        <f t="shared" si="96"/>
        <v>0</v>
      </c>
      <c r="G205" s="281">
        <f t="shared" si="96"/>
        <v>0</v>
      </c>
      <c r="H205" s="281">
        <f t="shared" si="96"/>
        <v>0</v>
      </c>
      <c r="I205" s="281">
        <f t="shared" si="96"/>
        <v>0</v>
      </c>
      <c r="J205" s="281"/>
    </row>
    <row r="206" spans="1:10">
      <c r="A206" s="252" t="str">
        <f t="shared" si="96"/>
        <v>Debt value of leases</v>
      </c>
      <c r="B206" s="1073">
        <f t="shared" si="96"/>
        <v>0</v>
      </c>
      <c r="C206" s="281">
        <f t="shared" si="96"/>
        <v>0</v>
      </c>
      <c r="D206" s="281">
        <f t="shared" si="96"/>
        <v>0</v>
      </c>
      <c r="E206" s="281">
        <f t="shared" si="96"/>
        <v>0</v>
      </c>
      <c r="F206" s="281">
        <f t="shared" si="96"/>
        <v>0</v>
      </c>
      <c r="G206" s="281">
        <f t="shared" si="96"/>
        <v>0</v>
      </c>
      <c r="H206" s="281">
        <f t="shared" si="96"/>
        <v>0</v>
      </c>
      <c r="I206" s="281">
        <f t="shared" si="96"/>
        <v>0</v>
      </c>
      <c r="J206" s="281"/>
    </row>
    <row r="207" spans="1:10">
      <c r="A207" s="282" t="str" cm="1">
        <f t="array" ref="A207">_xll.FDSR(B9,"FORMULA_DESCRIPTION(""FREF_MARKET_VALUE_COMPANY"")")</f>
        <v>Market Value - Company Level</v>
      </c>
      <c r="B207" s="283">
        <f t="array" ref="B207:J207">_xll.FDSR(B9,"FREF_MARKET_VALUE_COMPANY("&amp;B7&amp;","&amp;B8&amp;",FY,,,0)")</f>
        <v>25643.296180663201</v>
      </c>
      <c r="C207" s="283">
        <v>37821.522091639898</v>
      </c>
      <c r="D207" s="283">
        <v>34212.374843778598</v>
      </c>
      <c r="E207" s="283">
        <v>39926.49609375</v>
      </c>
      <c r="F207" s="283">
        <v>36838.784476292101</v>
      </c>
      <c r="G207" s="283">
        <v>39866.365930440399</v>
      </c>
      <c r="H207" s="283">
        <v>41169.1256078386</v>
      </c>
      <c r="I207" s="283">
        <v>23501.848595892799</v>
      </c>
      <c r="J207" s="283">
        <v>10094.841547571201</v>
      </c>
    </row>
    <row r="208" spans="1:10">
      <c r="A208" s="284" t="s">
        <v>627</v>
      </c>
      <c r="B208" s="314">
        <f>B201/(B201+B204)</f>
        <v>0.95863222048433205</v>
      </c>
      <c r="C208" s="314">
        <f t="shared" ref="C208:I208" si="97">C201/(C201+C204)</f>
        <v>0.52908349431208412</v>
      </c>
      <c r="D208" s="314">
        <f t="shared" si="97"/>
        <v>0.546998080360098</v>
      </c>
      <c r="E208" s="314">
        <f t="shared" si="97"/>
        <v>0.41349934469200522</v>
      </c>
      <c r="F208" s="314">
        <f t="shared" si="97"/>
        <v>0.37371935368775167</v>
      </c>
      <c r="G208" s="314">
        <f t="shared" si="97"/>
        <v>0.43427707388289277</v>
      </c>
      <c r="H208" s="314">
        <f t="shared" si="97"/>
        <v>0.52592791823561058</v>
      </c>
      <c r="I208" s="314">
        <f t="shared" si="97"/>
        <v>0.49345225146834892</v>
      </c>
      <c r="J208" s="314"/>
    </row>
    <row r="209" spans="1:10">
      <c r="A209" s="284" t="s">
        <v>628</v>
      </c>
      <c r="B209" s="314">
        <f>B201/B204</f>
        <v>23.173402868318121</v>
      </c>
      <c r="C209" s="314">
        <f t="shared" ref="C209:I209" si="98">C201/C204</f>
        <v>1.1235186873290792</v>
      </c>
      <c r="D209" s="314">
        <f t="shared" si="98"/>
        <v>1.2074961642434427</v>
      </c>
      <c r="E209" s="314">
        <f t="shared" si="98"/>
        <v>0.70502793296089383</v>
      </c>
      <c r="F209" s="314">
        <f t="shared" si="98"/>
        <v>0.59672824936925206</v>
      </c>
      <c r="G209" s="314">
        <f t="shared" si="98"/>
        <v>0.76764976958525344</v>
      </c>
      <c r="H209" s="314">
        <f t="shared" si="98"/>
        <v>1.1093838647452627</v>
      </c>
      <c r="I209" s="314">
        <f t="shared" si="98"/>
        <v>0.9741475564716997</v>
      </c>
      <c r="J209" s="314"/>
    </row>
    <row r="210" spans="1:10">
      <c r="A210" s="284" t="s">
        <v>629</v>
      </c>
      <c r="B210" s="314">
        <f>(B201+B206)/(B201+B204+B206+B205)</f>
        <v>0.95863222048433205</v>
      </c>
      <c r="C210" s="314">
        <f t="shared" ref="C210:I210" si="99">(C201+C206)/(C201+C204+C206+C205)</f>
        <v>0.52908349431208412</v>
      </c>
      <c r="D210" s="314">
        <f t="shared" si="99"/>
        <v>0.546998080360098</v>
      </c>
      <c r="E210" s="314">
        <f t="shared" si="99"/>
        <v>0.41349934469200522</v>
      </c>
      <c r="F210" s="314">
        <f t="shared" si="99"/>
        <v>0.37371935368775167</v>
      </c>
      <c r="G210" s="314">
        <f t="shared" si="99"/>
        <v>0.43427707388289277</v>
      </c>
      <c r="H210" s="314">
        <f t="shared" si="99"/>
        <v>0.52592791823561058</v>
      </c>
      <c r="I210" s="314">
        <f t="shared" si="99"/>
        <v>0.49345225146834892</v>
      </c>
      <c r="J210" s="314"/>
    </row>
    <row r="211" spans="1:10">
      <c r="A211" s="284" t="s">
        <v>630</v>
      </c>
      <c r="B211" s="314">
        <f>(B201+B206)/(B204+B205)</f>
        <v>23.173402868318121</v>
      </c>
      <c r="C211" s="314">
        <f t="shared" ref="C211:I211" si="100">(C201+C206)/(C204+C205)</f>
        <v>1.1235186873290792</v>
      </c>
      <c r="D211" s="314">
        <f t="shared" si="100"/>
        <v>1.2074961642434427</v>
      </c>
      <c r="E211" s="314">
        <f t="shared" si="100"/>
        <v>0.70502793296089383</v>
      </c>
      <c r="F211" s="314">
        <f t="shared" si="100"/>
        <v>0.59672824936925206</v>
      </c>
      <c r="G211" s="314">
        <f t="shared" si="100"/>
        <v>0.76764976958525344</v>
      </c>
      <c r="H211" s="314">
        <f t="shared" si="100"/>
        <v>1.1093838647452627</v>
      </c>
      <c r="I211" s="314">
        <f t="shared" si="100"/>
        <v>0.9741475564716997</v>
      </c>
      <c r="J211" s="314"/>
    </row>
    <row r="212" spans="1:10">
      <c r="A212" s="284" t="s">
        <v>631</v>
      </c>
      <c r="B212" s="314">
        <f>B201/(B207+B201)</f>
        <v>0.58093229296936144</v>
      </c>
      <c r="C212" s="314">
        <f t="shared" ref="C212:I212" si="101">C201/(C207+C201)</f>
        <v>0.31329138705036619</v>
      </c>
      <c r="D212" s="314">
        <f t="shared" si="101"/>
        <v>0.32572336673214758</v>
      </c>
      <c r="E212" s="314">
        <f t="shared" si="101"/>
        <v>0.18117124942730681</v>
      </c>
      <c r="F212" s="314">
        <f t="shared" si="101"/>
        <v>0.16599207116041426</v>
      </c>
      <c r="G212" s="314">
        <f t="shared" si="101"/>
        <v>0.17281744498052182</v>
      </c>
      <c r="H212" s="314">
        <f t="shared" si="101"/>
        <v>0.19190860705010521</v>
      </c>
      <c r="I212" s="314">
        <f t="shared" si="101"/>
        <v>0.32550939282111713</v>
      </c>
      <c r="J212" s="314"/>
    </row>
    <row r="213" spans="1:10">
      <c r="A213" s="284" t="s">
        <v>632</v>
      </c>
      <c r="B213" s="314">
        <f>B201/B207</f>
        <v>1.3862492461794214</v>
      </c>
      <c r="C213" s="314">
        <f t="shared" ref="C213:I213" si="102">C201/C207</f>
        <v>0.45622172365754843</v>
      </c>
      <c r="D213" s="314">
        <f t="shared" si="102"/>
        <v>0.48307082087887793</v>
      </c>
      <c r="E213" s="314">
        <f t="shared" si="102"/>
        <v>0.22125658057389247</v>
      </c>
      <c r="F213" s="314">
        <f t="shared" si="102"/>
        <v>0.19902936821160774</v>
      </c>
      <c r="G213" s="314">
        <f t="shared" si="102"/>
        <v>0.20892298070339793</v>
      </c>
      <c r="H213" s="314">
        <f t="shared" si="102"/>
        <v>0.23748379047765006</v>
      </c>
      <c r="I213" s="314">
        <f t="shared" si="102"/>
        <v>0.48260033476609737</v>
      </c>
      <c r="J213" s="314"/>
    </row>
    <row r="214" spans="1:10">
      <c r="A214" s="284" t="s">
        <v>633</v>
      </c>
      <c r="B214" s="314">
        <f>(B201+B206)/(B207+B201+B206)</f>
        <v>0.58093229296936144</v>
      </c>
      <c r="C214" s="314">
        <f t="shared" ref="C214:I214" si="103">(C201+C206)/(C207+C201+C206)</f>
        <v>0.31329138705036619</v>
      </c>
      <c r="D214" s="314">
        <f t="shared" si="103"/>
        <v>0.32572336673214758</v>
      </c>
      <c r="E214" s="314">
        <f t="shared" si="103"/>
        <v>0.18117124942730681</v>
      </c>
      <c r="F214" s="314">
        <f t="shared" si="103"/>
        <v>0.16599207116041426</v>
      </c>
      <c r="G214" s="314">
        <f t="shared" si="103"/>
        <v>0.17281744498052182</v>
      </c>
      <c r="H214" s="314">
        <f t="shared" si="103"/>
        <v>0.19190860705010521</v>
      </c>
      <c r="I214" s="314">
        <f t="shared" si="103"/>
        <v>0.32550939282111713</v>
      </c>
      <c r="J214" s="314"/>
    </row>
    <row r="215" spans="1:10">
      <c r="A215" s="284" t="s">
        <v>634</v>
      </c>
      <c r="B215" s="314">
        <f>(B201+B206)/B207</f>
        <v>1.3862492461794214</v>
      </c>
      <c r="C215" s="314">
        <f t="shared" ref="C215:I215" si="104">(C201+C206)/C207</f>
        <v>0.45622172365754843</v>
      </c>
      <c r="D215" s="314">
        <f t="shared" si="104"/>
        <v>0.48307082087887793</v>
      </c>
      <c r="E215" s="314">
        <f t="shared" si="104"/>
        <v>0.22125658057389247</v>
      </c>
      <c r="F215" s="314">
        <f t="shared" si="104"/>
        <v>0.19902936821160774</v>
      </c>
      <c r="G215" s="314">
        <f t="shared" si="104"/>
        <v>0.20892298070339793</v>
      </c>
      <c r="H215" s="314">
        <f t="shared" si="104"/>
        <v>0.23748379047765006</v>
      </c>
      <c r="I215" s="314">
        <f t="shared" si="104"/>
        <v>0.48260033476609737</v>
      </c>
      <c r="J215" s="314"/>
    </row>
    <row r="216" spans="1:10">
      <c r="A216" s="284" t="s">
        <v>635</v>
      </c>
      <c r="B216" s="314">
        <f>B202/(B201+B204)</f>
        <v>0.89364111968070759</v>
      </c>
      <c r="C216" s="314">
        <f t="shared" ref="C216:I216" si="105">C202/(C201+C204)</f>
        <v>0.4343973262196057</v>
      </c>
      <c r="D216" s="314">
        <f t="shared" si="105"/>
        <v>0.46514860660620905</v>
      </c>
      <c r="E216" s="314">
        <f t="shared" si="105"/>
        <v>0.308556450102977</v>
      </c>
      <c r="F216" s="314">
        <f t="shared" si="105"/>
        <v>0.31607115551251336</v>
      </c>
      <c r="G216" s="314">
        <f t="shared" si="105"/>
        <v>0.35278168830491685</v>
      </c>
      <c r="H216" s="314">
        <f t="shared" si="105"/>
        <v>0.46051640667025284</v>
      </c>
      <c r="I216" s="314">
        <f t="shared" si="105"/>
        <v>0.4261474874918425</v>
      </c>
      <c r="J216" s="314"/>
    </row>
    <row r="217" spans="1:10">
      <c r="A217" s="284" t="s">
        <v>636</v>
      </c>
      <c r="B217" s="314">
        <f>B202/B204</f>
        <v>21.602346805736637</v>
      </c>
      <c r="C217" s="314">
        <f t="shared" ref="C217:I217" si="106">C202/C204</f>
        <v>0.92245083995311894</v>
      </c>
      <c r="D217" s="314">
        <f t="shared" si="106"/>
        <v>1.0268137648863886</v>
      </c>
      <c r="E217" s="314">
        <f t="shared" si="106"/>
        <v>0.52609736632083004</v>
      </c>
      <c r="F217" s="314">
        <f t="shared" si="106"/>
        <v>0.50467974281761208</v>
      </c>
      <c r="G217" s="314">
        <f t="shared" si="106"/>
        <v>0.62359447004608293</v>
      </c>
      <c r="H217" s="314">
        <f t="shared" si="106"/>
        <v>0.97140587768069897</v>
      </c>
      <c r="I217" s="314">
        <f t="shared" si="106"/>
        <v>0.84127802112857508</v>
      </c>
      <c r="J217" s="314"/>
    </row>
    <row r="218" spans="1:10">
      <c r="A218" s="284" t="s">
        <v>637</v>
      </c>
      <c r="B218" s="321">
        <f>(B202+B206)/(B201+B204+B205+B206)</f>
        <v>0.89364111968070759</v>
      </c>
      <c r="C218" s="321">
        <f t="shared" ref="C218:I218" si="107">(C202+C206)/(C201+C204+C205+C206)</f>
        <v>0.4343973262196057</v>
      </c>
      <c r="D218" s="321">
        <f t="shared" si="107"/>
        <v>0.46514860660620905</v>
      </c>
      <c r="E218" s="321">
        <f t="shared" si="107"/>
        <v>0.308556450102977</v>
      </c>
      <c r="F218" s="321">
        <f t="shared" si="107"/>
        <v>0.31607115551251336</v>
      </c>
      <c r="G218" s="321">
        <f t="shared" si="107"/>
        <v>0.35278168830491685</v>
      </c>
      <c r="H218" s="321">
        <f t="shared" si="107"/>
        <v>0.46051640667025284</v>
      </c>
      <c r="I218" s="321">
        <f t="shared" si="107"/>
        <v>0.4261474874918425</v>
      </c>
      <c r="J218" s="321"/>
    </row>
    <row r="219" spans="1:10">
      <c r="A219" s="284" t="s">
        <v>638</v>
      </c>
      <c r="B219" s="321">
        <f>(B202+B206)/(B204+B205)</f>
        <v>21.602346805736637</v>
      </c>
      <c r="C219" s="321">
        <f t="shared" ref="C219:I219" si="108">(C202+C206)/(C204+C205)</f>
        <v>0.92245083995311894</v>
      </c>
      <c r="D219" s="321">
        <f t="shared" si="108"/>
        <v>1.0268137648863886</v>
      </c>
      <c r="E219" s="321">
        <f t="shared" si="108"/>
        <v>0.52609736632083004</v>
      </c>
      <c r="F219" s="321">
        <f t="shared" si="108"/>
        <v>0.50467974281761208</v>
      </c>
      <c r="G219" s="321">
        <f t="shared" si="108"/>
        <v>0.62359447004608293</v>
      </c>
      <c r="H219" s="321">
        <f t="shared" si="108"/>
        <v>0.97140587768069897</v>
      </c>
      <c r="I219" s="321">
        <f t="shared" si="108"/>
        <v>0.84127802112857508</v>
      </c>
      <c r="J219" s="321"/>
    </row>
    <row r="220" spans="1:10">
      <c r="A220" s="284" t="s">
        <v>639</v>
      </c>
      <c r="B220" s="321">
        <f>'DAL-US IS-adj'!C8/(AVERAGE('DAL-US BS-adj'!C34:D34)+AVERAGE('DAL-US BS-adj'!C29:D29)+AVERAGE('DAL-US BS-adj'!C28:D28)+AVERAGE('DAL-US BS-adj'!C23:D23))</f>
        <v>0.49056603773584895</v>
      </c>
      <c r="C220" s="321">
        <f>'DAL-US IS-adj'!D8/(AVERAGE('DAL-US BS-adj'!D34:E34)+AVERAGE('DAL-US BS-adj'!D29:E29)+AVERAGE('DAL-US BS-adj'!D28:E28)+AVERAGE('DAL-US BS-adj'!D23:E23))</f>
        <v>1.4963630286341858</v>
      </c>
      <c r="D220" s="321">
        <f>'DAL-US IS-adj'!E8/(AVERAGE('DAL-US BS-adj'!E34:F34)+AVERAGE('DAL-US BS-adj'!E29:F29)+AVERAGE('DAL-US BS-adj'!E28:F28)+AVERAGE('DAL-US BS-adj'!E23:F23))</f>
        <v>1.6783488802447224</v>
      </c>
      <c r="E220" s="321">
        <f>'DAL-US IS-adj'!F8/(AVERAGE('DAL-US BS-adj'!F34:G34)+AVERAGE('DAL-US BS-adj'!F29:G29)+AVERAGE('DAL-US BS-adj'!F28:G28)+AVERAGE('DAL-US BS-adj'!F23:G23))</f>
        <v>1.9466987701531999</v>
      </c>
      <c r="F220" s="321">
        <f>'DAL-US IS-adj'!G8/(AVERAGE('DAL-US BS-adj'!G34:H34)+AVERAGE('DAL-US BS-adj'!G29:H29)+AVERAGE('DAL-US BS-adj'!G28:H28)+AVERAGE('DAL-US BS-adj'!G23:H23))</f>
        <v>2.0414454353317177</v>
      </c>
      <c r="G220" s="321">
        <f>'DAL-US IS-adj'!H8/(AVERAGE('DAL-US BS-adj'!H34:I34)+AVERAGE('DAL-US BS-adj'!H29:I29)+AVERAGE('DAL-US BS-adj'!H28:I28)+AVERAGE('DAL-US BS-adj'!H23:I23))</f>
        <v>2.1449336757658393</v>
      </c>
      <c r="H220" s="321">
        <f>'DAL-US IS-adj'!I8/(AVERAGE('DAL-US BS-adj'!I34:J34)+AVERAGE('DAL-US BS-adj'!I29:J29)+AVERAGE('DAL-US BS-adj'!I28:J28)+AVERAGE('DAL-US BS-adj'!I23:J23))</f>
        <v>1.9340469031870113</v>
      </c>
      <c r="I220" s="321">
        <f>'DAL-US IS-adj'!J8/(AVERAGE('DAL-US BS-adj'!J34:K34)+AVERAGE('DAL-US BS-adj'!J29:K29)+AVERAGE('DAL-US BS-adj'!J28:K28)+AVERAGE('DAL-US BS-adj'!J23:K23))</f>
        <v>2.2428269225039474</v>
      </c>
      <c r="J220" s="321"/>
    </row>
    <row r="221" spans="1:10">
      <c r="A221" s="274" t="s">
        <v>543</v>
      </c>
    </row>
    <row r="222" spans="1:10">
      <c r="A222" s="320" t="str" cm="1">
        <f t="array" ref="A222">_xll.FDSR($B$9,"FORMULA_DESCRIPTION(""FF_TOT_DEBT_TCAP_STD"")")</f>
        <v>Total Debt % Total Capital</v>
      </c>
      <c r="B222" s="275">
        <f t="array" ref="B222:J222">_xll.FDSR($B$9,"FF_TOT_DEBT_TCAP_STD(ANN_R,"&amp;$B$7&amp;","&amp;$B$8&amp;")")</f>
        <v>95.863222048433201</v>
      </c>
      <c r="C222" s="275">
        <v>52.9083494312084</v>
      </c>
      <c r="D222" s="275">
        <v>54.699808036009799</v>
      </c>
      <c r="E222" s="275">
        <v>41.349934469200498</v>
      </c>
      <c r="F222" s="275">
        <v>37.371935368775198</v>
      </c>
      <c r="G222" s="275">
        <v>43.427707388289299</v>
      </c>
      <c r="H222" s="275">
        <v>52.5927918235611</v>
      </c>
      <c r="I222" s="275">
        <v>49.345225146834899</v>
      </c>
      <c r="J222" s="275">
        <v>120.14558517678201</v>
      </c>
    </row>
    <row r="223" spans="1:10">
      <c r="A223" s="320" t="str" cm="1">
        <f t="array" ref="A223">_xll.FDSR(B264,"FORMULA_DESCRIPTION(""FF_DEBT_EQ"")")</f>
        <v>Total Debt % Equity</v>
      </c>
      <c r="B223" s="275">
        <f t="array" ref="B223:J223">_xll.FDSR($B$9,"FF_DEBT_EQ(ANN_R,"&amp;$B$7&amp;","&amp;$B$8&amp;")")</f>
        <v>2317.3402868318099</v>
      </c>
      <c r="C223" s="275">
        <v>112.351868732908</v>
      </c>
      <c r="D223" s="275">
        <v>120.749616424344</v>
      </c>
      <c r="E223" s="275">
        <v>70.502793296089393</v>
      </c>
      <c r="F223" s="275">
        <v>59.672824936925203</v>
      </c>
      <c r="G223" s="275">
        <v>76.764976958525295</v>
      </c>
      <c r="H223" s="275">
        <v>110.938386474526</v>
      </c>
      <c r="I223" s="275">
        <v>97.414755647169997</v>
      </c>
      <c r="J223" s="275" t="e">
        <v>#N/A</v>
      </c>
    </row>
    <row r="224" spans="1:10">
      <c r="A224" s="320"/>
      <c r="C224" s="275"/>
      <c r="D224" s="275"/>
      <c r="E224" s="275"/>
      <c r="F224" s="275"/>
      <c r="G224" s="275"/>
      <c r="H224" s="275"/>
      <c r="I224" s="275"/>
      <c r="J224" s="275"/>
    </row>
    <row r="225" spans="1:10" s="252" customFormat="1" ht="12.75">
      <c r="A225" s="287" t="s">
        <v>640</v>
      </c>
      <c r="B225" s="288" t="str">
        <f>B200</f>
        <v>Dec '20</v>
      </c>
      <c r="C225" s="288" t="str">
        <f t="shared" ref="C225:J225" si="109">C200</f>
        <v>Dec '19</v>
      </c>
      <c r="D225" s="288" t="str">
        <f t="shared" si="109"/>
        <v>Dec '18</v>
      </c>
      <c r="E225" s="288" t="str">
        <f t="shared" si="109"/>
        <v>Dec '17</v>
      </c>
      <c r="F225" s="288" t="str">
        <f t="shared" si="109"/>
        <v>Dec '16</v>
      </c>
      <c r="G225" s="288" t="str">
        <f t="shared" si="109"/>
        <v>Dec '15</v>
      </c>
      <c r="H225" s="288" t="str">
        <f t="shared" si="109"/>
        <v>Dec '14</v>
      </c>
      <c r="I225" s="288" t="str">
        <f t="shared" si="109"/>
        <v>Dec '13</v>
      </c>
      <c r="J225" s="288" t="str">
        <f t="shared" si="109"/>
        <v>Dec '12</v>
      </c>
    </row>
    <row r="226" spans="1:10">
      <c r="A226" s="252" t="s">
        <v>641</v>
      </c>
      <c r="B226" s="299">
        <f t="array" ref="B226:I226">_xll.FDSR(B9,"FF_COM_SHS_OUT_EPS_BASIC(ANN_R,0,-7AY,FY,,,M)")</f>
        <v>636</v>
      </c>
      <c r="C226" s="299">
        <v>651</v>
      </c>
      <c r="D226" s="299">
        <v>691</v>
      </c>
      <c r="E226" s="299">
        <v>720</v>
      </c>
      <c r="F226" s="299">
        <v>751</v>
      </c>
      <c r="G226" s="299">
        <v>797</v>
      </c>
      <c r="H226" s="299">
        <v>836</v>
      </c>
      <c r="I226" s="299">
        <v>849</v>
      </c>
      <c r="J226" s="299"/>
    </row>
    <row r="227" spans="1:10">
      <c r="A227" s="252" t="s">
        <v>642</v>
      </c>
      <c r="B227" s="299">
        <f t="array" ref="B227:I227">_xll.FDSR(B9,"FF_COM_SHS_OUT_EPS_DIL(ANN_R,0,-7AY,FY,,,M)")</f>
        <v>636</v>
      </c>
      <c r="C227" s="299">
        <v>653</v>
      </c>
      <c r="D227" s="299">
        <v>694</v>
      </c>
      <c r="E227" s="299">
        <v>723</v>
      </c>
      <c r="F227" s="299">
        <v>755</v>
      </c>
      <c r="G227" s="299">
        <v>804</v>
      </c>
      <c r="H227" s="299">
        <v>845</v>
      </c>
      <c r="I227" s="299">
        <v>858</v>
      </c>
      <c r="J227" s="299"/>
    </row>
    <row r="228" spans="1:10">
      <c r="A228" s="252" t="s">
        <v>643</v>
      </c>
      <c r="B228" s="322">
        <f t="array" ref="B228:I228">_xll.FDSR(B9,"FF_PRICE_CLOSE_FP(ANN,0,-7AY,FY)")</f>
        <v>40.21</v>
      </c>
      <c r="C228" s="322">
        <v>58.48</v>
      </c>
      <c r="D228" s="322">
        <v>49.9</v>
      </c>
      <c r="E228" s="322">
        <v>56</v>
      </c>
      <c r="F228" s="322">
        <v>49.19</v>
      </c>
      <c r="G228" s="322">
        <v>50.69</v>
      </c>
      <c r="H228" s="322">
        <v>49.19</v>
      </c>
      <c r="I228" s="322">
        <v>27.47</v>
      </c>
      <c r="J228" s="322"/>
    </row>
    <row r="229" spans="1:10">
      <c r="A229" s="252" t="str">
        <f t="shared" ref="A229:I229" si="110">A204</f>
        <v>Total Shareholders' Equity</v>
      </c>
      <c r="B229" s="299">
        <f t="shared" si="110"/>
        <v>1534</v>
      </c>
      <c r="C229" s="299">
        <f t="shared" si="110"/>
        <v>15358</v>
      </c>
      <c r="D229" s="299">
        <f t="shared" si="110"/>
        <v>13687</v>
      </c>
      <c r="E229" s="299">
        <f t="shared" si="110"/>
        <v>12530</v>
      </c>
      <c r="F229" s="299">
        <f t="shared" si="110"/>
        <v>12287</v>
      </c>
      <c r="G229" s="299">
        <f t="shared" si="110"/>
        <v>10850</v>
      </c>
      <c r="H229" s="299">
        <f t="shared" si="110"/>
        <v>8813</v>
      </c>
      <c r="I229" s="299">
        <f t="shared" si="110"/>
        <v>11643</v>
      </c>
      <c r="J229" s="299"/>
    </row>
    <row r="230" spans="1:10">
      <c r="A230" s="252" t="str">
        <f t="shared" ref="A230:I230" si="111">A205</f>
        <v>Value of Research Asset</v>
      </c>
      <c r="B230" s="299">
        <f t="shared" si="111"/>
        <v>0</v>
      </c>
      <c r="C230" s="299">
        <f t="shared" si="111"/>
        <v>0</v>
      </c>
      <c r="D230" s="299">
        <f t="shared" si="111"/>
        <v>0</v>
      </c>
      <c r="E230" s="299">
        <f t="shared" si="111"/>
        <v>0</v>
      </c>
      <c r="F230" s="299">
        <f t="shared" si="111"/>
        <v>0</v>
      </c>
      <c r="G230" s="299">
        <f t="shared" si="111"/>
        <v>0</v>
      </c>
      <c r="H230" s="281">
        <f t="shared" si="111"/>
        <v>0</v>
      </c>
      <c r="I230" s="281">
        <f t="shared" si="111"/>
        <v>0</v>
      </c>
      <c r="J230" s="281"/>
    </row>
    <row r="231" spans="1:10">
      <c r="A231" s="252" t="str">
        <f t="shared" ref="A231:I231" si="112">A169</f>
        <v>Net Income</v>
      </c>
      <c r="B231" s="299">
        <f t="shared" si="112"/>
        <v>-12385</v>
      </c>
      <c r="C231" s="281">
        <f t="shared" si="112"/>
        <v>4767</v>
      </c>
      <c r="D231" s="281">
        <f t="shared" si="112"/>
        <v>3935</v>
      </c>
      <c r="E231" s="281">
        <f t="shared" si="112"/>
        <v>3205</v>
      </c>
      <c r="F231" s="281">
        <f t="shared" si="112"/>
        <v>4373</v>
      </c>
      <c r="G231" s="281">
        <f t="shared" si="112"/>
        <v>4526</v>
      </c>
      <c r="H231" s="281">
        <f t="shared" si="112"/>
        <v>659</v>
      </c>
      <c r="I231" s="281">
        <f t="shared" si="112"/>
        <v>10540</v>
      </c>
      <c r="J231" s="281"/>
    </row>
    <row r="232" spans="1:10">
      <c r="A232" s="282" t="str">
        <f t="shared" ref="A232:I232" si="113">A170</f>
        <v>Net income adj. For R&amp;D, leases and extraordinary items at marginal rate</v>
      </c>
      <c r="B232" s="323">
        <f t="shared" si="113"/>
        <v>-5713.3700000000008</v>
      </c>
      <c r="C232" s="283">
        <f t="shared" si="113"/>
        <v>5770.8799999999983</v>
      </c>
      <c r="D232" s="283">
        <f t="shared" si="113"/>
        <v>4742.0900000000038</v>
      </c>
      <c r="E232" s="283">
        <f t="shared" si="113"/>
        <v>5706.98</v>
      </c>
      <c r="F232" s="283">
        <f t="shared" si="113"/>
        <v>6304.0899999999965</v>
      </c>
      <c r="G232" s="283">
        <f t="shared" si="113"/>
        <v>7026.8700000000008</v>
      </c>
      <c r="H232" s="283">
        <f t="shared" si="113"/>
        <v>4218.8199999999988</v>
      </c>
      <c r="I232" s="283">
        <f t="shared" si="113"/>
        <v>2727.8199999999983</v>
      </c>
      <c r="J232" s="283"/>
    </row>
    <row r="233" spans="1:10">
      <c r="A233" s="320" t="s">
        <v>644</v>
      </c>
      <c r="B233" s="324">
        <f>(B226*B228)/(B229)</f>
        <v>16.671160365058672</v>
      </c>
      <c r="C233" s="324">
        <f t="shared" ref="C233:I233" si="114">(C226*C228)/(C229)</f>
        <v>2.4788696444849587</v>
      </c>
      <c r="D233" s="324">
        <f t="shared" si="114"/>
        <v>2.5192445386132829</v>
      </c>
      <c r="E233" s="324">
        <f t="shared" si="114"/>
        <v>3.2178770949720672</v>
      </c>
      <c r="F233" s="324">
        <f t="shared" si="114"/>
        <v>3.0065671034426624</v>
      </c>
      <c r="G233" s="324">
        <f t="shared" si="114"/>
        <v>3.7234958525345623</v>
      </c>
      <c r="H233" s="324">
        <f t="shared" si="114"/>
        <v>4.666156813797798</v>
      </c>
      <c r="I233" s="324">
        <f t="shared" si="114"/>
        <v>2.0030945632568926</v>
      </c>
      <c r="J233" s="324"/>
    </row>
    <row r="234" spans="1:10">
      <c r="A234" s="320" t="s">
        <v>645</v>
      </c>
      <c r="B234" s="324">
        <f>(B227*B228)/(B229)</f>
        <v>16.671160365058672</v>
      </c>
      <c r="C234" s="324">
        <f t="shared" ref="C234:I234" si="115">(C227*C228)/(C229)</f>
        <v>2.4864852194296128</v>
      </c>
      <c r="D234" s="324">
        <f t="shared" si="115"/>
        <v>2.5301819244538613</v>
      </c>
      <c r="E234" s="324">
        <f t="shared" si="115"/>
        <v>3.2312849162011172</v>
      </c>
      <c r="F234" s="324">
        <f t="shared" si="115"/>
        <v>3.0225807764303734</v>
      </c>
      <c r="G234" s="324">
        <f t="shared" si="115"/>
        <v>3.7561990783410133</v>
      </c>
      <c r="H234" s="324">
        <f t="shared" si="115"/>
        <v>4.7163905594008844</v>
      </c>
      <c r="I234" s="324">
        <f t="shared" si="115"/>
        <v>2.0243287812419477</v>
      </c>
      <c r="J234" s="324"/>
    </row>
    <row r="235" spans="1:10">
      <c r="A235" s="284" t="s">
        <v>646</v>
      </c>
      <c r="B235" s="324">
        <f>(B226*B228)/(B229+B230)</f>
        <v>16.671160365058672</v>
      </c>
      <c r="C235" s="324">
        <f t="shared" ref="C235:I235" si="116">(C226*C228)/(C229+C230)</f>
        <v>2.4788696444849587</v>
      </c>
      <c r="D235" s="324">
        <f t="shared" si="116"/>
        <v>2.5192445386132829</v>
      </c>
      <c r="E235" s="324">
        <f t="shared" si="116"/>
        <v>3.2178770949720672</v>
      </c>
      <c r="F235" s="324">
        <f t="shared" si="116"/>
        <v>3.0065671034426624</v>
      </c>
      <c r="G235" s="324">
        <f t="shared" si="116"/>
        <v>3.7234958525345623</v>
      </c>
      <c r="H235" s="324">
        <f t="shared" si="116"/>
        <v>4.666156813797798</v>
      </c>
      <c r="I235" s="324">
        <f t="shared" si="116"/>
        <v>2.0030945632568926</v>
      </c>
      <c r="J235" s="324"/>
    </row>
    <row r="236" spans="1:10">
      <c r="A236" s="284" t="s">
        <v>647</v>
      </c>
      <c r="B236" s="324">
        <f>(B227*B228)/(B229+B230)</f>
        <v>16.671160365058672</v>
      </c>
      <c r="C236" s="324">
        <f t="shared" ref="C236:I236" si="117">(C227*C228)/(C229+C230)</f>
        <v>2.4864852194296128</v>
      </c>
      <c r="D236" s="324">
        <f t="shared" si="117"/>
        <v>2.5301819244538613</v>
      </c>
      <c r="E236" s="324">
        <f t="shared" si="117"/>
        <v>3.2312849162011172</v>
      </c>
      <c r="F236" s="324">
        <f t="shared" si="117"/>
        <v>3.0225807764303734</v>
      </c>
      <c r="G236" s="324">
        <f t="shared" si="117"/>
        <v>3.7561990783410133</v>
      </c>
      <c r="H236" s="324">
        <f t="shared" si="117"/>
        <v>4.7163905594008844</v>
      </c>
      <c r="I236" s="324">
        <f t="shared" si="117"/>
        <v>2.0243287812419477</v>
      </c>
      <c r="J236" s="324"/>
    </row>
    <row r="237" spans="1:10">
      <c r="A237" s="284" t="s">
        <v>648</v>
      </c>
      <c r="B237" s="324">
        <f>(B228)/(B231/(B226))</f>
        <v>-2.0648817117480824</v>
      </c>
      <c r="C237" s="324">
        <f t="shared" ref="C237:I237" si="118">(C228)/(C231/(C226))</f>
        <v>7.9862555066079297</v>
      </c>
      <c r="D237" s="324">
        <f t="shared" si="118"/>
        <v>8.7626175349428213</v>
      </c>
      <c r="E237" s="324">
        <f t="shared" si="118"/>
        <v>12.580343213728549</v>
      </c>
      <c r="F237" s="324">
        <f t="shared" si="118"/>
        <v>8.4476766521838549</v>
      </c>
      <c r="G237" s="324">
        <f t="shared" si="118"/>
        <v>8.9261886875828544</v>
      </c>
      <c r="H237" s="324">
        <f t="shared" si="118"/>
        <v>62.401881638846739</v>
      </c>
      <c r="I237" s="324">
        <f t="shared" si="118"/>
        <v>2.2127163187855787</v>
      </c>
      <c r="J237" s="324"/>
    </row>
    <row r="238" spans="1:10">
      <c r="A238" s="284" t="s">
        <v>649</v>
      </c>
      <c r="B238" s="324">
        <f>(B228)/(B231/(B227))</f>
        <v>-2.0648817117480824</v>
      </c>
      <c r="C238" s="324">
        <f t="shared" ref="C238:I238" si="119">(C228)/(C231/(C227))</f>
        <v>8.0107908537864478</v>
      </c>
      <c r="D238" s="324">
        <f t="shared" si="119"/>
        <v>8.8006607369758587</v>
      </c>
      <c r="E238" s="324">
        <f t="shared" si="119"/>
        <v>12.632761310452418</v>
      </c>
      <c r="F238" s="324">
        <f t="shared" si="119"/>
        <v>8.4926709352846999</v>
      </c>
      <c r="G238" s="324">
        <f t="shared" si="119"/>
        <v>9.0045868316394166</v>
      </c>
      <c r="H238" s="324">
        <f t="shared" si="119"/>
        <v>63.073672230652498</v>
      </c>
      <c r="I238" s="324">
        <f t="shared" si="119"/>
        <v>2.2361726755218214</v>
      </c>
      <c r="J238" s="324"/>
    </row>
    <row r="239" spans="1:10">
      <c r="A239" s="284" t="s">
        <v>650</v>
      </c>
      <c r="B239" s="324">
        <f>B228/(B232/(B226))</f>
        <v>-4.4760902934695279</v>
      </c>
      <c r="C239" s="324">
        <f t="shared" ref="C239:I239" si="120">C228/(C232/(C226))</f>
        <v>6.5969973383608744</v>
      </c>
      <c r="D239" s="324">
        <f t="shared" si="120"/>
        <v>7.2712453791471638</v>
      </c>
      <c r="E239" s="324">
        <f t="shared" si="120"/>
        <v>7.0650326442356555</v>
      </c>
      <c r="F239" s="324">
        <f t="shared" si="120"/>
        <v>5.8599559968211148</v>
      </c>
      <c r="G239" s="324">
        <f t="shared" si="120"/>
        <v>5.7493492835359117</v>
      </c>
      <c r="H239" s="324">
        <f t="shared" si="120"/>
        <v>9.7474744122764196</v>
      </c>
      <c r="I239" s="324">
        <f t="shared" si="120"/>
        <v>8.5496953611308708</v>
      </c>
      <c r="J239" s="324"/>
    </row>
    <row r="240" spans="1:10">
      <c r="A240" s="284" t="s">
        <v>651</v>
      </c>
      <c r="B240" s="324">
        <f>(B228)/(B232/(B227))</f>
        <v>-4.4760902934695279</v>
      </c>
      <c r="C240" s="324">
        <f t="shared" ref="C240:I240" si="121">(C228)/(C232/(C227))</f>
        <v>6.6172646112897882</v>
      </c>
      <c r="D240" s="324">
        <f t="shared" si="121"/>
        <v>7.3028137382462104</v>
      </c>
      <c r="E240" s="324">
        <f t="shared" si="121"/>
        <v>7.0944702802533044</v>
      </c>
      <c r="F240" s="324">
        <f t="shared" si="121"/>
        <v>5.8911674801597087</v>
      </c>
      <c r="G240" s="324">
        <f t="shared" si="121"/>
        <v>5.7998454503925636</v>
      </c>
      <c r="H240" s="324">
        <f t="shared" si="121"/>
        <v>9.8524113377674354</v>
      </c>
      <c r="I240" s="324">
        <f t="shared" si="121"/>
        <v>8.6403281741463918</v>
      </c>
      <c r="J240" s="324"/>
    </row>
    <row r="241" spans="1:10">
      <c r="A241" s="284" t="s">
        <v>652</v>
      </c>
      <c r="B241" s="325">
        <f>1/B237</f>
        <v>-0.48428924248325222</v>
      </c>
      <c r="C241" s="325">
        <f t="shared" ref="C241:I241" si="122">1/C237</f>
        <v>0.12521512731123957</v>
      </c>
      <c r="D241" s="325">
        <f t="shared" si="122"/>
        <v>0.11412115113004591</v>
      </c>
      <c r="E241" s="325">
        <f t="shared" si="122"/>
        <v>7.9489087301587311E-2</v>
      </c>
      <c r="F241" s="325">
        <f t="shared" si="122"/>
        <v>0.11837574296140757</v>
      </c>
      <c r="G241" s="325">
        <f t="shared" si="122"/>
        <v>0.11202989708150485</v>
      </c>
      <c r="H241" s="325">
        <f t="shared" si="122"/>
        <v>1.6025157795521904E-2</v>
      </c>
      <c r="I241" s="325">
        <f t="shared" si="122"/>
        <v>0.45193321507604611</v>
      </c>
      <c r="J241" s="325"/>
    </row>
    <row r="242" spans="1:10">
      <c r="A242" s="284" t="s">
        <v>653</v>
      </c>
      <c r="B242" s="325">
        <f>1/B238</f>
        <v>-0.48428924248325222</v>
      </c>
      <c r="C242" s="325">
        <f t="shared" ref="B242:I244" si="123">1/C238</f>
        <v>0.12483162003004131</v>
      </c>
      <c r="D242" s="325">
        <f t="shared" si="123"/>
        <v>0.11362783203294195</v>
      </c>
      <c r="E242" s="325">
        <f t="shared" si="123"/>
        <v>7.9159257063821375E-2</v>
      </c>
      <c r="F242" s="325">
        <f t="shared" si="123"/>
        <v>0.11774858670730741</v>
      </c>
      <c r="G242" s="325">
        <f t="shared" si="123"/>
        <v>0.11105451240542209</v>
      </c>
      <c r="H242" s="325">
        <f t="shared" si="123"/>
        <v>1.5854475641486763E-2</v>
      </c>
      <c r="I242" s="325">
        <f t="shared" si="123"/>
        <v>0.44719265687594778</v>
      </c>
      <c r="J242" s="325"/>
    </row>
    <row r="243" spans="1:10">
      <c r="A243" s="284" t="s">
        <v>654</v>
      </c>
      <c r="B243" s="325">
        <f>1/B239</f>
        <v>-0.22340925549669272</v>
      </c>
      <c r="C243" s="325">
        <f t="shared" si="123"/>
        <v>0.15158411451602397</v>
      </c>
      <c r="D243" s="325">
        <f t="shared" si="123"/>
        <v>0.13752802276042689</v>
      </c>
      <c r="E243" s="325">
        <f t="shared" si="123"/>
        <v>0.14154216269841269</v>
      </c>
      <c r="F243" s="325">
        <f t="shared" si="123"/>
        <v>0.17064974558554297</v>
      </c>
      <c r="G243" s="325">
        <f t="shared" si="123"/>
        <v>0.17393272711116087</v>
      </c>
      <c r="H243" s="325">
        <f t="shared" si="123"/>
        <v>0.10259067710304054</v>
      </c>
      <c r="I243" s="325">
        <f t="shared" si="123"/>
        <v>0.11696323175984245</v>
      </c>
      <c r="J243" s="325"/>
    </row>
    <row r="244" spans="1:10">
      <c r="A244" s="284" t="s">
        <v>655</v>
      </c>
      <c r="B244" s="325">
        <f t="shared" si="123"/>
        <v>-0.22340925549669272</v>
      </c>
      <c r="C244" s="325">
        <f t="shared" si="123"/>
        <v>0.15111984464001771</v>
      </c>
      <c r="D244" s="325">
        <f t="shared" si="123"/>
        <v>0.13693352122111668</v>
      </c>
      <c r="E244" s="325">
        <f t="shared" si="123"/>
        <v>0.14095485081999604</v>
      </c>
      <c r="F244" s="325">
        <f t="shared" si="123"/>
        <v>0.16974564097316924</v>
      </c>
      <c r="G244" s="325">
        <f t="shared" si="123"/>
        <v>0.17241838744725771</v>
      </c>
      <c r="H244" s="325">
        <f t="shared" si="123"/>
        <v>0.10149799533507914</v>
      </c>
      <c r="I244" s="325">
        <f t="shared" si="123"/>
        <v>0.11573634471341056</v>
      </c>
      <c r="J244" s="325"/>
    </row>
    <row r="245" spans="1:10">
      <c r="B245" s="326"/>
      <c r="C245" s="326"/>
      <c r="D245" s="326"/>
      <c r="E245" s="326"/>
      <c r="F245" s="326"/>
    </row>
    <row r="246" spans="1:10" s="252" customFormat="1" ht="12.75">
      <c r="A246" s="287" t="s">
        <v>656</v>
      </c>
      <c r="B246" s="288" t="str">
        <f>B225</f>
        <v>Dec '20</v>
      </c>
      <c r="C246" s="288" t="str">
        <f t="shared" ref="C246:J246" si="124">C225</f>
        <v>Dec '19</v>
      </c>
      <c r="D246" s="288" t="str">
        <f t="shared" si="124"/>
        <v>Dec '18</v>
      </c>
      <c r="E246" s="288" t="str">
        <f t="shared" si="124"/>
        <v>Dec '17</v>
      </c>
      <c r="F246" s="288" t="str">
        <f t="shared" si="124"/>
        <v>Dec '16</v>
      </c>
      <c r="G246" s="288" t="str">
        <f t="shared" si="124"/>
        <v>Dec '15</v>
      </c>
      <c r="H246" s="288" t="str">
        <f t="shared" si="124"/>
        <v>Dec '14</v>
      </c>
      <c r="I246" s="288" t="str">
        <f t="shared" si="124"/>
        <v>Dec '13</v>
      </c>
      <c r="J246" s="288" t="str">
        <f t="shared" si="124"/>
        <v>Dec '12</v>
      </c>
    </row>
    <row r="247" spans="1:10">
      <c r="A247" s="287" t="s">
        <v>657</v>
      </c>
    </row>
    <row r="248" spans="1:10">
      <c r="A248" s="252" t="s">
        <v>382</v>
      </c>
      <c r="B248" s="299">
        <f>BS!B19-BS!B31</f>
        <v>1.4770000000000003</v>
      </c>
      <c r="C248" s="299">
        <f>BS!C19-BS!C31</f>
        <v>-11.955</v>
      </c>
      <c r="D248" s="299">
        <f>BS!D19-BS!D31</f>
        <v>-12.238</v>
      </c>
      <c r="E248" s="299">
        <f>BS!E19-BS!E31</f>
        <v>-10.728999999999999</v>
      </c>
      <c r="F248" s="299">
        <f>BS!F19-BS!F31</f>
        <v>-7.7880000000000011</v>
      </c>
      <c r="G248" s="299">
        <f>BS!G19-BS!G31</f>
        <v>-8.4700000000000006</v>
      </c>
      <c r="H248" s="299">
        <f>BS!H19-BS!H31</f>
        <v>-4.4140000000000015</v>
      </c>
      <c r="I248" s="299">
        <f>BS!I19-BS!I31</f>
        <v>-4.5009999999999994</v>
      </c>
      <c r="J248" s="327"/>
    </row>
    <row r="249" spans="1:10">
      <c r="A249" s="252" t="str">
        <f>BS!A25</f>
        <v>Total Assets</v>
      </c>
      <c r="B249" s="299">
        <f>BS!B25</f>
        <v>71.995999999999995</v>
      </c>
      <c r="C249" s="299">
        <f>BS!C25</f>
        <v>64.531999999999996</v>
      </c>
      <c r="D249" s="299">
        <f>BS!D25</f>
        <v>60.265999999999998</v>
      </c>
      <c r="E249" s="299">
        <f>BS!E25</f>
        <v>58.472000000000001</v>
      </c>
      <c r="F249" s="299">
        <f>BS!F25</f>
        <v>58.899000000000001</v>
      </c>
      <c r="G249" s="299">
        <f>BS!G25</f>
        <v>60.634</v>
      </c>
      <c r="H249" s="299">
        <f>BS!H25</f>
        <v>54.121000000000002</v>
      </c>
      <c r="I249" s="299">
        <f>BS!I25</f>
        <v>59.393999999999998</v>
      </c>
      <c r="J249" s="327"/>
    </row>
    <row r="250" spans="1:10">
      <c r="A250" s="252" t="s">
        <v>658</v>
      </c>
      <c r="B250" s="299">
        <f>'DAL-US BS-adj'!C21</f>
        <v>71.995999999999995</v>
      </c>
      <c r="C250" s="299">
        <f>'DAL-US BS-adj'!D21</f>
        <v>64.531999999999996</v>
      </c>
      <c r="D250" s="299">
        <f>'DAL-US BS-adj'!E21</f>
        <v>60.265999999999998</v>
      </c>
      <c r="E250" s="299">
        <f>'DAL-US BS-adj'!F21</f>
        <v>58.472000000000001</v>
      </c>
      <c r="F250" s="299">
        <f>'DAL-US BS-adj'!G21</f>
        <v>58.899000000000001</v>
      </c>
      <c r="G250" s="299">
        <f>'DAL-US BS-adj'!H21</f>
        <v>60.634</v>
      </c>
      <c r="H250" s="299">
        <f>'DAL-US BS-adj'!I21</f>
        <v>54.121000000000002</v>
      </c>
      <c r="I250" s="299">
        <f>'DAL-US BS-adj'!J21</f>
        <v>59.393999999999998</v>
      </c>
      <c r="J250" s="491"/>
    </row>
    <row r="251" spans="1:10">
      <c r="A251" s="252" t="s">
        <v>659</v>
      </c>
      <c r="B251" s="299">
        <f>IS!C64</f>
        <v>-0.42799999999999999</v>
      </c>
      <c r="C251" s="299">
        <f>IS!D64</f>
        <v>12.454000000000001</v>
      </c>
      <c r="D251" s="299">
        <f>IS!E64</f>
        <v>10.039</v>
      </c>
      <c r="E251" s="299">
        <f>IS!F64</f>
        <v>8.2560000000000002</v>
      </c>
      <c r="F251" s="299">
        <f>IS!G64</f>
        <v>7.9029999999999996</v>
      </c>
      <c r="G251" s="299">
        <f>IS!H64</f>
        <v>7.6230000000000002</v>
      </c>
      <c r="H251" s="299">
        <f>IS!I64</f>
        <v>3.456</v>
      </c>
      <c r="I251" s="299">
        <f>IS!J64</f>
        <v>3.0489999999999999</v>
      </c>
      <c r="J251" s="326"/>
    </row>
    <row r="252" spans="1:10">
      <c r="A252" s="252" t="s">
        <v>44</v>
      </c>
      <c r="B252" s="299">
        <f>IS!B18</f>
        <v>-4.6379999999999999</v>
      </c>
      <c r="C252" s="299">
        <f>IS!C18</f>
        <v>-8.2810000000000006</v>
      </c>
      <c r="D252" s="299">
        <f>IS!D18</f>
        <v>6.6580000000000004</v>
      </c>
      <c r="E252" s="299">
        <f>IS!E18</f>
        <v>5.2670000000000003</v>
      </c>
      <c r="F252" s="299">
        <f>IS!F18</f>
        <v>6.1849999999999996</v>
      </c>
      <c r="G252" s="299">
        <f>IS!G18</f>
        <v>7.2809999999999997</v>
      </c>
      <c r="H252" s="299">
        <f>IS!H18</f>
        <v>8.3800000000000008</v>
      </c>
      <c r="I252" s="299">
        <f>IS!I18</f>
        <v>4.7640000000000002</v>
      </c>
      <c r="J252" s="491"/>
    </row>
    <row r="253" spans="1:10">
      <c r="A253" s="252" t="s">
        <v>660</v>
      </c>
      <c r="B253" s="299">
        <f>'DAL-US IS-adj'!C11</f>
        <v>-7.1180000000000012</v>
      </c>
      <c r="C253" s="299">
        <f>'DAL-US IS-adj'!D11</f>
        <v>8.4289999999999967</v>
      </c>
      <c r="D253" s="299">
        <f>'DAL-US IS-adj'!E11</f>
        <v>6.9900000000000047</v>
      </c>
      <c r="E253" s="299">
        <f>'DAL-US IS-adj'!F11</f>
        <v>8.4340000000000011</v>
      </c>
      <c r="F253" s="299">
        <f>'DAL-US IS-adj'!G11</f>
        <v>9.2669999999999959</v>
      </c>
      <c r="G253" s="299">
        <f>'DAL-US IS-adj'!H11</f>
        <v>10.378</v>
      </c>
      <c r="H253" s="299">
        <f>'DAL-US IS-adj'!I11</f>
        <v>6.5609999999999991</v>
      </c>
      <c r="I253" s="299">
        <f>'DAL-US IS-adj'!J11</f>
        <v>4.6939999999999973</v>
      </c>
      <c r="J253" s="491"/>
    </row>
    <row r="254" spans="1:10">
      <c r="A254" s="252" t="s">
        <v>135</v>
      </c>
      <c r="B254" s="299">
        <f>'DAL-US IS-adj'!C8</f>
        <v>17.094999999999999</v>
      </c>
      <c r="C254" s="299">
        <f>'DAL-US IS-adj'!D8</f>
        <v>47.006</v>
      </c>
      <c r="D254" s="299">
        <f>'DAL-US IS-adj'!E8</f>
        <v>44.441000000000003</v>
      </c>
      <c r="E254" s="299">
        <f>'DAL-US IS-adj'!F8</f>
        <v>41.234000000000002</v>
      </c>
      <c r="F254" s="299">
        <f>'DAL-US IS-adj'!G8</f>
        <v>39.601999999999997</v>
      </c>
      <c r="G254" s="299">
        <f>'DAL-US IS-adj'!H8</f>
        <v>40.506</v>
      </c>
      <c r="H254" s="299">
        <f>'DAL-US IS-adj'!I8</f>
        <v>40.204000000000001</v>
      </c>
      <c r="I254" s="299">
        <f>'DAL-US IS-adj'!J8</f>
        <v>37.637999999999998</v>
      </c>
      <c r="J254" s="491"/>
    </row>
    <row r="255" spans="1:10">
      <c r="A255" s="252" t="s">
        <v>661</v>
      </c>
      <c r="B255" s="299">
        <f t="shared" ref="B255:I255" si="125">B207</f>
        <v>25643.296180663201</v>
      </c>
      <c r="C255" s="299">
        <f t="shared" si="125"/>
        <v>37821.522091639898</v>
      </c>
      <c r="D255" s="299">
        <f t="shared" si="125"/>
        <v>34212.374843778598</v>
      </c>
      <c r="E255" s="299">
        <f t="shared" si="125"/>
        <v>39926.49609375</v>
      </c>
      <c r="F255" s="299">
        <f t="shared" si="125"/>
        <v>36838.784476292101</v>
      </c>
      <c r="G255" s="299">
        <f t="shared" si="125"/>
        <v>39866.365930440399</v>
      </c>
      <c r="H255" s="299">
        <f t="shared" si="125"/>
        <v>41169.1256078386</v>
      </c>
      <c r="I255" s="299">
        <f t="shared" si="125"/>
        <v>23501.848595892799</v>
      </c>
      <c r="J255" s="1017"/>
    </row>
    <row r="256" spans="1:10">
      <c r="A256" s="252" t="s">
        <v>662</v>
      </c>
      <c r="B256" s="299">
        <f>BS!B36</f>
        <v>70.462000000000003</v>
      </c>
      <c r="C256" s="299">
        <f>BS!C36</f>
        <v>49.173999999999999</v>
      </c>
      <c r="D256" s="299">
        <f>BS!D36</f>
        <v>46.579000000000001</v>
      </c>
      <c r="E256" s="299">
        <f>BS!E36</f>
        <v>44.561999999999998</v>
      </c>
      <c r="F256" s="299">
        <f>BS!F36</f>
        <v>46.612000000000002</v>
      </c>
      <c r="G256" s="299">
        <f>BS!G36</f>
        <v>49.783999999999999</v>
      </c>
      <c r="H256" s="299">
        <f>BS!H36</f>
        <v>45.308</v>
      </c>
      <c r="I256" s="299">
        <f>BS!I36</f>
        <v>47.750999999999998</v>
      </c>
      <c r="J256" s="491"/>
    </row>
    <row r="257" spans="1:10">
      <c r="A257" s="252" t="s">
        <v>663</v>
      </c>
      <c r="B257" s="299">
        <f>'DAL-US BS-adj'!C33</f>
        <v>70.462000000000003</v>
      </c>
      <c r="C257" s="299">
        <f>'DAL-US BS-adj'!D33</f>
        <v>49.173999999999999</v>
      </c>
      <c r="D257" s="299">
        <f>'DAL-US BS-adj'!E33</f>
        <v>46.579000000000001</v>
      </c>
      <c r="E257" s="299">
        <f>'DAL-US BS-adj'!F33</f>
        <v>44.561999999999998</v>
      </c>
      <c r="F257" s="299">
        <f>'DAL-US BS-adj'!G33</f>
        <v>46.612000000000002</v>
      </c>
      <c r="G257" s="299">
        <f>'DAL-US BS-adj'!H33</f>
        <v>49.783999999999999</v>
      </c>
      <c r="H257" s="299">
        <f>'DAL-US BS-adj'!I33</f>
        <v>45.308</v>
      </c>
      <c r="I257" s="299">
        <f>'DAL-US BS-adj'!J33</f>
        <v>47.750999999999998</v>
      </c>
      <c r="J257" s="491"/>
    </row>
    <row r="258" spans="1:10">
      <c r="A258" s="252" t="s">
        <v>664</v>
      </c>
      <c r="B258" s="299">
        <f>0.012*B248/B249+0.014*B251/B249+0.033*B252/B249+0.006*B255/B256+0.999*B254/B249</f>
        <v>2.4188285419940834</v>
      </c>
      <c r="C258" s="299">
        <f t="shared" ref="C258:I258" si="126">0.012*C248/C249+0.014*C251/C249+0.033*C252/C249+0.006*C255/C256+0.999*C254/C249</f>
        <v>5.3387489454670582</v>
      </c>
      <c r="D258" s="299">
        <f t="shared" si="126"/>
        <v>5.147230548113817</v>
      </c>
      <c r="E258" s="299">
        <f t="shared" si="126"/>
        <v>6.0830922827970282</v>
      </c>
      <c r="F258" s="299">
        <f t="shared" si="126"/>
        <v>5.417426128945384</v>
      </c>
      <c r="G258" s="299">
        <f t="shared" si="126"/>
        <v>5.4761397874812001</v>
      </c>
      <c r="H258" s="299">
        <f t="shared" si="126"/>
        <v>6.1990375946652243</v>
      </c>
      <c r="I258" s="299">
        <f t="shared" si="126"/>
        <v>3.588572936245527</v>
      </c>
      <c r="J258" s="491"/>
    </row>
    <row r="259" spans="1:10">
      <c r="A259" s="252" t="s">
        <v>665</v>
      </c>
      <c r="B259" s="299">
        <f>0.012*B248/B250+0.014*B251/B250+0.033*B253/B250+0.006*B255/B256+0.999*B254/B250</f>
        <v>2.41769181217576</v>
      </c>
      <c r="C259" s="299">
        <f t="shared" ref="C259:I259" si="127">0.012*C248/C250+0.014*C251/C250+0.033*C253/C250+0.006*C255/C256+0.999*C254/C250</f>
        <v>5.3472940083815814</v>
      </c>
      <c r="D259" s="299">
        <f t="shared" si="127"/>
        <v>5.1474123421602114</v>
      </c>
      <c r="E259" s="299">
        <f t="shared" si="127"/>
        <v>6.0848796511100671</v>
      </c>
      <c r="F259" s="299">
        <f t="shared" si="127"/>
        <v>5.4191529154782625</v>
      </c>
      <c r="G259" s="299">
        <f t="shared" si="127"/>
        <v>5.4778253269475048</v>
      </c>
      <c r="H259" s="299">
        <f t="shared" si="127"/>
        <v>6.1979284688175866</v>
      </c>
      <c r="I259" s="299">
        <f t="shared" si="127"/>
        <v>3.5885340434280706</v>
      </c>
      <c r="J259" s="491"/>
    </row>
    <row r="260" spans="1:10">
      <c r="A260" s="252" t="s">
        <v>666</v>
      </c>
      <c r="B260" s="299">
        <f>1/(1+EXP(B258))</f>
        <v>8.174814833757639E-2</v>
      </c>
      <c r="C260" s="299">
        <f t="shared" ref="C260:I260" si="128">1/(1+EXP(C258))</f>
        <v>4.7789265558514926E-3</v>
      </c>
      <c r="D260" s="299">
        <f t="shared" si="128"/>
        <v>5.7818637995993658E-3</v>
      </c>
      <c r="E260" s="299">
        <f t="shared" si="128"/>
        <v>2.2759202635907355E-3</v>
      </c>
      <c r="F260" s="299">
        <f t="shared" si="128"/>
        <v>4.4189425047576258E-3</v>
      </c>
      <c r="G260" s="299">
        <f t="shared" si="128"/>
        <v>4.1680102799818482E-3</v>
      </c>
      <c r="H260" s="299">
        <f t="shared" si="128"/>
        <v>2.0272665530403312E-3</v>
      </c>
      <c r="I260" s="299">
        <f t="shared" si="128"/>
        <v>2.6894441451718452E-2</v>
      </c>
      <c r="J260" s="641"/>
    </row>
    <row r="261" spans="1:10">
      <c r="A261" s="252" t="s">
        <v>667</v>
      </c>
      <c r="B261" s="299">
        <f>1/(1+EXP(B259))</f>
        <v>8.1833517981996187E-2</v>
      </c>
      <c r="C261" s="299">
        <f t="shared" ref="C261:I261" si="129">1/(1+EXP(C259))</f>
        <v>4.7384569822548506E-3</v>
      </c>
      <c r="D261" s="299">
        <f t="shared" si="129"/>
        <v>5.7808188624354469E-3</v>
      </c>
      <c r="E261" s="299">
        <f t="shared" si="129"/>
        <v>2.2718652225722242E-3</v>
      </c>
      <c r="F261" s="299">
        <f t="shared" si="129"/>
        <v>4.4113521508305636E-3</v>
      </c>
      <c r="G261" s="299">
        <f t="shared" si="129"/>
        <v>4.1610200595650253E-3</v>
      </c>
      <c r="H261" s="299">
        <f t="shared" si="129"/>
        <v>2.0295117282907462E-3</v>
      </c>
      <c r="I261" s="299">
        <f t="shared" si="129"/>
        <v>2.68954593394479E-2</v>
      </c>
      <c r="J261" s="641"/>
    </row>
    <row r="262" spans="1:10">
      <c r="A262" s="252" t="s">
        <v>668</v>
      </c>
      <c r="B262" s="299">
        <f>B258+3.25</f>
        <v>5.6688285419940829</v>
      </c>
      <c r="C262" s="299">
        <f t="shared" ref="C262:I262" si="130">C258+3.25</f>
        <v>8.5887489454670582</v>
      </c>
      <c r="D262" s="299">
        <f t="shared" si="130"/>
        <v>8.3972305481138179</v>
      </c>
      <c r="E262" s="299">
        <f t="shared" si="130"/>
        <v>9.3330922827970291</v>
      </c>
      <c r="F262" s="299">
        <f t="shared" si="130"/>
        <v>8.6674261289453831</v>
      </c>
      <c r="G262" s="299">
        <f t="shared" si="130"/>
        <v>8.7261397874812001</v>
      </c>
      <c r="H262" s="299">
        <f t="shared" si="130"/>
        <v>9.4490375946652243</v>
      </c>
      <c r="I262" s="299">
        <f t="shared" si="130"/>
        <v>6.8385729362455265</v>
      </c>
      <c r="J262" s="491"/>
    </row>
    <row r="263" spans="1:10">
      <c r="A263" s="252" t="s">
        <v>669</v>
      </c>
      <c r="B263" s="491">
        <f>B259+3.25</f>
        <v>5.66769181217576</v>
      </c>
      <c r="C263" s="491">
        <f t="shared" ref="C263:I263" si="131">C259+3.25</f>
        <v>8.5972940083815814</v>
      </c>
      <c r="D263" s="491">
        <f t="shared" si="131"/>
        <v>8.3974123421602123</v>
      </c>
      <c r="E263" s="491">
        <f t="shared" si="131"/>
        <v>9.334879651110068</v>
      </c>
      <c r="F263" s="491">
        <f t="shared" si="131"/>
        <v>8.6691529154782625</v>
      </c>
      <c r="G263" s="491">
        <f t="shared" si="131"/>
        <v>8.7278253269475048</v>
      </c>
      <c r="H263" s="491">
        <f t="shared" si="131"/>
        <v>9.4479284688175866</v>
      </c>
      <c r="I263" s="491">
        <f t="shared" si="131"/>
        <v>6.838534043428071</v>
      </c>
      <c r="J263" s="491"/>
    </row>
    <row r="264" spans="1:10">
      <c r="B264" s="326"/>
    </row>
    <row r="265" spans="1:10">
      <c r="B265" s="326"/>
    </row>
    <row r="266" spans="1:10">
      <c r="B266" s="326"/>
    </row>
    <row r="267" spans="1:10">
      <c r="B267" s="326"/>
    </row>
    <row r="268" spans="1:10">
      <c r="B268" s="326"/>
    </row>
    <row r="269" spans="1:10">
      <c r="B269" s="326"/>
    </row>
    <row r="270" spans="1:10">
      <c r="B270" s="326"/>
    </row>
    <row r="271" spans="1:10">
      <c r="B271" s="326"/>
    </row>
    <row r="272" spans="1:10">
      <c r="B272" s="326"/>
    </row>
    <row r="273" spans="2:2">
      <c r="B273" s="326"/>
    </row>
    <row r="274" spans="2:2">
      <c r="B274" s="326"/>
    </row>
    <row r="275" spans="2:2">
      <c r="B275" s="326"/>
    </row>
    <row r="276" spans="2:2">
      <c r="B276" s="326"/>
    </row>
    <row r="277" spans="2:2">
      <c r="B277" s="326"/>
    </row>
    <row r="278" spans="2:2">
      <c r="B278" s="326"/>
    </row>
    <row r="279" spans="2:2">
      <c r="B279" s="326"/>
    </row>
    <row r="280" spans="2:2">
      <c r="B280" s="326"/>
    </row>
    <row r="281" spans="2:2">
      <c r="B281" s="326"/>
    </row>
    <row r="282" spans="2:2">
      <c r="B282" s="326"/>
    </row>
    <row r="283" spans="2:2">
      <c r="B283" s="326"/>
    </row>
    <row r="284" spans="2:2">
      <c r="B284" s="326"/>
    </row>
    <row r="285" spans="2:2">
      <c r="B285" s="326"/>
    </row>
    <row r="286" spans="2:2">
      <c r="B286" s="326"/>
    </row>
    <row r="287" spans="2:2">
      <c r="B287" s="326"/>
    </row>
    <row r="288" spans="2:2">
      <c r="B288" s="326"/>
    </row>
    <row r="289" spans="2:2">
      <c r="B289" s="326"/>
    </row>
    <row r="290" spans="2:2">
      <c r="B290" s="326"/>
    </row>
    <row r="291" spans="2:2">
      <c r="B291" s="326"/>
    </row>
    <row r="292" spans="2:2">
      <c r="B292" s="326"/>
    </row>
    <row r="293" spans="2:2">
      <c r="B293" s="326"/>
    </row>
    <row r="294" spans="2:2">
      <c r="B294" s="326"/>
    </row>
    <row r="295" spans="2:2">
      <c r="B295" s="326"/>
    </row>
    <row r="296" spans="2:2">
      <c r="B296" s="326"/>
    </row>
    <row r="297" spans="2:2">
      <c r="B297" s="326"/>
    </row>
    <row r="298" spans="2:2">
      <c r="B298" s="326"/>
    </row>
    <row r="299" spans="2:2">
      <c r="B299" s="326"/>
    </row>
    <row r="300" spans="2:2">
      <c r="B300" s="326"/>
    </row>
    <row r="301" spans="2:2">
      <c r="B301" s="326"/>
    </row>
    <row r="302" spans="2:2">
      <c r="B302" s="326"/>
    </row>
    <row r="303" spans="2:2">
      <c r="B303" s="326"/>
    </row>
    <row r="304" spans="2:2">
      <c r="B304" s="326"/>
    </row>
    <row r="305" spans="2:2">
      <c r="B305" s="326"/>
    </row>
    <row r="306" spans="2:2">
      <c r="B306" s="326"/>
    </row>
    <row r="307" spans="2:2">
      <c r="B307" s="326"/>
    </row>
    <row r="308" spans="2:2">
      <c r="B308" s="326"/>
    </row>
    <row r="309" spans="2:2">
      <c r="B309" s="326"/>
    </row>
    <row r="310" spans="2:2">
      <c r="B310" s="326"/>
    </row>
    <row r="311" spans="2:2">
      <c r="B311" s="326"/>
    </row>
    <row r="312" spans="2:2">
      <c r="B312" s="326"/>
    </row>
    <row r="313" spans="2:2">
      <c r="B313" s="326"/>
    </row>
    <row r="314" spans="2:2">
      <c r="B314" s="326"/>
    </row>
    <row r="315" spans="2:2">
      <c r="B315" s="326"/>
    </row>
    <row r="316" spans="2:2">
      <c r="B316" s="326"/>
    </row>
    <row r="317" spans="2:2">
      <c r="B317" s="326"/>
    </row>
    <row r="318" spans="2:2">
      <c r="B318" s="326"/>
    </row>
    <row r="319" spans="2:2">
      <c r="B319" s="326"/>
    </row>
    <row r="320" spans="2:2">
      <c r="B320" s="326"/>
    </row>
    <row r="321" spans="2:2">
      <c r="B321" s="326"/>
    </row>
    <row r="322" spans="2:2">
      <c r="B322" s="326"/>
    </row>
    <row r="323" spans="2:2">
      <c r="B323" s="326"/>
    </row>
    <row r="324" spans="2:2">
      <c r="B324" s="326"/>
    </row>
    <row r="325" spans="2:2">
      <c r="B325" s="326"/>
    </row>
    <row r="326" spans="2:2">
      <c r="B326" s="326"/>
    </row>
    <row r="327" spans="2:2">
      <c r="B327" s="326"/>
    </row>
  </sheetData>
  <pageMargins left="0.7" right="0.7" top="0.78740157499999996" bottom="0.78740157499999996" header="0.3" footer="0.3"/>
  <pageSetup paperSize="9" orientation="portrait" horizontalDpi="1200" verticalDpi="1200"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BEAE-18F3-4770-8B81-826502B4532D}">
  <sheetPr>
    <tabColor theme="9" tint="0.59999389629810485"/>
  </sheetPr>
  <dimension ref="A1:L16"/>
  <sheetViews>
    <sheetView showGridLines="0" zoomScale="81" zoomScaleNormal="130" workbookViewId="0">
      <selection activeCell="O15" sqref="O15"/>
    </sheetView>
  </sheetViews>
  <sheetFormatPr defaultColWidth="11.28515625" defaultRowHeight="15" outlineLevelCol="1"/>
  <cols>
    <col min="1" max="1" width="31.85546875" style="3" bestFit="1" customWidth="1"/>
    <col min="2" max="2" width="33" style="3" customWidth="1"/>
    <col min="3" max="3" width="20.42578125" style="3" hidden="1" customWidth="1" outlineLevel="1"/>
    <col min="4" max="4" width="26.7109375" style="3" hidden="1" customWidth="1" outlineLevel="1"/>
    <col min="5" max="5" width="13.42578125" style="3" hidden="1" customWidth="1" outlineLevel="1"/>
    <col min="6" max="6" width="13.42578125" style="3" bestFit="1" customWidth="1" outlineLevel="1"/>
    <col min="7" max="7" width="13.7109375" style="3" bestFit="1" customWidth="1"/>
    <col min="8" max="8" width="10.7109375" style="3" bestFit="1" customWidth="1"/>
    <col min="9" max="9" width="16.85546875" style="3" bestFit="1" customWidth="1"/>
    <col min="10" max="10" width="21.42578125" style="3" bestFit="1" customWidth="1"/>
    <col min="11" max="11" width="16.5703125" style="3" customWidth="1"/>
    <col min="12" max="16384" width="11.28515625" style="3"/>
  </cols>
  <sheetData>
    <row r="1" spans="1:12" s="340" customFormat="1" ht="26.1" customHeight="1">
      <c r="A1" s="1287" t="s">
        <v>1539</v>
      </c>
    </row>
    <row r="2" spans="1:12" s="994" customFormat="1" ht="18.75" thickBot="1">
      <c r="A2" s="1314"/>
      <c r="B2" s="1314" t="s">
        <v>1546</v>
      </c>
      <c r="C2" s="1314"/>
      <c r="D2" s="1314"/>
      <c r="E2" s="1314"/>
      <c r="F2" s="1314"/>
      <c r="G2" s="1314"/>
      <c r="H2" s="1329"/>
      <c r="I2" s="1314"/>
      <c r="J2" s="1314"/>
      <c r="K2" s="1314"/>
      <c r="L2" s="1314"/>
    </row>
    <row r="3" spans="1:12" ht="21.75" thickBot="1">
      <c r="A3" s="1315"/>
      <c r="B3" s="1292" t="s">
        <v>1544</v>
      </c>
      <c r="C3" s="1293" t="s">
        <v>356</v>
      </c>
      <c r="D3" s="1294" t="s">
        <v>1552</v>
      </c>
      <c r="E3" s="1294" t="s">
        <v>1553</v>
      </c>
      <c r="F3" s="1294" t="s">
        <v>1550</v>
      </c>
      <c r="G3" s="1325" t="s">
        <v>1551</v>
      </c>
      <c r="H3" s="1330" t="s">
        <v>1547</v>
      </c>
      <c r="I3" s="1326" t="s">
        <v>1548</v>
      </c>
      <c r="J3" s="1294" t="s">
        <v>1549</v>
      </c>
      <c r="K3" s="1295" t="s">
        <v>1554</v>
      </c>
      <c r="L3" s="1315"/>
    </row>
    <row r="4" spans="1:12" ht="14.85" customHeight="1">
      <c r="A4" s="1315"/>
      <c r="B4" s="1296" t="str">
        <f>Comps!E9</f>
        <v>Delta Air Lines, Inc.</v>
      </c>
      <c r="C4" s="1297" t="s">
        <v>2</v>
      </c>
      <c r="D4" s="1298">
        <f>MEDIAN('DAL-US IS-adj'!C24:L24)</f>
        <v>774</v>
      </c>
      <c r="E4" s="1299" cm="1">
        <f t="array" ref="E4">_xll.FDS(C4,"FG_PRICE(0)")</f>
        <v>36.380000000000003</v>
      </c>
      <c r="F4" s="1300">
        <f>MEDIAN('DAL-US BS-adj'!C9:L9)</f>
        <v>3.8345000000000002</v>
      </c>
      <c r="G4" s="1319">
        <f>MEDIAN('DAL-US BS-adj'!C23:L23)+MEDIAN('DAL-US BS-adj'!C28:L28)</f>
        <v>12.224</v>
      </c>
      <c r="H4" s="1327">
        <f>(D4*E4-F4+G4)/1000</f>
        <v>28.1665095</v>
      </c>
      <c r="I4" s="1322">
        <f>MEDIAN('DAL-US IS-adj'!C22:L22)</f>
        <v>8.8255000000000017</v>
      </c>
      <c r="J4" s="1316">
        <f t="shared" ref="J4:J9" si="0">H4/I4</f>
        <v>3.1914916435329439</v>
      </c>
      <c r="K4" s="1301">
        <f t="shared" ref="K4:K9" si="1">J4/$J$4</f>
        <v>1</v>
      </c>
      <c r="L4" s="1315"/>
    </row>
    <row r="5" spans="1:12" ht="18.75">
      <c r="A5" s="1315"/>
      <c r="B5" s="1302" t="str">
        <f>'Industry Ratios'!E4</f>
        <v>Air Canada</v>
      </c>
      <c r="C5" s="1303" t="s">
        <v>486</v>
      </c>
      <c r="D5" s="1304">
        <f>MEDIAN('AC-CA IS-adj'!C24:L24)</f>
        <v>275.90764799999999</v>
      </c>
      <c r="E5" s="1305" cm="1">
        <f t="array" ref="E5">_xll.FDS(C5,"FG_PRICE(0)")</f>
        <v>23.32</v>
      </c>
      <c r="F5" s="1306">
        <f>MEDIAN('AC-CA BS-adj'!C9:L9)</f>
        <v>2.5634999999999999</v>
      </c>
      <c r="G5" s="1320">
        <f>MEDIAN('AC-CA BS-adj'!C23:L23)+MEDIAN('AC-CA BS-adj'!C28:L28)</f>
        <v>5.6354999999999995</v>
      </c>
      <c r="H5" s="1327">
        <f t="shared" ref="H5:H9" si="2">(D5*E5-F5+G5)/1000</f>
        <v>6.4372383513599996</v>
      </c>
      <c r="I5" s="1323">
        <f>MEDIAN('AC-CA IS-adj'!C22:L22)</f>
        <v>4.7615000150000002</v>
      </c>
      <c r="J5" s="1317">
        <f t="shared" si="0"/>
        <v>1.3519349639989446</v>
      </c>
      <c r="K5" s="1307">
        <f t="shared" si="1"/>
        <v>0.42360598585254899</v>
      </c>
      <c r="L5" s="1315"/>
    </row>
    <row r="6" spans="1:12" ht="18.75">
      <c r="A6" s="1315"/>
      <c r="B6" s="1302" t="str">
        <f>'Industry Ratios'!F4</f>
        <v>American Airlines Group, Inc.</v>
      </c>
      <c r="C6" s="1303" t="s">
        <v>487</v>
      </c>
      <c r="D6" s="1304">
        <f>MEDIAN('AAL-US IS-adj'!C24:L24)</f>
        <v>468.05937849999998</v>
      </c>
      <c r="E6" s="1305" cm="1">
        <f t="array" ref="E6">_xll.FDS(C6,"FG_PRICE(0)")</f>
        <v>19.46</v>
      </c>
      <c r="F6" s="1306">
        <f>MEDIAN('AAL-US BS-adj'!C9:L9)</f>
        <v>5.165</v>
      </c>
      <c r="G6" s="1320">
        <f>MEDIAN('AAL-US BS-adj'!C23:L23)+MEDIAN('AAL-US BS-adj'!C28:L28)</f>
        <v>20.626999999999999</v>
      </c>
      <c r="H6" s="1327">
        <f t="shared" si="2"/>
        <v>9.1238975056099996</v>
      </c>
      <c r="I6" s="1323">
        <f>MEDIAN('AAL-US IS-adj'!C22:L22)</f>
        <v>11.729500000000002</v>
      </c>
      <c r="J6" s="1317">
        <f t="shared" si="0"/>
        <v>0.77785903112749888</v>
      </c>
      <c r="K6" s="1307">
        <f t="shared" si="1"/>
        <v>0.24372898882681016</v>
      </c>
      <c r="L6" s="1315"/>
    </row>
    <row r="7" spans="1:12" ht="18.75">
      <c r="A7" s="1315"/>
      <c r="B7" s="1302" t="str">
        <f>'Industry Ratios'!G4</f>
        <v>Southwest Airlines Co.</v>
      </c>
      <c r="C7" s="1303" t="s">
        <v>489</v>
      </c>
      <c r="D7" s="1304">
        <f>MEDIAN('LUV-US IS-adj'!C24:L24)</f>
        <v>647.60161700000003</v>
      </c>
      <c r="E7" s="1305" cm="1">
        <f t="array" ref="E7">_xll.FDS(C7,"FG_PRICE(0)")</f>
        <v>46.99</v>
      </c>
      <c r="F7" s="1306">
        <f>MEDIAN('LUV-US BS-adj'!C9:L9)</f>
        <v>3.2125000000000004</v>
      </c>
      <c r="G7" s="1320" cm="1">
        <f t="array" ref="G7">MEDIAN('LUV-US BS-adj'!C23:L23+'LUV-US BS-adj'!C28:L28)</f>
        <v>3.4684999999999997</v>
      </c>
      <c r="H7" s="1327">
        <f t="shared" si="2"/>
        <v>30.431055982829999</v>
      </c>
      <c r="I7" s="1323">
        <f>MEDIAN('LUV-US IS-adj'!C22:L22)</f>
        <v>5.5440000000000014</v>
      </c>
      <c r="J7" s="1317">
        <f t="shared" si="0"/>
        <v>5.489007211910172</v>
      </c>
      <c r="K7" s="1307">
        <f t="shared" si="1"/>
        <v>1.7198876967241266</v>
      </c>
      <c r="L7" s="1315"/>
    </row>
    <row r="8" spans="1:12" ht="18.75">
      <c r="A8" s="1315"/>
      <c r="B8" s="1302" t="str">
        <f>'Industry Ratios'!H4</f>
        <v>Alaska Air Group, Inc.</v>
      </c>
      <c r="C8" s="1303" t="s">
        <v>488</v>
      </c>
      <c r="D8" s="1304">
        <f>MEDIAN('ALK-US IS-adj'!C24:L24)</f>
        <v>124.69645750000001</v>
      </c>
      <c r="E8" s="1305" cm="1">
        <f t="array" ref="E8">_xll.FDS(C8,"FG_PRICE(0)")</f>
        <v>52.91</v>
      </c>
      <c r="F8" s="1306">
        <f>MEDIAN('ALK-US BS-adj'!C9:L9)</f>
        <v>1.3029999999999999</v>
      </c>
      <c r="G8" s="1320">
        <f>MEDIAN('ALK-US BS-adj'!C23:L23)+MEDIAN('ALK-US BS-adj'!C28:L28)</f>
        <v>1.42055</v>
      </c>
      <c r="H8" s="1327">
        <f t="shared" si="2"/>
        <v>6.5978071163249998</v>
      </c>
      <c r="I8" s="1323">
        <f>MEDIAN('ALK-US IS-adj'!C22:L22)</f>
        <v>3.9625000000000004</v>
      </c>
      <c r="J8" s="1317">
        <f t="shared" si="0"/>
        <v>1.6650617328264983</v>
      </c>
      <c r="K8" s="1307">
        <f t="shared" si="1"/>
        <v>0.52171896993698363</v>
      </c>
      <c r="L8" s="1315"/>
    </row>
    <row r="9" spans="1:12" ht="19.5" thickBot="1">
      <c r="A9" s="1315"/>
      <c r="B9" s="1308" t="str">
        <f>'Industry Ratios'!I4</f>
        <v>SkyWest, Inc</v>
      </c>
      <c r="C9" s="1309" t="s">
        <v>490</v>
      </c>
      <c r="D9" s="1310">
        <f>MEDIAN('skyw-US IS-adj'!C24:L24)</f>
        <v>51.208045499999997</v>
      </c>
      <c r="E9" s="1311" cm="1">
        <f t="array" ref="E9">_xll.FDS(C9,"FG_PRICE(0)")</f>
        <v>44.23</v>
      </c>
      <c r="F9" s="1312">
        <f>MEDIAN('skyw-US BS-adj'!C9:L9)</f>
        <v>0.65830299999999997</v>
      </c>
      <c r="G9" s="1321">
        <f>MEDIAN('skyw-US BS-adj'!C23:L23)+MEDIAN('skyw-US BS-adj'!C28:L28)</f>
        <v>1.9393290000000003</v>
      </c>
      <c r="H9" s="1328">
        <f t="shared" si="2"/>
        <v>2.2662128784649993</v>
      </c>
      <c r="I9" s="1324">
        <f>MEDIAN('skyw-US IS-adj'!C22:L22)</f>
        <v>4.2198200000000003</v>
      </c>
      <c r="J9" s="1318">
        <f t="shared" si="0"/>
        <v>0.53704017670540427</v>
      </c>
      <c r="K9" s="1313">
        <f t="shared" si="1"/>
        <v>0.16827246839064477</v>
      </c>
      <c r="L9" s="1315"/>
    </row>
    <row r="10" spans="1:12">
      <c r="A10" s="1315"/>
      <c r="B10" s="1315"/>
      <c r="C10" s="1315"/>
      <c r="D10" s="1315"/>
      <c r="E10" s="1315"/>
      <c r="F10" s="1315"/>
      <c r="G10" s="1315"/>
      <c r="H10" s="1315"/>
      <c r="I10" s="1315"/>
      <c r="J10" s="1315"/>
      <c r="K10" s="1315"/>
      <c r="L10" s="1315"/>
    </row>
    <row r="15" spans="1:12" ht="29.25" customHeight="1"/>
    <row r="16" spans="1:12">
      <c r="A16" s="15"/>
    </row>
  </sheetData>
  <pageMargins left="0.7" right="0.7" top="0.78740157499999996" bottom="0.78740157499999996" header="0.3" footer="0.3"/>
  <pageSetup paperSize="9"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5">
    <tabColor theme="9" tint="0.59999389629810485"/>
  </sheetPr>
  <dimension ref="A1:J99"/>
  <sheetViews>
    <sheetView workbookViewId="0">
      <selection activeCell="E4" sqref="E4"/>
    </sheetView>
  </sheetViews>
  <sheetFormatPr defaultColWidth="11.28515625" defaultRowHeight="15"/>
  <cols>
    <col min="1" max="1" width="12.7109375" style="999" customWidth="1"/>
    <col min="2" max="2" width="32.7109375" style="3" bestFit="1" customWidth="1"/>
    <col min="3" max="9" width="12.7109375" style="1000" customWidth="1"/>
    <col min="10" max="16384" width="11.28515625" style="3"/>
  </cols>
  <sheetData>
    <row r="1" spans="1:9" s="340" customFormat="1" ht="26.1" customHeight="1">
      <c r="A1" s="338" t="s">
        <v>670</v>
      </c>
      <c r="B1" s="339"/>
    </row>
    <row r="3" spans="1:9">
      <c r="A3" s="1025" t="str">
        <f>'At a Glance'!CPYATGLANCEFF_RWIdentifier</f>
        <v>DAL-US</v>
      </c>
      <c r="E3" s="1024" t="s">
        <v>486</v>
      </c>
      <c r="F3" s="1024" t="s">
        <v>487</v>
      </c>
      <c r="G3" s="1024" t="s">
        <v>489</v>
      </c>
      <c r="H3" s="1024" t="s">
        <v>488</v>
      </c>
      <c r="I3" s="1024" t="s">
        <v>490</v>
      </c>
    </row>
    <row r="4" spans="1:9" s="924" customFormat="1" ht="45">
      <c r="A4" s="1001" t="str" cm="1">
        <f t="array" ref="A4">_xll.FDS(A3,"FG_COMPANY_NAME()")</f>
        <v>Delta Air Lines, Inc.</v>
      </c>
      <c r="B4" s="1002"/>
      <c r="C4" s="1003" t="s">
        <v>671</v>
      </c>
      <c r="D4" s="1003" t="s">
        <v>672</v>
      </c>
      <c r="E4" s="1003" t="str" cm="1">
        <f t="array" ref="E4">_xll.FDS(E3,"FG_COMPANY_NAME()")</f>
        <v>Air Canada</v>
      </c>
      <c r="F4" s="1003" t="str" cm="1">
        <f t="array" ref="F4">_xll.FDS(F3,"FG_COMPANY_NAME()")</f>
        <v>American Airlines Group, Inc.</v>
      </c>
      <c r="G4" s="1003" t="str" cm="1">
        <f t="array" ref="G4">_xll.FDS(G3,"FG_COMPANY_NAME()")</f>
        <v>Southwest Airlines Co.</v>
      </c>
      <c r="H4" s="1003" t="str" cm="1">
        <f t="array" ref="H4">_xll.FDS(H3,"FG_COMPANY_NAME()")</f>
        <v>Alaska Air Group, Inc.</v>
      </c>
      <c r="I4" s="1003" t="str" cm="1">
        <f t="array" ref="I4">_xll.FDS(I3,"FG_COMPANY_NAME()")</f>
        <v>SkyWest, Inc</v>
      </c>
    </row>
    <row r="5" spans="1:9">
      <c r="A5" s="953" cm="1">
        <f t="array" ref="A5">_xll.FDS(A3,"FF_CURR_RATIO(ANN_R,0)")</f>
        <v>1.0927356062033</v>
      </c>
      <c r="B5" s="1004" t="s">
        <v>89</v>
      </c>
      <c r="C5" s="943">
        <f>AVERAGE(E5:I5)</f>
        <v>1.1764877168784367</v>
      </c>
      <c r="D5" s="943">
        <f>MEDIAN(E5:I5)</f>
        <v>1.0436222154733601</v>
      </c>
      <c r="E5" s="943" cm="1">
        <f t="array" ref="E5">_xll.FDS(E3,"FF_CURR_RATIO(ANN_R,0)")</f>
        <v>1.21459588177616</v>
      </c>
      <c r="F5" s="943" cm="1">
        <f t="array" ref="F5">_xll.FDS(F3,"FF_CURR_RATIO(ANN_R,0)")</f>
        <v>0.66962399662019401</v>
      </c>
      <c r="G5" s="943" cm="1">
        <f t="array" ref="G5">_xll.FDS(G3,"FF_CURR_RATIO(ANN_R,0)")</f>
        <v>2.0214495070610199</v>
      </c>
      <c r="H5" s="943" cm="1">
        <f t="array" ref="H5">_xll.FDS(H3,"FF_CURR_RATIO(ANN_R,0)")</f>
        <v>0.93314698346144898</v>
      </c>
      <c r="I5" s="943" cm="1">
        <f t="array" ref="I5">_xll.FDS(I3,"FF_CURR_RATIO(ANN_R,0)")</f>
        <v>1.0436222154733601</v>
      </c>
    </row>
    <row r="6" spans="1:9">
      <c r="A6" s="953" cm="1">
        <f t="array" ref="A6">(_xll.FDS(A3,"FF_CASH_ST(ANN_R,0)")+_xll.FDS(A3,"FF_RECEIV_ST(ANN_R,0)"))/_xll.FDS(A3,"FF_LIABS_CURR(ANN_R,0)")</f>
        <v>0.98474288943303823</v>
      </c>
      <c r="B6" s="1004" t="s">
        <v>541</v>
      </c>
      <c r="C6" s="943">
        <f>AVERAGE(E6:I6)</f>
        <v>1.0847527299155675</v>
      </c>
      <c r="D6" s="943">
        <f>MEDIAN(E6:I6)</f>
        <v>0.91777191145582249</v>
      </c>
      <c r="E6" s="943" cm="1">
        <f t="array" ref="E6">(_xll.FDS(E3,"FF_CASH_ST(ANN_R,0)")+_xll.FDS(E3,"FF_RECEIV_ST(ANN_R,0)"))/_xll.FDS(E3,"FF_LIABS_CURR(ANN_R,0)")</f>
        <v>1.1557641126208151</v>
      </c>
      <c r="F6" s="943" cm="1">
        <f t="array" ref="F6">(_xll.FDS(F3,"FF_CASH_ST(ANN_R,0)")+_xll.FDS(F3,"FF_RECEIV_ST(ANN_R,0)"))/_xll.FDS(F3,"FF_LIABS_CURR(ANN_R,0)")</f>
        <v>0.53201762327237612</v>
      </c>
      <c r="G6" s="943" cm="1">
        <f t="array" ref="G6">(_xll.FDS(G3,"FF_CASH_ST(ANN_R,0)")+_xll.FDS(G3,"FF_RECEIV_ST(ANN_R,0)"))/_xll.FDS(G3,"FF_LIABS_CURR(ANN_R,0)")</f>
        <v>1.9269917399413803</v>
      </c>
      <c r="H6" s="943" cm="1">
        <f t="array" ref="H6">(_xll.FDS(H3,"FF_CASH_ST(ANN_R,0)")+_xll.FDS(H3,"FF_RECEIV_ST(ANN_R,0)"))/_xll.FDS(H3,"FF_LIABS_CURR(ANN_R,0)")</f>
        <v>0.89121826228744472</v>
      </c>
      <c r="I6" s="943" cm="1">
        <f t="array" ref="I6">(_xll.FDS(I3,"FF_CASH_ST(ANN_R,0)")+_xll.FDS(I3,"FF_RECEIV_ST(ANN_R,0)"))/_xll.FDS(I3,"FF_LIABS_CURR(ANN_R,0)")</f>
        <v>0.91777191145582249</v>
      </c>
    </row>
    <row r="7" spans="1:9">
      <c r="A7" s="953" cm="1">
        <f t="array" ref="A7">_xll.FDS(A3,"FF_QUICK_RATIO(ANN_R,0)")</f>
        <v>1.0467759151127001</v>
      </c>
      <c r="B7" s="1004" t="s">
        <v>90</v>
      </c>
      <c r="C7" s="943">
        <f>AVERAGE(E7:I7)</f>
        <v>1.1193004555111419</v>
      </c>
      <c r="D7" s="943">
        <f>MEDIAN(E7:I7)</f>
        <v>0.94678259613771398</v>
      </c>
      <c r="E7" s="943" cm="1">
        <f t="array" ref="E7">_xll.FDS(E3,"FF_QUICK_RATIO(ANN_R,0)")</f>
        <v>1.19134332539571</v>
      </c>
      <c r="F7" s="943" cm="1">
        <f t="array" ref="F7">_xll.FDS(F3,"FF_QUICK_RATIO(ANN_R,0)")</f>
        <v>0.57221316917134402</v>
      </c>
      <c r="G7" s="943" cm="1">
        <f t="array" ref="G7">_xll.FDS(G3,"FF_QUICK_RATIO(ANN_R,0)")</f>
        <v>1.96629363176126</v>
      </c>
      <c r="H7" s="943" cm="1">
        <f t="array" ref="H7">_xll.FDS(H3,"FF_QUICK_RATIO(ANN_R,0)")</f>
        <v>0.91986955508968105</v>
      </c>
      <c r="I7" s="943" cm="1">
        <f t="array" ref="I7">_xll.FDS(I3,"FF_QUICK_RATIO(ANN_R,0)")</f>
        <v>0.94678259613771398</v>
      </c>
    </row>
    <row r="8" spans="1:9">
      <c r="A8" s="953" cm="1">
        <f t="array" ref="A8">_xll.FDS(A3,"FF_CASH_RATIO(ANN_R,0)")</f>
        <v>0.89709298675205595</v>
      </c>
      <c r="B8" s="1004" t="s">
        <v>542</v>
      </c>
      <c r="C8" s="943">
        <f>AVERAGE(E8:I8)</f>
        <v>0.98989023039918123</v>
      </c>
      <c r="D8" s="943">
        <f>MEDIAN(E8:I8)</f>
        <v>0.87701890791549997</v>
      </c>
      <c r="E8" s="943" cm="1">
        <f t="array" ref="E8">_xll.FDS(E3,"FF_CASH_RATIO(ANN_R,0)")</f>
        <v>1.0655553999159499</v>
      </c>
      <c r="F8" s="943" cm="1">
        <f t="array" ref="F8">_xll.FDS(F3,"FF_CASH_RATIO(ANN_R,0)")</f>
        <v>0.45102299474923002</v>
      </c>
      <c r="G8" s="943" cm="1">
        <f t="array" ref="G8">_xll.FDS(G3,"FF_CASH_RATIO(ANN_R,0)")</f>
        <v>1.77644551025846</v>
      </c>
      <c r="H8" s="943" cm="1">
        <f t="array" ref="H8">_xll.FDS(H3,"FF_CASH_RATIO(ANN_R,0)")</f>
        <v>0.77940833915676699</v>
      </c>
      <c r="I8" s="943" cm="1">
        <f t="array" ref="I8">_xll.FDS(I3,"FF_CASH_RATIO(ANN_R,0)")</f>
        <v>0.87701890791549997</v>
      </c>
    </row>
    <row r="10" spans="1:9" ht="31.5" customHeight="1">
      <c r="A10" s="1001" t="str">
        <f>A4</f>
        <v>Delta Air Lines, Inc.</v>
      </c>
      <c r="B10" s="1067"/>
      <c r="C10" s="1003" t="str">
        <f>C4</f>
        <v>Mean</v>
      </c>
      <c r="D10" s="1003" t="str">
        <f t="shared" ref="D10:I10" si="0">D4</f>
        <v>Median</v>
      </c>
      <c r="E10" s="1003" t="str">
        <f t="shared" si="0"/>
        <v>Air Canada</v>
      </c>
      <c r="F10" s="932" t="str">
        <f t="shared" si="0"/>
        <v>American Airlines Group, Inc.</v>
      </c>
      <c r="G10" s="1003" t="str">
        <f t="shared" si="0"/>
        <v>Southwest Airlines Co.</v>
      </c>
      <c r="H10" s="1003" t="str">
        <f t="shared" si="0"/>
        <v>Alaska Air Group, Inc.</v>
      </c>
      <c r="I10" s="1003" t="str">
        <f t="shared" si="0"/>
        <v>SkyWest, Inc</v>
      </c>
    </row>
    <row r="11" spans="1:9">
      <c r="A11" s="953" cm="1">
        <f t="array" ref="A11">_xll.FDS(A3,"FF_RECEIV_TURN(ANN_R,0)")</f>
        <v>8.0447058823529396</v>
      </c>
      <c r="B11" s="689" t="s">
        <v>554</v>
      </c>
      <c r="C11" s="943">
        <f>AVERAGE(E11:I11)</f>
        <v>13.56013249342845</v>
      </c>
      <c r="D11" s="943">
        <f>MEDIAN(E11:I11)</f>
        <v>8.88169364881694</v>
      </c>
      <c r="E11" s="943" cm="1">
        <f t="array" ref="E11">_xll.FDS(E3,"FF_RECEIV_TURN(ANN_R,0)")</f>
        <v>7.4305732484076401</v>
      </c>
      <c r="F11" s="943" cm="1">
        <f t="array" ref="F11">_xll.FDS(F3,"FF_RECEIV_TURN(ANN_R,0)")</f>
        <v>11.214100905562701</v>
      </c>
      <c r="G11" s="943" cm="1">
        <f t="array" ref="G11">_xll.FDS(G3,"FF_RECEIV_TURN(ANN_R,0)")</f>
        <v>8.1660649819494608</v>
      </c>
      <c r="H11" s="943" cm="1">
        <f t="array" ref="H11">_xll.FDS(H3,"FF_RECEIV_TURN(ANN_R,0)")</f>
        <v>8.88169364881694</v>
      </c>
      <c r="I11" s="943" cm="1">
        <f t="array" ref="I11">_xll.FDS(I3,"FF_RECEIV_TURN(ANN_R,0)")</f>
        <v>32.108229682405501</v>
      </c>
    </row>
    <row r="12" spans="1:9">
      <c r="A12" s="953" cm="1">
        <f t="array" ref="A12">_xll.FDS(A3,"FF_INVEN_TURN(ANN_R,0)")</f>
        <v>23.833585476550699</v>
      </c>
      <c r="B12" s="689" t="s">
        <v>555</v>
      </c>
      <c r="C12" s="943">
        <f t="shared" ref="C12:C25" si="1">AVERAGE(E12:I12)</f>
        <v>34.943652861096538</v>
      </c>
      <c r="D12" s="943">
        <f t="shared" ref="D12:D25" si="2">MEDIAN(E12:I12)</f>
        <v>25.100742311770901</v>
      </c>
      <c r="E12" s="953" cm="1">
        <f t="array" ref="E12">_xll.FDS(E3,"FF_INVEN_TURN(ANN_R,0)")</f>
        <v>40.529100529100504</v>
      </c>
      <c r="F12" s="953" cm="1">
        <f t="array" ref="F12">_xll.FDS(F3,"FF_INVEN_TURN(ANN_R,0)")</f>
        <v>14.230880230880199</v>
      </c>
      <c r="G12" s="953" cm="1">
        <f t="array" ref="G12">_xll.FDS(G3,"FF_INVEN_TURN(ANN_R,0)")</f>
        <v>25.100742311770901</v>
      </c>
      <c r="H12" s="953" cm="1">
        <f t="array" ref="H12">_xll.FDS(H3,"FF_INVEN_TURN(ANN_R,0)")</f>
        <v>73.6279069767442</v>
      </c>
      <c r="I12" s="953" cm="1">
        <f t="array" ref="I12">_xll.FDS(I3,"FF_INVEN_TURN(ANN_R,0)")</f>
        <v>21.229634256986898</v>
      </c>
    </row>
    <row r="13" spans="1:9">
      <c r="A13" s="953">
        <f>'Help Sheet'!C6/AVERAGE('Help Sheet'!C26:C27)</f>
        <v>23.833585476550681</v>
      </c>
      <c r="B13" s="689" t="s">
        <v>673</v>
      </c>
      <c r="C13" s="943">
        <f t="shared" si="1"/>
        <v>34.94365286109656</v>
      </c>
      <c r="D13" s="943">
        <f t="shared" si="2"/>
        <v>25.100742311770944</v>
      </c>
      <c r="E13" s="943">
        <f>'Help Sheet'!D6/AVERAGE('Help Sheet'!D26:D27)</f>
        <v>40.529100529100532</v>
      </c>
      <c r="F13" s="943">
        <f>'Help Sheet'!E6/AVERAGE('Help Sheet'!E26:E27)</f>
        <v>14.230880230880231</v>
      </c>
      <c r="G13" s="943">
        <f>'Help Sheet'!F6/AVERAGE('Help Sheet'!F26:F27)</f>
        <v>25.100742311770944</v>
      </c>
      <c r="H13" s="943">
        <f>'Help Sheet'!G6/AVERAGE('Help Sheet'!G26:G27)</f>
        <v>73.627906976744185</v>
      </c>
      <c r="I13" s="943">
        <f>'Help Sheet'!H6/AVERAGE('Help Sheet'!H26:H27)</f>
        <v>21.229634256986895</v>
      </c>
    </row>
    <row r="14" spans="1:9">
      <c r="A14" s="943" cm="1">
        <f t="array" ref="A14">_xll.FDS(A3,"FF_PAY_TURN(ANN_R,0)")</f>
        <v>7.5702999999999996</v>
      </c>
      <c r="B14" s="689" t="s">
        <v>557</v>
      </c>
      <c r="C14" s="943">
        <f t="shared" si="1"/>
        <v>17.98612</v>
      </c>
      <c r="D14" s="943">
        <f t="shared" si="2"/>
        <v>14.989599999999999</v>
      </c>
      <c r="E14" s="943" cm="1">
        <f t="array" ref="E14">_xll.FDS(E3,"FF_PAY_TURN(ANN_R,0)")</f>
        <v>3.0945</v>
      </c>
      <c r="F14" s="943" cm="1">
        <f t="array" ref="F14">_xll.FDS(F3,"FF_PAY_TURN(ANN_R,0)")</f>
        <v>14.989599999999999</v>
      </c>
      <c r="G14" s="943" cm="1">
        <f t="array" ref="G14">_xll.FDS(G3,"FF_PAY_TURN(ANN_R,0)")</f>
        <v>27.035799999999998</v>
      </c>
      <c r="H14" s="943" cm="1">
        <f t="array" ref="H14">_xll.FDS(H3,"FF_PAY_TURN(ANN_R,0)")</f>
        <v>37.275599999999997</v>
      </c>
      <c r="I14" s="943" cm="1">
        <f t="array" ref="I14">_xll.FDS(I3,"FF_PAY_TURN(ANN_R,0)")</f>
        <v>7.5350999999999999</v>
      </c>
    </row>
    <row r="15" spans="1:9">
      <c r="A15" s="953">
        <f>('Help Sheet'!C6+'Help Sheet'!C27-'Help Sheet'!C26)/AVERAGE('Help Sheet'!C28:C29)</f>
        <v>7.5702587618735668</v>
      </c>
      <c r="B15" s="689" t="s">
        <v>674</v>
      </c>
      <c r="C15" s="943">
        <f t="shared" si="1"/>
        <v>17.986097236808117</v>
      </c>
      <c r="D15" s="943">
        <f t="shared" si="2"/>
        <v>14.989564149785144</v>
      </c>
      <c r="E15" s="953">
        <f>('Help Sheet'!D6+'Help Sheet'!D27-'Help Sheet'!D26)/AVERAGE('Help Sheet'!D28:D29)</f>
        <v>3.0944929892298312</v>
      </c>
      <c r="F15" s="953">
        <f>('Help Sheet'!E6+'Help Sheet'!E27-'Help Sheet'!E26)/AVERAGE('Help Sheet'!E28:E29)</f>
        <v>14.989564149785144</v>
      </c>
      <c r="G15" s="953">
        <f>('Help Sheet'!F6+'Help Sheet'!F27-'Help Sheet'!F26)/AVERAGE('Help Sheet'!F28:F29)</f>
        <v>27.035755478662054</v>
      </c>
      <c r="H15" s="953">
        <f>('Help Sheet'!G6+'Help Sheet'!G27-'Help Sheet'!G26)/AVERAGE('Help Sheet'!G28:G29)</f>
        <v>37.275590551181104</v>
      </c>
      <c r="I15" s="953">
        <f>('Help Sheet'!H6+'Help Sheet'!H27-'Help Sheet'!H26)/AVERAGE('Help Sheet'!H28:H29)</f>
        <v>7.5350830151824537</v>
      </c>
    </row>
    <row r="16" spans="1:9">
      <c r="A16" s="953" cm="1">
        <f t="array" ref="A16">_xll.FDS(A3,"FF_INVEN_DAYS(ANN_R,0)")</f>
        <v>15.314523295670901</v>
      </c>
      <c r="B16" s="689" t="s">
        <v>384</v>
      </c>
      <c r="C16" s="943">
        <f t="shared" si="1"/>
        <v>14.269206685878967</v>
      </c>
      <c r="D16" s="943">
        <f t="shared" si="2"/>
        <v>14.5414026193494</v>
      </c>
      <c r="E16" s="953" cm="1">
        <f t="array" ref="E16">_xll.FDS(E3,"FF_INVEN_DAYS(ANN_R,0)")</f>
        <v>9.0058746736292399</v>
      </c>
      <c r="F16" s="953" cm="1">
        <f t="array" ref="F16">_xll.FDS(F3,"FF_INVEN_DAYS(ANN_R,0)")</f>
        <v>25.648448590549599</v>
      </c>
      <c r="G16" s="953" cm="1">
        <f t="array" ref="G16">_xll.FDS(G3,"FF_INVEN_DAYS(ANN_R,0)")</f>
        <v>14.5414026193494</v>
      </c>
      <c r="H16" s="953" cm="1">
        <f t="array" ref="H16">_xll.FDS(H3,"FF_INVEN_DAYS(ANN_R,0)")</f>
        <v>4.9573594440934903</v>
      </c>
      <c r="I16" s="953" cm="1">
        <f t="array" ref="I16">_xll.FDS(I3,"FF_INVEN_DAYS(ANN_R,0)")</f>
        <v>17.192948101773101</v>
      </c>
    </row>
    <row r="17" spans="1:9">
      <c r="A17" s="953">
        <f>365/A13</f>
        <v>15.314523295670941</v>
      </c>
      <c r="B17" s="689" t="s">
        <v>675</v>
      </c>
      <c r="C17" s="943">
        <f t="shared" si="1"/>
        <v>14.269206685878959</v>
      </c>
      <c r="D17" s="943">
        <f t="shared" si="2"/>
        <v>14.541402619349387</v>
      </c>
      <c r="E17" s="953">
        <f>365/E13</f>
        <v>9.0058746736292417</v>
      </c>
      <c r="F17" s="953">
        <f t="shared" ref="F17:I17" si="3">365/F13</f>
        <v>25.648448590549584</v>
      </c>
      <c r="G17" s="953">
        <f t="shared" si="3"/>
        <v>14.541402619349387</v>
      </c>
      <c r="H17" s="953">
        <f t="shared" si="3"/>
        <v>4.9573594440934938</v>
      </c>
      <c r="I17" s="953">
        <f t="shared" si="3"/>
        <v>17.192948101773098</v>
      </c>
    </row>
    <row r="18" spans="1:9">
      <c r="A18" s="953">
        <f>365/A11</f>
        <v>45.371453641415627</v>
      </c>
      <c r="B18" s="689" t="s">
        <v>676</v>
      </c>
      <c r="C18" s="943">
        <f t="shared" si="1"/>
        <v>35.766084747442044</v>
      </c>
      <c r="D18" s="943">
        <f t="shared" si="2"/>
        <v>41.095765563656741</v>
      </c>
      <c r="E18" s="953">
        <f>365/E11</f>
        <v>49.121378364477991</v>
      </c>
      <c r="F18" s="953">
        <f t="shared" ref="F18:I18" si="4">365/F11</f>
        <v>32.548307088885167</v>
      </c>
      <c r="G18" s="953">
        <f t="shared" si="4"/>
        <v>44.697170645446498</v>
      </c>
      <c r="H18" s="953">
        <f t="shared" si="4"/>
        <v>41.095765563656741</v>
      </c>
      <c r="I18" s="953">
        <f t="shared" si="4"/>
        <v>11.367802074743809</v>
      </c>
    </row>
    <row r="19" spans="1:9">
      <c r="A19" s="953">
        <f>A16+A18</f>
        <v>60.685976937086529</v>
      </c>
      <c r="B19" s="689" t="s">
        <v>677</v>
      </c>
      <c r="C19" s="943">
        <f t="shared" si="1"/>
        <v>50.035291433321007</v>
      </c>
      <c r="D19" s="943">
        <f t="shared" si="2"/>
        <v>58.127253038107227</v>
      </c>
      <c r="E19" s="953">
        <f t="shared" ref="E19:I19" si="5">E16+E18</f>
        <v>58.127253038107227</v>
      </c>
      <c r="F19" s="953">
        <f t="shared" si="5"/>
        <v>58.196755679434766</v>
      </c>
      <c r="G19" s="953">
        <f t="shared" si="5"/>
        <v>59.238573264795896</v>
      </c>
      <c r="H19" s="953">
        <f t="shared" si="5"/>
        <v>46.053125007750232</v>
      </c>
      <c r="I19" s="953">
        <f t="shared" si="5"/>
        <v>28.560750176516912</v>
      </c>
    </row>
    <row r="20" spans="1:9">
      <c r="A20" s="953">
        <f>A17+A18</f>
        <v>60.685976937086565</v>
      </c>
      <c r="B20" s="689" t="s">
        <v>678</v>
      </c>
      <c r="C20" s="943">
        <f t="shared" si="1"/>
        <v>50.035291433320999</v>
      </c>
      <c r="D20" s="943">
        <f t="shared" si="2"/>
        <v>58.127253038107234</v>
      </c>
      <c r="E20" s="953">
        <f>E17+E18</f>
        <v>58.127253038107234</v>
      </c>
      <c r="F20" s="953">
        <f t="shared" ref="F20:I20" si="6">F17+F18</f>
        <v>58.196755679434752</v>
      </c>
      <c r="G20" s="953">
        <f t="shared" si="6"/>
        <v>59.238573264795889</v>
      </c>
      <c r="H20" s="953">
        <f t="shared" si="6"/>
        <v>46.053125007750232</v>
      </c>
      <c r="I20" s="953">
        <f t="shared" si="6"/>
        <v>28.560750176516905</v>
      </c>
    </row>
    <row r="21" spans="1:9">
      <c r="A21" s="953" cm="1">
        <f t="array" ref="A21">_xll.FDS(A3,"FF_PAY_TURN_DAYS(ANN_R,0)")</f>
        <v>48.214733894297503</v>
      </c>
      <c r="B21" s="1005" t="s">
        <v>679</v>
      </c>
      <c r="C21" s="943">
        <f t="shared" si="1"/>
        <v>42.806786689606177</v>
      </c>
      <c r="D21" s="943">
        <f t="shared" si="2"/>
        <v>24.3502161498639</v>
      </c>
      <c r="E21" s="953" cm="1">
        <f t="array" ref="E21">_xll.FDS(E3,"FF_PAY_TURN_DAYS(ANN_R,0)")</f>
        <v>117.951203748586</v>
      </c>
      <c r="F21" s="953" cm="1">
        <f t="array" ref="F21">_xll.FDS(F3,"FF_PAY_TURN_DAYS(ANN_R,0)")</f>
        <v>24.3502161498639</v>
      </c>
      <c r="G21" s="953" cm="1">
        <f t="array" ref="G21">_xll.FDS(G3,"FF_PAY_TURN_DAYS(ANN_R,0)")</f>
        <v>13.5006176994947</v>
      </c>
      <c r="H21" s="953" cm="1">
        <f t="array" ref="H21">_xll.FDS(H3,"FF_PAY_TURN_DAYS(ANN_R,0)")</f>
        <v>9.7919282318728609</v>
      </c>
      <c r="I21" s="953" cm="1">
        <f t="array" ref="I21">_xll.FDS(I3,"FF_PAY_TURN_DAYS(ANN_R,0)")</f>
        <v>48.439967618213402</v>
      </c>
    </row>
    <row r="22" spans="1:9">
      <c r="A22" s="953">
        <f>365/A15</f>
        <v>48.214996538594669</v>
      </c>
      <c r="B22" s="1005" t="s">
        <v>680</v>
      </c>
      <c r="C22" s="943">
        <f t="shared" si="1"/>
        <v>42.806878562930464</v>
      </c>
      <c r="D22" s="943">
        <f t="shared" si="2"/>
        <v>24.350274387746744</v>
      </c>
      <c r="E22" s="953">
        <f>365/E15</f>
        <v>117.95147097452063</v>
      </c>
      <c r="F22" s="953">
        <f t="shared" ref="F22:I22" si="7">365/F15</f>
        <v>24.350274387746744</v>
      </c>
      <c r="G22" s="953">
        <f t="shared" si="7"/>
        <v>13.500639931740613</v>
      </c>
      <c r="H22" s="953">
        <f t="shared" si="7"/>
        <v>9.7919307139839464</v>
      </c>
      <c r="I22" s="953">
        <f t="shared" si="7"/>
        <v>48.440076806660365</v>
      </c>
    </row>
    <row r="23" spans="1:9">
      <c r="A23" s="953" cm="1">
        <f t="array" ref="A23">_xll.FDS(A3,"FF_CASH_CONV_CYCLE(ANN_R,0)")</f>
        <v>12.4712430427891</v>
      </c>
      <c r="B23" s="689" t="s">
        <v>681</v>
      </c>
      <c r="C23" s="943">
        <f t="shared" si="1"/>
        <v>7.2285047437147396</v>
      </c>
      <c r="D23" s="943">
        <f t="shared" si="2"/>
        <v>33.846539529570698</v>
      </c>
      <c r="E23" s="953" cm="1">
        <f t="array" ref="E23">_xll.FDS(E3,"FF_CASH_CONV_CYCLE(ANN_R,0)")</f>
        <v>-59.823950710478996</v>
      </c>
      <c r="F23" s="953" cm="1">
        <f t="array" ref="F23">_xll.FDS(F3,"FF_CASH_CONV_CYCLE(ANN_R,0)")</f>
        <v>33.846539529570698</v>
      </c>
      <c r="G23" s="953" cm="1">
        <f t="array" ref="G23">_xll.FDS(G3,"FF_CASH_CONV_CYCLE(ANN_R,0)")</f>
        <v>45.7379555653011</v>
      </c>
      <c r="H23" s="953" cm="1">
        <f t="array" ref="H23">_xll.FDS(H3,"FF_CASH_CONV_CYCLE(ANN_R,0)")</f>
        <v>36.261196775877401</v>
      </c>
      <c r="I23" s="953" cm="1">
        <f t="array" ref="I23">_xll.FDS(I3,"FF_CASH_CONV_CYCLE(ANN_R,0)")</f>
        <v>-19.8792174416965</v>
      </c>
    </row>
    <row r="24" spans="1:9">
      <c r="A24" s="953">
        <f>A20-A22</f>
        <v>12.470980398491896</v>
      </c>
      <c r="B24" s="689" t="s">
        <v>682</v>
      </c>
      <c r="C24" s="943">
        <f t="shared" si="1"/>
        <v>7.2284128703905424</v>
      </c>
      <c r="D24" s="943">
        <f t="shared" si="2"/>
        <v>33.846481291688008</v>
      </c>
      <c r="E24" s="953">
        <f>E20-E22</f>
        <v>-59.824217936413397</v>
      </c>
      <c r="F24" s="953">
        <f t="shared" ref="F24:I24" si="8">F20-F22</f>
        <v>33.846481291688008</v>
      </c>
      <c r="G24" s="953">
        <f t="shared" si="8"/>
        <v>45.737933333055274</v>
      </c>
      <c r="H24" s="953">
        <f t="shared" si="8"/>
        <v>36.261194293766287</v>
      </c>
      <c r="I24" s="953">
        <f t="shared" si="8"/>
        <v>-19.87932663014346</v>
      </c>
    </row>
    <row r="25" spans="1:9">
      <c r="A25" s="953" cm="1">
        <f t="array" ref="A25">_xll.FDS(A3,"FF_SALES(ANN_R,0)")/AVERAGE(_xll.FDS(A3,"FF_WKCAP(ANN_R,0)"),_xll.FDS(A3,"FF_WKCAP(ANN_R,-1)"))</f>
        <v>-3.2630272952853598</v>
      </c>
      <c r="B25" s="689" t="s">
        <v>559</v>
      </c>
      <c r="C25" s="943">
        <f t="shared" si="1"/>
        <v>-5.7268856437605509</v>
      </c>
      <c r="D25" s="943">
        <f t="shared" si="2"/>
        <v>-2.2256884267282881</v>
      </c>
      <c r="E25" s="943" cm="1">
        <f t="array" ref="E25">_xll.FDS(E3,"FF_SALES(ANN_R,0)")/AVERAGE(_xll.FDS(E3,"FF_WKCAP(ANN_R,0)"),_xll.FDS(E3,"FF_WKCAP(ANN_R,-1)"))</f>
        <v>9.1641791044776113</v>
      </c>
      <c r="F25" s="943" cm="1">
        <f t="array" ref="F25">_xll.FDS(F3,"FF_SALES(ANN_R,0)")/AVERAGE(_xll.FDS(F3,"FF_WKCAP(ANN_R,0)"),_xll.FDS(F3,"FF_WKCAP(ANN_R,-1)"))</f>
        <v>-2.2256884267282881</v>
      </c>
      <c r="G25" s="943" cm="1">
        <f t="array" ref="G25">_xll.FDS(G3,"FF_SALES(ANN_R,0)")/AVERAGE(_xll.FDS(G3,"FF_WKCAP(ANN_R,0)"),_xll.FDS(G3,"FF_WKCAP(ANN_R,-1)"))</f>
        <v>3.8592450415866923</v>
      </c>
      <c r="H25" s="943" cm="1">
        <f t="array" ref="H25">_xll.FDS(H3,"FF_SALES(ANN_R,0)")/AVERAGE(_xll.FDS(H3,"FF_WKCAP(ANN_R,0)"),_xll.FDS(H3,"FF_WKCAP(ANN_R,-1)"))</f>
        <v>-4.9152308752584428</v>
      </c>
      <c r="I25" s="943" cm="1">
        <f t="array" ref="I25">_xll.FDS(I3,"FF_SALES(ANN_R,0)")/AVERAGE(_xll.FDS(I3,"FF_WKCAP(ANN_R,0)"),_xll.FDS(I3,"FF_WKCAP(ANN_R,-1)"))</f>
        <v>-34.516933062880327</v>
      </c>
    </row>
    <row r="26" spans="1:9">
      <c r="B26" s="689"/>
    </row>
    <row r="27" spans="1:9" ht="31.5" customHeight="1">
      <c r="A27" s="1001" t="str">
        <f>A79</f>
        <v>Delta Air Lines, Inc.</v>
      </c>
      <c r="B27" s="689"/>
      <c r="C27" s="1003" t="str">
        <f>C79</f>
        <v>Mean</v>
      </c>
      <c r="D27" s="1003" t="str">
        <f>D79</f>
        <v>Median</v>
      </c>
      <c r="E27" s="1003" t="str">
        <f>E79</f>
        <v>Air Canada</v>
      </c>
      <c r="F27" s="932" t="str">
        <f>F41</f>
        <v>American Airlines Group, Inc.</v>
      </c>
      <c r="G27" s="1003" t="str">
        <f>G79</f>
        <v>Southwest Airlines Co.</v>
      </c>
      <c r="H27" s="1003" t="str">
        <f>H79</f>
        <v>Alaska Air Group, Inc.</v>
      </c>
      <c r="I27" s="1003" t="str">
        <f>I79</f>
        <v>SkyWest, Inc</v>
      </c>
    </row>
    <row r="28" spans="1:9">
      <c r="A28" s="953">
        <f>'Help Sheet'!C4/AVERAGE('Help Sheet'!C12:C13)</f>
        <v>0.25042482128208132</v>
      </c>
      <c r="B28" s="1004" t="s">
        <v>683</v>
      </c>
      <c r="C28" s="943">
        <f>AVERAGE(E28:I28)</f>
        <v>0.26507949204225162</v>
      </c>
      <c r="D28" s="943">
        <f>MEDIAN(E28:I28)</f>
        <v>0.28420612607886692</v>
      </c>
      <c r="E28" s="943">
        <f>'Help Sheet'!D4/AVERAGE('Help Sheet'!D12:D13)</f>
        <v>0.20585121400338791</v>
      </c>
      <c r="F28" s="943">
        <f>'Help Sheet'!E4/AVERAGE('Help Sheet'!E12:E13)</f>
        <v>0.28420612607886692</v>
      </c>
      <c r="G28" s="943">
        <f>'Help Sheet'!F4/AVERAGE('Help Sheet'!F12:F13)</f>
        <v>0.2845909476928884</v>
      </c>
      <c r="H28" s="943">
        <f>'Help Sheet'!G4/AVERAGE('Help Sheet'!G12:G13)</f>
        <v>0.24400424236203772</v>
      </c>
      <c r="I28" s="943">
        <f>'Help Sheet'!H4/AVERAGE('Help Sheet'!H12:H13)</f>
        <v>0.30674493007407733</v>
      </c>
    </row>
    <row r="29" spans="1:9">
      <c r="A29" s="953">
        <f>'Help Sheet'!C4/(AVERAGE('Help Sheet'!C10:C11))</f>
        <v>0.25042482128208132</v>
      </c>
      <c r="B29" s="1004" t="s">
        <v>684</v>
      </c>
      <c r="C29" s="943">
        <f>AVERAGE(E29:I29)</f>
        <v>0.25949210037679682</v>
      </c>
      <c r="D29" s="943">
        <f t="shared" ref="D29" si="9">MEDIAN(E29:I29)</f>
        <v>0.27786085152803008</v>
      </c>
      <c r="E29" s="943">
        <f>'Help Sheet'!D4/(AVERAGE('Help Sheet'!D10:D11))</f>
        <v>0.20585121400338791</v>
      </c>
      <c r="F29" s="943">
        <f>'Help Sheet'!E4/(AVERAGE('Help Sheet'!E10:E11))</f>
        <v>0.28420612607886692</v>
      </c>
      <c r="G29" s="943">
        <f>'Help Sheet'!F4/(AVERAGE('Help Sheet'!F10:F11))</f>
        <v>0.27786085152803008</v>
      </c>
      <c r="H29" s="943">
        <f>'Help Sheet'!G4/(AVERAGE('Help Sheet'!G10:G11))</f>
        <v>0.23081893629792194</v>
      </c>
      <c r="I29" s="943">
        <f>'Help Sheet'!H4/(AVERAGE('Help Sheet'!H10:H11))</f>
        <v>0.29872337397577747</v>
      </c>
    </row>
    <row r="30" spans="1:9">
      <c r="A30" s="953">
        <f>'Help Sheet'!C4/AVERAGE('Help Sheet'!C46:C47)</f>
        <v>0.49408228442607555</v>
      </c>
      <c r="B30" s="1004" t="s">
        <v>581</v>
      </c>
      <c r="C30" s="943">
        <f t="shared" ref="C30:C31" si="10">AVERAGE(E30:I30)</f>
        <v>0.43949871901249271</v>
      </c>
      <c r="D30" s="943">
        <f t="shared" ref="D30:D31" si="11">MEDIAN(E30:I30)</f>
        <v>0.4395956607495069</v>
      </c>
      <c r="E30" s="943">
        <f>'Help Sheet'!D4/AVERAGE('Help Sheet'!D46:D47)</f>
        <v>0.46718193104000638</v>
      </c>
      <c r="F30" s="943">
        <f>'Help Sheet'!E4/AVERAGE('Help Sheet'!E46:E47)</f>
        <v>0.41540673295794894</v>
      </c>
      <c r="G30" s="943">
        <f>'Help Sheet'!F4/AVERAGE('Help Sheet'!F46:F47)</f>
        <v>0.50131589882815741</v>
      </c>
      <c r="H30" s="943">
        <f>'Help Sheet'!G4/AVERAGE('Help Sheet'!G46:G47)</f>
        <v>0.4395956607495069</v>
      </c>
      <c r="I30" s="943">
        <f>'Help Sheet'!H4/AVERAGE('Help Sheet'!H46:H47)</f>
        <v>0.37399337148684414</v>
      </c>
    </row>
    <row r="31" spans="1:9">
      <c r="A31" s="953">
        <f>'Help Sheet'!C4/(AVERAGE('Help Sheet'!C46:C47)+AVERAGE('Help Sheet'!C44:C45)+AVERAGE('Help Sheet'!C16:C17))</f>
        <v>0.49408228442607555</v>
      </c>
      <c r="B31" s="1004" t="s">
        <v>685</v>
      </c>
      <c r="C31" s="943">
        <f t="shared" si="10"/>
        <v>0.42482083193215991</v>
      </c>
      <c r="D31" s="943">
        <f t="shared" si="11"/>
        <v>0.41540673295794894</v>
      </c>
      <c r="E31" s="943">
        <f>'Help Sheet'!D4/(AVERAGE('Help Sheet'!D46:D47)+AVERAGE('Help Sheet'!D44:D45)+AVERAGE('Help Sheet'!D16:D17))</f>
        <v>0.46718193104000638</v>
      </c>
      <c r="F31" s="943">
        <f>'Help Sheet'!E4/(AVERAGE('Help Sheet'!E46:E47)+AVERAGE('Help Sheet'!E44:E45)+AVERAGE('Help Sheet'!E16:E17))</f>
        <v>0.41540673295794894</v>
      </c>
      <c r="G31" s="943">
        <f>'Help Sheet'!F4/(AVERAGE('Help Sheet'!F46:F47)+AVERAGE('Help Sheet'!F44:F45)+AVERAGE('Help Sheet'!F16:F17))</f>
        <v>0.48080189308707938</v>
      </c>
      <c r="H31" s="943">
        <f>'Help Sheet'!G4/(AVERAGE('Help Sheet'!G46:G47)+AVERAGE('Help Sheet'!G44:G45)+AVERAGE('Help Sheet'!G16:G17))</f>
        <v>0.39857652411968802</v>
      </c>
      <c r="I31" s="943">
        <f>'Help Sheet'!H4/(AVERAGE('Help Sheet'!H46:H47)+AVERAGE('Help Sheet'!H44:H45)+AVERAGE('Help Sheet'!H16:H17))</f>
        <v>0.36213707845607696</v>
      </c>
    </row>
    <row r="32" spans="1:9">
      <c r="A32" s="953">
        <f>'Help Sheet'!C4/(AVERAGE('Help Sheet'!C48:C49)+AVERAGE('Help Sheet'!C52:C53)-AVERAGE('Help Sheet'!C54:C55))</f>
        <v>0.65356603521113299</v>
      </c>
      <c r="B32" s="1004" t="s">
        <v>583</v>
      </c>
      <c r="C32" s="943">
        <f t="shared" ref="C32:C33" si="12">AVERAGE(E32:I32)</f>
        <v>0.70933897976459903</v>
      </c>
      <c r="D32" s="943">
        <f t="shared" ref="D32:D33" si="13">MEDIAN(E32:I32)</f>
        <v>0.66579536967886488</v>
      </c>
      <c r="E32" s="943">
        <f>'Help Sheet'!D4/(AVERAGE('Help Sheet'!D48:D49)+AVERAGE('Help Sheet'!D52:D53)-AVERAGE('Help Sheet'!D54:D55))</f>
        <v>0.79398352957190499</v>
      </c>
      <c r="F32" s="943">
        <f>'Help Sheet'!E4/(AVERAGE('Help Sheet'!E48:E49)+AVERAGE('Help Sheet'!E52:E53)-AVERAGE('Help Sheet'!E54:E55))</f>
        <v>0.61892437034789283</v>
      </c>
      <c r="G32" s="943">
        <f>'Help Sheet'!F4/(AVERAGE('Help Sheet'!F48:F49)+AVERAGE('Help Sheet'!F52:F53)-AVERAGE('Help Sheet'!F54:F55))</f>
        <v>1.0342344401897468</v>
      </c>
      <c r="H32" s="943">
        <f>'Help Sheet'!G4/(AVERAGE('Help Sheet'!G48:G49)+AVERAGE('Help Sheet'!G52:G53)-AVERAGE('Help Sheet'!G54:G55))</f>
        <v>0.66579536967886488</v>
      </c>
      <c r="I32" s="943">
        <f>'Help Sheet'!H4/(AVERAGE('Help Sheet'!H48:H49)+AVERAGE('Help Sheet'!H52:H53)-AVERAGE('Help Sheet'!H54:H55))</f>
        <v>0.43375718903458554</v>
      </c>
    </row>
    <row r="33" spans="1:10">
      <c r="A33" s="953">
        <f>'Help Sheet'!C4/(AVERAGE('Help Sheet'!C48:C49)+AVERAGE('Help Sheet'!C52:C53)-AVERAGE('Help Sheet'!C54:C55)+AVERAGE('Help Sheet'!C16:C17)+AVERAGE('Help Sheet'!C44:C45))</f>
        <v>0.65356603521113299</v>
      </c>
      <c r="B33" s="1004" t="s">
        <v>686</v>
      </c>
      <c r="C33" s="943">
        <f t="shared" si="12"/>
        <v>0.67147467284494544</v>
      </c>
      <c r="D33" s="943">
        <f t="shared" si="13"/>
        <v>0.61892437034789283</v>
      </c>
      <c r="E33" s="943">
        <f>'Help Sheet'!D4/(AVERAGE('Help Sheet'!D48:D49)+AVERAGE('Help Sheet'!D52:D53)-AVERAGE('Help Sheet'!D54:D55)+AVERAGE('Help Sheet'!D16:D17)+AVERAGE('Help Sheet'!D44:D45))</f>
        <v>0.79398352957190499</v>
      </c>
      <c r="F33" s="943">
        <f>'Help Sheet'!E4/(AVERAGE('Help Sheet'!E48:E49)+AVERAGE('Help Sheet'!E52:E53)-AVERAGE('Help Sheet'!E54:E55)+AVERAGE('Help Sheet'!E16:E17)+AVERAGE('Help Sheet'!E44:E45))</f>
        <v>0.61892437034789283</v>
      </c>
      <c r="G33" s="943">
        <f>'Help Sheet'!F4/(AVERAGE('Help Sheet'!F48:F49)+AVERAGE('Help Sheet'!F52:F53)-AVERAGE('Help Sheet'!F54:F55)+AVERAGE('Help Sheet'!F16:F17)+AVERAGE('Help Sheet'!F44:F45))</f>
        <v>0.9505637998851405</v>
      </c>
      <c r="H33" s="943">
        <f>'Help Sheet'!G4/(AVERAGE('Help Sheet'!G48:G49)+AVERAGE('Help Sheet'!G52:G53)-AVERAGE('Help Sheet'!G54:G55)+AVERAGE('Help Sheet'!G16:G17)+AVERAGE('Help Sheet'!G44:G45))</f>
        <v>0.57601239286625394</v>
      </c>
      <c r="I33" s="943">
        <f>'Help Sheet'!H4/(AVERAGE('Help Sheet'!H48:H49)+AVERAGE('Help Sheet'!H52:H53)-AVERAGE('Help Sheet'!H54:H55)+AVERAGE('Help Sheet'!H16:H17)+AVERAGE('Help Sheet'!H44:H45))</f>
        <v>0.41788927155353456</v>
      </c>
    </row>
    <row r="34" spans="1:10">
      <c r="B34" s="689"/>
    </row>
    <row r="35" spans="1:10" ht="28.5" customHeight="1">
      <c r="A35" s="1001" t="str">
        <f>A49</f>
        <v>Delta Air Lines, Inc.</v>
      </c>
      <c r="B35" s="689"/>
      <c r="C35" s="1006" t="str">
        <f t="shared" ref="C35:I35" si="14">C49</f>
        <v>Mean</v>
      </c>
      <c r="D35" s="1006" t="str">
        <f t="shared" si="14"/>
        <v>Median</v>
      </c>
      <c r="E35" s="1006" t="str">
        <f t="shared" si="14"/>
        <v>Air Canada</v>
      </c>
      <c r="F35" s="1007" t="str">
        <f t="shared" si="14"/>
        <v>American Airlines Group, Inc.</v>
      </c>
      <c r="G35" s="1006" t="str">
        <f t="shared" si="14"/>
        <v>Southwest Airlines Co.</v>
      </c>
      <c r="H35" s="1006" t="str">
        <f t="shared" si="14"/>
        <v>Alaska Air Group, Inc.</v>
      </c>
      <c r="I35" s="1006" t="str">
        <f t="shared" si="14"/>
        <v>SkyWest, Inc</v>
      </c>
    </row>
    <row r="36" spans="1:10">
      <c r="A36" s="953" cm="1">
        <f t="array" ref="A36">_xll.FDS(A3,"FF_EBIT_OPER_INT_COVG(ANN_R,0)")</f>
        <v>-8.9138858988159306</v>
      </c>
      <c r="B36" s="3" t="s">
        <v>588</v>
      </c>
      <c r="C36" s="943">
        <f>AVERAGE(E36:I36)</f>
        <v>-9.6697976875616813</v>
      </c>
      <c r="D36" s="943">
        <f>MEDIAN(E36:I36)</f>
        <v>-9.2803585982070107</v>
      </c>
      <c r="E36" s="943" cm="1">
        <f t="array" ref="E36">_xll.FDS(E3,"FF_EBIT_OPER_INT_COVG(ANN_R,0)")</f>
        <v>-5.9329268292682897</v>
      </c>
      <c r="F36" s="943" cm="1">
        <f t="array" ref="F36">_xll.FDS(F3,"FF_EBIT_OPER_INT_COVG(ANN_R,0)")</f>
        <v>-9.2803585982070107</v>
      </c>
      <c r="G36" s="943" cm="1">
        <f t="array" ref="G36">_xll.FDS(G3,"FF_EBIT_OPER_INT_COVG(ANN_R,0)")</f>
        <v>-13.985163204747799</v>
      </c>
      <c r="H36" s="943" cm="1">
        <f t="array" ref="H36">_xll.FDS(H3,"FF_EBIT_OPER_INT_COVG(ANN_R,0)")</f>
        <v>-17.255102040816301</v>
      </c>
      <c r="I36" s="943" cm="1">
        <f t="array" ref="I36">_xll.FDS(I3,"FF_EBIT_OPER_INT_COVG(ANN_R,0)")</f>
        <v>-1.8954377647690099</v>
      </c>
    </row>
    <row r="37" spans="1:10">
      <c r="A37" s="953">
        <f>('Help Sheet'!C20+'Ind R&amp;D'!C45+'Ind Leases'!B29)/'Help Sheet'!C24</f>
        <v>-8.9138858988159306</v>
      </c>
      <c r="B37" s="3" t="s">
        <v>589</v>
      </c>
      <c r="C37" s="943">
        <f>AVERAGE(E37:I37)</f>
        <v>-10.482207723292401</v>
      </c>
      <c r="D37" s="943">
        <f>MEDIAN(E37:I37)</f>
        <v>-9.2803585982070089</v>
      </c>
      <c r="E37" s="943">
        <f>('Help Sheet'!D20+'Ind R&amp;D'!D45+'Ind Leases'!C29)/'Help Sheet'!D24</f>
        <v>-6.1679873217115686</v>
      </c>
      <c r="F37" s="943">
        <f>('Help Sheet'!E20+'Ind R&amp;D'!E45+'Ind Leases'!D29)/'Help Sheet'!E24</f>
        <v>-9.2803585982070089</v>
      </c>
      <c r="G37" s="943">
        <f>('Help Sheet'!F20+'Ind R&amp;D'!F45+'Ind Leases'!E29)/'Help Sheet'!F24</f>
        <v>-15.605728458304727</v>
      </c>
      <c r="H37" s="943">
        <f>('Help Sheet'!G20+'Ind R&amp;D'!G45+'Ind Leases'!F29)/'Help Sheet'!G24</f>
        <v>-19.43558212783924</v>
      </c>
      <c r="I37" s="943">
        <f>('Help Sheet'!H20+'Ind R&amp;D'!H45+'Ind Leases'!G29)/'Help Sheet'!H24</f>
        <v>-1.9213821103994546</v>
      </c>
    </row>
    <row r="38" spans="1:10">
      <c r="A38" s="953" cm="1">
        <f t="array" ref="A38">(_xll.FDS(A3,"FF_OPER_CF(ANN_R,0)"))/(_xll.FDS(A3,"FF_CAPEX(ANN_R,0)"))</f>
        <v>-1.9973670352817272</v>
      </c>
      <c r="B38" s="3" t="s">
        <v>590</v>
      </c>
      <c r="C38" s="943">
        <f>AVERAGE(E38:I38)</f>
        <v>-1.4502649414038349</v>
      </c>
      <c r="D38" s="943">
        <f>MEDIAN(E38:I38)</f>
        <v>-1.9575707154742097</v>
      </c>
      <c r="E38" s="943" cm="1">
        <f t="array" ref="E38">(_xll.FDS(E3,"FF_OPER_CF(ANN_R,0)"))/(_xll.FDS(E3,"FF_CAPEX(ANN_R,0)"))</f>
        <v>-1.9575707154742097</v>
      </c>
      <c r="F38" s="943" cm="1">
        <f t="array" ref="F38">(_xll.FDS(F3,"FF_OPER_CF(ANN_R,0)"))/(_xll.FDS(F3,"FF_CAPEX(ANN_R,0)"))</f>
        <v>-3.3416751787538304</v>
      </c>
      <c r="G38" s="943" cm="1">
        <f t="array" ref="G38">(_xll.FDS(G3,"FF_OPER_CF(ANN_R,0)"))/(_xll.FDS(G3,"FF_CAPEX(ANN_R,0)"))</f>
        <v>-2.1883495145631069</v>
      </c>
      <c r="H38" s="943" cm="1">
        <f t="array" ref="H38">(_xll.FDS(H3,"FF_OPER_CF(ANN_R,0)"))/(_xll.FDS(H3,"FF_CAPEX(ANN_R,0)"))</f>
        <v>-1.1359223300970873</v>
      </c>
      <c r="I38" s="943" cm="1">
        <f t="array" ref="I38">(_xll.FDS(I3,"FF_OPER_CF(ANN_R,0)"))/(_xll.FDS(I3,"FF_CAPEX(ANN_R,0)"))</f>
        <v>1.3721930318690616</v>
      </c>
    </row>
    <row r="39" spans="1:10">
      <c r="A39" s="953">
        <f>'Help Sheet'!C33/('Help Sheet'!C25+'Ind R&amp;D'!C7)</f>
        <v>1.0810426540284364</v>
      </c>
      <c r="B39" s="3" t="s">
        <v>591</v>
      </c>
      <c r="C39" s="943">
        <f>AVERAGE(E39:I39)</f>
        <v>-1.5413603110588445</v>
      </c>
      <c r="D39" s="943">
        <f>MEDIAN(E39:I39)</f>
        <v>-1.0090476744615056</v>
      </c>
      <c r="E39" s="943">
        <f>'Help Sheet'!D33/('Help Sheet'!D25+'Ind R&amp;D'!D7)</f>
        <v>-0.80079866888519136</v>
      </c>
      <c r="F39" s="943">
        <f>'Help Sheet'!E33/('Help Sheet'!E25+'Ind R&amp;D'!E7)</f>
        <v>-3.4423289070480081</v>
      </c>
      <c r="G39" s="943">
        <f>'Help Sheet'!F33/('Help Sheet'!F25+'Ind R&amp;D'!F7)</f>
        <v>-3.3279590211997281</v>
      </c>
      <c r="H39" s="943">
        <f>'Help Sheet'!G33/('Help Sheet'!G25+'Ind R&amp;D'!G7)</f>
        <v>-1.0090476744615056</v>
      </c>
      <c r="I39" s="943">
        <f>'Help Sheet'!H33/('Help Sheet'!H25+'Ind R&amp;D'!H7)</f>
        <v>0.8733327163002107</v>
      </c>
    </row>
    <row r="41" spans="1:10" ht="29.1" customHeight="1">
      <c r="A41" s="1001" t="str">
        <f>A10</f>
        <v>Delta Air Lines, Inc.</v>
      </c>
      <c r="B41" s="689"/>
      <c r="C41" s="1006" t="str">
        <f t="shared" ref="C41:I41" si="15">C10</f>
        <v>Mean</v>
      </c>
      <c r="D41" s="1006" t="str">
        <f t="shared" si="15"/>
        <v>Median</v>
      </c>
      <c r="E41" s="1006" t="str">
        <f t="shared" si="15"/>
        <v>Air Canada</v>
      </c>
      <c r="F41" s="1007" t="str">
        <f t="shared" si="15"/>
        <v>American Airlines Group, Inc.</v>
      </c>
      <c r="G41" s="1006" t="str">
        <f t="shared" si="15"/>
        <v>Southwest Airlines Co.</v>
      </c>
      <c r="H41" s="1006" t="str">
        <f t="shared" si="15"/>
        <v>Alaska Air Group, Inc.</v>
      </c>
      <c r="I41" s="1006" t="str">
        <f t="shared" si="15"/>
        <v>SkyWest, Inc</v>
      </c>
    </row>
    <row r="42" spans="1:10">
      <c r="A42" s="953" cm="1">
        <f t="array" ref="A42">_xll.FDS(A3,"FF_GROSS_MGN(ANN_R,0)")/100</f>
        <v>-0.38233401579409199</v>
      </c>
      <c r="B42" s="689" t="s">
        <v>595</v>
      </c>
      <c r="C42" s="943">
        <f t="shared" ref="C42:C46" si="16">AVERAGE(E42:I42)</f>
        <v>-0.27632399559917781</v>
      </c>
      <c r="D42" s="943">
        <f t="shared" ref="D42:D47" si="17">MEDIAN(E42:I42)</f>
        <v>-0.31321789816560902</v>
      </c>
      <c r="E42" s="943" cm="1">
        <f t="array" ref="E42">_xll.FDS(E3,"FF_GROSS_MGN(ANN_R,0)")/100</f>
        <v>-0.31321789816560902</v>
      </c>
      <c r="F42" s="943" cm="1">
        <f t="array" ref="F42">_xll.FDS(F3,"FF_GROSS_MGN(ANN_R,0)")/100</f>
        <v>-0.42210301666955097</v>
      </c>
      <c r="G42" s="943" cm="1">
        <f t="array" ref="G42">_xll.FDS(G3,"FF_GROSS_MGN(ANN_R,0)")/100</f>
        <v>-0.30802387267904502</v>
      </c>
      <c r="H42" s="943" cm="1">
        <f t="array" ref="H42">_xll.FDS(H3,"FF_GROSS_MGN(ANN_R,0)")/100</f>
        <v>-0.33174425126191798</v>
      </c>
      <c r="I42" s="943" cm="1">
        <f t="array" ref="I42">_xll.FDS(I3,"FF_GROSS_MGN(ANN_R,0)")/100</f>
        <v>-6.5309392197660902E-3</v>
      </c>
    </row>
    <row r="43" spans="1:10">
      <c r="A43" s="953">
        <f>('Help Sheet'!C4-'Help Sheet'!C6)/'Help Sheet'!C4</f>
        <v>-0.38233401579409182</v>
      </c>
      <c r="B43" s="689" t="s">
        <v>596</v>
      </c>
      <c r="C43" s="943">
        <f t="shared" ref="C43" si="18">AVERAGE(E43:I43)</f>
        <v>-0.27632399559917786</v>
      </c>
      <c r="D43" s="943">
        <f t="shared" ref="D43" si="19">MEDIAN(E43:I43)</f>
        <v>-0.31321789816560947</v>
      </c>
      <c r="E43" s="943">
        <f>('Help Sheet'!D4-'Help Sheet'!D6)/'Help Sheet'!D4</f>
        <v>-0.31321789816560947</v>
      </c>
      <c r="F43" s="943">
        <f>('Help Sheet'!E4-'Help Sheet'!E6)/'Help Sheet'!E4</f>
        <v>-0.42210301666955069</v>
      </c>
      <c r="G43" s="943">
        <f>('Help Sheet'!F4-'Help Sheet'!F6)/'Help Sheet'!F4</f>
        <v>-0.30802387267904507</v>
      </c>
      <c r="H43" s="943">
        <f>('Help Sheet'!G4-'Help Sheet'!G6)/'Help Sheet'!G4</f>
        <v>-0.33174425126191809</v>
      </c>
      <c r="I43" s="943">
        <f>('Help Sheet'!H4-'Help Sheet'!H6)/'Help Sheet'!H4</f>
        <v>-6.5309392197661163E-3</v>
      </c>
    </row>
    <row r="44" spans="1:10">
      <c r="A44" s="953">
        <f>('Help Sheet'!C4-'Help Sheet'!C5)/'Help Sheet'!C7</f>
        <v>-11.230240549828178</v>
      </c>
      <c r="B44" s="689" t="s">
        <v>597</v>
      </c>
      <c r="C44" s="943">
        <f t="shared" si="16"/>
        <v>-5.0202074962343683</v>
      </c>
      <c r="D44" s="943">
        <f t="shared" si="17"/>
        <v>-1.4470404984423677</v>
      </c>
      <c r="E44" s="943">
        <f>('Help Sheet'!D4-'Help Sheet'!D5)/'Help Sheet'!D7</f>
        <v>-0.89078498293515362</v>
      </c>
      <c r="F44" s="943">
        <f>('Help Sheet'!E4-'Help Sheet'!E5)/'Help Sheet'!E7</f>
        <v>-10.987987987987989</v>
      </c>
      <c r="G44" s="943">
        <f>('Help Sheet'!F4-'Help Sheet'!F5)/'Help Sheet'!F7</f>
        <v>-1.4470404984423677</v>
      </c>
      <c r="H44" s="943">
        <f>('Help Sheet'!G4-'Help Sheet'!G5)/'Help Sheet'!G7</f>
        <v>-11.712871287128714</v>
      </c>
      <c r="I44" s="943">
        <f>('Help Sheet'!H4-'Help Sheet'!H5)/'Help Sheet'!H7</f>
        <v>-6.2352724677620548E-2</v>
      </c>
      <c r="J44" s="1008"/>
    </row>
    <row r="45" spans="1:10">
      <c r="A45" s="953">
        <f>('Help Sheet'!C4-'Help Sheet'!C6)/'Help Sheet'!C8</f>
        <v>-11.230240549828178</v>
      </c>
      <c r="B45" s="689" t="s">
        <v>598</v>
      </c>
      <c r="C45" s="943">
        <f t="shared" si="16"/>
        <v>-5.0202074962343683</v>
      </c>
      <c r="D45" s="943">
        <f t="shared" si="17"/>
        <v>-1.4470404984423677</v>
      </c>
      <c r="E45" s="943">
        <f>('Help Sheet'!D4-'Help Sheet'!D6)/'Help Sheet'!D8</f>
        <v>-0.89078498293515362</v>
      </c>
      <c r="F45" s="943">
        <f>('Help Sheet'!E4-'Help Sheet'!E6)/'Help Sheet'!E8</f>
        <v>-10.987987987987989</v>
      </c>
      <c r="G45" s="943">
        <f>('Help Sheet'!F4-'Help Sheet'!F6)/'Help Sheet'!F8</f>
        <v>-1.4470404984423677</v>
      </c>
      <c r="H45" s="943">
        <f>('Help Sheet'!G4-'Help Sheet'!G6)/'Help Sheet'!G8</f>
        <v>-11.712871287128714</v>
      </c>
      <c r="I45" s="943">
        <f>('Help Sheet'!H4-'Help Sheet'!H6)/'Help Sheet'!H8</f>
        <v>-6.2352724677620548E-2</v>
      </c>
      <c r="J45" s="1008"/>
    </row>
    <row r="46" spans="1:10">
      <c r="A46" s="953" cm="1">
        <f t="array" ref="A46">_xll.FDS(A3,"FF_NET_MGN(ANN_R,0)")/100</f>
        <v>-0.72448084235156496</v>
      </c>
      <c r="B46" s="689" t="s">
        <v>687</v>
      </c>
      <c r="C46" s="943">
        <f t="shared" si="16"/>
        <v>-0.40483857442467314</v>
      </c>
      <c r="D46" s="943">
        <f t="shared" si="17"/>
        <v>-0.37128435221536699</v>
      </c>
      <c r="E46" s="943" cm="1">
        <f t="array" ref="E46">_xll.FDS(E3,"FF_NET_MGN(ANN_R,0)")/100</f>
        <v>-0.79667409566260905</v>
      </c>
      <c r="F46" s="943" cm="1">
        <f t="array" ref="F46">_xll.FDS(F3,"FF_NET_MGN(ANN_R,0)")/100</f>
        <v>-0.51248774297744704</v>
      </c>
      <c r="G46" s="943" cm="1">
        <f t="array" ref="G46">_xll.FDS(G3,"FF_NET_MGN(ANN_R,0)")/100</f>
        <v>-0.33974358974358998</v>
      </c>
      <c r="H46" s="943" cm="1">
        <f t="array" ref="H46">_xll.FDS(H3,"FF_NET_MGN(ANN_R,0)")/100</f>
        <v>-0.37128435221536699</v>
      </c>
      <c r="I46" s="943" cm="1">
        <f t="array" ref="I46">_xll.FDS(I3,"FF_NET_MGN(ANN_R,0)")/100</f>
        <v>-4.0030915243528097E-3</v>
      </c>
    </row>
    <row r="47" spans="1:10">
      <c r="A47" s="953">
        <f>'Help Sheet'!C23/'Help Sheet'!C4</f>
        <v>-0.38251535536706638</v>
      </c>
      <c r="B47" s="689" t="s">
        <v>688</v>
      </c>
      <c r="C47" s="943">
        <f t="shared" ref="C47" si="20">AVERAGE(E47:I47)</f>
        <v>-0.3948420075818489</v>
      </c>
      <c r="D47" s="943">
        <f t="shared" si="17"/>
        <v>-0.4046086312906565</v>
      </c>
      <c r="E47" s="953">
        <f>'Help Sheet'!D23/'Help Sheet'!D4</f>
        <v>-0.55829933139036514</v>
      </c>
      <c r="F47" s="953">
        <f>'Help Sheet'!E23/'Help Sheet'!E4</f>
        <v>-0.52385533829382247</v>
      </c>
      <c r="G47" s="953">
        <f>'Help Sheet'!F23/'Help Sheet'!F4</f>
        <v>-0.4046086312906565</v>
      </c>
      <c r="H47" s="953">
        <f>'Help Sheet'!G23/'Help Sheet'!G4</f>
        <v>-0.36395508158695178</v>
      </c>
      <c r="I47" s="953">
        <f>'Help Sheet'!H23/'Help Sheet'!H4</f>
        <v>-0.12349165534744828</v>
      </c>
    </row>
    <row r="49" spans="1:9" ht="29.1" customHeight="1">
      <c r="A49" s="1001" t="str">
        <f>A10</f>
        <v>Delta Air Lines, Inc.</v>
      </c>
      <c r="B49" s="689"/>
      <c r="C49" s="1006" t="str">
        <f t="shared" ref="C49:I49" si="21">C10</f>
        <v>Mean</v>
      </c>
      <c r="D49" s="1006" t="str">
        <f t="shared" si="21"/>
        <v>Median</v>
      </c>
      <c r="E49" s="1006" t="str">
        <f t="shared" si="21"/>
        <v>Air Canada</v>
      </c>
      <c r="F49" s="1007" t="str">
        <f t="shared" si="21"/>
        <v>American Airlines Group, Inc.</v>
      </c>
      <c r="G49" s="1006" t="str">
        <f t="shared" si="21"/>
        <v>Southwest Airlines Co.</v>
      </c>
      <c r="H49" s="1006" t="str">
        <f t="shared" si="21"/>
        <v>Alaska Air Group, Inc.</v>
      </c>
      <c r="I49" s="1006" t="str">
        <f t="shared" si="21"/>
        <v>SkyWest, Inc</v>
      </c>
    </row>
    <row r="50" spans="1:9">
      <c r="A50" s="1076">
        <f>'Help Sheet'!C42</f>
        <v>0.28999999999999998</v>
      </c>
      <c r="B50" s="1077" t="s">
        <v>689</v>
      </c>
      <c r="C50" s="1078"/>
      <c r="D50" s="1078"/>
      <c r="E50" s="1079">
        <f>'Help Sheet'!D42</f>
        <v>0.28000000000000003</v>
      </c>
      <c r="F50" s="1079">
        <f>'Help Sheet'!E42</f>
        <v>0.28000000000000003</v>
      </c>
      <c r="G50" s="1079">
        <f>'Help Sheet'!F42</f>
        <v>0.27</v>
      </c>
      <c r="H50" s="1079">
        <f>'Help Sheet'!G42</f>
        <v>0.27</v>
      </c>
      <c r="I50" s="1079">
        <f>'Help Sheet'!H42</f>
        <v>0.27</v>
      </c>
    </row>
    <row r="51" spans="1:9">
      <c r="A51" s="1076">
        <f>'Help Sheet'!C20*(1-'Help Sheet'!C42)/AVERAGE('Help Sheet'!C12:C13)</f>
        <v>-8.6128999179655441E-2</v>
      </c>
      <c r="B51" s="1077" t="s">
        <v>81</v>
      </c>
      <c r="C51" s="1078">
        <f t="shared" ref="C51:C55" si="22">AVERAGE(E51:I51)</f>
        <v>-9.0178395359471572E-2</v>
      </c>
      <c r="D51" s="1078">
        <f t="shared" ref="D51:D56" si="23">MEDIAN(E51:I51)</f>
        <v>-9.8893280632411054E-2</v>
      </c>
      <c r="E51" s="1076">
        <f>'Help Sheet'!D20*(1-'Help Sheet'!D42)/AVERAGE('Help Sheet'!D12:D13)</f>
        <v>-9.8893280632411054E-2</v>
      </c>
      <c r="F51" s="1076">
        <f>'Help Sheet'!E20*(1-'Help Sheet'!E42)/AVERAGE('Help Sheet'!E12:E13)</f>
        <v>-0.13440062949271739</v>
      </c>
      <c r="G51" s="1076">
        <f>'Help Sheet'!F20*(1-'Help Sheet'!F42)/AVERAGE('Help Sheet'!F12:F13)</f>
        <v>-0.1082153304186456</v>
      </c>
      <c r="H51" s="1076">
        <f>'Help Sheet'!G20*(1-'Help Sheet'!G42)/AVERAGE('Help Sheet'!G12:G13)</f>
        <v>-8.4466112422593997E-2</v>
      </c>
      <c r="I51" s="1076">
        <f>'Help Sheet'!H20*(1-'Help Sheet'!H42)/AVERAGE('Help Sheet'!H12:H13)</f>
        <v>-2.49166238309898E-2</v>
      </c>
    </row>
    <row r="52" spans="1:9">
      <c r="A52" s="1076">
        <f>('Help Sheet'!C20)/(AVERAGE('Help Sheet'!C12:C13))</f>
        <v>-0.1213084495488105</v>
      </c>
      <c r="B52" s="1077" t="s">
        <v>604</v>
      </c>
      <c r="C52" s="1078">
        <f t="shared" si="22"/>
        <v>-0.12441977260096992</v>
      </c>
      <c r="D52" s="1078">
        <f t="shared" si="23"/>
        <v>-0.13735177865612649</v>
      </c>
      <c r="E52" s="1079">
        <f>('Help Sheet'!D20)/(AVERAGE('Help Sheet'!D12:D13))</f>
        <v>-0.13735177865612649</v>
      </c>
      <c r="F52" s="1079">
        <f>('Help Sheet'!E20)/(AVERAGE('Help Sheet'!E12:E13))</f>
        <v>-0.1866675409621075</v>
      </c>
      <c r="G52" s="1079">
        <f>('Help Sheet'!F20)/(AVERAGE('Help Sheet'!F12:F13))</f>
        <v>-0.14824017865567893</v>
      </c>
      <c r="H52" s="1079">
        <f>('Help Sheet'!G20)/(AVERAGE('Help Sheet'!G12:G13))</f>
        <v>-0.11570700331862192</v>
      </c>
      <c r="I52" s="1079">
        <f>('Help Sheet'!H20)/(AVERAGE('Help Sheet'!H12:H13))</f>
        <v>-3.41323614123148E-2</v>
      </c>
    </row>
    <row r="53" spans="1:9">
      <c r="A53" s="1076" cm="1">
        <f t="array" ref="A53">(_xll.FDS(A3,"FF_NET_INC(ANN_R,0)"))/AVERAGE('Help Sheet'!C52:C53)</f>
        <v>-1.4663746152024626</v>
      </c>
      <c r="B53" s="1077" t="s">
        <v>82</v>
      </c>
      <c r="C53" s="1078">
        <f t="shared" si="22"/>
        <v>6.5955821584709487E-2</v>
      </c>
      <c r="D53" s="1078">
        <f t="shared" si="23"/>
        <v>-0.32862946333119519</v>
      </c>
      <c r="E53" s="1079" cm="1">
        <f t="array" ref="E53">(_xll.FDS(E3,"FF_NET_INC(ANN_R,0)"))/AVERAGE('Help Sheet'!D52:D53)</f>
        <v>-1.519869174161897</v>
      </c>
      <c r="F53" s="1079" cm="1">
        <f t="array" ref="F53">(_xll.FDS(F3,"FF_NET_INC(ANN_R,0)"))/AVERAGE('Help Sheet'!E52:E53)</f>
        <v>2.5440229062276307</v>
      </c>
      <c r="G53" s="1079" cm="1">
        <f t="array" ref="G53">(_xll.FDS(G3,"FF_NET_INC(ANN_R,0)"))/AVERAGE('Help Sheet'!F52:F53)</f>
        <v>-0.32862946333119519</v>
      </c>
      <c r="H53" s="1079" cm="1">
        <f t="array" ref="H53">(_xll.FDS(H3,"FF_NET_INC(ANN_R,0)"))/AVERAGE('Help Sheet'!G52:G53)</f>
        <v>-0.36179805984424102</v>
      </c>
      <c r="I53" s="1079" cm="1">
        <f t="array" ref="I53">(_xll.FDS(I3,"FF_NET_INC(ANN_R,0)"))/AVERAGE('Help Sheet'!H52:H53)</f>
        <v>-3.9471009667500206E-3</v>
      </c>
    </row>
    <row r="54" spans="1:9">
      <c r="A54" s="1076">
        <f>('Help Sheet'!C20)*(1-'Industry Ratios'!A50)/(AVERAGE('Help Sheet'!C50:C51)+AVERAGE('Help Sheet'!C52:C53)-AVERAGE('Help Sheet'!C54:C55))</f>
        <v>-0.25118060450710239</v>
      </c>
      <c r="B54" s="1077" t="s">
        <v>605</v>
      </c>
      <c r="C54" s="1078">
        <f t="shared" si="22"/>
        <v>-0.31681817892221614</v>
      </c>
      <c r="D54" s="1078">
        <f t="shared" si="23"/>
        <v>-0.3488337659022252</v>
      </c>
      <c r="E54" s="1079">
        <f>('Help Sheet'!D20)*(1-'Industry Ratios'!E50)/(AVERAGE('Help Sheet'!D50:D51)+AVERAGE('Help Sheet'!D52:D53)-AVERAGE('Help Sheet'!D54:D55))</f>
        <v>-0.47954821596645841</v>
      </c>
      <c r="F54" s="1079">
        <f>('Help Sheet'!E20)*(1-'Industry Ratios'!F50)/(AVERAGE('Help Sheet'!E50:E51)+AVERAGE('Help Sheet'!E52:E53)-AVERAGE('Help Sheet'!E54:E55))</f>
        <v>-0.3488337659022252</v>
      </c>
      <c r="G54" s="1079">
        <f>('Help Sheet'!F20)*(1-'Industry Ratios'!G50)/(AVERAGE('Help Sheet'!F50:F51)+AVERAGE('Help Sheet'!F52:F53)-AVERAGE('Help Sheet'!F54:F55))</f>
        <v>-0.43553262864738274</v>
      </c>
      <c r="H54" s="1079">
        <f>('Help Sheet'!G20)*(1-'Industry Ratios'!H50)/(AVERAGE('Help Sheet'!G50:G51)+AVERAGE('Help Sheet'!G52:G53)-AVERAGE('Help Sheet'!G54:G55))</f>
        <v>-0.28119134396355355</v>
      </c>
      <c r="I54" s="1079">
        <f>('Help Sheet'!H20)*(1-'Industry Ratios'!I50)/(AVERAGE('Help Sheet'!H50:H51)+AVERAGE('Help Sheet'!H52:H53)-AVERAGE('Help Sheet'!H54:H55))</f>
        <v>-3.8984940131460775E-2</v>
      </c>
    </row>
    <row r="55" spans="1:9">
      <c r="A55" s="1076">
        <f>('Help Sheet'!C20)*(1-'Industry Ratios'!A50)/(AVERAGE('Help Sheet'!C52:C53)-AVERAGE('Help Sheet'!C54:C55)+AVERAGE('Help Sheet'!C48:C49))</f>
        <v>-0.22478198535736812</v>
      </c>
      <c r="B55" s="1077" t="s">
        <v>606</v>
      </c>
      <c r="C55" s="1078">
        <f t="shared" si="22"/>
        <v>-0.2666206470867879</v>
      </c>
      <c r="D55" s="1078">
        <f t="shared" si="23"/>
        <v>-0.29268836013780053</v>
      </c>
      <c r="E55" s="1079">
        <f>('Help Sheet'!D20)*(1-'Industry Ratios'!E50)/(AVERAGE('Help Sheet'!D52:D53)-AVERAGE('Help Sheet'!D54:D55)+AVERAGE('Help Sheet'!D48:D49))</f>
        <v>-0.3814387803716055</v>
      </c>
      <c r="F55" s="1079">
        <f>('Help Sheet'!E20)*(1-'Industry Ratios'!F50)/(AVERAGE('Help Sheet'!E52:E53)-AVERAGE('Help Sheet'!E54:E55)+AVERAGE('Help Sheet'!E48:E49))</f>
        <v>-0.29268836013780053</v>
      </c>
      <c r="G55" s="1079">
        <f>('Help Sheet'!F20)*(1-'Industry Ratios'!G50)/(AVERAGE('Help Sheet'!F52:F53)-AVERAGE('Help Sheet'!F54:F55)+AVERAGE('Help Sheet'!F48:F49))</f>
        <v>-0.39326627421843741</v>
      </c>
      <c r="H55" s="1079">
        <f>('Help Sheet'!G20)*(1-'Industry Ratios'!H50)/(AVERAGE('Help Sheet'!G52:G53)-AVERAGE('Help Sheet'!G54:G55)+AVERAGE('Help Sheet'!G48:G49))</f>
        <v>-0.23047610156833459</v>
      </c>
      <c r="I55" s="1079">
        <f>('Help Sheet'!H20)*(1-'Industry Ratios'!I50)/(AVERAGE('Help Sheet'!H52:H53)-AVERAGE('Help Sheet'!H54:H55)+AVERAGE('Help Sheet'!H48:H49))</f>
        <v>-3.523371913776141E-2</v>
      </c>
    </row>
    <row r="56" spans="1:9">
      <c r="A56" s="1076">
        <f>'Help Sheet'!C21*(1-'Help Sheet'!C42)/AVERAGE('Help Sheet'!C10:C11)</f>
        <v>-8.6128999179655441E-2</v>
      </c>
      <c r="B56" s="1077" t="s">
        <v>607</v>
      </c>
      <c r="C56" s="1078">
        <f t="shared" ref="C56:C57" si="24">AVERAGE(E56:I56)</f>
        <v>-8.8621548600400391E-2</v>
      </c>
      <c r="D56" s="1078">
        <f t="shared" si="23"/>
        <v>-9.8893280632411054E-2</v>
      </c>
      <c r="E56" s="1076">
        <f>'Help Sheet'!D21*(1-'Help Sheet'!D42)/AVERAGE('Help Sheet'!D10:D11)</f>
        <v>-9.8893280632411054E-2</v>
      </c>
      <c r="F56" s="1076">
        <f>'Help Sheet'!E21*(1-'Help Sheet'!E42)/AVERAGE('Help Sheet'!E10:E11)</f>
        <v>-0.13440062949271739</v>
      </c>
      <c r="G56" s="1076">
        <f>'Help Sheet'!F21*(1-'Help Sheet'!F42)/AVERAGE('Help Sheet'!F10:F11)</f>
        <v>-0.10565465088968748</v>
      </c>
      <c r="H56" s="1076">
        <f>'Help Sheet'!G21*(1-'Help Sheet'!G42)/AVERAGE('Help Sheet'!G10:G11)</f>
        <v>-7.9896869311394225E-2</v>
      </c>
      <c r="I56" s="1076">
        <f>'Help Sheet'!H21*(1-'Help Sheet'!H42)/AVERAGE('Help Sheet'!H10:H11)</f>
        <v>-2.426231267579175E-2</v>
      </c>
    </row>
    <row r="57" spans="1:9">
      <c r="A57" s="1076">
        <f>'Help Sheet'!C21/AVERAGE('Help Sheet'!C10:C11)</f>
        <v>-0.1213084495488105</v>
      </c>
      <c r="B57" s="1077" t="s">
        <v>608</v>
      </c>
      <c r="C57" s="1078">
        <f t="shared" si="24"/>
        <v>-0.1222871058077217</v>
      </c>
      <c r="D57" s="1078">
        <f t="shared" ref="D57:D58" si="25">MEDIAN(E57:I57)</f>
        <v>-0.13735177865612649</v>
      </c>
      <c r="E57" s="1076">
        <f>'Help Sheet'!D21/AVERAGE('Help Sheet'!D10:D11)</f>
        <v>-0.13735177865612649</v>
      </c>
      <c r="F57" s="1076">
        <f>'Help Sheet'!E21/AVERAGE('Help Sheet'!E10:E11)</f>
        <v>-0.1866675409621075</v>
      </c>
      <c r="G57" s="1076">
        <f>'Help Sheet'!F21/AVERAGE('Help Sheet'!F10:F11)</f>
        <v>-0.14473239847902394</v>
      </c>
      <c r="H57" s="1076">
        <f>'Help Sheet'!G21/AVERAGE('Help Sheet'!G10:G11)</f>
        <v>-0.10944776617999209</v>
      </c>
      <c r="I57" s="1076">
        <f>'Help Sheet'!H21/AVERAGE('Help Sheet'!H10:H11)</f>
        <v>-3.3236044761358566E-2</v>
      </c>
    </row>
    <row r="58" spans="1:9">
      <c r="A58" s="1076">
        <f>'Help Sheet'!C23/(AVERAGE('Help Sheet'!C52:C53)+AVERAGE('Help Sheet'!C16:C17))</f>
        <v>-0.77422448496329621</v>
      </c>
      <c r="B58" s="1077" t="s">
        <v>609</v>
      </c>
      <c r="C58" s="1078">
        <f t="shared" ref="C58" si="26">AVERAGE(E58:I58)</f>
        <v>0.13351078252493451</v>
      </c>
      <c r="D58" s="1078">
        <f t="shared" si="25"/>
        <v>-0.35465605162975</v>
      </c>
      <c r="E58" s="1078">
        <f>'Help Sheet'!D23/(AVERAGE('Help Sheet'!D52:D53)+AVERAGE('Help Sheet'!D16:D17))</f>
        <v>-1.0651054783319704</v>
      </c>
      <c r="F58" s="1078">
        <f>'Help Sheet'!E23/(AVERAGE('Help Sheet'!E52:E53)+AVERAGE('Help Sheet'!E16:E17))</f>
        <v>2.600452397995705</v>
      </c>
      <c r="G58" s="1078">
        <f>'Help Sheet'!F23/(AVERAGE('Help Sheet'!F52:F53)+AVERAGE('Help Sheet'!F16:F17))</f>
        <v>-0.39137255675837718</v>
      </c>
      <c r="H58" s="1078">
        <f>'Help Sheet'!G23/(AVERAGE('Help Sheet'!G52:G53)+AVERAGE('Help Sheet'!G16:G17))</f>
        <v>-0.35465605162975</v>
      </c>
      <c r="I58" s="1078">
        <f>'Help Sheet'!H23/(AVERAGE('Help Sheet'!H52:H53)+AVERAGE('Help Sheet'!H16:H17))</f>
        <v>-0.12176439865093482</v>
      </c>
    </row>
    <row r="59" spans="1:9">
      <c r="A59" s="1076">
        <f>('Help Sheet'!C20+'Ind R&amp;D'!C45+'Ind Leases'!B29)*(1-'Help Sheet'!C42)/(+AVERAGE('Help Sheet'!C52:C53)-AVERAGE('Help Sheet'!C54:C55)+AVERAGE('Help Sheet'!C16:C17)+'Ind Leases'!B28+AVERAGE('Help Sheet'!C50:C51))</f>
        <v>-0.25118060450710239</v>
      </c>
      <c r="B59" s="1077" t="s">
        <v>610</v>
      </c>
      <c r="C59" s="1078">
        <f t="shared" ref="C59:C60" si="27">AVERAGE(E59:I59)</f>
        <v>-0.29977584875678309</v>
      </c>
      <c r="D59" s="1078">
        <f t="shared" ref="D59:D60" si="28">MEDIAN(E59:I59)</f>
        <v>-0.3488337659022252</v>
      </c>
      <c r="E59" s="1078">
        <f>('Help Sheet'!D20+'Ind R&amp;D'!D45+'Ind Leases'!C29)*(1-'Help Sheet'!D42)/(+AVERAGE('Help Sheet'!D52:D53)-AVERAGE('Help Sheet'!D54:D55)+AVERAGE('Help Sheet'!D16:D17)+'Ind Leases'!C28+AVERAGE('Help Sheet'!D50:D51))</f>
        <v>-0.47954821596645841</v>
      </c>
      <c r="F59" s="1078">
        <f>('Help Sheet'!E20+'Ind R&amp;D'!E45+'Ind Leases'!D29)*(1-'Help Sheet'!E42)/(+AVERAGE('Help Sheet'!E52:E53)-AVERAGE('Help Sheet'!E54:E55)+AVERAGE('Help Sheet'!E16:E17)+'Ind Leases'!D28+AVERAGE('Help Sheet'!E50:E51))</f>
        <v>-0.3488337659022252</v>
      </c>
      <c r="G59" s="1078">
        <f>('Help Sheet'!F20+'Ind R&amp;D'!F45+'Ind Leases'!E29)*(1-'Help Sheet'!F42)/(+AVERAGE('Help Sheet'!F52:F53)-AVERAGE('Help Sheet'!F54:F55)+AVERAGE('Help Sheet'!F16:F17)+'Ind Leases'!E28+AVERAGE('Help Sheet'!F50:F51))</f>
        <v>-0.39684116564322808</v>
      </c>
      <c r="H59" s="1078">
        <f>('Help Sheet'!G20+'Ind R&amp;D'!G45+'Ind Leases'!F29)*(1-'Help Sheet'!G42)/(+AVERAGE('Help Sheet'!G52:G53)-AVERAGE('Help Sheet'!G54:G55)+AVERAGE('Help Sheet'!G16:G17)+'Ind Leases'!F28+AVERAGE('Help Sheet'!G50:G51))</f>
        <v>-0.23624724422999355</v>
      </c>
      <c r="I59" s="1078">
        <f>('Help Sheet'!H20+'Ind R&amp;D'!H45+'Ind Leases'!G29)*(1-'Help Sheet'!H42)/(+AVERAGE('Help Sheet'!H52:H53)-AVERAGE('Help Sheet'!H54:H55)+AVERAGE('Help Sheet'!H16:H17)+'Ind Leases'!G28+AVERAGE('Help Sheet'!H50:H51))</f>
        <v>-3.7408852042009944E-2</v>
      </c>
    </row>
    <row r="60" spans="1:9">
      <c r="A60" s="1076">
        <f>('Help Sheet'!C20+'Ind R&amp;D'!C45+'Ind Leases'!B29)*(1-'Help Sheet'!C42)/(AVERAGE('Help Sheet'!C48:C49)+AVERAGE('Help Sheet'!C52:C53)-AVERAGE('Help Sheet'!C54:C55)+AVERAGE('Help Sheet'!C16:C17)+'Ind Leases'!B28)</f>
        <v>-0.22478198535736812</v>
      </c>
      <c r="B60" s="1077" t="s">
        <v>611</v>
      </c>
      <c r="C60" s="1078">
        <f t="shared" si="27"/>
        <v>-0.25377945876688851</v>
      </c>
      <c r="D60" s="1078">
        <f t="shared" si="28"/>
        <v>-0.29268836013780053</v>
      </c>
      <c r="E60" s="1078">
        <f>('Help Sheet'!D20+'Ind R&amp;D'!D45+'Ind Leases'!C29)*(1-'Help Sheet'!D42)/(AVERAGE('Help Sheet'!D48:D49)+AVERAGE('Help Sheet'!D52:D53)-AVERAGE('Help Sheet'!D54:D55)+AVERAGE('Help Sheet'!D16:D17)+'Ind Leases'!C28)</f>
        <v>-0.3814387803716055</v>
      </c>
      <c r="F60" s="1078">
        <f>('Help Sheet'!E20+'Ind R&amp;D'!E45+'Ind Leases'!D29)*(1-'Help Sheet'!E42)/(AVERAGE('Help Sheet'!E48:E49)+AVERAGE('Help Sheet'!E52:E53)-AVERAGE('Help Sheet'!E54:E55)+AVERAGE('Help Sheet'!E16:E17)+'Ind Leases'!D28)</f>
        <v>-0.29268836013780053</v>
      </c>
      <c r="G60" s="1078">
        <f>('Help Sheet'!F20+'Ind R&amp;D'!F45+'Ind Leases'!E29)*(1-'Help Sheet'!F42)/(AVERAGE('Help Sheet'!F48:F49)+AVERAGE('Help Sheet'!F52:F53)-AVERAGE('Help Sheet'!F54:F55)+AVERAGE('Help Sheet'!F16:F17)+'Ind Leases'!E28)</f>
        <v>-0.36144525532452676</v>
      </c>
      <c r="H60" s="1078">
        <f>('Help Sheet'!G20+'Ind R&amp;D'!G45+'Ind Leases'!F29)*(1-'Help Sheet'!G42)/(AVERAGE('Help Sheet'!G48:G49)+AVERAGE('Help Sheet'!G52:G53)-AVERAGE('Help Sheet'!G54:G55)+AVERAGE('Help Sheet'!G16:G17)+'Ind Leases'!F28)</f>
        <v>-0.19938393102712207</v>
      </c>
      <c r="I60" s="1078">
        <f>('Help Sheet'!H20+'Ind R&amp;D'!H45+'Ind Leases'!G29)*(1-'Help Sheet'!H42)/(AVERAGE('Help Sheet'!H48:H49)+AVERAGE('Help Sheet'!H52:H53)-AVERAGE('Help Sheet'!H54:H55)+AVERAGE('Help Sheet'!H16:H17)+'Ind Leases'!G28)</f>
        <v>-3.394096697338736E-2</v>
      </c>
    </row>
    <row r="61" spans="1:9">
      <c r="A61" s="1076"/>
      <c r="B61" s="1080"/>
      <c r="C61" s="1078"/>
      <c r="D61" s="1078"/>
      <c r="E61" s="1078"/>
      <c r="F61" s="1078"/>
      <c r="G61" s="1078"/>
      <c r="H61" s="1078"/>
      <c r="I61" s="1078"/>
    </row>
    <row r="63" spans="1:9" ht="30" customHeight="1">
      <c r="A63" s="1001" t="str">
        <f>A35</f>
        <v>Delta Air Lines, Inc.</v>
      </c>
      <c r="B63" s="938"/>
      <c r="C63" s="1006" t="str">
        <f t="shared" ref="C63:I63" si="29">C35</f>
        <v>Mean</v>
      </c>
      <c r="D63" s="1006" t="str">
        <f t="shared" si="29"/>
        <v>Median</v>
      </c>
      <c r="E63" s="1006" t="str">
        <f t="shared" si="29"/>
        <v>Air Canada</v>
      </c>
      <c r="F63" s="1006" t="str">
        <f t="shared" si="29"/>
        <v>American Airlines Group, Inc.</v>
      </c>
      <c r="G63" s="1006" t="str">
        <f t="shared" si="29"/>
        <v>Southwest Airlines Co.</v>
      </c>
      <c r="H63" s="1006" t="str">
        <f t="shared" si="29"/>
        <v>Alaska Air Group, Inc.</v>
      </c>
      <c r="I63" s="1006" t="str">
        <f t="shared" si="29"/>
        <v>SkyWest, Inc</v>
      </c>
    </row>
    <row r="64" spans="1:9">
      <c r="A64" s="953" cm="1">
        <f t="array" ref="A64">_xll.FDS(A3,"FF_NET_INC(ANN_R,0)")/_xll.FDS(A3,"FF_PTX_INC(ANN_R,0)")</f>
        <v>0.79457240007698726</v>
      </c>
      <c r="B64" s="3" t="s">
        <v>619</v>
      </c>
      <c r="C64" s="943">
        <f t="shared" ref="C64:C70" si="30">AVERAGE(E64:I64)</f>
        <v>0.86746219699726834</v>
      </c>
      <c r="D64" s="943">
        <f t="shared" ref="D64:D70" si="31">MEDIAN(E64:I64)</f>
        <v>0.77577927180651363</v>
      </c>
      <c r="E64" s="943" cm="1">
        <f t="array" ref="E64">_xll.FDS(E3,"FF_NET_INC(ANN_R,0)")/_xll.FDS(E3,"FF_PTX_INC(ANN_R,0)")</f>
        <v>0.95755202967236763</v>
      </c>
      <c r="F64" s="943" cm="1">
        <f t="array" ref="F64">_xll.FDS(F3,"FF_NET_INC(ANN_R,0)")/_xll.FDS(F3,"FF_PTX_INC(ANN_R,0)")</f>
        <v>0.77577927180651363</v>
      </c>
      <c r="G64" s="943" cm="1">
        <f t="array" ref="G64">_xll.FDS(G3,"FF_NET_INC(ANN_R,0)")/_xll.FDS(G3,"FF_PTX_INC(ANN_R,0)")</f>
        <v>0.72227443609022557</v>
      </c>
      <c r="H64" s="943" cm="1">
        <f t="array" ref="H64">_xll.FDS(H3,"FF_NET_INC(ANN_R,0)")/_xll.FDS(H3,"FF_PTX_INC(ANN_R,0)")</f>
        <v>0.7195652173913043</v>
      </c>
      <c r="I64" s="943" cm="1">
        <f t="array" ref="I64">_xll.FDS(I3,"FF_NET_INC(ANN_R,0)")/_xll.FDS(I3,"FF_PTX_INC(ANN_R,0)")</f>
        <v>1.1621400300259315</v>
      </c>
    </row>
    <row r="65" spans="1:9">
      <c r="A65" s="953" cm="1">
        <f t="array" ref="A65">(_xll.FDS(A3,"FF_PTX_INC(ANN_R,0)"))/(_xll.FDS(A3,"FF_EBIT_OPER(ANN_R,0)"))</f>
        <v>1.8822605965463108</v>
      </c>
      <c r="B65" s="3" t="s">
        <v>620</v>
      </c>
      <c r="C65" s="943">
        <f t="shared" si="30"/>
        <v>0.85496335447744121</v>
      </c>
      <c r="D65" s="943">
        <f t="shared" si="31"/>
        <v>1.0057960832528321</v>
      </c>
      <c r="E65" s="953" cm="1">
        <f t="array" ref="E65">(_xll.FDS(E3,"FF_PTX_INC(ANN_R,0)"))/(_xll.FDS(E3,"FF_EBIT_OPER(ANN_R,0)"))</f>
        <v>1.2469167523124358</v>
      </c>
      <c r="F65" s="953" cm="1">
        <f t="array" ref="F65">(_xll.FDS(F3,"FF_PTX_INC(ANN_R,0)"))/(_xll.FDS(F3,"FF_EBIT_OPER(ANN_R,0)"))</f>
        <v>1.0057960832528321</v>
      </c>
      <c r="G65" s="953" cm="1">
        <f t="array" ref="G65">(_xll.FDS(G3,"FF_PTX_INC(ANN_R,0)"))/(_xll.FDS(G3,"FF_EBIT_OPER(ANN_R,0)"))</f>
        <v>0.90303416083174204</v>
      </c>
      <c r="H65" s="953" cm="1">
        <f t="array" ref="H65">(_xll.FDS(H3,"FF_PTX_INC(ANN_R,0)"))/(_xll.FDS(H3,"FF_EBIT_OPER(ANN_R,0)"))</f>
        <v>1.0881135422826729</v>
      </c>
      <c r="I65" s="953" cm="1">
        <f t="array" ref="I65">(_xll.FDS(I3,"FF_PTX_INC(ANN_R,0)"))/(_xll.FDS(I3,"FF_EBIT_OPER(ANN_R,0)"))</f>
        <v>3.0956233707523376E-2</v>
      </c>
    </row>
    <row r="66" spans="1:9">
      <c r="A66" s="953" cm="1">
        <f t="array" ref="A66">(_xll.FDS(A3,"FF_EBIT_OPER(ANN_R,0)"))/_xll.FDS(A3,"FF_SALES(ANN_R,0)")</f>
        <v>-0.48441064638783271</v>
      </c>
      <c r="B66" s="3" t="s">
        <v>690</v>
      </c>
      <c r="C66" s="943">
        <f t="shared" si="30"/>
        <v>-0.48608073134426383</v>
      </c>
      <c r="D66" s="943">
        <f t="shared" si="31"/>
        <v>-0.52088859416445621</v>
      </c>
      <c r="E66" s="953" cm="1">
        <f t="array" ref="E66">(_xll.FDS(E3,"FF_EBIT_OPER(ANN_R,0)"))/_xll.FDS(E3,"FF_SALES(ANN_R,0)")</f>
        <v>-0.6672381278930225</v>
      </c>
      <c r="F66" s="953" cm="1">
        <f t="array" ref="F66">(_xll.FDS(F3,"FF_EBIT_OPER(ANN_R,0)"))/_xll.FDS(F3,"FF_SALES(ANN_R,0)")</f>
        <v>-0.65680336851819809</v>
      </c>
      <c r="G66" s="953" cm="1">
        <f t="array" ref="G66">(_xll.FDS(G3,"FF_EBIT_OPER(ANN_R,0)"))/_xll.FDS(G3,"FF_SALES(ANN_R,0)")</f>
        <v>-0.52088859416445621</v>
      </c>
      <c r="H66" s="953" cm="1">
        <f t="array" ref="H66">(_xll.FDS(H3,"FF_EBIT_OPER(ANN_R,0)"))/_xll.FDS(H3,"FF_SALES(ANN_R,0)")</f>
        <v>-0.47420078519349412</v>
      </c>
      <c r="I66" s="953" cm="1">
        <f t="array" ref="I66">(_xll.FDS(I3,"FF_EBIT_OPER(ANN_R,0)"))/_xll.FDS(I3,"FF_SALES(ANN_R,0)")</f>
        <v>-0.11127278095214811</v>
      </c>
    </row>
    <row r="67" spans="1:9">
      <c r="A67" s="953" cm="1">
        <f t="array" ref="A67">_xll.FDS(A3,"FF_ASSET_TURN(ANN_R,0)")</f>
        <v>0.25042482128208099</v>
      </c>
      <c r="B67" s="3" t="s">
        <v>691</v>
      </c>
      <c r="C67" s="943">
        <f t="shared" si="30"/>
        <v>0.26507949204225162</v>
      </c>
      <c r="D67" s="943">
        <f t="shared" si="31"/>
        <v>0.28420612607886703</v>
      </c>
      <c r="E67" s="953" cm="1">
        <f t="array" ref="E67">_xll.FDS(E3,"FF_ASSET_TURN(ANN_R,0)")</f>
        <v>0.20585121400338799</v>
      </c>
      <c r="F67" s="953" cm="1">
        <f t="array" ref="F67">_xll.FDS(F3,"FF_ASSET_TURN(ANN_R,0)")</f>
        <v>0.28420612607886703</v>
      </c>
      <c r="G67" s="953" cm="1">
        <f t="array" ref="G67">_xll.FDS(G3,"FF_ASSET_TURN(ANN_R,0)")</f>
        <v>0.28459094769288801</v>
      </c>
      <c r="H67" s="953" cm="1">
        <f t="array" ref="H67">_xll.FDS(H3,"FF_ASSET_TURN(ANN_R,0)")</f>
        <v>0.24400424236203799</v>
      </c>
      <c r="I67" s="953" cm="1">
        <f t="array" ref="I67">_xll.FDS(I3,"FF_ASSET_TURN(ANN_R,0)")</f>
        <v>0.30674493007407699</v>
      </c>
    </row>
    <row r="68" spans="1:9">
      <c r="A68" s="953" cm="1">
        <f t="array" ref="A68">_xll.FDS(A3,"FF_AVG_ASSETS(ANN_R,0)")/_xll.FDS(A3,"FF_AVG_SHLDRS_EQ(ANN_R,0)")</f>
        <v>8.0824058726024148</v>
      </c>
      <c r="B68" s="3" t="s">
        <v>623</v>
      </c>
      <c r="C68" s="943">
        <f t="shared" si="30"/>
        <v>0.48163189126703199</v>
      </c>
      <c r="D68" s="943">
        <f t="shared" si="31"/>
        <v>3.3988667949540305</v>
      </c>
      <c r="E68" s="943" cm="1">
        <f t="array" ref="E68">_xll.FDS(E3,"FF_AVG_ASSETS(ANN_R,0)")/_xll.FDS(E3,"FF_AVG_SHLDRS_EQ(ANN_R,0)")</f>
        <v>9.2677023712183164</v>
      </c>
      <c r="F68" s="943" cm="1">
        <f t="array" ref="F68">_xll.FDS(F3,"FF_AVG_ASSETS(ANN_R,0)")/_xll.FDS(F3,"FF_AVG_SHLDRS_EQ(ANN_R,0)")</f>
        <v>-17.466428060128848</v>
      </c>
      <c r="G68" s="943" cm="1">
        <f t="array" ref="G68">_xll.FDS(G3,"FF_AVG_ASSETS(ANN_R,0)")/_xll.FDS(G3,"FF_AVG_SHLDRS_EQ(ANN_R,0)")</f>
        <v>3.3988667949540305</v>
      </c>
      <c r="H68" s="943" cm="1">
        <f t="array" ref="H68">_xll.FDS(H3,"FF_AVG_ASSETS(ANN_R,0)")/_xll.FDS(H3,"FF_AVG_SHLDRS_EQ(ANN_R,0)")</f>
        <v>3.993578357699139</v>
      </c>
      <c r="I68" s="943" cm="1">
        <f t="array" ref="I68">_xll.FDS(I3,"FF_AVG_ASSETS(ANN_R,0)")/_xll.FDS(I3,"FF_AVG_SHLDRS_EQ(ANN_R,0)")</f>
        <v>3.214439992592522</v>
      </c>
    </row>
    <row r="69" spans="1:9">
      <c r="A69" s="953">
        <f>A64*A65*A66</f>
        <v>-0.72448084235156485</v>
      </c>
      <c r="B69" s="3" t="s">
        <v>624</v>
      </c>
      <c r="C69" s="943">
        <f t="shared" si="30"/>
        <v>-0.4048385744246733</v>
      </c>
      <c r="D69" s="943">
        <f t="shared" si="31"/>
        <v>-0.37128435221536726</v>
      </c>
      <c r="E69" s="943">
        <f>E64*E65*E66</f>
        <v>-0.79667409566260938</v>
      </c>
      <c r="F69" s="943">
        <f>F64*F65*F66</f>
        <v>-0.51248774297744704</v>
      </c>
      <c r="G69" s="943">
        <f>G64*G65*G66</f>
        <v>-0.33974358974358976</v>
      </c>
      <c r="H69" s="943">
        <f>H64*H65*H66</f>
        <v>-0.37128435221536726</v>
      </c>
      <c r="I69" s="943">
        <f>I64*I65*I66</f>
        <v>-4.0030915243528063E-3</v>
      </c>
    </row>
    <row r="70" spans="1:9">
      <c r="A70" s="953">
        <f>A69*A67*A68</f>
        <v>-1.4663746152024608</v>
      </c>
      <c r="B70" s="3" t="s">
        <v>82</v>
      </c>
      <c r="C70" s="943">
        <f t="shared" si="30"/>
        <v>6.5955821584709501E-2</v>
      </c>
      <c r="D70" s="943">
        <f t="shared" si="31"/>
        <v>-0.3286294633311948</v>
      </c>
      <c r="E70" s="943">
        <f>E69*E67*E68</f>
        <v>-1.5198691741618979</v>
      </c>
      <c r="F70" s="943">
        <f>F69*F67*F68</f>
        <v>2.5440229062276316</v>
      </c>
      <c r="G70" s="943">
        <f>G69*G67*G68</f>
        <v>-0.3286294633311948</v>
      </c>
      <c r="H70" s="943">
        <f>H69*H67*H68</f>
        <v>-0.36179805984424135</v>
      </c>
      <c r="I70" s="943">
        <f>I69*I67*I68</f>
        <v>-3.9471009667500162E-3</v>
      </c>
    </row>
    <row r="71" spans="1:9">
      <c r="A71" s="953">
        <f>('Help Sheet'!C4-'Help Sheet'!C6-'Help Sheet'!C8-'Help Sheet'!C24+'Ind R&amp;D'!C45+'Ind Leases'!B29)*(1-'Help Sheet'!C42)/('Help Sheet'!C4-'Help Sheet'!C6-'Help Sheet'!C8-'Help Sheet'!C24+'Ind R&amp;D'!C45+'Ind Leases'!B29)</f>
        <v>0.71</v>
      </c>
      <c r="B71" s="3" t="s">
        <v>692</v>
      </c>
      <c r="C71" s="943">
        <f t="shared" ref="C71:C77" si="32">AVERAGE(E71:I71)</f>
        <v>0.72599999999999998</v>
      </c>
      <c r="D71" s="943">
        <f t="shared" ref="D71:D77" si="33">MEDIAN(E71:I71)</f>
        <v>0.73</v>
      </c>
      <c r="E71" s="943">
        <f>('Help Sheet'!D4-'Help Sheet'!D6-'Help Sheet'!D8-'Help Sheet'!D24+'Ind R&amp;D'!D45+'Ind Leases'!C29)*(1-'Help Sheet'!D42)/('Help Sheet'!D4-'Help Sheet'!D6-'Help Sheet'!D8-'Help Sheet'!D24+'Ind R&amp;D'!D45+'Ind Leases'!C29)</f>
        <v>0.72</v>
      </c>
      <c r="F71" s="943">
        <f>('Help Sheet'!E4-'Help Sheet'!E6-'Help Sheet'!E8-'Help Sheet'!E24+'Ind R&amp;D'!E45+'Ind Leases'!D29)*(1-'Help Sheet'!E42)/('Help Sheet'!E4-'Help Sheet'!E6-'Help Sheet'!E8-'Help Sheet'!E24+'Ind R&amp;D'!E45+'Ind Leases'!D29)</f>
        <v>0.72</v>
      </c>
      <c r="G71" s="943">
        <f>('Help Sheet'!F4-'Help Sheet'!F6-'Help Sheet'!F8-'Help Sheet'!F24+'Ind R&amp;D'!F45+'Ind Leases'!E29)*(1-'Help Sheet'!F42)/('Help Sheet'!F4-'Help Sheet'!F6-'Help Sheet'!F8-'Help Sheet'!F24+'Ind R&amp;D'!F45+'Ind Leases'!E29)</f>
        <v>0.73</v>
      </c>
      <c r="H71" s="943">
        <f>('Help Sheet'!G4-'Help Sheet'!G6-'Help Sheet'!G8-'Help Sheet'!G24+'Ind R&amp;D'!G45+'Ind Leases'!F29)*(1-'Help Sheet'!G42)/('Help Sheet'!G4-'Help Sheet'!G6-'Help Sheet'!G8-'Help Sheet'!G24+'Ind R&amp;D'!G45+'Ind Leases'!F29)</f>
        <v>0.73</v>
      </c>
      <c r="I71" s="943">
        <f>('Help Sheet'!H4-'Help Sheet'!H6-'Help Sheet'!H8-'Help Sheet'!H24+'Ind R&amp;D'!H45+'Ind Leases'!G29)*(1-'Help Sheet'!H42)/('Help Sheet'!H4-'Help Sheet'!H6-'Help Sheet'!H8-'Help Sheet'!H24+'Ind R&amp;D'!H45+'Ind Leases'!G29)</f>
        <v>0.73</v>
      </c>
    </row>
    <row r="72" spans="1:9">
      <c r="A72" s="953">
        <f>('Help Sheet'!C21-'Help Sheet'!C24)/'Help Sheet'!C21</f>
        <v>1.1121845187779253</v>
      </c>
      <c r="B72" s="3" t="s">
        <v>693</v>
      </c>
      <c r="C72" s="943">
        <f t="shared" si="32"/>
        <v>1.1811743270159212</v>
      </c>
      <c r="D72" s="943">
        <f t="shared" si="33"/>
        <v>1.1077544568367437</v>
      </c>
      <c r="E72" s="943">
        <f>('Help Sheet'!D21-'Help Sheet'!D24)/'Help Sheet'!D21</f>
        <v>1.1621274409044193</v>
      </c>
      <c r="F72" s="943">
        <f>('Help Sheet'!E21-'Help Sheet'!E24)/'Help Sheet'!E21</f>
        <v>1.1077544568367437</v>
      </c>
      <c r="G72" s="943">
        <f>('Help Sheet'!F21-'Help Sheet'!F24)/'Help Sheet'!F21</f>
        <v>1.0640790337132799</v>
      </c>
      <c r="H72" s="943">
        <f>('Help Sheet'!G21-'Help Sheet'!G24)/'Help Sheet'!G21</f>
        <v>1.0514520220399066</v>
      </c>
      <c r="I72" s="943">
        <f>('Help Sheet'!H21-'Help Sheet'!H24)/'Help Sheet'!H21</f>
        <v>1.5204586815852577</v>
      </c>
    </row>
    <row r="73" spans="1:9">
      <c r="A73" s="953">
        <f>'Help Sheet'!C21/'Help Sheet'!C4</f>
        <v>-0.48441064638783271</v>
      </c>
      <c r="B73" s="3" t="s">
        <v>694</v>
      </c>
      <c r="C73" s="943">
        <f t="shared" si="32"/>
        <v>-0.48607082997357115</v>
      </c>
      <c r="D73" s="943">
        <f t="shared" si="33"/>
        <v>-0.52088085703006493</v>
      </c>
      <c r="E73" s="943">
        <f>'Help Sheet'!D21/'Help Sheet'!D4</f>
        <v>-0.6672381278930225</v>
      </c>
      <c r="F73" s="943">
        <f>'Help Sheet'!E21/'Help Sheet'!E4</f>
        <v>-0.65680336851819809</v>
      </c>
      <c r="G73" s="943">
        <f>'Help Sheet'!F21/'Help Sheet'!F4</f>
        <v>-0.52088085703006493</v>
      </c>
      <c r="H73" s="943">
        <f>'Help Sheet'!G21/'Help Sheet'!G4</f>
        <v>-0.47417152134661078</v>
      </c>
      <c r="I73" s="943">
        <f>'Help Sheet'!H21/'Help Sheet'!H4</f>
        <v>-0.11126027507995934</v>
      </c>
    </row>
    <row r="74" spans="1:9">
      <c r="A74" s="953">
        <f>'Help Sheet'!C4/AVERAGE('Help Sheet'!C10:C11)</f>
        <v>0.25042482128208132</v>
      </c>
      <c r="B74" s="3" t="s">
        <v>695</v>
      </c>
      <c r="C74" s="943">
        <f t="shared" si="32"/>
        <v>0.25949210037679682</v>
      </c>
      <c r="D74" s="943">
        <f t="shared" si="33"/>
        <v>0.27786085152803008</v>
      </c>
      <c r="E74" s="953">
        <f>'Help Sheet'!D4/AVERAGE('Help Sheet'!D10:D11)</f>
        <v>0.20585121400338791</v>
      </c>
      <c r="F74" s="953">
        <f>'Help Sheet'!E4/AVERAGE('Help Sheet'!E10:E11)</f>
        <v>0.28420612607886692</v>
      </c>
      <c r="G74" s="953">
        <f>'Help Sheet'!F4/AVERAGE('Help Sheet'!F10:F11)</f>
        <v>0.27786085152803008</v>
      </c>
      <c r="H74" s="953">
        <f>'Help Sheet'!G4/AVERAGE('Help Sheet'!G10:G11)</f>
        <v>0.23081893629792194</v>
      </c>
      <c r="I74" s="953">
        <f>'Help Sheet'!H4/AVERAGE('Help Sheet'!H10:H11)</f>
        <v>0.29872337397577747</v>
      </c>
    </row>
    <row r="75" spans="1:9">
      <c r="A75" s="953">
        <f>AVERAGE('Help Sheet'!C10:C11)/(AVERAGE('Help Sheet'!C52:C53)+AVERAGE('Help Sheet'!C16:C17))</f>
        <v>8.0824058726024148</v>
      </c>
      <c r="B75" s="3" t="s">
        <v>696</v>
      </c>
      <c r="C75" s="943">
        <f t="shared" si="32"/>
        <v>0.56098593986759959</v>
      </c>
      <c r="D75" s="943">
        <f t="shared" si="33"/>
        <v>3.4811910959694137</v>
      </c>
      <c r="E75" s="943">
        <f>AVERAGE('Help Sheet'!D10:D11)/(AVERAGE('Help Sheet'!D52:D53)+AVERAGE('Help Sheet'!D16:D17))</f>
        <v>9.2677023712183164</v>
      </c>
      <c r="F75" s="943">
        <f>AVERAGE('Help Sheet'!E10:E11)/(AVERAGE('Help Sheet'!E52:E53)+AVERAGE('Help Sheet'!E16:E17))</f>
        <v>-17.466428060128848</v>
      </c>
      <c r="G75" s="943">
        <f>AVERAGE('Help Sheet'!F10:F11)/(AVERAGE('Help Sheet'!F52:F53)+AVERAGE('Help Sheet'!F16:F17))</f>
        <v>3.4811910959694137</v>
      </c>
      <c r="H75" s="943">
        <f>AVERAGE('Help Sheet'!G10:G11)/(AVERAGE('Help Sheet'!G52:G53)+AVERAGE('Help Sheet'!G16:G17))</f>
        <v>4.2217076168571799</v>
      </c>
      <c r="I75" s="943">
        <f>AVERAGE('Help Sheet'!H10:H11)/(AVERAGE('Help Sheet'!H52:H53)+AVERAGE('Help Sheet'!H16:H17))</f>
        <v>3.300756675421936</v>
      </c>
    </row>
    <row r="76" spans="1:9">
      <c r="A76" s="953">
        <f>A71*A72*A73</f>
        <v>-0.38251535536706638</v>
      </c>
      <c r="B76" s="3" t="s">
        <v>697</v>
      </c>
      <c r="C76" s="943">
        <f t="shared" si="32"/>
        <v>-0.3948420075818489</v>
      </c>
      <c r="D76" s="943">
        <f t="shared" si="33"/>
        <v>-0.4046086312906565</v>
      </c>
      <c r="E76" s="953">
        <f t="shared" ref="E76:I76" si="34">E71*E72*E73</f>
        <v>-0.55829933139036514</v>
      </c>
      <c r="F76" s="953">
        <f t="shared" si="34"/>
        <v>-0.52385533829382247</v>
      </c>
      <c r="G76" s="953">
        <f t="shared" si="34"/>
        <v>-0.4046086312906565</v>
      </c>
      <c r="H76" s="953">
        <f t="shared" si="34"/>
        <v>-0.36395508158695183</v>
      </c>
      <c r="I76" s="953">
        <f t="shared" si="34"/>
        <v>-0.12349165534744828</v>
      </c>
    </row>
    <row r="77" spans="1:9">
      <c r="A77" s="953">
        <f>A76*A74*A75</f>
        <v>-0.7742244849632961</v>
      </c>
      <c r="B77" s="3" t="s">
        <v>609</v>
      </c>
      <c r="C77" s="943">
        <f t="shared" si="32"/>
        <v>0.13351078252493453</v>
      </c>
      <c r="D77" s="943">
        <f t="shared" si="33"/>
        <v>-0.35465605162975006</v>
      </c>
      <c r="E77" s="953">
        <f t="shared" ref="E77:I77" si="35">E76*E74*E75</f>
        <v>-1.0651054783319707</v>
      </c>
      <c r="F77" s="953">
        <f t="shared" si="35"/>
        <v>2.6004523979957055</v>
      </c>
      <c r="G77" s="953">
        <f t="shared" si="35"/>
        <v>-0.39137255675837718</v>
      </c>
      <c r="H77" s="953">
        <f t="shared" si="35"/>
        <v>-0.35465605162975006</v>
      </c>
      <c r="I77" s="953">
        <f t="shared" si="35"/>
        <v>-0.12176439865093483</v>
      </c>
    </row>
    <row r="78" spans="1:9">
      <c r="A78" s="953"/>
      <c r="C78" s="943"/>
      <c r="D78" s="943"/>
      <c r="E78" s="943"/>
      <c r="F78" s="943"/>
      <c r="G78" s="943"/>
      <c r="H78" s="943"/>
      <c r="I78" s="943"/>
    </row>
    <row r="79" spans="1:9" ht="28.5" customHeight="1">
      <c r="A79" s="1001" t="str">
        <f>A63</f>
        <v>Delta Air Lines, Inc.</v>
      </c>
      <c r="B79" s="689"/>
      <c r="C79" s="1006" t="str">
        <f t="shared" ref="C79:I79" si="36">C63</f>
        <v>Mean</v>
      </c>
      <c r="D79" s="1006" t="str">
        <f t="shared" si="36"/>
        <v>Median</v>
      </c>
      <c r="E79" s="1006" t="str">
        <f t="shared" si="36"/>
        <v>Air Canada</v>
      </c>
      <c r="F79" s="1006" t="str">
        <f t="shared" si="36"/>
        <v>American Airlines Group, Inc.</v>
      </c>
      <c r="G79" s="1006" t="str">
        <f t="shared" si="36"/>
        <v>Southwest Airlines Co.</v>
      </c>
      <c r="H79" s="1006" t="str">
        <f t="shared" si="36"/>
        <v>Alaska Air Group, Inc.</v>
      </c>
      <c r="I79" s="1006" t="str">
        <f t="shared" si="36"/>
        <v>SkyWest, Inc</v>
      </c>
    </row>
    <row r="80" spans="1:9">
      <c r="A80" s="953" cm="1">
        <f t="array" ref="A80">_xll.FDS(A3,"FF_TOT_DEBT_TCAP_STD(ANN_R,0)")/100</f>
        <v>0.95863222048433205</v>
      </c>
      <c r="B80" s="3" t="s">
        <v>698</v>
      </c>
      <c r="C80" s="943">
        <f>AVERAGE(E80:I80)</f>
        <v>78.23515340891997</v>
      </c>
      <c r="D80" s="943">
        <f>MEDIAN(E80:I80)</f>
        <v>62.840442731003598</v>
      </c>
      <c r="E80" s="943" cm="1">
        <f t="array" ref="E80">_xll.FDS(E3,"FF_TOT_DEBT_TCAP_STD(ANN_R,0)")</f>
        <v>88.336507072905306</v>
      </c>
      <c r="F80" s="943" cm="1">
        <f t="array" ref="F80">_xll.FDS(F3,"FF_TOT_DEBT_TCAP_STD(ANN_R,0)")</f>
        <v>120.10599051355599</v>
      </c>
      <c r="G80" s="943" cm="1">
        <f t="array" ref="G80">_xll.FDS(G3,"FF_TOT_DEBT_TCAP_STD(ANN_R,0)")</f>
        <v>57.883748517200502</v>
      </c>
      <c r="H80" s="943" cm="1">
        <f t="array" ref="H80">_xll.FDS(H3,"FF_TOT_DEBT_TCAP_STD(ANN_R,0)")</f>
        <v>62.840442731003598</v>
      </c>
      <c r="I80" s="943" cm="1">
        <f t="array" ref="I80">_xll.FDS(I3,"FF_TOT_DEBT_TCAP_STD(ANN_R,0)")</f>
        <v>62.009078209934501</v>
      </c>
    </row>
    <row r="81" spans="1:9">
      <c r="A81" s="953" cm="1">
        <f t="array" ref="A81">_xll.FDS(A3,"FF_DEBT_EQ(ANN_R,0)")/100</f>
        <v>23.173402868318099</v>
      </c>
      <c r="B81" s="3" t="s">
        <v>699</v>
      </c>
      <c r="C81" s="943" t="e">
        <f>AVERAGE(E81:I81)</f>
        <v>#N/A</v>
      </c>
      <c r="D81" s="943" t="e">
        <f>MEDIAN(E81:I81)</f>
        <v>#N/A</v>
      </c>
      <c r="E81" s="943" cm="1">
        <f t="array" ref="E81">_xll.FDS(E3,"FF_DEBT(ANN_R,0)")/_xll.FDS(E3,"FF_SHLDRS_EQ(ANN_R,0)")*100</f>
        <v>757.37609329446059</v>
      </c>
      <c r="F81" s="943" t="e" cm="1">
        <f t="array" ref="F81">_xll.FDS(F3,"FF_DEBT_EQ(ANN_R,0)")</f>
        <v>#N/A</v>
      </c>
      <c r="G81" s="943" cm="1">
        <f t="array" ref="G81">_xll.FDS(G3,"FF_DEBT_EQ(ANN_R,0)")</f>
        <v>137.438035150969</v>
      </c>
      <c r="H81" s="943" cm="1">
        <f t="array" ref="H81">_xll.FDS(H3,"FF_DEBT_EQ(ANN_R,0)")</f>
        <v>169.10977242302499</v>
      </c>
      <c r="I81" s="943" cm="1">
        <f t="array" ref="I81">_xll.FDS(I3,"FF_DEBT_EQ(ANN_R,0)")</f>
        <v>163.220778249581</v>
      </c>
    </row>
    <row r="82" spans="1:9">
      <c r="A82" s="953">
        <f>('Help Sheet'!C49+'Help Sheet'!C45)/('Help Sheet'!C45+'Help Sheet'!C16+'Help Sheet'!C49+'Help Sheet'!C53)</f>
        <v>0.95863222048433205</v>
      </c>
      <c r="B82" s="3" t="s">
        <v>629</v>
      </c>
      <c r="C82" s="943">
        <f t="shared" ref="C82:C91" si="37">AVERAGE(E82:I82)</f>
        <v>0.78235153408920033</v>
      </c>
      <c r="D82" s="943">
        <f t="shared" ref="D82:D91" si="38">MEDIAN(E82:I82)</f>
        <v>0.6284044273100361</v>
      </c>
      <c r="E82" s="943">
        <f>('Help Sheet'!D49+'Help Sheet'!D45)/('Help Sheet'!D45+'Help Sheet'!D16+'Help Sheet'!D49+'Help Sheet'!D53)</f>
        <v>0.88336507072905335</v>
      </c>
      <c r="F82" s="943">
        <f>('Help Sheet'!E49+'Help Sheet'!E45)/('Help Sheet'!E45+'Help Sheet'!E16+'Help Sheet'!E49+'Help Sheet'!E53)</f>
        <v>1.2010599051355624</v>
      </c>
      <c r="G82" s="943">
        <f>('Help Sheet'!F49+'Help Sheet'!F45)/('Help Sheet'!F45+'Help Sheet'!F16+'Help Sheet'!F49+'Help Sheet'!F53)</f>
        <v>0.57883748517200473</v>
      </c>
      <c r="H82" s="943">
        <f>('Help Sheet'!G49+'Help Sheet'!G45)/('Help Sheet'!G45+'Help Sheet'!G16+'Help Sheet'!G49+'Help Sheet'!G53)</f>
        <v>0.6284044273100361</v>
      </c>
      <c r="I82" s="943">
        <f>('Help Sheet'!H49+'Help Sheet'!H45)/('Help Sheet'!H45+'Help Sheet'!H16+'Help Sheet'!H49+'Help Sheet'!H53)</f>
        <v>0.62009078209934532</v>
      </c>
    </row>
    <row r="83" spans="1:9">
      <c r="A83" s="953">
        <f>('Help Sheet'!C49+'Help Sheet'!C45)/('Help Sheet'!C16+'Help Sheet'!C53)</f>
        <v>23.173402868318121</v>
      </c>
      <c r="B83" s="3" t="s">
        <v>630</v>
      </c>
      <c r="C83" s="943">
        <f t="shared" si="37"/>
        <v>1.2595609469938993</v>
      </c>
      <c r="D83" s="943">
        <f t="shared" si="38"/>
        <v>1.6322077824958108</v>
      </c>
      <c r="E83" s="943">
        <f>('Help Sheet'!D49+'Help Sheet'!D45)/('Help Sheet'!D16+'Help Sheet'!D53)</f>
        <v>7.5737609329446061</v>
      </c>
      <c r="F83" s="943">
        <f>('Help Sheet'!E49+'Help Sheet'!E45)/('Help Sheet'!E16+'Help Sheet'!E53)</f>
        <v>-5.9736420562108634</v>
      </c>
      <c r="G83" s="943">
        <f>('Help Sheet'!F49+'Help Sheet'!F45)/('Help Sheet'!F16+'Help Sheet'!F53)</f>
        <v>1.3743803515096891</v>
      </c>
      <c r="H83" s="943">
        <f>('Help Sheet'!G49+'Help Sheet'!G45)/('Help Sheet'!G16+'Help Sheet'!G53)</f>
        <v>1.6910977242302543</v>
      </c>
      <c r="I83" s="943">
        <f>('Help Sheet'!H49+'Help Sheet'!H45)/('Help Sheet'!H16+'Help Sheet'!H53)</f>
        <v>1.6322077824958108</v>
      </c>
    </row>
    <row r="84" spans="1:9">
      <c r="A84" s="953">
        <f>('Help Sheet'!C49)/('Help Sheet'!C49+'Help Sheet'!C56)</f>
        <v>0.58159510326634334</v>
      </c>
      <c r="B84" s="3" t="s">
        <v>631</v>
      </c>
      <c r="C84" s="943">
        <f t="shared" si="37"/>
        <v>0.58050418916300117</v>
      </c>
      <c r="D84" s="943">
        <f t="shared" si="38"/>
        <v>0.63315295488297796</v>
      </c>
      <c r="E84" s="943">
        <f>('Help Sheet'!D49)/('Help Sheet'!D49+'Help Sheet'!D56)</f>
        <v>0.66918631189677147</v>
      </c>
      <c r="F84" s="943">
        <f>('Help Sheet'!E49)/('Help Sheet'!E49+'Help Sheet'!E56)</f>
        <v>0.84315285524751793</v>
      </c>
      <c r="G84" s="943">
        <f>('Help Sheet'!F49)/('Help Sheet'!F49+'Help Sheet'!F56)</f>
        <v>0.31658044332680657</v>
      </c>
      <c r="H84" s="943">
        <f>('Help Sheet'!G49)/('Help Sheet'!G49+'Help Sheet'!G56)</f>
        <v>0.44044838046093227</v>
      </c>
      <c r="I84" s="943">
        <f>('Help Sheet'!H49)/('Help Sheet'!H49+'Help Sheet'!H56)</f>
        <v>0.63315295488297796</v>
      </c>
    </row>
    <row r="85" spans="1:9">
      <c r="A85" s="953">
        <f>('Help Sheet'!C49)/('Help Sheet'!C56)</f>
        <v>1.3900293897290794</v>
      </c>
      <c r="B85" s="3" t="s">
        <v>632</v>
      </c>
      <c r="C85" s="943">
        <f t="shared" si="37"/>
        <v>2.0749581088412072</v>
      </c>
      <c r="D85" s="943">
        <f t="shared" si="38"/>
        <v>1.7259317290698253</v>
      </c>
      <c r="E85" s="943">
        <f>('Help Sheet'!D49)/('Help Sheet'!D56)</f>
        <v>2.0228495251621985</v>
      </c>
      <c r="F85" s="943">
        <f>('Help Sheet'!E49)/('Help Sheet'!E56)</f>
        <v>5.3756340708533967</v>
      </c>
      <c r="G85" s="943">
        <f>('Help Sheet'!F49)/('Help Sheet'!F56)</f>
        <v>0.46323000305680917</v>
      </c>
      <c r="H85" s="943">
        <f>('Help Sheet'!G49)/('Help Sheet'!G56)</f>
        <v>0.7871452160638065</v>
      </c>
      <c r="I85" s="943">
        <f>('Help Sheet'!H49)/('Help Sheet'!H56)</f>
        <v>1.7259317290698253</v>
      </c>
    </row>
    <row r="86" spans="1:9">
      <c r="A86" s="953">
        <f>('Help Sheet'!C49+'Help Sheet'!C45)/('Help Sheet'!C45+'Help Sheet'!C49+'Help Sheet'!C56)</f>
        <v>0.58159510326634334</v>
      </c>
      <c r="B86" s="3" t="s">
        <v>633</v>
      </c>
      <c r="C86" s="943">
        <f t="shared" si="37"/>
        <v>0.58050418916300117</v>
      </c>
      <c r="D86" s="943">
        <f t="shared" si="38"/>
        <v>0.63315295488297796</v>
      </c>
      <c r="E86" s="943">
        <f>('Help Sheet'!D49+'Help Sheet'!D45)/('Help Sheet'!D45+'Help Sheet'!D49+'Help Sheet'!D56)</f>
        <v>0.66918631189677147</v>
      </c>
      <c r="F86" s="943">
        <f>('Help Sheet'!E49+'Help Sheet'!E45)/('Help Sheet'!E45+'Help Sheet'!E49+'Help Sheet'!E56)</f>
        <v>0.84315285524751793</v>
      </c>
      <c r="G86" s="943">
        <f>('Help Sheet'!F49+'Help Sheet'!F45)/('Help Sheet'!F45+'Help Sheet'!F49+'Help Sheet'!F56)</f>
        <v>0.31658044332680657</v>
      </c>
      <c r="H86" s="943">
        <f>('Help Sheet'!G49+'Help Sheet'!G45)/('Help Sheet'!G45+'Help Sheet'!G49+'Help Sheet'!G56)</f>
        <v>0.44044838046093227</v>
      </c>
      <c r="I86" s="943">
        <f>('Help Sheet'!H49+'Help Sheet'!H45)/('Help Sheet'!H45+'Help Sheet'!H49+'Help Sheet'!H56)</f>
        <v>0.63315295488297796</v>
      </c>
    </row>
    <row r="87" spans="1:9">
      <c r="A87" s="953">
        <f>('Help Sheet'!C49+'Help Sheet'!C45)/('Help Sheet'!C56)</f>
        <v>1.3900293897290794</v>
      </c>
      <c r="B87" s="3" t="s">
        <v>634</v>
      </c>
      <c r="C87" s="943">
        <f t="shared" si="37"/>
        <v>2.0749581088412072</v>
      </c>
      <c r="D87" s="943">
        <f t="shared" si="38"/>
        <v>1.7259317290698253</v>
      </c>
      <c r="E87" s="943">
        <f>('Help Sheet'!D49+'Help Sheet'!D45)/('Help Sheet'!D56)</f>
        <v>2.0228495251621985</v>
      </c>
      <c r="F87" s="943">
        <f>('Help Sheet'!E49+'Help Sheet'!E45)/('Help Sheet'!E56)</f>
        <v>5.3756340708533967</v>
      </c>
      <c r="G87" s="943">
        <f>('Help Sheet'!F49+'Help Sheet'!F45)/('Help Sheet'!F56)</f>
        <v>0.46323000305680917</v>
      </c>
      <c r="H87" s="943">
        <f>('Help Sheet'!G49+'Help Sheet'!G45)/('Help Sheet'!G56)</f>
        <v>0.7871452160638065</v>
      </c>
      <c r="I87" s="943">
        <f>('Help Sheet'!H49+'Help Sheet'!H45)/('Help Sheet'!H56)</f>
        <v>1.7259317290698253</v>
      </c>
    </row>
    <row r="88" spans="1:9">
      <c r="A88" s="953">
        <f>'Help Sheet'!C51/('Help Sheet'!C49+'Help Sheet'!C53)</f>
        <v>0.89364111968070759</v>
      </c>
      <c r="B88" s="3" t="s">
        <v>635</v>
      </c>
      <c r="C88" s="943">
        <f t="shared" si="37"/>
        <v>0.67425851677152404</v>
      </c>
      <c r="D88" s="943">
        <f t="shared" si="38"/>
        <v>0.55387900355871889</v>
      </c>
      <c r="E88" s="943">
        <f>'Help Sheet'!D51/('Help Sheet'!D49+'Help Sheet'!D53)</f>
        <v>0.761765505984766</v>
      </c>
      <c r="F88" s="943">
        <f>'Help Sheet'!E51/('Help Sheet'!E49+'Help Sheet'!E53)</f>
        <v>1.0708262575393805</v>
      </c>
      <c r="G88" s="943">
        <f>'Help Sheet'!F51/('Help Sheet'!F49+'Help Sheet'!F53)</f>
        <v>0.55387900355871889</v>
      </c>
      <c r="H88" s="943">
        <f>'Help Sheet'!G51/('Help Sheet'!G49+'Help Sheet'!G53)</f>
        <v>0.45081457530157942</v>
      </c>
      <c r="I88" s="943">
        <f>'Help Sheet'!H51/('Help Sheet'!H49+'Help Sheet'!H53)</f>
        <v>0.53400724147317513</v>
      </c>
    </row>
    <row r="89" spans="1:9">
      <c r="A89" s="953">
        <f>'Help Sheet'!C51/'Help Sheet'!C53</f>
        <v>21.602346805736637</v>
      </c>
      <c r="B89" s="3" t="s">
        <v>700</v>
      </c>
      <c r="C89" s="943">
        <f t="shared" ref="C89" si="39">AVERAGE(E89:I89)</f>
        <v>1.0278424687213055</v>
      </c>
      <c r="D89" s="943">
        <f t="shared" ref="D89" si="40">MEDIAN(E89:I89)</f>
        <v>1.3151194231635872</v>
      </c>
      <c r="E89" s="943">
        <f>'Help Sheet'!D51/'Help Sheet'!D53</f>
        <v>6.5311953352769683</v>
      </c>
      <c r="F89" s="943">
        <f>'Help Sheet'!E51/'Help Sheet'!E53</f>
        <v>-5.3259065093927482</v>
      </c>
      <c r="G89" s="943">
        <f>'Help Sheet'!F51/'Help Sheet'!F53</f>
        <v>1.3151194231635872</v>
      </c>
      <c r="H89" s="943">
        <f>'Help Sheet'!G51/'Help Sheet'!G53</f>
        <v>1.213186077643909</v>
      </c>
      <c r="I89" s="943">
        <f>'Help Sheet'!H51/'Help Sheet'!H53</f>
        <v>1.4056180169148111</v>
      </c>
    </row>
    <row r="90" spans="1:9">
      <c r="A90" s="953">
        <f>('Help Sheet'!C51+'Help Sheet'!C45)/('Help Sheet'!C45+'Help Sheet'!C16+'Help Sheet'!C49+'Help Sheet'!C53)</f>
        <v>0.89364111968070759</v>
      </c>
      <c r="B90" s="3" t="s">
        <v>637</v>
      </c>
      <c r="C90" s="943">
        <f t="shared" si="37"/>
        <v>0.67425851677152404</v>
      </c>
      <c r="D90" s="943">
        <f t="shared" si="38"/>
        <v>0.55387900355871889</v>
      </c>
      <c r="E90" s="943">
        <f>('Help Sheet'!D51+'Help Sheet'!D45)/('Help Sheet'!D45+'Help Sheet'!D16+'Help Sheet'!D49+'Help Sheet'!D53)</f>
        <v>0.761765505984766</v>
      </c>
      <c r="F90" s="943">
        <f>('Help Sheet'!E51+'Help Sheet'!E45)/('Help Sheet'!E45+'Help Sheet'!E16+'Help Sheet'!E49+'Help Sheet'!E53)</f>
        <v>1.0708262575393805</v>
      </c>
      <c r="G90" s="943">
        <f>('Help Sheet'!F51+'Help Sheet'!F45)/('Help Sheet'!F45+'Help Sheet'!F16+'Help Sheet'!F49+'Help Sheet'!F53)</f>
        <v>0.55387900355871889</v>
      </c>
      <c r="H90" s="943">
        <f>('Help Sheet'!G51+'Help Sheet'!G45)/('Help Sheet'!G45+'Help Sheet'!G16+'Help Sheet'!G49+'Help Sheet'!G53)</f>
        <v>0.45081457530157942</v>
      </c>
      <c r="I90" s="943">
        <f>('Help Sheet'!H51+'Help Sheet'!H45)/('Help Sheet'!H45+'Help Sheet'!H16+'Help Sheet'!H49+'Help Sheet'!H53)</f>
        <v>0.53400724147317513</v>
      </c>
    </row>
    <row r="91" spans="1:9">
      <c r="A91" s="953">
        <f>('Help Sheet'!C51+'Help Sheet'!C45)/('Help Sheet'!C16+'Help Sheet'!C53)</f>
        <v>21.602346805736637</v>
      </c>
      <c r="B91" s="3" t="s">
        <v>638</v>
      </c>
      <c r="C91" s="943">
        <f t="shared" si="37"/>
        <v>1.0278424687213055</v>
      </c>
      <c r="D91" s="943">
        <f t="shared" si="38"/>
        <v>1.3151194231635872</v>
      </c>
      <c r="E91" s="943">
        <f>('Help Sheet'!D51+'Help Sheet'!D45)/('Help Sheet'!D16+'Help Sheet'!D53)</f>
        <v>6.5311953352769683</v>
      </c>
      <c r="F91" s="943">
        <f>('Help Sheet'!E51+'Help Sheet'!E45)/('Help Sheet'!E16+'Help Sheet'!E53)</f>
        <v>-5.3259065093927482</v>
      </c>
      <c r="G91" s="943">
        <f>('Help Sheet'!F51+'Help Sheet'!F45)/('Help Sheet'!F16+'Help Sheet'!F53)</f>
        <v>1.3151194231635872</v>
      </c>
      <c r="H91" s="943">
        <f>('Help Sheet'!G51+'Help Sheet'!G45)/('Help Sheet'!G16+'Help Sheet'!G53)</f>
        <v>1.213186077643909</v>
      </c>
      <c r="I91" s="943">
        <f>('Help Sheet'!H51+'Help Sheet'!H45)/('Help Sheet'!H16+'Help Sheet'!H53)</f>
        <v>1.4056180169148111</v>
      </c>
    </row>
    <row r="93" spans="1:9" ht="29.25" customHeight="1">
      <c r="A93" s="1001" t="str">
        <f>A79</f>
        <v>Delta Air Lines, Inc.</v>
      </c>
      <c r="B93" s="689"/>
      <c r="C93" s="1001" t="str">
        <f>C79</f>
        <v>Mean</v>
      </c>
      <c r="D93" s="1001" t="str">
        <f t="shared" ref="D93:I93" si="41">D79</f>
        <v>Median</v>
      </c>
      <c r="E93" s="1001" t="str">
        <f t="shared" si="41"/>
        <v>Air Canada</v>
      </c>
      <c r="F93" s="1001" t="str">
        <f t="shared" si="41"/>
        <v>American Airlines Group, Inc.</v>
      </c>
      <c r="G93" s="1001" t="str">
        <f t="shared" si="41"/>
        <v>Southwest Airlines Co.</v>
      </c>
      <c r="H93" s="1001" t="str">
        <f t="shared" si="41"/>
        <v>Alaska Air Group, Inc.</v>
      </c>
      <c r="I93" s="1001" t="str">
        <f t="shared" si="41"/>
        <v>SkyWest, Inc</v>
      </c>
    </row>
    <row r="94" spans="1:9">
      <c r="A94" s="953">
        <f>'Help Sheet'!C56/'Help Sheet'!C53</f>
        <v>16.671160365058672</v>
      </c>
      <c r="B94" s="3" t="s">
        <v>645</v>
      </c>
      <c r="C94" s="943">
        <f t="shared" ref="C94:C99" si="42">AVERAGE(E94:I94)</f>
        <v>1.7387802330508424</v>
      </c>
      <c r="D94" s="943">
        <f t="shared" ref="D94:D99" si="43">MEDIAN(E94:I94)</f>
        <v>2.1483935742971889</v>
      </c>
      <c r="E94" s="953">
        <f>'Help Sheet'!D56/'Help Sheet'!D53</f>
        <v>3.7441049562682216</v>
      </c>
      <c r="F94" s="953">
        <f>'Help Sheet'!E56/'Help Sheet'!E53</f>
        <v>-1.1112441764962866</v>
      </c>
      <c r="G94" s="953">
        <f>'Help Sheet'!F56/'Help Sheet'!F53</f>
        <v>2.9669502027940515</v>
      </c>
      <c r="H94" s="953">
        <f>'Help Sheet'!G56/'Help Sheet'!G53</f>
        <v>2.1483935742971889</v>
      </c>
      <c r="I94" s="953">
        <f>'Help Sheet'!H56/'Help Sheet'!H53</f>
        <v>0.94569660839103642</v>
      </c>
    </row>
    <row r="95" spans="1:9">
      <c r="A95" s="953">
        <f>'Help Sheet'!C56/('Help Sheet'!C53+'Help Sheet'!C16)</f>
        <v>16.671160365058672</v>
      </c>
      <c r="B95" s="3" t="s">
        <v>647</v>
      </c>
      <c r="C95" s="943">
        <f t="shared" si="42"/>
        <v>1.7387802330508424</v>
      </c>
      <c r="D95" s="943">
        <f t="shared" si="43"/>
        <v>2.1483935742971889</v>
      </c>
      <c r="E95" s="953">
        <f>'Help Sheet'!D56/('Help Sheet'!D53+'Help Sheet'!D16)</f>
        <v>3.7441049562682216</v>
      </c>
      <c r="F95" s="953">
        <f>'Help Sheet'!E56/('Help Sheet'!E53+'Help Sheet'!E16)</f>
        <v>-1.1112441764962866</v>
      </c>
      <c r="G95" s="953">
        <f>'Help Sheet'!F56/('Help Sheet'!F53+'Help Sheet'!F16)</f>
        <v>2.9669502027940515</v>
      </c>
      <c r="H95" s="953">
        <f>'Help Sheet'!G56/('Help Sheet'!G53+'Help Sheet'!G16)</f>
        <v>2.1483935742971889</v>
      </c>
      <c r="I95" s="953">
        <f>'Help Sheet'!H56/('Help Sheet'!H53+'Help Sheet'!H16)</f>
        <v>0.94569660839103642</v>
      </c>
    </row>
    <row r="96" spans="1:9">
      <c r="A96" s="953">
        <f>'Help Sheet'!C59/('Help Sheet'!C22/'Help Sheet'!C61)</f>
        <v>-2.0648817117480824</v>
      </c>
      <c r="B96" s="3" t="s">
        <v>649</v>
      </c>
      <c r="C96" s="943">
        <f t="shared" si="42"/>
        <v>-50.655819124603113</v>
      </c>
      <c r="D96" s="943">
        <f t="shared" si="43"/>
        <v>-4.8484894259818727</v>
      </c>
      <c r="E96" s="953">
        <f>'Help Sheet'!D59/('Help Sheet'!D22/'Help Sheet'!D61)</f>
        <v>-1.3817817947062621</v>
      </c>
      <c r="F96" s="953">
        <f>'Help Sheet'!E59/('Help Sheet'!E22/'Help Sheet'!E61)</f>
        <v>-0.85885354642656153</v>
      </c>
      <c r="G96" s="953">
        <f>'Help Sheet'!F59/('Help Sheet'!F22/'Help Sheet'!F61)</f>
        <v>-8.5668998048145735</v>
      </c>
      <c r="H96" s="953">
        <f>'Help Sheet'!G59/('Help Sheet'!G22/'Help Sheet'!G61)</f>
        <v>-4.8484894259818727</v>
      </c>
      <c r="I96" s="953">
        <f>'Help Sheet'!H59/('Help Sheet'!H22/'Help Sheet'!H61)</f>
        <v>-237.6230710510863</v>
      </c>
    </row>
    <row r="97" spans="1:9">
      <c r="A97" s="953">
        <f>'Help Sheet'!C59/('Help Sheet'!C23/'Help Sheet'!C61)</f>
        <v>-3.9108684681378176</v>
      </c>
      <c r="B97" s="3" t="s">
        <v>651</v>
      </c>
      <c r="C97" s="943">
        <f t="shared" si="42"/>
        <v>-4.5308709948194421</v>
      </c>
      <c r="D97" s="943">
        <f t="shared" si="43"/>
        <v>-4.946127549310404</v>
      </c>
      <c r="E97" s="953">
        <f>'Help Sheet'!D59/('Help Sheet'!D23/'Help Sheet'!D61)</f>
        <v>-1.9717554720318371</v>
      </c>
      <c r="F97" s="953">
        <f>'Help Sheet'!E59/('Help Sheet'!E23/'Help Sheet'!E61)</f>
        <v>-0.84021653189577705</v>
      </c>
      <c r="G97" s="953">
        <f>'Help Sheet'!F59/('Help Sheet'!F23/'Help Sheet'!F61)</f>
        <v>-7.1934928411611816</v>
      </c>
      <c r="H97" s="953">
        <f>'Help Sheet'!G59/('Help Sheet'!G23/'Help Sheet'!G61)</f>
        <v>-4.946127549310404</v>
      </c>
      <c r="I97" s="953">
        <f>'Help Sheet'!H59/('Help Sheet'!H23/'Help Sheet'!H61)</f>
        <v>-7.7027625796980086</v>
      </c>
    </row>
    <row r="98" spans="1:9">
      <c r="A98" s="1009">
        <f>1/A96</f>
        <v>-0.48428924248325222</v>
      </c>
      <c r="B98" s="3" t="s">
        <v>653</v>
      </c>
      <c r="C98" s="943">
        <f t="shared" si="42"/>
        <v>-0.44304652512442122</v>
      </c>
      <c r="D98" s="943">
        <f t="shared" si="43"/>
        <v>-0.20624980527775183</v>
      </c>
      <c r="E98" s="1009">
        <f t="shared" ref="E98:I98" si="44">1/E96</f>
        <v>-0.72370326764406323</v>
      </c>
      <c r="F98" s="1009">
        <f t="shared" si="44"/>
        <v>-1.1643428663253561</v>
      </c>
      <c r="G98" s="1009">
        <f t="shared" si="44"/>
        <v>-0.11672834079814998</v>
      </c>
      <c r="H98" s="1009">
        <f t="shared" si="44"/>
        <v>-0.20624980527775183</v>
      </c>
      <c r="I98" s="1009">
        <f t="shared" si="44"/>
        <v>-4.2083455767853925E-3</v>
      </c>
    </row>
    <row r="99" spans="1:9">
      <c r="A99" s="1009">
        <f>1/A97</f>
        <v>-0.25569768151168626</v>
      </c>
      <c r="B99" s="3" t="s">
        <v>655</v>
      </c>
      <c r="C99" s="943">
        <f t="shared" si="42"/>
        <v>-0.43366962405628096</v>
      </c>
      <c r="D99" s="943">
        <f t="shared" si="43"/>
        <v>-0.20217836884117987</v>
      </c>
      <c r="E99" s="1009">
        <f t="shared" ref="E99:I99" si="45">1/E97</f>
        <v>-0.5071622795952121</v>
      </c>
      <c r="F99" s="1009">
        <f t="shared" si="45"/>
        <v>-1.1901693932916366</v>
      </c>
      <c r="G99" s="1009">
        <f t="shared" si="45"/>
        <v>-0.13901452633385522</v>
      </c>
      <c r="H99" s="1009">
        <f t="shared" si="45"/>
        <v>-0.20217836884117987</v>
      </c>
      <c r="I99" s="1009">
        <f t="shared" si="45"/>
        <v>-0.12982355221952144</v>
      </c>
    </row>
  </sheetData>
  <pageMargins left="0.7" right="0.7" top="0.78740157499999996" bottom="0.78740157499999996"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8">
    <tabColor theme="9" tint="0.59999389629810485"/>
  </sheetPr>
  <dimension ref="A1:P31"/>
  <sheetViews>
    <sheetView zoomScale="81" zoomScaleNormal="130" workbookViewId="0">
      <selection activeCell="B16" sqref="B16"/>
    </sheetView>
  </sheetViews>
  <sheetFormatPr defaultColWidth="11.28515625" defaultRowHeight="15"/>
  <cols>
    <col min="1" max="1" width="29.7109375" style="3" bestFit="1" customWidth="1"/>
    <col min="2" max="8" width="11.28515625" style="3"/>
    <col min="9" max="9" width="16.7109375" style="3" customWidth="1"/>
    <col min="10" max="16384" width="11.28515625" style="3"/>
  </cols>
  <sheetData>
    <row r="1" spans="1:16" s="340" customFormat="1" ht="26.1" customHeight="1">
      <c r="A1" s="338" t="s">
        <v>715</v>
      </c>
      <c r="B1" s="339"/>
    </row>
    <row r="2" spans="1:16" s="994" customFormat="1" ht="18" customHeight="1">
      <c r="A2" s="13" t="s">
        <v>704</v>
      </c>
      <c r="B2" s="1064" t="s">
        <v>702</v>
      </c>
      <c r="C2" s="993"/>
    </row>
    <row r="3" spans="1:16" ht="14.85" customHeight="1">
      <c r="A3" s="921"/>
    </row>
    <row r="4" spans="1:16">
      <c r="A4" s="898" t="s">
        <v>716</v>
      </c>
      <c r="B4" s="503" t="str">
        <f>'Ind R&amp;D'!C2</f>
        <v>DAL-US</v>
      </c>
      <c r="C4" s="503" t="str">
        <f>'Ind R&amp;D'!D2</f>
        <v>AC-CA</v>
      </c>
      <c r="D4" s="503" t="str">
        <f>'Ind R&amp;D'!E2</f>
        <v>AAL-US</v>
      </c>
      <c r="E4" s="503" t="str">
        <f>'Ind R&amp;D'!F2</f>
        <v>LUV-US</v>
      </c>
      <c r="F4" s="503" t="str">
        <f>'Ind R&amp;D'!G2</f>
        <v>ALK-US</v>
      </c>
      <c r="G4" s="503" t="str">
        <f>'Ind R&amp;D'!H2</f>
        <v>skyw-US</v>
      </c>
      <c r="I4" s="898" t="s">
        <v>717</v>
      </c>
      <c r="J4" s="503" t="str">
        <f t="shared" ref="J4:O4" si="0">B4</f>
        <v>DAL-US</v>
      </c>
      <c r="K4" s="503" t="str">
        <f t="shared" si="0"/>
        <v>AC-CA</v>
      </c>
      <c r="L4" s="503" t="str">
        <f t="shared" si="0"/>
        <v>AAL-US</v>
      </c>
      <c r="M4" s="503" t="str">
        <f t="shared" si="0"/>
        <v>LUV-US</v>
      </c>
      <c r="N4" s="503" t="str">
        <f t="shared" si="0"/>
        <v>ALK-US</v>
      </c>
      <c r="O4" s="503" t="str">
        <f t="shared" si="0"/>
        <v>skyw-US</v>
      </c>
    </row>
    <row r="5" spans="1:16">
      <c r="B5" s="15">
        <f>B6</f>
        <v>746</v>
      </c>
      <c r="C5" s="15">
        <f t="shared" ref="C5:G5" si="1">C6</f>
        <v>544</v>
      </c>
      <c r="D5" s="15">
        <f t="shared" si="1"/>
        <v>812</v>
      </c>
      <c r="E5" s="15">
        <f t="shared" si="1"/>
        <v>156</v>
      </c>
      <c r="F5" s="15">
        <f t="shared" si="1"/>
        <v>338</v>
      </c>
      <c r="G5" s="15">
        <f t="shared" si="1"/>
        <v>85.869</v>
      </c>
      <c r="I5" s="519" t="s">
        <v>717</v>
      </c>
      <c r="J5" s="3" cm="1">
        <f t="array" ref="J5">_xll.FDS(B4,"FF_OPER_LEASE_COMMIT_YR1(ANN_R,-2)")</f>
        <v>1172</v>
      </c>
      <c r="K5" s="3" cm="1">
        <f t="array" ref="K5">IFERROR(_xll.FDS(C4,"FF_OPER_LEASE_COMMIT_YR1(ANN_R,-2)"),0)</f>
        <v>0</v>
      </c>
      <c r="L5" s="3" cm="1">
        <f t="array" ref="L5">_xll.FDS(D4,"FF_OPER_LEASE_COMMIT_YR1(ANN_R,-2)")</f>
        <v>1912</v>
      </c>
      <c r="M5" s="3" cm="1">
        <f t="array" ref="M5">_xll.FDS(E4,"FF_OPER_LEASE_COMMIT_YR1(ANN_R,-2)")</f>
        <v>256</v>
      </c>
      <c r="N5" s="3" cm="1">
        <f t="array" ref="N5">_xll.FDS(F4,"FF_OPER_LEASE_COMMIT_YR1(ANN_R,-2)")</f>
        <v>350</v>
      </c>
      <c r="O5" s="3" cm="1">
        <f t="array" ref="O5">_xll.FDS(G4,"FF_OPER_LEASE_COMMIT_YR1(ANN_R,-2)")</f>
        <v>87.256</v>
      </c>
    </row>
    <row r="6" spans="1:16">
      <c r="A6" s="3">
        <v>1</v>
      </c>
      <c r="B6" s="15" cm="1">
        <f t="array" ref="B6">IFERROR(_xll.FDS(B4,"FF_OPER_LEASE_COMMIT_YR1(ANN_R,0)"),0)</f>
        <v>746</v>
      </c>
      <c r="C6" s="15" cm="1">
        <f t="array" ref="C6">IFERROR(_xll.FDS(C4,"FF_OPER_LEASE_COMMIT_YR1(ANN_R,0)"),0)</f>
        <v>544</v>
      </c>
      <c r="D6" s="15" cm="1">
        <f t="array" ref="D6">IFERROR(_xll.FDS(D4,"FF_OPER_LEASE_COMMIT_YR1(ANN_R,0)"),0)</f>
        <v>812</v>
      </c>
      <c r="E6" s="15" cm="1">
        <f t="array" ref="E6">IFERROR(_xll.FDS(E4,"FF_OPER_LEASE_COMMIT_YR1(ANN_R,0)"),0)</f>
        <v>156</v>
      </c>
      <c r="F6" s="15" cm="1">
        <f t="array" ref="F6">IFERROR(_xll.FDS(F4,"FF_OPER_LEASE_COMMIT_YR1(ANN_R,0)"),0)</f>
        <v>338</v>
      </c>
      <c r="G6" s="15" cm="1">
        <f t="array" ref="G6">IFERROR(_xll.FDS(G4,"FF_OPER_LEASE_COMMIT_YR1(ANN_R,0)"),0)</f>
        <v>85.869</v>
      </c>
      <c r="I6" s="476">
        <v>0</v>
      </c>
      <c r="J6" s="3" cm="1">
        <f t="array" ref="J6">_xll.FDS(J4,"FF_OPER_LEASE_COMMIT_YR1(ANN_R,-1)")</f>
        <v>1003</v>
      </c>
      <c r="K6" s="3" cm="1">
        <f t="array" ref="K6">_xll.FDS(K4,"FF_OPER_LEASE_COMMIT_YR1(ANN_R,-1)")</f>
        <v>631</v>
      </c>
      <c r="L6" s="3" cm="1">
        <f t="array" ref="L6">_xll.FDS(L4,"FF_OPER_LEASE_COMMIT_YR1(ANN_R,-1)")</f>
        <v>1990</v>
      </c>
      <c r="M6" s="3" cm="1">
        <f t="array" ref="M6">_xll.FDS(M4,"FF_OPER_LEASE_COMMIT_YR1(ANN_R,-1)")</f>
        <v>392</v>
      </c>
      <c r="N6" s="3" cm="1">
        <f t="array" ref="N6">_xll.FDS(N4,"FF_OPER_LEASE_COMMIT_YR1(ANN_R,-1)")</f>
        <v>335</v>
      </c>
      <c r="O6" s="3" cm="1">
        <f t="array" ref="O6">_xll.FDS(O4,"FF_OPER_LEASE_COMMIT_YR1(ANN_R,-1)")</f>
        <v>94.805999999999997</v>
      </c>
    </row>
    <row r="7" spans="1:16">
      <c r="A7" s="3">
        <v>2</v>
      </c>
      <c r="B7" s="15" cm="1">
        <f t="array" ref="B7">IFERROR(_xll.FDS(B4,"FF_OPER_LEASE_COMMIT_YR2(ANN_R,0)"),0)</f>
        <v>949</v>
      </c>
      <c r="C7" s="15" cm="1">
        <f t="array" ref="C7">IFERROR(_xll.FDS(C4,"FF_OPER_LEASE_COMMIT_YR2(ANN_R,0)"),0)</f>
        <v>471</v>
      </c>
      <c r="D7" s="15" cm="1">
        <f t="array" ref="D7">IFERROR(_xll.FDS(D4,"FF_OPER_LEASE_COMMIT_YR2(ANN_R,0)"),0)</f>
        <v>1946</v>
      </c>
      <c r="E7" s="15" cm="1">
        <f t="array" ref="E7">IFERROR(_xll.FDS(E4,"FF_OPER_LEASE_COMMIT_YR2(ANN_R,0)"),0)</f>
        <v>371</v>
      </c>
      <c r="F7" s="15" cm="1">
        <f t="array" ref="F7">IFERROR(_xll.FDS(F4,"FF_OPER_LEASE_COMMIT_YR2(ANN_R,0)"),0)</f>
        <v>288</v>
      </c>
      <c r="G7" s="15" cm="1">
        <f t="array" ref="G7">IFERROR(_xll.FDS(G4,"FF_OPER_LEASE_COMMIT_YR2(ANN_R,0)"),0)</f>
        <v>77.78</v>
      </c>
      <c r="I7" s="476">
        <v>1</v>
      </c>
      <c r="J7" s="3" cm="1">
        <f t="array" ref="J7">_xll.FDS(J4,"FF_OPER_LEASE_COMMIT_YR2(ANN_R,-1)")</f>
        <v>836</v>
      </c>
      <c r="K7" s="3" cm="1">
        <f t="array" ref="K7">_xll.FDS(K4,"FF_OPER_LEASE_COMMIT_YR2(ANN_R,-1)")</f>
        <v>483</v>
      </c>
      <c r="L7" s="3" cm="1">
        <f t="array" ref="L7">_xll.FDS(L4,"FF_OPER_LEASE_COMMIT_YR2(ANN_R,-1)")</f>
        <v>1817</v>
      </c>
      <c r="M7" s="3" cm="1">
        <f t="array" ref="M7">_xll.FDS(M4,"FF_OPER_LEASE_COMMIT_YR2(ANN_R,-1)")</f>
        <v>257</v>
      </c>
      <c r="N7" s="3" cm="1">
        <f t="array" ref="N7">_xll.FDS(N4,"FF_OPER_LEASE_COMMIT_YR2(ANN_R,-1)")</f>
        <v>303</v>
      </c>
      <c r="O7" s="3" cm="1">
        <f t="array" ref="O7">_xll.FDS(O4,"FF_OPER_LEASE_COMMIT_YR2(ANN_R,-1)")</f>
        <v>84.284999999999997</v>
      </c>
    </row>
    <row r="8" spans="1:16">
      <c r="A8" s="3">
        <v>3</v>
      </c>
      <c r="B8" s="15" cm="1">
        <f t="array" ref="B8">IFERROR(_xll.FDS(B4,"FF_OPER_LEASE_COMMIT_YR3(ANN_R,0)"),0)</f>
        <v>848</v>
      </c>
      <c r="C8" s="15" cm="1">
        <f t="array" ref="C8">IFERROR(_xll.FDS(C4,"FF_OPER_LEASE_COMMIT_YR3(ANN_R,0)"),0)</f>
        <v>465</v>
      </c>
      <c r="D8" s="15" cm="1">
        <f t="array" ref="D8">IFERROR(_xll.FDS(D4,"FF_OPER_LEASE_COMMIT_YR3(ANN_R,0)"),0)</f>
        <v>1777</v>
      </c>
      <c r="E8" s="15" cm="1">
        <f t="array" ref="E8">IFERROR(_xll.FDS(E4,"FF_OPER_LEASE_COMMIT_YR3(ANN_R,0)"),0)</f>
        <v>253</v>
      </c>
      <c r="F8" s="15" cm="1">
        <f t="array" ref="F8">IFERROR(_xll.FDS(F4,"FF_OPER_LEASE_COMMIT_YR3(ANN_R,0)"),0)</f>
        <v>228</v>
      </c>
      <c r="G8" s="15" cm="1">
        <f t="array" ref="G8">IFERROR(_xll.FDS(G4,"FF_OPER_LEASE_COMMIT_YR3(ANN_R,0)"),0)</f>
        <v>69.53</v>
      </c>
      <c r="I8" s="476">
        <v>2</v>
      </c>
      <c r="J8" s="3" cm="1">
        <f t="array" ref="J8">_xll.FDS(B4,"FF_OPER_LEASE_COMMIT_YR3(ANN_R,-1)")</f>
        <v>729</v>
      </c>
      <c r="K8" s="3" cm="1">
        <f t="array" ref="K8">_xll.FDS(C4,"FF_OPER_LEASE_COMMIT_YR3(ANN_R,-1)")</f>
        <v>408</v>
      </c>
      <c r="L8" s="3" cm="1">
        <f t="array" ref="L8">_xll.FDS(D4,"FF_OPER_LEASE_COMMIT_YR3(ANN_R,-1)")</f>
        <v>1620</v>
      </c>
      <c r="M8" s="3" cm="1">
        <f t="array" ref="M8">_xll.FDS(E4,"FF_OPER_LEASE_COMMIT_YR3(ANN_R,-1)")</f>
        <v>141</v>
      </c>
      <c r="N8" s="3" cm="1">
        <f t="array" ref="N8">_xll.FDS(F4,"FF_OPER_LEASE_COMMIT_YR3(ANN_R,-1)")</f>
        <v>276</v>
      </c>
      <c r="O8" s="3" cm="1">
        <f t="array" ref="O8">_xll.FDS(G4,"FF_OPER_LEASE_COMMIT_YR3(ANN_R,-1)")</f>
        <v>73.959999999999994</v>
      </c>
    </row>
    <row r="9" spans="1:16">
      <c r="A9" s="3">
        <v>4</v>
      </c>
      <c r="B9" s="15" cm="1">
        <f t="array" ref="B9">IFERROR(_xll.FDS(B4,"FF_OPER_LEASE_COMMIT_YR4(ANN_R,0)"),0)</f>
        <v>837</v>
      </c>
      <c r="C9" s="15" cm="1">
        <f t="array" ref="C9">IFERROR(_xll.FDS(C4,"FF_OPER_LEASE_COMMIT_YR4(ANN_R,0)"),0)</f>
        <v>430</v>
      </c>
      <c r="D9" s="15" cm="1">
        <f t="array" ref="D9">IFERROR(_xll.FDS(D4,"FF_OPER_LEASE_COMMIT_YR4(ANN_R,0)"),0)</f>
        <v>1586</v>
      </c>
      <c r="E9" s="15" cm="1">
        <f t="array" ref="E9">IFERROR(_xll.FDS(E4,"FF_OPER_LEASE_COMMIT_YR4(ANN_R,0)"),0)</f>
        <v>219</v>
      </c>
      <c r="F9" s="15" cm="1">
        <f t="array" ref="F9">IFERROR(_xll.FDS(F4,"FF_OPER_LEASE_COMMIT_YR4(ANN_R,0)"),0)</f>
        <v>175</v>
      </c>
      <c r="G9" s="15" cm="1">
        <f t="array" ref="G9">IFERROR(_xll.FDS(G4,"FF_OPER_LEASE_COMMIT_YR4(ANN_R,0)"),0)</f>
        <v>28.091000000000001</v>
      </c>
      <c r="I9" s="476">
        <v>3</v>
      </c>
      <c r="J9" s="3" cm="1">
        <f t="array" ref="J9">_xll.FDS(B4,"FF_OPER_LEASE_COMMIT_YR4(ANN_R,-1)")</f>
        <v>698</v>
      </c>
      <c r="K9" s="3" cm="1">
        <f t="array" ref="K9">_xll.FDS(C4,"FF_OPER_LEASE_COMMIT_YR4(ANN_R,-1)")</f>
        <v>400</v>
      </c>
      <c r="L9" s="3" cm="1">
        <f t="array" ref="L9">_xll.FDS(D4,"FF_OPER_LEASE_COMMIT_YR4(ANN_R,-1)")</f>
        <v>1429</v>
      </c>
      <c r="M9" s="3" cm="1">
        <f t="array" ref="M9">_xll.FDS(E4,"FF_OPER_LEASE_COMMIT_YR4(ANN_R,-1)")</f>
        <v>113</v>
      </c>
      <c r="N9" s="3" cm="1">
        <f t="array" ref="N9">_xll.FDS(F4,"FF_OPER_LEASE_COMMIT_YR4(ANN_R,-1)")</f>
        <v>219</v>
      </c>
      <c r="O9" s="3" cm="1">
        <f t="array" ref="O9">_xll.FDS(G4,"FF_OPER_LEASE_COMMIT_YR4(ANN_R,-1)")</f>
        <v>68.581000000000003</v>
      </c>
    </row>
    <row r="10" spans="1:16">
      <c r="A10" s="3">
        <v>5</v>
      </c>
      <c r="B10" s="15" cm="1">
        <f t="array" ref="B10">IFERROR(_xll.FDS(B4,"FF_OPER_LEASE_COMMIT_YR5(ANN_R,0)"),0)</f>
        <v>770</v>
      </c>
      <c r="C10" s="15" cm="1">
        <f t="array" ref="C10">IFERROR(_xll.FDS(C4,"FF_OPER_LEASE_COMMIT_YR5(ANN_R,0)"),0)</f>
        <v>410</v>
      </c>
      <c r="D10" s="15" cm="1">
        <f t="array" ref="D10">IFERROR(_xll.FDS(D4,"FF_OPER_LEASE_COMMIT_YR5(ANN_R,0)"),0)</f>
        <v>1192</v>
      </c>
      <c r="E10" s="15" cm="1">
        <f t="array" ref="E10">IFERROR(_xll.FDS(E4,"FF_OPER_LEASE_COMMIT_YR5(ANN_R,0)"),0)</f>
        <v>193</v>
      </c>
      <c r="F10" s="15" cm="1">
        <f t="array" ref="F10">IFERROR(_xll.FDS(F4,"FF_OPER_LEASE_COMMIT_YR5(ANN_R,0)"),0)</f>
        <v>166</v>
      </c>
      <c r="G10" s="15" cm="1">
        <f t="array" ref="G10">IFERROR(_xll.FDS(G4,"FF_OPER_LEASE_COMMIT_YR5(ANN_R,0)"),0)</f>
        <v>15.750999999999999</v>
      </c>
      <c r="I10" s="476">
        <v>4</v>
      </c>
      <c r="J10" s="3" cm="1">
        <f t="array" ref="J10">_xll.FDS(B4,"FF_OPER_LEASE_COMMIT_YR5(ANN_R,-1)")</f>
        <v>628</v>
      </c>
      <c r="K10" s="3" cm="1">
        <f t="array" ref="K10">_xll.FDS(C4,"FF_OPER_LEASE_COMMIT_YR5(ANN_R,-1)")</f>
        <v>364</v>
      </c>
      <c r="L10" s="3" cm="1">
        <f t="array" ref="L10">_xll.FDS(D4,"FF_OPER_LEASE_COMMIT_YR5(ANN_R,-1)")</f>
        <v>1030</v>
      </c>
      <c r="M10" s="3" cm="1">
        <f t="array" ref="M10">_xll.FDS(E4,"FF_OPER_LEASE_COMMIT_YR5(ANN_R,-1)")</f>
        <v>92</v>
      </c>
      <c r="N10" s="3" cm="1">
        <f t="array" ref="N10">_xll.FDS(F4,"FF_OPER_LEASE_COMMIT_YR5(ANN_R,-1)")</f>
        <v>167</v>
      </c>
      <c r="O10" s="3" cm="1">
        <f t="array" ref="O10">_xll.FDS(G4,"FF_OPER_LEASE_COMMIT_YR5(ANN_R,-1)")</f>
        <v>27.282</v>
      </c>
    </row>
    <row r="11" spans="1:16">
      <c r="A11" s="476" t="s">
        <v>718</v>
      </c>
      <c r="B11" s="15" cm="1">
        <f t="array" ref="B11">IFERROR(_xll.FDS(B4,"FF_OPER_LEASE_COMMIT_5YR(ANN_R,0)"),0)</f>
        <v>4450</v>
      </c>
      <c r="C11" s="15" cm="1">
        <f t="array" ref="C11">IFERROR(_xll.FDS(C4,"FF_OPER_LEASE_COMMIT_5YR(ANN_R,0)"),0)</f>
        <v>1276</v>
      </c>
      <c r="D11" s="15" cm="1">
        <f t="array" ref="D11">IFERROR(_xll.FDS(D4,"FF_OPER_LEASE_COMMIT_5YR(ANN_R,0)"),0)</f>
        <v>3307</v>
      </c>
      <c r="E11" s="15" cm="1">
        <f t="array" ref="E11">IFERROR(_xll.FDS(E4,"FF_OPER_LEASE_COMMIT_5YR(ANN_R,0)"),0)</f>
        <v>1156</v>
      </c>
      <c r="F11" s="15" cm="1">
        <f t="array" ref="F11">IFERROR(_xll.FDS(F4,"FF_OPER_LEASE_COMMIT_5YR(ANN_R,0)"),0)</f>
        <v>605</v>
      </c>
      <c r="G11" s="15" cm="1">
        <f t="array" ref="G11">IFERROR(_xll.FDS(G4,"FF_OPER_LEASE_COMMIT_5YR(ANN_R,0)"),0)</f>
        <v>82.718999999999994</v>
      </c>
      <c r="H11" s="663"/>
      <c r="I11" s="476" t="s">
        <v>719</v>
      </c>
      <c r="J11" s="3" cm="1">
        <f t="array" ref="J11">_xll.FDS(B4,"FF_OPER_LEASE_COMMIT_5YR(ANN_R,-1)")</f>
        <v>3821</v>
      </c>
      <c r="K11" s="3" cm="1">
        <f t="array" ref="K11">_xll.FDS(C4,"FF_OPER_LEASE_COMMIT_5YR(ANN_R,-1)")</f>
        <v>1173</v>
      </c>
      <c r="L11" s="3" cm="1">
        <f t="array" ref="L11">_xll.FDS(D4,"FF_OPER_LEASE_COMMIT_5YR(ANN_R,-1)")</f>
        <v>3276</v>
      </c>
      <c r="M11" s="3" cm="1">
        <f t="array" ref="M11">_xll.FDS(E4,"FF_OPER_LEASE_COMMIT_5YR(ANN_R,-1)")</f>
        <v>661</v>
      </c>
      <c r="N11" s="3" cm="1">
        <f t="array" ref="N11">_xll.FDS(F4,"FF_OPER_LEASE_COMMIT_5YR(ANN_R,-1)")</f>
        <v>745</v>
      </c>
      <c r="O11" s="3" cm="1">
        <f t="array" ref="O11">_xll.FDS(G4,"FF_OPER_LEASE_COMMIT_5YR(ANN_R,-1)")</f>
        <v>94.745999999999995</v>
      </c>
    </row>
    <row r="12" spans="1:16">
      <c r="B12" s="923">
        <f t="shared" ref="B12:G12" si="2">IF(B11&gt;0,ROUND(B11/AVERAGE(B8:B10),0),0)</f>
        <v>5</v>
      </c>
      <c r="C12" s="923">
        <f t="shared" si="2"/>
        <v>3</v>
      </c>
      <c r="D12" s="923">
        <f t="shared" si="2"/>
        <v>2</v>
      </c>
      <c r="E12" s="923">
        <f t="shared" si="2"/>
        <v>5</v>
      </c>
      <c r="F12" s="923">
        <f t="shared" si="2"/>
        <v>3</v>
      </c>
      <c r="G12" s="923">
        <f t="shared" si="2"/>
        <v>2</v>
      </c>
      <c r="J12" s="923">
        <f t="shared" ref="J12:O12" si="3">IF(J11&gt;0,ROUND(J11/AVERAGE(J8:J10),0),0)</f>
        <v>6</v>
      </c>
      <c r="K12" s="923">
        <f t="shared" si="3"/>
        <v>3</v>
      </c>
      <c r="L12" s="923">
        <f t="shared" si="3"/>
        <v>2</v>
      </c>
      <c r="M12" s="923">
        <f t="shared" si="3"/>
        <v>6</v>
      </c>
      <c r="N12" s="923">
        <f t="shared" si="3"/>
        <v>3</v>
      </c>
      <c r="O12" s="923">
        <f t="shared" si="3"/>
        <v>2</v>
      </c>
    </row>
    <row r="13" spans="1:16">
      <c r="B13" s="922"/>
      <c r="C13" s="922"/>
      <c r="D13" s="922"/>
      <c r="E13" s="922"/>
      <c r="F13" s="922"/>
      <c r="G13" s="922"/>
    </row>
    <row r="14" spans="1:16">
      <c r="A14" s="372" t="s">
        <v>720</v>
      </c>
      <c r="C14" s="388"/>
      <c r="I14" s="372" t="s">
        <v>720</v>
      </c>
      <c r="K14" s="388"/>
    </row>
    <row r="15" spans="1:16" ht="29.25" customHeight="1">
      <c r="A15" s="925" t="s">
        <v>721</v>
      </c>
      <c r="B15" s="1127" cm="1">
        <f t="array" ref="B15">_xll.FDS(B4,"FI_WAVG_COST_DEBT(0,,,YTM)")/100</f>
        <v>2.4909240000000003E-2</v>
      </c>
      <c r="C15" s="1127" cm="1">
        <f t="array" ref="C15">_xll.FDS(C4,"FI_WAVG_COST_DEBT(0,,,YTM)")/100</f>
        <v>4.2963395000000001E-2</v>
      </c>
      <c r="D15" s="1127" cm="1">
        <f t="array" ref="D15">_xll.FDS(D4,"FI_WAVG_COST_DEBT(0,,,YTM)")/100</f>
        <v>4.6987389999999997E-2</v>
      </c>
      <c r="E15" s="1127" cm="1">
        <f t="array" ref="E15">_xll.FDS(E4,"FI_WAVG_COST_DEBT(0,,,YTM)")/100</f>
        <v>1.9773684999999999E-2</v>
      </c>
      <c r="F15" s="1127">
        <v>5.5E-2</v>
      </c>
      <c r="G15" s="1127">
        <v>5.6000000000000001E-2</v>
      </c>
      <c r="I15" s="924" t="s">
        <v>721</v>
      </c>
      <c r="J15" s="507"/>
      <c r="K15" s="507"/>
      <c r="L15" s="507"/>
      <c r="M15" s="507"/>
      <c r="N15" s="507"/>
      <c r="O15" s="507"/>
    </row>
    <row r="16" spans="1:16">
      <c r="A16" s="3">
        <v>1</v>
      </c>
      <c r="B16" s="15">
        <f t="shared" ref="B16:G20" si="4">IFERROR(B6/(1+B$15)^$A16,"")</f>
        <v>727.86932821485743</v>
      </c>
      <c r="C16" s="15">
        <f t="shared" si="4"/>
        <v>521.59069302715079</v>
      </c>
      <c r="D16" s="15">
        <f t="shared" si="4"/>
        <v>775.5585289331899</v>
      </c>
      <c r="E16" s="15">
        <f t="shared" si="4"/>
        <v>152.97511819987784</v>
      </c>
      <c r="F16" s="15">
        <f t="shared" si="4"/>
        <v>320.37914691943132</v>
      </c>
      <c r="G16" s="15">
        <f t="shared" si="4"/>
        <v>81.315340909090907</v>
      </c>
      <c r="I16" s="3">
        <v>1</v>
      </c>
      <c r="J16" s="15">
        <f t="shared" ref="J16:O20" si="5">IFERROR(J6/(1+B$15)^$I16,"")</f>
        <v>978.62323887332707</v>
      </c>
      <c r="K16" s="15">
        <f t="shared" si="5"/>
        <v>605.00685165465472</v>
      </c>
      <c r="L16" s="15">
        <f t="shared" si="5"/>
        <v>1900.6914686909458</v>
      </c>
      <c r="M16" s="15">
        <f t="shared" si="5"/>
        <v>384.39901496379559</v>
      </c>
      <c r="N16" s="15">
        <f t="shared" si="5"/>
        <v>317.53554502369673</v>
      </c>
      <c r="O16" s="15">
        <f t="shared" si="5"/>
        <v>89.778409090909079</v>
      </c>
      <c r="P16" s="15"/>
    </row>
    <row r="17" spans="1:15">
      <c r="A17" s="3">
        <v>2</v>
      </c>
      <c r="B17" s="15">
        <f t="shared" si="4"/>
        <v>903.43184607305898</v>
      </c>
      <c r="C17" s="15">
        <f t="shared" si="4"/>
        <v>432.9948936450719</v>
      </c>
      <c r="D17" s="15">
        <f t="shared" si="4"/>
        <v>1775.2516863500275</v>
      </c>
      <c r="E17" s="15">
        <f t="shared" si="4"/>
        <v>356.75191068568819</v>
      </c>
      <c r="F17" s="15">
        <f t="shared" si="4"/>
        <v>258.75429572561262</v>
      </c>
      <c r="G17" s="15">
        <f t="shared" si="4"/>
        <v>69.749339990817262</v>
      </c>
      <c r="I17" s="3">
        <v>2</v>
      </c>
      <c r="J17" s="15">
        <f t="shared" si="5"/>
        <v>795.85776956488644</v>
      </c>
      <c r="K17" s="15">
        <f t="shared" si="5"/>
        <v>444.02661068061514</v>
      </c>
      <c r="L17" s="15">
        <f t="shared" si="5"/>
        <v>1657.570562229188</v>
      </c>
      <c r="M17" s="15">
        <f t="shared" si="5"/>
        <v>247.1300297741829</v>
      </c>
      <c r="N17" s="15">
        <f t="shared" si="5"/>
        <v>272.23108196132165</v>
      </c>
      <c r="O17" s="15">
        <f t="shared" si="5"/>
        <v>75.582709194214871</v>
      </c>
    </row>
    <row r="18" spans="1:15">
      <c r="A18" s="3">
        <v>3</v>
      </c>
      <c r="B18" s="15">
        <f t="shared" si="4"/>
        <v>787.66151557016667</v>
      </c>
      <c r="C18" s="15">
        <f t="shared" si="4"/>
        <v>409.86964372541598</v>
      </c>
      <c r="D18" s="15">
        <f t="shared" si="4"/>
        <v>1548.3283816665323</v>
      </c>
      <c r="E18" s="15">
        <f t="shared" si="4"/>
        <v>238.56631286559849</v>
      </c>
      <c r="F18" s="15">
        <f t="shared" si="4"/>
        <v>194.16791543391156</v>
      </c>
      <c r="G18" s="15">
        <f t="shared" si="4"/>
        <v>59.044639425418083</v>
      </c>
      <c r="I18" s="3">
        <v>3</v>
      </c>
      <c r="J18" s="15">
        <f t="shared" si="5"/>
        <v>677.1288264748249</v>
      </c>
      <c r="K18" s="15">
        <f t="shared" si="5"/>
        <v>359.62755836552628</v>
      </c>
      <c r="L18" s="15">
        <f t="shared" si="5"/>
        <v>1411.5317829486676</v>
      </c>
      <c r="M18" s="15">
        <f t="shared" si="5"/>
        <v>132.95592930454305</v>
      </c>
      <c r="N18" s="15">
        <f t="shared" si="5"/>
        <v>235.04537131473506</v>
      </c>
      <c r="O18" s="15">
        <f t="shared" si="5"/>
        <v>62.80658035242228</v>
      </c>
    </row>
    <row r="19" spans="1:15">
      <c r="A19" s="3">
        <v>4</v>
      </c>
      <c r="B19" s="15">
        <f t="shared" si="4"/>
        <v>758.54932108407854</v>
      </c>
      <c r="C19" s="15">
        <f t="shared" si="4"/>
        <v>363.40608141310241</v>
      </c>
      <c r="D19" s="15">
        <f t="shared" si="4"/>
        <v>1319.8889069953877</v>
      </c>
      <c r="E19" s="15">
        <f t="shared" si="4"/>
        <v>202.50181083658023</v>
      </c>
      <c r="F19" s="15">
        <f t="shared" si="4"/>
        <v>141.26293007788527</v>
      </c>
      <c r="G19" s="15">
        <f t="shared" si="4"/>
        <v>22.58975532279803</v>
      </c>
      <c r="I19" s="3">
        <v>4</v>
      </c>
      <c r="J19" s="15">
        <f t="shared" si="5"/>
        <v>632.57757003188397</v>
      </c>
      <c r="K19" s="15">
        <f t="shared" si="5"/>
        <v>338.05216875637433</v>
      </c>
      <c r="L19" s="15">
        <f t="shared" si="5"/>
        <v>1189.2315561768028</v>
      </c>
      <c r="M19" s="15">
        <f t="shared" si="5"/>
        <v>104.48723572846377</v>
      </c>
      <c r="N19" s="15">
        <f t="shared" si="5"/>
        <v>176.78046678318213</v>
      </c>
      <c r="O19" s="15">
        <f t="shared" si="5"/>
        <v>55.15033319542956</v>
      </c>
    </row>
    <row r="20" spans="1:15">
      <c r="A20" s="3">
        <v>5</v>
      </c>
      <c r="B20" s="15">
        <f t="shared" si="4"/>
        <v>680.86919045996717</v>
      </c>
      <c r="C20" s="15">
        <f t="shared" si="4"/>
        <v>332.22975478950895</v>
      </c>
      <c r="D20" s="15">
        <f t="shared" si="4"/>
        <v>947.47770678549534</v>
      </c>
      <c r="E20" s="15">
        <f t="shared" si="4"/>
        <v>175.00010304835871</v>
      </c>
      <c r="F20" s="15">
        <f t="shared" si="4"/>
        <v>127.01230273759759</v>
      </c>
      <c r="G20" s="15">
        <f t="shared" si="4"/>
        <v>11.994676530489643</v>
      </c>
      <c r="I20" s="3">
        <v>5</v>
      </c>
      <c r="J20" s="15">
        <f t="shared" si="5"/>
        <v>555.30630079072648</v>
      </c>
      <c r="K20" s="15">
        <f t="shared" si="5"/>
        <v>294.95519693507623</v>
      </c>
      <c r="L20" s="15">
        <f t="shared" si="5"/>
        <v>818.7097634136411</v>
      </c>
      <c r="M20" s="15">
        <f t="shared" si="5"/>
        <v>83.419738240668394</v>
      </c>
      <c r="N20" s="15">
        <f t="shared" si="5"/>
        <v>127.77743709143854</v>
      </c>
      <c r="O20" s="15">
        <f t="shared" si="5"/>
        <v>20.775745356156335</v>
      </c>
    </row>
    <row r="21" spans="1:15">
      <c r="A21" s="477" t="s">
        <v>722</v>
      </c>
      <c r="B21" s="1065">
        <f>IF(B12&gt;0,(B11/B12*(1-(1+B$15)^(-B12))/B$15)/(1+B$15)^5,B11/B12/(1+B$15)^6)</f>
        <v>3657.1233851863358</v>
      </c>
      <c r="C21" s="1065">
        <f>IF(C12&gt;0,(C11/C12*(1-(1+C$15)^(-C12))/C$15)/(1+C$15)^5,C11/C12/(1+C$15)^6)</f>
        <v>951.09378216716857</v>
      </c>
      <c r="D21" s="1065">
        <f>IFERROR(IF(D12&gt;0,(D11/D12*(1-(1+D$15)^(-D12))/D$15)/(1+D$15)^5,D11/D12/(1+D$15)^6),0)</f>
        <v>2454.3088268912061</v>
      </c>
      <c r="E21" s="1065">
        <f>IFERROR(IF(E12&gt;0,(E11/E12*(1-(1+E$15)^(-E12))/E$15)/(1+E$15)^5,E11/E12/(1+E$15)^6),0)</f>
        <v>988.76690904688473</v>
      </c>
      <c r="F21" s="1065">
        <f>IFERROR(IF(F12&gt;0,(F11/F12*(1-(1+F$15)^(-F12))/F$15)/(1+F$15)^5,F11/F12/(1+F$15)^6),0)</f>
        <v>416.2967716363022</v>
      </c>
      <c r="G21" s="1065">
        <f>IFERROR(IF(G12&gt;0,(G11/G12*(1-(1+G$15)^(-G12))/G$15)/(1+G$15)^5,G11/G12/(1+G$15)^6),0)</f>
        <v>58.069884578598533</v>
      </c>
      <c r="I21" s="901" t="s">
        <v>722</v>
      </c>
      <c r="J21" s="1065">
        <f>IF(J12&gt;0,(J11/J12*(1-(1+B$15)^(-J12))/B$15)/(1+B$15)^5,J11/J12/(1+B$15)^6)</f>
        <v>3102.6614966172629</v>
      </c>
      <c r="K21" s="1065">
        <f>IF(K12&gt;0,(K11/K12*(1-(1+C$15)^(-K12))/C$15)/(1+C$15)^5,K11/K12/(1+C$15)^6)</f>
        <v>874.32053799536754</v>
      </c>
      <c r="L21" s="905">
        <f>IFERROR(L11/(1+D$15)^$J12,"")</f>
        <v>2487.1111064328707</v>
      </c>
      <c r="M21" s="905">
        <f>IFERROR(M11/(1+E$15)^$J12,"")</f>
        <v>587.73107538414069</v>
      </c>
      <c r="N21" s="905">
        <f>IFERROR(N11/(1+F$15)^$J12,"")</f>
        <v>540.30814560332442</v>
      </c>
      <c r="O21" s="905">
        <f>IFERROR(O11/(1+G$15)^$J12,"")</f>
        <v>68.324643562660512</v>
      </c>
    </row>
    <row r="22" spans="1:15">
      <c r="A22" s="519" t="s">
        <v>723</v>
      </c>
      <c r="B22" s="637">
        <f t="shared" ref="B22:F22" si="6">SUM(B16:B21)</f>
        <v>7515.5045865884649</v>
      </c>
      <c r="C22" s="637">
        <f t="shared" si="6"/>
        <v>3011.1848487674188</v>
      </c>
      <c r="D22" s="637">
        <f t="shared" si="6"/>
        <v>8820.8140376218398</v>
      </c>
      <c r="E22" s="637">
        <f t="shared" si="6"/>
        <v>2114.5621646829882</v>
      </c>
      <c r="F22" s="637">
        <f t="shared" si="6"/>
        <v>1457.8733625307405</v>
      </c>
      <c r="G22" s="637">
        <f>SUM(G16:G21)</f>
        <v>302.76363675721245</v>
      </c>
      <c r="I22" s="372" t="s">
        <v>723</v>
      </c>
      <c r="J22" s="637">
        <f t="shared" ref="J22" si="7">SUM(J16:J21)</f>
        <v>6742.1552023529121</v>
      </c>
      <c r="K22" s="637">
        <f t="shared" ref="K22" si="8">SUM(K16:K21)</f>
        <v>2915.9889243876141</v>
      </c>
      <c r="L22" s="637">
        <f t="shared" ref="L22" si="9">SUM(L16:L21)</f>
        <v>9464.8462398921147</v>
      </c>
      <c r="M22" s="637">
        <f t="shared" ref="M22" si="10">SUM(M16:M21)</f>
        <v>1540.1230233957945</v>
      </c>
      <c r="N22" s="637">
        <f t="shared" ref="N22" si="11">SUM(N16:N21)</f>
        <v>1669.6780477776986</v>
      </c>
      <c r="O22" s="637">
        <f t="shared" ref="O22" si="12">SUM(O16:O21)</f>
        <v>372.41842075179267</v>
      </c>
    </row>
    <row r="23" spans="1:15">
      <c r="A23" s="372"/>
      <c r="B23" s="372"/>
      <c r="C23" s="372"/>
      <c r="D23" s="372"/>
      <c r="E23" s="372"/>
      <c r="F23" s="372"/>
      <c r="G23" s="372"/>
    </row>
    <row r="24" spans="1:15">
      <c r="A24" s="926" t="s">
        <v>724</v>
      </c>
      <c r="B24" s="694">
        <v>2011</v>
      </c>
      <c r="C24" s="694">
        <v>2018</v>
      </c>
      <c r="D24" s="1113">
        <v>2006</v>
      </c>
      <c r="E24" s="1066">
        <v>2019</v>
      </c>
      <c r="F24" s="1066">
        <v>2019</v>
      </c>
      <c r="G24" s="1066">
        <v>2019</v>
      </c>
    </row>
    <row r="25" spans="1:15">
      <c r="B25" s="525" t="str">
        <f t="shared" ref="B25:G25" si="13">B4</f>
        <v>DAL-US</v>
      </c>
      <c r="C25" s="525" t="str">
        <f t="shared" si="13"/>
        <v>AC-CA</v>
      </c>
      <c r="D25" s="525" t="str">
        <f t="shared" si="13"/>
        <v>AAL-US</v>
      </c>
      <c r="E25" s="525" t="str">
        <f t="shared" si="13"/>
        <v>LUV-US</v>
      </c>
      <c r="F25" s="525" t="str">
        <f t="shared" si="13"/>
        <v>ALK-US</v>
      </c>
      <c r="G25" s="525" t="str">
        <f t="shared" si="13"/>
        <v>skyw-US</v>
      </c>
    </row>
    <row r="26" spans="1:15">
      <c r="A26" s="5" t="s">
        <v>725</v>
      </c>
      <c r="B26" s="1114">
        <f>D32</f>
        <v>0</v>
      </c>
      <c r="C26" s="1114">
        <f t="shared" ref="C26:G26" si="14">IF(C24&lt;=2018,0,K22)</f>
        <v>0</v>
      </c>
      <c r="D26" s="1114">
        <f>IF(D24&lt;=2018,0,L22)</f>
        <v>0</v>
      </c>
      <c r="E26" s="1114">
        <f>IF(E24&lt;=2018,0,M22)</f>
        <v>1540.1230233957945</v>
      </c>
      <c r="F26" s="1114">
        <f>IF(F24&lt;=2018,0,N22)</f>
        <v>1669.6780477776986</v>
      </c>
      <c r="G26" s="1114">
        <f t="shared" si="14"/>
        <v>372.41842075179267</v>
      </c>
      <c r="H26" s="327"/>
    </row>
    <row r="27" spans="1:15">
      <c r="A27" s="5" t="s">
        <v>726</v>
      </c>
      <c r="B27" s="1114">
        <f>IF(B24&lt;=2018,0,B22)</f>
        <v>0</v>
      </c>
      <c r="C27" s="1114">
        <f t="shared" ref="C27" si="15">IF(C24&lt;=2018,0,C22)</f>
        <v>0</v>
      </c>
      <c r="D27" s="1114">
        <f>IF(D24&lt;=2019,0,D22)</f>
        <v>0</v>
      </c>
      <c r="E27" s="1114">
        <f t="shared" ref="E27:G27" si="16">IF(E24&lt;=2019,0,E22)</f>
        <v>0</v>
      </c>
      <c r="F27" s="1114">
        <f t="shared" si="16"/>
        <v>0</v>
      </c>
      <c r="G27" s="1114">
        <f t="shared" si="16"/>
        <v>0</v>
      </c>
      <c r="H27" s="327"/>
    </row>
    <row r="28" spans="1:15">
      <c r="A28" s="4" t="s">
        <v>727</v>
      </c>
      <c r="B28" s="1115">
        <f>B26/2</f>
        <v>0</v>
      </c>
      <c r="C28" s="1115">
        <f t="shared" ref="C28:E28" si="17">C26/2</f>
        <v>0</v>
      </c>
      <c r="D28" s="1115">
        <f t="shared" si="17"/>
        <v>0</v>
      </c>
      <c r="E28" s="1115">
        <f t="shared" si="17"/>
        <v>770.06151169789723</v>
      </c>
      <c r="F28" s="1115">
        <f>F26/2</f>
        <v>834.83902388884928</v>
      </c>
      <c r="G28" s="1115">
        <f>G26/2</f>
        <v>186.20921037589633</v>
      </c>
      <c r="H28" s="327"/>
    </row>
    <row r="29" spans="1:15">
      <c r="A29" s="4" t="s">
        <v>728</v>
      </c>
      <c r="B29" s="1116">
        <f t="shared" ref="B29:G29" si="18">B28/(5+J12)/1000</f>
        <v>0</v>
      </c>
      <c r="C29" s="1116">
        <f t="shared" si="18"/>
        <v>0</v>
      </c>
      <c r="D29" s="1116">
        <f t="shared" si="18"/>
        <v>0</v>
      </c>
      <c r="E29" s="1116">
        <f t="shared" si="18"/>
        <v>7.0005591972536113E-2</v>
      </c>
      <c r="F29" s="1116">
        <f t="shared" si="18"/>
        <v>0.10435487798610615</v>
      </c>
      <c r="G29" s="1116">
        <f t="shared" si="18"/>
        <v>2.6601315767985193E-2</v>
      </c>
      <c r="H29" s="327"/>
    </row>
    <row r="30" spans="1:15">
      <c r="A30" s="4" t="s">
        <v>729</v>
      </c>
      <c r="B30" s="1116"/>
      <c r="C30" s="1116"/>
      <c r="D30" s="1116"/>
      <c r="E30" s="1116"/>
      <c r="F30" s="1116"/>
      <c r="G30" s="1116"/>
      <c r="H30" s="327"/>
    </row>
    <row r="31" spans="1:15">
      <c r="A31" s="5" t="str">
        <f>'Help Sheet'!A42</f>
        <v>Marginal Tax Rate</v>
      </c>
      <c r="B31" s="1117"/>
      <c r="C31" s="1117"/>
      <c r="D31" s="1117"/>
      <c r="E31" s="1117"/>
      <c r="F31" s="1117"/>
      <c r="G31" s="1117"/>
      <c r="H31" s="327"/>
    </row>
  </sheetData>
  <pageMargins left="0.7" right="0.7" top="0.78740157499999996" bottom="0.78740157499999996" header="0.3" footer="0.3"/>
  <pageSetup paperSize="9"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7">
    <tabColor theme="9" tint="0.59999389629810485"/>
  </sheetPr>
  <dimension ref="A1:Q46"/>
  <sheetViews>
    <sheetView topLeftCell="A19" workbookViewId="0">
      <selection activeCell="C57" sqref="A1:XFD1048576"/>
    </sheetView>
  </sheetViews>
  <sheetFormatPr defaultColWidth="11.28515625" defaultRowHeight="15"/>
  <cols>
    <col min="1" max="1" width="27.7109375" style="7" bestFit="1" customWidth="1"/>
    <col min="2" max="6" width="11.7109375" style="7" customWidth="1"/>
    <col min="7" max="13" width="11.7109375" style="3" customWidth="1"/>
    <col min="14" max="16384" width="11.28515625" style="3"/>
  </cols>
  <sheetData>
    <row r="1" spans="1:16" s="340" customFormat="1" ht="26.1" customHeight="1">
      <c r="A1" s="338" t="s">
        <v>701</v>
      </c>
      <c r="B1" s="339"/>
    </row>
    <row r="2" spans="1:16">
      <c r="A2" s="2" t="str">
        <f>'DAL-US IS-adj'!A2</f>
        <v>Ticker</v>
      </c>
      <c r="C2" s="2" t="str">
        <f>'Industry Ratios'!A3</f>
        <v>DAL-US</v>
      </c>
      <c r="D2" s="2" t="str">
        <f>'Industry Ratios'!E3</f>
        <v>AC-CA</v>
      </c>
      <c r="E2" s="2" t="str">
        <f>'Industry Ratios'!F3</f>
        <v>AAL-US</v>
      </c>
      <c r="F2" s="2" t="str">
        <f>'Industry Ratios'!G3</f>
        <v>LUV-US</v>
      </c>
      <c r="G2" s="2" t="str">
        <f>'Industry Ratios'!H3</f>
        <v>ALK-US</v>
      </c>
      <c r="H2" s="2" t="str">
        <f>'Industry Ratios'!I3</f>
        <v>skyw-US</v>
      </c>
      <c r="I2" s="2"/>
      <c r="J2" s="2"/>
      <c r="K2" s="2" t="str">
        <f t="shared" ref="K2:P2" si="0">C2</f>
        <v>DAL-US</v>
      </c>
      <c r="L2" s="2" t="str">
        <f t="shared" si="0"/>
        <v>AC-CA</v>
      </c>
      <c r="M2" s="2" t="str">
        <f t="shared" si="0"/>
        <v>AAL-US</v>
      </c>
      <c r="N2" s="2" t="str">
        <f t="shared" si="0"/>
        <v>LUV-US</v>
      </c>
      <c r="O2" s="2" t="str">
        <f t="shared" si="0"/>
        <v>ALK-US</v>
      </c>
      <c r="P2" s="2" t="str">
        <f t="shared" si="0"/>
        <v>skyw-US</v>
      </c>
    </row>
    <row r="3" spans="1:16">
      <c r="A3" s="1064" t="s">
        <v>702</v>
      </c>
      <c r="B3" s="5"/>
      <c r="C3" s="5"/>
      <c r="D3" s="5"/>
      <c r="E3" s="5"/>
      <c r="F3" s="5"/>
      <c r="G3" s="6"/>
    </row>
    <row r="4" spans="1:16">
      <c r="A4" s="5" t="s">
        <v>703</v>
      </c>
      <c r="B4" s="1023">
        <f>'DAL-US R&amp;D'!B4</f>
        <v>10</v>
      </c>
      <c r="C4" s="920" t="s">
        <v>704</v>
      </c>
      <c r="D4" s="920"/>
      <c r="E4" s="5"/>
    </row>
    <row r="5" spans="1:16">
      <c r="A5" s="5"/>
      <c r="B5" s="5"/>
      <c r="C5" s="1331" t="s">
        <v>705</v>
      </c>
      <c r="D5" s="1331"/>
      <c r="E5" s="1331"/>
      <c r="F5" s="1331"/>
      <c r="G5" s="1331"/>
      <c r="H5" s="1331"/>
      <c r="I5" s="10"/>
      <c r="K5" s="1331" t="s">
        <v>706</v>
      </c>
      <c r="L5" s="1331"/>
      <c r="M5" s="1331"/>
      <c r="N5" s="1331"/>
      <c r="O5" s="1331"/>
      <c r="P5" s="1331"/>
    </row>
    <row r="6" spans="1:16">
      <c r="A6" s="503" t="s">
        <v>707</v>
      </c>
      <c r="B6" s="900"/>
      <c r="C6" s="897"/>
      <c r="D6" s="897"/>
      <c r="E6" s="915" t="s">
        <v>708</v>
      </c>
      <c r="F6" s="897"/>
      <c r="G6" s="897"/>
      <c r="H6" s="915" t="s">
        <v>709</v>
      </c>
      <c r="I6" s="916"/>
      <c r="J6" s="897" t="s">
        <v>710</v>
      </c>
      <c r="K6" s="897"/>
      <c r="L6" s="897"/>
      <c r="M6" s="897"/>
      <c r="N6" s="901"/>
      <c r="O6" s="901"/>
      <c r="P6" s="901"/>
    </row>
    <row r="7" spans="1:16">
      <c r="A7" s="8">
        <v>0</v>
      </c>
      <c r="B7" s="2">
        <v>1</v>
      </c>
      <c r="C7" s="919">
        <v>0</v>
      </c>
      <c r="D7" s="13">
        <v>0</v>
      </c>
      <c r="E7" s="13">
        <v>0</v>
      </c>
      <c r="F7" s="13">
        <v>0</v>
      </c>
      <c r="G7" s="13">
        <v>0</v>
      </c>
      <c r="H7" s="13">
        <v>0</v>
      </c>
      <c r="I7" s="10"/>
      <c r="J7" s="8">
        <f>A7-1</f>
        <v>-1</v>
      </c>
      <c r="K7" s="919">
        <v>0</v>
      </c>
      <c r="L7" s="13">
        <v>0</v>
      </c>
      <c r="M7" s="13">
        <v>0</v>
      </c>
      <c r="N7" s="13">
        <v>0</v>
      </c>
      <c r="O7" s="13">
        <v>0</v>
      </c>
      <c r="P7" s="919">
        <v>0</v>
      </c>
    </row>
    <row r="8" spans="1:16">
      <c r="A8" s="8">
        <v>-1</v>
      </c>
      <c r="B8" s="2">
        <f>IF(A8&lt;0,(B4+A8)/B4,0)</f>
        <v>0.9</v>
      </c>
      <c r="C8" s="13">
        <v>0</v>
      </c>
      <c r="D8" s="13">
        <v>0</v>
      </c>
      <c r="E8" s="13">
        <v>0</v>
      </c>
      <c r="F8" s="13">
        <v>0</v>
      </c>
      <c r="G8" s="13">
        <v>0</v>
      </c>
      <c r="H8" s="13">
        <v>0</v>
      </c>
      <c r="I8" s="10"/>
      <c r="J8" s="8">
        <f>IF(A8=0,0,A8-1)</f>
        <v>-2</v>
      </c>
      <c r="K8" s="13">
        <v>0</v>
      </c>
      <c r="L8" s="13">
        <v>0</v>
      </c>
      <c r="M8" s="13">
        <v>0</v>
      </c>
      <c r="N8" s="13">
        <v>0</v>
      </c>
      <c r="O8" s="13">
        <v>0</v>
      </c>
      <c r="P8" s="919">
        <v>0</v>
      </c>
    </row>
    <row r="9" spans="1:16">
      <c r="A9" s="8">
        <f>IF((0-A8)&lt;B4,IF(A8&gt;-1,,A8-1),)</f>
        <v>-2</v>
      </c>
      <c r="B9" s="2">
        <f>IF(A9&lt;0,(B4+A9)/B4,0)</f>
        <v>0.8</v>
      </c>
      <c r="C9" s="13">
        <v>0</v>
      </c>
      <c r="D9" s="13">
        <v>0</v>
      </c>
      <c r="E9" s="13">
        <v>0</v>
      </c>
      <c r="F9" s="13">
        <v>0</v>
      </c>
      <c r="G9" s="13">
        <v>0</v>
      </c>
      <c r="H9" s="13">
        <v>0</v>
      </c>
      <c r="I9" s="10"/>
      <c r="J9" s="8">
        <f t="shared" ref="J9:J17" si="1">IF(A9=0,0,A9-1)</f>
        <v>-3</v>
      </c>
      <c r="K9" s="13">
        <v>0</v>
      </c>
      <c r="L9" s="13">
        <v>0</v>
      </c>
      <c r="M9" s="13">
        <v>0</v>
      </c>
      <c r="N9" s="13">
        <v>0</v>
      </c>
      <c r="O9" s="13">
        <v>0</v>
      </c>
      <c r="P9" s="919">
        <v>0</v>
      </c>
    </row>
    <row r="10" spans="1:16">
      <c r="A10" s="8">
        <f>IF((0-A9)&lt;B4,IF(A9&gt;-1,,A9-1),)</f>
        <v>-3</v>
      </c>
      <c r="B10" s="2">
        <f>IF(A10&lt;0,(B4+A10)/B4,0)</f>
        <v>0.7</v>
      </c>
      <c r="C10" s="13">
        <v>0</v>
      </c>
      <c r="D10" s="13">
        <v>0</v>
      </c>
      <c r="E10" s="13">
        <v>0</v>
      </c>
      <c r="F10" s="13">
        <v>0</v>
      </c>
      <c r="G10" s="13">
        <v>0</v>
      </c>
      <c r="H10" s="13">
        <v>0</v>
      </c>
      <c r="I10" s="10"/>
      <c r="J10" s="8">
        <f t="shared" si="1"/>
        <v>-4</v>
      </c>
      <c r="K10" s="13">
        <v>0</v>
      </c>
      <c r="L10" s="13">
        <v>0</v>
      </c>
      <c r="M10" s="13">
        <v>0</v>
      </c>
      <c r="N10" s="13">
        <v>0</v>
      </c>
      <c r="O10" s="13">
        <v>0</v>
      </c>
      <c r="P10" s="919">
        <v>0</v>
      </c>
    </row>
    <row r="11" spans="1:16">
      <c r="A11" s="8">
        <f>IF((0-A10)&lt;B4,IF(A10&gt;-1,,A10-1),)</f>
        <v>-4</v>
      </c>
      <c r="B11" s="2">
        <f>IF(A11&lt;0,(B4+A11)/B4,0)</f>
        <v>0.6</v>
      </c>
      <c r="C11" s="13">
        <v>0</v>
      </c>
      <c r="D11" s="13">
        <v>0</v>
      </c>
      <c r="E11" s="13">
        <v>0</v>
      </c>
      <c r="F11" s="13">
        <v>0</v>
      </c>
      <c r="G11" s="13">
        <v>0</v>
      </c>
      <c r="H11" s="13">
        <v>0</v>
      </c>
      <c r="I11" s="10"/>
      <c r="J11" s="8">
        <f t="shared" si="1"/>
        <v>-5</v>
      </c>
      <c r="K11" s="13">
        <v>0</v>
      </c>
      <c r="L11" s="13">
        <v>0</v>
      </c>
      <c r="M11" s="13">
        <v>0</v>
      </c>
      <c r="N11" s="13">
        <v>0</v>
      </c>
      <c r="O11" s="13">
        <v>0</v>
      </c>
      <c r="P11" s="919">
        <v>0</v>
      </c>
    </row>
    <row r="12" spans="1:16">
      <c r="A12" s="8">
        <f>IF((0-A11)&lt;B4,IF(A11&gt;-1,,A11-1),)</f>
        <v>-5</v>
      </c>
      <c r="B12" s="2">
        <f>IF(A12&lt;0,(B4+A12)/B4,0)</f>
        <v>0.5</v>
      </c>
      <c r="C12" s="13">
        <v>0</v>
      </c>
      <c r="D12" s="13">
        <v>0</v>
      </c>
      <c r="E12" s="13">
        <v>0</v>
      </c>
      <c r="F12" s="13">
        <v>0</v>
      </c>
      <c r="G12" s="13">
        <v>0</v>
      </c>
      <c r="H12" s="13">
        <v>0</v>
      </c>
      <c r="I12" s="10"/>
      <c r="J12" s="8">
        <f t="shared" si="1"/>
        <v>-6</v>
      </c>
      <c r="K12" s="13">
        <v>0</v>
      </c>
      <c r="L12" s="13">
        <v>0</v>
      </c>
      <c r="M12" s="13">
        <v>0</v>
      </c>
      <c r="N12" s="13">
        <v>0</v>
      </c>
      <c r="O12" s="13">
        <v>0</v>
      </c>
      <c r="P12" s="13">
        <v>0</v>
      </c>
    </row>
    <row r="13" spans="1:16">
      <c r="A13" s="8">
        <f>IF((0-A12)&lt;B4,IF(A12&gt;-1,,A12-1),)</f>
        <v>-6</v>
      </c>
      <c r="B13" s="2">
        <f>IF(A13&lt;0,(B4+A13)/B4,0)</f>
        <v>0.4</v>
      </c>
      <c r="C13" s="13">
        <v>0</v>
      </c>
      <c r="D13" s="13">
        <v>0</v>
      </c>
      <c r="E13" s="13">
        <v>0</v>
      </c>
      <c r="F13" s="13">
        <v>0</v>
      </c>
      <c r="G13" s="13">
        <v>0</v>
      </c>
      <c r="H13" s="13">
        <v>0</v>
      </c>
      <c r="I13" s="10"/>
      <c r="J13" s="8">
        <f t="shared" si="1"/>
        <v>-7</v>
      </c>
      <c r="K13" s="13">
        <v>0</v>
      </c>
      <c r="L13" s="13">
        <v>0</v>
      </c>
      <c r="M13" s="13">
        <v>0</v>
      </c>
      <c r="N13" s="13">
        <v>0</v>
      </c>
      <c r="O13" s="13">
        <v>0</v>
      </c>
      <c r="P13" s="13">
        <v>0</v>
      </c>
    </row>
    <row r="14" spans="1:16">
      <c r="A14" s="8">
        <f>IF((0-A13)&lt;B4,IF(A13&gt;-1,,A13-1),)</f>
        <v>-7</v>
      </c>
      <c r="B14" s="2">
        <f>IF(A14&lt;0,(B4+A14)/B4,0)</f>
        <v>0.3</v>
      </c>
      <c r="C14" s="13">
        <v>0</v>
      </c>
      <c r="D14" s="13">
        <v>0</v>
      </c>
      <c r="E14" s="13">
        <v>0</v>
      </c>
      <c r="F14" s="13">
        <v>0</v>
      </c>
      <c r="G14" s="13">
        <v>0</v>
      </c>
      <c r="H14" s="13">
        <v>0</v>
      </c>
      <c r="I14" s="10"/>
      <c r="J14" s="8">
        <f t="shared" si="1"/>
        <v>-8</v>
      </c>
      <c r="K14" s="13">
        <v>0</v>
      </c>
      <c r="L14" s="13">
        <v>0</v>
      </c>
      <c r="M14" s="13">
        <v>0</v>
      </c>
      <c r="N14" s="13">
        <v>0</v>
      </c>
      <c r="O14" s="13">
        <v>0</v>
      </c>
      <c r="P14" s="13">
        <v>0</v>
      </c>
    </row>
    <row r="15" spans="1:16">
      <c r="A15" s="8">
        <f>IF((0-A14)&lt;B4,IF(A14&gt;-1,,A14-1),)</f>
        <v>-8</v>
      </c>
      <c r="B15" s="2">
        <f>IF(A15&lt;0,(B4+A15)/B4,0)</f>
        <v>0.2</v>
      </c>
      <c r="C15" s="13">
        <v>0</v>
      </c>
      <c r="D15" s="13">
        <v>0</v>
      </c>
      <c r="E15" s="13">
        <v>0</v>
      </c>
      <c r="F15" s="13">
        <v>0</v>
      </c>
      <c r="G15" s="13">
        <v>0</v>
      </c>
      <c r="H15" s="13">
        <v>0</v>
      </c>
      <c r="I15" s="10"/>
      <c r="J15" s="8">
        <f t="shared" si="1"/>
        <v>-9</v>
      </c>
      <c r="K15" s="13">
        <v>0</v>
      </c>
      <c r="L15" s="13">
        <v>0</v>
      </c>
      <c r="M15" s="13">
        <v>0</v>
      </c>
      <c r="N15" s="13">
        <v>0</v>
      </c>
      <c r="O15" s="13">
        <v>0</v>
      </c>
      <c r="P15" s="13">
        <v>0</v>
      </c>
    </row>
    <row r="16" spans="1:16">
      <c r="A16" s="8">
        <f>IF((0-A15)&lt;B4,IF(A15&gt;-1,,A15-1),)</f>
        <v>-9</v>
      </c>
      <c r="B16" s="2">
        <f>IF(A16&lt;0,(B4+A16)/B4,0)</f>
        <v>0.1</v>
      </c>
      <c r="C16" s="13">
        <v>0</v>
      </c>
      <c r="D16" s="13">
        <v>0</v>
      </c>
      <c r="E16" s="13">
        <v>0</v>
      </c>
      <c r="F16" s="13">
        <v>0</v>
      </c>
      <c r="G16" s="13">
        <v>0</v>
      </c>
      <c r="H16" s="13">
        <v>0</v>
      </c>
      <c r="I16" s="10"/>
      <c r="J16" s="8">
        <f t="shared" si="1"/>
        <v>-10</v>
      </c>
      <c r="K16" s="13">
        <v>0</v>
      </c>
      <c r="L16" s="13">
        <v>0</v>
      </c>
      <c r="M16" s="13">
        <v>0</v>
      </c>
      <c r="N16" s="13">
        <v>0</v>
      </c>
      <c r="O16" s="13">
        <v>0</v>
      </c>
      <c r="P16" s="13">
        <v>0</v>
      </c>
    </row>
    <row r="17" spans="1:17">
      <c r="A17" s="8">
        <f>IF((0-A16)&lt;B4,IF(A16&gt;-1,,A16-1),)</f>
        <v>-10</v>
      </c>
      <c r="B17" s="2">
        <f>IF(A17&lt;0,(B4+A17)/B4,0)</f>
        <v>0</v>
      </c>
      <c r="C17" s="13">
        <v>0</v>
      </c>
      <c r="D17" s="13">
        <v>0</v>
      </c>
      <c r="E17" s="13">
        <v>0</v>
      </c>
      <c r="F17" s="13">
        <v>0</v>
      </c>
      <c r="G17" s="13">
        <v>0</v>
      </c>
      <c r="H17" s="13">
        <v>0</v>
      </c>
      <c r="I17" s="10"/>
      <c r="J17" s="8">
        <f t="shared" si="1"/>
        <v>-11</v>
      </c>
      <c r="K17" s="13">
        <v>0</v>
      </c>
      <c r="L17" s="13">
        <v>0</v>
      </c>
      <c r="M17" s="13">
        <v>0</v>
      </c>
      <c r="N17" s="13">
        <v>0</v>
      </c>
      <c r="O17" s="13">
        <v>0</v>
      </c>
      <c r="P17" s="13">
        <v>0</v>
      </c>
    </row>
    <row r="18" spans="1:17">
      <c r="D18" s="1112"/>
      <c r="E18" s="1112"/>
      <c r="F18" s="1112"/>
      <c r="G18" s="1112"/>
      <c r="H18"/>
      <c r="I18" s="10"/>
      <c r="K18" s="7"/>
    </row>
    <row r="19" spans="1:17">
      <c r="A19" s="503" t="s">
        <v>711</v>
      </c>
      <c r="B19" s="898"/>
      <c r="C19" s="898"/>
      <c r="D19" s="898"/>
      <c r="E19" s="898"/>
      <c r="F19" s="898"/>
      <c r="G19" s="898"/>
      <c r="H19" s="898"/>
      <c r="I19" s="917"/>
      <c r="J19" s="503" t="s">
        <v>712</v>
      </c>
      <c r="K19" s="898"/>
      <c r="L19" s="898"/>
      <c r="M19" s="898"/>
      <c r="N19" s="898"/>
      <c r="O19" s="898"/>
      <c r="P19" s="898"/>
    </row>
    <row r="20" spans="1:17">
      <c r="A20" s="8">
        <f>A7</f>
        <v>0</v>
      </c>
      <c r="C20" s="7">
        <f>IFERROR($B7*C7,0)</f>
        <v>0</v>
      </c>
      <c r="D20" s="7">
        <f t="shared" ref="C20:H30" si="2">IFERROR($B7*D7,0)</f>
        <v>0</v>
      </c>
      <c r="E20" s="7">
        <f t="shared" si="2"/>
        <v>0</v>
      </c>
      <c r="F20" s="7">
        <f t="shared" si="2"/>
        <v>0</v>
      </c>
      <c r="G20" s="7">
        <f t="shared" si="2"/>
        <v>0</v>
      </c>
      <c r="H20" s="7">
        <f t="shared" si="2"/>
        <v>0</v>
      </c>
      <c r="I20" s="7"/>
      <c r="J20" s="8">
        <f>J7</f>
        <v>-1</v>
      </c>
      <c r="K20" s="7">
        <f t="shared" ref="K20:P20" si="3">IFERROR($B7*K7,0)</f>
        <v>0</v>
      </c>
      <c r="L20" s="7">
        <f t="shared" si="3"/>
        <v>0</v>
      </c>
      <c r="M20" s="7">
        <f t="shared" si="3"/>
        <v>0</v>
      </c>
      <c r="N20" s="7">
        <f t="shared" si="3"/>
        <v>0</v>
      </c>
      <c r="O20" s="7">
        <f t="shared" si="3"/>
        <v>0</v>
      </c>
      <c r="P20" s="7">
        <f t="shared" si="3"/>
        <v>0</v>
      </c>
      <c r="Q20" s="7"/>
    </row>
    <row r="21" spans="1:17">
      <c r="A21" s="8">
        <f t="shared" ref="A21:A30" si="4">A8</f>
        <v>-1</v>
      </c>
      <c r="C21" s="7">
        <f t="shared" si="2"/>
        <v>0</v>
      </c>
      <c r="D21" s="7">
        <f t="shared" si="2"/>
        <v>0</v>
      </c>
      <c r="E21" s="7">
        <f t="shared" si="2"/>
        <v>0</v>
      </c>
      <c r="F21" s="7">
        <f t="shared" si="2"/>
        <v>0</v>
      </c>
      <c r="G21" s="7">
        <f t="shared" si="2"/>
        <v>0</v>
      </c>
      <c r="H21" s="7">
        <f t="shared" si="2"/>
        <v>0</v>
      </c>
      <c r="I21" s="7"/>
      <c r="J21" s="8">
        <f t="shared" ref="J21:J30" si="5">J8</f>
        <v>-2</v>
      </c>
      <c r="K21" s="7">
        <f t="shared" ref="K21:K30" si="6">IFERROR($B8*K8,0)</f>
        <v>0</v>
      </c>
      <c r="L21" s="7">
        <f t="shared" ref="L21:P21" si="7">IFERROR($B8*L8,0)</f>
        <v>0</v>
      </c>
      <c r="M21" s="7">
        <f t="shared" si="7"/>
        <v>0</v>
      </c>
      <c r="N21" s="7">
        <f t="shared" si="7"/>
        <v>0</v>
      </c>
      <c r="O21" s="7">
        <f t="shared" si="7"/>
        <v>0</v>
      </c>
      <c r="P21" s="7">
        <f t="shared" si="7"/>
        <v>0</v>
      </c>
      <c r="Q21" s="7"/>
    </row>
    <row r="22" spans="1:17">
      <c r="A22" s="8">
        <f t="shared" si="4"/>
        <v>-2</v>
      </c>
      <c r="C22" s="7">
        <f t="shared" si="2"/>
        <v>0</v>
      </c>
      <c r="D22" s="7">
        <f t="shared" si="2"/>
        <v>0</v>
      </c>
      <c r="E22" s="7">
        <f t="shared" si="2"/>
        <v>0</v>
      </c>
      <c r="F22" s="7">
        <f t="shared" si="2"/>
        <v>0</v>
      </c>
      <c r="G22" s="7">
        <f t="shared" si="2"/>
        <v>0</v>
      </c>
      <c r="H22" s="7">
        <f t="shared" si="2"/>
        <v>0</v>
      </c>
      <c r="I22" s="7"/>
      <c r="J22" s="8">
        <f t="shared" si="5"/>
        <v>-3</v>
      </c>
      <c r="K22" s="7">
        <f t="shared" si="6"/>
        <v>0</v>
      </c>
      <c r="L22" s="7">
        <f t="shared" ref="L22:P22" si="8">IFERROR($B9*L9,0)</f>
        <v>0</v>
      </c>
      <c r="M22" s="7">
        <f t="shared" si="8"/>
        <v>0</v>
      </c>
      <c r="N22" s="7">
        <f t="shared" si="8"/>
        <v>0</v>
      </c>
      <c r="O22" s="7">
        <f t="shared" si="8"/>
        <v>0</v>
      </c>
      <c r="P22" s="7">
        <f t="shared" si="8"/>
        <v>0</v>
      </c>
      <c r="Q22" s="7"/>
    </row>
    <row r="23" spans="1:17">
      <c r="A23" s="8">
        <f t="shared" si="4"/>
        <v>-3</v>
      </c>
      <c r="C23" s="7">
        <f t="shared" si="2"/>
        <v>0</v>
      </c>
      <c r="D23" s="7">
        <f t="shared" si="2"/>
        <v>0</v>
      </c>
      <c r="E23" s="7">
        <f t="shared" si="2"/>
        <v>0</v>
      </c>
      <c r="F23" s="7">
        <f t="shared" si="2"/>
        <v>0</v>
      </c>
      <c r="G23" s="7">
        <f t="shared" si="2"/>
        <v>0</v>
      </c>
      <c r="H23" s="7">
        <f t="shared" si="2"/>
        <v>0</v>
      </c>
      <c r="I23" s="7"/>
      <c r="J23" s="8">
        <f t="shared" si="5"/>
        <v>-4</v>
      </c>
      <c r="K23" s="7">
        <f t="shared" si="6"/>
        <v>0</v>
      </c>
      <c r="L23" s="7">
        <f t="shared" ref="L23:P23" si="9">IFERROR($B10*L10,0)</f>
        <v>0</v>
      </c>
      <c r="M23" s="7">
        <f t="shared" si="9"/>
        <v>0</v>
      </c>
      <c r="N23" s="7">
        <f t="shared" si="9"/>
        <v>0</v>
      </c>
      <c r="O23" s="7">
        <f t="shared" si="9"/>
        <v>0</v>
      </c>
      <c r="P23" s="7">
        <f t="shared" si="9"/>
        <v>0</v>
      </c>
      <c r="Q23" s="7"/>
    </row>
    <row r="24" spans="1:17">
      <c r="A24" s="8">
        <f t="shared" si="4"/>
        <v>-4</v>
      </c>
      <c r="C24" s="7">
        <f t="shared" si="2"/>
        <v>0</v>
      </c>
      <c r="D24" s="7">
        <f t="shared" si="2"/>
        <v>0</v>
      </c>
      <c r="E24" s="7">
        <f t="shared" si="2"/>
        <v>0</v>
      </c>
      <c r="F24" s="7">
        <f t="shared" si="2"/>
        <v>0</v>
      </c>
      <c r="G24" s="7">
        <f t="shared" si="2"/>
        <v>0</v>
      </c>
      <c r="H24" s="7">
        <f t="shared" si="2"/>
        <v>0</v>
      </c>
      <c r="I24" s="7"/>
      <c r="J24" s="8">
        <f t="shared" si="5"/>
        <v>-5</v>
      </c>
      <c r="K24" s="7">
        <f t="shared" si="6"/>
        <v>0</v>
      </c>
      <c r="L24" s="7">
        <f t="shared" ref="L24:P24" si="10">IFERROR($B11*L11,0)</f>
        <v>0</v>
      </c>
      <c r="M24" s="7">
        <f t="shared" si="10"/>
        <v>0</v>
      </c>
      <c r="N24" s="7">
        <f t="shared" si="10"/>
        <v>0</v>
      </c>
      <c r="O24" s="7">
        <f t="shared" si="10"/>
        <v>0</v>
      </c>
      <c r="P24" s="7">
        <f t="shared" si="10"/>
        <v>0</v>
      </c>
      <c r="Q24" s="7"/>
    </row>
    <row r="25" spans="1:17">
      <c r="A25" s="8">
        <f t="shared" si="4"/>
        <v>-5</v>
      </c>
      <c r="C25" s="7">
        <f t="shared" si="2"/>
        <v>0</v>
      </c>
      <c r="D25" s="7">
        <f t="shared" si="2"/>
        <v>0</v>
      </c>
      <c r="E25" s="7">
        <f t="shared" si="2"/>
        <v>0</v>
      </c>
      <c r="F25" s="7">
        <f t="shared" si="2"/>
        <v>0</v>
      </c>
      <c r="G25" s="7">
        <f t="shared" si="2"/>
        <v>0</v>
      </c>
      <c r="H25" s="7">
        <f t="shared" si="2"/>
        <v>0</v>
      </c>
      <c r="I25" s="7"/>
      <c r="J25" s="8">
        <f t="shared" si="5"/>
        <v>-6</v>
      </c>
      <c r="K25" s="7">
        <f t="shared" si="6"/>
        <v>0</v>
      </c>
      <c r="L25" s="7">
        <f t="shared" ref="L25:P25" si="11">IFERROR($B12*L12,0)</f>
        <v>0</v>
      </c>
      <c r="M25" s="7">
        <f t="shared" si="11"/>
        <v>0</v>
      </c>
      <c r="N25" s="7">
        <f t="shared" si="11"/>
        <v>0</v>
      </c>
      <c r="O25" s="7">
        <f t="shared" si="11"/>
        <v>0</v>
      </c>
      <c r="P25" s="7">
        <f t="shared" si="11"/>
        <v>0</v>
      </c>
      <c r="Q25" s="7"/>
    </row>
    <row r="26" spans="1:17">
      <c r="A26" s="8">
        <f t="shared" si="4"/>
        <v>-6</v>
      </c>
      <c r="C26" s="7">
        <f t="shared" si="2"/>
        <v>0</v>
      </c>
      <c r="D26" s="7">
        <f t="shared" si="2"/>
        <v>0</v>
      </c>
      <c r="E26" s="7">
        <f t="shared" si="2"/>
        <v>0</v>
      </c>
      <c r="F26" s="7">
        <f t="shared" si="2"/>
        <v>0</v>
      </c>
      <c r="G26" s="7">
        <f t="shared" si="2"/>
        <v>0</v>
      </c>
      <c r="H26" s="7">
        <f t="shared" si="2"/>
        <v>0</v>
      </c>
      <c r="I26" s="7"/>
      <c r="J26" s="8">
        <f t="shared" si="5"/>
        <v>-7</v>
      </c>
      <c r="K26" s="7">
        <f t="shared" si="6"/>
        <v>0</v>
      </c>
      <c r="L26" s="7">
        <f t="shared" ref="L26:P26" si="12">IFERROR($B13*L13,0)</f>
        <v>0</v>
      </c>
      <c r="M26" s="7">
        <f t="shared" si="12"/>
        <v>0</v>
      </c>
      <c r="N26" s="7">
        <f t="shared" si="12"/>
        <v>0</v>
      </c>
      <c r="O26" s="7">
        <f t="shared" si="12"/>
        <v>0</v>
      </c>
      <c r="P26" s="7">
        <f t="shared" si="12"/>
        <v>0</v>
      </c>
      <c r="Q26" s="7"/>
    </row>
    <row r="27" spans="1:17">
      <c r="A27" s="8">
        <f t="shared" si="4"/>
        <v>-7</v>
      </c>
      <c r="C27" s="7">
        <f t="shared" si="2"/>
        <v>0</v>
      </c>
      <c r="D27" s="7">
        <f t="shared" si="2"/>
        <v>0</v>
      </c>
      <c r="E27" s="7">
        <f t="shared" si="2"/>
        <v>0</v>
      </c>
      <c r="F27" s="7">
        <f t="shared" si="2"/>
        <v>0</v>
      </c>
      <c r="G27" s="7">
        <f t="shared" si="2"/>
        <v>0</v>
      </c>
      <c r="H27" s="7">
        <f t="shared" si="2"/>
        <v>0</v>
      </c>
      <c r="I27" s="7"/>
      <c r="J27" s="8">
        <f t="shared" si="5"/>
        <v>-8</v>
      </c>
      <c r="K27" s="7">
        <f t="shared" si="6"/>
        <v>0</v>
      </c>
      <c r="L27" s="7">
        <f t="shared" ref="L27:P27" si="13">IFERROR($B14*L14,0)</f>
        <v>0</v>
      </c>
      <c r="M27" s="7">
        <f t="shared" si="13"/>
        <v>0</v>
      </c>
      <c r="N27" s="7">
        <f t="shared" si="13"/>
        <v>0</v>
      </c>
      <c r="O27" s="7">
        <f t="shared" si="13"/>
        <v>0</v>
      </c>
      <c r="P27" s="7">
        <f t="shared" si="13"/>
        <v>0</v>
      </c>
      <c r="Q27" s="7"/>
    </row>
    <row r="28" spans="1:17">
      <c r="A28" s="8">
        <f t="shared" si="4"/>
        <v>-8</v>
      </c>
      <c r="C28" s="7">
        <f t="shared" si="2"/>
        <v>0</v>
      </c>
      <c r="D28" s="7">
        <f t="shared" si="2"/>
        <v>0</v>
      </c>
      <c r="E28" s="7">
        <f t="shared" si="2"/>
        <v>0</v>
      </c>
      <c r="F28" s="7">
        <f t="shared" si="2"/>
        <v>0</v>
      </c>
      <c r="G28" s="7">
        <f t="shared" si="2"/>
        <v>0</v>
      </c>
      <c r="H28" s="7">
        <f t="shared" si="2"/>
        <v>0</v>
      </c>
      <c r="I28" s="7"/>
      <c r="J28" s="8">
        <f t="shared" si="5"/>
        <v>-9</v>
      </c>
      <c r="K28" s="7">
        <f t="shared" si="6"/>
        <v>0</v>
      </c>
      <c r="L28" s="7">
        <f t="shared" ref="L28:P28" si="14">IFERROR($B15*L15,0)</f>
        <v>0</v>
      </c>
      <c r="M28" s="7">
        <f t="shared" si="14"/>
        <v>0</v>
      </c>
      <c r="N28" s="7">
        <f t="shared" si="14"/>
        <v>0</v>
      </c>
      <c r="O28" s="7">
        <f t="shared" si="14"/>
        <v>0</v>
      </c>
      <c r="P28" s="7">
        <f t="shared" si="14"/>
        <v>0</v>
      </c>
      <c r="Q28" s="7"/>
    </row>
    <row r="29" spans="1:17">
      <c r="A29" s="8">
        <f t="shared" si="4"/>
        <v>-9</v>
      </c>
      <c r="C29" s="7">
        <f t="shared" si="2"/>
        <v>0</v>
      </c>
      <c r="D29" s="7">
        <f t="shared" si="2"/>
        <v>0</v>
      </c>
      <c r="E29" s="7">
        <f t="shared" si="2"/>
        <v>0</v>
      </c>
      <c r="F29" s="7">
        <f t="shared" si="2"/>
        <v>0</v>
      </c>
      <c r="G29" s="7">
        <f t="shared" si="2"/>
        <v>0</v>
      </c>
      <c r="H29" s="7">
        <f t="shared" si="2"/>
        <v>0</v>
      </c>
      <c r="I29" s="7"/>
      <c r="J29" s="8">
        <f t="shared" si="5"/>
        <v>-10</v>
      </c>
      <c r="K29" s="7">
        <f t="shared" si="6"/>
        <v>0</v>
      </c>
      <c r="L29" s="7">
        <f t="shared" ref="L29:P29" si="15">IFERROR($B16*L16,0)</f>
        <v>0</v>
      </c>
      <c r="M29" s="7">
        <f t="shared" si="15"/>
        <v>0</v>
      </c>
      <c r="N29" s="7">
        <f t="shared" si="15"/>
        <v>0</v>
      </c>
      <c r="O29" s="7">
        <f t="shared" si="15"/>
        <v>0</v>
      </c>
      <c r="P29" s="7">
        <f t="shared" si="15"/>
        <v>0</v>
      </c>
      <c r="Q29" s="7"/>
    </row>
    <row r="30" spans="1:17">
      <c r="A30" s="902">
        <f t="shared" si="4"/>
        <v>-10</v>
      </c>
      <c r="B30" s="900"/>
      <c r="C30" s="900">
        <f t="shared" si="2"/>
        <v>0</v>
      </c>
      <c r="D30" s="900">
        <f t="shared" si="2"/>
        <v>0</v>
      </c>
      <c r="E30" s="900">
        <f t="shared" si="2"/>
        <v>0</v>
      </c>
      <c r="F30" s="900">
        <f t="shared" si="2"/>
        <v>0</v>
      </c>
      <c r="G30" s="900">
        <f t="shared" si="2"/>
        <v>0</v>
      </c>
      <c r="H30" s="900">
        <f t="shared" si="2"/>
        <v>0</v>
      </c>
      <c r="I30" s="900"/>
      <c r="J30" s="902">
        <f t="shared" si="5"/>
        <v>-11</v>
      </c>
      <c r="K30" s="900">
        <f t="shared" si="6"/>
        <v>0</v>
      </c>
      <c r="L30" s="900">
        <f t="shared" ref="L30:P30" si="16">IFERROR($B17*L17,0)</f>
        <v>0</v>
      </c>
      <c r="M30" s="900">
        <f t="shared" si="16"/>
        <v>0</v>
      </c>
      <c r="N30" s="900">
        <f t="shared" si="16"/>
        <v>0</v>
      </c>
      <c r="O30" s="900">
        <f t="shared" si="16"/>
        <v>0</v>
      </c>
      <c r="P30" s="900">
        <f t="shared" si="16"/>
        <v>0</v>
      </c>
      <c r="Q30" s="7"/>
    </row>
    <row r="31" spans="1:17">
      <c r="A31" s="372" t="s">
        <v>511</v>
      </c>
      <c r="B31" s="372"/>
      <c r="C31" s="372">
        <f t="shared" ref="C31:H31" si="17">SUM(C20:C30)</f>
        <v>0</v>
      </c>
      <c r="D31" s="372">
        <f t="shared" si="17"/>
        <v>0</v>
      </c>
      <c r="E31" s="372">
        <f t="shared" si="17"/>
        <v>0</v>
      </c>
      <c r="F31" s="372">
        <f t="shared" si="17"/>
        <v>0</v>
      </c>
      <c r="G31" s="372">
        <f t="shared" si="17"/>
        <v>0</v>
      </c>
      <c r="H31" s="372">
        <f t="shared" si="17"/>
        <v>0</v>
      </c>
      <c r="I31" s="372"/>
      <c r="J31" s="372" t="s">
        <v>511</v>
      </c>
      <c r="K31" s="372">
        <f t="shared" ref="K31:P31" si="18">SUM(K20:K30)</f>
        <v>0</v>
      </c>
      <c r="L31" s="372">
        <f t="shared" si="18"/>
        <v>0</v>
      </c>
      <c r="M31" s="372">
        <f t="shared" si="18"/>
        <v>0</v>
      </c>
      <c r="N31" s="372">
        <f t="shared" si="18"/>
        <v>0</v>
      </c>
      <c r="O31" s="372">
        <f t="shared" si="18"/>
        <v>0</v>
      </c>
      <c r="P31" s="372">
        <f t="shared" si="18"/>
        <v>0</v>
      </c>
      <c r="Q31" s="7"/>
    </row>
    <row r="33" spans="1:16">
      <c r="A33" s="898" t="s">
        <v>512</v>
      </c>
      <c r="B33" s="898"/>
      <c r="C33" s="898"/>
      <c r="D33" s="898"/>
      <c r="E33" s="898"/>
      <c r="F33" s="898"/>
      <c r="G33" s="898"/>
      <c r="H33" s="898"/>
      <c r="I33" s="898"/>
      <c r="J33" s="503" t="s">
        <v>712</v>
      </c>
      <c r="K33" s="898"/>
      <c r="L33" s="898"/>
      <c r="M33" s="898"/>
      <c r="N33" s="898"/>
      <c r="O33" s="898"/>
      <c r="P33" s="898"/>
    </row>
    <row r="34" spans="1:16">
      <c r="A34" s="8">
        <f t="shared" ref="A34:A43" si="19">A21</f>
        <v>-1</v>
      </c>
      <c r="C34" s="7">
        <f>IFERROR(IF($A34&lt;0,1/B4*C8,0),0)</f>
        <v>0</v>
      </c>
      <c r="D34" s="7">
        <f>IFERROR(IF($A34&lt;0,1/B4*D8,0),0)</f>
        <v>0</v>
      </c>
      <c r="E34" s="7">
        <f>IFERROR(IF($A34&lt;0,1/B4*E8,0),0)</f>
        <v>0</v>
      </c>
      <c r="F34" s="7">
        <f>IFERROR(IF($A34&lt;0,1/B4*F8,0),0)</f>
        <v>0</v>
      </c>
      <c r="G34" s="7">
        <f>IFERROR(IF($A34&lt;0,1/B4*G8,0),0)</f>
        <v>0</v>
      </c>
      <c r="H34" s="7">
        <f>IFERROR(IF($A34&lt;0,1/B4*H8,0),0)</f>
        <v>0</v>
      </c>
      <c r="I34" s="7"/>
      <c r="J34" s="8">
        <f>J21</f>
        <v>-2</v>
      </c>
      <c r="K34" s="7">
        <f>IFERROR(IF($A34&lt;0,1/B4*K8,0),0)</f>
        <v>0</v>
      </c>
      <c r="L34" s="7">
        <f>IFERROR(IF($A34&lt;0,1/B4*L8,0),0)</f>
        <v>0</v>
      </c>
      <c r="M34" s="7">
        <f>IFERROR(IF($A34&lt;0,1/B4*M8,0),0)</f>
        <v>0</v>
      </c>
      <c r="N34" s="7">
        <f>IFERROR(IF($A34&lt;0,1/B4*N8,0),0)</f>
        <v>0</v>
      </c>
      <c r="O34" s="7">
        <f>IFERROR(IF($A34&lt;0,1/B4*O8,0),0)</f>
        <v>0</v>
      </c>
      <c r="P34" s="7">
        <f>IFERROR(IF($A34&lt;0,1/B4*P8,0),0)</f>
        <v>0</v>
      </c>
    </row>
    <row r="35" spans="1:16">
      <c r="A35" s="8">
        <f t="shared" si="19"/>
        <v>-2</v>
      </c>
      <c r="C35" s="7">
        <f>IFERROR(IF($A35&lt;0,1/B4*C9,0),0)</f>
        <v>0</v>
      </c>
      <c r="D35" s="7">
        <f>IFERROR(IF($A35&lt;0,1/B4*D9,0),0)</f>
        <v>0</v>
      </c>
      <c r="E35" s="7">
        <f>IFERROR(IF($A35&lt;0,1/B4*E9,0),0)</f>
        <v>0</v>
      </c>
      <c r="F35" s="7">
        <f>IFERROR(IF($A35&lt;0,1/B4*F9,0),0)</f>
        <v>0</v>
      </c>
      <c r="G35" s="7">
        <f>IFERROR(IF($A35&lt;0,1/B4*G9,0),0)</f>
        <v>0</v>
      </c>
      <c r="H35" s="7">
        <f>IFERROR(IF($A35&lt;0,1/B4*H9,0),0)</f>
        <v>0</v>
      </c>
      <c r="I35" s="7"/>
      <c r="J35" s="8">
        <f t="shared" ref="J35:J43" si="20">J22</f>
        <v>-3</v>
      </c>
      <c r="K35" s="7">
        <f>IFERROR(IF($A35&lt;0,1/B4*K9,0),0)</f>
        <v>0</v>
      </c>
      <c r="L35" s="7">
        <f>IFERROR(IF($A35&lt;0,1/B4*L9,0),0)</f>
        <v>0</v>
      </c>
      <c r="M35" s="7">
        <f>IFERROR(IF($A35&lt;0,1/B4*M9,0),0)</f>
        <v>0</v>
      </c>
      <c r="N35" s="7">
        <f>IFERROR(IF($A35&lt;0,1/B4*N9,0),0)</f>
        <v>0</v>
      </c>
      <c r="O35" s="7">
        <f>IFERROR(IF($A35&lt;0,1/B4*O9,0),0)</f>
        <v>0</v>
      </c>
      <c r="P35" s="7">
        <f>IFERROR(IF($A35&lt;0,1/B4*P9,0),0)</f>
        <v>0</v>
      </c>
    </row>
    <row r="36" spans="1:16">
      <c r="A36" s="8">
        <f t="shared" si="19"/>
        <v>-3</v>
      </c>
      <c r="C36" s="7">
        <f>IFERROR(IF($A36&lt;0,1/B4*C10,0),0)</f>
        <v>0</v>
      </c>
      <c r="D36" s="7">
        <f>IFERROR(IF($A36&lt;0,1/B4*D10,0),0)</f>
        <v>0</v>
      </c>
      <c r="E36" s="7">
        <f>IFERROR(IF($A36&lt;0,1/B4*E10,0),0)</f>
        <v>0</v>
      </c>
      <c r="F36" s="7">
        <f>IFERROR(IF($A36&lt;0,1/B4*F10,0),0)</f>
        <v>0</v>
      </c>
      <c r="G36" s="7">
        <f>IFERROR(IF($A36&lt;0,1/B4*G10,0),0)</f>
        <v>0</v>
      </c>
      <c r="H36" s="7">
        <f>IFERROR(IF($A36&lt;0,1/B4*H10,0),0)</f>
        <v>0</v>
      </c>
      <c r="I36" s="7"/>
      <c r="J36" s="8">
        <f t="shared" si="20"/>
        <v>-4</v>
      </c>
      <c r="K36" s="7">
        <f>IFERROR(IF($A36&lt;0,1/B4*K10,0),0)</f>
        <v>0</v>
      </c>
      <c r="L36" s="7">
        <f>IFERROR(IF($A36&lt;0,1/B4*L10,0),0)</f>
        <v>0</v>
      </c>
      <c r="M36" s="7">
        <f>IFERROR(IF($A36&lt;0,1/B4*M10,0),0)</f>
        <v>0</v>
      </c>
      <c r="N36" s="7">
        <f>IFERROR(IF($A36&lt;0,1/B4*N10,0),0)</f>
        <v>0</v>
      </c>
      <c r="O36" s="7">
        <f>IFERROR(IF($A36&lt;0,1/B4*O10,0),0)</f>
        <v>0</v>
      </c>
      <c r="P36" s="7">
        <f>IFERROR(IF($A36&lt;0,1/B4*P10,0),0)</f>
        <v>0</v>
      </c>
    </row>
    <row r="37" spans="1:16">
      <c r="A37" s="8">
        <f t="shared" si="19"/>
        <v>-4</v>
      </c>
      <c r="C37" s="7">
        <f>IFERROR(IF($A37&lt;0,1/B4*C11,0),0)</f>
        <v>0</v>
      </c>
      <c r="D37" s="7">
        <f>IFERROR(IF($A37&lt;0,1/B4*D11,0),0)</f>
        <v>0</v>
      </c>
      <c r="E37" s="7">
        <f>IFERROR(IF($A37&lt;0,1/B4*E11,0),0)</f>
        <v>0</v>
      </c>
      <c r="F37" s="7">
        <f>IFERROR(IF($A37&lt;0,1/B4*F11,0),0)</f>
        <v>0</v>
      </c>
      <c r="G37" s="7">
        <f>IFERROR(IF($A37&lt;0,1/B4*G11,0),0)</f>
        <v>0</v>
      </c>
      <c r="H37" s="7">
        <f>IFERROR(IF($A37&lt;0,1/B4*H11,0),0)</f>
        <v>0</v>
      </c>
      <c r="I37" s="7"/>
      <c r="J37" s="8">
        <f t="shared" si="20"/>
        <v>-5</v>
      </c>
      <c r="K37" s="7">
        <f>IFERROR(IF($A37&lt;0,1/B4*K11,0),0)</f>
        <v>0</v>
      </c>
      <c r="L37" s="7">
        <f>IFERROR(IF($A37&lt;0,1/B4*L11,0),0)</f>
        <v>0</v>
      </c>
      <c r="M37" s="7">
        <f>IFERROR(IF($A37&lt;0,1/B4*M11,0),0)</f>
        <v>0</v>
      </c>
      <c r="N37" s="7">
        <f>IFERROR(IF($A37&lt;0,1/B4*N11,0),0)</f>
        <v>0</v>
      </c>
      <c r="O37" s="7">
        <f>IFERROR(IF($A37&lt;0,1/B4*O11,0),0)</f>
        <v>0</v>
      </c>
      <c r="P37" s="7">
        <f>IFERROR(IF($A37&lt;0,1/B4*P11,0),0)</f>
        <v>0</v>
      </c>
    </row>
    <row r="38" spans="1:16">
      <c r="A38" s="8">
        <f t="shared" si="19"/>
        <v>-5</v>
      </c>
      <c r="C38" s="7">
        <f>IFERROR(IF($A38&lt;0,1/B4*C12,0),0)</f>
        <v>0</v>
      </c>
      <c r="D38" s="7">
        <f>IFERROR(IF($A38&lt;0,1/B4*D12,0),0)</f>
        <v>0</v>
      </c>
      <c r="E38" s="7">
        <f>IFERROR(IF($A38&lt;0,1/B4*E12,0),0)</f>
        <v>0</v>
      </c>
      <c r="F38" s="7">
        <f>IFERROR(IF($A38&lt;0,1/B4*F12,0),0)</f>
        <v>0</v>
      </c>
      <c r="G38" s="7">
        <f>IFERROR(IF($A38&lt;0,1/B4*G12,0),0)</f>
        <v>0</v>
      </c>
      <c r="H38" s="7">
        <f>IFERROR(IF($A38&lt;0,1/B4*H12,0),0)</f>
        <v>0</v>
      </c>
      <c r="I38" s="7"/>
      <c r="J38" s="8">
        <f t="shared" si="20"/>
        <v>-6</v>
      </c>
      <c r="K38" s="7">
        <f>IFERROR(IF($A38&lt;0,1/B4*K12,0),0)</f>
        <v>0</v>
      </c>
      <c r="L38" s="7">
        <f>IFERROR(IF($A38&lt;0,1/B4*L12,0),0)</f>
        <v>0</v>
      </c>
      <c r="M38" s="7">
        <f>IFERROR(IF($A38&lt;0,1/B4*M12,0),0)</f>
        <v>0</v>
      </c>
      <c r="N38" s="7">
        <f>IFERROR(IF($A38&lt;0,1/B4*N12,0),0)</f>
        <v>0</v>
      </c>
      <c r="O38" s="7">
        <f>IFERROR(IF($A38&lt;0,1/B4*O12,0),0)</f>
        <v>0</v>
      </c>
      <c r="P38" s="7">
        <f>IFERROR(IF($A38&lt;0,1/B4*P12,0),0)</f>
        <v>0</v>
      </c>
    </row>
    <row r="39" spans="1:16">
      <c r="A39" s="8">
        <f t="shared" si="19"/>
        <v>-6</v>
      </c>
      <c r="C39" s="7">
        <f>IFERROR(IF($A39&lt;0,1/B4*C13,0),0)</f>
        <v>0</v>
      </c>
      <c r="D39" s="7">
        <f>IFERROR(IF($A39&lt;0,1/B4*D13,0),0)</f>
        <v>0</v>
      </c>
      <c r="E39" s="7">
        <f>IFERROR(IF($A39&lt;0,1/B4*E13,0),0)</f>
        <v>0</v>
      </c>
      <c r="F39" s="7">
        <f>IFERROR(IF($A39&lt;0,1/B4*F13,0),0)</f>
        <v>0</v>
      </c>
      <c r="G39" s="7">
        <f>IFERROR(IF($A39&lt;0,1/B4*G13,0),0)</f>
        <v>0</v>
      </c>
      <c r="H39" s="7">
        <f>IFERROR(IF($A39&lt;0,1/B4*H13,0),0)</f>
        <v>0</v>
      </c>
      <c r="I39" s="7"/>
      <c r="J39" s="8">
        <f t="shared" si="20"/>
        <v>-7</v>
      </c>
      <c r="K39" s="7">
        <f>IFERROR(IF($A39&lt;0,1/B4*K13,0),0)</f>
        <v>0</v>
      </c>
      <c r="L39" s="7">
        <f>IFERROR(IF($A39&lt;0,1/B4*L13,0),0)</f>
        <v>0</v>
      </c>
      <c r="M39" s="7">
        <f>IFERROR(IF($A39&lt;0,1/B4*M13,0),0)</f>
        <v>0</v>
      </c>
      <c r="N39" s="7">
        <f>IFERROR(IF($A39&lt;0,1/B4*N13,0),0)</f>
        <v>0</v>
      </c>
      <c r="O39" s="7">
        <f>IFERROR(IF($A39&lt;0,1/B4*O13,0),0)</f>
        <v>0</v>
      </c>
      <c r="P39" s="7">
        <f>IFERROR(IF($A39&lt;0,1/B4*P13,0),0)</f>
        <v>0</v>
      </c>
    </row>
    <row r="40" spans="1:16">
      <c r="A40" s="8">
        <f t="shared" si="19"/>
        <v>-7</v>
      </c>
      <c r="C40" s="7">
        <f>IFERROR(IF($A40&lt;0,1/B4*C14,0),0)</f>
        <v>0</v>
      </c>
      <c r="D40" s="7">
        <f>IFERROR(IF($A40&lt;0,1/B4*D14,0),0)</f>
        <v>0</v>
      </c>
      <c r="E40" s="7">
        <f>IFERROR(IF($A40&lt;0,1/B4*E14,0),0)</f>
        <v>0</v>
      </c>
      <c r="F40" s="7">
        <f>IFERROR(IF($A40&lt;0,1/B4*F14,0),0)</f>
        <v>0</v>
      </c>
      <c r="G40" s="7">
        <f>IFERROR(IF($A40&lt;0,1/B4*G14,0),0)</f>
        <v>0</v>
      </c>
      <c r="H40" s="7">
        <f>IFERROR(IF($A40&lt;0,1/B4*H14,0),0)</f>
        <v>0</v>
      </c>
      <c r="I40" s="7"/>
      <c r="J40" s="8">
        <f t="shared" si="20"/>
        <v>-8</v>
      </c>
      <c r="K40" s="7">
        <f>IFERROR(IF($A40&lt;0,1/B4*K14,0),0)</f>
        <v>0</v>
      </c>
      <c r="L40" s="7">
        <f>IFERROR(IF($A40&lt;0,1/B4*L14,0),0)</f>
        <v>0</v>
      </c>
      <c r="M40" s="7">
        <f>IFERROR(IF($A40&lt;0,1/B4*M14,0),0)</f>
        <v>0</v>
      </c>
      <c r="N40" s="7">
        <f>IFERROR(IF($A40&lt;0,1/B4*N14,0),0)</f>
        <v>0</v>
      </c>
      <c r="O40" s="7">
        <f>IFERROR(IF($A40&lt;0,1/B4*O14,0),0)</f>
        <v>0</v>
      </c>
      <c r="P40" s="7">
        <f>IFERROR(IF($A40&lt;0,1/B4*P14,0),0)</f>
        <v>0</v>
      </c>
    </row>
    <row r="41" spans="1:16">
      <c r="A41" s="8">
        <f t="shared" si="19"/>
        <v>-8</v>
      </c>
      <c r="C41" s="7">
        <f>IFERROR(IF($A41&lt;0,1/B4*C15,0),0)</f>
        <v>0</v>
      </c>
      <c r="D41" s="7">
        <f>IFERROR(IF($A41&lt;0,1/B4*D15,0),0)</f>
        <v>0</v>
      </c>
      <c r="E41" s="7">
        <f>IFERROR(IF($A41&lt;0,1/B4*E15,0),0)</f>
        <v>0</v>
      </c>
      <c r="F41" s="7">
        <f>IFERROR(IF($A41&lt;0,1/B4*F15,0),0)</f>
        <v>0</v>
      </c>
      <c r="G41" s="7">
        <f>IFERROR(IF($A41&lt;0,1/B4*G15,0),0)</f>
        <v>0</v>
      </c>
      <c r="H41" s="7">
        <f>IFERROR(IF($A41&lt;0,1/B4*H15,0),0)</f>
        <v>0</v>
      </c>
      <c r="I41" s="7"/>
      <c r="J41" s="8">
        <f t="shared" si="20"/>
        <v>-9</v>
      </c>
      <c r="K41" s="7">
        <f>IFERROR(IF($A41&lt;0,1/B4*K15,0),0)</f>
        <v>0</v>
      </c>
      <c r="L41" s="7">
        <f>IFERROR(IF($A41&lt;0,1/B4*L15,0),0)</f>
        <v>0</v>
      </c>
      <c r="M41" s="7">
        <f>IFERROR(IF($A41&lt;0,1/B4*M15,0),0)</f>
        <v>0</v>
      </c>
      <c r="N41" s="7">
        <f>IFERROR(IF($A41&lt;0,1/B4*N15,0),0)</f>
        <v>0</v>
      </c>
      <c r="O41" s="7">
        <f>IFERROR(IF($A41&lt;0,1/B4*O15,0),0)</f>
        <v>0</v>
      </c>
      <c r="P41" s="7">
        <f>IFERROR(IF($A41&lt;0,1/B4*P15,0),0)</f>
        <v>0</v>
      </c>
    </row>
    <row r="42" spans="1:16">
      <c r="A42" s="8">
        <f t="shared" si="19"/>
        <v>-9</v>
      </c>
      <c r="C42" s="7">
        <f>IFERROR(IF($A42&lt;0,1/B4*C16,0),0)</f>
        <v>0</v>
      </c>
      <c r="D42" s="7">
        <f>IFERROR(IF($A42&lt;0,1/B4*D16,0),0)</f>
        <v>0</v>
      </c>
      <c r="E42" s="7">
        <f>IFERROR(IF($A42&lt;0,1/B4*E16,0),0)</f>
        <v>0</v>
      </c>
      <c r="F42" s="7">
        <f>IFERROR(IF($A42&lt;0,1/B4*F16,0),0)</f>
        <v>0</v>
      </c>
      <c r="G42" s="7">
        <f>IFERROR(IF($A42&lt;0,1/B4*G16,0),0)</f>
        <v>0</v>
      </c>
      <c r="H42" s="7">
        <f>IFERROR(IF($A42&lt;0,1/B4*H16,0),0)</f>
        <v>0</v>
      </c>
      <c r="I42" s="7"/>
      <c r="J42" s="8">
        <f t="shared" si="20"/>
        <v>-10</v>
      </c>
      <c r="K42" s="7">
        <f>IFERROR(IF($A42&lt;0,1/B4*K16,0),0)</f>
        <v>0</v>
      </c>
      <c r="L42" s="7">
        <f>IFERROR(IF($A42&lt;0,1/B4*L16,0),0)</f>
        <v>0</v>
      </c>
      <c r="M42" s="7">
        <f>IFERROR(IF($A42&lt;0,1/B4*M16,0),0)</f>
        <v>0</v>
      </c>
      <c r="N42" s="7">
        <f>IFERROR(IF($A42&lt;0,1/B4*N16,0),0)</f>
        <v>0</v>
      </c>
      <c r="O42" s="7">
        <f>IFERROR(IF($A42&lt;0,1/B4*O16,0),0)</f>
        <v>0</v>
      </c>
      <c r="P42" s="7">
        <f>IFERROR(IF($A42&lt;0,1/B4*P16,0),0)</f>
        <v>0</v>
      </c>
    </row>
    <row r="43" spans="1:16">
      <c r="A43" s="902">
        <f t="shared" si="19"/>
        <v>-10</v>
      </c>
      <c r="B43" s="900"/>
      <c r="C43" s="900">
        <f>IFERROR(IF($A43&lt;0,1/B4*C17,0),0)</f>
        <v>0</v>
      </c>
      <c r="D43" s="900">
        <f>IFERROR(IF($A43&lt;0,1/B4*D17,0),0)</f>
        <v>0</v>
      </c>
      <c r="E43" s="900">
        <f>IFERROR(IF($A43&lt;0,1/B4*E17,0),0)</f>
        <v>0</v>
      </c>
      <c r="F43" s="900">
        <f>IFERROR(IF($A43&lt;0,1/B4*F17,0),0)</f>
        <v>0</v>
      </c>
      <c r="G43" s="900">
        <f>IFERROR(IF($A43&lt;0,1/B4*G17,0),0)</f>
        <v>0</v>
      </c>
      <c r="H43" s="900">
        <f>IFERROR(IF($A43&lt;0,1/B4*H17,0),0)</f>
        <v>0</v>
      </c>
      <c r="I43" s="900"/>
      <c r="J43" s="902">
        <f t="shared" si="20"/>
        <v>-11</v>
      </c>
      <c r="K43" s="900">
        <f>IFERROR(IF($A43&lt;0,1/B4*K17,0),0)</f>
        <v>0</v>
      </c>
      <c r="L43" s="900">
        <f>IFERROR(IF($A43&lt;0,1/B4*L17,0),0)</f>
        <v>0</v>
      </c>
      <c r="M43" s="900">
        <f>IFERROR(IF($A43&lt;0,1/B4*M17,0),0)</f>
        <v>0</v>
      </c>
      <c r="N43" s="900">
        <f>IFERROR(IF($A43&lt;0,1/B4*N17,0),0)</f>
        <v>0</v>
      </c>
      <c r="O43" s="900">
        <f>IFERROR(IF($A43&lt;0,1/B4*O17,0),0)</f>
        <v>0</v>
      </c>
      <c r="P43" s="900">
        <f>IFERROR(IF($A43&lt;0,1/B4*P17,0),0)</f>
        <v>0</v>
      </c>
    </row>
    <row r="44" spans="1:16">
      <c r="A44" s="911" t="s">
        <v>713</v>
      </c>
      <c r="B44" s="911"/>
      <c r="C44" s="911">
        <f t="shared" ref="C44:H44" si="21">SUM(C33:C43)</f>
        <v>0</v>
      </c>
      <c r="D44" s="911">
        <f t="shared" si="21"/>
        <v>0</v>
      </c>
      <c r="E44" s="911">
        <f t="shared" si="21"/>
        <v>0</v>
      </c>
      <c r="F44" s="911">
        <f t="shared" si="21"/>
        <v>0</v>
      </c>
      <c r="G44" s="911">
        <f t="shared" si="21"/>
        <v>0</v>
      </c>
      <c r="H44" s="911">
        <f t="shared" si="21"/>
        <v>0</v>
      </c>
      <c r="I44" s="911"/>
      <c r="J44" s="913"/>
      <c r="K44" s="911">
        <f t="shared" ref="K44:P44" si="22">SUM(K33:K43)</f>
        <v>0</v>
      </c>
      <c r="L44" s="911">
        <f t="shared" si="22"/>
        <v>0</v>
      </c>
      <c r="M44" s="911">
        <f t="shared" si="22"/>
        <v>0</v>
      </c>
      <c r="N44" s="911">
        <f t="shared" si="22"/>
        <v>0</v>
      </c>
      <c r="O44" s="911">
        <f t="shared" si="22"/>
        <v>0</v>
      </c>
      <c r="P44" s="911">
        <f t="shared" si="22"/>
        <v>0</v>
      </c>
    </row>
    <row r="45" spans="1:16">
      <c r="A45" s="911" t="s">
        <v>714</v>
      </c>
      <c r="B45" s="911"/>
      <c r="C45" s="911">
        <f t="shared" ref="C45:H45" si="23">C20-C44</f>
        <v>0</v>
      </c>
      <c r="D45" s="911">
        <f t="shared" si="23"/>
        <v>0</v>
      </c>
      <c r="E45" s="911">
        <f t="shared" si="23"/>
        <v>0</v>
      </c>
      <c r="F45" s="911">
        <f t="shared" si="23"/>
        <v>0</v>
      </c>
      <c r="G45" s="911">
        <f t="shared" si="23"/>
        <v>0</v>
      </c>
      <c r="H45" s="911">
        <f t="shared" si="23"/>
        <v>0</v>
      </c>
      <c r="I45" s="911"/>
      <c r="J45" s="911"/>
      <c r="K45" s="911">
        <f t="shared" ref="K45:P45" si="24">K20-K44</f>
        <v>0</v>
      </c>
      <c r="L45" s="911">
        <f t="shared" si="24"/>
        <v>0</v>
      </c>
      <c r="M45" s="911">
        <f t="shared" si="24"/>
        <v>0</v>
      </c>
      <c r="N45" s="911">
        <f t="shared" si="24"/>
        <v>0</v>
      </c>
      <c r="O45" s="911">
        <f t="shared" si="24"/>
        <v>0</v>
      </c>
      <c r="P45" s="911">
        <f t="shared" si="24"/>
        <v>0</v>
      </c>
    </row>
    <row r="46" spans="1:16">
      <c r="C46" s="9"/>
      <c r="D46" s="9"/>
      <c r="E46" s="9"/>
      <c r="F46" s="9"/>
      <c r="G46" s="9"/>
      <c r="H46" s="9"/>
      <c r="I46" s="9"/>
      <c r="J46" s="9"/>
      <c r="K46" s="9"/>
      <c r="L46" s="9"/>
      <c r="M46" s="9"/>
      <c r="N46" s="9"/>
      <c r="O46" s="9"/>
      <c r="P46" s="9"/>
    </row>
  </sheetData>
  <mergeCells count="2">
    <mergeCell ref="C5:H5"/>
    <mergeCell ref="K5:P5"/>
  </mergeCells>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9">
    <tabColor theme="9" tint="0.59999389629810485"/>
  </sheetPr>
  <dimension ref="A1:O63"/>
  <sheetViews>
    <sheetView topLeftCell="A10" workbookViewId="0">
      <selection activeCell="H43" sqref="H43"/>
    </sheetView>
  </sheetViews>
  <sheetFormatPr defaultColWidth="11.28515625" defaultRowHeight="15"/>
  <cols>
    <col min="1" max="1" width="16.28515625" style="3" customWidth="1"/>
    <col min="2" max="2" width="11.28515625" style="3"/>
    <col min="3" max="3" width="12.85546875" style="3" customWidth="1"/>
    <col min="4" max="16384" width="11.28515625" style="3"/>
  </cols>
  <sheetData>
    <row r="1" spans="1:15" s="340" customFormat="1" ht="26.1" customHeight="1">
      <c r="A1" s="338" t="s">
        <v>730</v>
      </c>
      <c r="B1" s="339"/>
      <c r="C1" s="1094" t="s">
        <v>731</v>
      </c>
    </row>
    <row r="2" spans="1:15">
      <c r="A2" s="380" t="str">
        <f>'DAL-US IS-adj'!A2</f>
        <v>Ticker</v>
      </c>
      <c r="B2" s="7"/>
      <c r="C2" s="525" t="str">
        <f>'Industry Ratios'!A3</f>
        <v>DAL-US</v>
      </c>
      <c r="D2" s="525" t="str">
        <f>'Industry Ratios'!E3</f>
        <v>AC-CA</v>
      </c>
      <c r="E2" s="525" t="str">
        <f>'Industry Ratios'!F3</f>
        <v>AAL-US</v>
      </c>
      <c r="F2" s="525" t="str">
        <f>'Industry Ratios'!G3</f>
        <v>LUV-US</v>
      </c>
      <c r="G2" s="525" t="str">
        <f>'Industry Ratios'!H3</f>
        <v>ALK-US</v>
      </c>
      <c r="H2" s="525" t="str">
        <f>'Industry Ratios'!I3</f>
        <v>skyw-US</v>
      </c>
      <c r="I2" s="2"/>
      <c r="J2" s="1068" t="s">
        <v>732</v>
      </c>
      <c r="K2" s="1068"/>
      <c r="L2" s="1068"/>
      <c r="M2" s="1068"/>
      <c r="N2" s="2"/>
      <c r="O2" s="2"/>
    </row>
    <row r="3" spans="1:15">
      <c r="A3" s="928" t="s">
        <v>507</v>
      </c>
      <c r="B3" s="929"/>
      <c r="C3" s="929"/>
      <c r="D3" s="929"/>
      <c r="E3" s="929"/>
      <c r="F3" s="929"/>
      <c r="G3" s="930"/>
      <c r="H3" s="931"/>
    </row>
    <row r="4" spans="1:15">
      <c r="A4" s="5" t="s">
        <v>135</v>
      </c>
      <c r="B4" s="5"/>
      <c r="C4" s="10" cm="1">
        <f t="array" ref="C4">_xll.FDS(C2,"FF_SALES(ANN_R,0)")</f>
        <v>17095</v>
      </c>
      <c r="D4" s="10" cm="1">
        <f t="array" ref="D4">_xll.FDS(D2,"FF_SALES(ANN_R,0)")</f>
        <v>5833</v>
      </c>
      <c r="E4" s="10" cm="1">
        <f t="array" ref="E4">_xll.FDS(E2,"FF_SALES(ANN_R,0)")</f>
        <v>17337</v>
      </c>
      <c r="F4" s="10" cm="1">
        <f t="array" ref="F4">_xll.FDS(F2,"FF_SALES(ANN_R,0)")</f>
        <v>9048</v>
      </c>
      <c r="G4" s="10" cm="1">
        <f t="array" ref="G4">_xll.FDS(G2,"FF_SALES(ANN_R,0)")</f>
        <v>3566</v>
      </c>
      <c r="H4" s="10" cm="1">
        <f t="array" ref="H4">_xll.FDS(H2,"FF_SALES(ANN_R,0)")</f>
        <v>2127.1060000000002</v>
      </c>
    </row>
    <row r="5" spans="1:15">
      <c r="A5" s="5" t="s">
        <v>547</v>
      </c>
      <c r="B5" s="5"/>
      <c r="C5" s="10" cm="1">
        <f t="array" ref="C5">_xll.FDS(C2,"FF_COGS(ANN_R,0)")</f>
        <v>23631</v>
      </c>
      <c r="D5" s="10" cm="1">
        <f t="array" ref="D5">_xll.FDS(D2,"FF_COGS(ANN_R,0)")</f>
        <v>7660</v>
      </c>
      <c r="E5" s="10" cm="1">
        <f t="array" ref="E5">_xll.FDS(E2,"FF_COGS(ANN_R,0)")</f>
        <v>24655</v>
      </c>
      <c r="F5" s="10" cm="1">
        <f t="array" ref="F5">_xll.FDS(F2,"FF_COGS(ANN_R,0)")</f>
        <v>11835</v>
      </c>
      <c r="G5" s="10" cm="1">
        <f t="array" ref="G5">_xll.FDS(G2,"FF_COGS(ANN_R,0)")</f>
        <v>4749</v>
      </c>
      <c r="H5" s="10" cm="1">
        <f t="array" ref="H5">_xll.FDS(H2,"FF_COGS(ANN_R,0)")</f>
        <v>2140.998</v>
      </c>
    </row>
    <row r="6" spans="1:15">
      <c r="A6" s="1062" t="s">
        <v>733</v>
      </c>
      <c r="B6" s="1062"/>
      <c r="C6" s="1063" cm="1">
        <f t="array" ref="C6">_xll.FDS(C2,"FF_COGS(ANN_R,0)")+'Ind R&amp;D'!C44</f>
        <v>23631</v>
      </c>
      <c r="D6" s="1063" cm="1">
        <f t="array" ref="D6">_xll.FDS(D2,"FF_COGS(ANN_R,0)")+'Ind R&amp;D'!D44</f>
        <v>7660</v>
      </c>
      <c r="E6" s="1063" cm="1">
        <f t="array" ref="E6">_xll.FDS(E2,"FF_COGS(ANN_R,0)")+'Ind R&amp;D'!E44</f>
        <v>24655</v>
      </c>
      <c r="F6" s="1063" cm="1">
        <f t="array" ref="F6">_xll.FDS(F2,"FF_COGS(ANN_R,0)")+'Ind R&amp;D'!F44</f>
        <v>11835</v>
      </c>
      <c r="G6" s="1063" cm="1">
        <f t="array" ref="G6">_xll.FDS(G2,"FF_COGS(ANN_R,0)")+'Ind R&amp;D'!G44</f>
        <v>4749</v>
      </c>
      <c r="H6" s="1063" cm="1">
        <f t="array" ref="H6">_xll.FDS(H2,"FF_COGS(ANN_R,0)")+'Ind R&amp;D'!H44</f>
        <v>2140.998</v>
      </c>
    </row>
    <row r="7" spans="1:15">
      <c r="A7" s="5" t="s">
        <v>42</v>
      </c>
      <c r="B7" s="5"/>
      <c r="C7" s="10" cm="1">
        <f t="array" ref="C7">_xll.FDS(C2,"FF_SGA(ANN_R,0)")</f>
        <v>582</v>
      </c>
      <c r="D7" s="10" cm="1">
        <f t="array" ref="D7">_xll.FDS(D2,"FF_SGA(ANN_R,0)")</f>
        <v>2051</v>
      </c>
      <c r="E7" s="10" cm="1">
        <f t="array" ref="E7">_xll.FDS(E2,"FF_SGA(ANN_R,0)")</f>
        <v>666</v>
      </c>
      <c r="F7" s="10" cm="1">
        <f t="array" ref="F7">_xll.FDS(F2,"FF_SGA(ANN_R,0)")</f>
        <v>1926</v>
      </c>
      <c r="G7" s="10" cm="1">
        <f t="array" ref="G7">_xll.FDS(G2,"FF_SGA(ANN_R,0)")</f>
        <v>101</v>
      </c>
      <c r="H7" s="10" cm="1">
        <f t="array" ref="H7">_xll.FDS(H2,"FF_SGA(ANN_R,0)")</f>
        <v>222.797</v>
      </c>
    </row>
    <row r="8" spans="1:15">
      <c r="A8" s="1062" t="s">
        <v>734</v>
      </c>
      <c r="B8" s="1062"/>
      <c r="C8" s="1063" cm="1">
        <f t="array" ref="C8">_xll.FDS(C2,"FF_SGA(ANN_R,0)")-'Ind R&amp;D'!C7</f>
        <v>582</v>
      </c>
      <c r="D8" s="1063" cm="1">
        <f t="array" ref="D8">_xll.FDS(D2,"FF_SGA(ANN_R,0)")-'Ind R&amp;D'!D7</f>
        <v>2051</v>
      </c>
      <c r="E8" s="1063" cm="1">
        <f t="array" ref="E8">_xll.FDS(E2,"FF_SGA(ANN_R,0)")-'Ind R&amp;D'!E7</f>
        <v>666</v>
      </c>
      <c r="F8" s="1063" cm="1">
        <f t="array" ref="F8">_xll.FDS(F2,"FF_SGA(ANN_R,0)")-'Ind R&amp;D'!F7</f>
        <v>1926</v>
      </c>
      <c r="G8" s="1063" cm="1">
        <f t="array" ref="G8">_xll.FDS(G2,"FF_SGA(ANN_R,0)")-'Ind R&amp;D'!G7</f>
        <v>101</v>
      </c>
      <c r="H8" s="1063" cm="1">
        <f t="array" ref="H8">_xll.FDS(H2,"FF_SGA(ANN_R,0)")-'Ind R&amp;D'!H7</f>
        <v>222.797</v>
      </c>
    </row>
    <row r="9" spans="1:15">
      <c r="A9" s="5" t="s">
        <v>594</v>
      </c>
      <c r="B9" s="5"/>
      <c r="C9" s="10" cm="1">
        <f t="array" ref="C9">IFERROR(_xll.FDS(C2,"FF_INT_EXP_NET(ANN_R,0)"),0)</f>
        <v>929</v>
      </c>
      <c r="D9" s="10" cm="1">
        <f t="array" ref="D9">_xll.FDS(D2,"FF_INT_EXP_NET(ANN_R,0)")</f>
        <v>631</v>
      </c>
      <c r="E9" s="10" cm="1">
        <f t="array" ref="E9">_xll.FDS(E2,"FF_INT_EXP_NET(ANN_R,0)")</f>
        <v>1227</v>
      </c>
      <c r="F9" s="10" cm="1">
        <f t="array" ref="F9">_xll.FDS(F2,"FF_INT_EXP_NET(ANN_R,0)")</f>
        <v>302</v>
      </c>
      <c r="G9" s="10" cm="1">
        <f t="array" ref="G9">_xll.FDS(G2,"FF_INT_EXP_NET(ANN_R,0)")</f>
        <v>87</v>
      </c>
      <c r="H9" s="10" cm="1">
        <f t="array" ref="H9">_xll.FDS(H2,"FF_INT_EXP_NET(ANN_R,0)")</f>
        <v>123.173</v>
      </c>
    </row>
    <row r="10" spans="1:15">
      <c r="A10" s="1062" t="s">
        <v>735</v>
      </c>
      <c r="B10" s="1062"/>
      <c r="C10" s="1063" cm="1">
        <f t="array" ref="C10">_xll.FDS(C2,"FF_ASSETS(ANN_R,-1)")+C17+C44</f>
        <v>64532</v>
      </c>
      <c r="D10" s="1063" cm="1">
        <f t="array" ref="D10">_xll.FDS(D2,"FF_ASSETS(ANN_R,-1)")+D17+D44</f>
        <v>27759</v>
      </c>
      <c r="E10" s="1063" cm="1">
        <f t="array" ref="E10">_xll.FDS(E2,"FF_ASSETS(ANN_R,-1)")+E17+E44</f>
        <v>59995</v>
      </c>
      <c r="F10" s="1063" cm="1">
        <f t="array" ref="F10">_xll.FDS(F2,"FF_ASSETS(ANN_R,-1)")+F17+F44</f>
        <v>28553.123023395794</v>
      </c>
      <c r="G10" s="1063" cm="1">
        <f t="array" ref="G10">_xll.FDS(G2,"FF_ASSETS(ANN_R,-1)")+G17+G44</f>
        <v>15670.678047777699</v>
      </c>
      <c r="H10" s="1063" cm="1">
        <f t="array" ref="H10">_xll.FDS(H2,"FF_ASSETS(ANN_R,-1)")+H17+H44</f>
        <v>7029.5474207517927</v>
      </c>
    </row>
    <row r="11" spans="1:15">
      <c r="A11" s="1062" t="s">
        <v>736</v>
      </c>
      <c r="B11" s="1062"/>
      <c r="C11" s="1063">
        <f>C13+C16+C45</f>
        <v>71996</v>
      </c>
      <c r="D11" s="1063">
        <f t="shared" ref="D11:H11" si="0">D13+D16+D45</f>
        <v>28913</v>
      </c>
      <c r="E11" s="1063">
        <f t="shared" si="0"/>
        <v>62008</v>
      </c>
      <c r="F11" s="1063">
        <f t="shared" si="0"/>
        <v>36573</v>
      </c>
      <c r="G11" s="1063">
        <f t="shared" si="0"/>
        <v>15228</v>
      </c>
      <c r="H11" s="1063">
        <f t="shared" si="0"/>
        <v>7211.7619999999997</v>
      </c>
    </row>
    <row r="12" spans="1:15">
      <c r="A12" s="10" t="s">
        <v>737</v>
      </c>
      <c r="B12" s="10"/>
      <c r="C12" s="10" cm="1">
        <f t="array" ref="C12">_xll.FDS(C2,"FF_ASSETS(ANN_R,-1)")</f>
        <v>64532</v>
      </c>
      <c r="D12" s="10" cm="1">
        <f t="array" ref="D12">_xll.FDS(D2,"FF_ASSETS(ANN_R,-1)")</f>
        <v>27759</v>
      </c>
      <c r="E12" s="10" cm="1">
        <f t="array" ref="E12">_xll.FDS(E2,"FF_ASSETS(ANN_R,-1)")</f>
        <v>59995</v>
      </c>
      <c r="F12" s="10" cm="1">
        <f t="array" ref="F12">_xll.FDS(F2,"FF_ASSETS(ANN_R,-1)")</f>
        <v>27013</v>
      </c>
      <c r="G12" s="10" cm="1">
        <f t="array" ref="G12">_xll.FDS(G2,"FF_ASSETS(ANN_R,-1)")</f>
        <v>14001</v>
      </c>
      <c r="H12" s="10" cm="1">
        <f t="array" ref="H12">_xll.FDS(H2,"FF_ASSETS(ANN_R,-1)")</f>
        <v>6657.1289999999999</v>
      </c>
    </row>
    <row r="13" spans="1:15">
      <c r="A13" s="10" t="s">
        <v>738</v>
      </c>
      <c r="B13" s="10"/>
      <c r="C13" s="10" cm="1">
        <f t="array" ref="C13">_xll.FDS(C2,"FF_ASSETS(ANN_R,0)")</f>
        <v>71996</v>
      </c>
      <c r="D13" s="10" cm="1">
        <f t="array" ref="D13">_xll.FDS(D2,"FF_ASSETS(ANN_R,0)")</f>
        <v>28913</v>
      </c>
      <c r="E13" s="10" cm="1">
        <f t="array" ref="E13">_xll.FDS(E2,"FF_ASSETS(ANN_R,0)")</f>
        <v>62008</v>
      </c>
      <c r="F13" s="10" cm="1">
        <f t="array" ref="F13">_xll.FDS(F2,"FF_ASSETS(ANN_R,0)")</f>
        <v>36573</v>
      </c>
      <c r="G13" s="10" cm="1">
        <f t="array" ref="G13">_xll.FDS(G2,"FF_ASSETS(ANN_R,0)")</f>
        <v>15228</v>
      </c>
      <c r="H13" s="10" cm="1">
        <f t="array" ref="H13">_xll.FDS(H2,"FF_ASSETS(ANN_R,0)")</f>
        <v>7211.7619999999997</v>
      </c>
    </row>
    <row r="14" spans="1:15">
      <c r="A14" s="5" t="s">
        <v>739</v>
      </c>
      <c r="B14" s="5"/>
      <c r="C14" s="10" cm="1">
        <f t="array" ref="C14">_xll.FDS(C2,"FF_ASSETS_CURR(ANN_R,-1)")</f>
        <v>8249</v>
      </c>
      <c r="D14" s="10" cm="1">
        <f t="array" ref="D14">_xll.FDS(D2,"FF_ASSETS_CURR(ANN_R,-1)")</f>
        <v>7516</v>
      </c>
      <c r="E14" s="10" cm="1">
        <f t="array" ref="E14">_xll.FDS(E2,"FF_ASSETS_CURR(ANN_R,-1)")</f>
        <v>8206</v>
      </c>
      <c r="F14" s="10" cm="1">
        <f t="array" ref="F14">_xll.FDS(F2,"FF_ASSETS_CURR(ANN_R,-1)")</f>
        <v>5974</v>
      </c>
      <c r="G14" s="10" cm="1">
        <f t="array" ref="G14">_xll.FDS(G2,"FF_ASSETS_CURR(ANN_R,-1)")</f>
        <v>2037</v>
      </c>
      <c r="H14" s="10" cm="1">
        <f t="array" ref="H14">_xll.FDS(H2,"FF_ASSETS_CURR(ANN_R,-1)")</f>
        <v>760.346</v>
      </c>
    </row>
    <row r="15" spans="1:15">
      <c r="A15" s="5" t="s">
        <v>740</v>
      </c>
      <c r="B15" s="5"/>
      <c r="C15" s="10" cm="1">
        <f t="array" ref="C15">_xll.FDS(C2,"FF_ASSETS_CURR(ANN_R,0)")</f>
        <v>17404</v>
      </c>
      <c r="D15" s="10" cm="1">
        <f t="array" ref="D15">_xll.FDS(D2,"FF_ASSETS_CURR(ANN_R,0)")</f>
        <v>8671</v>
      </c>
      <c r="E15" s="10" cm="1">
        <f t="array" ref="E15">_xll.FDS(E2,"FF_ASSETS_CURR(ANN_R,0)")</f>
        <v>11095</v>
      </c>
      <c r="F15" s="10" cm="1">
        <f t="array" ref="F15">_xll.FDS(F2,"FF_ASSETS_CURR(ANN_R,0)")</f>
        <v>15173</v>
      </c>
      <c r="G15" s="10" cm="1">
        <f t="array" ref="G15">_xll.FDS(G2,"FF_ASSETS_CURR(ANN_R,0)")</f>
        <v>4006</v>
      </c>
      <c r="H15" s="10" cm="1">
        <f t="array" ref="H15">_xll.FDS(H2,"FF_ASSETS_CURR(ANN_R,0)")</f>
        <v>982.80200000000002</v>
      </c>
    </row>
    <row r="16" spans="1:15">
      <c r="A16" s="1062" t="s">
        <v>741</v>
      </c>
      <c r="B16" s="1062"/>
      <c r="C16" s="1063">
        <f>'Ind R&amp;D'!C31</f>
        <v>0</v>
      </c>
      <c r="D16" s="1063">
        <f>'Ind R&amp;D'!D31</f>
        <v>0</v>
      </c>
      <c r="E16" s="1063">
        <f>'Ind R&amp;D'!E31</f>
        <v>0</v>
      </c>
      <c r="F16" s="1063">
        <f>'Ind R&amp;D'!F31</f>
        <v>0</v>
      </c>
      <c r="G16" s="1063">
        <f>'Ind R&amp;D'!G31</f>
        <v>0</v>
      </c>
      <c r="H16" s="1063">
        <f>'Ind R&amp;D'!H31</f>
        <v>0</v>
      </c>
    </row>
    <row r="17" spans="1:9">
      <c r="A17" s="1062" t="s">
        <v>742</v>
      </c>
      <c r="B17" s="1062"/>
      <c r="C17" s="1063">
        <f>'Ind R&amp;D'!K31</f>
        <v>0</v>
      </c>
      <c r="D17" s="1063">
        <f>'Ind R&amp;D'!L31</f>
        <v>0</v>
      </c>
      <c r="E17" s="1063">
        <f>'Ind R&amp;D'!M31</f>
        <v>0</v>
      </c>
      <c r="F17" s="1063">
        <f>'Ind R&amp;D'!N31</f>
        <v>0</v>
      </c>
      <c r="G17" s="1063">
        <f>'Ind R&amp;D'!O31</f>
        <v>0</v>
      </c>
      <c r="H17" s="1063">
        <f>'Ind R&amp;D'!P31</f>
        <v>0</v>
      </c>
    </row>
    <row r="18" spans="1:9">
      <c r="A18" s="5" t="s">
        <v>743</v>
      </c>
      <c r="B18" s="5"/>
      <c r="C18" s="10">
        <f t="shared" ref="C18:H18" si="1">AVERAGE(C10:C11)+AVERAGE(C16:C17)</f>
        <v>68264</v>
      </c>
      <c r="D18" s="10">
        <f t="shared" si="1"/>
        <v>28336</v>
      </c>
      <c r="E18" s="10">
        <f t="shared" si="1"/>
        <v>61001.5</v>
      </c>
      <c r="F18" s="10">
        <f t="shared" si="1"/>
        <v>32563.061511697895</v>
      </c>
      <c r="G18" s="10">
        <f t="shared" si="1"/>
        <v>15449.33902388885</v>
      </c>
      <c r="H18" s="10">
        <f t="shared" si="1"/>
        <v>7120.6547103758967</v>
      </c>
    </row>
    <row r="19" spans="1:9">
      <c r="A19" s="5" t="s">
        <v>744</v>
      </c>
      <c r="B19" s="5"/>
      <c r="C19" s="10">
        <f t="shared" ref="C19:H19" si="2">C18-AVERAGE(C14:C15)</f>
        <v>55437.5</v>
      </c>
      <c r="D19" s="10">
        <f t="shared" si="2"/>
        <v>20242.5</v>
      </c>
      <c r="E19" s="10">
        <f t="shared" si="2"/>
        <v>51351</v>
      </c>
      <c r="F19" s="10">
        <f t="shared" si="2"/>
        <v>21989.561511697895</v>
      </c>
      <c r="G19" s="10">
        <f t="shared" si="2"/>
        <v>12427.83902388885</v>
      </c>
      <c r="H19" s="10">
        <f t="shared" si="2"/>
        <v>6249.0807103758962</v>
      </c>
    </row>
    <row r="20" spans="1:9">
      <c r="A20" s="10" t="s">
        <v>44</v>
      </c>
      <c r="B20" s="10"/>
      <c r="C20" s="10" cm="1">
        <f t="array" ref="C20">_xll.FDS(C2,"FF_EBIT_OPER(ANN_R,0)")</f>
        <v>-8281</v>
      </c>
      <c r="D20" s="10" cm="1">
        <f t="array" ref="D20">_xll.FDS(D2,"FF_EBIT_OPER(ANN_R,0)")</f>
        <v>-3892</v>
      </c>
      <c r="E20" s="10" cm="1">
        <f t="array" ref="E20">_xll.FDS(E2,"FF_EBIT_OPER(ANN_R,0)")</f>
        <v>-11387</v>
      </c>
      <c r="F20" s="10" cm="1">
        <f t="array" ref="F20">_xll.FDS(F2,"FF_EBIT_OPER(ANN_R,0)")</f>
        <v>-4713</v>
      </c>
      <c r="G20" s="10" cm="1">
        <f t="array" ref="G20">_xll.FDS(G2,"FF_EBIT_OPER(ANN_R,0)")</f>
        <v>-1691</v>
      </c>
      <c r="H20" s="10" cm="1">
        <f t="array" ref="H20">_xll.FDS(H2,"FF_EBIT_OPER(ANN_R,0)")</f>
        <v>-236.68899999999999</v>
      </c>
    </row>
    <row r="21" spans="1:9">
      <c r="A21" s="1075" t="s">
        <v>745</v>
      </c>
      <c r="B21" s="1075"/>
      <c r="C21" s="1075">
        <f>C20+'Ind R&amp;D'!C45+'Ind Leases'!B29</f>
        <v>-8281</v>
      </c>
      <c r="D21" s="1075">
        <f>D20+'Ind R&amp;D'!D45+'Ind Leases'!C29</f>
        <v>-3892</v>
      </c>
      <c r="E21" s="1075">
        <f>E20+'Ind R&amp;D'!E45+'Ind Leases'!D29</f>
        <v>-11387</v>
      </c>
      <c r="F21" s="1075">
        <f>F20+'Ind R&amp;D'!F45+'Ind Leases'!E29</f>
        <v>-4712.9299944080276</v>
      </c>
      <c r="G21" s="1075">
        <f>G20+'Ind R&amp;D'!G45+'Ind Leases'!F29</f>
        <v>-1690.895645122014</v>
      </c>
      <c r="H21" s="1075">
        <f>H20+'Ind R&amp;D'!H45+'Ind Leases'!G29</f>
        <v>-236.66239868423202</v>
      </c>
    </row>
    <row r="22" spans="1:9">
      <c r="A22" s="10" t="s">
        <v>410</v>
      </c>
      <c r="B22" s="10"/>
      <c r="C22" s="10" cm="1">
        <f t="array" ref="C22">_xll.FDS(C2,"FF_NET_INC(ANN_R,0,,,,,M)")</f>
        <v>-12385</v>
      </c>
      <c r="D22" s="10" cm="1">
        <f t="array" ref="D22">_xll.FDS(D2,"FF_NET_INC(ANN_R,0,,,,,M)")</f>
        <v>-4647</v>
      </c>
      <c r="E22" s="10" cm="1">
        <f t="array" ref="E22">_xll.FDS(E2,"FF_NET_INC(ANN_R,0,,,,,M)")</f>
        <v>-8885</v>
      </c>
      <c r="F22" s="10" cm="1">
        <f t="array" ref="F22">_xll.FDS(F2,"FF_NET_INC(ANN_R,0,,,,,M)")</f>
        <v>-3074</v>
      </c>
      <c r="G22" s="10" cm="1">
        <f t="array" ref="G22">_xll.FDS(G2,"FF_NET_INC(ANN_R,0,,,,,M)")</f>
        <v>-1324</v>
      </c>
      <c r="H22" s="10" cm="1">
        <f t="array" ref="H22">_xll.FDS(H2,"FF_NET_INC(ANN_R,0,,,,,M)")</f>
        <v>-8.5150000000000006</v>
      </c>
    </row>
    <row r="23" spans="1:9">
      <c r="A23" s="1075" t="s">
        <v>746</v>
      </c>
      <c r="B23" s="1075"/>
      <c r="C23" s="1075">
        <f>(C20+'Ind R&amp;D'!C45+'Ind Leases'!B29-C9)*(1-C42)</f>
        <v>-6539.0999999999995</v>
      </c>
      <c r="D23" s="1075">
        <f>(D20+'Ind R&amp;D'!D45+'Ind Leases'!C29-D9)*(1-D42)</f>
        <v>-3256.56</v>
      </c>
      <c r="E23" s="1075">
        <f>(E20+'Ind R&amp;D'!E45+'Ind Leases'!D29-E9)*(1-E42)</f>
        <v>-9082.08</v>
      </c>
      <c r="F23" s="1075">
        <f>(F20+'Ind R&amp;D'!F45+'Ind Leases'!E29-F9)*(1-F42)</f>
        <v>-3660.89889591786</v>
      </c>
      <c r="G23" s="1075">
        <f>(G20+'Ind R&amp;D'!G45+'Ind Leases'!F29-G9)*(1-G42)</f>
        <v>-1297.8638209390701</v>
      </c>
      <c r="H23" s="1075">
        <f>(H20+'Ind R&amp;D'!H45+'Ind Leases'!G29-H9)*(1-H42)</f>
        <v>-262.67984103948936</v>
      </c>
    </row>
    <row r="24" spans="1:9">
      <c r="A24" s="5" t="s">
        <v>594</v>
      </c>
      <c r="B24" s="5"/>
      <c r="C24" s="10">
        <f>C9</f>
        <v>929</v>
      </c>
      <c r="D24" s="10" cm="1">
        <f t="array" ref="D24">_xll.FDS(D2,"FF_INT_EXP_NET(ANN_R,0)")</f>
        <v>631</v>
      </c>
      <c r="E24" s="10" cm="1">
        <f t="array" ref="E24">_xll.FDS(E2,"FF_INT_EXP_NET(ANN_R,0)")</f>
        <v>1227</v>
      </c>
      <c r="F24" s="10" cm="1">
        <f t="array" ref="F24">_xll.FDS(F2,"FF_INT_EXP_NET(ANN_R,0)")</f>
        <v>302</v>
      </c>
      <c r="G24" s="10" cm="1">
        <f t="array" ref="G24">_xll.FDS(G2,"FF_INT_EXP_NET(ANN_R,0)")</f>
        <v>87</v>
      </c>
      <c r="H24" s="10" cm="1">
        <f t="array" ref="H24">_xll.FDS(H2,"FF_INT_EXP_NET(ANN_R,0)")</f>
        <v>123.173</v>
      </c>
    </row>
    <row r="25" spans="1:9">
      <c r="A25" s="5" t="s">
        <v>747</v>
      </c>
      <c r="B25" s="5"/>
      <c r="C25" s="10" cm="1">
        <f t="array" ref="C25">_xll.FDS(C2,"FF_CAPEX(ANN_R,0)")</f>
        <v>1899</v>
      </c>
      <c r="D25" s="10" cm="1">
        <f t="array" ref="D25">_xll.FDS(D2,"FF_CAPEX(ANN_R,0)")</f>
        <v>1202</v>
      </c>
      <c r="E25" s="10" cm="1">
        <f t="array" ref="E25">_xll.FDS(E2,"FF_CAPEX(ANN_R,0)")</f>
        <v>1958</v>
      </c>
      <c r="F25" s="10" cm="1">
        <f t="array" ref="F25">_xll.FDS(F2,"FF_CAPEX(ANN_R,0)")</f>
        <v>515</v>
      </c>
      <c r="G25" s="10" cm="1">
        <f t="array" ref="G25">_xll.FDS(G2,"FF_CAPEX(ANN_R,0)")</f>
        <v>206</v>
      </c>
      <c r="H25" s="10" cm="1">
        <f t="array" ref="H25">_xll.FDS(H2,"FF_CAPEX(ANN_R,0)")</f>
        <v>509.49099999999999</v>
      </c>
      <c r="I25" s="10"/>
    </row>
    <row r="26" spans="1:9">
      <c r="A26" s="5" t="s">
        <v>748</v>
      </c>
      <c r="B26" s="5"/>
      <c r="C26" s="10" cm="1">
        <f t="array" ref="C26">_xll.FDS(C2,"FF_INVEN(ANN_R,-1)")</f>
        <v>1251</v>
      </c>
      <c r="D26" s="10" cm="1">
        <f t="array" ref="D26">_xll.FDS(D2,"FF_INVEN(ANN_R,-1)")</f>
        <v>212</v>
      </c>
      <c r="E26" s="10" cm="1">
        <f t="array" ref="E26">_xll.FDS(E2,"FF_INVEN(ANN_R,-1)")</f>
        <v>1851</v>
      </c>
      <c r="F26" s="10" cm="1">
        <f t="array" ref="F26">_xll.FDS(F2,"FF_INVEN(ANN_R,-1)")</f>
        <v>529</v>
      </c>
      <c r="G26" s="10" cm="1">
        <f t="array" ref="G26">_xll.FDS(G2,"FF_INVEN(ANN_R,-1)")</f>
        <v>72</v>
      </c>
      <c r="H26" s="10" cm="1">
        <f t="array" ref="H26">_xll.FDS(H2,"FF_INVEN(ANN_R,-1)")</f>
        <v>110.503</v>
      </c>
      <c r="I26" s="10"/>
    </row>
    <row r="27" spans="1:9">
      <c r="A27" s="5" t="s">
        <v>749</v>
      </c>
      <c r="B27" s="5"/>
      <c r="C27" s="10" cm="1">
        <f t="array" ref="C27">_xll.FDS(C2,"FF_INVEN(ANN_R,0)")</f>
        <v>732</v>
      </c>
      <c r="D27" s="10" cm="1">
        <f t="array" ref="D27">_xll.FDS(D2,"FF_INVEN(ANN_R,0)")</f>
        <v>166</v>
      </c>
      <c r="E27" s="10" cm="1">
        <f t="array" ref="E27">_xll.FDS(E2,"FF_INVEN(ANN_R,0)")</f>
        <v>1614</v>
      </c>
      <c r="F27" s="10" cm="1">
        <f t="array" ref="F27">_xll.FDS(F2,"FF_INVEN(ANN_R,0)")</f>
        <v>414</v>
      </c>
      <c r="G27" s="10" cm="1">
        <f t="array" ref="G27">_xll.FDS(G2,"FF_INVEN(ANN_R,0)")</f>
        <v>57</v>
      </c>
      <c r="H27" s="10" cm="1">
        <f t="array" ref="H27">_xll.FDS(H2,"FF_INVEN(ANN_R,0)")</f>
        <v>91.195999999999998</v>
      </c>
      <c r="I27" s="10"/>
    </row>
    <row r="28" spans="1:9">
      <c r="A28" s="5" t="s">
        <v>750</v>
      </c>
      <c r="B28" s="5"/>
      <c r="C28" s="10" cm="1">
        <f t="array" ref="C28">_xll.FDS(C2,"FF_PAY_ACCT(ANN_R,-1)")</f>
        <v>3266</v>
      </c>
      <c r="D28" s="10" cm="1">
        <f t="array" ref="D28">_xll.FDS(D2,"FF_PAY_ACCT(ANN_R,-1)")</f>
        <v>2456</v>
      </c>
      <c r="E28" s="10" cm="1">
        <f t="array" ref="E28">_xll.FDS(E2,"FF_PAY_ACCT(ANN_R,-1)")</f>
        <v>2062</v>
      </c>
      <c r="F28" s="10" cm="1">
        <f t="array" ref="F28">_xll.FDS(F2,"FF_PAY_ACCT(ANN_R,-1)")</f>
        <v>595</v>
      </c>
      <c r="G28" s="10" cm="1">
        <f t="array" ref="G28">_xll.FDS(G2,"FF_PAY_ACCT(ANN_R,-1)")</f>
        <v>146</v>
      </c>
      <c r="H28" s="10" cm="1">
        <f t="array" ref="H28">_xll.FDS(H2,"FF_PAY_ACCT(ANN_R,-1)")</f>
        <v>284.47300000000001</v>
      </c>
      <c r="I28" s="10"/>
    </row>
    <row r="29" spans="1:9">
      <c r="A29" s="5" t="s">
        <v>751</v>
      </c>
      <c r="B29" s="5"/>
      <c r="C29" s="10" cm="1">
        <f t="array" ref="C29">_xll.FDS(C2,"FF_PAY_ACCT(ANN_R,0)")</f>
        <v>2840</v>
      </c>
      <c r="D29" s="10" cm="1">
        <f t="array" ref="D29">_xll.FDS(D2,"FF_PAY_ACCT(ANN_R,0)")</f>
        <v>2465</v>
      </c>
      <c r="E29" s="10" cm="1">
        <f t="array" ref="E29">_xll.FDS(E2,"FF_PAY_ACCT(ANN_R,0)")</f>
        <v>1196</v>
      </c>
      <c r="F29" s="10" cm="1">
        <f t="array" ref="F29">_xll.FDS(F2,"FF_PAY_ACCT(ANN_R,0)")</f>
        <v>272</v>
      </c>
      <c r="G29" s="10" cm="1">
        <f t="array" ref="G29">_xll.FDS(G2,"FF_PAY_ACCT(ANN_R,0)")</f>
        <v>108</v>
      </c>
      <c r="H29" s="10" cm="1">
        <f t="array" ref="H29">_xll.FDS(H2,"FF_PAY_ACCT(ANN_R,0)")</f>
        <v>278.67700000000002</v>
      </c>
      <c r="I29" s="10"/>
    </row>
    <row r="30" spans="1:9">
      <c r="A30" s="1062" t="s">
        <v>752</v>
      </c>
      <c r="B30" s="1062"/>
      <c r="C30" s="1063">
        <f>'Ind R&amp;D'!C7</f>
        <v>0</v>
      </c>
      <c r="D30" s="1063">
        <f>'Ind R&amp;D'!D7</f>
        <v>0</v>
      </c>
      <c r="E30" s="1063">
        <f>'Ind R&amp;D'!E7</f>
        <v>0</v>
      </c>
      <c r="F30" s="1063">
        <f>'Ind R&amp;D'!F7</f>
        <v>0</v>
      </c>
      <c r="G30" s="1063">
        <f>'Ind R&amp;D'!G7</f>
        <v>0</v>
      </c>
      <c r="H30" s="1063">
        <f>'Ind R&amp;D'!H7</f>
        <v>0</v>
      </c>
      <c r="I30" s="10"/>
    </row>
    <row r="31" spans="1:9">
      <c r="A31" s="5" t="s">
        <v>753</v>
      </c>
      <c r="B31" s="5"/>
      <c r="C31" s="10" cm="1">
        <f t="array" ref="C31">_xll.FDS(C2,"FF_OPER_CF(ANN_R,0)")</f>
        <v>-3793</v>
      </c>
      <c r="D31" s="10" cm="1">
        <f t="array" ref="D31">_xll.FDS(D2,"FF_OPER_CF(ANN_R,0)")+'Ind R&amp;D'!D45*(1-D42)+'Ind R&amp;D'!D44</f>
        <v>-2353</v>
      </c>
      <c r="E31" s="10" cm="1">
        <f t="array" ref="E31">_xll.FDS(E2,"FF_OPER_CF(ANN_R,0)")+'Ind R&amp;D'!E45*(1-E42)+'Ind R&amp;D'!E44</f>
        <v>-6543</v>
      </c>
      <c r="F31" s="10" cm="1">
        <f t="array" ref="F31">_xll.FDS(F2,"FF_OPER_CF(ANN_R,0)")+'Ind R&amp;D'!F45*(1-F42)+'Ind R&amp;D'!F44</f>
        <v>-1127</v>
      </c>
      <c r="G31" s="10" cm="1">
        <f t="array" ref="G31">_xll.FDS(G2,"FF_OPER_CF(ANN_R,0)")+'Ind R&amp;D'!G45*(1-G42)+'Ind R&amp;D'!G44</f>
        <v>-234</v>
      </c>
      <c r="H31" s="10" cm="1">
        <f t="array" ref="H31">_xll.FDS(H2,"FF_OPER_CF(ANN_R,0)")+'Ind R&amp;D'!H45*(1-H42)+'Ind R&amp;D'!H44</f>
        <v>699.12</v>
      </c>
    </row>
    <row r="32" spans="1:9">
      <c r="A32" s="5" t="s">
        <v>754</v>
      </c>
      <c r="C32" s="10">
        <f>C23-C22+'Ind R&amp;D'!C44+'Ind Leases'!B30</f>
        <v>5845.9000000000005</v>
      </c>
      <c r="D32" s="10">
        <f>D23-D22+'Ind R&amp;D'!D44+'Ind Leases'!C30</f>
        <v>1390.44</v>
      </c>
      <c r="E32" s="10">
        <f>E23-E22+'Ind R&amp;D'!E44+'Ind Leases'!D30</f>
        <v>-197.07999999999993</v>
      </c>
      <c r="F32" s="10">
        <f>F23-F22+'Ind R&amp;D'!F44+'Ind Leases'!E30</f>
        <v>-586.89889591786005</v>
      </c>
      <c r="G32" s="10">
        <f>G23-G22+'Ind R&amp;D'!G44+'Ind Leases'!F30</f>
        <v>26.136179060929862</v>
      </c>
      <c r="H32" s="10">
        <f>H23-H22+'Ind R&amp;D'!H44+'Ind Leases'!G30</f>
        <v>-254.16484103948937</v>
      </c>
    </row>
    <row r="33" spans="1:10">
      <c r="A33" s="1062" t="s">
        <v>755</v>
      </c>
      <c r="B33" s="12"/>
      <c r="C33" s="1063">
        <f>SUM(C31:C32)</f>
        <v>2052.9000000000005</v>
      </c>
      <c r="D33" s="1063">
        <f t="shared" ref="D33:H33" si="3">SUM(D31:D32)</f>
        <v>-962.56</v>
      </c>
      <c r="E33" s="1063">
        <f t="shared" si="3"/>
        <v>-6740.08</v>
      </c>
      <c r="F33" s="1063">
        <f t="shared" si="3"/>
        <v>-1713.89889591786</v>
      </c>
      <c r="G33" s="1063">
        <f t="shared" si="3"/>
        <v>-207.86382093907014</v>
      </c>
      <c r="H33" s="1063">
        <f t="shared" si="3"/>
        <v>444.95515896051063</v>
      </c>
    </row>
    <row r="34" spans="1:10">
      <c r="A34" s="5" t="s">
        <v>753</v>
      </c>
      <c r="B34" s="5"/>
      <c r="C34" s="10" cm="1">
        <f t="array" ref="C34">_xll.FDS(C2,"FF_INVEST_CF(ANN_R,0)")</f>
        <v>-9238</v>
      </c>
      <c r="D34" s="10" cm="1">
        <f t="array" ref="D34">_xll.FDS(D2,"FF_INVEST_CF(ANN_R,0)")</f>
        <v>-733</v>
      </c>
      <c r="E34" s="10" cm="1">
        <f t="array" ref="E34">_xll.FDS(E2,"FF_INVEST_CF(ANN_R,0)")</f>
        <v>-4342</v>
      </c>
      <c r="F34" s="10" cm="1">
        <f t="array" ref="F34">_xll.FDS(F2,"FF_INVEST_CF(ANN_R,0)")</f>
        <v>-16</v>
      </c>
      <c r="G34" s="10" cm="1">
        <f t="array" ref="G34">_xll.FDS(G2,"FF_INVEST_CF(ANN_R,0)")</f>
        <v>-593</v>
      </c>
      <c r="H34" s="10" cm="1">
        <f t="array" ref="H34">_xll.FDS(H2,"FF_INVEST_CF(ANN_R,0)")</f>
        <v>-683.471</v>
      </c>
      <c r="J34" s="386"/>
    </row>
    <row r="35" spans="1:10">
      <c r="A35" s="5" t="s">
        <v>756</v>
      </c>
      <c r="C35" s="10">
        <f>-'Ind R&amp;D'!C7</f>
        <v>0</v>
      </c>
      <c r="D35" s="10">
        <f>-'Ind R&amp;D'!D7</f>
        <v>0</v>
      </c>
      <c r="E35" s="10">
        <f>-'Ind R&amp;D'!E7</f>
        <v>0</v>
      </c>
      <c r="F35" s="10">
        <f>-'Ind R&amp;D'!F7</f>
        <v>0</v>
      </c>
      <c r="G35" s="10">
        <f>-'Ind R&amp;D'!G7</f>
        <v>0</v>
      </c>
      <c r="H35" s="10">
        <f>-'Ind R&amp;D'!H7</f>
        <v>0</v>
      </c>
    </row>
    <row r="36" spans="1:10">
      <c r="A36" s="1062" t="s">
        <v>757</v>
      </c>
      <c r="B36" s="1062"/>
      <c r="C36" s="1063">
        <f>SUM(C34:C35)</f>
        <v>-9238</v>
      </c>
      <c r="D36" s="1063">
        <f t="shared" ref="D36:H36" si="4">SUM(D34:D35)</f>
        <v>-733</v>
      </c>
      <c r="E36" s="1063">
        <f t="shared" si="4"/>
        <v>-4342</v>
      </c>
      <c r="F36" s="1063">
        <f t="shared" si="4"/>
        <v>-16</v>
      </c>
      <c r="G36" s="1063">
        <f t="shared" si="4"/>
        <v>-593</v>
      </c>
      <c r="H36" s="1063">
        <f t="shared" si="4"/>
        <v>-683.471</v>
      </c>
    </row>
    <row r="37" spans="1:10">
      <c r="A37" s="5" t="s">
        <v>758</v>
      </c>
      <c r="C37" s="10" cm="1">
        <f t="array" ref="C37">_xll.FDS(C2,"FF_FIN_CF(ANN_R,0)")</f>
        <v>19356</v>
      </c>
      <c r="D37" s="10" cm="1">
        <f t="array" ref="D37">_xll.FDS(D2,"FF_FIN_CF(ANN_R,0)")</f>
        <v>4702</v>
      </c>
      <c r="E37" s="10" cm="1">
        <f t="array" ref="E37">_xll.FDS(E2,"FF_FIN_CF(ANN_R,0)")</f>
        <v>10994</v>
      </c>
      <c r="F37" s="10" cm="1">
        <f t="array" ref="F37">_xll.FDS(F2,"FF_FIN_CF(ANN_R,0)")</f>
        <v>9658</v>
      </c>
      <c r="G37" s="10" cm="1">
        <f t="array" ref="G37">_xll.FDS(G2,"FF_FIN_CF(ANN_R,0)")</f>
        <v>1981</v>
      </c>
      <c r="H37" s="10" cm="1">
        <f t="array" ref="H37">_xll.FDS(H2,"FF_FIN_CF(ANN_R,0)")</f>
        <v>112.86799999999999</v>
      </c>
    </row>
    <row r="38" spans="1:10">
      <c r="A38" s="5" t="s">
        <v>759</v>
      </c>
      <c r="C38" s="10">
        <f>C40-(C33+C36+C37)</f>
        <v>-5845.9000000000015</v>
      </c>
      <c r="D38" s="10">
        <f t="shared" ref="D38:H38" si="5">D40-(D33+D36+D37)</f>
        <v>-1438.44</v>
      </c>
      <c r="E38" s="10">
        <f t="shared" si="5"/>
        <v>197.07999999999993</v>
      </c>
      <c r="F38" s="10">
        <f t="shared" si="5"/>
        <v>586.8988959178605</v>
      </c>
      <c r="G38" s="10">
        <f t="shared" si="5"/>
        <v>-26.136179060929862</v>
      </c>
      <c r="H38" s="10">
        <f t="shared" si="5"/>
        <v>254.16484103948937</v>
      </c>
    </row>
    <row r="39" spans="1:10">
      <c r="A39" s="1062" t="s">
        <v>760</v>
      </c>
      <c r="B39" s="1062"/>
      <c r="C39" s="1063">
        <f>SUM(C37:C38)</f>
        <v>13510.099999999999</v>
      </c>
      <c r="D39" s="1063">
        <f t="shared" ref="D39:H39" si="6">SUM(D37:D38)</f>
        <v>3263.56</v>
      </c>
      <c r="E39" s="1063">
        <f t="shared" si="6"/>
        <v>11191.08</v>
      </c>
      <c r="F39" s="1063">
        <f t="shared" si="6"/>
        <v>10244.898895917861</v>
      </c>
      <c r="G39" s="1063">
        <f t="shared" si="6"/>
        <v>1954.8638209390701</v>
      </c>
      <c r="H39" s="1063">
        <f t="shared" si="6"/>
        <v>367.03284103948937</v>
      </c>
    </row>
    <row r="40" spans="1:10">
      <c r="A40" s="5" t="s">
        <v>761</v>
      </c>
      <c r="B40" s="5"/>
      <c r="C40" s="10" cm="1">
        <f t="array" ref="C40">_xll.FDS(C2,"FF_CHG_CASH_CF(ANN_R,0)")</f>
        <v>6325</v>
      </c>
      <c r="D40" s="10" cm="1">
        <f t="array" ref="D40">_xll.FDS(D2,"FF_CHG_CASH_CF(ANN_R,0)")</f>
        <v>1568</v>
      </c>
      <c r="E40" s="10" cm="1">
        <f t="array" ref="E40">_xll.FDS(E2,"FF_CHG_CASH_CF(ANN_R,0)")</f>
        <v>109</v>
      </c>
      <c r="F40" s="10" cm="1">
        <f t="array" ref="F40">_xll.FDS(F2,"FF_CHG_CASH_CF(ANN_R,0)")</f>
        <v>8515</v>
      </c>
      <c r="G40" s="10" cm="1">
        <f t="array" ref="G40">_xll.FDS(G2,"FF_CHG_CASH_CF(ANN_R,0)")</f>
        <v>1154</v>
      </c>
      <c r="H40" s="10" cm="1">
        <f t="array" ref="H40">_xll.FDS(H2,"FF_CHG_CASH_CF(ANN_R,0)")</f>
        <v>128.517</v>
      </c>
      <c r="I40" s="386"/>
    </row>
    <row r="41" spans="1:10">
      <c r="A41" s="5" t="s">
        <v>762</v>
      </c>
      <c r="B41" s="5"/>
      <c r="C41" s="1081" cm="1">
        <f t="array" ref="C41">_xll.FDSR(C2,"FF_DEP_AMORT_EXP(ANN_R,0Y)")</f>
        <v>2312</v>
      </c>
      <c r="D41" s="1081" cm="1">
        <f t="array" ref="D41">_xll.FDSR(D2,"FF_DEP_AMORT_EXP(ANN_R,0Y)")</f>
        <v>1835</v>
      </c>
      <c r="E41" s="1081" cm="1">
        <f t="array" ref="E41">_xll.FDSR(E2,"FF_DEP_AMORT_EXP(ANN_R,0Y)")</f>
        <v>2365</v>
      </c>
      <c r="F41" s="1081" cm="1">
        <f t="array" ref="F41">_xll.FDSR(F2,"FF_DEP_AMORT_EXP(ANN_R,0Y)")</f>
        <v>1255</v>
      </c>
      <c r="G41" s="1081" cm="1">
        <f t="array" ref="G41">_xll.FDSR(G2,"FF_DEP_AMORT_EXP(ANN_R,0Y)")</f>
        <v>420</v>
      </c>
      <c r="H41" s="1081" cm="1">
        <f t="array" ref="H41">_xll.FDSR(H2,"FF_DEP_AMORT_EXP(ANN_R,0Y)")</f>
        <v>474.959</v>
      </c>
      <c r="I41" s="386"/>
    </row>
    <row r="42" spans="1:10">
      <c r="A42" s="5" t="s">
        <v>689</v>
      </c>
      <c r="B42" s="5"/>
      <c r="C42" s="1123">
        <f>'DAL-US R&amp;D'!$B5</f>
        <v>0.28999999999999998</v>
      </c>
      <c r="D42" s="1123">
        <f>'AC-CA R&amp;D'!$B5</f>
        <v>0.28000000000000003</v>
      </c>
      <c r="E42" s="1123">
        <f>'AAL-US R&amp;D'!$B5</f>
        <v>0.28000000000000003</v>
      </c>
      <c r="F42" s="1123">
        <f>'LUV-US R&amp;D'!$B5</f>
        <v>0.27</v>
      </c>
      <c r="G42" s="1123">
        <f>'ALK-US R&amp;D'!$B5</f>
        <v>0.27</v>
      </c>
      <c r="H42" s="1123">
        <f>'skyw-US R&amp;D'!$B5</f>
        <v>0.27</v>
      </c>
    </row>
    <row r="43" spans="1:10">
      <c r="A43" s="5" t="s">
        <v>464</v>
      </c>
      <c r="B43" s="5"/>
      <c r="C43" s="1122" cm="1">
        <f t="array" ref="C43">IFERROR(_xll.FDS(C2,"FF_TAX_RATE(ANN_R,0)"),0)</f>
        <v>0</v>
      </c>
      <c r="D43" s="1122" cm="1">
        <f t="array" ref="D43">IFERROR(_xll.FDS(D2,"FF_TAX_RATE(ANN_R,0)"),0)</f>
        <v>0</v>
      </c>
      <c r="E43" s="1122" cm="1">
        <f t="array" ref="E43">IFERROR(_xll.FDS(E2,"FF_TAX_RATE(ANN_R,0)"),0)</f>
        <v>0</v>
      </c>
      <c r="F43" s="1122" cm="1">
        <f t="array" ref="F43">IFERROR(_xll.FDS(F2,"FF_TAX_RATE(ANN_R,0)"),0)</f>
        <v>0</v>
      </c>
      <c r="G43" s="1122" cm="1">
        <f t="array" ref="G43">IFERROR(_xll.FDS(G2,"FF_TAX_RATE(ANN_R,0)"),0)</f>
        <v>0</v>
      </c>
      <c r="H43" s="1122" cm="1">
        <f t="array" ref="H43">IFERROR(_xll.FDS(H2,"FF_TAX_RATE(ANN_R,0)"),0)</f>
        <v>0</v>
      </c>
    </row>
    <row r="44" spans="1:10">
      <c r="A44" s="5" t="str">
        <f>'Ind Leases'!A26</f>
        <v>Additional Lease Asset/Debt (t=-1)</v>
      </c>
      <c r="C44" s="1081">
        <f>'Ind Leases'!B26</f>
        <v>0</v>
      </c>
      <c r="D44" s="10">
        <f>'Ind Leases'!C26</f>
        <v>0</v>
      </c>
      <c r="E44" s="10">
        <f>'Ind Leases'!D26</f>
        <v>0</v>
      </c>
      <c r="F44" s="10">
        <f>'Ind Leases'!E26</f>
        <v>1540.1230233957945</v>
      </c>
      <c r="G44" s="10">
        <f>'Ind Leases'!F26</f>
        <v>1669.6780477776986</v>
      </c>
      <c r="H44" s="10">
        <f>'Ind Leases'!G26</f>
        <v>372.41842075179267</v>
      </c>
    </row>
    <row r="45" spans="1:10">
      <c r="A45" s="5" t="str">
        <f>'Ind Leases'!A27</f>
        <v>Additional Lease Asset/Debt (t=0)</v>
      </c>
      <c r="C45" s="10">
        <f>'Ind Leases'!B27</f>
        <v>0</v>
      </c>
      <c r="D45" s="10">
        <f>'Ind Leases'!C27</f>
        <v>0</v>
      </c>
      <c r="E45" s="10">
        <f>'Ind Leases'!D27</f>
        <v>0</v>
      </c>
      <c r="F45" s="10">
        <f>'Ind Leases'!E27</f>
        <v>0</v>
      </c>
      <c r="G45" s="10">
        <f>'Ind Leases'!F27</f>
        <v>0</v>
      </c>
      <c r="H45" s="10">
        <f>'Ind Leases'!G27</f>
        <v>0</v>
      </c>
    </row>
    <row r="46" spans="1:10">
      <c r="A46" s="10" t="s">
        <v>763</v>
      </c>
      <c r="B46" s="10"/>
      <c r="C46" s="10" cm="1">
        <f t="array" ref="C46">_xll.FDS(C2,"FF_PPE_NET(ANN_R,-1,,,,M)")</f>
        <v>36937</v>
      </c>
      <c r="D46" s="10" cm="1">
        <f t="array" ref="D46">_xll.FDS(D2,"FF_PPE_NET(ANN_R,-1,,,,M)")</f>
        <v>12834</v>
      </c>
      <c r="E46" s="10" cm="1">
        <f t="array" ref="E46">_xll.FDS(E2,"FF_PPE_NET(ANN_R,-1,,,,M)")</f>
        <v>43732</v>
      </c>
      <c r="F46" s="10" cm="1">
        <f t="array" ref="F46">_xll.FDS(F2,"FF_PPE_NET(ANN_R,-1,,,,M)")</f>
        <v>18374</v>
      </c>
      <c r="G46" s="10" cm="1">
        <f t="array" ref="G46">_xll.FDS(G2,"FF_PPE_NET(ANN_R,-1,,,,M)")</f>
        <v>8613</v>
      </c>
      <c r="H46" s="10" cm="1">
        <f t="array" ref="H46">_xll.FDS(H2,"FF_PPE_NET(ANN_R,-1,,,,M)")</f>
        <v>5730.69</v>
      </c>
    </row>
    <row r="47" spans="1:10">
      <c r="A47" s="10" t="s">
        <v>764</v>
      </c>
      <c r="B47" s="10"/>
      <c r="C47" s="10" cm="1">
        <f t="array" ref="C47">_xll.FDS(C2,"FF_PPE_NET(ANN_R,0,,,,,M)")</f>
        <v>32262</v>
      </c>
      <c r="D47" s="10" cm="1">
        <f t="array" ref="D47">_xll.FDS(D2,"FF_PPE_NET(ANN_R,0,,,,,M)")</f>
        <v>12137</v>
      </c>
      <c r="E47" s="10" cm="1">
        <f t="array" ref="E47">_xll.FDS(E2,"FF_PPE_NET(ANN_R,0,,,,,M)")</f>
        <v>39738</v>
      </c>
      <c r="F47" s="10" cm="1">
        <f t="array" ref="F47">_xll.FDS(F2,"FF_PPE_NET(ANN_R,0,,,,,M)")</f>
        <v>17723</v>
      </c>
      <c r="G47" s="10" cm="1">
        <f t="array" ref="G47">_xll.FDS(G2,"FF_PPE_NET(ANN_R,0,,,,,M)")</f>
        <v>7611</v>
      </c>
      <c r="H47" s="10" cm="1">
        <f t="array" ref="H47">_xll.FDS(H2,"FF_PPE_NET(ANN_R,0,,,,,M)")</f>
        <v>5644.41</v>
      </c>
    </row>
    <row r="48" spans="1:10">
      <c r="A48" s="10" t="s">
        <v>765</v>
      </c>
      <c r="B48" s="10"/>
      <c r="C48" s="10" cm="1">
        <f t="array" ref="C48">_xll.FDS(C2,"FF_DEBT(ANN_R,-1,,,,,M)")</f>
        <v>17255</v>
      </c>
      <c r="D48" s="10" cm="1">
        <f t="array" ref="D48">_xll.FDS(D2,"FF_DEBT(ANN_R,-1,,,,,M)")</f>
        <v>9242</v>
      </c>
      <c r="E48" s="10" cm="1">
        <f t="array" ref="E48">_xll.FDS(E2,"FF_DEBT(ANN_R,-1,,,,,M)")</f>
        <v>33444</v>
      </c>
      <c r="F48" s="10" cm="1">
        <f t="array" ref="F48">_xll.FDS(F2,"FF_DEBT(ANN_R,-1,,,,,M)")</f>
        <v>3996</v>
      </c>
      <c r="G48" s="10" cm="1">
        <f t="array" ref="G48">_xll.FDS(G2,"FF_DEBT(ANN_R,-1,,,,,M)")</f>
        <v>3207</v>
      </c>
      <c r="H48" s="10" cm="1">
        <f t="array" ref="H48">_xll.FDS(H2,"FF_DEBT(ANN_R,-1,,,,,M)")</f>
        <v>3347.1579999999999</v>
      </c>
    </row>
    <row r="49" spans="1:8">
      <c r="A49" s="10" t="s">
        <v>766</v>
      </c>
      <c r="B49" s="10"/>
      <c r="C49" s="10" cm="1">
        <f t="array" ref="C49">_xll.FDS(C2,"FF_DEBT(ANN_R,0,,,,,M)")</f>
        <v>35548</v>
      </c>
      <c r="D49" s="10" cm="1">
        <f t="array" ref="D49">_xll.FDS(D2,"FF_DEBT(ANN_R,0,,,,,M)")</f>
        <v>12989</v>
      </c>
      <c r="E49" s="10" cm="1">
        <f t="array" ref="E49">_xll.FDS(E2,"FF_DEBT(ANN_R,0,,,,,M)")</f>
        <v>41021</v>
      </c>
      <c r="F49" s="10" cm="1">
        <f t="array" ref="F49">_xll.FDS(F2,"FF_DEBT(ANN_R,0,,,,,M)")</f>
        <v>12199</v>
      </c>
      <c r="G49" s="10" cm="1">
        <f t="array" ref="G49">_xll.FDS(G2,"FF_DEBT(ANN_R,0,,,,,M)")</f>
        <v>5053</v>
      </c>
      <c r="H49" s="10" cm="1">
        <f t="array" ref="H49">_xll.FDS(H2,"FF_DEBT(ANN_R,0,,,,,M)")</f>
        <v>3492.1819999999998</v>
      </c>
    </row>
    <row r="50" spans="1:8">
      <c r="A50" s="10" t="s">
        <v>767</v>
      </c>
      <c r="B50" s="10"/>
      <c r="C50" s="10" cm="1">
        <f t="array" ref="C50">_xll.FDS(C2,"FF_DEBT_LT(ANN_R,-1,,,,,M)")</f>
        <v>14167</v>
      </c>
      <c r="D50" s="10" cm="1">
        <f t="array" ref="D50">_xll.FDS(D2,"FF_DEBT_LT(ANN_R,-1,,,,,M)")</f>
        <v>8024</v>
      </c>
      <c r="E50" s="10" cm="1">
        <f t="array" ref="E50">_xll.FDS(E2,"FF_DEBT_LT(ANN_R,-1,,,,,M)")</f>
        <v>28875</v>
      </c>
      <c r="F50" s="10" cm="1">
        <f t="array" ref="F50">_xll.FDS(F2,"FF_DEBT_LT(ANN_R,-1,,,,,M)")</f>
        <v>2824</v>
      </c>
      <c r="G50" s="10" cm="1">
        <f t="array" ref="G50">_xll.FDS(G2,"FF_DEBT_LT(ANN_R,-1,,,,,M)")</f>
        <v>2703</v>
      </c>
      <c r="H50" s="10" cm="1">
        <f t="array" ref="H50">_xll.FDS(H2,"FF_DEBT_LT(ANN_R,-1,,,,,M)")</f>
        <v>2888.2260000000001</v>
      </c>
    </row>
    <row r="51" spans="1:8">
      <c r="A51" s="10" t="s">
        <v>768</v>
      </c>
      <c r="B51" s="10"/>
      <c r="C51" s="10" cm="1">
        <f t="array" ref="C51">_xll.FDS(C2,"FF_DEBT_LT(ANN_R,0,,,,,M)")</f>
        <v>33138</v>
      </c>
      <c r="D51" s="10" cm="1">
        <f t="array" ref="D51">_xll.FDS(D2,"FF_DEBT_LT(ANN_R,0,,,,,M)")</f>
        <v>11201</v>
      </c>
      <c r="E51" s="10" cm="1">
        <f t="array" ref="E51">_xll.FDS(E2,"FF_DEBT_LT(ANN_R,0,,,,,M)")</f>
        <v>36573</v>
      </c>
      <c r="F51" s="10" cm="1">
        <f t="array" ref="F51">_xll.FDS(F2,"FF_DEBT_LT(ANN_R,0,,,,,M)")</f>
        <v>11673</v>
      </c>
      <c r="G51" s="10" cm="1">
        <f t="array" ref="G51">_xll.FDS(G2,"FF_DEBT_LT(ANN_R,0,,,,,M)")</f>
        <v>3625</v>
      </c>
      <c r="H51" s="10" cm="1">
        <f t="array" ref="H51">_xll.FDS(H2,"FF_DEBT_LT(ANN_R,0,,,,,M)")</f>
        <v>3007.3829999999998</v>
      </c>
    </row>
    <row r="52" spans="1:8" ht="14.25" customHeight="1">
      <c r="A52" s="10" t="s">
        <v>769</v>
      </c>
      <c r="B52" s="10"/>
      <c r="C52" s="10" cm="1">
        <f t="array" ref="C52">_xll.FDS(C2,"FF_SHLDRS_EQ(ANN_R,-1,,,,,M)")</f>
        <v>15358</v>
      </c>
      <c r="D52" s="10" cm="1">
        <f t="array" ref="D52">_xll.FDS(D2,"FF_SHLDRS_EQ(ANN_R,-1,,,,,M)")</f>
        <v>4400</v>
      </c>
      <c r="E52" s="10" cm="1">
        <f t="array" ref="E52">_xll.FDS(E2,"FF_SHLDRS_EQ(ANN_R,-1,,,,,M)")</f>
        <v>-118</v>
      </c>
      <c r="F52" s="10" cm="1">
        <f t="array" ref="F52">_xll.FDS(F2,"FF_SHLDRS_EQ(ANN_R,-1,,,,,M)")</f>
        <v>9832</v>
      </c>
      <c r="G52" s="10" cm="1">
        <f t="array" ref="G52">_xll.FDS(G2,"FF_SHLDRS_EQ(ANN_R,-1,,,,,M)")</f>
        <v>4331</v>
      </c>
      <c r="H52" s="10" cm="1">
        <f t="array" ref="H52">_xll.FDS(H2,"FF_SHLDRS_EQ(ANN_R,-1,,,,,M)")</f>
        <v>2175.0140000000001</v>
      </c>
    </row>
    <row r="53" spans="1:8">
      <c r="A53" s="10" t="s">
        <v>770</v>
      </c>
      <c r="B53" s="10"/>
      <c r="C53" s="10" cm="1">
        <f t="array" ref="C53">_xll.FDS(C2,"FF_SHLDRS_EQ(ANN_R,0,,,,,M)")</f>
        <v>1534</v>
      </c>
      <c r="D53" s="10" cm="1">
        <f t="array" ref="D53">_xll.FDS(D2,"FF_SHLDRS_EQ(ANN_R,0,,,,,M)")</f>
        <v>1715</v>
      </c>
      <c r="E53" s="10" cm="1">
        <f t="array" ref="E53">_xll.FDS(E2,"FF_SHLDRS_EQ(ANN_R,0,,,,,M)")</f>
        <v>-6867</v>
      </c>
      <c r="F53" s="10" cm="1">
        <f t="array" ref="F53">_xll.FDS(F2,"FF_SHLDRS_EQ(ANN_R,0,,,,,M)")</f>
        <v>8876</v>
      </c>
      <c r="G53" s="10" cm="1">
        <f t="array" ref="G53">_xll.FDS(G2,"FF_SHLDRS_EQ(ANN_R,0,,,,,M)")</f>
        <v>2988</v>
      </c>
      <c r="H53" s="10" cm="1">
        <f t="array" ref="H53">_xll.FDS(H2,"FF_SHLDRS_EQ(ANN_R,0,,,,,M)")</f>
        <v>2139.5450000000001</v>
      </c>
    </row>
    <row r="54" spans="1:8">
      <c r="A54" s="3" t="s">
        <v>771</v>
      </c>
      <c r="C54" s="10" cm="1">
        <f t="array" ref="C54">_xll.FDS(C2,"FF_CASH_ST(ANN_R,-1,,,,,M)")</f>
        <v>3094</v>
      </c>
      <c r="D54" s="10" cm="1">
        <f t="array" ref="D54">_xll.FDS(D2,"FF_CASH_ST(ANN_R,-1,,,,,M)")</f>
        <v>6046</v>
      </c>
      <c r="E54" s="10" cm="1">
        <f t="array" ref="E54">_xll.FDS(E2,"FF_CASH_ST(ANN_R,-1,,,,,M)")</f>
        <v>3984</v>
      </c>
      <c r="F54" s="10" cm="1">
        <f t="array" ref="F54">_xll.FDS(F2,"FF_CASH_ST(ANN_R,-1,,,,,M)")</f>
        <v>4072</v>
      </c>
      <c r="G54" s="10" cm="1">
        <f t="array" ref="G54">_xll.FDS(G2,"FF_CASH_ST(ANN_R,-1,,,,,M)")</f>
        <v>1521</v>
      </c>
      <c r="H54" s="10" cm="1">
        <f t="array" ref="H54">_xll.FDS(H2,"FF_CASH_ST(ANN_R,-1,,,,,M)")</f>
        <v>520.17200000000003</v>
      </c>
    </row>
    <row r="55" spans="1:8" ht="15" customHeight="1">
      <c r="A55" s="3" t="s">
        <v>772</v>
      </c>
      <c r="C55" s="10" cm="1">
        <f t="array" ref="C55">_xll.FDS(C2,"FF_CASH_ST(ANN_R,0,,,,,M)")</f>
        <v>14288</v>
      </c>
      <c r="D55" s="10" cm="1">
        <f t="array" ref="D55">_xll.FDS(D2,"FF_CASH_ST(ANN_R,0,,,,,M)")</f>
        <v>7607</v>
      </c>
      <c r="E55" s="10" cm="1">
        <f t="array" ref="E55">_xll.FDS(E2,"FF_CASH_ST(ANN_R,0,,,,,M)")</f>
        <v>7473</v>
      </c>
      <c r="F55" s="10" cm="1">
        <f t="array" ref="F55">_xll.FDS(F2,"FF_CASH_ST(ANN_R,0,,,,,M)")</f>
        <v>13334</v>
      </c>
      <c r="G55" s="10" cm="1">
        <f t="array" ref="G55">_xll.FDS(G2,"FF_CASH_ST(ANN_R,0,,,,,M)")</f>
        <v>3346</v>
      </c>
      <c r="H55" s="10" cm="1">
        <f t="array" ref="H55">_xll.FDS(H2,"FF_CASH_ST(ANN_R,0,,,,,M)")</f>
        <v>825.90800000000002</v>
      </c>
    </row>
    <row r="56" spans="1:8" ht="15" customHeight="1">
      <c r="A56" s="1082" t="s">
        <v>773</v>
      </c>
      <c r="B56" s="1082"/>
      <c r="C56" s="10">
        <f>C59*C61</f>
        <v>25573.56</v>
      </c>
      <c r="D56" s="10">
        <f t="shared" ref="D56:H56" si="7">D59*D61</f>
        <v>6421.14</v>
      </c>
      <c r="E56" s="10">
        <f t="shared" si="7"/>
        <v>7630.9137599999995</v>
      </c>
      <c r="F56" s="10">
        <f t="shared" si="7"/>
        <v>26334.65</v>
      </c>
      <c r="G56" s="10">
        <f t="shared" si="7"/>
        <v>6419.4000000000005</v>
      </c>
      <c r="H56" s="10">
        <f t="shared" si="7"/>
        <v>2023.3604500000001</v>
      </c>
    </row>
    <row r="57" spans="1:8">
      <c r="A57" s="1082" t="s">
        <v>774</v>
      </c>
      <c r="B57" s="1082"/>
      <c r="C57" s="1083" cm="1">
        <f t="array" ref="C57">_xll.FDSR(C2,"JULIAN(FG_PRICE(0Y).dates)")</f>
        <v>44196</v>
      </c>
      <c r="D57" s="1083" cm="1">
        <f t="array" ref="D57">_xll.FDSR(D2,"JULIAN(FG_PRICE(0Y).dates)")</f>
        <v>44196</v>
      </c>
      <c r="E57" s="1083" cm="1">
        <f t="array" ref="E57">_xll.FDSR(E2,"JULIAN(FG_PRICE(0Y).dates)")</f>
        <v>44196</v>
      </c>
      <c r="F57" s="1083" cm="1">
        <f t="array" ref="F57">_xll.FDSR(F2,"JULIAN(FG_PRICE(0Y).dates)")</f>
        <v>44196</v>
      </c>
      <c r="G57" s="1083" cm="1">
        <f t="array" ref="G57">_xll.FDSR(G2,"JULIAN(FG_PRICE(0Y).dates)")</f>
        <v>44196</v>
      </c>
      <c r="H57" s="1083" cm="1">
        <f t="array" ref="H57">_xll.FDSR(H2,"JULIAN(FG_PRICE(0Y).dates)")</f>
        <v>44196</v>
      </c>
    </row>
    <row r="58" spans="1:8">
      <c r="A58" s="5" t="s">
        <v>775</v>
      </c>
      <c r="C58" s="3" cm="1">
        <f t="array" ref="C58">_xll.FDSR(C2,"FG_PRICE(-1Y)")</f>
        <v>58.48</v>
      </c>
      <c r="D58" s="3" cm="1">
        <f t="array" ref="D58">_xll.FDSR(D2,"FG_PRICE(-1Y)")</f>
        <v>48.51</v>
      </c>
      <c r="E58" s="3" cm="1">
        <f t="array" ref="E58">_xll.FDSR(E2,"FG_PRICE(-1Y)")</f>
        <v>28.68</v>
      </c>
      <c r="F58" s="3" cm="1">
        <f t="array" ref="F58">_xll.FDSR(F2,"FG_PRICE(-1Y)")</f>
        <v>53.98</v>
      </c>
      <c r="G58" s="3" cm="1">
        <f t="array" ref="G58">_xll.FDSR(G2,"FG_PRICE(-1Y)")</f>
        <v>67.75</v>
      </c>
      <c r="H58" s="3" cm="1">
        <f t="array" ref="H58">_xll.FDSR(H2,"FG_PRICE(-1Y)")</f>
        <v>64.63</v>
      </c>
    </row>
    <row r="59" spans="1:8">
      <c r="A59" s="5" t="s">
        <v>776</v>
      </c>
      <c r="C59" s="326" cm="1">
        <f t="array" ref="C59">_xll.FDSR(C2,"FG_PRICE(0Y)")</f>
        <v>40.21</v>
      </c>
      <c r="D59" s="326" cm="1">
        <f t="array" ref="D59">_xll.FDSR(D2,"FG_PRICE(0Y)")</f>
        <v>22.77</v>
      </c>
      <c r="E59" s="326" cm="1">
        <f t="array" ref="E59">_xll.FDSR(E2,"FG_PRICE(0Y)")</f>
        <v>15.77</v>
      </c>
      <c r="F59" s="326" cm="1">
        <f t="array" ref="F59">_xll.FDSR(F2,"FG_PRICE(0Y)")</f>
        <v>46.61</v>
      </c>
      <c r="G59" s="326" cm="1">
        <f t="array" ref="G59">_xll.FDSR(G2,"FG_PRICE(0Y)")</f>
        <v>52</v>
      </c>
      <c r="H59" s="326" cm="1">
        <f t="array" ref="H59">_xll.FDSR(H2,"FG_PRICE(0Y)")</f>
        <v>40.31</v>
      </c>
    </row>
    <row r="60" spans="1:8">
      <c r="A60" s="5" t="s">
        <v>777</v>
      </c>
      <c r="C60" s="10" cm="1">
        <f t="array" ref="C60">_xll.FDSR(C2,"FF_COM_SHS_OUT_EPS_DIL(ANN_R,-1Y)")</f>
        <v>653</v>
      </c>
      <c r="D60" s="10" cm="1">
        <f t="array" ref="D60">_xll.FDSR(D2,"FF_COM_SHS_OUT_EPS_DIL(ANN_R,-1Y)")</f>
        <v>272</v>
      </c>
      <c r="E60" s="10" cm="1">
        <f t="array" ref="E60">_xll.FDSR(E2,"FF_COM_SHS_OUT_EPS_DIL(ANN_R,-1Y)")</f>
        <v>444.26900000000001</v>
      </c>
      <c r="F60" s="10" cm="1">
        <f t="array" ref="F60">_xll.FDSR(F2,"FF_COM_SHS_OUT_EPS_DIL(ANN_R,-1Y)")</f>
        <v>539</v>
      </c>
      <c r="G60" s="10" cm="1">
        <f t="array" ref="G60">_xll.FDSR(G2,"FF_COM_SHS_OUT_EPS_DIL(ANN_R,-1Y)")</f>
        <v>124.289</v>
      </c>
      <c r="H60" s="10" cm="1">
        <f t="array" ref="H60">_xll.FDSR(H2,"FF_COM_SHS_OUT_EPS_DIL(ANN_R,-1Y)")</f>
        <v>51.375</v>
      </c>
    </row>
    <row r="61" spans="1:8">
      <c r="A61" s="5" t="s">
        <v>778</v>
      </c>
      <c r="C61" s="1081" cm="1">
        <f t="array" ref="C61">_xll.FDSR(C2,"FF_COM_SHS_OUT_EPS_DIL(ANN_R,0Y)")</f>
        <v>636</v>
      </c>
      <c r="D61" s="1081" cm="1">
        <f t="array" ref="D61">_xll.FDSR(D2,"FF_COM_SHS_OUT_EPS_DIL(ANN_R,0Y)")</f>
        <v>282</v>
      </c>
      <c r="E61" s="1081" cm="1">
        <f t="array" ref="E61">_xll.FDSR(E2,"FF_COM_SHS_OUT_EPS_DIL(ANN_R,0Y)")</f>
        <v>483.88799999999998</v>
      </c>
      <c r="F61" s="1081" cm="1">
        <f t="array" ref="F61">_xll.FDSR(F2,"FF_COM_SHS_OUT_EPS_DIL(ANN_R,0Y)")</f>
        <v>565</v>
      </c>
      <c r="G61" s="1081" cm="1">
        <f t="array" ref="G61">_xll.FDSR(G2,"FF_COM_SHS_OUT_EPS_DIL(ANN_R,0Y)")</f>
        <v>123.45</v>
      </c>
      <c r="H61" s="1081" cm="1">
        <f t="array" ref="H61">_xll.FDSR(H2,"FF_COM_SHS_OUT_EPS_DIL(ANN_R,0Y)")</f>
        <v>50.195</v>
      </c>
    </row>
    <row r="62" spans="1:8">
      <c r="C62" s="635"/>
    </row>
    <row r="63" spans="1:8">
      <c r="C63" s="326"/>
    </row>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6">
    <tabColor theme="8" tint="0.59999389629810485"/>
  </sheetPr>
  <dimension ref="A1:I95"/>
  <sheetViews>
    <sheetView topLeftCell="A13" zoomScaleNormal="100" workbookViewId="0">
      <selection activeCell="G16" sqref="G16"/>
    </sheetView>
  </sheetViews>
  <sheetFormatPr defaultColWidth="11.28515625" defaultRowHeight="15"/>
  <cols>
    <col min="1" max="1" width="22.28515625" style="3" customWidth="1"/>
    <col min="2" max="3" width="15.7109375" style="3" customWidth="1"/>
    <col min="4" max="6" width="13.7109375" style="3" customWidth="1"/>
    <col min="7" max="7" width="15.7109375" style="3" customWidth="1"/>
    <col min="8" max="8" width="13.7109375" style="3" customWidth="1"/>
    <col min="9" max="16384" width="11.28515625" style="3"/>
  </cols>
  <sheetData>
    <row r="1" spans="1:8" s="340" customFormat="1" ht="26.1" customHeight="1">
      <c r="A1" s="338" t="s">
        <v>779</v>
      </c>
      <c r="B1" s="339"/>
      <c r="C1" s="1094" t="s">
        <v>731</v>
      </c>
    </row>
    <row r="3" spans="1:8">
      <c r="C3" s="327" t="str">
        <f>'Help Sheet'!C2</f>
        <v>DAL-US</v>
      </c>
      <c r="D3" s="327" t="str">
        <f>'Help Sheet'!D2</f>
        <v>AC-CA</v>
      </c>
      <c r="E3" s="327" t="str">
        <f>'Help Sheet'!E2</f>
        <v>AAL-US</v>
      </c>
      <c r="F3" s="327" t="str">
        <f>'Help Sheet'!F2</f>
        <v>LUV-US</v>
      </c>
      <c r="G3" s="327" t="str">
        <f>'Help Sheet'!G2</f>
        <v>ALK-US</v>
      </c>
      <c r="H3" s="327" t="str">
        <f>'Help Sheet'!H2</f>
        <v>skyw-US</v>
      </c>
    </row>
    <row r="4" spans="1:8" s="924" customFormat="1" ht="18" customHeight="1">
      <c r="A4" s="975" t="s">
        <v>780</v>
      </c>
      <c r="B4" s="972" t="s">
        <v>781</v>
      </c>
      <c r="C4" s="974" t="str" cm="1">
        <f t="array" ref="C4">_xll.FDS(C3,"FG_COMPANY_NAME()")</f>
        <v>Delta Air Lines, Inc.</v>
      </c>
      <c r="D4" s="973" t="str" cm="1">
        <f t="array" ref="D4">_xll.FDS(D3,"FG_COMPANY_NAME()")</f>
        <v>Air Canada</v>
      </c>
      <c r="E4" s="973" t="str" cm="1">
        <f t="array" ref="E4">_xll.FDS(E3,"FG_COMPANY_NAME()")</f>
        <v>American Airlines Group, Inc.</v>
      </c>
      <c r="F4" s="973" t="str" cm="1">
        <f t="array" ref="F4">_xll.FDS(F3,"FG_COMPANY_NAME()")</f>
        <v>Southwest Airlines Co.</v>
      </c>
      <c r="G4" s="973" t="str" cm="1">
        <f t="array" ref="G4">_xll.FDS(G3,"FG_COMPANY_NAME()")</f>
        <v>Alaska Air Group, Inc.</v>
      </c>
      <c r="H4" s="973" t="str" cm="1">
        <f t="array" ref="H4">_xll.FDS(H3,"FG_COMPANY_NAME()")</f>
        <v>SkyWest, Inc</v>
      </c>
    </row>
    <row r="5" spans="1:8" s="924" customFormat="1">
      <c r="A5" s="955" t="s">
        <v>774</v>
      </c>
      <c r="B5" s="956"/>
      <c r="C5" s="957">
        <f>'Help Sheet'!C57</f>
        <v>44196</v>
      </c>
      <c r="D5" s="957">
        <f>'Help Sheet'!D57</f>
        <v>44196</v>
      </c>
      <c r="E5" s="957">
        <f>'Help Sheet'!E57</f>
        <v>44196</v>
      </c>
      <c r="F5" s="957">
        <f>'Help Sheet'!F57</f>
        <v>44196</v>
      </c>
      <c r="G5" s="957">
        <f>'Help Sheet'!G57</f>
        <v>44196</v>
      </c>
      <c r="H5" s="957">
        <f>'Help Sheet'!H57</f>
        <v>44196</v>
      </c>
    </row>
    <row r="6" spans="1:8" s="924" customFormat="1">
      <c r="A6" s="933" t="str">
        <f>A29</f>
        <v>Price - Close</v>
      </c>
      <c r="B6" s="933"/>
      <c r="C6" s="934" cm="1">
        <f t="array" ref="C6">_xll.FDS(C3,"P_PRICE("&amp;C5&amp;","&amp;C5&amp;")")</f>
        <v>40.21</v>
      </c>
      <c r="D6" s="934" cm="1">
        <f t="array" ref="D6">_xll.FDS(D3,"P_PRICE("&amp;D5&amp;","&amp;D5&amp;")")</f>
        <v>22.77</v>
      </c>
      <c r="E6" s="934" cm="1">
        <f t="array" ref="E6">_xll.FDS(E3,"P_PRICE("&amp;E5&amp;","&amp;E5&amp;")")</f>
        <v>15.77</v>
      </c>
      <c r="F6" s="934" cm="1">
        <f t="array" ref="F6">_xll.FDS(F3,"P_PRICE("&amp;F5&amp;","&amp;F5&amp;")")</f>
        <v>46.61</v>
      </c>
      <c r="G6" s="934" cm="1">
        <f t="array" ref="G6">_xll.FDS(G3,"P_PRICE("&amp;G5&amp;","&amp;G5&amp;")")</f>
        <v>52</v>
      </c>
      <c r="H6" s="934" cm="1">
        <f t="array" ref="H6">_xll.FDS(H3,"P_PRICE("&amp;H5&amp;","&amp;H5&amp;")")</f>
        <v>40.31</v>
      </c>
    </row>
    <row r="7" spans="1:8" s="924" customFormat="1">
      <c r="A7" s="921" t="str">
        <f>A30</f>
        <v>Common Shares Outstanding (fully diluted)</v>
      </c>
      <c r="B7" s="933"/>
      <c r="C7" s="935" cm="1">
        <f t="array" ref="C7">_xll.FDS(C$3,"FF_COM_SHS_OUT_EPS_DIL(ANN_R,0)")</f>
        <v>636</v>
      </c>
      <c r="D7" s="935" cm="1">
        <f t="array" ref="D7">_xll.FDS(D$3,"FF_COM_SHS_OUT_EPS_DIL(ANN_R,0)")</f>
        <v>282</v>
      </c>
      <c r="E7" s="935" cm="1">
        <f t="array" ref="E7">_xll.FDS(E$3,"FF_COM_SHS_OUT_EPS_DIL(ANN_R,0)")</f>
        <v>483.88799999999998</v>
      </c>
      <c r="F7" s="935" cm="1">
        <f t="array" ref="F7">_xll.FDS(F$3,"FF_COM_SHS_OUT_EPS_DIL(ANN_R,0)")</f>
        <v>565</v>
      </c>
      <c r="G7" s="935" cm="1">
        <f t="array" ref="G7">_xll.FDS(G$3,"FF_COM_SHS_OUT_EPS_DIL(ANN_R,0)")</f>
        <v>123.45</v>
      </c>
      <c r="H7" s="935" cm="1">
        <f t="array" ref="H7">_xll.FDS(H$3,"FF_COM_SHS_OUT_EPS_DIL(ANN_R,0)")</f>
        <v>50.195</v>
      </c>
    </row>
    <row r="8" spans="1:8" s="924" customFormat="1">
      <c r="A8" s="933" t="s">
        <v>410</v>
      </c>
      <c r="B8" s="933"/>
      <c r="C8" s="935" cm="1">
        <f t="array" ref="C8">_xll.FDS(C$3,"FF_NET_INC(ANN_R,0)")</f>
        <v>-12385</v>
      </c>
      <c r="D8" s="935" cm="1">
        <f t="array" ref="D8">_xll.FDS(D$3,"FF_NET_INC(ANN_R,0)")</f>
        <v>-4647</v>
      </c>
      <c r="E8" s="935" cm="1">
        <f t="array" ref="E8">_xll.FDS(E$3,"FF_NET_INC(ANN_R,0)")</f>
        <v>-8885</v>
      </c>
      <c r="F8" s="935" cm="1">
        <f t="array" ref="F8">_xll.FDS(F$3,"FF_NET_INC(ANN_R,0)")</f>
        <v>-3074</v>
      </c>
      <c r="G8" s="935" cm="1">
        <f t="array" ref="G8">_xll.FDS(G$3,"FF_NET_INC(ANN_R,0)")</f>
        <v>-1324</v>
      </c>
      <c r="H8" s="935" cm="1">
        <f t="array" ref="H8">_xll.FDS(H$3,"FF_NET_INC(ANN_R,0)")</f>
        <v>-8.5150000000000006</v>
      </c>
    </row>
    <row r="9" spans="1:8">
      <c r="A9" s="3" t="s">
        <v>782</v>
      </c>
      <c r="C9" s="935">
        <f>'Help Sheet'!C23</f>
        <v>-6539.0999999999995</v>
      </c>
      <c r="D9" s="935">
        <f>'Help Sheet'!D23</f>
        <v>-3256.56</v>
      </c>
      <c r="E9" s="935">
        <f>'Help Sheet'!E23</f>
        <v>-9082.08</v>
      </c>
      <c r="F9" s="935">
        <f>'Help Sheet'!F23</f>
        <v>-3660.89889591786</v>
      </c>
      <c r="G9" s="935">
        <f>'Help Sheet'!G23</f>
        <v>-1297.8638209390701</v>
      </c>
      <c r="H9" s="935">
        <f>'Help Sheet'!H23</f>
        <v>-262.67984103948936</v>
      </c>
    </row>
    <row r="10" spans="1:8" s="924" customFormat="1">
      <c r="A10" s="933" t="s">
        <v>151</v>
      </c>
      <c r="B10" s="936"/>
      <c r="C10" s="937">
        <f>C8/C7</f>
        <v>-19.473270440251572</v>
      </c>
      <c r="D10" s="937">
        <f t="shared" ref="D10:H10" si="0">D8/D7</f>
        <v>-16.478723404255319</v>
      </c>
      <c r="E10" s="937">
        <f t="shared" si="0"/>
        <v>-18.361687001950866</v>
      </c>
      <c r="F10" s="937">
        <f t="shared" si="0"/>
        <v>-5.4407079646017698</v>
      </c>
      <c r="G10" s="937">
        <f t="shared" si="0"/>
        <v>-10.724989874443095</v>
      </c>
      <c r="H10" s="937">
        <f t="shared" si="0"/>
        <v>-0.16963841020021916</v>
      </c>
    </row>
    <row r="11" spans="1:8" s="924" customFormat="1">
      <c r="A11" s="958" t="s">
        <v>783</v>
      </c>
      <c r="B11" s="959"/>
      <c r="C11" s="960">
        <f>C9/C7</f>
        <v>-10.281603773584905</v>
      </c>
      <c r="D11" s="960">
        <f t="shared" ref="D11:H11" si="1">D9/D7</f>
        <v>-11.548085106382979</v>
      </c>
      <c r="E11" s="960">
        <f t="shared" si="1"/>
        <v>-18.768971332209109</v>
      </c>
      <c r="F11" s="960">
        <f t="shared" si="1"/>
        <v>-6.4794670724209915</v>
      </c>
      <c r="G11" s="960">
        <f t="shared" si="1"/>
        <v>-10.513275179741354</v>
      </c>
      <c r="H11" s="960">
        <f t="shared" si="1"/>
        <v>-5.2331873899689088</v>
      </c>
    </row>
    <row r="12" spans="1:8">
      <c r="A12" s="938" t="s">
        <v>784</v>
      </c>
      <c r="B12" s="939">
        <f>MEDIAN(C12:H12)</f>
        <v>-3.4566855688649776</v>
      </c>
      <c r="C12" s="939">
        <f t="shared" ref="C12:H12" si="2">C6/C10</f>
        <v>-2.0648817117480824</v>
      </c>
      <c r="D12" s="939">
        <f t="shared" si="2"/>
        <v>-1.3817817947062621</v>
      </c>
      <c r="E12" s="939">
        <f t="shared" si="2"/>
        <v>-0.85885354642656153</v>
      </c>
      <c r="F12" s="939">
        <f t="shared" si="2"/>
        <v>-8.5668998048145735</v>
      </c>
      <c r="G12" s="939">
        <f t="shared" si="2"/>
        <v>-4.8484894259818727</v>
      </c>
      <c r="H12" s="939">
        <f t="shared" si="2"/>
        <v>-237.6230710510863</v>
      </c>
    </row>
    <row r="13" spans="1:8">
      <c r="A13" s="961" t="s">
        <v>785</v>
      </c>
      <c r="B13" s="962">
        <f>MEDIAN(C13:H13)</f>
        <v>-4.4284980087241106</v>
      </c>
      <c r="C13" s="962">
        <f t="shared" ref="C13:H13" si="3">C6/C11</f>
        <v>-3.9108684681378176</v>
      </c>
      <c r="D13" s="962">
        <f t="shared" si="3"/>
        <v>-1.9717554720318371</v>
      </c>
      <c r="E13" s="962">
        <f t="shared" si="3"/>
        <v>-0.84021653189577705</v>
      </c>
      <c r="F13" s="962">
        <f t="shared" si="3"/>
        <v>-7.1934928411611816</v>
      </c>
      <c r="G13" s="962">
        <f t="shared" si="3"/>
        <v>-4.946127549310404</v>
      </c>
      <c r="H13" s="962">
        <f t="shared" si="3"/>
        <v>-7.7027625796980086</v>
      </c>
    </row>
    <row r="14" spans="1:8">
      <c r="A14" s="689" t="s">
        <v>786</v>
      </c>
      <c r="B14" s="940">
        <f>MEDIAN(C14:H14)</f>
        <v>0</v>
      </c>
      <c r="C14" s="940" t="str" cm="1">
        <f t="array" ref="C14">IFERROR(_xll.FDS(C$3,"FF_PAY_OUT_RATIO(ANN_R,0)")/100,"")</f>
        <v/>
      </c>
      <c r="D14" s="940" t="str" cm="1">
        <f t="array" ref="D14">IFERROR(_xll.FDS(D$3,"FF_PAY_OUT_RATIO(ANN_R,0)")/100,"")</f>
        <v/>
      </c>
      <c r="E14" s="940" t="str" cm="1">
        <f t="array" ref="E14">IFERROR(_xll.FDS(E$3,"FF_PAY_OUT_RATIO(ANN_R,0)")/100,"")</f>
        <v/>
      </c>
      <c r="F14" s="940" t="str" cm="1">
        <f t="array" ref="F14">IFERROR(_xll.FDS(F$3,"FF_PAY_OUT_RATIO(ANN_R,0)")/100,"")</f>
        <v/>
      </c>
      <c r="G14" s="940" t="str" cm="1">
        <f t="array" ref="G14">IFERROR(_xll.FDS(G$3,"FF_PAY_OUT_RATIO(ANN_R,0)")/100,"")</f>
        <v/>
      </c>
      <c r="H14" s="940" cm="1">
        <f t="array" ref="H14">IFERROR(_xll.FDS(H$3,"FF_PAY_OUT_RATIO(ANN_R,0)")/100,0)</f>
        <v>0</v>
      </c>
    </row>
    <row r="15" spans="1:8">
      <c r="A15" s="689" t="s">
        <v>787</v>
      </c>
      <c r="B15" s="940" t="e">
        <f>MEDIAN(C15:H15)</f>
        <v>#VALUE!</v>
      </c>
      <c r="C15" s="940" t="e">
        <f>1-C14</f>
        <v>#VALUE!</v>
      </c>
      <c r="D15" s="940" t="e">
        <f t="shared" ref="D15:H15" si="4">1-D14</f>
        <v>#VALUE!</v>
      </c>
      <c r="E15" s="940" t="e">
        <f t="shared" si="4"/>
        <v>#VALUE!</v>
      </c>
      <c r="F15" s="940" t="e">
        <f t="shared" si="4"/>
        <v>#VALUE!</v>
      </c>
      <c r="G15" s="940" t="e">
        <f>1-G14</f>
        <v>#VALUE!</v>
      </c>
      <c r="H15" s="940">
        <f t="shared" si="4"/>
        <v>1</v>
      </c>
    </row>
    <row r="16" spans="1:8">
      <c r="A16" s="689" t="s">
        <v>82</v>
      </c>
      <c r="B16" s="940" t="e">
        <f t="shared" ref="B16:B19" si="5">MEDIAN(C16:H16)</f>
        <v>#N/A</v>
      </c>
      <c r="C16" s="940">
        <f>'Industry Ratios'!A53</f>
        <v>-1.4663746152024626</v>
      </c>
      <c r="D16" s="940">
        <f>'Industry Ratios'!E53</f>
        <v>-1.519869174161897</v>
      </c>
      <c r="E16" s="940" t="e" cm="1">
        <f t="array" ref="E16">_xll.FDS(E$3,"FF_ROE(ANN_R,0)")/100</f>
        <v>#N/A</v>
      </c>
      <c r="F16" s="940" cm="1">
        <f t="array" ref="F16">_xll.FDS(F$3,"FF_ROE(ANN_R,0)")/100</f>
        <v>-0.32862946333119503</v>
      </c>
      <c r="G16" s="940" cm="1">
        <f t="array" ref="G16">_xll.FDS(G$3,"FF_ROE(ANN_R,0)")/100</f>
        <v>-0.36179805984424102</v>
      </c>
      <c r="H16" s="940" cm="1">
        <f t="array" ref="H16">_xll.FDS(H$3,"FF_ROE(ANN_R,0)")/100</f>
        <v>-3.9471009667500197E-3</v>
      </c>
    </row>
    <row r="17" spans="1:8">
      <c r="A17" s="689" t="s">
        <v>609</v>
      </c>
      <c r="B17" s="940">
        <f t="shared" si="5"/>
        <v>-0.37301430419406356</v>
      </c>
      <c r="C17" s="940">
        <f>'Industry Ratios'!A58</f>
        <v>-0.77422448496329621</v>
      </c>
      <c r="D17" s="940">
        <f>'Industry Ratios'!E58</f>
        <v>-1.0651054783319704</v>
      </c>
      <c r="E17" s="940">
        <f>'Industry Ratios'!F58</f>
        <v>2.600452397995705</v>
      </c>
      <c r="F17" s="940">
        <f>'Industry Ratios'!G58</f>
        <v>-0.39137255675837718</v>
      </c>
      <c r="G17" s="940">
        <f>'Industry Ratios'!H58</f>
        <v>-0.35465605162975</v>
      </c>
      <c r="H17" s="940">
        <f>'Industry Ratios'!I58</f>
        <v>-0.12176439865093482</v>
      </c>
    </row>
    <row r="18" spans="1:8">
      <c r="A18" s="938" t="s">
        <v>70</v>
      </c>
      <c r="B18" s="940" t="e">
        <f t="shared" si="5"/>
        <v>#VALUE!</v>
      </c>
      <c r="C18" s="941" t="e">
        <f>C15*C16</f>
        <v>#VALUE!</v>
      </c>
      <c r="D18" s="941" t="e">
        <f>D15*D16</f>
        <v>#VALUE!</v>
      </c>
      <c r="E18" s="941" t="e">
        <f t="shared" ref="E18:G18" si="6">E15*E16</f>
        <v>#VALUE!</v>
      </c>
      <c r="F18" s="941" t="e">
        <f t="shared" si="6"/>
        <v>#VALUE!</v>
      </c>
      <c r="G18" s="941" t="e">
        <f t="shared" si="6"/>
        <v>#VALUE!</v>
      </c>
      <c r="H18" s="941">
        <f t="shared" ref="H18" si="7">H15*H16</f>
        <v>-3.9471009667500197E-3</v>
      </c>
    </row>
    <row r="19" spans="1:8">
      <c r="A19" s="961" t="s">
        <v>788</v>
      </c>
      <c r="B19" s="963" t="e">
        <f t="shared" si="5"/>
        <v>#VALUE!</v>
      </c>
      <c r="C19" s="964" t="e">
        <f>C15*C17</f>
        <v>#VALUE!</v>
      </c>
      <c r="D19" s="964" t="e">
        <f t="shared" ref="D19:H19" si="8">D15*D17</f>
        <v>#VALUE!</v>
      </c>
      <c r="E19" s="964" t="e">
        <f t="shared" si="8"/>
        <v>#VALUE!</v>
      </c>
      <c r="F19" s="964" t="e">
        <f t="shared" si="8"/>
        <v>#VALUE!</v>
      </c>
      <c r="G19" s="964" t="e">
        <f t="shared" si="8"/>
        <v>#VALUE!</v>
      </c>
      <c r="H19" s="964">
        <f t="shared" si="8"/>
        <v>-0.12176439865093482</v>
      </c>
    </row>
    <row r="20" spans="1:8">
      <c r="A20" s="689"/>
      <c r="B20" s="942"/>
      <c r="C20" s="942"/>
      <c r="D20" s="942"/>
      <c r="E20" s="942"/>
      <c r="F20" s="942"/>
      <c r="G20" s="942"/>
      <c r="H20" s="942"/>
    </row>
    <row r="21" spans="1:8" s="924" customFormat="1" ht="15.75" customHeight="1">
      <c r="A21" s="973" t="s">
        <v>789</v>
      </c>
      <c r="B21" s="972" t="s">
        <v>790</v>
      </c>
      <c r="C21" s="974" t="str">
        <f t="shared" ref="C21:H21" si="9">C4</f>
        <v>Delta Air Lines, Inc.</v>
      </c>
      <c r="D21" s="973" t="str">
        <f t="shared" si="9"/>
        <v>Air Canada</v>
      </c>
      <c r="E21" s="973" t="str">
        <f t="shared" si="9"/>
        <v>American Airlines Group, Inc.</v>
      </c>
      <c r="F21" s="973" t="str">
        <f t="shared" si="9"/>
        <v>Southwest Airlines Co.</v>
      </c>
      <c r="G21" s="973" t="str">
        <f t="shared" si="9"/>
        <v>Alaska Air Group, Inc.</v>
      </c>
      <c r="H21" s="973" t="str">
        <f t="shared" si="9"/>
        <v>SkyWest, Inc</v>
      </c>
    </row>
    <row r="22" spans="1:8" s="924" customFormat="1" ht="16.350000000000001" customHeight="1">
      <c r="A22" s="689" t="s">
        <v>72</v>
      </c>
      <c r="B22" s="932"/>
      <c r="C22" s="935" cm="1">
        <f t="array" ref="C22">_xll.FDS(C3,"FF_ENTRPR_VAL_DAILY("&amp;C5&amp;",,,,,""DIL"")")</f>
        <v>46833.56</v>
      </c>
      <c r="D22" s="935" cm="1">
        <f t="array" ref="D22">_xll.FDS(D3,"FF_ENTRPR_VAL_DAILY("&amp;D5&amp;",,,,,""DIL"")")</f>
        <v>11803.14</v>
      </c>
      <c r="E22" s="935" cm="1">
        <f t="array" ref="E22">_xll.FDS(E3,"FF_ENTRPR_VAL_DAILY("&amp;E5&amp;",,,,,""DIL"")")</f>
        <v>41178.913760000003</v>
      </c>
      <c r="F22" s="935" cm="1">
        <f t="array" ref="F22">_xll.FDS(F3,"FF_ENTRPR_VAL_DAILY("&amp;F5&amp;",,,,,""DIL"")")</f>
        <v>25199.65</v>
      </c>
      <c r="G22" s="935" cm="1">
        <f t="array" ref="G22">_xll.FDS(G3,"FF_ENTRPR_VAL_DAILY("&amp;G5&amp;",,,,,""DIL"")")</f>
        <v>8126.4</v>
      </c>
      <c r="H22" s="935" cm="1">
        <f t="array" ref="H22">_xll.FDS(H3,"FF_ENTRPR_VAL_DAILY("&amp;H5&amp;",,,,,""DIL"")")</f>
        <v>4689.6344499999996</v>
      </c>
    </row>
    <row r="23" spans="1:8">
      <c r="A23" s="689" t="s">
        <v>784</v>
      </c>
      <c r="B23" s="936" t="e">
        <f t="shared" ref="B23:B25" si="10">MEDIAN(D23:G23)</f>
        <v>#N/A</v>
      </c>
      <c r="C23" s="943" t="e" cm="1">
        <f t="array" ref="C23">_xll.FDS(C$3,"FF_PE(ANN_R,0)")</f>
        <v>#N/A</v>
      </c>
      <c r="D23" s="943" t="e" cm="1">
        <f t="array" ref="D23">_xll.FDS(D$3,"FF_PE(ANN_R,0)")</f>
        <v>#N/A</v>
      </c>
      <c r="E23" s="943" t="e" cm="1">
        <f t="array" ref="E23">_xll.FDS(E$3,"FF_PE(ANN_R,0)")</f>
        <v>#N/A</v>
      </c>
      <c r="F23" s="943" t="e" cm="1">
        <f t="array" ref="F23">_xll.FDS(F$3,"FF_PE(ANN_R,0)")</f>
        <v>#N/A</v>
      </c>
      <c r="G23" s="943" t="e" cm="1">
        <f t="array" ref="G23">_xll.FDS(G$3,"FF_PE(ANN_R,0)")</f>
        <v>#N/A</v>
      </c>
      <c r="H23" s="943" t="e" cm="1">
        <f t="array" ref="H23">_xll.FDS(H$3,"FF_PE(ANN_R,0)")</f>
        <v>#N/A</v>
      </c>
    </row>
    <row r="24" spans="1:8">
      <c r="A24" s="689" t="s">
        <v>165</v>
      </c>
      <c r="B24" s="936" t="e">
        <f t="shared" si="10"/>
        <v>#N/A</v>
      </c>
      <c r="C24" s="943" t="e" cm="1">
        <f t="array" ref="C24">_xll.FDS(C$3,"FF_ENTRPR_VAL_EBITDA_OPER(ANN_R,0)")</f>
        <v>#N/A</v>
      </c>
      <c r="D24" s="943" t="e" cm="1">
        <f t="array" ref="D24">_xll.FDS(D$3,"FF_ENTRPR_VAL_EBITDA_OPER(ANN_R,0)")</f>
        <v>#N/A</v>
      </c>
      <c r="E24" s="943" t="e" cm="1">
        <f t="array" ref="E24">_xll.FDS(E$3,"FF_ENTRPR_VAL_EBITDA_OPER(ANN_R,0)")</f>
        <v>#N/A</v>
      </c>
      <c r="F24" s="943" t="e" cm="1">
        <f t="array" ref="F24">_xll.FDS(F$3,"FF_ENTRPR_VAL_EBITDA_OPER(ANN_R,0)")</f>
        <v>#N/A</v>
      </c>
      <c r="G24" s="943" t="e" cm="1">
        <f t="array" ref="G24">_xll.FDS(G$3,"FF_ENTRPR_VAL_EBITDA_OPER(ANN_R,0)")</f>
        <v>#N/A</v>
      </c>
      <c r="H24" s="943" cm="1">
        <f t="array" ref="H24">_xll.FDS(H$3,"FF_ENTRPR_VAL_EBITDA_OPER(ANN_R,0)")</f>
        <v>18.471265581063498</v>
      </c>
    </row>
    <row r="25" spans="1:8">
      <c r="A25" s="689" t="s">
        <v>166</v>
      </c>
      <c r="B25" s="936" t="e">
        <f t="shared" si="10"/>
        <v>#N/A</v>
      </c>
      <c r="C25" s="943" t="e" cm="1">
        <f t="array" ref="C25">_xll.FDS(C$3,"FF_ENTRPR_VAL_EBIT_OPER(ANN_R,0)")</f>
        <v>#N/A</v>
      </c>
      <c r="D25" s="943" t="e" cm="1">
        <f t="array" ref="D25">_xll.FDS(D$3,"FF_ENTRPR_VAL_EBIT_OPER(ANN_R,0)")</f>
        <v>#N/A</v>
      </c>
      <c r="E25" s="943" t="e" cm="1">
        <f t="array" ref="E25">_xll.FDS(E$3,"FF_ENTRPR_VAL_EBIT_OPER(ANN_R,0)")</f>
        <v>#N/A</v>
      </c>
      <c r="F25" s="943" t="e" cm="1">
        <f t="array" ref="F25">_xll.FDS(F$3,"FF_ENTRPR_VAL_EBIT_OPER(ANN_R,0)")</f>
        <v>#N/A</v>
      </c>
      <c r="G25" s="943" t="e" cm="1">
        <f t="array" ref="G25">_xll.FDS(G$3,"FF_ENTRPR_VAL_EBIT_OPER(ANN_R,0)")</f>
        <v>#N/A</v>
      </c>
      <c r="H25" s="943" t="e" cm="1">
        <f t="array" ref="H25">_xll.FDS(H$3,"FF_ENTRPR_VAL_EBIT_OPER(ANN_R,0)")</f>
        <v>#N/A</v>
      </c>
    </row>
    <row r="26" spans="1:8">
      <c r="A26" s="689"/>
      <c r="B26" s="936"/>
      <c r="C26" s="943"/>
      <c r="D26" s="943"/>
      <c r="E26" s="943"/>
      <c r="F26" s="943"/>
      <c r="G26" s="943"/>
      <c r="H26" s="943"/>
    </row>
    <row r="27" spans="1:8" ht="18" customHeight="1">
      <c r="A27" s="971"/>
      <c r="B27" s="972" t="str">
        <f t="shared" ref="B27:H27" si="11">B21</f>
        <v>Median (excl. Apple)</v>
      </c>
      <c r="C27" s="972" t="str">
        <f t="shared" si="11"/>
        <v>Delta Air Lines, Inc.</v>
      </c>
      <c r="D27" s="972" t="str">
        <f t="shared" si="11"/>
        <v>Air Canada</v>
      </c>
      <c r="E27" s="972" t="str">
        <f t="shared" si="11"/>
        <v>American Airlines Group, Inc.</v>
      </c>
      <c r="F27" s="972" t="str">
        <f t="shared" si="11"/>
        <v>Southwest Airlines Co.</v>
      </c>
      <c r="G27" s="972" t="str">
        <f t="shared" si="11"/>
        <v>Alaska Air Group, Inc.</v>
      </c>
      <c r="H27" s="972" t="str">
        <f t="shared" si="11"/>
        <v>SkyWest, Inc</v>
      </c>
    </row>
    <row r="28" spans="1:8">
      <c r="A28" s="689" t="s">
        <v>135</v>
      </c>
      <c r="B28" s="936"/>
      <c r="C28" s="935">
        <f>'Help Sheet'!C4</f>
        <v>17095</v>
      </c>
      <c r="D28" s="935">
        <f>'Help Sheet'!D4</f>
        <v>5833</v>
      </c>
      <c r="E28" s="935">
        <f>'Help Sheet'!E4</f>
        <v>17337</v>
      </c>
      <c r="F28" s="935">
        <f>'Help Sheet'!F4</f>
        <v>9048</v>
      </c>
      <c r="G28" s="935">
        <f>'Help Sheet'!G4</f>
        <v>3566</v>
      </c>
      <c r="H28" s="935">
        <f>'Help Sheet'!H4</f>
        <v>2127.1060000000002</v>
      </c>
    </row>
    <row r="29" spans="1:8">
      <c r="A29" s="3" t="s">
        <v>791</v>
      </c>
      <c r="C29" s="944">
        <f t="shared" ref="C29:H30" si="12">C6</f>
        <v>40.21</v>
      </c>
      <c r="D29" s="944">
        <f t="shared" si="12"/>
        <v>22.77</v>
      </c>
      <c r="E29" s="944">
        <f t="shared" si="12"/>
        <v>15.77</v>
      </c>
      <c r="F29" s="944">
        <f t="shared" si="12"/>
        <v>46.61</v>
      </c>
      <c r="G29" s="944">
        <f t="shared" si="12"/>
        <v>52</v>
      </c>
      <c r="H29" s="944">
        <f t="shared" si="12"/>
        <v>40.31</v>
      </c>
    </row>
    <row r="30" spans="1:8">
      <c r="A30" s="3" t="s">
        <v>792</v>
      </c>
      <c r="C30" s="944">
        <f t="shared" si="12"/>
        <v>636</v>
      </c>
      <c r="D30" s="944">
        <f t="shared" si="12"/>
        <v>282</v>
      </c>
      <c r="E30" s="944">
        <f t="shared" si="12"/>
        <v>483.88799999999998</v>
      </c>
      <c r="F30" s="944">
        <f t="shared" si="12"/>
        <v>565</v>
      </c>
      <c r="G30" s="944">
        <f t="shared" si="12"/>
        <v>123.45</v>
      </c>
      <c r="H30" s="944">
        <f t="shared" si="12"/>
        <v>50.195</v>
      </c>
    </row>
    <row r="31" spans="1:8">
      <c r="A31" s="689" t="s">
        <v>151</v>
      </c>
      <c r="B31" s="940"/>
      <c r="C31" s="944">
        <f>C10</f>
        <v>-19.473270440251572</v>
      </c>
      <c r="D31" s="944">
        <f t="shared" ref="C31:H32" si="13">D10</f>
        <v>-16.478723404255319</v>
      </c>
      <c r="E31" s="944">
        <f t="shared" si="13"/>
        <v>-18.361687001950866</v>
      </c>
      <c r="F31" s="944">
        <f t="shared" si="13"/>
        <v>-5.4407079646017698</v>
      </c>
      <c r="G31" s="944">
        <f t="shared" si="13"/>
        <v>-10.724989874443095</v>
      </c>
      <c r="H31" s="944">
        <f t="shared" si="13"/>
        <v>-0.16963841020021916</v>
      </c>
    </row>
    <row r="32" spans="1:8">
      <c r="A32" s="689" t="s">
        <v>783</v>
      </c>
      <c r="B32" s="940"/>
      <c r="C32" s="944">
        <f t="shared" si="13"/>
        <v>-10.281603773584905</v>
      </c>
      <c r="D32" s="944">
        <f t="shared" si="13"/>
        <v>-11.548085106382979</v>
      </c>
      <c r="E32" s="944">
        <f t="shared" si="13"/>
        <v>-18.768971332209109</v>
      </c>
      <c r="F32" s="944">
        <f t="shared" si="13"/>
        <v>-6.4794670724209915</v>
      </c>
      <c r="G32" s="944">
        <f t="shared" si="13"/>
        <v>-10.513275179741354</v>
      </c>
      <c r="H32" s="944">
        <f t="shared" si="13"/>
        <v>-5.2331873899689088</v>
      </c>
    </row>
    <row r="33" spans="1:9">
      <c r="A33" s="689" t="s">
        <v>43</v>
      </c>
      <c r="B33" s="940"/>
      <c r="C33" s="945" cm="1">
        <f t="array" ref="C33">_xll.FDS(C$3,"FF_EBITDA_OPER(ANN_R,0)")</f>
        <v>-5969</v>
      </c>
      <c r="D33" s="945" cm="1">
        <f t="array" ref="D33">_xll.FDS(D$3,"FF_EBITDA_OPER(ANN_R,0)")</f>
        <v>-2057</v>
      </c>
      <c r="E33" s="945" cm="1">
        <f t="array" ref="E33">_xll.FDS(E$3,"FF_EBITDA_OPER(ANN_R,0)")</f>
        <v>-9022</v>
      </c>
      <c r="F33" s="945" cm="1">
        <f t="array" ref="F33">_xll.FDS(F$3,"FF_EBITDA_OPER(ANN_R,0)")</f>
        <v>-3458</v>
      </c>
      <c r="G33" s="945" cm="1">
        <f t="array" ref="G33">_xll.FDS(G$3,"FF_EBITDA_OPER(ANN_R,0)")</f>
        <v>-1271</v>
      </c>
      <c r="H33" s="945" cm="1">
        <f t="array" ref="H33">_xll.FDS(H$3,"FF_EBITDA_OPER(ANN_R,0)")</f>
        <v>238.27</v>
      </c>
    </row>
    <row r="34" spans="1:9">
      <c r="A34" s="689" t="s">
        <v>466</v>
      </c>
      <c r="B34" s="940"/>
      <c r="C34" s="945">
        <f>C36+'Help Sheet'!C41+'Ind R&amp;D'!C44+'Ind Leases'!B30</f>
        <v>-5969</v>
      </c>
      <c r="D34" s="945">
        <f>D36+'Help Sheet'!D41+'Ind R&amp;D'!D44+'Ind Leases'!C30</f>
        <v>-2057</v>
      </c>
      <c r="E34" s="945">
        <f>E36+'Help Sheet'!E41+'Ind R&amp;D'!E44+'Ind Leases'!D30</f>
        <v>-9022</v>
      </c>
      <c r="F34" s="945">
        <f>F36+'Help Sheet'!F41+'Ind R&amp;D'!F44+'Ind Leases'!E30</f>
        <v>-3457.9299944080276</v>
      </c>
      <c r="G34" s="945">
        <f>G36+'Help Sheet'!G41+'Ind R&amp;D'!G44+'Ind Leases'!F30</f>
        <v>-1270.895645122014</v>
      </c>
      <c r="H34" s="945">
        <f>H36+'Help Sheet'!H41+'Ind R&amp;D'!H44+'Ind Leases'!G30</f>
        <v>238.29660131576799</v>
      </c>
      <c r="I34" s="386"/>
    </row>
    <row r="35" spans="1:9">
      <c r="A35" s="689" t="s">
        <v>44</v>
      </c>
      <c r="B35" s="940"/>
      <c r="C35" s="945">
        <f>'Help Sheet'!C20</f>
        <v>-8281</v>
      </c>
      <c r="D35" s="945">
        <f>'Help Sheet'!D20</f>
        <v>-3892</v>
      </c>
      <c r="E35" s="945">
        <f>'Help Sheet'!E20</f>
        <v>-11387</v>
      </c>
      <c r="F35" s="945">
        <f>'Help Sheet'!F20</f>
        <v>-4713</v>
      </c>
      <c r="G35" s="945">
        <f>'Help Sheet'!G20</f>
        <v>-1691</v>
      </c>
      <c r="H35" s="945">
        <f>'Help Sheet'!H20</f>
        <v>-236.68899999999999</v>
      </c>
    </row>
    <row r="36" spans="1:9">
      <c r="A36" s="689" t="s">
        <v>660</v>
      </c>
      <c r="B36" s="940"/>
      <c r="C36" s="945">
        <f>'Help Sheet'!C21</f>
        <v>-8281</v>
      </c>
      <c r="D36" s="945">
        <f>'Help Sheet'!D21</f>
        <v>-3892</v>
      </c>
      <c r="E36" s="945">
        <f>'Help Sheet'!E21</f>
        <v>-11387</v>
      </c>
      <c r="F36" s="945">
        <f>'Help Sheet'!F21</f>
        <v>-4712.9299944080276</v>
      </c>
      <c r="G36" s="945">
        <f>'Help Sheet'!G21</f>
        <v>-1690.895645122014</v>
      </c>
      <c r="H36" s="945">
        <f>'Help Sheet'!H21</f>
        <v>-236.66239868423202</v>
      </c>
    </row>
    <row r="37" spans="1:9">
      <c r="A37" s="689" t="s">
        <v>47</v>
      </c>
      <c r="B37" s="943"/>
      <c r="C37" s="946">
        <f>'Help Sheet'!C42</f>
        <v>0.28999999999999998</v>
      </c>
      <c r="D37" s="946">
        <f>'Help Sheet'!D42</f>
        <v>0.28000000000000003</v>
      </c>
      <c r="E37" s="946">
        <f>'Help Sheet'!E42</f>
        <v>0.28000000000000003</v>
      </c>
      <c r="F37" s="946">
        <f>'Help Sheet'!F42</f>
        <v>0.27</v>
      </c>
      <c r="G37" s="946">
        <f>'Help Sheet'!G42</f>
        <v>0.27</v>
      </c>
      <c r="H37" s="946">
        <f>'Help Sheet'!H42</f>
        <v>0.27</v>
      </c>
      <c r="I37" s="15"/>
    </row>
    <row r="38" spans="1:9">
      <c r="A38" s="689" t="s">
        <v>793</v>
      </c>
      <c r="B38" s="943"/>
      <c r="C38" s="945">
        <f t="shared" ref="C38:H38" si="14">C35*(1-C37)</f>
        <v>-5879.5099999999993</v>
      </c>
      <c r="D38" s="945">
        <f t="shared" si="14"/>
        <v>-2802.24</v>
      </c>
      <c r="E38" s="945">
        <f t="shared" si="14"/>
        <v>-8198.64</v>
      </c>
      <c r="F38" s="945">
        <f t="shared" si="14"/>
        <v>-3440.49</v>
      </c>
      <c r="G38" s="945">
        <f t="shared" si="14"/>
        <v>-1234.43</v>
      </c>
      <c r="H38" s="945">
        <f t="shared" si="14"/>
        <v>-172.78296999999998</v>
      </c>
      <c r="I38" s="15"/>
    </row>
    <row r="39" spans="1:9">
      <c r="A39" s="947" t="s">
        <v>794</v>
      </c>
      <c r="B39" s="948"/>
      <c r="C39" s="949">
        <f t="shared" ref="C39:H39" si="15">C36*(1-C37)</f>
        <v>-5879.5099999999993</v>
      </c>
      <c r="D39" s="949">
        <f t="shared" si="15"/>
        <v>-2802.24</v>
      </c>
      <c r="E39" s="949">
        <f t="shared" si="15"/>
        <v>-8198.64</v>
      </c>
      <c r="F39" s="949">
        <f t="shared" si="15"/>
        <v>-3440.43889591786</v>
      </c>
      <c r="G39" s="949">
        <f t="shared" si="15"/>
        <v>-1234.3538209390701</v>
      </c>
      <c r="H39" s="949">
        <f t="shared" si="15"/>
        <v>-172.76355103948936</v>
      </c>
    </row>
    <row r="40" spans="1:9">
      <c r="A40" s="965" t="s">
        <v>795</v>
      </c>
      <c r="B40" s="966"/>
      <c r="C40" s="967"/>
      <c r="D40" s="967"/>
      <c r="E40" s="967"/>
      <c r="F40" s="967"/>
      <c r="G40" s="967"/>
      <c r="H40" s="967"/>
    </row>
    <row r="41" spans="1:9">
      <c r="A41" s="689" t="s">
        <v>796</v>
      </c>
      <c r="B41" s="943"/>
      <c r="C41" s="935">
        <f>C6*C30</f>
        <v>25573.56</v>
      </c>
      <c r="D41" s="935">
        <f t="shared" ref="D41:H41" si="16">D6*D30</f>
        <v>6421.14</v>
      </c>
      <c r="E41" s="935">
        <f t="shared" si="16"/>
        <v>7630.9137599999995</v>
      </c>
      <c r="F41" s="935">
        <f t="shared" si="16"/>
        <v>26334.65</v>
      </c>
      <c r="G41" s="935">
        <f t="shared" si="16"/>
        <v>6419.4000000000005</v>
      </c>
      <c r="H41" s="935">
        <f t="shared" si="16"/>
        <v>2023.3604500000001</v>
      </c>
    </row>
    <row r="42" spans="1:9">
      <c r="A42" s="950" t="s">
        <v>797</v>
      </c>
      <c r="B42" s="924"/>
      <c r="C42" s="943" cm="1">
        <f t="array" ref="C42">IFERROR(_xll.FDS(C$3,"FF_MIN_INT_ACCUM(ANN_R,0)"),0)</f>
        <v>0</v>
      </c>
      <c r="D42" s="943" cm="1">
        <f t="array" ref="D42">_xll.FDS(D$3,"FF_MIN_INT_ACCUM(ANN_R,0)")</f>
        <v>0</v>
      </c>
      <c r="E42" s="943" cm="1">
        <f t="array" ref="E42">_xll.FDS(E$3,"FF_MIN_INT_ACCUM(ANN_R,0)")</f>
        <v>0</v>
      </c>
      <c r="F42" s="943" cm="1">
        <f t="array" ref="F42">_xll.FDS(F$3,"FF_MIN_INT_ACCUM(ANN_R,0)")</f>
        <v>0</v>
      </c>
      <c r="G42" s="943" cm="1">
        <f t="array" ref="G42">_xll.FDS(G$3,"FF_MIN_INT_ACCUM(ANN_R,0)")</f>
        <v>0</v>
      </c>
      <c r="H42" s="943" cm="1">
        <f t="array" ref="H42">_xll.FDS(H$3,"FF_MIN_INT_ACCUM(ANN_R,0)")</f>
        <v>0</v>
      </c>
    </row>
    <row r="43" spans="1:9">
      <c r="A43" s="950" t="s">
        <v>798</v>
      </c>
      <c r="B43" s="924"/>
      <c r="C43" s="943" cm="1">
        <f t="array" ref="C43">_xll.FDS(C$3,"FF_PFD_STK(ANN_R,0)")</f>
        <v>0</v>
      </c>
      <c r="D43" s="943" cm="1">
        <f t="array" ref="D43">_xll.FDS(D$3,"FF_PFD_STK(ANN_R,0)")</f>
        <v>0</v>
      </c>
      <c r="E43" s="943" cm="1">
        <f t="array" ref="E43">_xll.FDS(E$3,"FF_PFD_STK(ANN_R,0)")</f>
        <v>0</v>
      </c>
      <c r="F43" s="943" cm="1">
        <f t="array" ref="F43">_xll.FDS(F$3,"FF_PFD_STK(ANN_R,0)")</f>
        <v>0</v>
      </c>
      <c r="G43" s="943" cm="1">
        <f t="array" ref="G43">_xll.FDS(G$3,"FF_PFD_STK(ANN_R,0)")</f>
        <v>0</v>
      </c>
      <c r="H43" s="943" cm="1">
        <f t="array" ref="H43">_xll.FDS(H$3,"FF_PFD_STK(ANN_R,0)")</f>
        <v>0</v>
      </c>
    </row>
    <row r="44" spans="1:9">
      <c r="A44" s="950" t="s">
        <v>799</v>
      </c>
      <c r="C44" s="935" cm="1">
        <f t="array" ref="C44">_xll.FDS(C$3,"FF_Debt(ANN_R,0)")</f>
        <v>35548</v>
      </c>
      <c r="D44" s="935" cm="1">
        <f t="array" ref="D44">_xll.FDS(D$3,"FF_Debt(ANN_R,0)")</f>
        <v>12989</v>
      </c>
      <c r="E44" s="935" cm="1">
        <f t="array" ref="E44">_xll.FDS(E$3,"FF_Debt(ANN_R,0)")</f>
        <v>41021</v>
      </c>
      <c r="F44" s="935" cm="1">
        <f t="array" ref="F44">_xll.FDS(F$3,"FF_Debt(ANN_R,0)")</f>
        <v>12199</v>
      </c>
      <c r="G44" s="935" cm="1">
        <f t="array" ref="G44">_xll.FDS(G$3,"FF_Debt(ANN_R,0)")</f>
        <v>5053</v>
      </c>
      <c r="H44" s="935" cm="1">
        <f t="array" ref="H44">_xll.FDS(H$3,"FF_Debt(ANN_R,0)")</f>
        <v>3492.1819999999998</v>
      </c>
    </row>
    <row r="45" spans="1:9">
      <c r="A45" s="950" t="s">
        <v>800</v>
      </c>
      <c r="C45" s="935">
        <f>'Ind Leases'!B27</f>
        <v>0</v>
      </c>
      <c r="D45" s="935">
        <f>'Ind Leases'!C27</f>
        <v>0</v>
      </c>
      <c r="E45" s="935">
        <f>'Ind Leases'!D27</f>
        <v>0</v>
      </c>
      <c r="F45" s="935">
        <f>'Ind Leases'!E27</f>
        <v>0</v>
      </c>
      <c r="G45" s="935">
        <f>'Ind Leases'!F27</f>
        <v>0</v>
      </c>
      <c r="H45" s="935">
        <f>'Ind Leases'!G27</f>
        <v>0</v>
      </c>
    </row>
    <row r="46" spans="1:9">
      <c r="A46" s="950" t="s">
        <v>801</v>
      </c>
      <c r="C46" s="935">
        <v>0</v>
      </c>
      <c r="D46" s="935">
        <v>0</v>
      </c>
      <c r="E46" s="935">
        <v>0</v>
      </c>
      <c r="F46" s="935">
        <v>0</v>
      </c>
      <c r="G46" s="935">
        <v>0</v>
      </c>
      <c r="H46" s="935">
        <v>0</v>
      </c>
    </row>
    <row r="47" spans="1:9">
      <c r="A47" s="950" t="s">
        <v>802</v>
      </c>
      <c r="B47" s="924"/>
      <c r="C47" s="943">
        <v>0</v>
      </c>
      <c r="D47" s="943">
        <v>0</v>
      </c>
      <c r="E47" s="943">
        <v>0</v>
      </c>
      <c r="F47" s="943">
        <v>0</v>
      </c>
      <c r="G47" s="943">
        <v>0</v>
      </c>
      <c r="H47" s="943">
        <v>0</v>
      </c>
    </row>
    <row r="48" spans="1:9">
      <c r="A48" s="951" t="s">
        <v>803</v>
      </c>
      <c r="B48" s="948"/>
      <c r="C48" s="952" cm="1">
        <f t="array" ref="C48">_xll.FDS(C$3,"FF_CASH_ST(ANN_R,0)")</f>
        <v>14288</v>
      </c>
      <c r="D48" s="952" cm="1">
        <f t="array" ref="D48">_xll.FDS(D$3,"FF_CASH_ST(ANN_R,0)")</f>
        <v>7607</v>
      </c>
      <c r="E48" s="952" cm="1">
        <f t="array" ref="E48">_xll.FDS(E$3,"FF_CASH_ST(ANN_R,0)")</f>
        <v>7473</v>
      </c>
      <c r="F48" s="952" cm="1">
        <f t="array" ref="F48">_xll.FDS(F$3,"FF_CASH_ST(ANN_R,0)")</f>
        <v>13334</v>
      </c>
      <c r="G48" s="952" cm="1">
        <f t="array" ref="G48">_xll.FDS(G$3,"FF_CASH_ST(ANN_R,0)")</f>
        <v>3346</v>
      </c>
      <c r="H48" s="952" cm="1">
        <f t="array" ref="H48">_xll.FDS(H$3,"FF_CASH_ST(ANN_R,0)")</f>
        <v>825.90800000000002</v>
      </c>
    </row>
    <row r="49" spans="1:8">
      <c r="A49" s="968" t="s">
        <v>804</v>
      </c>
      <c r="B49" s="969"/>
      <c r="C49" s="970">
        <f t="shared" ref="C49:H49" si="17">SUM(C41:C46)-C48</f>
        <v>46833.56</v>
      </c>
      <c r="D49" s="970">
        <f t="shared" si="17"/>
        <v>11803.14</v>
      </c>
      <c r="E49" s="970">
        <f t="shared" si="17"/>
        <v>41178.913759999996</v>
      </c>
      <c r="F49" s="970">
        <f t="shared" si="17"/>
        <v>25199.65</v>
      </c>
      <c r="G49" s="970">
        <f t="shared" si="17"/>
        <v>8126.4000000000015</v>
      </c>
      <c r="H49" s="970">
        <f t="shared" si="17"/>
        <v>4689.6344499999996</v>
      </c>
    </row>
    <row r="50" spans="1:8">
      <c r="A50" s="968"/>
      <c r="B50" s="969"/>
      <c r="C50" s="970"/>
      <c r="D50" s="970"/>
      <c r="E50" s="970"/>
      <c r="F50" s="970"/>
      <c r="G50" s="970"/>
      <c r="H50" s="970"/>
    </row>
    <row r="51" spans="1:8">
      <c r="A51" s="965" t="s">
        <v>805</v>
      </c>
      <c r="B51" s="966"/>
      <c r="C51" s="967"/>
      <c r="D51" s="967"/>
      <c r="E51" s="967"/>
      <c r="F51" s="967"/>
      <c r="G51" s="967"/>
      <c r="H51" s="967"/>
    </row>
    <row r="52" spans="1:8">
      <c r="A52" s="689" t="s">
        <v>784</v>
      </c>
      <c r="B52" s="936">
        <f>MEDIAN(D52:H52)</f>
        <v>-4.8484894259818727</v>
      </c>
      <c r="C52" s="934">
        <f t="shared" ref="C52:H53" si="18">C12</f>
        <v>-2.0648817117480824</v>
      </c>
      <c r="D52" s="934">
        <f t="shared" si="18"/>
        <v>-1.3817817947062621</v>
      </c>
      <c r="E52" s="934">
        <f t="shared" si="18"/>
        <v>-0.85885354642656153</v>
      </c>
      <c r="F52" s="934">
        <f t="shared" si="18"/>
        <v>-8.5668998048145735</v>
      </c>
      <c r="G52" s="934">
        <f t="shared" si="18"/>
        <v>-4.8484894259818727</v>
      </c>
      <c r="H52" s="934">
        <f t="shared" si="18"/>
        <v>-237.6230710510863</v>
      </c>
    </row>
    <row r="53" spans="1:8">
      <c r="A53" s="689" t="s">
        <v>785</v>
      </c>
      <c r="B53" s="936">
        <f t="shared" ref="B53:B60" si="19">MEDIAN(D53:H53)</f>
        <v>-4.946127549310404</v>
      </c>
      <c r="C53" s="934">
        <f t="shared" si="18"/>
        <v>-3.9108684681378176</v>
      </c>
      <c r="D53" s="934">
        <f t="shared" si="18"/>
        <v>-1.9717554720318371</v>
      </c>
      <c r="E53" s="934">
        <f t="shared" si="18"/>
        <v>-0.84021653189577705</v>
      </c>
      <c r="F53" s="934">
        <f t="shared" si="18"/>
        <v>-7.1934928411611816</v>
      </c>
      <c r="G53" s="934">
        <f t="shared" si="18"/>
        <v>-4.946127549310404</v>
      </c>
      <c r="H53" s="934">
        <f t="shared" si="18"/>
        <v>-7.7027625796980086</v>
      </c>
    </row>
    <row r="54" spans="1:8">
      <c r="A54" s="689" t="s">
        <v>165</v>
      </c>
      <c r="B54" s="936">
        <f t="shared" si="19"/>
        <v>-5.7380359747204661</v>
      </c>
      <c r="C54" s="934">
        <f t="shared" ref="C54:H54" si="20">C$22/C33</f>
        <v>-7.8461316803484671</v>
      </c>
      <c r="D54" s="934">
        <f t="shared" si="20"/>
        <v>-5.7380359747204661</v>
      </c>
      <c r="E54" s="934">
        <f t="shared" si="20"/>
        <v>-4.5642777388605635</v>
      </c>
      <c r="F54" s="934">
        <f t="shared" si="20"/>
        <v>-7.2873481781376519</v>
      </c>
      <c r="G54" s="934">
        <f t="shared" si="20"/>
        <v>-6.3937057435090479</v>
      </c>
      <c r="H54" s="934">
        <f t="shared" si="20"/>
        <v>19.682018088722874</v>
      </c>
    </row>
    <row r="55" spans="1:8">
      <c r="A55" s="689" t="s">
        <v>806</v>
      </c>
      <c r="B55" s="936">
        <f t="shared" si="19"/>
        <v>-5.7380359747204661</v>
      </c>
      <c r="C55" s="934">
        <f t="shared" ref="C55:H55" si="21">C$49/C34</f>
        <v>-7.8461316803484671</v>
      </c>
      <c r="D55" s="934">
        <f t="shared" si="21"/>
        <v>-5.7380359747204661</v>
      </c>
      <c r="E55" s="934">
        <f t="shared" si="21"/>
        <v>-4.5642777388605626</v>
      </c>
      <c r="F55" s="934">
        <f t="shared" si="21"/>
        <v>-7.2874957100784217</v>
      </c>
      <c r="G55" s="934">
        <f t="shared" si="21"/>
        <v>-6.3942307389209878</v>
      </c>
      <c r="H55" s="934">
        <f t="shared" si="21"/>
        <v>19.679820963059989</v>
      </c>
    </row>
    <row r="56" spans="1:8">
      <c r="A56" s="689" t="s">
        <v>166</v>
      </c>
      <c r="B56" s="936">
        <f t="shared" si="19"/>
        <v>-4.8056771141336485</v>
      </c>
      <c r="C56" s="934">
        <f t="shared" ref="C56:H56" si="22">C$22/C35</f>
        <v>-5.6555440164231374</v>
      </c>
      <c r="D56" s="934">
        <f t="shared" si="22"/>
        <v>-3.0326670092497428</v>
      </c>
      <c r="E56" s="934">
        <f t="shared" si="22"/>
        <v>-3.6163092790023712</v>
      </c>
      <c r="F56" s="934">
        <f t="shared" si="22"/>
        <v>-5.3468385317207723</v>
      </c>
      <c r="G56" s="934">
        <f t="shared" si="22"/>
        <v>-4.8056771141336485</v>
      </c>
      <c r="H56" s="934">
        <f t="shared" si="22"/>
        <v>-19.813487107554639</v>
      </c>
    </row>
    <row r="57" spans="1:8">
      <c r="A57" s="689" t="s">
        <v>807</v>
      </c>
      <c r="B57" s="936">
        <f t="shared" si="19"/>
        <v>-4.8059737000585896</v>
      </c>
      <c r="C57" s="934">
        <f t="shared" ref="C57:H57" si="23">C$49/C36</f>
        <v>-5.6555440164231374</v>
      </c>
      <c r="D57" s="934">
        <f t="shared" si="23"/>
        <v>-3.0326670092497428</v>
      </c>
      <c r="E57" s="934">
        <f t="shared" si="23"/>
        <v>-3.6163092790023708</v>
      </c>
      <c r="F57" s="934">
        <f t="shared" si="23"/>
        <v>-5.3469179533538203</v>
      </c>
      <c r="G57" s="934">
        <f t="shared" si="23"/>
        <v>-4.8059737000585896</v>
      </c>
      <c r="H57" s="934">
        <f t="shared" si="23"/>
        <v>-19.815714182197432</v>
      </c>
    </row>
    <row r="58" spans="1:8">
      <c r="A58" s="689" t="s">
        <v>808</v>
      </c>
      <c r="B58" s="936">
        <f t="shared" si="19"/>
        <v>-6.5831193344296555</v>
      </c>
      <c r="C58" s="934">
        <f t="shared" ref="C58:H58" si="24">C$22/C38</f>
        <v>-7.9655549527086444</v>
      </c>
      <c r="D58" s="934">
        <f t="shared" si="24"/>
        <v>-4.2120375128468659</v>
      </c>
      <c r="E58" s="934">
        <f t="shared" si="24"/>
        <v>-5.0226517763921832</v>
      </c>
      <c r="F58" s="934">
        <f t="shared" si="24"/>
        <v>-7.3244363448229768</v>
      </c>
      <c r="G58" s="934">
        <f t="shared" si="24"/>
        <v>-6.5831193344296555</v>
      </c>
      <c r="H58" s="934">
        <f t="shared" si="24"/>
        <v>-27.141763161033754</v>
      </c>
    </row>
    <row r="59" spans="1:8">
      <c r="A59" s="689" t="s">
        <v>809</v>
      </c>
      <c r="B59" s="936">
        <f t="shared" si="19"/>
        <v>-6.5835256165186165</v>
      </c>
      <c r="C59" s="934">
        <f t="shared" ref="C59:H59" si="25">C$49/C39</f>
        <v>-7.9655549527086444</v>
      </c>
      <c r="D59" s="934">
        <f t="shared" si="25"/>
        <v>-4.2120375128468659</v>
      </c>
      <c r="E59" s="934">
        <f t="shared" si="25"/>
        <v>-5.0226517763921823</v>
      </c>
      <c r="F59" s="934">
        <f t="shared" si="25"/>
        <v>-7.3245451415805753</v>
      </c>
      <c r="G59" s="934">
        <f t="shared" si="25"/>
        <v>-6.5835256165186165</v>
      </c>
      <c r="H59" s="934">
        <f t="shared" si="25"/>
        <v>-27.144813948215663</v>
      </c>
    </row>
    <row r="60" spans="1:8">
      <c r="A60" s="947" t="s">
        <v>164</v>
      </c>
      <c r="B60" s="959">
        <f t="shared" si="19"/>
        <v>2.2788558609085814</v>
      </c>
      <c r="C60" s="976">
        <f t="shared" ref="C60:H60" si="26">C$49/C28</f>
        <v>2.7396057326703711</v>
      </c>
      <c r="D60" s="976">
        <f t="shared" si="26"/>
        <v>2.0235110577747299</v>
      </c>
      <c r="E60" s="976">
        <f t="shared" si="26"/>
        <v>2.3752041160523731</v>
      </c>
      <c r="F60" s="976">
        <f t="shared" si="26"/>
        <v>2.7851072060123787</v>
      </c>
      <c r="G60" s="976">
        <f t="shared" si="26"/>
        <v>2.2788558609085814</v>
      </c>
      <c r="H60" s="976">
        <f t="shared" si="26"/>
        <v>2.2047018108171379</v>
      </c>
    </row>
    <row r="61" spans="1:8">
      <c r="A61" s="689"/>
      <c r="B61" s="943"/>
      <c r="C61" s="934"/>
      <c r="D61" s="934"/>
      <c r="E61" s="934"/>
      <c r="F61" s="934"/>
      <c r="G61" s="934"/>
      <c r="H61" s="934"/>
    </row>
    <row r="62" spans="1:8" ht="28.35" customHeight="1">
      <c r="A62" s="977" t="s">
        <v>810</v>
      </c>
      <c r="B62" s="1021" t="s">
        <v>811</v>
      </c>
      <c r="C62" s="978" t="str">
        <f t="shared" ref="C62:H62" si="27">C21</f>
        <v>Delta Air Lines, Inc.</v>
      </c>
      <c r="D62" s="978" t="str">
        <f t="shared" si="27"/>
        <v>Air Canada</v>
      </c>
      <c r="E62" s="978" t="str">
        <f t="shared" si="27"/>
        <v>American Airlines Group, Inc.</v>
      </c>
      <c r="F62" s="978" t="str">
        <f t="shared" si="27"/>
        <v>Southwest Airlines Co.</v>
      </c>
      <c r="G62" s="978" t="str">
        <f t="shared" si="27"/>
        <v>Alaska Air Group, Inc.</v>
      </c>
      <c r="H62" s="978" t="str">
        <f t="shared" si="27"/>
        <v>SkyWest, Inc</v>
      </c>
    </row>
    <row r="63" spans="1:8">
      <c r="A63" s="3" t="s">
        <v>812</v>
      </c>
      <c r="B63" s="943">
        <f>VLOOKUP(B62,Table14[],3,FALSE)</f>
        <v>27.844321947895128</v>
      </c>
      <c r="C63" s="953">
        <f t="shared" ref="C63:H63" si="28">C13</f>
        <v>-3.9108684681378176</v>
      </c>
      <c r="D63" s="953">
        <f t="shared" si="28"/>
        <v>-1.9717554720318371</v>
      </c>
      <c r="E63" s="953">
        <f t="shared" si="28"/>
        <v>-0.84021653189577705</v>
      </c>
      <c r="F63" s="953">
        <f t="shared" si="28"/>
        <v>-7.1934928411611816</v>
      </c>
      <c r="G63" s="953">
        <f t="shared" si="28"/>
        <v>-4.946127549310404</v>
      </c>
      <c r="H63" s="953">
        <f t="shared" si="28"/>
        <v>-7.7027625796980086</v>
      </c>
    </row>
    <row r="64" spans="1:8">
      <c r="A64" s="3" t="s">
        <v>165</v>
      </c>
      <c r="B64" s="943">
        <f>VLOOKUP(B62,Table1[#All],4,FALSE)</f>
        <v>12.959492073346206</v>
      </c>
      <c r="C64" s="953">
        <f>C54</f>
        <v>-7.8461316803484671</v>
      </c>
      <c r="D64" s="953">
        <f t="shared" ref="D64:H64" si="29">D54</f>
        <v>-5.7380359747204661</v>
      </c>
      <c r="E64" s="953">
        <f t="shared" si="29"/>
        <v>-4.5642777388605635</v>
      </c>
      <c r="F64" s="953">
        <f t="shared" si="29"/>
        <v>-7.2873481781376519</v>
      </c>
      <c r="G64" s="953">
        <f t="shared" si="29"/>
        <v>-6.3937057435090479</v>
      </c>
      <c r="H64" s="953">
        <f t="shared" si="29"/>
        <v>19.682018088722874</v>
      </c>
    </row>
    <row r="65" spans="1:8">
      <c r="A65" s="3" t="s">
        <v>813</v>
      </c>
      <c r="B65" s="943">
        <f>VLOOKUP(B62,Table1[#All],3,FALSE)</f>
        <v>12.9492483068755</v>
      </c>
      <c r="C65" s="953">
        <f>C55</f>
        <v>-7.8461316803484671</v>
      </c>
      <c r="D65" s="953">
        <f t="shared" ref="D65:H65" si="30">D55</f>
        <v>-5.7380359747204661</v>
      </c>
      <c r="E65" s="953">
        <f t="shared" si="30"/>
        <v>-4.5642777388605626</v>
      </c>
      <c r="F65" s="953">
        <f t="shared" si="30"/>
        <v>-7.2874957100784217</v>
      </c>
      <c r="G65" s="953">
        <f t="shared" si="30"/>
        <v>-6.3942307389209878</v>
      </c>
      <c r="H65" s="953">
        <f t="shared" si="30"/>
        <v>19.679820963059989</v>
      </c>
    </row>
    <row r="66" spans="1:8">
      <c r="A66" s="3" t="s">
        <v>166</v>
      </c>
      <c r="B66" s="943">
        <f>VLOOKUP(B62,Table1[#All],5,FALSE)</f>
        <v>25.626980651208445</v>
      </c>
      <c r="C66" s="953">
        <f>C57</f>
        <v>-5.6555440164231374</v>
      </c>
      <c r="D66" s="953">
        <f t="shared" ref="D66:H66" si="31">D57</f>
        <v>-3.0326670092497428</v>
      </c>
      <c r="E66" s="953">
        <f t="shared" si="31"/>
        <v>-3.6163092790023708</v>
      </c>
      <c r="F66" s="953">
        <f t="shared" si="31"/>
        <v>-5.3469179533538203</v>
      </c>
      <c r="G66" s="953">
        <f t="shared" si="31"/>
        <v>-4.8059737000585896</v>
      </c>
      <c r="H66" s="953">
        <f t="shared" si="31"/>
        <v>-19.815714182197432</v>
      </c>
    </row>
    <row r="67" spans="1:8">
      <c r="A67" s="3" t="s">
        <v>814</v>
      </c>
      <c r="B67" s="943">
        <f>VLOOKUP(B62,Table1[#All],6,FALSE)</f>
        <v>32.484421571592051</v>
      </c>
      <c r="C67" s="953">
        <f>C59</f>
        <v>-7.9655549527086444</v>
      </c>
      <c r="D67" s="953">
        <f t="shared" ref="D67:H67" si="32">D59</f>
        <v>-4.2120375128468659</v>
      </c>
      <c r="E67" s="953">
        <f t="shared" si="32"/>
        <v>-5.0226517763921823</v>
      </c>
      <c r="F67" s="953">
        <f t="shared" si="32"/>
        <v>-7.3245451415805753</v>
      </c>
      <c r="G67" s="953">
        <f t="shared" si="32"/>
        <v>-6.5835256165186165</v>
      </c>
      <c r="H67" s="953">
        <f t="shared" si="32"/>
        <v>-27.144813948215663</v>
      </c>
    </row>
    <row r="68" spans="1:8">
      <c r="A68" s="901" t="s">
        <v>164</v>
      </c>
      <c r="B68" s="948">
        <f>VLOOKUP(B62,Table15[#All],5,FALSE)</f>
        <v>1.5567317897080666</v>
      </c>
      <c r="C68" s="979">
        <f>C60</f>
        <v>2.7396057326703711</v>
      </c>
      <c r="D68" s="979">
        <f t="shared" ref="D68:H68" si="33">D60</f>
        <v>2.0235110577747299</v>
      </c>
      <c r="E68" s="979">
        <f t="shared" si="33"/>
        <v>2.3752041160523731</v>
      </c>
      <c r="F68" s="979">
        <f t="shared" si="33"/>
        <v>2.7851072060123787</v>
      </c>
      <c r="G68" s="979">
        <f t="shared" si="33"/>
        <v>2.2788558609085814</v>
      </c>
      <c r="H68" s="979">
        <f t="shared" si="33"/>
        <v>2.2047018108171379</v>
      </c>
    </row>
    <row r="69" spans="1:8">
      <c r="B69" s="327"/>
      <c r="C69" s="327"/>
      <c r="D69" s="327"/>
      <c r="E69" s="327"/>
      <c r="F69" s="327"/>
      <c r="G69" s="327"/>
      <c r="H69" s="327"/>
    </row>
    <row r="70" spans="1:8" ht="17.25" customHeight="1">
      <c r="A70" s="965" t="s">
        <v>815</v>
      </c>
      <c r="B70" s="966"/>
      <c r="C70" s="981" t="str">
        <f>C62</f>
        <v>Delta Air Lines, Inc.</v>
      </c>
      <c r="D70" s="981" t="str">
        <f t="shared" ref="D70:H70" si="34">D62</f>
        <v>Air Canada</v>
      </c>
      <c r="E70" s="981" t="str">
        <f t="shared" si="34"/>
        <v>American Airlines Group, Inc.</v>
      </c>
      <c r="F70" s="981" t="str">
        <f t="shared" si="34"/>
        <v>Southwest Airlines Co.</v>
      </c>
      <c r="G70" s="981" t="str">
        <f t="shared" si="34"/>
        <v>Alaska Air Group, Inc.</v>
      </c>
      <c r="H70" s="981" t="str">
        <f t="shared" si="34"/>
        <v>SkyWest, Inc</v>
      </c>
    </row>
    <row r="71" spans="1:8" ht="16.350000000000001" customHeight="1">
      <c r="A71" s="372" t="s">
        <v>816</v>
      </c>
      <c r="C71" s="474"/>
    </row>
    <row r="72" spans="1:8" ht="16.350000000000001" customHeight="1">
      <c r="A72" s="3" t="s">
        <v>817</v>
      </c>
      <c r="C72" s="386">
        <f t="shared" ref="C72:H72" si="35">$B$64*C33</f>
        <v>-77355.208185803509</v>
      </c>
      <c r="D72" s="386">
        <f t="shared" si="35"/>
        <v>-26657.675194873147</v>
      </c>
      <c r="E72" s="386">
        <f t="shared" si="35"/>
        <v>-116920.53748572948</v>
      </c>
      <c r="F72" s="386">
        <f t="shared" si="35"/>
        <v>-44813.92358963118</v>
      </c>
      <c r="G72" s="386">
        <f t="shared" si="35"/>
        <v>-16471.514425223028</v>
      </c>
      <c r="H72" s="386">
        <f t="shared" si="35"/>
        <v>3087.8581763162006</v>
      </c>
    </row>
    <row r="73" spans="1:8">
      <c r="A73" s="3" t="s">
        <v>818</v>
      </c>
      <c r="C73" s="386">
        <f t="shared" ref="C73:H73" si="36">$B$66*C35</f>
        <v>-212217.02677265715</v>
      </c>
      <c r="D73" s="386">
        <f t="shared" si="36"/>
        <v>-99740.208694503264</v>
      </c>
      <c r="E73" s="386">
        <f t="shared" si="36"/>
        <v>-291814.42867531057</v>
      </c>
      <c r="F73" s="386">
        <f t="shared" si="36"/>
        <v>-120779.9598091454</v>
      </c>
      <c r="G73" s="386">
        <f t="shared" si="36"/>
        <v>-43335.224281193478</v>
      </c>
      <c r="H73" s="386">
        <f t="shared" si="36"/>
        <v>-6065.6244233538755</v>
      </c>
    </row>
    <row r="74" spans="1:8">
      <c r="A74" s="3" t="s">
        <v>819</v>
      </c>
      <c r="C74" s="386">
        <f t="shared" ref="C74:H74" si="37">$B$67*C38</f>
        <v>-190992.48147439116</v>
      </c>
      <c r="D74" s="386">
        <f t="shared" si="37"/>
        <v>-91029.145504778106</v>
      </c>
      <c r="E74" s="386">
        <f t="shared" si="37"/>
        <v>-266328.07807371742</v>
      </c>
      <c r="F74" s="386">
        <f t="shared" si="37"/>
        <v>-111762.32757284673</v>
      </c>
      <c r="G74" s="386">
        <f t="shared" si="37"/>
        <v>-40099.744520620377</v>
      </c>
      <c r="H74" s="386">
        <f t="shared" si="37"/>
        <v>-5612.7548378717411</v>
      </c>
    </row>
    <row r="75" spans="1:8">
      <c r="A75" s="3" t="s">
        <v>820</v>
      </c>
      <c r="C75" s="386">
        <f t="shared" ref="C75:H75" si="38">$B$68*C28</f>
        <v>26612.329945059399</v>
      </c>
      <c r="D75" s="386">
        <f t="shared" si="38"/>
        <v>9080.4165293671522</v>
      </c>
      <c r="E75" s="386">
        <f t="shared" si="38"/>
        <v>26989.059038168751</v>
      </c>
      <c r="F75" s="386">
        <f t="shared" si="38"/>
        <v>14085.309233278587</v>
      </c>
      <c r="G75" s="386">
        <f t="shared" si="38"/>
        <v>5551.3055620989653</v>
      </c>
      <c r="H75" s="386">
        <f t="shared" si="38"/>
        <v>3311.3335302787668</v>
      </c>
    </row>
    <row r="76" spans="1:8" ht="16.350000000000001" customHeight="1">
      <c r="A76" s="372" t="s">
        <v>821</v>
      </c>
    </row>
    <row r="77" spans="1:8" ht="16.350000000000001" customHeight="1">
      <c r="A77" s="3" t="s">
        <v>822</v>
      </c>
      <c r="C77" s="386">
        <f t="shared" ref="C77:H77" si="39">$B$65*C34</f>
        <v>-77294.063143739855</v>
      </c>
      <c r="D77" s="386">
        <f t="shared" si="39"/>
        <v>-26636.603767242905</v>
      </c>
      <c r="E77" s="386">
        <f t="shared" si="39"/>
        <v>-116828.11822463076</v>
      </c>
      <c r="F77" s="386">
        <f t="shared" si="39"/>
        <v>-44777.594125382158</v>
      </c>
      <c r="G77" s="386">
        <f t="shared" si="39"/>
        <v>-16457.143280811688</v>
      </c>
      <c r="H77" s="386">
        <f t="shared" si="39"/>
        <v>3085.7618611223947</v>
      </c>
    </row>
    <row r="78" spans="1:8">
      <c r="A78" s="3" t="s">
        <v>818</v>
      </c>
      <c r="C78" s="386">
        <f t="shared" ref="C78:H78" si="40">$B$66*C36</f>
        <v>-212217.02677265715</v>
      </c>
      <c r="D78" s="386">
        <f t="shared" si="40"/>
        <v>-99740.208694503264</v>
      </c>
      <c r="E78" s="386">
        <f t="shared" si="40"/>
        <v>-291814.42867531057</v>
      </c>
      <c r="F78" s="386">
        <f t="shared" si="40"/>
        <v>-120778.16577719444</v>
      </c>
      <c r="G78" s="386">
        <f t="shared" si="40"/>
        <v>-43332.549980754477</v>
      </c>
      <c r="H78" s="386">
        <f t="shared" si="40"/>
        <v>-6064.942711949393</v>
      </c>
    </row>
    <row r="79" spans="1:8">
      <c r="A79" s="3" t="s">
        <v>819</v>
      </c>
      <c r="C79" s="386">
        <f t="shared" ref="C79:H79" si="41">$B$67*C39</f>
        <v>-190992.48147439116</v>
      </c>
      <c r="D79" s="386">
        <f t="shared" si="41"/>
        <v>-91029.145504778106</v>
      </c>
      <c r="E79" s="386">
        <f t="shared" si="41"/>
        <v>-266328.07807371742</v>
      </c>
      <c r="F79" s="386">
        <f t="shared" si="41"/>
        <v>-111760.66748629847</v>
      </c>
      <c r="G79" s="386">
        <f t="shared" si="41"/>
        <v>-40097.269887890201</v>
      </c>
      <c r="H79" s="386">
        <f t="shared" si="41"/>
        <v>-5612.1240241720325</v>
      </c>
    </row>
    <row r="80" spans="1:8">
      <c r="A80" s="3" t="s">
        <v>820</v>
      </c>
      <c r="C80" s="386">
        <f t="shared" ref="C80:H80" si="42">$B$68*C28</f>
        <v>26612.329945059399</v>
      </c>
      <c r="D80" s="386">
        <f t="shared" si="42"/>
        <v>9080.4165293671522</v>
      </c>
      <c r="E80" s="386">
        <f t="shared" si="42"/>
        <v>26989.059038168751</v>
      </c>
      <c r="F80" s="386">
        <f t="shared" si="42"/>
        <v>14085.309233278587</v>
      </c>
      <c r="G80" s="386">
        <f t="shared" si="42"/>
        <v>5551.3055620989653</v>
      </c>
      <c r="H80" s="386">
        <f t="shared" si="42"/>
        <v>3311.3335302787668</v>
      </c>
    </row>
    <row r="81" spans="1:8" ht="8.85" customHeight="1"/>
    <row r="82" spans="1:8">
      <c r="A82" s="372" t="s">
        <v>823</v>
      </c>
      <c r="B82" s="372"/>
      <c r="C82" s="403" cm="1">
        <f t="array" ref="C82">_xll.FDSR(C3,"JULIAN(FG_PRICE("&amp;C5&amp;").dates)")</f>
        <v>44196</v>
      </c>
      <c r="D82" s="403" cm="1">
        <f t="array" ref="D82">_xll.FDSR(D3,"JULIAN(FG_PRICE("&amp;D5&amp;").dates)")</f>
        <v>44196</v>
      </c>
      <c r="E82" s="403" cm="1">
        <f t="array" ref="E82">_xll.FDSR(E3,"JULIAN(FG_PRICE("&amp;E5&amp;").dates)")</f>
        <v>44196</v>
      </c>
      <c r="F82" s="403" cm="1">
        <f t="array" ref="F82">_xll.FDSR(F3,"JULIAN(FG_PRICE("&amp;F5&amp;").dates)")</f>
        <v>44196</v>
      </c>
      <c r="G82" s="403" cm="1">
        <f t="array" ref="G82">_xll.FDSR(G3,"JULIAN(FG_PRICE("&amp;G5&amp;").dates)")</f>
        <v>44196</v>
      </c>
      <c r="H82" s="403" cm="1">
        <f t="array" ref="H82">_xll.FDSR(H3,"JULIAN(FG_PRICE("&amp;H5&amp;").dates)")</f>
        <v>44196</v>
      </c>
    </row>
    <row r="83" spans="1:8">
      <c r="A83" s="372"/>
      <c r="B83" s="372"/>
      <c r="C83" s="380" cm="1">
        <f t="array" ref="C83">_xll.FDSR(C3,"FG_PRICE("&amp;C5&amp;")")</f>
        <v>40.21</v>
      </c>
      <c r="D83" s="380" cm="1">
        <f t="array" ref="D83">_xll.FDSR(D3,"FG_PRICE("&amp;D5&amp;")")</f>
        <v>22.77</v>
      </c>
      <c r="E83" s="954" cm="1">
        <f t="array" ref="E83">_xll.FDSR(E3,"FG_PRICE("&amp;E5&amp;")")</f>
        <v>15.77</v>
      </c>
      <c r="F83" s="380" cm="1">
        <f t="array" ref="F83">_xll.FDSR(F3,"FG_PRICE("&amp;F5&amp;")")</f>
        <v>46.61</v>
      </c>
      <c r="G83" s="380" cm="1">
        <f t="array" ref="G83">_xll.FDSR(G3,"FG_PRICE("&amp;G5&amp;")")</f>
        <v>52</v>
      </c>
      <c r="H83" s="380" cm="1">
        <f t="array" ref="H83">_xll.FDSR(H3,"FG_PRICE("&amp;H5&amp;")")</f>
        <v>40.31</v>
      </c>
    </row>
    <row r="84" spans="1:8">
      <c r="A84" s="372" t="s">
        <v>824</v>
      </c>
      <c r="B84" s="372"/>
      <c r="C84" s="380" cm="1">
        <f t="array" ref="C84">_xll.FDSR(C3,"FG_PRICE(0)")</f>
        <v>36.380000000000003</v>
      </c>
      <c r="D84" s="380" cm="1">
        <f t="array" ref="D84">_xll.FDSR(D3,"FG_PRICE(0)")</f>
        <v>23.32</v>
      </c>
      <c r="E84" s="954" cm="1">
        <f t="array" ref="E84">_xll.FDSR(E3,"FG_PRICE(0)")</f>
        <v>19.46</v>
      </c>
      <c r="F84" s="380" cm="1">
        <f t="array" ref="F84">_xll.FDSR(F3,"FG_PRICE(0)")</f>
        <v>46.99</v>
      </c>
      <c r="G84" s="380" cm="1">
        <f t="array" ref="G84">_xll.FDSR(G3,"FG_PRICE(0)")</f>
        <v>52.91</v>
      </c>
      <c r="H84" s="380" cm="1">
        <f t="array" ref="H84">_xll.FDSR(H3,"FG_PRICE(0)")</f>
        <v>44.23</v>
      </c>
    </row>
    <row r="85" spans="1:8">
      <c r="A85" s="3" t="s">
        <v>825</v>
      </c>
      <c r="C85" s="327">
        <f>$B$63*C31</f>
        <v>-542.22001151679422</v>
      </c>
      <c r="D85" s="327">
        <f>C63*D31</f>
        <v>64.446119756866807</v>
      </c>
      <c r="E85" s="386">
        <f>D63*E31</f>
        <v>36.204756821832476</v>
      </c>
      <c r="F85" s="327">
        <f>E63*F31</f>
        <v>4.5713727770754309</v>
      </c>
      <c r="G85" s="327">
        <f>F63*G31</f>
        <v>77.150137883332562</v>
      </c>
      <c r="H85" s="327">
        <f>G63*H31</f>
        <v>0.83905321411252309</v>
      </c>
    </row>
    <row r="86" spans="1:8">
      <c r="A86" s="3" t="s">
        <v>826</v>
      </c>
      <c r="C86" s="474">
        <f>(C72-SUM(C$42:C$46)+C$48+C47)/C$30</f>
        <v>-155.05535878270993</v>
      </c>
      <c r="D86" s="474">
        <f t="shared" ref="D86:H86" si="43">(D72-SUM(D$42:D$46)+D$48+D47)/D$30</f>
        <v>-113.61586948536576</v>
      </c>
      <c r="E86" s="474">
        <f t="shared" si="43"/>
        <v>-310.95736510458931</v>
      </c>
      <c r="F86" s="474">
        <f t="shared" si="43"/>
        <v>-77.307829362179078</v>
      </c>
      <c r="G86" s="474">
        <f t="shared" si="43"/>
        <v>-147.25406581792652</v>
      </c>
      <c r="H86" s="474">
        <f t="shared" si="43"/>
        <v>8.3989277082617946</v>
      </c>
    </row>
    <row r="87" spans="1:8">
      <c r="A87" s="3" t="s">
        <v>827</v>
      </c>
      <c r="C87" s="474">
        <f>(C73-SUM(C$42:C$46)+C$48+C47)/C$30</f>
        <v>-367.10224335323448</v>
      </c>
      <c r="D87" s="474">
        <f t="shared" ref="D87:H87" si="44">(D73-SUM(D$42:D$46)+D$48+D47)/D$30</f>
        <v>-372.77378969682007</v>
      </c>
      <c r="E87" s="474">
        <f t="shared" si="44"/>
        <v>-672.39201772995114</v>
      </c>
      <c r="F87" s="474">
        <f t="shared" si="44"/>
        <v>-211.76099081264672</v>
      </c>
      <c r="G87" s="474">
        <f t="shared" si="44"/>
        <v>-364.86208409229226</v>
      </c>
      <c r="H87" s="474">
        <f t="shared" si="44"/>
        <v>-173.95952631445115</v>
      </c>
    </row>
    <row r="88" spans="1:8">
      <c r="A88" s="3" t="s">
        <v>828</v>
      </c>
      <c r="C88" s="474">
        <f>(C74-SUM(C$42:C$46)+C$48+C47)/C$30</f>
        <v>-333.7303167836339</v>
      </c>
      <c r="D88" s="474">
        <f t="shared" ref="D88:H88" si="45">(D74-SUM(D$42:D$46)+D$48+D47)/D$30</f>
        <v>-341.88349469779467</v>
      </c>
      <c r="E88" s="474">
        <f t="shared" si="45"/>
        <v>-619.72208046845026</v>
      </c>
      <c r="F88" s="474">
        <f t="shared" si="45"/>
        <v>-195.80057977494997</v>
      </c>
      <c r="G88" s="474">
        <f t="shared" si="45"/>
        <v>-338.65325654613508</v>
      </c>
      <c r="H88" s="474">
        <f t="shared" si="45"/>
        <v>-164.93732120473635</v>
      </c>
    </row>
    <row r="89" spans="1:8">
      <c r="A89" s="3" t="s">
        <v>829</v>
      </c>
      <c r="C89" s="474">
        <f>(C75-SUM(C$42:C$46)+C$48+C47)/C$30</f>
        <v>8.4156131211625755</v>
      </c>
      <c r="D89" s="474">
        <f t="shared" ref="D89:H89" si="46">(D75-SUM(D$42:D$46)+D$48+D47)/D$30</f>
        <v>13.114952231798412</v>
      </c>
      <c r="E89" s="474">
        <f t="shared" si="46"/>
        <v>-13.554667530154187</v>
      </c>
      <c r="F89" s="474">
        <f t="shared" si="46"/>
        <v>26.938600412882455</v>
      </c>
      <c r="G89" s="474">
        <f t="shared" si="46"/>
        <v>31.14058778532981</v>
      </c>
      <c r="H89" s="474">
        <f t="shared" si="46"/>
        <v>12.851071427010002</v>
      </c>
    </row>
    <row r="90" spans="1:8">
      <c r="A90" s="372" t="s">
        <v>830</v>
      </c>
      <c r="B90" s="372"/>
      <c r="C90" s="380"/>
      <c r="D90" s="380"/>
      <c r="E90" s="954"/>
      <c r="F90" s="380"/>
      <c r="G90" s="380"/>
      <c r="H90" s="380"/>
    </row>
    <row r="91" spans="1:8">
      <c r="A91" s="982" t="s">
        <v>825</v>
      </c>
      <c r="B91" s="982"/>
      <c r="C91" s="983">
        <f t="shared" ref="C91:H91" si="47">B63*C32</f>
        <v>-286.28428561239156</v>
      </c>
      <c r="D91" s="327">
        <f t="shared" si="47"/>
        <v>45.163041909925148</v>
      </c>
      <c r="E91" s="386">
        <f t="shared" si="47"/>
        <v>37.007821928691989</v>
      </c>
      <c r="F91" s="327">
        <f t="shared" si="47"/>
        <v>5.4441553521224488</v>
      </c>
      <c r="G91" s="327">
        <f t="shared" si="47"/>
        <v>75.627169742626961</v>
      </c>
      <c r="H91" s="327">
        <f t="shared" si="47"/>
        <v>25.884012320229029</v>
      </c>
    </row>
    <row r="92" spans="1:8">
      <c r="A92" s="982" t="s">
        <v>826</v>
      </c>
      <c r="B92" s="982"/>
      <c r="C92" s="984">
        <f>(C77-SUM(C$42:C$46)+C$48+C47)/C$30</f>
        <v>-154.95921877946517</v>
      </c>
      <c r="D92" s="474">
        <f t="shared" ref="D92:H92" si="48">(D77-SUM(D$42:D$46)+D$48+D47)/D$30</f>
        <v>-113.54114811079046</v>
      </c>
      <c r="E92" s="386">
        <f t="shared" si="48"/>
        <v>-310.76637202127512</v>
      </c>
      <c r="F92" s="474">
        <f t="shared" si="48"/>
        <v>-77.243529425455151</v>
      </c>
      <c r="G92" s="474">
        <f t="shared" si="48"/>
        <v>-147.13765314549767</v>
      </c>
      <c r="H92" s="474">
        <f t="shared" si="48"/>
        <v>8.3571642817490783</v>
      </c>
    </row>
    <row r="93" spans="1:8">
      <c r="A93" s="982" t="s">
        <v>827</v>
      </c>
      <c r="B93" s="982"/>
      <c r="C93" s="984">
        <f>(C78-SUM(C$42:C$46)+C$48+C47)/C$30</f>
        <v>-367.10224335323448</v>
      </c>
      <c r="D93" s="474">
        <f t="shared" ref="D93:H93" si="49">(D78-SUM(D$42:D$46)+D$48+D47)/D$30</f>
        <v>-372.77378969682007</v>
      </c>
      <c r="E93" s="386">
        <f t="shared" si="49"/>
        <v>-672.39201772995114</v>
      </c>
      <c r="F93" s="474">
        <f t="shared" si="49"/>
        <v>-211.7578155348574</v>
      </c>
      <c r="G93" s="474">
        <f t="shared" si="49"/>
        <v>-364.84042106726997</v>
      </c>
      <c r="H93" s="474">
        <f t="shared" si="49"/>
        <v>-173.94594505328007</v>
      </c>
    </row>
    <row r="94" spans="1:8">
      <c r="A94" s="982" t="s">
        <v>828</v>
      </c>
      <c r="B94" s="982"/>
      <c r="C94" s="984">
        <f>(C79-SUM(C$42:C$46)+C$48+C47)/C$30</f>
        <v>-333.7303167836339</v>
      </c>
      <c r="D94" s="474">
        <f t="shared" ref="D94:H94" si="50">(D79-SUM(D$42:D$46)+D$48+D47)/D$30</f>
        <v>-341.88349469779467</v>
      </c>
      <c r="E94" s="386">
        <f t="shared" si="50"/>
        <v>-619.72208046845026</v>
      </c>
      <c r="F94" s="474">
        <f t="shared" si="50"/>
        <v>-195.79764156866986</v>
      </c>
      <c r="G94" s="474">
        <f t="shared" si="50"/>
        <v>-338.63321091851111</v>
      </c>
      <c r="H94" s="474">
        <f t="shared" si="50"/>
        <v>-164.92475394306271</v>
      </c>
    </row>
    <row r="95" spans="1:8">
      <c r="A95" s="985" t="s">
        <v>829</v>
      </c>
      <c r="B95" s="985"/>
      <c r="C95" s="986">
        <f>(C80-SUM(C$42:C$46)+C$48+C47)/C$30</f>
        <v>8.4156131211625755</v>
      </c>
      <c r="D95" s="980">
        <f t="shared" ref="D95:H95" si="51">(D80-SUM(D$42:D$46)+D$48+D47)/D$30</f>
        <v>13.114952231798412</v>
      </c>
      <c r="E95" s="1084">
        <f t="shared" si="51"/>
        <v>-13.554667530154187</v>
      </c>
      <c r="F95" s="980">
        <f t="shared" si="51"/>
        <v>26.938600412882455</v>
      </c>
      <c r="G95" s="980">
        <f t="shared" si="51"/>
        <v>31.14058778532981</v>
      </c>
      <c r="H95" s="980">
        <f t="shared" si="51"/>
        <v>12.851071427010002</v>
      </c>
    </row>
  </sheetData>
  <pageMargins left="0.7" right="0.7" top="0.78740157499999996" bottom="0.78740157499999996" header="0.3" footer="0.3"/>
  <pageSetup paperSize="9"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26">
    <tabColor theme="5" tint="0.79998168889431442"/>
  </sheetPr>
  <dimension ref="A1:AG72"/>
  <sheetViews>
    <sheetView topLeftCell="A40" workbookViewId="0">
      <selection activeCell="C63" sqref="C63"/>
    </sheetView>
  </sheetViews>
  <sheetFormatPr defaultColWidth="10.7109375" defaultRowHeight="15" outlineLevelCol="1"/>
  <cols>
    <col min="1" max="1" width="37.7109375" style="3" customWidth="1"/>
    <col min="2" max="2" width="16.7109375" style="3" customWidth="1"/>
    <col min="3" max="9" width="10.7109375" style="3"/>
    <col min="10" max="10" width="3.28515625" style="3" customWidth="1"/>
    <col min="11" max="12" width="1.7109375" style="3" customWidth="1"/>
    <col min="13" max="13" width="37.7109375" style="3" customWidth="1" outlineLevel="1"/>
    <col min="14" max="21" width="10.7109375" style="3" customWidth="1" outlineLevel="1"/>
    <col min="22" max="24" width="2.28515625" style="3" customWidth="1"/>
    <col min="25" max="25" width="33.28515625" style="3" customWidth="1"/>
    <col min="26" max="16384" width="10.7109375" style="3"/>
  </cols>
  <sheetData>
    <row r="1" spans="1:33" s="340" customFormat="1" ht="26.1" customHeight="1">
      <c r="A1" s="338" t="s">
        <v>831</v>
      </c>
      <c r="B1" s="339"/>
    </row>
    <row r="2" spans="1:33" s="334" customFormat="1" ht="12.75">
      <c r="A2" s="347"/>
      <c r="B2" s="348"/>
      <c r="C2" s="346"/>
      <c r="D2" s="346"/>
      <c r="E2" s="346"/>
      <c r="F2" s="346"/>
      <c r="G2" s="346"/>
      <c r="H2" s="346"/>
      <c r="I2" s="346"/>
      <c r="J2" s="346"/>
    </row>
    <row r="3" spans="1:33" s="334" customFormat="1" ht="16.350000000000001" customHeight="1">
      <c r="A3" s="333"/>
      <c r="B3" s="1095" t="s">
        <v>832</v>
      </c>
      <c r="C3" s="346"/>
      <c r="D3" s="346"/>
      <c r="E3" s="346"/>
      <c r="F3" s="346"/>
      <c r="G3" s="346"/>
      <c r="H3" s="346"/>
      <c r="I3" s="346"/>
      <c r="J3" s="346"/>
      <c r="M3" s="333"/>
      <c r="N3" s="349"/>
      <c r="O3" s="346"/>
      <c r="P3" s="346"/>
      <c r="Q3" s="346"/>
      <c r="R3" s="346"/>
      <c r="S3" s="346"/>
      <c r="T3" s="346"/>
      <c r="U3" s="346"/>
    </row>
    <row r="4" spans="1:33" ht="25.5">
      <c r="A4" s="987" t="s">
        <v>833</v>
      </c>
      <c r="B4" s="989" t="str">
        <f>FCF!B4</f>
        <v>12/2020</v>
      </c>
      <c r="C4" s="989" t="str">
        <f>FCF!C4</f>
        <v>12/2019</v>
      </c>
      <c r="D4" s="989" t="str">
        <f>FCF!D4</f>
        <v>12/2018</v>
      </c>
      <c r="E4" s="989" t="str">
        <f>FCF!E4</f>
        <v>12/2017</v>
      </c>
      <c r="F4" s="989" t="str">
        <f>FCF!F4</f>
        <v>12/2016</v>
      </c>
      <c r="G4" s="989" t="str">
        <f>FCF!G4</f>
        <v>12/2015</v>
      </c>
      <c r="H4" s="989" t="str">
        <f>FCF!H4</f>
        <v>12/2014</v>
      </c>
      <c r="I4" s="989" t="str">
        <f>FCF!I4</f>
        <v>12/2013</v>
      </c>
      <c r="M4" s="990" t="s">
        <v>834</v>
      </c>
      <c r="N4" s="989" t="str">
        <f>B4</f>
        <v>12/2020</v>
      </c>
      <c r="O4" s="989" t="str">
        <f t="shared" ref="O4:U4" si="0">C4</f>
        <v>12/2019</v>
      </c>
      <c r="P4" s="989" t="str">
        <f t="shared" si="0"/>
        <v>12/2018</v>
      </c>
      <c r="Q4" s="989" t="str">
        <f t="shared" si="0"/>
        <v>12/2017</v>
      </c>
      <c r="R4" s="989" t="str">
        <f t="shared" si="0"/>
        <v>12/2016</v>
      </c>
      <c r="S4" s="989" t="str">
        <f t="shared" si="0"/>
        <v>12/2015</v>
      </c>
      <c r="T4" s="989" t="str">
        <f t="shared" si="0"/>
        <v>12/2014</v>
      </c>
      <c r="U4" s="989" t="str">
        <f t="shared" si="0"/>
        <v>12/2013</v>
      </c>
      <c r="Y4" s="987" t="s">
        <v>835</v>
      </c>
      <c r="Z4" s="989" t="str">
        <f>N4</f>
        <v>12/2020</v>
      </c>
      <c r="AA4" s="989" t="str">
        <f t="shared" ref="AA4:AG4" si="1">O4</f>
        <v>12/2019</v>
      </c>
      <c r="AB4" s="989" t="str">
        <f t="shared" si="1"/>
        <v>12/2018</v>
      </c>
      <c r="AC4" s="989" t="str">
        <f t="shared" si="1"/>
        <v>12/2017</v>
      </c>
      <c r="AD4" s="989" t="str">
        <f t="shared" si="1"/>
        <v>12/2016</v>
      </c>
      <c r="AE4" s="989" t="str">
        <f t="shared" si="1"/>
        <v>12/2015</v>
      </c>
      <c r="AF4" s="989" t="str">
        <f t="shared" si="1"/>
        <v>12/2014</v>
      </c>
      <c r="AG4" s="989" t="str">
        <f t="shared" si="1"/>
        <v>12/2013</v>
      </c>
    </row>
    <row r="5" spans="1:33">
      <c r="A5" s="468" t="s">
        <v>425</v>
      </c>
      <c r="B5" s="468">
        <f>'DAL-US IS-adj'!C14</f>
        <v>-5.7133700000000012</v>
      </c>
      <c r="C5" s="468">
        <f>'DAL-US IS-adj'!D14</f>
        <v>5.7708799999999982</v>
      </c>
      <c r="D5" s="468">
        <f>'DAL-US IS-adj'!E14</f>
        <v>4.7420900000000037</v>
      </c>
      <c r="E5" s="468">
        <f>'DAL-US IS-adj'!F14</f>
        <v>5.7069799999999997</v>
      </c>
      <c r="F5" s="468">
        <f>'DAL-US IS-adj'!G14</f>
        <v>6.3040899999999969</v>
      </c>
      <c r="G5" s="468">
        <f>'DAL-US IS-adj'!H14</f>
        <v>7.0268700000000006</v>
      </c>
      <c r="H5" s="468">
        <f>'DAL-US IS-adj'!I14</f>
        <v>4.2188199999999991</v>
      </c>
      <c r="I5" s="468">
        <f>'DAL-US IS-adj'!J14</f>
        <v>2.7278199999999981</v>
      </c>
      <c r="J5" s="468"/>
      <c r="K5" s="468"/>
      <c r="L5" s="468"/>
      <c r="M5" s="468" t="str">
        <f>CFS!A21</f>
        <v>Net Operating Cash Flow</v>
      </c>
      <c r="N5" s="468">
        <f>'DAL-US CFS-adj'!C17</f>
        <v>2.8786299999999985</v>
      </c>
      <c r="O5" s="468">
        <f>'DAL-US CFS-adj'!D17</f>
        <v>9.4288799999999977</v>
      </c>
      <c r="P5" s="468">
        <f>'DAL-US CFS-adj'!E17</f>
        <v>7.8210900000000043</v>
      </c>
      <c r="Q5" s="468">
        <f>'DAL-US CFS-adj'!F17</f>
        <v>7.2779799999999986</v>
      </c>
      <c r="R5" s="468">
        <f>'DAL-US CFS-adj'!G17</f>
        <v>9.1470899999999951</v>
      </c>
      <c r="S5" s="468">
        <f>'DAL-US CFS-adj'!H17</f>
        <v>10.420870000000001</v>
      </c>
      <c r="T5" s="468">
        <f>'DAL-US CFS-adj'!I17</f>
        <v>8.44482</v>
      </c>
      <c r="U5" s="468">
        <f>'DAL-US CFS-adj'!J17</f>
        <v>-3.5391800000000018</v>
      </c>
      <c r="Y5" s="468" t="str">
        <f>A5</f>
        <v>Net Income / Starting Line</v>
      </c>
      <c r="Z5" s="468">
        <f>B5</f>
        <v>-5.7133700000000012</v>
      </c>
      <c r="AA5" s="468">
        <f t="shared" ref="AA5:AG7" si="2">C5</f>
        <v>5.7708799999999982</v>
      </c>
      <c r="AB5" s="468">
        <f t="shared" si="2"/>
        <v>4.7420900000000037</v>
      </c>
      <c r="AC5" s="468">
        <f t="shared" si="2"/>
        <v>5.7069799999999997</v>
      </c>
      <c r="AD5" s="468">
        <f t="shared" si="2"/>
        <v>6.3040899999999969</v>
      </c>
      <c r="AE5" s="468">
        <f t="shared" si="2"/>
        <v>7.0268700000000006</v>
      </c>
      <c r="AF5" s="468">
        <f t="shared" si="2"/>
        <v>4.2188199999999991</v>
      </c>
      <c r="AG5" s="468">
        <f t="shared" si="2"/>
        <v>2.7278199999999981</v>
      </c>
    </row>
    <row r="6" spans="1:33">
      <c r="A6" s="469" t="s">
        <v>426</v>
      </c>
      <c r="B6" s="469">
        <f>'DAL-US CFS-adj'!C10+'DAL-US CFS-adj'!C11+'DAL-US CFS-adj'!C12</f>
        <v>2.3119999999999998</v>
      </c>
      <c r="C6" s="469">
        <f>'DAL-US CFS-adj'!D10+'DAL-US CFS-adj'!D11+'DAL-US CFS-adj'!D12</f>
        <v>2.581</v>
      </c>
      <c r="D6" s="469">
        <f>'DAL-US CFS-adj'!E10+'DAL-US CFS-adj'!E11+'DAL-US CFS-adj'!E12</f>
        <v>2.3290000000000002</v>
      </c>
      <c r="E6" s="469">
        <f>'DAL-US CFS-adj'!F10+'DAL-US CFS-adj'!F11+'DAL-US CFS-adj'!F12</f>
        <v>2.2349999999999999</v>
      </c>
      <c r="F6" s="469">
        <f>'DAL-US CFS-adj'!G10+'DAL-US CFS-adj'!G11+'DAL-US CFS-adj'!G12</f>
        <v>1.9019999999999999</v>
      </c>
      <c r="G6" s="469">
        <f>'DAL-US CFS-adj'!H10+'DAL-US CFS-adj'!H11+'DAL-US CFS-adj'!H12</f>
        <v>1.835</v>
      </c>
      <c r="H6" s="469">
        <f>'DAL-US CFS-adj'!I10+'DAL-US CFS-adj'!I11+'DAL-US CFS-adj'!I12</f>
        <v>1.7709999999999999</v>
      </c>
      <c r="I6" s="469">
        <f>'DAL-US CFS-adj'!J10+'DAL-US CFS-adj'!J11+'DAL-US CFS-adj'!J12</f>
        <v>1.6579999999999999</v>
      </c>
      <c r="J6" s="469"/>
      <c r="K6" s="469"/>
      <c r="L6" s="469"/>
      <c r="M6" s="516"/>
      <c r="N6" s="516"/>
      <c r="O6" s="516"/>
      <c r="P6" s="516"/>
      <c r="Q6" s="516"/>
      <c r="R6" s="516"/>
      <c r="S6" s="516"/>
      <c r="T6" s="516"/>
      <c r="U6" s="516"/>
      <c r="Y6" s="469" t="s">
        <v>426</v>
      </c>
      <c r="Z6" s="469">
        <f>B6</f>
        <v>2.3119999999999998</v>
      </c>
      <c r="AA6" s="469">
        <f t="shared" si="2"/>
        <v>2.581</v>
      </c>
      <c r="AB6" s="469">
        <f t="shared" si="2"/>
        <v>2.3290000000000002</v>
      </c>
      <c r="AC6" s="469">
        <f t="shared" si="2"/>
        <v>2.2349999999999999</v>
      </c>
      <c r="AD6" s="469">
        <f t="shared" si="2"/>
        <v>1.9019999999999999</v>
      </c>
      <c r="AE6" s="469">
        <f t="shared" si="2"/>
        <v>1.835</v>
      </c>
      <c r="AF6" s="469">
        <f t="shared" si="2"/>
        <v>1.7709999999999999</v>
      </c>
      <c r="AG6" s="469">
        <f t="shared" si="2"/>
        <v>1.6579999999999999</v>
      </c>
    </row>
    <row r="7" spans="1:33">
      <c r="A7" s="469" t="s">
        <v>430</v>
      </c>
      <c r="B7" s="469">
        <f>'DAL-US CFS-adj'!C16</f>
        <v>1.9490000000000001</v>
      </c>
      <c r="C7" s="469">
        <f>'DAL-US CFS-adj'!D16</f>
        <v>0.52600000000000002</v>
      </c>
      <c r="D7" s="469">
        <f>'DAL-US CFS-adj'!E16</f>
        <v>0.17599999999999999</v>
      </c>
      <c r="E7" s="469">
        <f>'DAL-US CFS-adj'!F16</f>
        <v>0.57499999999999996</v>
      </c>
      <c r="F7" s="469">
        <f>'DAL-US CFS-adj'!G16</f>
        <v>-6.3E-2</v>
      </c>
      <c r="G7" s="469">
        <f>'DAL-US CFS-adj'!H16</f>
        <v>1.335</v>
      </c>
      <c r="H7" s="469">
        <f>'DAL-US CFS-adj'!I16</f>
        <v>-0.61299999999999999</v>
      </c>
      <c r="I7" s="469">
        <f>'DAL-US CFS-adj'!J16</f>
        <v>0.51300000000000001</v>
      </c>
      <c r="J7" s="469"/>
      <c r="K7" s="469"/>
      <c r="L7" s="469"/>
      <c r="M7" s="516"/>
      <c r="N7" s="516"/>
      <c r="O7" s="516"/>
      <c r="P7" s="516"/>
      <c r="Q7" s="516"/>
      <c r="R7" s="516"/>
      <c r="S7" s="516"/>
      <c r="T7" s="516"/>
      <c r="U7" s="516"/>
      <c r="Y7" s="469" t="s">
        <v>430</v>
      </c>
      <c r="Z7" s="469">
        <f>B7</f>
        <v>1.9490000000000001</v>
      </c>
      <c r="AA7" s="469">
        <f t="shared" si="2"/>
        <v>0.52600000000000002</v>
      </c>
      <c r="AB7" s="469">
        <f t="shared" si="2"/>
        <v>0.17599999999999999</v>
      </c>
      <c r="AC7" s="469">
        <f t="shared" si="2"/>
        <v>0.57499999999999996</v>
      </c>
      <c r="AD7" s="469">
        <f t="shared" si="2"/>
        <v>-6.3E-2</v>
      </c>
      <c r="AE7" s="469">
        <f t="shared" si="2"/>
        <v>1.335</v>
      </c>
      <c r="AF7" s="469">
        <f t="shared" si="2"/>
        <v>-0.61299999999999999</v>
      </c>
      <c r="AG7" s="469">
        <f t="shared" si="2"/>
        <v>0.51300000000000001</v>
      </c>
    </row>
    <row r="8" spans="1:33">
      <c r="A8" s="380" t="s">
        <v>836</v>
      </c>
      <c r="B8" s="470">
        <f>B5+B6+B7</f>
        <v>-1.4523700000000013</v>
      </c>
      <c r="C8" s="470">
        <f t="shared" ref="C8:I8" si="3">C5+C6+C7</f>
        <v>8.8778799999999976</v>
      </c>
      <c r="D8" s="470">
        <f t="shared" si="3"/>
        <v>7.2470900000000036</v>
      </c>
      <c r="E8" s="470">
        <f t="shared" si="3"/>
        <v>8.5169799999999984</v>
      </c>
      <c r="F8" s="470">
        <f t="shared" si="3"/>
        <v>8.1430899999999955</v>
      </c>
      <c r="G8" s="470">
        <f t="shared" si="3"/>
        <v>10.196870000000001</v>
      </c>
      <c r="H8" s="470">
        <f t="shared" si="3"/>
        <v>5.3768199999999986</v>
      </c>
      <c r="I8" s="470">
        <f t="shared" si="3"/>
        <v>4.898819999999998</v>
      </c>
      <c r="J8" s="470"/>
      <c r="M8" s="380" t="s">
        <v>836</v>
      </c>
      <c r="N8" s="470">
        <f>N5</f>
        <v>2.8786299999999985</v>
      </c>
      <c r="O8" s="470">
        <f t="shared" ref="O8:U8" si="4">O5</f>
        <v>9.4288799999999977</v>
      </c>
      <c r="P8" s="470">
        <f t="shared" si="4"/>
        <v>7.8210900000000043</v>
      </c>
      <c r="Q8" s="470">
        <f t="shared" si="4"/>
        <v>7.2779799999999986</v>
      </c>
      <c r="R8" s="470">
        <f t="shared" si="4"/>
        <v>9.1470899999999951</v>
      </c>
      <c r="S8" s="470">
        <f t="shared" si="4"/>
        <v>10.420870000000001</v>
      </c>
      <c r="T8" s="470">
        <f t="shared" si="4"/>
        <v>8.44482</v>
      </c>
      <c r="U8" s="470">
        <f t="shared" si="4"/>
        <v>-3.5391800000000018</v>
      </c>
      <c r="Y8" s="380" t="s">
        <v>836</v>
      </c>
      <c r="Z8" s="470">
        <f>Z5+Z6+Z7</f>
        <v>-1.4523700000000013</v>
      </c>
      <c r="AA8" s="470">
        <f t="shared" ref="AA8:AG8" si="5">AA5+AA6+AA7</f>
        <v>8.8778799999999976</v>
      </c>
      <c r="AB8" s="470">
        <f t="shared" si="5"/>
        <v>7.2470900000000036</v>
      </c>
      <c r="AC8" s="470">
        <f t="shared" si="5"/>
        <v>8.5169799999999984</v>
      </c>
      <c r="AD8" s="470">
        <f t="shared" si="5"/>
        <v>8.1430899999999955</v>
      </c>
      <c r="AE8" s="470">
        <f t="shared" si="5"/>
        <v>10.196870000000001</v>
      </c>
      <c r="AF8" s="470">
        <f t="shared" si="5"/>
        <v>5.3768199999999986</v>
      </c>
      <c r="AG8" s="470">
        <f t="shared" si="5"/>
        <v>4.898819999999998</v>
      </c>
    </row>
    <row r="9" spans="1:33">
      <c r="A9" s="469" t="s">
        <v>50</v>
      </c>
      <c r="B9" s="469">
        <f>'DAL-US CFS-adj'!C19+'DAL-US CFS-adj'!C20</f>
        <v>-1.899</v>
      </c>
      <c r="C9" s="469">
        <f>'DAL-US CFS-adj'!D19+'DAL-US CFS-adj'!D20</f>
        <v>-4.9359999999999999</v>
      </c>
      <c r="D9" s="469">
        <f>'DAL-US CFS-adj'!E19+'DAL-US CFS-adj'!E20</f>
        <v>-5.1680000000000001</v>
      </c>
      <c r="E9" s="469">
        <f>'DAL-US CFS-adj'!F19+'DAL-US CFS-adj'!F20</f>
        <v>-3.891</v>
      </c>
      <c r="F9" s="469">
        <f>'DAL-US CFS-adj'!G19+'DAL-US CFS-adj'!G20</f>
        <v>-3.391</v>
      </c>
      <c r="G9" s="469">
        <f>'DAL-US CFS-adj'!H19+'DAL-US CFS-adj'!H20</f>
        <v>-2.9449999999999998</v>
      </c>
      <c r="H9" s="469">
        <f>'DAL-US CFS-adj'!I19+'DAL-US CFS-adj'!I20</f>
        <v>-2.2490000000000001</v>
      </c>
      <c r="I9" s="469">
        <f>'DAL-US CFS-adj'!J19+'DAL-US CFS-adj'!J20</f>
        <v>-2.5680000000000001</v>
      </c>
      <c r="J9" s="469"/>
      <c r="K9" s="469"/>
      <c r="L9" s="469"/>
      <c r="M9" s="469" t="s">
        <v>50</v>
      </c>
      <c r="N9" s="469">
        <f>B9</f>
        <v>-1.899</v>
      </c>
      <c r="O9" s="469">
        <f t="shared" ref="O9:U10" si="6">C9</f>
        <v>-4.9359999999999999</v>
      </c>
      <c r="P9" s="469">
        <f t="shared" si="6"/>
        <v>-5.1680000000000001</v>
      </c>
      <c r="Q9" s="469">
        <f t="shared" si="6"/>
        <v>-3.891</v>
      </c>
      <c r="R9" s="469">
        <f t="shared" si="6"/>
        <v>-3.391</v>
      </c>
      <c r="S9" s="469">
        <f t="shared" si="6"/>
        <v>-2.9449999999999998</v>
      </c>
      <c r="T9" s="469">
        <f t="shared" si="6"/>
        <v>-2.2490000000000001</v>
      </c>
      <c r="U9" s="469">
        <f t="shared" si="6"/>
        <v>-2.5680000000000001</v>
      </c>
      <c r="Y9" s="469" t="s">
        <v>50</v>
      </c>
      <c r="Z9" s="469">
        <f>B9</f>
        <v>-1.899</v>
      </c>
      <c r="AA9" s="469">
        <f t="shared" ref="AA9:AG10" si="7">C9</f>
        <v>-4.9359999999999999</v>
      </c>
      <c r="AB9" s="469">
        <f t="shared" si="7"/>
        <v>-5.1680000000000001</v>
      </c>
      <c r="AC9" s="469">
        <f t="shared" si="7"/>
        <v>-3.891</v>
      </c>
      <c r="AD9" s="469">
        <f t="shared" si="7"/>
        <v>-3.391</v>
      </c>
      <c r="AE9" s="469">
        <f t="shared" si="7"/>
        <v>-2.9449999999999998</v>
      </c>
      <c r="AF9" s="469">
        <f t="shared" si="7"/>
        <v>-2.2490000000000001</v>
      </c>
      <c r="AG9" s="469">
        <f t="shared" si="7"/>
        <v>-2.5680000000000001</v>
      </c>
    </row>
    <row r="10" spans="1:33">
      <c r="A10" s="469" t="s">
        <v>433</v>
      </c>
      <c r="B10" s="469">
        <f>'DAL-US CFS-adj'!C21</f>
        <v>0</v>
      </c>
      <c r="C10" s="469">
        <f>'DAL-US CFS-adj'!D21</f>
        <v>0</v>
      </c>
      <c r="D10" s="469">
        <f>'DAL-US CFS-adj'!E21</f>
        <v>0</v>
      </c>
      <c r="E10" s="469">
        <f>'DAL-US CFS-adj'!F21</f>
        <v>0</v>
      </c>
      <c r="F10" s="469">
        <f>'DAL-US CFS-adj'!G21</f>
        <v>0</v>
      </c>
      <c r="G10" s="469">
        <f>'DAL-US CFS-adj'!H21</f>
        <v>-0.27600000000000002</v>
      </c>
      <c r="H10" s="469">
        <f>'DAL-US CFS-adj'!I21</f>
        <v>0</v>
      </c>
      <c r="I10" s="469">
        <f>'DAL-US CFS-adj'!J21</f>
        <v>0</v>
      </c>
      <c r="J10" s="469"/>
      <c r="K10" s="469"/>
      <c r="L10" s="469"/>
      <c r="M10" s="469" t="s">
        <v>433</v>
      </c>
      <c r="N10" s="469">
        <f>B10</f>
        <v>0</v>
      </c>
      <c r="O10" s="469">
        <f t="shared" si="6"/>
        <v>0</v>
      </c>
      <c r="P10" s="469">
        <f t="shared" si="6"/>
        <v>0</v>
      </c>
      <c r="Q10" s="469">
        <f t="shared" si="6"/>
        <v>0</v>
      </c>
      <c r="R10" s="469">
        <f t="shared" si="6"/>
        <v>0</v>
      </c>
      <c r="S10" s="469">
        <f t="shared" si="6"/>
        <v>-0.27600000000000002</v>
      </c>
      <c r="T10" s="469">
        <f t="shared" si="6"/>
        <v>0</v>
      </c>
      <c r="U10" s="469">
        <f t="shared" si="6"/>
        <v>0</v>
      </c>
      <c r="Y10" s="469" t="s">
        <v>433</v>
      </c>
      <c r="Z10" s="469">
        <f>B10</f>
        <v>0</v>
      </c>
      <c r="AA10" s="469">
        <f t="shared" si="7"/>
        <v>0</v>
      </c>
      <c r="AB10" s="469">
        <f t="shared" si="7"/>
        <v>0</v>
      </c>
      <c r="AC10" s="469">
        <f t="shared" si="7"/>
        <v>0</v>
      </c>
      <c r="AD10" s="469">
        <f t="shared" si="7"/>
        <v>0</v>
      </c>
      <c r="AE10" s="469">
        <f t="shared" si="7"/>
        <v>-0.27600000000000002</v>
      </c>
      <c r="AF10" s="469">
        <f t="shared" si="7"/>
        <v>0</v>
      </c>
      <c r="AG10" s="469">
        <f t="shared" si="7"/>
        <v>0</v>
      </c>
    </row>
    <row r="11" spans="1:33">
      <c r="A11" s="471" t="s">
        <v>837</v>
      </c>
      <c r="B11" s="470">
        <f>SUM(B8:B10)</f>
        <v>-3.3513700000000011</v>
      </c>
      <c r="C11" s="470">
        <f t="shared" ref="C11:I11" si="8">SUM(C8:C10)</f>
        <v>3.9418799999999976</v>
      </c>
      <c r="D11" s="470">
        <f t="shared" si="8"/>
        <v>2.0790900000000034</v>
      </c>
      <c r="E11" s="470">
        <f t="shared" si="8"/>
        <v>4.6259799999999984</v>
      </c>
      <c r="F11" s="470">
        <f t="shared" si="8"/>
        <v>4.7520899999999955</v>
      </c>
      <c r="G11" s="470">
        <f t="shared" si="8"/>
        <v>6.9758700000000005</v>
      </c>
      <c r="H11" s="470">
        <f t="shared" si="8"/>
        <v>3.1278199999999985</v>
      </c>
      <c r="I11" s="470">
        <f t="shared" si="8"/>
        <v>2.3308199999999979</v>
      </c>
      <c r="J11" s="470"/>
      <c r="K11" s="470"/>
      <c r="L11" s="470"/>
      <c r="M11" s="471" t="s">
        <v>837</v>
      </c>
      <c r="N11" s="470">
        <f>SUM(N8:N10)</f>
        <v>0.97962999999999845</v>
      </c>
      <c r="O11" s="470">
        <f t="shared" ref="O11:U11" si="9">SUM(O8:O10)</f>
        <v>4.4928799999999978</v>
      </c>
      <c r="P11" s="470">
        <f t="shared" si="9"/>
        <v>2.6530900000000042</v>
      </c>
      <c r="Q11" s="470">
        <f t="shared" si="9"/>
        <v>3.3869799999999985</v>
      </c>
      <c r="R11" s="470">
        <f t="shared" si="9"/>
        <v>5.756089999999995</v>
      </c>
      <c r="S11" s="470">
        <f t="shared" si="9"/>
        <v>7.1998700000000007</v>
      </c>
      <c r="T11" s="470">
        <f t="shared" si="9"/>
        <v>6.1958199999999994</v>
      </c>
      <c r="U11" s="470">
        <f t="shared" si="9"/>
        <v>-6.1071800000000014</v>
      </c>
      <c r="Y11" s="471" t="s">
        <v>837</v>
      </c>
      <c r="Z11" s="470">
        <f>SUM(Z8:Z10)</f>
        <v>-3.3513700000000011</v>
      </c>
      <c r="AA11" s="470">
        <f t="shared" ref="AA11:AG11" si="10">SUM(AA8:AA10)</f>
        <v>3.9418799999999976</v>
      </c>
      <c r="AB11" s="470">
        <f t="shared" si="10"/>
        <v>2.0790900000000034</v>
      </c>
      <c r="AC11" s="470">
        <f t="shared" si="10"/>
        <v>4.6259799999999984</v>
      </c>
      <c r="AD11" s="470">
        <f t="shared" si="10"/>
        <v>4.7520899999999955</v>
      </c>
      <c r="AE11" s="470">
        <f t="shared" si="10"/>
        <v>6.9758700000000005</v>
      </c>
      <c r="AF11" s="470">
        <f t="shared" si="10"/>
        <v>3.1278199999999985</v>
      </c>
      <c r="AG11" s="470">
        <f t="shared" si="10"/>
        <v>2.3308199999999979</v>
      </c>
    </row>
    <row r="12" spans="1:33">
      <c r="A12" s="472" t="s">
        <v>439</v>
      </c>
      <c r="B12" s="472">
        <f>CFS!C31</f>
        <v>19.797999999999998</v>
      </c>
      <c r="C12" s="472">
        <f>CFS!D31</f>
        <v>0.48699999999999999</v>
      </c>
      <c r="D12" s="472">
        <f>CFS!E31</f>
        <v>0.69299999999999995</v>
      </c>
      <c r="E12" s="472">
        <f>CFS!F31</f>
        <v>1.196</v>
      </c>
      <c r="F12" s="472">
        <f>CFS!G31</f>
        <v>-1.2589999999999999</v>
      </c>
      <c r="G12" s="472">
        <f>CFS!H31</f>
        <v>-1.52</v>
      </c>
      <c r="H12" s="472">
        <f>CFS!I31</f>
        <v>-1.9079999999999999</v>
      </c>
      <c r="I12" s="472">
        <f>CFS!J31</f>
        <v>-1.1930000000000001</v>
      </c>
      <c r="J12" s="472"/>
      <c r="K12" s="472"/>
      <c r="L12" s="472"/>
      <c r="M12" s="472" t="s">
        <v>439</v>
      </c>
      <c r="N12" s="472">
        <f>B12</f>
        <v>19.797999999999998</v>
      </c>
      <c r="O12" s="472">
        <f t="shared" ref="O12:U12" si="11">C12</f>
        <v>0.48699999999999999</v>
      </c>
      <c r="P12" s="472">
        <f t="shared" si="11"/>
        <v>0.69299999999999995</v>
      </c>
      <c r="Q12" s="472">
        <f t="shared" si="11"/>
        <v>1.196</v>
      </c>
      <c r="R12" s="472">
        <f t="shared" si="11"/>
        <v>-1.2589999999999999</v>
      </c>
      <c r="S12" s="472">
        <f t="shared" si="11"/>
        <v>-1.52</v>
      </c>
      <c r="T12" s="472">
        <f t="shared" si="11"/>
        <v>-1.9079999999999999</v>
      </c>
      <c r="U12" s="472">
        <f t="shared" si="11"/>
        <v>-1.1930000000000001</v>
      </c>
      <c r="Y12" s="472"/>
      <c r="Z12" s="472"/>
      <c r="AA12" s="472"/>
      <c r="AB12" s="472"/>
      <c r="AC12" s="472"/>
      <c r="AD12" s="472"/>
      <c r="AE12" s="472"/>
      <c r="AF12" s="472"/>
      <c r="AG12" s="472"/>
    </row>
    <row r="13" spans="1:33">
      <c r="A13" s="372" t="s">
        <v>838</v>
      </c>
      <c r="B13" s="470">
        <f>SUM(B11:B12)</f>
        <v>16.446629999999999</v>
      </c>
      <c r="C13" s="470">
        <f t="shared" ref="C13:I13" si="12">SUM(C11:C12)</f>
        <v>4.4288799999999977</v>
      </c>
      <c r="D13" s="470">
        <f t="shared" si="12"/>
        <v>2.7720900000000035</v>
      </c>
      <c r="E13" s="470">
        <f t="shared" si="12"/>
        <v>5.8219799999999982</v>
      </c>
      <c r="F13" s="470">
        <f t="shared" si="12"/>
        <v>3.4930899999999956</v>
      </c>
      <c r="G13" s="470">
        <f t="shared" si="12"/>
        <v>5.4558700000000009</v>
      </c>
      <c r="H13" s="470">
        <f t="shared" si="12"/>
        <v>1.2198199999999986</v>
      </c>
      <c r="I13" s="470">
        <f t="shared" si="12"/>
        <v>1.1378199999999978</v>
      </c>
      <c r="J13" s="470"/>
      <c r="K13" s="470"/>
      <c r="L13" s="470"/>
      <c r="M13" s="372" t="s">
        <v>838</v>
      </c>
      <c r="N13" s="470">
        <f>SUM(N11:N12)</f>
        <v>20.777629999999995</v>
      </c>
      <c r="O13" s="470">
        <f t="shared" ref="O13:U13" si="13">SUM(O11:O12)</f>
        <v>4.9798799999999979</v>
      </c>
      <c r="P13" s="470">
        <f t="shared" si="13"/>
        <v>3.3460900000000042</v>
      </c>
      <c r="Q13" s="470">
        <f t="shared" si="13"/>
        <v>4.5829799999999983</v>
      </c>
      <c r="R13" s="470">
        <f t="shared" si="13"/>
        <v>4.4970899999999947</v>
      </c>
      <c r="S13" s="470">
        <f t="shared" si="13"/>
        <v>5.6798700000000011</v>
      </c>
      <c r="T13" s="470">
        <f t="shared" si="13"/>
        <v>4.28782</v>
      </c>
      <c r="U13" s="470">
        <f t="shared" si="13"/>
        <v>-7.300180000000001</v>
      </c>
      <c r="Y13" s="372" t="s">
        <v>839</v>
      </c>
      <c r="Z13" s="470">
        <f t="shared" ref="Z13:AG13" si="14">Z5-(1-$Z$20)*(-Z9-Z10-Z6)-(1-$Z$20)*Z7</f>
        <v>-5.9071371365128416</v>
      </c>
      <c r="AA13" s="470">
        <f t="shared" si="14"/>
        <v>5.4074404685589226</v>
      </c>
      <c r="AB13" s="470">
        <f t="shared" si="14"/>
        <v>4.3617463043058544</v>
      </c>
      <c r="AC13" s="470">
        <f t="shared" si="14"/>
        <v>5.4255382802342789</v>
      </c>
      <c r="AD13" s="470">
        <f t="shared" si="14"/>
        <v>6.1241994162322166</v>
      </c>
      <c r="AE13" s="470">
        <f t="shared" si="14"/>
        <v>6.6836145452790117</v>
      </c>
      <c r="AF13" s="470">
        <f t="shared" si="14"/>
        <v>4.2358503147325735</v>
      </c>
      <c r="AG13" s="470">
        <f t="shared" si="14"/>
        <v>2.5483078676707196</v>
      </c>
    </row>
    <row r="14" spans="1:33">
      <c r="A14" s="469" t="s">
        <v>45</v>
      </c>
      <c r="B14" s="469">
        <f>IS!C20</f>
        <v>0.92900000000000005</v>
      </c>
      <c r="C14" s="469">
        <f>IS!D20</f>
        <v>0.30099999999999999</v>
      </c>
      <c r="D14" s="469">
        <f>IS!E20</f>
        <v>0.311</v>
      </c>
      <c r="E14" s="469">
        <f>IS!F20</f>
        <v>0.39600000000000002</v>
      </c>
      <c r="F14" s="469">
        <f>IS!G20</f>
        <v>0.38800000000000001</v>
      </c>
      <c r="G14" s="469">
        <f>IS!H20</f>
        <v>0.48099999999999998</v>
      </c>
      <c r="H14" s="469">
        <f>IS!I20</f>
        <v>0.61899999999999999</v>
      </c>
      <c r="I14" s="469">
        <f>IS!J20</f>
        <v>0.85199999999999998</v>
      </c>
      <c r="J14" s="469"/>
      <c r="K14" s="469"/>
      <c r="L14" s="469"/>
      <c r="M14" s="469" t="s">
        <v>45</v>
      </c>
      <c r="N14" s="469">
        <f>B14</f>
        <v>0.92900000000000005</v>
      </c>
      <c r="O14" s="469">
        <f t="shared" ref="O14:U15" si="15">C14</f>
        <v>0.30099999999999999</v>
      </c>
      <c r="P14" s="469">
        <f t="shared" si="15"/>
        <v>0.311</v>
      </c>
      <c r="Q14" s="469">
        <f t="shared" si="15"/>
        <v>0.39600000000000002</v>
      </c>
      <c r="R14" s="469">
        <f t="shared" si="15"/>
        <v>0.38800000000000001</v>
      </c>
      <c r="S14" s="469">
        <f t="shared" si="15"/>
        <v>0.48099999999999998</v>
      </c>
      <c r="T14" s="469">
        <f t="shared" si="15"/>
        <v>0.61899999999999999</v>
      </c>
      <c r="U14" s="469">
        <f t="shared" si="15"/>
        <v>0.85199999999999998</v>
      </c>
      <c r="Y14" s="372" t="s">
        <v>840</v>
      </c>
      <c r="Z14" s="470">
        <f t="shared" ref="Z14:AG14" si="16">Z5-(1-$Z$21)*(-Z9-Z10-Z6)-(1-$Z$21)*Z7</f>
        <v>-5.7769109093360678</v>
      </c>
      <c r="AA14" s="470">
        <f t="shared" si="16"/>
        <v>5.6516994272153589</v>
      </c>
      <c r="AB14" s="470">
        <f t="shared" si="16"/>
        <v>4.6173661447602647</v>
      </c>
      <c r="AC14" s="470">
        <f t="shared" si="16"/>
        <v>5.6146884839005438</v>
      </c>
      <c r="AD14" s="470">
        <f t="shared" si="16"/>
        <v>6.2450995464106551</v>
      </c>
      <c r="AE14" s="470">
        <f t="shared" si="16"/>
        <v>6.9143082719378679</v>
      </c>
      <c r="AF14" s="470">
        <f t="shared" si="16"/>
        <v>4.2244046502346144</v>
      </c>
      <c r="AG14" s="470">
        <f t="shared" si="16"/>
        <v>2.6689536497492026</v>
      </c>
    </row>
    <row r="15" spans="1:33">
      <c r="A15" s="476" t="s">
        <v>841</v>
      </c>
      <c r="B15" s="473">
        <f>'DAL-US IS-adj'!C20</f>
        <v>0.28999999999999998</v>
      </c>
      <c r="C15" s="473">
        <f>'DAL-US IS-adj'!D20</f>
        <v>0.28999999999999998</v>
      </c>
      <c r="D15" s="473">
        <f>'DAL-US IS-adj'!E20</f>
        <v>0.28999999999999998</v>
      </c>
      <c r="E15" s="473">
        <f>'DAL-US IS-adj'!F20</f>
        <v>0.28999999999999998</v>
      </c>
      <c r="F15" s="473">
        <f>'DAL-US IS-adj'!G20</f>
        <v>0.28999999999999998</v>
      </c>
      <c r="G15" s="473">
        <f>'DAL-US IS-adj'!H20</f>
        <v>0.28999999999999998</v>
      </c>
      <c r="H15" s="473">
        <f>'DAL-US IS-adj'!I20</f>
        <v>0.28999999999999998</v>
      </c>
      <c r="I15" s="473">
        <f>'DAL-US IS-adj'!J20</f>
        <v>0.28999999999999998</v>
      </c>
      <c r="J15" s="473"/>
      <c r="K15" s="473"/>
      <c r="L15" s="473"/>
      <c r="M15" s="476" t="s">
        <v>841</v>
      </c>
      <c r="N15" s="473">
        <f>B15</f>
        <v>0.28999999999999998</v>
      </c>
      <c r="O15" s="473">
        <f t="shared" si="15"/>
        <v>0.28999999999999998</v>
      </c>
      <c r="P15" s="473">
        <f t="shared" si="15"/>
        <v>0.28999999999999998</v>
      </c>
      <c r="Q15" s="473">
        <f t="shared" si="15"/>
        <v>0.28999999999999998</v>
      </c>
      <c r="R15" s="473">
        <f t="shared" si="15"/>
        <v>0.28999999999999998</v>
      </c>
      <c r="S15" s="473">
        <f t="shared" si="15"/>
        <v>0.28999999999999998</v>
      </c>
      <c r="T15" s="473">
        <f t="shared" si="15"/>
        <v>0.28999999999999998</v>
      </c>
      <c r="U15" s="473">
        <f t="shared" si="15"/>
        <v>0.28999999999999998</v>
      </c>
      <c r="Y15" s="517"/>
      <c r="Z15" s="475"/>
      <c r="AA15" s="473"/>
      <c r="AB15" s="473"/>
      <c r="AC15" s="473"/>
      <c r="AD15" s="473"/>
      <c r="AE15" s="473"/>
      <c r="AF15" s="473"/>
      <c r="AG15" s="473"/>
    </row>
    <row r="16" spans="1:33">
      <c r="A16" s="477" t="s">
        <v>842</v>
      </c>
      <c r="B16" s="478">
        <f t="shared" ref="B16:I16" si="17">IFERROR(B14*(1-B15),"0")</f>
        <v>0.65959000000000001</v>
      </c>
      <c r="C16" s="478">
        <f t="shared" si="17"/>
        <v>0.21370999999999998</v>
      </c>
      <c r="D16" s="478">
        <f t="shared" si="17"/>
        <v>0.22080999999999998</v>
      </c>
      <c r="E16" s="478">
        <f t="shared" si="17"/>
        <v>0.28116000000000002</v>
      </c>
      <c r="F16" s="478">
        <f t="shared" si="17"/>
        <v>0.27548</v>
      </c>
      <c r="G16" s="478">
        <f t="shared" si="17"/>
        <v>0.34150999999999998</v>
      </c>
      <c r="H16" s="478">
        <f t="shared" si="17"/>
        <v>0.43948999999999999</v>
      </c>
      <c r="I16" s="478">
        <f t="shared" si="17"/>
        <v>0.6049199999999999</v>
      </c>
      <c r="J16" s="478"/>
      <c r="K16" s="478"/>
      <c r="L16" s="478"/>
      <c r="M16" s="477" t="s">
        <v>842</v>
      </c>
      <c r="N16" s="478">
        <f t="shared" ref="N16:U16" si="18">IFERROR(N14*(1-N15),"0")</f>
        <v>0.65959000000000001</v>
      </c>
      <c r="O16" s="478">
        <f t="shared" si="18"/>
        <v>0.21370999999999998</v>
      </c>
      <c r="P16" s="478">
        <f t="shared" si="18"/>
        <v>0.22080999999999998</v>
      </c>
      <c r="Q16" s="478">
        <f t="shared" si="18"/>
        <v>0.28116000000000002</v>
      </c>
      <c r="R16" s="478">
        <f t="shared" si="18"/>
        <v>0.27548</v>
      </c>
      <c r="S16" s="478">
        <f t="shared" si="18"/>
        <v>0.34150999999999998</v>
      </c>
      <c r="T16" s="478">
        <f t="shared" si="18"/>
        <v>0.43948999999999999</v>
      </c>
      <c r="U16" s="478">
        <f t="shared" si="18"/>
        <v>0.6049199999999999</v>
      </c>
      <c r="Y16" s="517" t="s">
        <v>843</v>
      </c>
      <c r="Z16" s="469">
        <f>SUM(CFS!C16:L16)</f>
        <v>19.711000000000002</v>
      </c>
      <c r="AA16" s="473"/>
      <c r="AB16" s="473"/>
      <c r="AC16" s="473"/>
      <c r="AD16" s="473"/>
      <c r="AE16" s="473"/>
      <c r="AF16" s="473"/>
      <c r="AG16" s="473"/>
    </row>
    <row r="17" spans="1:33">
      <c r="A17" s="470" t="s">
        <v>844</v>
      </c>
      <c r="B17" s="470">
        <f t="shared" ref="B17:I17" si="19">B11+B16</f>
        <v>-2.6917800000000009</v>
      </c>
      <c r="C17" s="470">
        <f t="shared" si="19"/>
        <v>4.1555899999999975</v>
      </c>
      <c r="D17" s="470">
        <f t="shared" si="19"/>
        <v>2.2999000000000036</v>
      </c>
      <c r="E17" s="470">
        <f t="shared" si="19"/>
        <v>4.9071399999999983</v>
      </c>
      <c r="F17" s="470">
        <f t="shared" si="19"/>
        <v>5.0275699999999954</v>
      </c>
      <c r="G17" s="470">
        <f t="shared" si="19"/>
        <v>7.31738</v>
      </c>
      <c r="H17" s="470">
        <f t="shared" si="19"/>
        <v>3.5673099999999986</v>
      </c>
      <c r="I17" s="470">
        <f t="shared" si="19"/>
        <v>2.9357399999999978</v>
      </c>
      <c r="J17" s="470"/>
      <c r="K17" s="470"/>
      <c r="L17" s="470"/>
      <c r="M17" s="470" t="s">
        <v>844</v>
      </c>
      <c r="N17" s="470">
        <f t="shared" ref="N17:U17" si="20">N11+N16</f>
        <v>1.6392199999999986</v>
      </c>
      <c r="O17" s="470">
        <f t="shared" si="20"/>
        <v>4.7065899999999976</v>
      </c>
      <c r="P17" s="470">
        <f t="shared" si="20"/>
        <v>2.8739000000000043</v>
      </c>
      <c r="Q17" s="470">
        <f t="shared" si="20"/>
        <v>3.6681399999999984</v>
      </c>
      <c r="R17" s="470">
        <f t="shared" si="20"/>
        <v>6.031569999999995</v>
      </c>
      <c r="S17" s="470">
        <f t="shared" si="20"/>
        <v>7.5413800000000002</v>
      </c>
      <c r="T17" s="470">
        <f t="shared" si="20"/>
        <v>6.6353099999999996</v>
      </c>
      <c r="U17" s="470">
        <f t="shared" si="20"/>
        <v>-5.5022600000000015</v>
      </c>
      <c r="Y17" s="517" t="s">
        <v>845</v>
      </c>
      <c r="Z17" s="475">
        <f>SUM(CFS!C31:L31)</f>
        <v>13.576999999999998</v>
      </c>
      <c r="AA17" s="473"/>
      <c r="AB17" s="473"/>
      <c r="AC17" s="473"/>
      <c r="AD17" s="473"/>
      <c r="AE17" s="473"/>
      <c r="AF17" s="473"/>
      <c r="AG17" s="473"/>
    </row>
    <row r="18" spans="1:33">
      <c r="B18" s="386"/>
      <c r="M18" s="3" t="s">
        <v>846</v>
      </c>
      <c r="N18" s="474">
        <f>N13-B13</f>
        <v>4.330999999999996</v>
      </c>
      <c r="O18" s="474">
        <f t="shared" ref="O18:U18" si="21">O13-C13</f>
        <v>0.55100000000000016</v>
      </c>
      <c r="P18" s="474">
        <f t="shared" si="21"/>
        <v>0.57400000000000073</v>
      </c>
      <c r="Q18" s="474">
        <f t="shared" si="21"/>
        <v>-1.2389999999999999</v>
      </c>
      <c r="R18" s="474">
        <f t="shared" si="21"/>
        <v>1.0039999999999991</v>
      </c>
      <c r="S18" s="474">
        <f t="shared" si="21"/>
        <v>0.2240000000000002</v>
      </c>
      <c r="T18" s="474">
        <f t="shared" si="21"/>
        <v>3.0680000000000014</v>
      </c>
      <c r="U18" s="474">
        <f t="shared" si="21"/>
        <v>-8.4379999999999988</v>
      </c>
      <c r="Y18" s="517" t="s">
        <v>847</v>
      </c>
      <c r="Z18" s="475">
        <f>SUM(CFS!C23:L24)</f>
        <v>-30.545000000000002</v>
      </c>
      <c r="AA18" s="474"/>
      <c r="AB18" s="474"/>
      <c r="AC18" s="474"/>
      <c r="AD18" s="474"/>
      <c r="AE18" s="474"/>
      <c r="AF18" s="474"/>
      <c r="AG18" s="474"/>
    </row>
    <row r="19" spans="1:33">
      <c r="B19"/>
      <c r="I19" s="474"/>
      <c r="M19" s="3" t="s">
        <v>848</v>
      </c>
      <c r="N19" s="327">
        <f>N17-B17</f>
        <v>4.3309999999999995</v>
      </c>
      <c r="O19" s="327">
        <f t="shared" ref="O19:U19" si="22">O17-C17</f>
        <v>0.55100000000000016</v>
      </c>
      <c r="P19" s="327">
        <f t="shared" si="22"/>
        <v>0.57400000000000073</v>
      </c>
      <c r="Q19" s="327">
        <f t="shared" si="22"/>
        <v>-1.2389999999999999</v>
      </c>
      <c r="R19" s="327">
        <f t="shared" si="22"/>
        <v>1.0039999999999996</v>
      </c>
      <c r="S19" s="327">
        <f t="shared" si="22"/>
        <v>0.2240000000000002</v>
      </c>
      <c r="T19" s="327">
        <f t="shared" si="22"/>
        <v>3.0680000000000009</v>
      </c>
      <c r="U19" s="327">
        <f t="shared" si="22"/>
        <v>-8.4379999999999988</v>
      </c>
      <c r="Y19" s="517" t="s">
        <v>849</v>
      </c>
      <c r="Z19" s="478">
        <f>SUM(CFS!C20:L20)</f>
        <v>4.7029999999999994</v>
      </c>
      <c r="AA19" s="327"/>
      <c r="AB19" s="327"/>
      <c r="AC19" s="327"/>
      <c r="AD19" s="327"/>
      <c r="AE19" s="327"/>
      <c r="AF19" s="327"/>
      <c r="AG19" s="327"/>
    </row>
    <row r="20" spans="1:33">
      <c r="A20" s="987" t="s">
        <v>850</v>
      </c>
      <c r="B20" s="989" t="str">
        <f>B4</f>
        <v>12/2020</v>
      </c>
      <c r="C20" s="989" t="str">
        <f t="shared" ref="C20:I20" si="23">C4</f>
        <v>12/2019</v>
      </c>
      <c r="D20" s="989" t="str">
        <f t="shared" si="23"/>
        <v>12/2018</v>
      </c>
      <c r="E20" s="989" t="str">
        <f t="shared" si="23"/>
        <v>12/2017</v>
      </c>
      <c r="F20" s="989" t="str">
        <f t="shared" si="23"/>
        <v>12/2016</v>
      </c>
      <c r="G20" s="989" t="str">
        <f t="shared" si="23"/>
        <v>12/2015</v>
      </c>
      <c r="H20" s="989" t="str">
        <f t="shared" si="23"/>
        <v>12/2014</v>
      </c>
      <c r="I20" s="989" t="str">
        <f t="shared" si="23"/>
        <v>12/2013</v>
      </c>
      <c r="J20" s="481"/>
      <c r="K20" s="481"/>
      <c r="L20" s="481"/>
      <c r="M20" s="481"/>
      <c r="N20" s="481"/>
      <c r="O20" s="481"/>
      <c r="P20" s="481"/>
      <c r="Q20" s="481"/>
      <c r="Y20" s="518" t="s">
        <v>851</v>
      </c>
      <c r="Z20" s="470">
        <f>Z17/(-Z18-Z16+Z19)</f>
        <v>0.87384952049945286</v>
      </c>
      <c r="AA20" s="481"/>
      <c r="AB20" s="481"/>
      <c r="AC20" s="481"/>
    </row>
    <row r="21" spans="1:33">
      <c r="A21" s="482" t="s">
        <v>405</v>
      </c>
      <c r="B21" s="483">
        <f>'DAL-US IS-adj'!C11</f>
        <v>-7.1180000000000012</v>
      </c>
      <c r="C21" s="483">
        <f>'DAL-US IS-adj'!D11</f>
        <v>8.4289999999999967</v>
      </c>
      <c r="D21" s="483">
        <f>'DAL-US IS-adj'!E11</f>
        <v>6.9900000000000047</v>
      </c>
      <c r="E21" s="483">
        <f>'DAL-US IS-adj'!F11</f>
        <v>8.4340000000000011</v>
      </c>
      <c r="F21" s="483">
        <f>'DAL-US IS-adj'!G11</f>
        <v>9.2669999999999959</v>
      </c>
      <c r="G21" s="483">
        <f>'DAL-US IS-adj'!H11</f>
        <v>10.378</v>
      </c>
      <c r="H21" s="483">
        <f>'DAL-US IS-adj'!I11</f>
        <v>6.5609999999999991</v>
      </c>
      <c r="I21" s="483">
        <f>'DAL-US IS-adj'!J11</f>
        <v>4.6939999999999973</v>
      </c>
      <c r="J21" s="483"/>
      <c r="K21" s="483"/>
      <c r="L21" s="483"/>
      <c r="M21" s="372" t="s">
        <v>852</v>
      </c>
      <c r="O21" s="327"/>
      <c r="P21" s="327"/>
      <c r="Q21" s="327"/>
      <c r="R21" s="327"/>
      <c r="S21" s="327"/>
      <c r="T21" s="327"/>
      <c r="U21" s="327"/>
      <c r="V21" s="327"/>
      <c r="Y21" s="519" t="s">
        <v>853</v>
      </c>
      <c r="Z21" s="470">
        <f>Ratios!B208</f>
        <v>0.95863222048433205</v>
      </c>
    </row>
    <row r="22" spans="1:33">
      <c r="A22" s="484" t="s">
        <v>841</v>
      </c>
      <c r="B22" s="469">
        <f>'DAL-US IS-adj'!C20</f>
        <v>0.28999999999999998</v>
      </c>
      <c r="C22" s="469">
        <f>'DAL-US IS-adj'!D20</f>
        <v>0.28999999999999998</v>
      </c>
      <c r="D22" s="469">
        <f>'DAL-US IS-adj'!E20</f>
        <v>0.28999999999999998</v>
      </c>
      <c r="E22" s="469">
        <f>'DAL-US IS-adj'!F20</f>
        <v>0.28999999999999998</v>
      </c>
      <c r="F22" s="469">
        <f>'DAL-US IS-adj'!G20</f>
        <v>0.28999999999999998</v>
      </c>
      <c r="G22" s="469">
        <f>'DAL-US IS-adj'!H20</f>
        <v>0.28999999999999998</v>
      </c>
      <c r="H22" s="469">
        <f>'DAL-US IS-adj'!I20</f>
        <v>0.28999999999999998</v>
      </c>
      <c r="I22" s="469">
        <f>'DAL-US IS-adj'!J20</f>
        <v>0.28999999999999998</v>
      </c>
      <c r="J22" s="469"/>
      <c r="K22" s="469"/>
      <c r="L22" s="469"/>
      <c r="M22" s="520" t="str">
        <f>'DAL-US CFS-adj'!A13</f>
        <v>Deferred Taxes &amp; Investment Tax Credit</v>
      </c>
      <c r="N22" s="327"/>
      <c r="O22" s="327"/>
      <c r="P22" s="327"/>
      <c r="Q22" s="327"/>
      <c r="R22" s="327"/>
      <c r="S22" s="327"/>
      <c r="T22" s="327"/>
      <c r="U22" s="327"/>
      <c r="V22" s="327"/>
    </row>
    <row r="23" spans="1:33">
      <c r="A23" s="482" t="s">
        <v>793</v>
      </c>
      <c r="B23" s="485">
        <f t="shared" ref="B23:H23" si="24">B21*(1-B22)</f>
        <v>-5.0537800000000006</v>
      </c>
      <c r="C23" s="485">
        <f t="shared" si="24"/>
        <v>5.9845899999999972</v>
      </c>
      <c r="D23" s="485">
        <f t="shared" si="24"/>
        <v>4.962900000000003</v>
      </c>
      <c r="E23" s="485">
        <f t="shared" si="24"/>
        <v>5.9881400000000005</v>
      </c>
      <c r="F23" s="485">
        <f t="shared" si="24"/>
        <v>6.5795699999999968</v>
      </c>
      <c r="G23" s="485">
        <f t="shared" si="24"/>
        <v>7.3683800000000002</v>
      </c>
      <c r="H23" s="485">
        <f t="shared" si="24"/>
        <v>4.6583099999999993</v>
      </c>
      <c r="I23" s="485">
        <f>I21*(1-I22)</f>
        <v>3.332739999999998</v>
      </c>
      <c r="J23" s="485"/>
      <c r="K23" s="485"/>
      <c r="L23" s="485"/>
      <c r="M23" s="520" t="str">
        <f>'DAL-US CFS-adj'!A14</f>
        <v>Other Funds</v>
      </c>
      <c r="N23" s="327"/>
      <c r="O23" s="327"/>
      <c r="P23" s="327"/>
      <c r="Q23" s="327"/>
      <c r="R23" s="327"/>
      <c r="S23" s="327"/>
      <c r="T23" s="327"/>
      <c r="U23" s="327"/>
      <c r="V23" s="327"/>
    </row>
    <row r="24" spans="1:33">
      <c r="A24" s="31" t="s">
        <v>426</v>
      </c>
      <c r="B24" s="31">
        <f t="shared" ref="B24:I25" si="25">B6</f>
        <v>2.3119999999999998</v>
      </c>
      <c r="C24" s="31">
        <f t="shared" si="25"/>
        <v>2.581</v>
      </c>
      <c r="D24" s="31">
        <f t="shared" si="25"/>
        <v>2.3290000000000002</v>
      </c>
      <c r="E24" s="31">
        <f t="shared" si="25"/>
        <v>2.2349999999999999</v>
      </c>
      <c r="F24" s="31">
        <f t="shared" si="25"/>
        <v>1.9019999999999999</v>
      </c>
      <c r="G24" s="31">
        <f t="shared" si="25"/>
        <v>1.835</v>
      </c>
      <c r="H24" s="31">
        <f t="shared" si="25"/>
        <v>1.7709999999999999</v>
      </c>
      <c r="I24" s="31">
        <f t="shared" si="25"/>
        <v>1.6579999999999999</v>
      </c>
      <c r="J24" s="31"/>
      <c r="K24" s="31"/>
      <c r="L24" s="31"/>
      <c r="M24" s="520" t="s">
        <v>854</v>
      </c>
      <c r="N24" s="327"/>
      <c r="O24" s="327"/>
      <c r="P24" s="327"/>
      <c r="Q24" s="327"/>
      <c r="R24" s="327"/>
      <c r="S24" s="327"/>
      <c r="T24" s="327"/>
      <c r="U24" s="327"/>
      <c r="V24" s="327"/>
    </row>
    <row r="25" spans="1:33">
      <c r="A25" s="31" t="s">
        <v>430</v>
      </c>
      <c r="B25" s="31">
        <f t="shared" si="25"/>
        <v>1.9490000000000001</v>
      </c>
      <c r="C25" s="31">
        <f t="shared" si="25"/>
        <v>0.52600000000000002</v>
      </c>
      <c r="D25" s="31">
        <f t="shared" si="25"/>
        <v>0.17599999999999999</v>
      </c>
      <c r="E25" s="31">
        <f t="shared" si="25"/>
        <v>0.57499999999999996</v>
      </c>
      <c r="F25" s="31">
        <f t="shared" si="25"/>
        <v>-6.3E-2</v>
      </c>
      <c r="G25" s="31">
        <f t="shared" si="25"/>
        <v>1.335</v>
      </c>
      <c r="H25" s="31">
        <f t="shared" si="25"/>
        <v>-0.61299999999999999</v>
      </c>
      <c r="I25" s="31">
        <f t="shared" si="25"/>
        <v>0.51300000000000001</v>
      </c>
      <c r="J25" s="31"/>
      <c r="K25" s="31"/>
      <c r="L25" s="31"/>
      <c r="M25" s="481"/>
      <c r="N25" s="327"/>
      <c r="O25" s="327"/>
      <c r="P25" s="31"/>
      <c r="Q25" s="31"/>
    </row>
    <row r="26" spans="1:33">
      <c r="A26" s="31" t="s">
        <v>50</v>
      </c>
      <c r="B26" s="486">
        <f t="shared" ref="B26:I27" si="26">B9</f>
        <v>-1.899</v>
      </c>
      <c r="C26" s="486">
        <f t="shared" si="26"/>
        <v>-4.9359999999999999</v>
      </c>
      <c r="D26" s="486">
        <f t="shared" si="26"/>
        <v>-5.1680000000000001</v>
      </c>
      <c r="E26" s="486">
        <f t="shared" si="26"/>
        <v>-3.891</v>
      </c>
      <c r="F26" s="486">
        <f t="shared" si="26"/>
        <v>-3.391</v>
      </c>
      <c r="G26" s="486">
        <f t="shared" si="26"/>
        <v>-2.9449999999999998</v>
      </c>
      <c r="H26" s="486">
        <f t="shared" si="26"/>
        <v>-2.2490000000000001</v>
      </c>
      <c r="I26" s="486">
        <f t="shared" si="26"/>
        <v>-2.5680000000000001</v>
      </c>
      <c r="J26" s="486"/>
      <c r="K26" s="486"/>
      <c r="L26" s="486"/>
      <c r="M26" s="481"/>
      <c r="N26" s="481"/>
      <c r="O26" s="481"/>
      <c r="P26" s="486"/>
      <c r="Q26" s="486"/>
    </row>
    <row r="27" spans="1:33">
      <c r="A27" s="31" t="s">
        <v>433</v>
      </c>
      <c r="B27" s="486">
        <f>B10</f>
        <v>0</v>
      </c>
      <c r="C27" s="486">
        <f t="shared" si="26"/>
        <v>0</v>
      </c>
      <c r="D27" s="486">
        <f t="shared" si="26"/>
        <v>0</v>
      </c>
      <c r="E27" s="486">
        <f t="shared" si="26"/>
        <v>0</v>
      </c>
      <c r="F27" s="486">
        <f t="shared" si="26"/>
        <v>0</v>
      </c>
      <c r="G27" s="486">
        <f t="shared" si="26"/>
        <v>-0.27600000000000002</v>
      </c>
      <c r="H27" s="486">
        <f t="shared" si="26"/>
        <v>0</v>
      </c>
      <c r="I27" s="486">
        <f t="shared" si="26"/>
        <v>0</v>
      </c>
      <c r="J27" s="486"/>
      <c r="K27" s="486"/>
      <c r="L27" s="486"/>
      <c r="M27" s="481"/>
      <c r="N27" s="481"/>
      <c r="O27" s="481"/>
      <c r="P27" s="486"/>
      <c r="Q27" s="486"/>
    </row>
    <row r="28" spans="1:33">
      <c r="A28" s="372" t="s">
        <v>855</v>
      </c>
      <c r="B28" s="470">
        <f>B23+B24+B25+B26+B27</f>
        <v>-2.6917800000000005</v>
      </c>
      <c r="C28" s="470">
        <f t="shared" ref="C28:I28" si="27">C23+C24+C25+C26+C27</f>
        <v>4.1555899999999966</v>
      </c>
      <c r="D28" s="470">
        <f t="shared" si="27"/>
        <v>2.2999000000000036</v>
      </c>
      <c r="E28" s="470">
        <f t="shared" si="27"/>
        <v>4.9071400000000001</v>
      </c>
      <c r="F28" s="470">
        <f t="shared" si="27"/>
        <v>5.0275699999999954</v>
      </c>
      <c r="G28" s="470">
        <f t="shared" si="27"/>
        <v>7.31738</v>
      </c>
      <c r="H28" s="470">
        <f t="shared" si="27"/>
        <v>3.5673099999999995</v>
      </c>
      <c r="I28" s="470">
        <f t="shared" si="27"/>
        <v>2.9357399999999978</v>
      </c>
      <c r="J28" s="487"/>
      <c r="K28" s="487"/>
      <c r="L28" s="487"/>
      <c r="M28" s="487"/>
      <c r="N28" s="487"/>
      <c r="O28" s="487"/>
      <c r="P28" s="487"/>
      <c r="Q28" s="487"/>
      <c r="T28" s="326"/>
      <c r="U28" s="326"/>
    </row>
    <row r="29" spans="1:33">
      <c r="A29" s="31" t="s">
        <v>439</v>
      </c>
      <c r="B29" s="474">
        <f t="shared" ref="B29:I29" si="28">B12</f>
        <v>19.797999999999998</v>
      </c>
      <c r="C29" s="474">
        <f t="shared" si="28"/>
        <v>0.48699999999999999</v>
      </c>
      <c r="D29" s="474">
        <f t="shared" si="28"/>
        <v>0.69299999999999995</v>
      </c>
      <c r="E29" s="474">
        <f t="shared" si="28"/>
        <v>1.196</v>
      </c>
      <c r="F29" s="474">
        <f t="shared" si="28"/>
        <v>-1.2589999999999999</v>
      </c>
      <c r="G29" s="474">
        <f t="shared" si="28"/>
        <v>-1.52</v>
      </c>
      <c r="H29" s="474">
        <f t="shared" si="28"/>
        <v>-1.9079999999999999</v>
      </c>
      <c r="I29" s="474">
        <f t="shared" si="28"/>
        <v>-1.1930000000000001</v>
      </c>
      <c r="J29" s="474"/>
      <c r="K29" s="474"/>
      <c r="L29" s="474"/>
      <c r="M29" s="474"/>
      <c r="N29" s="474"/>
      <c r="O29" s="474"/>
      <c r="P29" s="474"/>
      <c r="Q29" s="474"/>
      <c r="T29" s="326"/>
      <c r="U29" s="326"/>
    </row>
    <row r="30" spans="1:33">
      <c r="A30" s="476" t="s">
        <v>842</v>
      </c>
      <c r="B30" s="488">
        <f t="shared" ref="B30:I30" si="29">B16</f>
        <v>0.65959000000000001</v>
      </c>
      <c r="C30" s="488">
        <f t="shared" si="29"/>
        <v>0.21370999999999998</v>
      </c>
      <c r="D30" s="488">
        <f t="shared" si="29"/>
        <v>0.22080999999999998</v>
      </c>
      <c r="E30" s="488">
        <f t="shared" si="29"/>
        <v>0.28116000000000002</v>
      </c>
      <c r="F30" s="488">
        <f t="shared" si="29"/>
        <v>0.27548</v>
      </c>
      <c r="G30" s="488">
        <f t="shared" si="29"/>
        <v>0.34150999999999998</v>
      </c>
      <c r="H30" s="488">
        <f t="shared" si="29"/>
        <v>0.43948999999999999</v>
      </c>
      <c r="I30" s="488">
        <f t="shared" si="29"/>
        <v>0.6049199999999999</v>
      </c>
      <c r="J30" s="488"/>
      <c r="K30" s="488"/>
      <c r="L30" s="488"/>
      <c r="M30" s="488"/>
      <c r="N30" s="488"/>
      <c r="O30" s="488"/>
      <c r="P30" s="488"/>
      <c r="Q30" s="488"/>
    </row>
    <row r="31" spans="1:33">
      <c r="A31" s="372" t="s">
        <v>856</v>
      </c>
      <c r="B31" s="470">
        <f>B28+B29-B30</f>
        <v>16.446629999999995</v>
      </c>
      <c r="C31" s="470">
        <f t="shared" ref="C31:I31" si="30">C28+C29-C30</f>
        <v>4.4288799999999968</v>
      </c>
      <c r="D31" s="470">
        <f t="shared" si="30"/>
        <v>2.7720900000000035</v>
      </c>
      <c r="E31" s="470">
        <f t="shared" si="30"/>
        <v>5.8219799999999999</v>
      </c>
      <c r="F31" s="470">
        <f t="shared" si="30"/>
        <v>3.4930899999999956</v>
      </c>
      <c r="G31" s="470">
        <f t="shared" si="30"/>
        <v>5.4558700000000009</v>
      </c>
      <c r="H31" s="470">
        <f t="shared" si="30"/>
        <v>1.2198199999999997</v>
      </c>
      <c r="I31" s="470">
        <f t="shared" si="30"/>
        <v>1.1378199999999978</v>
      </c>
      <c r="J31" s="470"/>
      <c r="K31" s="470"/>
      <c r="L31" s="470"/>
      <c r="M31" s="470"/>
      <c r="N31" s="470"/>
      <c r="O31" s="470"/>
      <c r="P31" s="470"/>
      <c r="Q31" s="470"/>
      <c r="R31" s="473"/>
    </row>
    <row r="32" spans="1:33">
      <c r="B32" s="474"/>
      <c r="M32" s="488"/>
      <c r="N32" s="488"/>
      <c r="O32" s="488"/>
      <c r="P32" s="488"/>
      <c r="Q32" s="488"/>
    </row>
    <row r="33" spans="1:20">
      <c r="A33" s="479" t="s">
        <v>857</v>
      </c>
      <c r="B33" s="479"/>
      <c r="C33" s="479"/>
      <c r="D33" s="479"/>
      <c r="E33" s="479"/>
      <c r="F33" s="479"/>
      <c r="G33" s="479"/>
      <c r="H33" s="479"/>
      <c r="I33" s="479"/>
      <c r="M33" s="470"/>
      <c r="N33" s="470"/>
      <c r="O33" s="470"/>
      <c r="P33" s="470"/>
      <c r="Q33" s="470"/>
      <c r="R33" s="473"/>
    </row>
    <row r="34" spans="1:20">
      <c r="A34" s="372" t="s">
        <v>858</v>
      </c>
      <c r="B34" s="474">
        <f>B28-B17</f>
        <v>0</v>
      </c>
      <c r="C34" s="474">
        <f t="shared" ref="C34:I34" si="31">C28-C17</f>
        <v>0</v>
      </c>
      <c r="D34" s="474">
        <f t="shared" si="31"/>
        <v>0</v>
      </c>
      <c r="E34" s="474">
        <f t="shared" si="31"/>
        <v>0</v>
      </c>
      <c r="F34" s="474">
        <f t="shared" si="31"/>
        <v>0</v>
      </c>
      <c r="G34" s="474">
        <f t="shared" si="31"/>
        <v>0</v>
      </c>
      <c r="H34" s="474">
        <f t="shared" si="31"/>
        <v>0</v>
      </c>
      <c r="I34" s="474">
        <f t="shared" si="31"/>
        <v>0</v>
      </c>
      <c r="J34" s="474"/>
      <c r="K34" s="474"/>
      <c r="M34" s="488"/>
      <c r="N34" s="488"/>
      <c r="O34" s="488"/>
      <c r="P34" s="488"/>
      <c r="Q34" s="488"/>
    </row>
    <row r="35" spans="1:20">
      <c r="A35" s="372" t="s">
        <v>859</v>
      </c>
      <c r="B35" s="474">
        <f t="shared" ref="B35:I35" si="32">B13-B31</f>
        <v>0</v>
      </c>
      <c r="C35" s="474">
        <f t="shared" si="32"/>
        <v>0</v>
      </c>
      <c r="D35" s="474">
        <f t="shared" si="32"/>
        <v>0</v>
      </c>
      <c r="E35" s="474">
        <f t="shared" si="32"/>
        <v>0</v>
      </c>
      <c r="F35" s="474">
        <f t="shared" si="32"/>
        <v>0</v>
      </c>
      <c r="G35" s="474">
        <f t="shared" si="32"/>
        <v>0</v>
      </c>
      <c r="H35" s="474">
        <f t="shared" si="32"/>
        <v>0</v>
      </c>
      <c r="I35" s="474">
        <f t="shared" si="32"/>
        <v>0</v>
      </c>
      <c r="J35" s="474"/>
      <c r="K35" s="474"/>
      <c r="M35" s="470"/>
      <c r="N35" s="470"/>
      <c r="O35" s="470"/>
      <c r="P35" s="470"/>
      <c r="Q35" s="470"/>
      <c r="R35" s="473"/>
    </row>
    <row r="36" spans="1:20">
      <c r="M36" s="488"/>
      <c r="N36" s="488"/>
      <c r="O36" s="488"/>
      <c r="P36" s="488"/>
      <c r="Q36" s="488"/>
    </row>
    <row r="37" spans="1:20">
      <c r="M37" s="470"/>
      <c r="N37" s="470"/>
      <c r="O37" s="470"/>
      <c r="P37" s="470"/>
      <c r="Q37" s="470"/>
      <c r="R37" s="473"/>
    </row>
    <row r="38" spans="1:20">
      <c r="A38" s="479" t="s">
        <v>860</v>
      </c>
      <c r="B38" s="726" t="str">
        <f>B20</f>
        <v>12/2020</v>
      </c>
      <c r="C38" s="726" t="str">
        <f t="shared" ref="C38:I38" si="33">C20</f>
        <v>12/2019</v>
      </c>
      <c r="D38" s="726" t="str">
        <f t="shared" si="33"/>
        <v>12/2018</v>
      </c>
      <c r="E38" s="726" t="str">
        <f t="shared" si="33"/>
        <v>12/2017</v>
      </c>
      <c r="F38" s="726" t="str">
        <f t="shared" si="33"/>
        <v>12/2016</v>
      </c>
      <c r="G38" s="726" t="str">
        <f t="shared" si="33"/>
        <v>12/2015</v>
      </c>
      <c r="H38" s="726" t="str">
        <f t="shared" si="33"/>
        <v>12/2014</v>
      </c>
      <c r="I38" s="726" t="str">
        <f t="shared" si="33"/>
        <v>12/2013</v>
      </c>
      <c r="M38" s="488"/>
      <c r="N38" s="488"/>
      <c r="O38" s="488"/>
      <c r="P38" s="488"/>
      <c r="Q38" s="488"/>
    </row>
    <row r="39" spans="1:20">
      <c r="A39" s="499" t="s">
        <v>415</v>
      </c>
      <c r="B39" s="499">
        <f>IS!C30</f>
        <v>0.40250000000000002</v>
      </c>
      <c r="C39" s="499">
        <f>IS!D30</f>
        <v>1.5049999999999999</v>
      </c>
      <c r="D39" s="499">
        <f>IS!E30</f>
        <v>1.31</v>
      </c>
      <c r="E39" s="499">
        <f>IS!F30</f>
        <v>1.0149999999999999</v>
      </c>
      <c r="F39" s="499">
        <f>IS!G30</f>
        <v>0.67500000000000004</v>
      </c>
      <c r="G39" s="499">
        <f>IS!H30</f>
        <v>0.45</v>
      </c>
      <c r="H39" s="499">
        <f>IS!I30</f>
        <v>0.3</v>
      </c>
      <c r="I39" s="499">
        <f>IS!J30</f>
        <v>0.12</v>
      </c>
      <c r="J39" s="499"/>
      <c r="K39" s="499"/>
      <c r="L39" s="499"/>
      <c r="M39" s="499"/>
      <c r="N39" s="499"/>
      <c r="O39" s="499"/>
      <c r="P39" s="499"/>
      <c r="Q39" s="499"/>
    </row>
    <row r="40" spans="1:20">
      <c r="A40" s="491" t="s">
        <v>783</v>
      </c>
      <c r="B40" s="491">
        <f>'DAL-US IS-adj'!C14/'DAL-US IS-adj'!C24*1000</f>
        <v>-8.9832861635220134</v>
      </c>
      <c r="C40" s="491">
        <f>'DAL-US IS-adj'!D14/'DAL-US IS-adj'!D24*1000</f>
        <v>8.8646390168970779</v>
      </c>
      <c r="D40" s="491">
        <f>'DAL-US IS-adj'!E14/'DAL-US IS-adj'!E24*1000</f>
        <v>6.8626483357453019</v>
      </c>
      <c r="E40" s="491">
        <f>'DAL-US IS-adj'!F14/'DAL-US IS-adj'!F24*1000</f>
        <v>7.9263611111111114</v>
      </c>
      <c r="F40" s="491">
        <f>'DAL-US IS-adj'!G14/'DAL-US IS-adj'!G24*1000</f>
        <v>8.3942609853528598</v>
      </c>
      <c r="G40" s="491">
        <f>'DAL-US IS-adj'!H14/'DAL-US IS-adj'!H24*1000</f>
        <v>8.816649937264744</v>
      </c>
      <c r="H40" s="491">
        <f>'DAL-US IS-adj'!I14/'DAL-US IS-adj'!I24*1000</f>
        <v>5.0464354066985635</v>
      </c>
      <c r="I40" s="491">
        <f>'DAL-US IS-adj'!J14/'DAL-US IS-adj'!J24*1000</f>
        <v>3.2129799764428717</v>
      </c>
      <c r="J40" s="491"/>
      <c r="K40" s="491"/>
      <c r="L40" s="491"/>
      <c r="M40" s="491"/>
      <c r="N40" s="491"/>
      <c r="O40" s="491"/>
      <c r="P40" s="491"/>
      <c r="Q40" s="491"/>
    </row>
    <row r="41" spans="1:20">
      <c r="A41" s="372" t="s">
        <v>861</v>
      </c>
      <c r="B41" s="500">
        <f>1-(B39/B40)</f>
        <v>1.0448054300701688</v>
      </c>
      <c r="C41" s="500">
        <f t="shared" ref="C41:I41" si="34">1-(C39/C40)</f>
        <v>0.83022433320394806</v>
      </c>
      <c r="D41" s="500">
        <f t="shared" si="34"/>
        <v>0.80911159425485402</v>
      </c>
      <c r="E41" s="500">
        <f t="shared" si="34"/>
        <v>0.87194628332322877</v>
      </c>
      <c r="F41" s="500">
        <f t="shared" si="34"/>
        <v>0.919587918319694</v>
      </c>
      <c r="G41" s="500">
        <f t="shared" si="34"/>
        <v>0.94896020561074845</v>
      </c>
      <c r="H41" s="500">
        <f t="shared" si="34"/>
        <v>0.94055209750593771</v>
      </c>
      <c r="I41" s="500">
        <f t="shared" si="34"/>
        <v>0.96265149460008359</v>
      </c>
      <c r="J41" s="500"/>
      <c r="K41" s="500"/>
      <c r="L41" s="500"/>
      <c r="M41" s="500"/>
      <c r="N41" s="500"/>
      <c r="O41" s="500"/>
      <c r="P41" s="500"/>
      <c r="Q41" s="500"/>
    </row>
    <row r="42" spans="1:20">
      <c r="A42" s="372" t="s">
        <v>82</v>
      </c>
      <c r="B42" s="500">
        <f>'DAL-US IS-adj'!C14/AVERAGE('DAL-US BS-adj'!C34:D34)</f>
        <v>-0.67645867866445675</v>
      </c>
      <c r="C42" s="500">
        <f>'DAL-US IS-adj'!D14/AVERAGE('DAL-US BS-adj'!D34:E34)</f>
        <v>0.39737510759166794</v>
      </c>
      <c r="D42" s="500">
        <f>'DAL-US IS-adj'!E14/AVERAGE('DAL-US BS-adj'!E34:F34)</f>
        <v>0.343667065260717</v>
      </c>
      <c r="E42" s="500">
        <f>'DAL-US IS-adj'!F14/AVERAGE('DAL-US BS-adj'!F34:G34)</f>
        <v>0.43569721723861504</v>
      </c>
      <c r="F42" s="500">
        <f>'DAL-US IS-adj'!G14/AVERAGE('DAL-US BS-adj'!G34:H34)</f>
        <v>0.54493581708951</v>
      </c>
      <c r="G42" s="500">
        <f>'DAL-US IS-adj'!H14/AVERAGE('DAL-US BS-adj'!H34:I34)</f>
        <v>0.71473020393632714</v>
      </c>
      <c r="H42" s="500">
        <f>'DAL-US IS-adj'!I14/AVERAGE('DAL-US BS-adj'!I34:J34)</f>
        <v>0.41247751271020711</v>
      </c>
      <c r="I42" s="500">
        <f>'DAL-US IS-adj'!J14/AVERAGE('DAL-US BS-adj'!J34:K34)</f>
        <v>0.57355340622371698</v>
      </c>
      <c r="J42" s="500"/>
      <c r="K42" s="500"/>
      <c r="L42" s="500"/>
      <c r="M42" s="500"/>
      <c r="N42" s="500"/>
      <c r="O42" s="500"/>
      <c r="P42" s="500"/>
      <c r="Q42" s="500"/>
    </row>
    <row r="43" spans="1:20">
      <c r="A43" s="501" t="s">
        <v>862</v>
      </c>
      <c r="B43" s="502">
        <f>B42*B41</f>
        <v>-0.70676770068671579</v>
      </c>
      <c r="C43" s="502">
        <f t="shared" ref="C43:I43" si="35">C42*C41</f>
        <v>0.32991048373213966</v>
      </c>
      <c r="D43" s="502">
        <f t="shared" si="35"/>
        <v>0.27806500706598569</v>
      </c>
      <c r="E43" s="502">
        <f t="shared" si="35"/>
        <v>0.37990456922548377</v>
      </c>
      <c r="F43" s="502">
        <f t="shared" si="35"/>
        <v>0.50111639365518401</v>
      </c>
      <c r="G43" s="502">
        <f t="shared" si="35"/>
        <v>0.67825052128362917</v>
      </c>
      <c r="H43" s="502">
        <f t="shared" si="35"/>
        <v>0.38795658975361735</v>
      </c>
      <c r="I43" s="502">
        <f t="shared" si="35"/>
        <v>0.55213204373423008</v>
      </c>
      <c r="J43" s="502"/>
      <c r="K43" s="502"/>
      <c r="L43" s="502"/>
      <c r="M43" s="502"/>
      <c r="N43" s="502"/>
      <c r="O43" s="502"/>
      <c r="P43" s="502"/>
      <c r="Q43" s="502"/>
    </row>
    <row r="44" spans="1:20">
      <c r="A44" s="372"/>
      <c r="B44" s="500"/>
      <c r="C44" s="500"/>
      <c r="D44" s="500"/>
      <c r="E44" s="500"/>
      <c r="F44" s="500"/>
      <c r="G44" s="500"/>
      <c r="H44" s="500"/>
      <c r="I44" s="500"/>
      <c r="J44" s="500"/>
      <c r="K44" s="500"/>
      <c r="L44" s="500"/>
      <c r="M44" s="500"/>
      <c r="N44" s="500"/>
      <c r="O44" s="500"/>
      <c r="P44" s="500"/>
      <c r="Q44" s="500"/>
    </row>
    <row r="45" spans="1:20">
      <c r="A45" s="3" t="s">
        <v>863</v>
      </c>
      <c r="B45" s="474">
        <f>-SUM(B9:B10)</f>
        <v>1.899</v>
      </c>
      <c r="C45" s="474">
        <f t="shared" ref="C45:I45" si="36">-SUM(C9:C10)</f>
        <v>4.9359999999999999</v>
      </c>
      <c r="D45" s="474">
        <f t="shared" si="36"/>
        <v>5.1680000000000001</v>
      </c>
      <c r="E45" s="474">
        <f t="shared" si="36"/>
        <v>3.891</v>
      </c>
      <c r="F45" s="474">
        <f t="shared" si="36"/>
        <v>3.391</v>
      </c>
      <c r="G45" s="474">
        <f t="shared" si="36"/>
        <v>3.2210000000000001</v>
      </c>
      <c r="H45" s="474">
        <f t="shared" si="36"/>
        <v>2.2490000000000001</v>
      </c>
      <c r="I45" s="474">
        <f t="shared" si="36"/>
        <v>2.5680000000000001</v>
      </c>
      <c r="J45" s="474"/>
      <c r="K45" s="474"/>
      <c r="L45" s="474"/>
      <c r="M45" s="474"/>
      <c r="N45" s="474"/>
      <c r="O45" s="474"/>
      <c r="P45" s="474"/>
      <c r="Q45" s="474"/>
    </row>
    <row r="46" spans="1:20">
      <c r="A46" s="327" t="s">
        <v>426</v>
      </c>
      <c r="B46" s="474">
        <f>B6</f>
        <v>2.3119999999999998</v>
      </c>
      <c r="C46" s="474">
        <f t="shared" ref="C46:I46" si="37">C6</f>
        <v>2.581</v>
      </c>
      <c r="D46" s="474">
        <f t="shared" si="37"/>
        <v>2.3290000000000002</v>
      </c>
      <c r="E46" s="474">
        <f t="shared" si="37"/>
        <v>2.2349999999999999</v>
      </c>
      <c r="F46" s="474">
        <f t="shared" si="37"/>
        <v>1.9019999999999999</v>
      </c>
      <c r="G46" s="474">
        <f t="shared" si="37"/>
        <v>1.835</v>
      </c>
      <c r="H46" s="474">
        <f t="shared" si="37"/>
        <v>1.7709999999999999</v>
      </c>
      <c r="I46" s="474">
        <f t="shared" si="37"/>
        <v>1.6579999999999999</v>
      </c>
      <c r="J46" s="474"/>
      <c r="K46" s="474"/>
      <c r="L46" s="474"/>
      <c r="M46" s="474"/>
      <c r="N46" s="474"/>
      <c r="O46" s="474"/>
      <c r="P46" s="474"/>
      <c r="Q46" s="474"/>
    </row>
    <row r="47" spans="1:20">
      <c r="A47" s="327" t="s">
        <v>864</v>
      </c>
      <c r="B47" s="474">
        <f>-B7</f>
        <v>-1.9490000000000001</v>
      </c>
      <c r="C47" s="474">
        <f t="shared" ref="C47:I47" si="38">-C7</f>
        <v>-0.52600000000000002</v>
      </c>
      <c r="D47" s="474">
        <f t="shared" si="38"/>
        <v>-0.17599999999999999</v>
      </c>
      <c r="E47" s="474">
        <f t="shared" si="38"/>
        <v>-0.57499999999999996</v>
      </c>
      <c r="F47" s="474">
        <f t="shared" si="38"/>
        <v>6.3E-2</v>
      </c>
      <c r="G47" s="474">
        <f t="shared" si="38"/>
        <v>-1.335</v>
      </c>
      <c r="H47" s="474">
        <f t="shared" si="38"/>
        <v>0.61299999999999999</v>
      </c>
      <c r="I47" s="474">
        <f t="shared" si="38"/>
        <v>-0.51300000000000001</v>
      </c>
      <c r="J47" s="474"/>
      <c r="K47" s="474"/>
      <c r="L47" s="474"/>
      <c r="M47" s="474"/>
      <c r="N47" s="474"/>
      <c r="O47" s="474"/>
      <c r="P47" s="474"/>
      <c r="Q47" s="474"/>
      <c r="R47" s="500"/>
      <c r="S47" s="500"/>
      <c r="T47" s="500"/>
    </row>
    <row r="48" spans="1:20">
      <c r="A48" s="503" t="s">
        <v>865</v>
      </c>
      <c r="B48" s="504">
        <f>B45-B46+B47</f>
        <v>-2.3620000000000001</v>
      </c>
      <c r="C48" s="504">
        <f>C45-C46+C47</f>
        <v>1.829</v>
      </c>
      <c r="D48" s="504">
        <f t="shared" ref="D48:I48" si="39">D45-D46+D47</f>
        <v>2.6629999999999998</v>
      </c>
      <c r="E48" s="504">
        <f t="shared" si="39"/>
        <v>1.0810000000000002</v>
      </c>
      <c r="F48" s="504">
        <f t="shared" si="39"/>
        <v>1.552</v>
      </c>
      <c r="G48" s="504">
        <f t="shared" si="39"/>
        <v>5.1000000000000156E-2</v>
      </c>
      <c r="H48" s="504">
        <f t="shared" si="39"/>
        <v>1.0910000000000002</v>
      </c>
      <c r="I48" s="504">
        <f t="shared" si="39"/>
        <v>0.39700000000000013</v>
      </c>
      <c r="J48" s="504"/>
      <c r="K48" s="504"/>
      <c r="L48" s="504"/>
      <c r="M48" s="504">
        <f>B23*(1-B68)</f>
        <v>-2.6917800000000005</v>
      </c>
      <c r="N48" s="504">
        <f t="shared" ref="N48:Q48" si="40">C23*(1-C68)</f>
        <v>4.1555899999999975</v>
      </c>
      <c r="O48" s="504">
        <f t="shared" si="40"/>
        <v>2.2999000000000032</v>
      </c>
      <c r="P48" s="504">
        <f t="shared" si="40"/>
        <v>4.9071400000000001</v>
      </c>
      <c r="Q48" s="504">
        <f t="shared" si="40"/>
        <v>5.0275699999999963</v>
      </c>
      <c r="R48" s="504">
        <f t="shared" ref="R48" si="41">G23*(1-G48)</f>
        <v>6.992592619999999</v>
      </c>
    </row>
    <row r="49" spans="1:17" ht="15.75" customHeight="1">
      <c r="A49" s="327" t="s">
        <v>866</v>
      </c>
      <c r="B49" s="474">
        <f>CFS!C31</f>
        <v>19.797999999999998</v>
      </c>
      <c r="C49" s="474">
        <f>CFS!D31</f>
        <v>0.48699999999999999</v>
      </c>
      <c r="D49" s="474">
        <f>CFS!E31</f>
        <v>0.69299999999999995</v>
      </c>
      <c r="E49" s="1085">
        <f>CFS!F31</f>
        <v>1.196</v>
      </c>
      <c r="F49" s="1085">
        <f>CFS!G31</f>
        <v>-1.2589999999999999</v>
      </c>
      <c r="G49" s="1085">
        <f>CFS!H31</f>
        <v>-1.52</v>
      </c>
      <c r="H49" s="1085">
        <f>CFS!I31</f>
        <v>-1.9079999999999999</v>
      </c>
      <c r="I49" s="474">
        <f>CFS!J31</f>
        <v>-1.1930000000000001</v>
      </c>
      <c r="J49" s="474"/>
      <c r="K49" s="474"/>
      <c r="L49" s="474"/>
      <c r="M49" s="474"/>
      <c r="N49" s="474"/>
      <c r="O49" s="474"/>
      <c r="P49" s="474"/>
      <c r="Q49" s="474"/>
    </row>
    <row r="50" spans="1:17">
      <c r="A50" s="503" t="s">
        <v>867</v>
      </c>
      <c r="B50" s="505">
        <f>B48-B49</f>
        <v>-22.159999999999997</v>
      </c>
      <c r="C50" s="505">
        <f t="shared" ref="C50:I50" si="42">C48-C49</f>
        <v>1.3420000000000001</v>
      </c>
      <c r="D50" s="505">
        <f t="shared" si="42"/>
        <v>1.9699999999999998</v>
      </c>
      <c r="E50" s="505">
        <f t="shared" si="42"/>
        <v>-0.11499999999999977</v>
      </c>
      <c r="F50" s="505">
        <f t="shared" si="42"/>
        <v>2.8109999999999999</v>
      </c>
      <c r="G50" s="505">
        <f t="shared" si="42"/>
        <v>1.5710000000000002</v>
      </c>
      <c r="H50" s="505">
        <f t="shared" si="42"/>
        <v>2.9990000000000001</v>
      </c>
      <c r="I50" s="505">
        <f t="shared" si="42"/>
        <v>1.5900000000000003</v>
      </c>
      <c r="J50" s="505"/>
      <c r="K50" s="505"/>
      <c r="L50" s="505"/>
      <c r="M50" s="505"/>
      <c r="N50" s="505"/>
      <c r="O50" s="505"/>
      <c r="P50" s="505"/>
      <c r="Q50" s="505"/>
    </row>
    <row r="51" spans="1:17">
      <c r="A51" s="380"/>
      <c r="B51" s="637"/>
      <c r="C51" s="637"/>
      <c r="D51" s="639"/>
      <c r="E51" s="639"/>
      <c r="F51" s="639"/>
      <c r="G51" s="639"/>
      <c r="H51" s="639"/>
      <c r="I51" s="639"/>
      <c r="J51" s="640"/>
      <c r="K51" s="640"/>
      <c r="L51" s="640"/>
      <c r="M51" s="640"/>
      <c r="N51" s="640"/>
      <c r="O51" s="640"/>
      <c r="P51" s="640"/>
      <c r="Q51" s="640"/>
    </row>
    <row r="52" spans="1:17">
      <c r="A52" s="327" t="s">
        <v>425</v>
      </c>
      <c r="B52" s="474">
        <f t="shared" ref="B52:I52" si="43">B5</f>
        <v>-5.7133700000000012</v>
      </c>
      <c r="C52" s="499">
        <f t="shared" si="43"/>
        <v>5.7708799999999982</v>
      </c>
      <c r="D52" s="499">
        <f t="shared" si="43"/>
        <v>4.7420900000000037</v>
      </c>
      <c r="E52" s="499">
        <f t="shared" si="43"/>
        <v>5.7069799999999997</v>
      </c>
      <c r="F52" s="499">
        <f t="shared" si="43"/>
        <v>6.3040899999999969</v>
      </c>
      <c r="G52" s="499">
        <f t="shared" si="43"/>
        <v>7.0268700000000006</v>
      </c>
      <c r="H52" s="499">
        <f t="shared" si="43"/>
        <v>4.2188199999999991</v>
      </c>
      <c r="I52" s="499">
        <f t="shared" si="43"/>
        <v>2.7278199999999981</v>
      </c>
      <c r="J52" s="499"/>
      <c r="K52" s="499"/>
      <c r="L52" s="499"/>
      <c r="M52" s="641"/>
      <c r="N52" s="499"/>
      <c r="O52" s="499"/>
      <c r="P52" s="499"/>
      <c r="Q52" s="499"/>
    </row>
    <row r="53" spans="1:17">
      <c r="A53" s="491" t="s">
        <v>358</v>
      </c>
      <c r="B53" s="474">
        <f>AVERAGE(BS!B15:C15)</f>
        <v>8.6910000000000007</v>
      </c>
      <c r="C53" s="474">
        <f>AVERAGE(BS!C15:D15)</f>
        <v>2.4544999999999999</v>
      </c>
      <c r="D53" s="474">
        <f>AVERAGE(BS!D15:E15)</f>
        <v>2.2269999999999999</v>
      </c>
      <c r="E53" s="474">
        <f>AVERAGE(BS!E15:F15)</f>
        <v>3.1404999999999998</v>
      </c>
      <c r="F53" s="474">
        <f>AVERAGE(BS!F15:G15)</f>
        <v>4.5330000000000004</v>
      </c>
      <c r="G53" s="474">
        <f>AVERAGE(BS!G15:H15)</f>
        <v>4.9035000000000002</v>
      </c>
      <c r="H53" s="474">
        <f>AVERAGE(BS!H15:I15)</f>
        <v>4.1539999999999999</v>
      </c>
      <c r="I53" s="474">
        <f>AVERAGE(BS!I15:J15)</f>
        <v>3.8369999999999997</v>
      </c>
      <c r="J53" s="499"/>
      <c r="K53" s="499"/>
      <c r="L53" s="499"/>
      <c r="M53" s="499"/>
      <c r="N53" s="635"/>
      <c r="O53" s="635"/>
      <c r="P53" s="499"/>
      <c r="Q53" s="499"/>
    </row>
    <row r="54" spans="1:17">
      <c r="A54" s="327" t="s">
        <v>868</v>
      </c>
      <c r="B54" s="641">
        <f t="array" ref="B54:I54">_xll.FDSR("TRYUS3M-FDS","FG_YIELD("&amp;B38&amp;","&amp;I38&amp;",AY,,""YTM"")")/100</f>
        <v>7.7499999999999997E-4</v>
      </c>
      <c r="C54" s="641">
        <v>1.5488E-2</v>
      </c>
      <c r="D54" s="641">
        <v>2.4483999999999999E-2</v>
      </c>
      <c r="E54" s="641">
        <v>1.3861000000000002E-2</v>
      </c>
      <c r="F54" s="641">
        <v>4.5929999999999999E-3</v>
      </c>
      <c r="G54" s="641">
        <v>1.8559999999999998E-3</v>
      </c>
      <c r="H54" s="641">
        <v>2.2800000000000001E-4</v>
      </c>
      <c r="I54" s="641">
        <v>5.8299999999999997E-4</v>
      </c>
      <c r="J54" s="633"/>
      <c r="K54" s="633"/>
      <c r="L54" s="473"/>
      <c r="M54" s="633"/>
      <c r="N54" s="633"/>
      <c r="O54" s="636"/>
      <c r="P54" s="636"/>
      <c r="Q54" s="636"/>
    </row>
    <row r="55" spans="1:17">
      <c r="A55" s="327" t="s">
        <v>47</v>
      </c>
      <c r="B55" s="491">
        <f t="shared" ref="B55:I55" si="44">B15</f>
        <v>0.28999999999999998</v>
      </c>
      <c r="C55" s="491">
        <f t="shared" si="44"/>
        <v>0.28999999999999998</v>
      </c>
      <c r="D55" s="491">
        <f t="shared" si="44"/>
        <v>0.28999999999999998</v>
      </c>
      <c r="E55" s="491">
        <f t="shared" si="44"/>
        <v>0.28999999999999998</v>
      </c>
      <c r="F55" s="491">
        <f t="shared" si="44"/>
        <v>0.28999999999999998</v>
      </c>
      <c r="G55" s="491">
        <f t="shared" si="44"/>
        <v>0.28999999999999998</v>
      </c>
      <c r="H55" s="491">
        <f t="shared" si="44"/>
        <v>0.28999999999999998</v>
      </c>
      <c r="I55" s="491">
        <f t="shared" si="44"/>
        <v>0.28999999999999998</v>
      </c>
      <c r="J55" s="633"/>
      <c r="K55" s="633"/>
      <c r="L55" s="473"/>
      <c r="M55" s="633"/>
      <c r="N55" s="636"/>
      <c r="O55" s="499"/>
      <c r="P55" s="499"/>
      <c r="Q55" s="499"/>
    </row>
    <row r="56" spans="1:17">
      <c r="A56" s="327" t="s">
        <v>869</v>
      </c>
      <c r="B56" s="499">
        <f>B53*B54*(1-B55)</f>
        <v>4.7822227499999996E-3</v>
      </c>
      <c r="C56" s="499">
        <f t="shared" ref="C56:I56" si="45">C53*C54*(1-C55)</f>
        <v>2.6990860159999998E-2</v>
      </c>
      <c r="D56" s="499">
        <f t="shared" si="45"/>
        <v>3.8713366279999994E-2</v>
      </c>
      <c r="E56" s="499">
        <f t="shared" si="45"/>
        <v>3.0906634055E-2</v>
      </c>
      <c r="F56" s="499">
        <f t="shared" si="45"/>
        <v>1.478224899E-2</v>
      </c>
      <c r="G56" s="499">
        <f t="shared" si="45"/>
        <v>6.4616361599999991E-3</v>
      </c>
      <c r="H56" s="499">
        <f t="shared" si="45"/>
        <v>6.7244951999999997E-4</v>
      </c>
      <c r="I56" s="499">
        <f t="shared" si="45"/>
        <v>1.5882494099999998E-3</v>
      </c>
      <c r="J56" s="499"/>
      <c r="K56" s="499"/>
      <c r="L56" s="499"/>
      <c r="M56" s="499"/>
      <c r="N56" s="499"/>
    </row>
    <row r="57" spans="1:17">
      <c r="A57" s="503" t="s">
        <v>870</v>
      </c>
      <c r="B57" s="505">
        <f>B52-B56</f>
        <v>-5.7181522227500015</v>
      </c>
      <c r="C57" s="505">
        <f t="shared" ref="C57:I57" si="46">C52-C56</f>
        <v>5.7438891398399985</v>
      </c>
      <c r="D57" s="505">
        <f t="shared" si="46"/>
        <v>4.703376633720004</v>
      </c>
      <c r="E57" s="505">
        <f t="shared" si="46"/>
        <v>5.6760733659449993</v>
      </c>
      <c r="F57" s="505">
        <f t="shared" si="46"/>
        <v>6.2893077510099973</v>
      </c>
      <c r="G57" s="505">
        <f t="shared" si="46"/>
        <v>7.0204083638400006</v>
      </c>
      <c r="H57" s="505">
        <f t="shared" si="46"/>
        <v>4.2181475504799995</v>
      </c>
      <c r="I57" s="505">
        <f t="shared" si="46"/>
        <v>2.726231750589998</v>
      </c>
      <c r="J57" s="505"/>
      <c r="K57" s="505"/>
      <c r="L57" s="505"/>
      <c r="M57" s="505"/>
      <c r="N57" s="505"/>
      <c r="O57" s="505"/>
      <c r="P57" s="505"/>
      <c r="Q57" s="505"/>
    </row>
    <row r="58" spans="1:17">
      <c r="A58" s="327"/>
      <c r="B58" s="499"/>
      <c r="C58" s="499"/>
      <c r="D58" s="499"/>
      <c r="E58" s="499"/>
      <c r="F58" s="499"/>
      <c r="G58" s="499"/>
      <c r="H58" s="499"/>
      <c r="I58" s="499"/>
      <c r="J58" s="499"/>
      <c r="K58" s="499"/>
      <c r="L58" s="499"/>
      <c r="M58" s="499"/>
      <c r="N58" s="499"/>
    </row>
    <row r="59" spans="1:17">
      <c r="A59" s="380" t="s">
        <v>871</v>
      </c>
      <c r="B59" s="634">
        <f>B50/B57</f>
        <v>3.8753777683348734</v>
      </c>
      <c r="C59" s="506">
        <f t="shared" ref="C59:I59" si="47">C50/C57</f>
        <v>0.23363960677649548</v>
      </c>
      <c r="D59" s="506">
        <f t="shared" si="47"/>
        <v>0.41884802205216626</v>
      </c>
      <c r="E59" s="506">
        <f t="shared" si="47"/>
        <v>-2.0260485125151943E-2</v>
      </c>
      <c r="F59" s="506">
        <f t="shared" si="47"/>
        <v>0.44694903020902144</v>
      </c>
      <c r="G59" s="506">
        <f t="shared" si="47"/>
        <v>0.22377615639736084</v>
      </c>
      <c r="H59" s="506">
        <f>H50/H57</f>
        <v>0.71097560341594312</v>
      </c>
      <c r="I59" s="634">
        <f t="shared" si="47"/>
        <v>0.58322261108429252</v>
      </c>
      <c r="J59" s="506"/>
      <c r="K59" s="506"/>
      <c r="L59" s="506"/>
      <c r="M59" s="634"/>
      <c r="N59" s="638"/>
      <c r="O59" s="634"/>
      <c r="P59" s="634"/>
      <c r="Q59" s="634"/>
    </row>
    <row r="60" spans="1:17">
      <c r="A60" s="491" t="s">
        <v>872</v>
      </c>
      <c r="B60" s="491">
        <f>AVERAGE('DAL-US BS-adj'!C34:D34)</f>
        <v>8.4459999999999997</v>
      </c>
      <c r="C60" s="491">
        <f>AVERAGE('DAL-US BS-adj'!D34:E34)</f>
        <v>14.522500000000001</v>
      </c>
      <c r="D60" s="491">
        <f>AVERAGE('DAL-US BS-adj'!E34:F34)</f>
        <v>13.798500000000001</v>
      </c>
      <c r="E60" s="491">
        <f>AVERAGE('DAL-US BS-adj'!F34:G34)</f>
        <v>13.098500000000001</v>
      </c>
      <c r="F60" s="491">
        <f>AVERAGE('DAL-US BS-adj'!G34:H34)</f>
        <v>11.5685</v>
      </c>
      <c r="G60" s="491">
        <f>AVERAGE('DAL-US BS-adj'!H34:I34)</f>
        <v>9.8315000000000001</v>
      </c>
      <c r="H60" s="491">
        <f>AVERAGE('DAL-US BS-adj'!I34:J34)</f>
        <v>10.228000000000002</v>
      </c>
      <c r="I60" s="491">
        <f>AVERAGE('DAL-US BS-adj'!J34:K34)</f>
        <v>4.7560000000000002</v>
      </c>
      <c r="J60" s="491"/>
      <c r="K60" s="491"/>
      <c r="L60" s="491"/>
      <c r="M60" s="491"/>
      <c r="N60" s="491"/>
      <c r="O60" s="491"/>
      <c r="P60" s="491"/>
      <c r="Q60" s="491"/>
    </row>
    <row r="61" spans="1:17">
      <c r="A61" s="491" t="s">
        <v>873</v>
      </c>
      <c r="B61" s="491">
        <f>AVERAGE(BS!B15:C15)</f>
        <v>8.6910000000000007</v>
      </c>
      <c r="C61" s="491">
        <f>AVERAGE(BS!C15:D15)</f>
        <v>2.4544999999999999</v>
      </c>
      <c r="D61" s="491">
        <f>AVERAGE(BS!D15:E15)</f>
        <v>2.2269999999999999</v>
      </c>
      <c r="E61" s="491">
        <f>AVERAGE(BS!E15:F15)</f>
        <v>3.1404999999999998</v>
      </c>
      <c r="F61" s="491">
        <f>AVERAGE(BS!F15:G15)</f>
        <v>4.5330000000000004</v>
      </c>
      <c r="G61" s="491">
        <f>AVERAGE(BS!G15:H15)</f>
        <v>4.9035000000000002</v>
      </c>
      <c r="H61" s="491">
        <f>AVERAGE(BS!H15:I15)</f>
        <v>4.1539999999999999</v>
      </c>
      <c r="I61" s="491">
        <f>AVERAGE(BS!I15:J15)</f>
        <v>3.8369999999999997</v>
      </c>
      <c r="J61" s="491"/>
      <c r="K61" s="491"/>
      <c r="L61" s="491"/>
      <c r="M61" s="491"/>
      <c r="N61" s="491"/>
      <c r="O61" s="491"/>
      <c r="P61" s="491"/>
      <c r="Q61" s="491"/>
    </row>
    <row r="62" spans="1:17">
      <c r="A62" s="3" t="s">
        <v>874</v>
      </c>
      <c r="B62" s="327">
        <f>B60-B61</f>
        <v>-0.24500000000000099</v>
      </c>
      <c r="C62" s="327">
        <f>C60-C61</f>
        <v>12.068000000000001</v>
      </c>
      <c r="D62" s="327">
        <f t="shared" ref="D62:I62" si="48">D60-D61</f>
        <v>11.5715</v>
      </c>
      <c r="E62" s="327">
        <f t="shared" si="48"/>
        <v>9.958000000000002</v>
      </c>
      <c r="F62" s="327">
        <f t="shared" si="48"/>
        <v>7.0354999999999999</v>
      </c>
      <c r="G62" s="327">
        <f t="shared" si="48"/>
        <v>4.9279999999999999</v>
      </c>
      <c r="H62" s="327">
        <f t="shared" si="48"/>
        <v>6.0740000000000016</v>
      </c>
      <c r="I62" s="327">
        <f t="shared" si="48"/>
        <v>0.91900000000000048</v>
      </c>
    </row>
    <row r="63" spans="1:17">
      <c r="A63" s="380" t="s">
        <v>875</v>
      </c>
      <c r="B63" s="644">
        <f>B57/B62</f>
        <v>23.339396827550932</v>
      </c>
      <c r="C63" s="644">
        <f>C57/C62</f>
        <v>0.47596031984090137</v>
      </c>
      <c r="D63" s="644">
        <f t="shared" ref="D63:I63" si="49">D57/D62</f>
        <v>0.40646213833297357</v>
      </c>
      <c r="E63" s="644">
        <f t="shared" si="49"/>
        <v>0.57000134223187371</v>
      </c>
      <c r="F63" s="644">
        <f t="shared" si="49"/>
        <v>0.89393898813303918</v>
      </c>
      <c r="G63" s="644">
        <f t="shared" si="49"/>
        <v>1.4245958530519482</v>
      </c>
      <c r="H63" s="644">
        <f t="shared" si="49"/>
        <v>0.69445959013500136</v>
      </c>
      <c r="I63" s="644">
        <f t="shared" si="49"/>
        <v>2.9665198591838919</v>
      </c>
      <c r="J63" s="507"/>
      <c r="K63" s="507"/>
      <c r="L63" s="507"/>
      <c r="M63" s="507"/>
      <c r="N63" s="507"/>
      <c r="O63" s="507"/>
      <c r="P63" s="507"/>
      <c r="Q63" s="507"/>
    </row>
    <row r="64" spans="1:17">
      <c r="A64" s="508" t="s">
        <v>876</v>
      </c>
      <c r="B64" s="509">
        <f>B59*B63</f>
        <v>90.448979591836348</v>
      </c>
      <c r="C64" s="509">
        <f t="shared" ref="C64:I64" si="50">C59*C63</f>
        <v>0.11120318196884321</v>
      </c>
      <c r="D64" s="509">
        <f t="shared" si="50"/>
        <v>0.17024586267985997</v>
      </c>
      <c r="E64" s="509">
        <f t="shared" si="50"/>
        <v>-1.1548503715605519E-2</v>
      </c>
      <c r="F64" s="509">
        <f t="shared" si="50"/>
        <v>0.39954516381209576</v>
      </c>
      <c r="G64" s="509">
        <f t="shared" si="50"/>
        <v>0.31879058441558444</v>
      </c>
      <c r="H64" s="509">
        <f t="shared" si="50"/>
        <v>0.49374382614422113</v>
      </c>
      <c r="I64" s="509">
        <f t="shared" si="50"/>
        <v>1.7301414581066372</v>
      </c>
      <c r="J64" s="509"/>
      <c r="K64" s="509"/>
      <c r="L64" s="509"/>
      <c r="M64" s="509"/>
      <c r="N64" s="509"/>
      <c r="O64" s="509"/>
      <c r="P64" s="509"/>
      <c r="Q64" s="509"/>
    </row>
    <row r="65" spans="1:17">
      <c r="A65" s="380"/>
      <c r="B65" s="645"/>
      <c r="C65" s="645"/>
      <c r="D65" s="645"/>
      <c r="E65" s="645"/>
      <c r="F65" s="645"/>
      <c r="G65" s="645"/>
      <c r="H65" s="645"/>
      <c r="I65" s="645"/>
      <c r="J65" s="645"/>
      <c r="K65" s="645"/>
      <c r="L65" s="645"/>
      <c r="M65" s="645"/>
      <c r="N65" s="645"/>
      <c r="O65" s="645"/>
      <c r="P65" s="645"/>
      <c r="Q65" s="645"/>
    </row>
    <row r="66" spans="1:17" customFormat="1">
      <c r="A66" s="327" t="s">
        <v>865</v>
      </c>
      <c r="B66" s="646">
        <f>B48</f>
        <v>-2.3620000000000001</v>
      </c>
      <c r="C66" s="647">
        <f>C48</f>
        <v>1.829</v>
      </c>
      <c r="D66" s="646">
        <f t="shared" ref="D66:I66" si="51">D48</f>
        <v>2.6629999999999998</v>
      </c>
      <c r="E66" s="646">
        <f t="shared" si="51"/>
        <v>1.0810000000000002</v>
      </c>
      <c r="F66" s="647">
        <f>F48</f>
        <v>1.552</v>
      </c>
      <c r="G66" s="646">
        <f t="shared" si="51"/>
        <v>5.1000000000000156E-2</v>
      </c>
      <c r="H66" s="646">
        <f t="shared" si="51"/>
        <v>1.0910000000000002</v>
      </c>
      <c r="I66" s="646">
        <f t="shared" si="51"/>
        <v>0.39700000000000013</v>
      </c>
      <c r="J66" s="510"/>
      <c r="K66" s="510"/>
      <c r="L66" s="510"/>
      <c r="M66" s="510"/>
      <c r="N66" s="510"/>
      <c r="O66" s="510"/>
      <c r="P66" s="510"/>
      <c r="Q66" s="510"/>
    </row>
    <row r="67" spans="1:17">
      <c r="A67" s="327" t="s">
        <v>793</v>
      </c>
      <c r="B67" s="327">
        <f>B23</f>
        <v>-5.0537800000000006</v>
      </c>
      <c r="C67" s="327">
        <f t="shared" ref="C67:I67" si="52">C23</f>
        <v>5.9845899999999972</v>
      </c>
      <c r="D67" s="327">
        <f t="shared" si="52"/>
        <v>4.962900000000003</v>
      </c>
      <c r="E67" s="327">
        <f t="shared" si="52"/>
        <v>5.9881400000000005</v>
      </c>
      <c r="F67" s="327">
        <f t="shared" si="52"/>
        <v>6.5795699999999968</v>
      </c>
      <c r="G67" s="327">
        <f t="shared" si="52"/>
        <v>7.3683800000000002</v>
      </c>
      <c r="H67" s="327">
        <f t="shared" si="52"/>
        <v>4.6583099999999993</v>
      </c>
      <c r="I67" s="327">
        <f t="shared" si="52"/>
        <v>3.332739999999998</v>
      </c>
      <c r="J67" s="327"/>
      <c r="K67" s="327"/>
      <c r="L67" s="327"/>
      <c r="M67" s="327"/>
      <c r="N67" s="327"/>
      <c r="O67" s="327"/>
      <c r="P67" s="327"/>
      <c r="Q67" s="327"/>
    </row>
    <row r="68" spans="1:17">
      <c r="A68" s="511" t="s">
        <v>877</v>
      </c>
      <c r="B68" s="507">
        <f>B66/B67</f>
        <v>0.46737293669293078</v>
      </c>
      <c r="C68" s="507">
        <f t="shared" ref="C68:I68" si="53">C66/C67</f>
        <v>0.30561826290522842</v>
      </c>
      <c r="D68" s="507">
        <f t="shared" si="53"/>
        <v>0.53658143424207583</v>
      </c>
      <c r="E68" s="507">
        <f t="shared" si="53"/>
        <v>0.18052350145454182</v>
      </c>
      <c r="F68" s="507">
        <f t="shared" si="53"/>
        <v>0.23588167615816852</v>
      </c>
      <c r="G68" s="507">
        <f t="shared" si="53"/>
        <v>6.9214671338883385E-3</v>
      </c>
      <c r="H68" s="507">
        <f t="shared" si="53"/>
        <v>0.23420510871968597</v>
      </c>
      <c r="I68" s="507">
        <f t="shared" si="53"/>
        <v>0.11912120357423632</v>
      </c>
      <c r="J68" s="507"/>
      <c r="K68" s="507"/>
      <c r="L68" s="507"/>
      <c r="M68" s="507"/>
      <c r="N68" s="507"/>
      <c r="O68" s="507"/>
      <c r="P68" s="507"/>
      <c r="Q68" s="507"/>
    </row>
    <row r="69" spans="1:17">
      <c r="A69" s="503" t="s">
        <v>878</v>
      </c>
      <c r="B69" s="512">
        <f>1-B28/B23</f>
        <v>0.46737293669293078</v>
      </c>
      <c r="C69" s="512">
        <f t="shared" ref="C69:I69" si="54">1-C28/C23</f>
        <v>0.30561826290522853</v>
      </c>
      <c r="D69" s="512">
        <f t="shared" si="54"/>
        <v>0.53658143424207583</v>
      </c>
      <c r="E69" s="512">
        <f t="shared" si="54"/>
        <v>0.18052350145454188</v>
      </c>
      <c r="F69" s="512">
        <f t="shared" si="54"/>
        <v>0.23588167615816868</v>
      </c>
      <c r="G69" s="512">
        <f t="shared" si="54"/>
        <v>6.9214671338883038E-3</v>
      </c>
      <c r="H69" s="512">
        <f t="shared" si="54"/>
        <v>0.23420510871968592</v>
      </c>
      <c r="I69" s="512">
        <f t="shared" si="54"/>
        <v>0.11912120357423639</v>
      </c>
      <c r="J69" s="512"/>
      <c r="K69" s="512"/>
      <c r="L69" s="512"/>
      <c r="M69" s="512"/>
      <c r="N69" s="512"/>
      <c r="O69" s="512"/>
      <c r="P69" s="512"/>
      <c r="Q69" s="512"/>
    </row>
    <row r="70" spans="1:17">
      <c r="A70" s="3" t="s">
        <v>879</v>
      </c>
      <c r="B70" s="507">
        <f>Ratios!B161</f>
        <v>-0.21498365607019293</v>
      </c>
      <c r="C70" s="507">
        <f>Ratios!C161</f>
        <v>0.21975534376187014</v>
      </c>
      <c r="D70" s="507">
        <f>Ratios!D161</f>
        <v>0.19283167812579588</v>
      </c>
      <c r="E70" s="507">
        <f>Ratios!E161</f>
        <v>0.3159529710103165</v>
      </c>
      <c r="F70" s="507">
        <f>Ratios!F161</f>
        <v>0.40518969460513909</v>
      </c>
      <c r="G70" s="507">
        <f>Ratios!G161</f>
        <v>0.48249052285244259</v>
      </c>
      <c r="H70" s="507">
        <f>Ratios!H161</f>
        <v>0.25638921453692848</v>
      </c>
      <c r="I70" s="507">
        <f>Ratios!I161</f>
        <v>0.2357062845223839</v>
      </c>
      <c r="J70" s="507"/>
      <c r="K70" s="507"/>
      <c r="L70" s="507"/>
      <c r="M70" s="507"/>
      <c r="N70" s="507"/>
      <c r="O70" s="507"/>
      <c r="P70" s="507"/>
      <c r="Q70" s="507"/>
    </row>
    <row r="71" spans="1:17">
      <c r="A71" s="508" t="s">
        <v>880</v>
      </c>
      <c r="B71" s="513">
        <f>B69*B70</f>
        <v>-0.10047754267850909</v>
      </c>
      <c r="C71" s="513">
        <f t="shared" ref="C71:I71" si="55">C69*C70</f>
        <v>6.7161246424644105E-2</v>
      </c>
      <c r="D71" s="513">
        <f t="shared" si="55"/>
        <v>0.10346989841604587</v>
      </c>
      <c r="E71" s="513">
        <f t="shared" si="55"/>
        <v>5.7036936621747698E-2</v>
      </c>
      <c r="F71" s="513">
        <f t="shared" si="55"/>
        <v>9.5576824325476692E-2</v>
      </c>
      <c r="G71" s="513">
        <f t="shared" si="55"/>
        <v>3.339542296335765E-3</v>
      </c>
      <c r="H71" s="513">
        <f t="shared" si="55"/>
        <v>6.004766386517621E-2</v>
      </c>
      <c r="I71" s="513">
        <f t="shared" si="55"/>
        <v>2.8077616302317778E-2</v>
      </c>
      <c r="J71" s="513"/>
      <c r="K71" s="509"/>
      <c r="L71" s="509"/>
      <c r="M71" s="513"/>
      <c r="N71" s="513"/>
      <c r="O71" s="513"/>
      <c r="P71" s="513"/>
      <c r="Q71" s="513"/>
    </row>
    <row r="72" spans="1:17">
      <c r="B72" s="648"/>
      <c r="C72" s="648"/>
      <c r="D72" s="648"/>
      <c r="E72" s="648"/>
      <c r="F72" s="648"/>
      <c r="G72" s="648"/>
      <c r="H72" s="648"/>
      <c r="I72" s="648"/>
    </row>
  </sheetData>
  <pageMargins left="0.7" right="0.7" top="0.78740157499999996" bottom="0.78740157499999996"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27">
    <tabColor theme="5" tint="0.79998168889431442"/>
  </sheetPr>
  <dimension ref="A1:DJ78"/>
  <sheetViews>
    <sheetView topLeftCell="A41" workbookViewId="0">
      <selection activeCell="C70" sqref="C70"/>
    </sheetView>
  </sheetViews>
  <sheetFormatPr defaultColWidth="10.7109375" defaultRowHeight="15" outlineLevelCol="1"/>
  <cols>
    <col min="1" max="1" width="52" style="3" customWidth="1"/>
    <col min="2" max="2" width="13.28515625" style="3" customWidth="1"/>
    <col min="3" max="9" width="10.7109375" style="3"/>
    <col min="10" max="10" width="3.28515625" style="3" customWidth="1"/>
    <col min="11" max="12" width="1.7109375" style="3" customWidth="1"/>
    <col min="13" max="13" width="40.7109375" style="3" customWidth="1" outlineLevel="1"/>
    <col min="14" max="21" width="10.7109375" style="3" customWidth="1" outlineLevel="1"/>
    <col min="22" max="24" width="2.28515625" style="3" customWidth="1"/>
    <col min="25" max="25" width="33.28515625" style="3" customWidth="1"/>
    <col min="26" max="16384" width="10.7109375" style="3"/>
  </cols>
  <sheetData>
    <row r="1" spans="1:33" s="340" customFormat="1" ht="26.1" customHeight="1">
      <c r="A1" s="338" t="s">
        <v>881</v>
      </c>
      <c r="B1" s="339"/>
    </row>
    <row r="2" spans="1:33" s="334" customFormat="1" ht="16.350000000000001" customHeight="1">
      <c r="A2" s="333"/>
      <c r="C2" s="346"/>
      <c r="D2" s="346"/>
      <c r="E2" s="346"/>
      <c r="F2" s="346"/>
      <c r="G2" s="346"/>
      <c r="H2" s="346"/>
      <c r="I2" s="346"/>
      <c r="J2" s="346"/>
      <c r="M2" s="333"/>
      <c r="N2" s="349"/>
      <c r="O2" s="346"/>
      <c r="P2" s="346"/>
      <c r="Q2" s="346"/>
      <c r="R2" s="346"/>
      <c r="S2" s="346"/>
      <c r="T2" s="346"/>
      <c r="U2" s="346"/>
    </row>
    <row r="3" spans="1:33" s="352" customFormat="1" ht="16.350000000000001" customHeight="1">
      <c r="A3" s="350"/>
      <c r="B3" s="1095" t="s">
        <v>832</v>
      </c>
      <c r="J3" s="351"/>
      <c r="K3" s="351"/>
      <c r="L3" s="351"/>
      <c r="M3" s="350"/>
      <c r="V3" s="988"/>
      <c r="Y3" s="350"/>
    </row>
    <row r="4" spans="1:33" ht="25.5">
      <c r="A4" s="987" t="s">
        <v>833</v>
      </c>
      <c r="B4" s="989" t="str">
        <f>IS!C11</f>
        <v>12/2020</v>
      </c>
      <c r="C4" s="989" t="str">
        <f>IS!D11</f>
        <v>12/2019</v>
      </c>
      <c r="D4" s="989" t="str">
        <f>IS!E11</f>
        <v>12/2018</v>
      </c>
      <c r="E4" s="989" t="str">
        <f>IS!F11</f>
        <v>12/2017</v>
      </c>
      <c r="F4" s="989" t="str">
        <f>IS!G11</f>
        <v>12/2016</v>
      </c>
      <c r="G4" s="989" t="str">
        <f>IS!H11</f>
        <v>12/2015</v>
      </c>
      <c r="H4" s="989" t="str">
        <f>IS!I11</f>
        <v>12/2014</v>
      </c>
      <c r="I4" s="989" t="str">
        <f>IS!J11</f>
        <v>12/2013</v>
      </c>
      <c r="M4" s="990" t="s">
        <v>834</v>
      </c>
      <c r="N4" s="989" t="str">
        <f t="shared" ref="N4:U4" si="0">B4</f>
        <v>12/2020</v>
      </c>
      <c r="O4" s="989" t="str">
        <f t="shared" si="0"/>
        <v>12/2019</v>
      </c>
      <c r="P4" s="989" t="str">
        <f t="shared" si="0"/>
        <v>12/2018</v>
      </c>
      <c r="Q4" s="989" t="str">
        <f t="shared" si="0"/>
        <v>12/2017</v>
      </c>
      <c r="R4" s="989" t="str">
        <f t="shared" si="0"/>
        <v>12/2016</v>
      </c>
      <c r="S4" s="989" t="str">
        <f t="shared" si="0"/>
        <v>12/2015</v>
      </c>
      <c r="T4" s="989" t="str">
        <f t="shared" si="0"/>
        <v>12/2014</v>
      </c>
      <c r="U4" s="989" t="str">
        <f t="shared" si="0"/>
        <v>12/2013</v>
      </c>
      <c r="Y4" s="987" t="s">
        <v>835</v>
      </c>
      <c r="Z4" s="989" t="str">
        <f t="shared" ref="Z4:AG4" si="1">N4</f>
        <v>12/2020</v>
      </c>
      <c r="AA4" s="989" t="str">
        <f t="shared" si="1"/>
        <v>12/2019</v>
      </c>
      <c r="AB4" s="989" t="str">
        <f t="shared" si="1"/>
        <v>12/2018</v>
      </c>
      <c r="AC4" s="989" t="str">
        <f t="shared" si="1"/>
        <v>12/2017</v>
      </c>
      <c r="AD4" s="989" t="str">
        <f t="shared" si="1"/>
        <v>12/2016</v>
      </c>
      <c r="AE4" s="989" t="str">
        <f t="shared" si="1"/>
        <v>12/2015</v>
      </c>
      <c r="AF4" s="989" t="str">
        <f t="shared" si="1"/>
        <v>12/2014</v>
      </c>
      <c r="AG4" s="989" t="str">
        <f t="shared" si="1"/>
        <v>12/2013</v>
      </c>
    </row>
    <row r="5" spans="1:33">
      <c r="A5" s="468" t="s">
        <v>425</v>
      </c>
      <c r="B5" s="468">
        <f>IS!C24</f>
        <v>-12.385</v>
      </c>
      <c r="C5" s="468">
        <f>IS!D24</f>
        <v>4.7670000000000003</v>
      </c>
      <c r="D5" s="468">
        <f>IS!E24</f>
        <v>3.9350000000000001</v>
      </c>
      <c r="E5" s="468">
        <f>IS!F24</f>
        <v>3.577</v>
      </c>
      <c r="F5" s="468">
        <f>IS!G24</f>
        <v>4.3730000000000002</v>
      </c>
      <c r="G5" s="468">
        <f>IS!H24</f>
        <v>4.5259999999999998</v>
      </c>
      <c r="H5" s="468">
        <f>IS!I24</f>
        <v>0.65900000000000003</v>
      </c>
      <c r="I5" s="468">
        <f>IS!J24</f>
        <v>10.54</v>
      </c>
      <c r="J5" s="468"/>
      <c r="K5" s="468"/>
      <c r="L5" s="468"/>
      <c r="M5" s="468" t="str">
        <f>CFS!A21</f>
        <v>Net Operating Cash Flow</v>
      </c>
      <c r="N5" s="468">
        <f>CFS!C21</f>
        <v>-3.7930000000000001</v>
      </c>
      <c r="O5" s="468">
        <f>CFS!D21</f>
        <v>8.4250000000000007</v>
      </c>
      <c r="P5" s="468">
        <f>CFS!E21</f>
        <v>7.0140000000000002</v>
      </c>
      <c r="Q5" s="468">
        <f>CFS!F21</f>
        <v>5.1479999999999997</v>
      </c>
      <c r="R5" s="468">
        <f>CFS!G21</f>
        <v>7.2160000000000002</v>
      </c>
      <c r="S5" s="468">
        <f>CFS!H21</f>
        <v>7.92</v>
      </c>
      <c r="T5" s="468">
        <f>CFS!I21</f>
        <v>4.8849999999999998</v>
      </c>
      <c r="U5" s="468">
        <f>CFS!J21</f>
        <v>4.2729999999999997</v>
      </c>
      <c r="Y5" s="468" t="str">
        <f>A5</f>
        <v>Net Income / Starting Line</v>
      </c>
      <c r="Z5" s="468">
        <f>B5</f>
        <v>-12.385</v>
      </c>
      <c r="AA5" s="468">
        <f t="shared" ref="AA5:AG7" si="2">C5</f>
        <v>4.7670000000000003</v>
      </c>
      <c r="AB5" s="468">
        <f t="shared" si="2"/>
        <v>3.9350000000000001</v>
      </c>
      <c r="AC5" s="468">
        <f t="shared" si="2"/>
        <v>3.577</v>
      </c>
      <c r="AD5" s="468">
        <f t="shared" si="2"/>
        <v>4.3730000000000002</v>
      </c>
      <c r="AE5" s="468">
        <f t="shared" si="2"/>
        <v>4.5259999999999998</v>
      </c>
      <c r="AF5" s="468">
        <f t="shared" si="2"/>
        <v>0.65900000000000003</v>
      </c>
      <c r="AG5" s="468">
        <f t="shared" si="2"/>
        <v>10.54</v>
      </c>
    </row>
    <row r="6" spans="1:33">
      <c r="A6" s="469" t="s">
        <v>426</v>
      </c>
      <c r="B6" s="469">
        <f>CFS!C16</f>
        <v>2.3119999999999998</v>
      </c>
      <c r="C6" s="469">
        <f>CFS!D16</f>
        <v>2.581</v>
      </c>
      <c r="D6" s="469">
        <f>CFS!E16</f>
        <v>2.3290000000000002</v>
      </c>
      <c r="E6" s="469">
        <f>CFS!F16</f>
        <v>2.2349999999999999</v>
      </c>
      <c r="F6" s="469">
        <f>CFS!G16</f>
        <v>1.9019999999999999</v>
      </c>
      <c r="G6" s="469">
        <f>CFS!H16</f>
        <v>1.835</v>
      </c>
      <c r="H6" s="469">
        <f>CFS!I16</f>
        <v>1.7709999999999999</v>
      </c>
      <c r="I6" s="469">
        <f>CFS!J16</f>
        <v>1.6579999999999999</v>
      </c>
      <c r="J6" s="469"/>
      <c r="K6" s="469"/>
      <c r="L6" s="469"/>
      <c r="M6" s="516" t="str">
        <f>CFS!A17</f>
        <v>Deferred Taxes &amp; Investment Tax Credit</v>
      </c>
      <c r="N6" s="516">
        <f>CFS!C17</f>
        <v>-3.11</v>
      </c>
      <c r="O6" s="516">
        <f>CFS!D17</f>
        <v>1.4730000000000001</v>
      </c>
      <c r="P6" s="516">
        <f>CFS!E17</f>
        <v>1.3640000000000001</v>
      </c>
      <c r="Q6" s="516">
        <f>CFS!F17</f>
        <v>2.0710000000000002</v>
      </c>
      <c r="R6" s="516">
        <f>CFS!G17</f>
        <v>2.2229999999999999</v>
      </c>
      <c r="S6" s="516">
        <f>CFS!H17</f>
        <v>2.581</v>
      </c>
      <c r="T6" s="516">
        <f>CFS!I17</f>
        <v>0.41399999999999998</v>
      </c>
      <c r="U6" s="516">
        <f>CFS!J17</f>
        <v>-7.9909999999999997</v>
      </c>
      <c r="Y6" s="469" t="s">
        <v>426</v>
      </c>
      <c r="Z6" s="469">
        <f>B6</f>
        <v>2.3119999999999998</v>
      </c>
      <c r="AA6" s="469">
        <f t="shared" si="2"/>
        <v>2.581</v>
      </c>
      <c r="AB6" s="469">
        <f t="shared" si="2"/>
        <v>2.3290000000000002</v>
      </c>
      <c r="AC6" s="469">
        <f t="shared" si="2"/>
        <v>2.2349999999999999</v>
      </c>
      <c r="AD6" s="469">
        <f t="shared" si="2"/>
        <v>1.9019999999999999</v>
      </c>
      <c r="AE6" s="469">
        <f t="shared" si="2"/>
        <v>1.835</v>
      </c>
      <c r="AF6" s="469">
        <f t="shared" si="2"/>
        <v>1.7709999999999999</v>
      </c>
      <c r="AG6" s="469">
        <f t="shared" si="2"/>
        <v>1.6579999999999999</v>
      </c>
    </row>
    <row r="7" spans="1:33">
      <c r="A7" s="469" t="s">
        <v>430</v>
      </c>
      <c r="B7" s="469">
        <f>CFS!C20</f>
        <v>1.9490000000000001</v>
      </c>
      <c r="C7" s="469">
        <f>CFS!D20</f>
        <v>0.52600000000000002</v>
      </c>
      <c r="D7" s="469">
        <f>CFS!E20</f>
        <v>0.17599999999999999</v>
      </c>
      <c r="E7" s="469">
        <f>CFS!F20</f>
        <v>0.57499999999999996</v>
      </c>
      <c r="F7" s="469">
        <f>CFS!G20</f>
        <v>-6.3E-2</v>
      </c>
      <c r="G7" s="469">
        <f>CFS!H20</f>
        <v>1.335</v>
      </c>
      <c r="H7" s="469">
        <f>CFS!I20</f>
        <v>-0.61299999999999999</v>
      </c>
      <c r="I7" s="469">
        <f>CFS!J20</f>
        <v>0.51300000000000001</v>
      </c>
      <c r="J7" s="469"/>
      <c r="K7" s="469"/>
      <c r="L7" s="469"/>
      <c r="M7" s="516" t="str">
        <f>CFS!A18</f>
        <v>Other Funds</v>
      </c>
      <c r="N7" s="516">
        <f>CFS!C18</f>
        <v>7.4409999999999998</v>
      </c>
      <c r="O7" s="516">
        <f>CFS!D18</f>
        <v>-0.92200000000000004</v>
      </c>
      <c r="P7" s="516">
        <f>CFS!E18</f>
        <v>-0.79</v>
      </c>
      <c r="Q7" s="516">
        <f>CFS!F18</f>
        <v>-3.31</v>
      </c>
      <c r="R7" s="516">
        <f>CFS!G18</f>
        <v>-1.2190000000000001</v>
      </c>
      <c r="S7" s="516">
        <f>CFS!H18</f>
        <v>-2.3570000000000002</v>
      </c>
      <c r="T7" s="516">
        <f>CFS!I18</f>
        <v>2.6539999999999999</v>
      </c>
      <c r="U7" s="516">
        <f>CFS!J18</f>
        <v>-0.44700000000000001</v>
      </c>
      <c r="Y7" s="469" t="s">
        <v>430</v>
      </c>
      <c r="Z7" s="469">
        <f>B7</f>
        <v>1.9490000000000001</v>
      </c>
      <c r="AA7" s="469">
        <f t="shared" si="2"/>
        <v>0.52600000000000002</v>
      </c>
      <c r="AB7" s="469">
        <f t="shared" si="2"/>
        <v>0.17599999999999999</v>
      </c>
      <c r="AC7" s="469">
        <f t="shared" si="2"/>
        <v>0.57499999999999996</v>
      </c>
      <c r="AD7" s="469">
        <f t="shared" si="2"/>
        <v>-6.3E-2</v>
      </c>
      <c r="AE7" s="469">
        <f t="shared" si="2"/>
        <v>1.335</v>
      </c>
      <c r="AF7" s="469">
        <f t="shared" si="2"/>
        <v>-0.61299999999999999</v>
      </c>
      <c r="AG7" s="469">
        <f t="shared" si="2"/>
        <v>0.51300000000000001</v>
      </c>
    </row>
    <row r="8" spans="1:33">
      <c r="A8" s="380" t="s">
        <v>836</v>
      </c>
      <c r="B8" s="470">
        <f>B5+B6+B7</f>
        <v>-8.1240000000000006</v>
      </c>
      <c r="C8" s="470">
        <f t="shared" ref="C8:I8" si="3">C5+C6+C7</f>
        <v>7.8740000000000006</v>
      </c>
      <c r="D8" s="470">
        <f t="shared" si="3"/>
        <v>6.44</v>
      </c>
      <c r="E8" s="470">
        <f t="shared" si="3"/>
        <v>6.3869999999999996</v>
      </c>
      <c r="F8" s="470">
        <f t="shared" si="3"/>
        <v>6.2120000000000006</v>
      </c>
      <c r="G8" s="470">
        <f t="shared" si="3"/>
        <v>7.6959999999999997</v>
      </c>
      <c r="H8" s="470">
        <f t="shared" si="3"/>
        <v>1.8169999999999997</v>
      </c>
      <c r="I8" s="470">
        <f t="shared" si="3"/>
        <v>12.710999999999999</v>
      </c>
      <c r="J8" s="470"/>
      <c r="M8" s="380" t="s">
        <v>836</v>
      </c>
      <c r="N8" s="470">
        <f>N5</f>
        <v>-3.7930000000000001</v>
      </c>
      <c r="O8" s="470">
        <f t="shared" ref="O8:U8" si="4">O5</f>
        <v>8.4250000000000007</v>
      </c>
      <c r="P8" s="470">
        <f t="shared" si="4"/>
        <v>7.0140000000000002</v>
      </c>
      <c r="Q8" s="470">
        <f t="shared" si="4"/>
        <v>5.1479999999999997</v>
      </c>
      <c r="R8" s="470">
        <f t="shared" si="4"/>
        <v>7.2160000000000002</v>
      </c>
      <c r="S8" s="470">
        <f t="shared" si="4"/>
        <v>7.92</v>
      </c>
      <c r="T8" s="470">
        <f t="shared" si="4"/>
        <v>4.8849999999999998</v>
      </c>
      <c r="U8" s="470">
        <f t="shared" si="4"/>
        <v>4.2729999999999997</v>
      </c>
      <c r="Y8" s="380" t="s">
        <v>836</v>
      </c>
      <c r="Z8" s="470">
        <f>Z5+Z6+Z7</f>
        <v>-8.1240000000000006</v>
      </c>
      <c r="AA8" s="470">
        <f t="shared" ref="AA8:AG8" si="5">AA5+AA6+AA7</f>
        <v>7.8740000000000006</v>
      </c>
      <c r="AB8" s="470">
        <f t="shared" si="5"/>
        <v>6.44</v>
      </c>
      <c r="AC8" s="470">
        <f t="shared" si="5"/>
        <v>6.3869999999999996</v>
      </c>
      <c r="AD8" s="470">
        <f t="shared" si="5"/>
        <v>6.2120000000000006</v>
      </c>
      <c r="AE8" s="470">
        <f t="shared" si="5"/>
        <v>7.6959999999999997</v>
      </c>
      <c r="AF8" s="470">
        <f t="shared" si="5"/>
        <v>1.8169999999999997</v>
      </c>
      <c r="AG8" s="470">
        <f t="shared" si="5"/>
        <v>12.710999999999999</v>
      </c>
    </row>
    <row r="9" spans="1:33">
      <c r="A9" s="469" t="s">
        <v>50</v>
      </c>
      <c r="B9" s="469">
        <f>CFS!C23</f>
        <v>-1.899</v>
      </c>
      <c r="C9" s="469">
        <f>CFS!D23</f>
        <v>-4.9359999999999999</v>
      </c>
      <c r="D9" s="469">
        <f>CFS!E23</f>
        <v>-5.1680000000000001</v>
      </c>
      <c r="E9" s="469">
        <f>CFS!F23</f>
        <v>-3.891</v>
      </c>
      <c r="F9" s="469">
        <f>CFS!G23</f>
        <v>-3.391</v>
      </c>
      <c r="G9" s="469">
        <f>CFS!H23</f>
        <v>-2.9449999999999998</v>
      </c>
      <c r="H9" s="469">
        <f>CFS!I23</f>
        <v>-2.2490000000000001</v>
      </c>
      <c r="I9" s="469">
        <f>CFS!J23</f>
        <v>-2.5680000000000001</v>
      </c>
      <c r="J9" s="469"/>
      <c r="K9" s="469"/>
      <c r="L9" s="469"/>
      <c r="M9" s="469" t="s">
        <v>50</v>
      </c>
      <c r="N9" s="469">
        <f>B9</f>
        <v>-1.899</v>
      </c>
      <c r="O9" s="469">
        <f t="shared" ref="O9:U10" si="6">C9</f>
        <v>-4.9359999999999999</v>
      </c>
      <c r="P9" s="469">
        <f t="shared" si="6"/>
        <v>-5.1680000000000001</v>
      </c>
      <c r="Q9" s="469">
        <f t="shared" si="6"/>
        <v>-3.891</v>
      </c>
      <c r="R9" s="469">
        <f t="shared" si="6"/>
        <v>-3.391</v>
      </c>
      <c r="S9" s="469">
        <f t="shared" si="6"/>
        <v>-2.9449999999999998</v>
      </c>
      <c r="T9" s="469">
        <f t="shared" si="6"/>
        <v>-2.2490000000000001</v>
      </c>
      <c r="U9" s="469">
        <f t="shared" si="6"/>
        <v>-2.5680000000000001</v>
      </c>
      <c r="Y9" s="469" t="s">
        <v>50</v>
      </c>
      <c r="Z9" s="469">
        <f>B9</f>
        <v>-1.899</v>
      </c>
      <c r="AA9" s="469">
        <f t="shared" ref="AA9:AG10" si="7">C9</f>
        <v>-4.9359999999999999</v>
      </c>
      <c r="AB9" s="469">
        <f t="shared" si="7"/>
        <v>-5.1680000000000001</v>
      </c>
      <c r="AC9" s="469">
        <f t="shared" si="7"/>
        <v>-3.891</v>
      </c>
      <c r="AD9" s="469">
        <f t="shared" si="7"/>
        <v>-3.391</v>
      </c>
      <c r="AE9" s="469">
        <f t="shared" si="7"/>
        <v>-2.9449999999999998</v>
      </c>
      <c r="AF9" s="469">
        <f t="shared" si="7"/>
        <v>-2.2490000000000001</v>
      </c>
      <c r="AG9" s="469">
        <f t="shared" si="7"/>
        <v>-2.5680000000000001</v>
      </c>
    </row>
    <row r="10" spans="1:33">
      <c r="A10" s="469" t="s">
        <v>433</v>
      </c>
      <c r="B10" s="469">
        <f>CFS!C24</f>
        <v>0</v>
      </c>
      <c r="C10" s="469">
        <f>CFS!D24</f>
        <v>0</v>
      </c>
      <c r="D10" s="469">
        <f>CFS!E24</f>
        <v>0</v>
      </c>
      <c r="E10" s="469">
        <f>CFS!F24</f>
        <v>0</v>
      </c>
      <c r="F10" s="469">
        <f>CFS!G24</f>
        <v>0</v>
      </c>
      <c r="G10" s="469">
        <f>CFS!H24</f>
        <v>-0.27600000000000002</v>
      </c>
      <c r="H10" s="469">
        <f>CFS!I24</f>
        <v>0</v>
      </c>
      <c r="I10" s="469">
        <f>CFS!J24</f>
        <v>0</v>
      </c>
      <c r="J10" s="469"/>
      <c r="K10" s="469"/>
      <c r="L10" s="469"/>
      <c r="M10" s="469" t="s">
        <v>433</v>
      </c>
      <c r="N10" s="469">
        <f>B10</f>
        <v>0</v>
      </c>
      <c r="O10" s="469">
        <f t="shared" si="6"/>
        <v>0</v>
      </c>
      <c r="P10" s="469">
        <f t="shared" si="6"/>
        <v>0</v>
      </c>
      <c r="Q10" s="469">
        <f t="shared" si="6"/>
        <v>0</v>
      </c>
      <c r="R10" s="469">
        <f t="shared" si="6"/>
        <v>0</v>
      </c>
      <c r="S10" s="469">
        <f t="shared" si="6"/>
        <v>-0.27600000000000002</v>
      </c>
      <c r="T10" s="469">
        <f t="shared" si="6"/>
        <v>0</v>
      </c>
      <c r="U10" s="469">
        <f t="shared" si="6"/>
        <v>0</v>
      </c>
      <c r="Y10" s="469" t="s">
        <v>433</v>
      </c>
      <c r="Z10" s="469">
        <f>B10</f>
        <v>0</v>
      </c>
      <c r="AA10" s="469">
        <f t="shared" si="7"/>
        <v>0</v>
      </c>
      <c r="AB10" s="469">
        <f t="shared" si="7"/>
        <v>0</v>
      </c>
      <c r="AC10" s="469">
        <f t="shared" si="7"/>
        <v>0</v>
      </c>
      <c r="AD10" s="469">
        <f t="shared" si="7"/>
        <v>0</v>
      </c>
      <c r="AE10" s="469">
        <f t="shared" si="7"/>
        <v>-0.27600000000000002</v>
      </c>
      <c r="AF10" s="469">
        <f t="shared" si="7"/>
        <v>0</v>
      </c>
      <c r="AG10" s="469">
        <f t="shared" si="7"/>
        <v>0</v>
      </c>
    </row>
    <row r="11" spans="1:33">
      <c r="A11" s="471" t="s">
        <v>837</v>
      </c>
      <c r="B11" s="470">
        <f t="shared" ref="B11:I11" si="8">SUM(B8:B10)</f>
        <v>-10.023</v>
      </c>
      <c r="C11" s="470">
        <f t="shared" si="8"/>
        <v>2.9380000000000006</v>
      </c>
      <c r="D11" s="470">
        <f t="shared" si="8"/>
        <v>1.2720000000000002</v>
      </c>
      <c r="E11" s="470">
        <f t="shared" si="8"/>
        <v>2.4959999999999996</v>
      </c>
      <c r="F11" s="470">
        <f t="shared" si="8"/>
        <v>2.8210000000000006</v>
      </c>
      <c r="G11" s="470">
        <f t="shared" si="8"/>
        <v>4.4749999999999996</v>
      </c>
      <c r="H11" s="470">
        <f t="shared" si="8"/>
        <v>-0.43200000000000038</v>
      </c>
      <c r="I11" s="470">
        <f t="shared" si="8"/>
        <v>10.142999999999999</v>
      </c>
      <c r="J11" s="470"/>
      <c r="K11" s="470"/>
      <c r="L11" s="470"/>
      <c r="M11" s="471" t="s">
        <v>837</v>
      </c>
      <c r="N11" s="470">
        <f>SUM(N8:N10)</f>
        <v>-5.6920000000000002</v>
      </c>
      <c r="O11" s="470">
        <f t="shared" ref="O11:U11" si="9">SUM(O8:O10)</f>
        <v>3.4890000000000008</v>
      </c>
      <c r="P11" s="470">
        <f t="shared" si="9"/>
        <v>1.8460000000000001</v>
      </c>
      <c r="Q11" s="470">
        <f t="shared" si="9"/>
        <v>1.2569999999999997</v>
      </c>
      <c r="R11" s="470">
        <f t="shared" si="9"/>
        <v>3.8250000000000002</v>
      </c>
      <c r="S11" s="470">
        <f t="shared" si="9"/>
        <v>4.6989999999999998</v>
      </c>
      <c r="T11" s="470">
        <f t="shared" si="9"/>
        <v>2.6359999999999997</v>
      </c>
      <c r="U11" s="470">
        <f t="shared" si="9"/>
        <v>1.7049999999999996</v>
      </c>
      <c r="Y11" s="471" t="s">
        <v>837</v>
      </c>
      <c r="Z11" s="470">
        <f>SUM(Z8:Z10)</f>
        <v>-10.023</v>
      </c>
      <c r="AA11" s="470">
        <f t="shared" ref="AA11:AG11" si="10">SUM(AA8:AA10)</f>
        <v>2.9380000000000006</v>
      </c>
      <c r="AB11" s="470">
        <f t="shared" si="10"/>
        <v>1.2720000000000002</v>
      </c>
      <c r="AC11" s="470">
        <f t="shared" si="10"/>
        <v>2.4959999999999996</v>
      </c>
      <c r="AD11" s="470">
        <f t="shared" si="10"/>
        <v>2.8210000000000006</v>
      </c>
      <c r="AE11" s="470">
        <f t="shared" si="10"/>
        <v>4.4749999999999996</v>
      </c>
      <c r="AF11" s="470">
        <f t="shared" si="10"/>
        <v>-0.43200000000000038</v>
      </c>
      <c r="AG11" s="470">
        <f t="shared" si="10"/>
        <v>10.142999999999999</v>
      </c>
    </row>
    <row r="12" spans="1:33">
      <c r="A12" s="472" t="s">
        <v>439</v>
      </c>
      <c r="B12" s="472">
        <f>CFS!C31</f>
        <v>19.797999999999998</v>
      </c>
      <c r="C12" s="472">
        <f>CFS!D31</f>
        <v>0.48699999999999999</v>
      </c>
      <c r="D12" s="472">
        <f>CFS!E31</f>
        <v>0.69299999999999995</v>
      </c>
      <c r="E12" s="472">
        <f>CFS!F31</f>
        <v>1.196</v>
      </c>
      <c r="F12" s="472">
        <f>CFS!G31</f>
        <v>-1.2589999999999999</v>
      </c>
      <c r="G12" s="472">
        <f>CFS!H31</f>
        <v>-1.52</v>
      </c>
      <c r="H12" s="472">
        <f>CFS!I31</f>
        <v>-1.9079999999999999</v>
      </c>
      <c r="I12" s="472">
        <f>CFS!J31</f>
        <v>-1.1930000000000001</v>
      </c>
      <c r="J12" s="472"/>
      <c r="K12" s="472"/>
      <c r="L12" s="472"/>
      <c r="M12" s="472" t="s">
        <v>439</v>
      </c>
      <c r="N12" s="472">
        <f>B12</f>
        <v>19.797999999999998</v>
      </c>
      <c r="O12" s="472">
        <f t="shared" ref="O12:U12" si="11">C12</f>
        <v>0.48699999999999999</v>
      </c>
      <c r="P12" s="472">
        <f t="shared" si="11"/>
        <v>0.69299999999999995</v>
      </c>
      <c r="Q12" s="472">
        <f t="shared" si="11"/>
        <v>1.196</v>
      </c>
      <c r="R12" s="472">
        <f t="shared" si="11"/>
        <v>-1.2589999999999999</v>
      </c>
      <c r="S12" s="472">
        <f t="shared" si="11"/>
        <v>-1.52</v>
      </c>
      <c r="T12" s="472">
        <f t="shared" si="11"/>
        <v>-1.9079999999999999</v>
      </c>
      <c r="U12" s="472">
        <f t="shared" si="11"/>
        <v>-1.1930000000000001</v>
      </c>
      <c r="Y12" s="472"/>
      <c r="Z12" s="472"/>
      <c r="AA12" s="472"/>
      <c r="AB12" s="472"/>
      <c r="AC12" s="472"/>
      <c r="AD12" s="472"/>
      <c r="AE12" s="472"/>
      <c r="AF12" s="472"/>
      <c r="AG12" s="472"/>
    </row>
    <row r="13" spans="1:33">
      <c r="A13" s="372" t="s">
        <v>838</v>
      </c>
      <c r="B13" s="470">
        <f>SUM(B11:B12)</f>
        <v>9.7749999999999986</v>
      </c>
      <c r="C13" s="470">
        <f t="shared" ref="C13:I13" si="12">SUM(C11:C12)</f>
        <v>3.4250000000000007</v>
      </c>
      <c r="D13" s="470">
        <f t="shared" si="12"/>
        <v>1.9650000000000003</v>
      </c>
      <c r="E13" s="470">
        <f t="shared" si="12"/>
        <v>3.6919999999999993</v>
      </c>
      <c r="F13" s="470">
        <f t="shared" si="12"/>
        <v>1.5620000000000007</v>
      </c>
      <c r="G13" s="470">
        <f t="shared" si="12"/>
        <v>2.9549999999999996</v>
      </c>
      <c r="H13" s="470">
        <f t="shared" si="12"/>
        <v>-2.3400000000000003</v>
      </c>
      <c r="I13" s="470">
        <f t="shared" si="12"/>
        <v>8.9499999999999993</v>
      </c>
      <c r="J13" s="470"/>
      <c r="K13" s="470"/>
      <c r="L13" s="470"/>
      <c r="M13" s="372" t="s">
        <v>838</v>
      </c>
      <c r="N13" s="470">
        <f>SUM(N11:N12)</f>
        <v>14.105999999999998</v>
      </c>
      <c r="O13" s="470">
        <f t="shared" ref="O13:U13" si="13">SUM(O11:O12)</f>
        <v>3.9760000000000009</v>
      </c>
      <c r="P13" s="470">
        <f t="shared" si="13"/>
        <v>2.5390000000000001</v>
      </c>
      <c r="Q13" s="470">
        <f t="shared" si="13"/>
        <v>2.4529999999999994</v>
      </c>
      <c r="R13" s="470">
        <f t="shared" si="13"/>
        <v>2.5660000000000003</v>
      </c>
      <c r="S13" s="470">
        <f t="shared" si="13"/>
        <v>3.1789999999999998</v>
      </c>
      <c r="T13" s="470">
        <f t="shared" si="13"/>
        <v>0.72799999999999976</v>
      </c>
      <c r="U13" s="470">
        <f t="shared" si="13"/>
        <v>0.51199999999999957</v>
      </c>
      <c r="Y13" s="372" t="s">
        <v>839</v>
      </c>
      <c r="Z13" s="470">
        <f t="shared" ref="Z13:AG13" si="14">Z5-(1-$Z$20)*(-Z9-Z10-Z6)-(1-$Z$20)*Z7</f>
        <v>-12.578767136512841</v>
      </c>
      <c r="AA13" s="470">
        <f t="shared" si="14"/>
        <v>4.4035604685589247</v>
      </c>
      <c r="AB13" s="470">
        <f t="shared" si="14"/>
        <v>3.5546563043058503</v>
      </c>
      <c r="AC13" s="470">
        <f t="shared" si="14"/>
        <v>3.2955582802342795</v>
      </c>
      <c r="AD13" s="470">
        <f t="shared" si="14"/>
        <v>4.19310941623222</v>
      </c>
      <c r="AE13" s="470">
        <f t="shared" si="14"/>
        <v>4.1827445452790109</v>
      </c>
      <c r="AF13" s="470">
        <f t="shared" si="14"/>
        <v>0.6760303147325738</v>
      </c>
      <c r="AG13" s="470">
        <f t="shared" si="14"/>
        <v>10.360487867670722</v>
      </c>
    </row>
    <row r="14" spans="1:33">
      <c r="A14" s="469" t="s">
        <v>45</v>
      </c>
      <c r="B14" s="469">
        <f>IS!C20</f>
        <v>0.92900000000000005</v>
      </c>
      <c r="C14" s="469">
        <f>IS!D20</f>
        <v>0.30099999999999999</v>
      </c>
      <c r="D14" s="469">
        <f>IS!E20</f>
        <v>0.311</v>
      </c>
      <c r="E14" s="469">
        <f>IS!F20</f>
        <v>0.39600000000000002</v>
      </c>
      <c r="F14" s="469">
        <f>IS!G20</f>
        <v>0.38800000000000001</v>
      </c>
      <c r="G14" s="469">
        <f>IS!H20</f>
        <v>0.48099999999999998</v>
      </c>
      <c r="H14" s="469">
        <f>IS!I20</f>
        <v>0.61899999999999999</v>
      </c>
      <c r="I14" s="469">
        <f>IS!J20</f>
        <v>0.85199999999999998</v>
      </c>
      <c r="J14" s="469"/>
      <c r="K14" s="469"/>
      <c r="L14" s="469"/>
      <c r="M14" s="469" t="s">
        <v>45</v>
      </c>
      <c r="N14" s="469">
        <f>B14</f>
        <v>0.92900000000000005</v>
      </c>
      <c r="O14" s="469">
        <f t="shared" ref="O14:U17" si="15">C14</f>
        <v>0.30099999999999999</v>
      </c>
      <c r="P14" s="469">
        <f t="shared" si="15"/>
        <v>0.311</v>
      </c>
      <c r="Q14" s="469">
        <f t="shared" si="15"/>
        <v>0.39600000000000002</v>
      </c>
      <c r="R14" s="469">
        <f t="shared" si="15"/>
        <v>0.38800000000000001</v>
      </c>
      <c r="S14" s="469">
        <f t="shared" si="15"/>
        <v>0.48099999999999998</v>
      </c>
      <c r="T14" s="469">
        <f t="shared" si="15"/>
        <v>0.61899999999999999</v>
      </c>
      <c r="U14" s="469">
        <f t="shared" si="15"/>
        <v>0.85199999999999998</v>
      </c>
      <c r="Y14" s="372" t="s">
        <v>840</v>
      </c>
      <c r="Z14" s="470">
        <f t="shared" ref="Z14:AG14" si="16">Z5-(1-$Z$21)*(-Z9-Z10-Z6)-(1-$Z$21)*Z7</f>
        <v>-12.448540909336065</v>
      </c>
      <c r="AA14" s="470">
        <f t="shared" si="16"/>
        <v>4.647819427215361</v>
      </c>
      <c r="AB14" s="470">
        <f t="shared" si="16"/>
        <v>3.8102761447602611</v>
      </c>
      <c r="AC14" s="470">
        <f t="shared" si="16"/>
        <v>3.4847084839005449</v>
      </c>
      <c r="AD14" s="470">
        <f t="shared" si="16"/>
        <v>4.3140095464106585</v>
      </c>
      <c r="AE14" s="470">
        <f t="shared" si="16"/>
        <v>4.4134382719378671</v>
      </c>
      <c r="AF14" s="470">
        <f t="shared" si="16"/>
        <v>0.66458465023461522</v>
      </c>
      <c r="AG14" s="470">
        <f t="shared" si="16"/>
        <v>10.481133649749204</v>
      </c>
    </row>
    <row r="15" spans="1:33">
      <c r="A15" s="469" t="s">
        <v>408</v>
      </c>
      <c r="B15" s="469">
        <f>IS!C22</f>
        <v>-3.202</v>
      </c>
      <c r="C15" s="469">
        <f>IS!D22</f>
        <v>1.431</v>
      </c>
      <c r="D15" s="469">
        <f>IS!E22</f>
        <v>1.216</v>
      </c>
      <c r="E15" s="469">
        <f>IS!F22</f>
        <v>2.1240000000000001</v>
      </c>
      <c r="F15" s="469">
        <f>IS!G22</f>
        <v>2.2629999999999999</v>
      </c>
      <c r="G15" s="469">
        <f>IS!H22</f>
        <v>2.6309999999999998</v>
      </c>
      <c r="H15" s="469">
        <f>IS!I22</f>
        <v>0.41299999999999998</v>
      </c>
      <c r="I15" s="469">
        <f>IS!J22</f>
        <v>-8.0129999999999999</v>
      </c>
      <c r="J15" s="469"/>
      <c r="K15" s="469"/>
      <c r="L15" s="469"/>
      <c r="M15" s="469" t="s">
        <v>408</v>
      </c>
      <c r="N15" s="469">
        <f>B15</f>
        <v>-3.202</v>
      </c>
      <c r="O15" s="469">
        <f t="shared" si="15"/>
        <v>1.431</v>
      </c>
      <c r="P15" s="469">
        <f t="shared" si="15"/>
        <v>1.216</v>
      </c>
      <c r="Q15" s="469">
        <f t="shared" si="15"/>
        <v>2.1240000000000001</v>
      </c>
      <c r="R15" s="469">
        <f t="shared" si="15"/>
        <v>2.2629999999999999</v>
      </c>
      <c r="S15" s="469">
        <f t="shared" si="15"/>
        <v>2.6309999999999998</v>
      </c>
      <c r="T15" s="469">
        <f t="shared" si="15"/>
        <v>0.41299999999999998</v>
      </c>
      <c r="U15" s="469">
        <f t="shared" si="15"/>
        <v>-8.0129999999999999</v>
      </c>
      <c r="AA15" s="469"/>
      <c r="AB15" s="469"/>
      <c r="AC15" s="469"/>
      <c r="AD15" s="469"/>
      <c r="AE15" s="469"/>
      <c r="AF15" s="469"/>
      <c r="AG15" s="469"/>
    </row>
    <row r="16" spans="1:33">
      <c r="A16" s="475" t="s">
        <v>46</v>
      </c>
      <c r="B16" s="475">
        <f>IS!C23+IS!C22</f>
        <v>-15.587</v>
      </c>
      <c r="C16" s="475">
        <f>IS!D23+IS!D22</f>
        <v>6.1980000000000004</v>
      </c>
      <c r="D16" s="475">
        <f>IS!E23+IS!E22</f>
        <v>5.1509999999999998</v>
      </c>
      <c r="E16" s="475">
        <f>IS!F23+IS!F22</f>
        <v>5.7010000000000005</v>
      </c>
      <c r="F16" s="475">
        <f>IS!G23+IS!G22</f>
        <v>6.6360000000000001</v>
      </c>
      <c r="G16" s="475">
        <f>IS!H23+IS!H22</f>
        <v>7.157</v>
      </c>
      <c r="H16" s="475">
        <f>IS!I23+IS!I22</f>
        <v>1.0720000000000001</v>
      </c>
      <c r="I16" s="475">
        <f>IS!J23+IS!J22</f>
        <v>2.5269999999999992</v>
      </c>
      <c r="J16" s="475"/>
      <c r="K16" s="475"/>
      <c r="L16" s="475"/>
      <c r="M16" s="475" t="s">
        <v>46</v>
      </c>
      <c r="N16" s="475">
        <f>B16</f>
        <v>-15.587</v>
      </c>
      <c r="O16" s="475">
        <f t="shared" si="15"/>
        <v>6.1980000000000004</v>
      </c>
      <c r="P16" s="475">
        <f t="shared" si="15"/>
        <v>5.1509999999999998</v>
      </c>
      <c r="Q16" s="475">
        <f t="shared" si="15"/>
        <v>5.7010000000000005</v>
      </c>
      <c r="R16" s="475">
        <f t="shared" si="15"/>
        <v>6.6360000000000001</v>
      </c>
      <c r="S16" s="475">
        <f t="shared" si="15"/>
        <v>7.157</v>
      </c>
      <c r="T16" s="475">
        <f t="shared" si="15"/>
        <v>1.0720000000000001</v>
      </c>
      <c r="U16" s="475">
        <f t="shared" si="15"/>
        <v>2.5269999999999992</v>
      </c>
      <c r="Y16" s="517" t="s">
        <v>843</v>
      </c>
      <c r="Z16" s="469">
        <f>SUM(CFS!C16:L16)</f>
        <v>19.711000000000002</v>
      </c>
      <c r="AA16" s="469"/>
      <c r="AB16" s="475"/>
      <c r="AC16" s="475"/>
      <c r="AD16" s="475"/>
      <c r="AE16" s="475"/>
      <c r="AF16" s="475"/>
      <c r="AG16" s="475"/>
    </row>
    <row r="17" spans="1:33">
      <c r="A17" s="476" t="s">
        <v>841</v>
      </c>
      <c r="B17" s="473">
        <f>B15/B16</f>
        <v>0.20542759992301277</v>
      </c>
      <c r="C17" s="473">
        <f t="shared" ref="C17:I17" si="17">C15/C16</f>
        <v>0.2308809293320426</v>
      </c>
      <c r="D17" s="473">
        <f t="shared" si="17"/>
        <v>0.23607066589011844</v>
      </c>
      <c r="E17" s="473">
        <f t="shared" si="17"/>
        <v>0.37256621645325377</v>
      </c>
      <c r="F17" s="473">
        <f t="shared" si="17"/>
        <v>0.34101868595539481</v>
      </c>
      <c r="G17" s="473">
        <f t="shared" si="17"/>
        <v>0.36761212798658655</v>
      </c>
      <c r="H17" s="473">
        <f t="shared" si="17"/>
        <v>0.38526119402985071</v>
      </c>
      <c r="I17" s="473">
        <f t="shared" si="17"/>
        <v>-3.1709537000395733</v>
      </c>
      <c r="J17" s="473"/>
      <c r="K17" s="473"/>
      <c r="L17" s="473"/>
      <c r="M17" s="476" t="s">
        <v>841</v>
      </c>
      <c r="N17" s="473">
        <f>B17</f>
        <v>0.20542759992301277</v>
      </c>
      <c r="O17" s="473">
        <f t="shared" si="15"/>
        <v>0.2308809293320426</v>
      </c>
      <c r="P17" s="473">
        <f t="shared" si="15"/>
        <v>0.23607066589011844</v>
      </c>
      <c r="Q17" s="473">
        <f t="shared" si="15"/>
        <v>0.37256621645325377</v>
      </c>
      <c r="R17" s="473">
        <f t="shared" si="15"/>
        <v>0.34101868595539481</v>
      </c>
      <c r="S17" s="473">
        <f t="shared" si="15"/>
        <v>0.36761212798658655</v>
      </c>
      <c r="T17" s="473">
        <f t="shared" si="15"/>
        <v>0.38526119402985071</v>
      </c>
      <c r="U17" s="473">
        <f t="shared" si="15"/>
        <v>-3.1709537000395733</v>
      </c>
      <c r="Y17" s="517" t="s">
        <v>845</v>
      </c>
      <c r="Z17" s="475">
        <f>SUM(CFS!C31:L31)</f>
        <v>13.576999999999998</v>
      </c>
      <c r="AA17" s="469"/>
      <c r="AB17" s="473"/>
      <c r="AC17" s="473"/>
      <c r="AD17" s="473"/>
      <c r="AE17" s="473"/>
      <c r="AF17" s="473"/>
      <c r="AG17" s="473"/>
    </row>
    <row r="18" spans="1:33">
      <c r="A18" s="477" t="s">
        <v>842</v>
      </c>
      <c r="B18" s="478">
        <f>IFERROR(B14*(1-B17),"0")</f>
        <v>0.7381577596715212</v>
      </c>
      <c r="C18" s="478">
        <f t="shared" ref="C18:I18" si="18">IFERROR(C14*(1-C17),"0")</f>
        <v>0.23150484027105517</v>
      </c>
      <c r="D18" s="478">
        <f t="shared" si="18"/>
        <v>0.23758202290817318</v>
      </c>
      <c r="E18" s="478">
        <f t="shared" si="18"/>
        <v>0.24846377828451155</v>
      </c>
      <c r="F18" s="478">
        <f t="shared" si="18"/>
        <v>0.25568474984930684</v>
      </c>
      <c r="G18" s="478">
        <f t="shared" si="18"/>
        <v>0.30417856643845187</v>
      </c>
      <c r="H18" s="478">
        <f t="shared" si="18"/>
        <v>0.38052332089552243</v>
      </c>
      <c r="I18" s="478">
        <f t="shared" si="18"/>
        <v>3.5536525524337166</v>
      </c>
      <c r="J18" s="478"/>
      <c r="K18" s="478"/>
      <c r="L18" s="478"/>
      <c r="M18" s="477" t="s">
        <v>842</v>
      </c>
      <c r="N18" s="478">
        <f>IFERROR(N14*(1-N17),"0")</f>
        <v>0.7381577596715212</v>
      </c>
      <c r="O18" s="478">
        <f t="shared" ref="O18" si="19">IFERROR(O14*(1-O17),"0")</f>
        <v>0.23150484027105517</v>
      </c>
      <c r="P18" s="478">
        <f t="shared" ref="P18" si="20">IFERROR(P14*(1-P17),"0")</f>
        <v>0.23758202290817318</v>
      </c>
      <c r="Q18" s="478">
        <f t="shared" ref="Q18" si="21">IFERROR(Q14*(1-Q17),"0")</f>
        <v>0.24846377828451155</v>
      </c>
      <c r="R18" s="478">
        <f t="shared" ref="R18" si="22">IFERROR(R14*(1-R17),"0")</f>
        <v>0.25568474984930684</v>
      </c>
      <c r="S18" s="478">
        <f t="shared" ref="S18" si="23">IFERROR(S14*(1-S17),"0")</f>
        <v>0.30417856643845187</v>
      </c>
      <c r="T18" s="478">
        <f t="shared" ref="T18" si="24">IFERROR(T14*(1-T17),"0")</f>
        <v>0.38052332089552243</v>
      </c>
      <c r="U18" s="478">
        <f t="shared" ref="U18" si="25">IFERROR(U14*(1-U17),"0")</f>
        <v>3.5536525524337166</v>
      </c>
      <c r="Y18" s="517" t="s">
        <v>847</v>
      </c>
      <c r="Z18" s="475">
        <f>SUM(CFS!C23:L24)</f>
        <v>-30.545000000000002</v>
      </c>
      <c r="AA18" s="469"/>
      <c r="AB18" s="473"/>
      <c r="AC18" s="473"/>
      <c r="AD18" s="473"/>
      <c r="AE18" s="473"/>
      <c r="AF18" s="473"/>
      <c r="AG18" s="473"/>
    </row>
    <row r="19" spans="1:33">
      <c r="A19" s="470" t="s">
        <v>844</v>
      </c>
      <c r="B19" s="470">
        <f>B11+B18</f>
        <v>-9.2848422403284783</v>
      </c>
      <c r="C19" s="470">
        <f t="shared" ref="C19:I19" si="26">C11+C18</f>
        <v>3.1695048402710557</v>
      </c>
      <c r="D19" s="470">
        <f t="shared" si="26"/>
        <v>1.5095820229081733</v>
      </c>
      <c r="E19" s="470">
        <f t="shared" si="26"/>
        <v>2.7444637782845112</v>
      </c>
      <c r="F19" s="470">
        <f t="shared" si="26"/>
        <v>3.0766847498493073</v>
      </c>
      <c r="G19" s="470">
        <f t="shared" si="26"/>
        <v>4.7791785664384516</v>
      </c>
      <c r="H19" s="470">
        <f t="shared" si="26"/>
        <v>-5.1476679104477951E-2</v>
      </c>
      <c r="I19" s="470">
        <f t="shared" si="26"/>
        <v>13.696652552433715</v>
      </c>
      <c r="J19" s="470"/>
      <c r="K19" s="470"/>
      <c r="L19" s="470"/>
      <c r="M19" s="470" t="s">
        <v>844</v>
      </c>
      <c r="N19" s="470">
        <f>N11+N18</f>
        <v>-4.9538422403284788</v>
      </c>
      <c r="O19" s="470">
        <f t="shared" ref="O19" si="27">O11+O18</f>
        <v>3.7205048402710559</v>
      </c>
      <c r="P19" s="470">
        <f t="shared" ref="P19" si="28">P11+P18</f>
        <v>2.0835820229081734</v>
      </c>
      <c r="Q19" s="470">
        <f t="shared" ref="Q19" si="29">Q11+Q18</f>
        <v>1.5054637782845113</v>
      </c>
      <c r="R19" s="470">
        <f t="shared" ref="R19" si="30">R11+R18</f>
        <v>4.0806847498493068</v>
      </c>
      <c r="S19" s="470">
        <f t="shared" ref="S19" si="31">S11+S18</f>
        <v>5.0031785664384518</v>
      </c>
      <c r="T19" s="470">
        <f t="shared" ref="T19" si="32">T11+T18</f>
        <v>3.016523320895522</v>
      </c>
      <c r="U19" s="470">
        <f t="shared" ref="U19" si="33">U11+U18</f>
        <v>5.2586525524337162</v>
      </c>
      <c r="Y19" s="517" t="s">
        <v>849</v>
      </c>
      <c r="Z19" s="478">
        <f>SUM(CFS!C20:L20)</f>
        <v>4.7029999999999994</v>
      </c>
      <c r="AA19" s="469"/>
      <c r="AB19" s="473"/>
      <c r="AC19" s="473"/>
      <c r="AD19" s="473"/>
      <c r="AE19" s="473"/>
      <c r="AF19" s="473"/>
      <c r="AG19" s="473"/>
    </row>
    <row r="20" spans="1:33">
      <c r="B20" s="386"/>
      <c r="M20" s="3" t="s">
        <v>846</v>
      </c>
      <c r="N20" s="474">
        <f>N13-B13</f>
        <v>4.3309999999999995</v>
      </c>
      <c r="O20" s="474">
        <f t="shared" ref="O20:U20" si="34">O13-C13</f>
        <v>0.55100000000000016</v>
      </c>
      <c r="P20" s="474">
        <f t="shared" si="34"/>
        <v>0.57399999999999984</v>
      </c>
      <c r="Q20" s="474">
        <f t="shared" si="34"/>
        <v>-1.2389999999999999</v>
      </c>
      <c r="R20" s="474">
        <f t="shared" si="34"/>
        <v>1.0039999999999996</v>
      </c>
      <c r="S20" s="474">
        <f t="shared" si="34"/>
        <v>0.2240000000000002</v>
      </c>
      <c r="T20" s="474">
        <f t="shared" si="34"/>
        <v>3.0680000000000001</v>
      </c>
      <c r="U20" s="474">
        <f t="shared" si="34"/>
        <v>-8.4379999999999988</v>
      </c>
      <c r="Y20" s="518" t="s">
        <v>851</v>
      </c>
      <c r="Z20" s="470">
        <f>Z17/(-Z18-Z16+Z19)</f>
        <v>0.87384952049945286</v>
      </c>
      <c r="AA20" s="469"/>
      <c r="AB20" s="474"/>
      <c r="AC20" s="474"/>
      <c r="AD20" s="474"/>
      <c r="AE20" s="474"/>
      <c r="AF20" s="474"/>
      <c r="AG20" s="474"/>
    </row>
    <row r="21" spans="1:33">
      <c r="A21" s="982" t="s">
        <v>850</v>
      </c>
      <c r="B21" s="989" t="str">
        <f>B4</f>
        <v>12/2020</v>
      </c>
      <c r="C21" s="989" t="str">
        <f t="shared" ref="C21:I21" si="35">C4</f>
        <v>12/2019</v>
      </c>
      <c r="D21" s="989" t="str">
        <f t="shared" si="35"/>
        <v>12/2018</v>
      </c>
      <c r="E21" s="989" t="str">
        <f t="shared" si="35"/>
        <v>12/2017</v>
      </c>
      <c r="F21" s="989" t="str">
        <f t="shared" si="35"/>
        <v>12/2016</v>
      </c>
      <c r="G21" s="989" t="str">
        <f t="shared" si="35"/>
        <v>12/2015</v>
      </c>
      <c r="H21" s="989" t="str">
        <f t="shared" si="35"/>
        <v>12/2014</v>
      </c>
      <c r="I21" s="989" t="str">
        <f t="shared" si="35"/>
        <v>12/2013</v>
      </c>
      <c r="M21" s="3" t="s">
        <v>848</v>
      </c>
      <c r="N21" s="327">
        <f>N19-B19</f>
        <v>4.3309999999999995</v>
      </c>
      <c r="O21" s="327">
        <f t="shared" ref="O21:U21" si="36">O19-C19</f>
        <v>0.55100000000000016</v>
      </c>
      <c r="P21" s="327">
        <f t="shared" si="36"/>
        <v>0.57400000000000007</v>
      </c>
      <c r="Q21" s="327">
        <f t="shared" si="36"/>
        <v>-1.2389999999999999</v>
      </c>
      <c r="R21" s="327">
        <f t="shared" si="36"/>
        <v>1.0039999999999996</v>
      </c>
      <c r="S21" s="327">
        <f t="shared" si="36"/>
        <v>0.2240000000000002</v>
      </c>
      <c r="T21" s="327">
        <f t="shared" si="36"/>
        <v>3.0680000000000001</v>
      </c>
      <c r="U21" s="327">
        <f t="shared" si="36"/>
        <v>-8.4379999999999988</v>
      </c>
      <c r="Y21" s="519" t="s">
        <v>853</v>
      </c>
      <c r="Z21" s="470">
        <f>Ratios!B208</f>
        <v>0.95863222048433205</v>
      </c>
      <c r="AA21" s="469"/>
      <c r="AB21" s="327"/>
      <c r="AC21" s="327"/>
      <c r="AD21" s="327"/>
      <c r="AE21" s="327"/>
      <c r="AF21" s="327"/>
      <c r="AG21" s="327"/>
    </row>
    <row r="22" spans="1:33" hidden="1">
      <c r="B22" s="481" t="str">
        <f t="shared" ref="B22:I22" si="37">B4</f>
        <v>12/2020</v>
      </c>
      <c r="C22" s="481" t="str">
        <f t="shared" si="37"/>
        <v>12/2019</v>
      </c>
      <c r="D22" s="481" t="str">
        <f t="shared" si="37"/>
        <v>12/2018</v>
      </c>
      <c r="E22" s="481" t="str">
        <f t="shared" si="37"/>
        <v>12/2017</v>
      </c>
      <c r="F22" s="481" t="str">
        <f t="shared" si="37"/>
        <v>12/2016</v>
      </c>
      <c r="G22" s="481" t="str">
        <f t="shared" si="37"/>
        <v>12/2015</v>
      </c>
      <c r="H22" s="481" t="str">
        <f t="shared" si="37"/>
        <v>12/2014</v>
      </c>
      <c r="I22" s="481" t="str">
        <f t="shared" si="37"/>
        <v>12/2013</v>
      </c>
      <c r="J22" s="481"/>
      <c r="K22" s="481"/>
      <c r="L22" s="481"/>
      <c r="M22" s="481"/>
      <c r="N22" s="481"/>
      <c r="O22" s="481"/>
      <c r="P22" s="481"/>
      <c r="Q22" s="481"/>
      <c r="Y22" s="481"/>
      <c r="Z22" s="481"/>
      <c r="AA22" s="469"/>
      <c r="AB22" s="481"/>
      <c r="AC22" s="481"/>
    </row>
    <row r="23" spans="1:33">
      <c r="A23" s="482" t="s">
        <v>405</v>
      </c>
      <c r="B23" s="483">
        <f>IS!C18</f>
        <v>-8.2810000000000006</v>
      </c>
      <c r="C23" s="483">
        <f>IS!D18</f>
        <v>6.6580000000000004</v>
      </c>
      <c r="D23" s="483">
        <f>IS!E18</f>
        <v>5.2670000000000003</v>
      </c>
      <c r="E23" s="483">
        <f>IS!F18</f>
        <v>6.1849999999999996</v>
      </c>
      <c r="F23" s="483">
        <f>IS!G18</f>
        <v>7.2809999999999997</v>
      </c>
      <c r="G23" s="483">
        <f>IS!H18</f>
        <v>8.3800000000000008</v>
      </c>
      <c r="H23" s="483">
        <f>IS!I18</f>
        <v>4.7640000000000002</v>
      </c>
      <c r="I23" s="483">
        <f>IS!J18</f>
        <v>3.1739999999999999</v>
      </c>
      <c r="J23" s="483"/>
      <c r="K23" s="483"/>
      <c r="L23" s="483"/>
      <c r="M23" s="372" t="s">
        <v>852</v>
      </c>
      <c r="O23" s="481"/>
      <c r="P23" s="483"/>
      <c r="Q23" s="483"/>
      <c r="AA23" s="469"/>
    </row>
    <row r="24" spans="1:33">
      <c r="A24" s="484" t="s">
        <v>841</v>
      </c>
      <c r="B24" s="469">
        <f>B17</f>
        <v>0.20542759992301277</v>
      </c>
      <c r="C24" s="469">
        <f t="shared" ref="C24:I24" si="38">C17</f>
        <v>0.2308809293320426</v>
      </c>
      <c r="D24" s="469">
        <f t="shared" si="38"/>
        <v>0.23607066589011844</v>
      </c>
      <c r="E24" s="469">
        <f t="shared" si="38"/>
        <v>0.37256621645325377</v>
      </c>
      <c r="F24" s="469">
        <f t="shared" si="38"/>
        <v>0.34101868595539481</v>
      </c>
      <c r="G24" s="469">
        <f t="shared" si="38"/>
        <v>0.36761212798658655</v>
      </c>
      <c r="H24" s="469">
        <f t="shared" si="38"/>
        <v>0.38526119402985071</v>
      </c>
      <c r="I24" s="469">
        <f t="shared" si="38"/>
        <v>-3.1709537000395733</v>
      </c>
      <c r="J24" s="469"/>
      <c r="K24" s="469"/>
      <c r="L24" s="469"/>
      <c r="M24" s="520" t="str">
        <f>'DAL-US CFS-adj'!A13</f>
        <v>Deferred Taxes &amp; Investment Tax Credit</v>
      </c>
      <c r="N24" s="327">
        <f>'DAL-US CFS-adj'!C13</f>
        <v>-3.11</v>
      </c>
      <c r="O24" s="327">
        <f>'DAL-US CFS-adj'!D13</f>
        <v>1.4730000000000001</v>
      </c>
      <c r="P24" s="469"/>
      <c r="Q24" s="469"/>
      <c r="AA24" s="469"/>
    </row>
    <row r="25" spans="1:33">
      <c r="A25" s="482" t="s">
        <v>793</v>
      </c>
      <c r="B25" s="485">
        <f t="shared" ref="B25:I25" si="39">B23*(1-B24)</f>
        <v>-6.579854045037532</v>
      </c>
      <c r="C25" s="485">
        <f t="shared" si="39"/>
        <v>5.1207947725072609</v>
      </c>
      <c r="D25" s="485">
        <f t="shared" si="39"/>
        <v>4.0236158027567468</v>
      </c>
      <c r="E25" s="485">
        <f t="shared" si="39"/>
        <v>3.8806779512366254</v>
      </c>
      <c r="F25" s="485">
        <f t="shared" si="39"/>
        <v>4.7980429475587707</v>
      </c>
      <c r="G25" s="485">
        <f t="shared" si="39"/>
        <v>5.2994103674724053</v>
      </c>
      <c r="H25" s="485">
        <f t="shared" si="39"/>
        <v>2.9286156716417913</v>
      </c>
      <c r="I25" s="485">
        <f t="shared" si="39"/>
        <v>13.238607043925606</v>
      </c>
      <c r="J25" s="485"/>
      <c r="K25" s="485"/>
      <c r="L25" s="485"/>
      <c r="M25" s="520" t="str">
        <f>'DAL-US CFS-adj'!A14</f>
        <v>Other Funds</v>
      </c>
      <c r="N25" s="327">
        <f>'DAL-US CFS-adj'!C14</f>
        <v>7.4409999999999998</v>
      </c>
      <c r="O25" s="327">
        <f>'DAL-US CFS-adj'!D14</f>
        <v>-0.92200000000000004</v>
      </c>
      <c r="P25" s="485"/>
      <c r="Q25" s="485"/>
    </row>
    <row r="26" spans="1:33">
      <c r="A26" s="31" t="s">
        <v>426</v>
      </c>
      <c r="B26" s="31">
        <f t="shared" ref="B26:I27" si="40">B6</f>
        <v>2.3119999999999998</v>
      </c>
      <c r="C26" s="31">
        <f t="shared" si="40"/>
        <v>2.581</v>
      </c>
      <c r="D26" s="31">
        <f t="shared" si="40"/>
        <v>2.3290000000000002</v>
      </c>
      <c r="E26" s="31">
        <f t="shared" si="40"/>
        <v>2.2349999999999999</v>
      </c>
      <c r="F26" s="31">
        <f t="shared" si="40"/>
        <v>1.9019999999999999</v>
      </c>
      <c r="G26" s="31">
        <f t="shared" si="40"/>
        <v>1.835</v>
      </c>
      <c r="H26" s="31">
        <f t="shared" si="40"/>
        <v>1.7709999999999999</v>
      </c>
      <c r="I26" s="31">
        <f t="shared" si="40"/>
        <v>1.6579999999999999</v>
      </c>
      <c r="J26" s="31"/>
      <c r="K26" s="31"/>
      <c r="L26" s="31"/>
      <c r="M26" s="481" t="s">
        <v>882</v>
      </c>
      <c r="N26" s="521">
        <f>SUM(N24:N25)</f>
        <v>4.3309999999999995</v>
      </c>
      <c r="O26" s="521">
        <f>SUM(O24:O25)</f>
        <v>0.55100000000000005</v>
      </c>
      <c r="P26" s="31"/>
      <c r="Q26" s="31"/>
    </row>
    <row r="27" spans="1:33">
      <c r="A27" s="31" t="s">
        <v>430</v>
      </c>
      <c r="B27" s="31">
        <f t="shared" si="40"/>
        <v>1.9490000000000001</v>
      </c>
      <c r="C27" s="31">
        <f t="shared" si="40"/>
        <v>0.52600000000000002</v>
      </c>
      <c r="D27" s="31">
        <f t="shared" si="40"/>
        <v>0.17599999999999999</v>
      </c>
      <c r="E27" s="31">
        <f t="shared" si="40"/>
        <v>0.57499999999999996</v>
      </c>
      <c r="F27" s="31">
        <f t="shared" si="40"/>
        <v>-6.3E-2</v>
      </c>
      <c r="G27" s="31">
        <f t="shared" si="40"/>
        <v>1.335</v>
      </c>
      <c r="H27" s="31">
        <f t="shared" si="40"/>
        <v>-0.61299999999999999</v>
      </c>
      <c r="I27" s="31">
        <f t="shared" si="40"/>
        <v>0.51300000000000001</v>
      </c>
      <c r="J27" s="31"/>
      <c r="K27" s="31"/>
      <c r="L27" s="31"/>
      <c r="M27" s="481"/>
      <c r="N27" s="481"/>
      <c r="O27" s="481"/>
      <c r="P27" s="31"/>
      <c r="Q27" s="31"/>
    </row>
    <row r="28" spans="1:33">
      <c r="A28" s="31" t="s">
        <v>50</v>
      </c>
      <c r="B28" s="486">
        <f>B9</f>
        <v>-1.899</v>
      </c>
      <c r="C28" s="486">
        <f t="shared" ref="C28:I28" si="41">C9</f>
        <v>-4.9359999999999999</v>
      </c>
      <c r="D28" s="486">
        <f t="shared" si="41"/>
        <v>-5.1680000000000001</v>
      </c>
      <c r="E28" s="486">
        <f t="shared" si="41"/>
        <v>-3.891</v>
      </c>
      <c r="F28" s="486">
        <f t="shared" si="41"/>
        <v>-3.391</v>
      </c>
      <c r="G28" s="486">
        <f t="shared" si="41"/>
        <v>-2.9449999999999998</v>
      </c>
      <c r="H28" s="486">
        <f t="shared" si="41"/>
        <v>-2.2490000000000001</v>
      </c>
      <c r="I28" s="486">
        <f t="shared" si="41"/>
        <v>-2.5680000000000001</v>
      </c>
      <c r="J28" s="486"/>
      <c r="K28" s="486"/>
      <c r="L28" s="486"/>
      <c r="M28" s="481"/>
      <c r="N28" s="481"/>
      <c r="O28" s="481"/>
      <c r="P28" s="486"/>
      <c r="Q28" s="486"/>
    </row>
    <row r="29" spans="1:33">
      <c r="A29" s="31" t="s">
        <v>433</v>
      </c>
      <c r="B29" s="486">
        <f>B10</f>
        <v>0</v>
      </c>
      <c r="C29" s="486">
        <f t="shared" ref="C29:I29" si="42">C10</f>
        <v>0</v>
      </c>
      <c r="D29" s="486">
        <f t="shared" si="42"/>
        <v>0</v>
      </c>
      <c r="E29" s="486">
        <f t="shared" si="42"/>
        <v>0</v>
      </c>
      <c r="F29" s="486">
        <f t="shared" si="42"/>
        <v>0</v>
      </c>
      <c r="G29" s="486">
        <f t="shared" si="42"/>
        <v>-0.27600000000000002</v>
      </c>
      <c r="H29" s="486">
        <f t="shared" si="42"/>
        <v>0</v>
      </c>
      <c r="I29" s="486">
        <f t="shared" si="42"/>
        <v>0</v>
      </c>
      <c r="J29" s="486"/>
      <c r="K29" s="486"/>
      <c r="L29" s="486"/>
      <c r="M29" s="481"/>
      <c r="N29" s="481"/>
      <c r="O29" s="481"/>
      <c r="P29" s="486"/>
      <c r="Q29" s="486"/>
    </row>
    <row r="30" spans="1:33">
      <c r="A30" s="372" t="s">
        <v>855</v>
      </c>
      <c r="B30" s="487">
        <f>B25+B26+B27+B28+B29</f>
        <v>-4.2178540450375328</v>
      </c>
      <c r="C30" s="487">
        <f t="shared" ref="C30:I30" si="43">C25+C26+C27+C28+C29</f>
        <v>3.2917947725072612</v>
      </c>
      <c r="D30" s="487">
        <f t="shared" si="43"/>
        <v>1.3606158027567465</v>
      </c>
      <c r="E30" s="487">
        <f t="shared" si="43"/>
        <v>2.7996779512366254</v>
      </c>
      <c r="F30" s="487">
        <f t="shared" si="43"/>
        <v>3.2460429475587711</v>
      </c>
      <c r="G30" s="487">
        <f t="shared" si="43"/>
        <v>5.2484103674724061</v>
      </c>
      <c r="H30" s="487">
        <f t="shared" si="43"/>
        <v>1.8376156716417911</v>
      </c>
      <c r="I30" s="487">
        <f t="shared" si="43"/>
        <v>12.841607043925606</v>
      </c>
      <c r="J30" s="487"/>
      <c r="K30" s="487"/>
      <c r="L30" s="487"/>
      <c r="M30" s="487"/>
      <c r="N30" s="487"/>
      <c r="O30" s="487"/>
      <c r="P30" s="487"/>
      <c r="Q30" s="487"/>
    </row>
    <row r="31" spans="1:33">
      <c r="A31" s="31" t="s">
        <v>439</v>
      </c>
      <c r="B31" s="474">
        <f>B12</f>
        <v>19.797999999999998</v>
      </c>
      <c r="C31" s="474">
        <f t="shared" ref="C31:I31" si="44">C12</f>
        <v>0.48699999999999999</v>
      </c>
      <c r="D31" s="474">
        <f t="shared" si="44"/>
        <v>0.69299999999999995</v>
      </c>
      <c r="E31" s="474">
        <f t="shared" si="44"/>
        <v>1.196</v>
      </c>
      <c r="F31" s="474">
        <f t="shared" si="44"/>
        <v>-1.2589999999999999</v>
      </c>
      <c r="G31" s="474">
        <f t="shared" si="44"/>
        <v>-1.52</v>
      </c>
      <c r="H31" s="474">
        <f t="shared" si="44"/>
        <v>-1.9079999999999999</v>
      </c>
      <c r="I31" s="474">
        <f t="shared" si="44"/>
        <v>-1.1930000000000001</v>
      </c>
      <c r="J31" s="474"/>
      <c r="K31" s="474"/>
      <c r="L31" s="474"/>
      <c r="M31" s="474"/>
      <c r="N31" s="474"/>
      <c r="O31" s="474"/>
      <c r="P31" s="474"/>
      <c r="Q31" s="474"/>
    </row>
    <row r="32" spans="1:33">
      <c r="A32" s="476" t="s">
        <v>842</v>
      </c>
      <c r="B32" s="488">
        <f>B18</f>
        <v>0.7381577596715212</v>
      </c>
      <c r="C32" s="488">
        <f t="shared" ref="C32:I32" si="45">C18</f>
        <v>0.23150484027105517</v>
      </c>
      <c r="D32" s="488">
        <f t="shared" si="45"/>
        <v>0.23758202290817318</v>
      </c>
      <c r="E32" s="488">
        <f t="shared" si="45"/>
        <v>0.24846377828451155</v>
      </c>
      <c r="F32" s="488">
        <f t="shared" si="45"/>
        <v>0.25568474984930684</v>
      </c>
      <c r="G32" s="488">
        <f t="shared" si="45"/>
        <v>0.30417856643845187</v>
      </c>
      <c r="H32" s="488">
        <f t="shared" si="45"/>
        <v>0.38052332089552243</v>
      </c>
      <c r="I32" s="488">
        <f t="shared" si="45"/>
        <v>3.5536525524337166</v>
      </c>
      <c r="J32" s="488"/>
      <c r="K32" s="488"/>
      <c r="L32" s="488"/>
      <c r="M32" s="488"/>
      <c r="N32" s="488"/>
      <c r="O32" s="488"/>
      <c r="P32" s="488"/>
      <c r="Q32" s="488"/>
    </row>
    <row r="33" spans="1:102">
      <c r="A33" s="372" t="s">
        <v>856</v>
      </c>
      <c r="B33" s="470">
        <f>B30+B31-B32</f>
        <v>14.841988195290943</v>
      </c>
      <c r="C33" s="470">
        <f t="shared" ref="C33:I33" si="46">C30+C31-C32</f>
        <v>3.5472899322362061</v>
      </c>
      <c r="D33" s="470">
        <f t="shared" si="46"/>
        <v>1.8160337798485735</v>
      </c>
      <c r="E33" s="470">
        <f t="shared" si="46"/>
        <v>3.7472141729521136</v>
      </c>
      <c r="F33" s="470">
        <f t="shared" si="46"/>
        <v>1.7313581977094643</v>
      </c>
      <c r="G33" s="470">
        <f t="shared" si="46"/>
        <v>3.4242318010339541</v>
      </c>
      <c r="H33" s="470">
        <f t="shared" si="46"/>
        <v>-0.45090764925373128</v>
      </c>
      <c r="I33" s="470">
        <f t="shared" si="46"/>
        <v>8.0949544914918903</v>
      </c>
      <c r="J33" s="470"/>
      <c r="K33" s="470"/>
      <c r="L33" s="470"/>
      <c r="M33" s="470"/>
      <c r="N33" s="470"/>
      <c r="O33" s="470"/>
      <c r="P33" s="470"/>
      <c r="Q33" s="470"/>
      <c r="R33" s="473"/>
    </row>
    <row r="34" spans="1:102">
      <c r="B34" s="474"/>
    </row>
    <row r="35" spans="1:102">
      <c r="A35" s="479" t="s">
        <v>857</v>
      </c>
      <c r="B35" s="989" t="str">
        <f>B21</f>
        <v>12/2020</v>
      </c>
      <c r="C35" s="989" t="str">
        <f t="shared" ref="C35:I35" si="47">C21</f>
        <v>12/2019</v>
      </c>
      <c r="D35" s="989" t="str">
        <f t="shared" si="47"/>
        <v>12/2018</v>
      </c>
      <c r="E35" s="989" t="str">
        <f t="shared" si="47"/>
        <v>12/2017</v>
      </c>
      <c r="F35" s="989" t="str">
        <f t="shared" si="47"/>
        <v>12/2016</v>
      </c>
      <c r="G35" s="989" t="str">
        <f t="shared" si="47"/>
        <v>12/2015</v>
      </c>
      <c r="H35" s="989" t="str">
        <f t="shared" si="47"/>
        <v>12/2014</v>
      </c>
      <c r="I35" s="989" t="str">
        <f t="shared" si="47"/>
        <v>12/2013</v>
      </c>
    </row>
    <row r="36" spans="1:102">
      <c r="A36" s="372" t="s">
        <v>858</v>
      </c>
      <c r="B36" s="474">
        <f>B30-B19</f>
        <v>5.0669881952909455</v>
      </c>
      <c r="C36" s="474">
        <f t="shared" ref="C36:I36" si="48">C30-C19</f>
        <v>0.12228993223620543</v>
      </c>
      <c r="D36" s="474">
        <f t="shared" si="48"/>
        <v>-0.1489662201514268</v>
      </c>
      <c r="E36" s="474">
        <f t="shared" si="48"/>
        <v>5.5214172952114282E-2</v>
      </c>
      <c r="F36" s="474">
        <f t="shared" si="48"/>
        <v>0.16935819770946381</v>
      </c>
      <c r="G36" s="474">
        <f t="shared" si="48"/>
        <v>0.46923180103395445</v>
      </c>
      <c r="H36" s="474">
        <f t="shared" si="48"/>
        <v>1.8890923507462691</v>
      </c>
      <c r="I36" s="474">
        <f t="shared" si="48"/>
        <v>-0.85504550850810901</v>
      </c>
      <c r="J36" s="474"/>
      <c r="K36" s="474"/>
    </row>
    <row r="37" spans="1:102">
      <c r="A37" s="372" t="s">
        <v>859</v>
      </c>
      <c r="B37" s="474">
        <f>B13-B33</f>
        <v>-5.0669881952909446</v>
      </c>
      <c r="C37" s="474">
        <f t="shared" ref="C37:I37" si="49">C13-C33</f>
        <v>-0.12228993223620543</v>
      </c>
      <c r="D37" s="474">
        <f t="shared" si="49"/>
        <v>0.1489662201514268</v>
      </c>
      <c r="E37" s="474">
        <f t="shared" si="49"/>
        <v>-5.5214172952114282E-2</v>
      </c>
      <c r="F37" s="474">
        <f t="shared" si="49"/>
        <v>-0.16935819770946359</v>
      </c>
      <c r="G37" s="474">
        <f t="shared" si="49"/>
        <v>-0.46923180103395445</v>
      </c>
      <c r="H37" s="474">
        <f t="shared" si="49"/>
        <v>-1.8890923507462691</v>
      </c>
      <c r="I37" s="474">
        <f t="shared" si="49"/>
        <v>0.85504550850810901</v>
      </c>
      <c r="J37" s="474"/>
      <c r="K37" s="474"/>
    </row>
    <row r="38" spans="1:102">
      <c r="A38" s="489" t="s">
        <v>406</v>
      </c>
      <c r="B38" s="490">
        <f>IS!C19</f>
        <v>0.27400000000000002</v>
      </c>
      <c r="C38" s="490">
        <f>IS!D19</f>
        <v>-0.128</v>
      </c>
      <c r="D38" s="490">
        <f>IS!E19</f>
        <v>0.18099999999999999</v>
      </c>
      <c r="E38" s="490">
        <f>IS!F19</f>
        <v>-7.0000000000000001E-3</v>
      </c>
      <c r="F38" s="490">
        <f>IS!G19</f>
        <v>-6.0000000000000001E-3</v>
      </c>
      <c r="G38" s="490">
        <f>IS!H19</f>
        <v>8.0000000000000002E-3</v>
      </c>
      <c r="H38" s="490">
        <f>IS!I19</f>
        <v>4.4999999999999998E-2</v>
      </c>
      <c r="I38" s="490">
        <f>IS!J19</f>
        <v>0.114</v>
      </c>
      <c r="J38" s="490"/>
      <c r="K38" s="490"/>
      <c r="L38" s="490"/>
      <c r="M38" s="490"/>
      <c r="N38" s="490"/>
      <c r="O38" s="490"/>
      <c r="P38" s="490"/>
      <c r="Q38" s="490"/>
    </row>
    <row r="39" spans="1:102">
      <c r="A39" s="489" t="s">
        <v>407</v>
      </c>
      <c r="B39" s="490">
        <f>IF(IS!C21="-",0,IS!C21)</f>
        <v>6.6509999999999998</v>
      </c>
      <c r="C39" s="490">
        <f>IF(IS!D21="-",0,IS!D21)</f>
        <v>3.1E-2</v>
      </c>
      <c r="D39" s="490">
        <f>IF(IS!E21="-",0,IS!E21)</f>
        <v>-1.4E-2</v>
      </c>
      <c r="E39" s="490">
        <f>IF(IS!F21="-",0,IS!F21)</f>
        <v>8.1000000000000003E-2</v>
      </c>
      <c r="F39" s="490">
        <f>IF(IS!G21="-",0,IS!G21)</f>
        <v>0.251</v>
      </c>
      <c r="G39" s="490">
        <f>IF(IS!H21="-",0,IS!H21)</f>
        <v>0.75</v>
      </c>
      <c r="H39" s="490">
        <f>IF(IS!I21="-",0,IS!I21)</f>
        <v>3.1179999999999999</v>
      </c>
      <c r="I39" s="490">
        <f>IF(IS!J21="-",0,IS!J21)</f>
        <v>-9.0999999999999998E-2</v>
      </c>
      <c r="J39" s="490"/>
      <c r="K39" s="490"/>
      <c r="L39" s="490"/>
      <c r="M39" s="490"/>
      <c r="N39" s="490"/>
      <c r="O39" s="490"/>
      <c r="P39" s="490"/>
      <c r="Q39" s="490"/>
    </row>
    <row r="40" spans="1:102">
      <c r="A40" s="492" t="s">
        <v>883</v>
      </c>
      <c r="B40" s="493">
        <f>SUM(B38:B39)</f>
        <v>6.9249999999999998</v>
      </c>
      <c r="C40" s="493">
        <f t="shared" ref="C40:I40" si="50">SUM(C38:C39)</f>
        <v>-9.7000000000000003E-2</v>
      </c>
      <c r="D40" s="493">
        <f t="shared" si="50"/>
        <v>0.16699999999999998</v>
      </c>
      <c r="E40" s="493">
        <f t="shared" si="50"/>
        <v>7.3999999999999996E-2</v>
      </c>
      <c r="F40" s="493">
        <f t="shared" si="50"/>
        <v>0.245</v>
      </c>
      <c r="G40" s="493">
        <f t="shared" si="50"/>
        <v>0.75800000000000001</v>
      </c>
      <c r="H40" s="493">
        <f t="shared" si="50"/>
        <v>3.1629999999999998</v>
      </c>
      <c r="I40" s="493">
        <f t="shared" si="50"/>
        <v>2.3000000000000007E-2</v>
      </c>
      <c r="J40" s="493"/>
      <c r="K40" s="493"/>
      <c r="L40" s="493"/>
      <c r="M40" s="493"/>
      <c r="N40" s="493"/>
      <c r="O40" s="493"/>
      <c r="P40" s="493"/>
      <c r="Q40" s="493"/>
    </row>
    <row r="41" spans="1:102">
      <c r="A41" s="494" t="s">
        <v>841</v>
      </c>
      <c r="B41" s="514">
        <f>B17</f>
        <v>0.20542759992301277</v>
      </c>
      <c r="C41" s="514">
        <f>C17</f>
        <v>0.2308809293320426</v>
      </c>
      <c r="D41" s="514">
        <f t="shared" ref="D41:I41" si="51">D17</f>
        <v>0.23607066589011844</v>
      </c>
      <c r="E41" s="514">
        <f t="shared" si="51"/>
        <v>0.37256621645325377</v>
      </c>
      <c r="F41" s="514">
        <f t="shared" si="51"/>
        <v>0.34101868595539481</v>
      </c>
      <c r="G41" s="514">
        <f t="shared" si="51"/>
        <v>0.36761212798658655</v>
      </c>
      <c r="H41" s="514">
        <f t="shared" si="51"/>
        <v>0.38526119402985071</v>
      </c>
      <c r="I41" s="514">
        <f t="shared" si="51"/>
        <v>-3.1709537000395733</v>
      </c>
      <c r="J41" s="495"/>
      <c r="K41" s="495"/>
      <c r="L41" s="495"/>
      <c r="M41" s="495"/>
      <c r="N41" s="495"/>
      <c r="O41" s="495"/>
      <c r="P41" s="495"/>
      <c r="Q41" s="495"/>
    </row>
    <row r="42" spans="1:102">
      <c r="A42" s="496" t="s">
        <v>884</v>
      </c>
      <c r="B42" s="515">
        <f>B40*(1-B41)</f>
        <v>5.5024138705331369</v>
      </c>
      <c r="C42" s="515">
        <f t="shared" ref="C42:I42" si="52">C40*(1-C41)</f>
        <v>-7.4604549854791868E-2</v>
      </c>
      <c r="D42" s="515">
        <f t="shared" si="52"/>
        <v>0.12757619879635021</v>
      </c>
      <c r="E42" s="515">
        <f t="shared" si="52"/>
        <v>4.6430099982459221E-2</v>
      </c>
      <c r="F42" s="515">
        <f t="shared" si="52"/>
        <v>0.16145042194092829</v>
      </c>
      <c r="G42" s="515">
        <f t="shared" si="52"/>
        <v>0.47935000698616742</v>
      </c>
      <c r="H42" s="515">
        <f t="shared" si="52"/>
        <v>1.9444188432835821</v>
      </c>
      <c r="I42" s="515">
        <f t="shared" si="52"/>
        <v>9.5931935100910221E-2</v>
      </c>
      <c r="J42" s="497"/>
      <c r="K42" s="497"/>
      <c r="L42" s="497"/>
      <c r="M42" s="497"/>
      <c r="N42" s="497"/>
      <c r="O42" s="497"/>
      <c r="P42" s="497"/>
      <c r="Q42" s="497"/>
    </row>
    <row r="43" spans="1:102">
      <c r="A43" s="327" t="s">
        <v>885</v>
      </c>
      <c r="B43" s="498">
        <f>B36+B42</f>
        <v>10.569402065824082</v>
      </c>
      <c r="C43" s="498">
        <f t="shared" ref="C43:I43" si="53">C36+C42</f>
        <v>4.7685382381413566E-2</v>
      </c>
      <c r="D43" s="498">
        <f t="shared" si="53"/>
        <v>-2.1390021355076588E-2</v>
      </c>
      <c r="E43" s="498">
        <f t="shared" si="53"/>
        <v>0.10164427293457351</v>
      </c>
      <c r="F43" s="498">
        <f t="shared" si="53"/>
        <v>0.3308086196503921</v>
      </c>
      <c r="G43" s="498">
        <f t="shared" si="53"/>
        <v>0.94858180802012182</v>
      </c>
      <c r="H43" s="498">
        <f t="shared" si="53"/>
        <v>3.8335111940298514</v>
      </c>
      <c r="I43" s="498">
        <f t="shared" si="53"/>
        <v>-0.75911357340719876</v>
      </c>
      <c r="J43" s="498"/>
      <c r="K43" s="498"/>
      <c r="L43" s="498"/>
      <c r="M43" s="498"/>
      <c r="N43" s="498"/>
      <c r="O43" s="498"/>
      <c r="P43" s="498"/>
      <c r="Q43" s="498"/>
    </row>
    <row r="44" spans="1:102">
      <c r="A44" s="372"/>
      <c r="B44" s="372"/>
    </row>
    <row r="45" spans="1:102">
      <c r="A45" s="479" t="s">
        <v>860</v>
      </c>
      <c r="B45" s="991" t="str">
        <f t="shared" ref="B45:I45" si="54">B4</f>
        <v>12/2020</v>
      </c>
      <c r="C45" s="991" t="str">
        <f t="shared" si="54"/>
        <v>12/2019</v>
      </c>
      <c r="D45" s="991" t="str">
        <f t="shared" si="54"/>
        <v>12/2018</v>
      </c>
      <c r="E45" s="991" t="str">
        <f t="shared" si="54"/>
        <v>12/2017</v>
      </c>
      <c r="F45" s="991" t="str">
        <f t="shared" si="54"/>
        <v>12/2016</v>
      </c>
      <c r="G45" s="991" t="str">
        <f t="shared" si="54"/>
        <v>12/2015</v>
      </c>
      <c r="H45" s="991" t="str">
        <f t="shared" si="54"/>
        <v>12/2014</v>
      </c>
      <c r="I45" s="991" t="str">
        <f t="shared" si="54"/>
        <v>12/2013</v>
      </c>
      <c r="N45" s="326"/>
    </row>
    <row r="46" spans="1:102">
      <c r="A46" s="499" t="s">
        <v>415</v>
      </c>
      <c r="B46" s="499">
        <f>IS!C30</f>
        <v>0.40250000000000002</v>
      </c>
      <c r="C46" s="499">
        <f>IS!D30</f>
        <v>1.5049999999999999</v>
      </c>
      <c r="D46" s="499">
        <f>IS!E30</f>
        <v>1.31</v>
      </c>
      <c r="E46" s="499">
        <f>IS!F30</f>
        <v>1.0149999999999999</v>
      </c>
      <c r="F46" s="499">
        <f>IS!G30</f>
        <v>0.67500000000000004</v>
      </c>
      <c r="G46" s="499">
        <f>IS!H30</f>
        <v>0.45</v>
      </c>
      <c r="H46" s="499">
        <f>IS!I30</f>
        <v>0.3</v>
      </c>
      <c r="I46" s="499">
        <f>IS!J30</f>
        <v>0.12</v>
      </c>
      <c r="J46" s="499"/>
      <c r="K46" s="499"/>
      <c r="L46" s="499"/>
      <c r="M46" s="499"/>
      <c r="N46" s="499"/>
      <c r="O46" s="499"/>
      <c r="P46" s="499"/>
      <c r="Q46" s="499"/>
      <c r="R46" s="326"/>
      <c r="S46" s="326"/>
      <c r="T46" s="326"/>
      <c r="U46" s="326"/>
      <c r="V46" s="326"/>
      <c r="W46" s="326"/>
      <c r="X46" s="326"/>
      <c r="Y46" s="326"/>
      <c r="Z46" s="326"/>
      <c r="AA46" s="326"/>
      <c r="AB46" s="326"/>
      <c r="AC46" s="326"/>
      <c r="AD46" s="326"/>
      <c r="AE46" s="326"/>
      <c r="AF46" s="326"/>
      <c r="AG46" s="326"/>
      <c r="AH46" s="326"/>
      <c r="AI46" s="326"/>
      <c r="AJ46" s="326"/>
      <c r="AK46" s="326"/>
      <c r="AL46" s="326"/>
      <c r="AM46" s="326"/>
      <c r="AN46" s="326"/>
      <c r="AO46" s="326"/>
      <c r="AP46" s="326"/>
      <c r="AQ46" s="326"/>
      <c r="AR46" s="326"/>
      <c r="AS46" s="326"/>
      <c r="AT46" s="326"/>
      <c r="AU46" s="326"/>
      <c r="AV46" s="326"/>
      <c r="AW46" s="326"/>
      <c r="AX46" s="326"/>
      <c r="AY46" s="326"/>
      <c r="AZ46" s="326"/>
      <c r="BA46" s="326"/>
      <c r="BB46" s="326"/>
      <c r="BC46" s="326"/>
      <c r="BD46" s="326"/>
      <c r="BE46" s="326"/>
      <c r="BF46" s="326"/>
      <c r="BG46" s="326"/>
      <c r="BH46" s="326"/>
      <c r="BI46" s="326"/>
      <c r="BJ46" s="326"/>
      <c r="BK46" s="326"/>
      <c r="BL46" s="326"/>
      <c r="BM46" s="326"/>
      <c r="BN46" s="326"/>
      <c r="BO46" s="326"/>
      <c r="BP46" s="326"/>
      <c r="BQ46" s="326"/>
      <c r="BR46" s="326"/>
      <c r="BS46" s="326"/>
      <c r="BT46" s="326"/>
      <c r="BU46" s="326"/>
      <c r="BV46" s="326"/>
      <c r="BW46" s="326"/>
      <c r="BX46" s="326"/>
      <c r="BY46" s="326"/>
      <c r="BZ46" s="326"/>
      <c r="CA46" s="326"/>
      <c r="CB46" s="326"/>
      <c r="CC46" s="326"/>
      <c r="CD46" s="326"/>
      <c r="CE46" s="326"/>
      <c r="CF46" s="326"/>
      <c r="CG46" s="326"/>
      <c r="CH46" s="326"/>
      <c r="CI46" s="326"/>
      <c r="CJ46" s="326"/>
      <c r="CK46" s="326"/>
      <c r="CL46" s="326"/>
      <c r="CM46" s="326"/>
      <c r="CN46" s="326"/>
      <c r="CO46" s="326"/>
      <c r="CP46" s="326"/>
      <c r="CQ46" s="326"/>
      <c r="CR46" s="326"/>
      <c r="CS46" s="326"/>
      <c r="CT46" s="326"/>
      <c r="CU46" s="326"/>
      <c r="CV46" s="326"/>
      <c r="CW46" s="326"/>
      <c r="CX46" s="326"/>
    </row>
    <row r="47" spans="1:102">
      <c r="A47" s="491" t="s">
        <v>413</v>
      </c>
      <c r="B47" s="491">
        <f>IS!C28</f>
        <v>-19.473299999999998</v>
      </c>
      <c r="C47" s="491">
        <f>IS!D28</f>
        <v>7.3002000000000002</v>
      </c>
      <c r="D47" s="491">
        <f>IS!E28</f>
        <v>5.67</v>
      </c>
      <c r="E47" s="491">
        <f>IS!F28</f>
        <v>4.95</v>
      </c>
      <c r="F47" s="491">
        <f>IS!G28</f>
        <v>5.79</v>
      </c>
      <c r="G47" s="491">
        <f>IS!H28</f>
        <v>5.63</v>
      </c>
      <c r="H47" s="491">
        <f>IS!I28</f>
        <v>0.78</v>
      </c>
      <c r="I47" s="491">
        <f>IS!J28</f>
        <v>12.2844</v>
      </c>
      <c r="J47" s="491"/>
      <c r="K47" s="491"/>
      <c r="L47" s="491"/>
      <c r="M47" s="491"/>
      <c r="N47" s="491"/>
      <c r="O47" s="491"/>
      <c r="P47" s="491"/>
      <c r="Q47" s="491"/>
    </row>
    <row r="48" spans="1:102" ht="14.25" customHeight="1">
      <c r="A48" s="372" t="s">
        <v>861</v>
      </c>
      <c r="B48" s="500">
        <f>1-(B46/B47)</f>
        <v>1.0206693267191489</v>
      </c>
      <c r="C48" s="500">
        <f t="shared" ref="C48:I48" si="55">1-(C46/C47)</f>
        <v>0.79384126462288707</v>
      </c>
      <c r="D48" s="500">
        <f t="shared" si="55"/>
        <v>0.76895943562610225</v>
      </c>
      <c r="E48" s="500">
        <f t="shared" si="55"/>
        <v>0.79494949494949496</v>
      </c>
      <c r="F48" s="500">
        <f t="shared" si="55"/>
        <v>0.88341968911917101</v>
      </c>
      <c r="G48" s="500">
        <f t="shared" si="55"/>
        <v>0.92007104795737127</v>
      </c>
      <c r="H48" s="500">
        <f t="shared" si="55"/>
        <v>0.61538461538461542</v>
      </c>
      <c r="I48" s="500">
        <f t="shared" si="55"/>
        <v>0.99023151313861479</v>
      </c>
      <c r="J48" s="500"/>
      <c r="K48" s="500"/>
      <c r="L48" s="500"/>
      <c r="M48" s="500"/>
      <c r="N48" s="500"/>
      <c r="O48" s="500"/>
      <c r="P48" s="500"/>
      <c r="Q48" s="500"/>
    </row>
    <row r="49" spans="1:114" ht="14.25" customHeight="1">
      <c r="A49" s="898" t="s">
        <v>82</v>
      </c>
      <c r="B49" s="992">
        <f>IS!C25/AVERAGE(BS!B40:C40)</f>
        <v>-1.4663746152024628</v>
      </c>
      <c r="C49" s="992">
        <f>IS!D25/AVERAGE(BS!C40:D40)</f>
        <v>0.32824926837665691</v>
      </c>
      <c r="D49" s="992">
        <f>IS!E25/AVERAGE(BS!D40:E40)</f>
        <v>0.28517592491937527</v>
      </c>
      <c r="E49" s="992">
        <f>IS!F25/AVERAGE(BS!E40:F40)</f>
        <v>0.27308470435546051</v>
      </c>
      <c r="F49" s="992">
        <f>IS!G25/AVERAGE(BS!F40:G40)</f>
        <v>0.37800924925444096</v>
      </c>
      <c r="G49" s="992">
        <f>IS!H25/AVERAGE(BS!G40:H40)</f>
        <v>0.46035701571479426</v>
      </c>
      <c r="H49" s="992">
        <f>IS!I25/AVERAGE(BS!H40:I40)</f>
        <v>6.4430973797418842E-2</v>
      </c>
      <c r="I49" s="992">
        <f>IS!J25/AVERAGE(BS!I40:J40)</f>
        <v>2.2161480235492008</v>
      </c>
      <c r="J49" s="992"/>
      <c r="K49" s="500"/>
      <c r="L49" s="500"/>
      <c r="M49" s="500"/>
      <c r="N49" s="500"/>
      <c r="O49" s="500"/>
      <c r="P49" s="500"/>
      <c r="Q49" s="500"/>
      <c r="R49" s="500"/>
      <c r="S49" s="500"/>
      <c r="T49" s="500"/>
    </row>
    <row r="50" spans="1:114" ht="14.25" customHeight="1">
      <c r="A50" s="380" t="s">
        <v>862</v>
      </c>
      <c r="B50" s="645">
        <f>B49*B48</f>
        <v>-1.4966835912167487</v>
      </c>
      <c r="C50" s="645">
        <f>C49*C48</f>
        <v>0.26057781431966276</v>
      </c>
      <c r="D50" s="645">
        <f>D49*D48</f>
        <v>0.2192887182801545</v>
      </c>
      <c r="E50" s="645">
        <f t="shared" ref="E50:I50" si="56">E49*E48</f>
        <v>0.21708854780580547</v>
      </c>
      <c r="F50" s="645">
        <f t="shared" si="56"/>
        <v>0.33394081346052945</v>
      </c>
      <c r="G50" s="645">
        <f t="shared" si="56"/>
        <v>0.42356116188323878</v>
      </c>
      <c r="H50" s="645">
        <f t="shared" si="56"/>
        <v>3.9649830029180828E-2</v>
      </c>
      <c r="I50" s="645">
        <f t="shared" si="56"/>
        <v>2.1944996106982755</v>
      </c>
      <c r="J50" s="645"/>
      <c r="K50" s="645"/>
      <c r="L50" s="645"/>
      <c r="M50" s="645"/>
      <c r="N50" s="645"/>
      <c r="O50" s="645"/>
      <c r="P50" s="645"/>
      <c r="Q50" s="645"/>
    </row>
    <row r="51" spans="1:114" ht="14.25" customHeight="1">
      <c r="A51" s="372"/>
      <c r="B51" s="500"/>
      <c r="C51" s="500"/>
      <c r="D51" s="500"/>
      <c r="E51" s="500"/>
      <c r="F51" s="500"/>
      <c r="G51" s="500"/>
      <c r="H51" s="500"/>
      <c r="I51" s="500"/>
      <c r="J51" s="500"/>
      <c r="K51" s="500"/>
      <c r="L51" s="500"/>
      <c r="M51" s="500"/>
      <c r="N51" s="500"/>
      <c r="O51" s="500"/>
      <c r="P51" s="500"/>
      <c r="Q51" s="500"/>
    </row>
    <row r="52" spans="1:114" ht="14.25" customHeight="1">
      <c r="A52" s="3" t="s">
        <v>863</v>
      </c>
      <c r="B52" s="474">
        <f t="shared" ref="B52:I52" si="57">-SUM(B9:B10)</f>
        <v>1.899</v>
      </c>
      <c r="C52" s="474">
        <f t="shared" si="57"/>
        <v>4.9359999999999999</v>
      </c>
      <c r="D52" s="474">
        <f t="shared" si="57"/>
        <v>5.1680000000000001</v>
      </c>
      <c r="E52" s="474">
        <f t="shared" si="57"/>
        <v>3.891</v>
      </c>
      <c r="F52" s="474">
        <f t="shared" si="57"/>
        <v>3.391</v>
      </c>
      <c r="G52" s="474">
        <f t="shared" si="57"/>
        <v>3.2210000000000001</v>
      </c>
      <c r="H52" s="474">
        <f t="shared" si="57"/>
        <v>2.2490000000000001</v>
      </c>
      <c r="I52" s="474">
        <f t="shared" si="57"/>
        <v>2.5680000000000001</v>
      </c>
      <c r="J52" s="474"/>
      <c r="K52" s="474"/>
      <c r="L52" s="474"/>
      <c r="M52" s="474"/>
      <c r="N52" s="474"/>
      <c r="O52" s="474"/>
      <c r="P52" s="474"/>
      <c r="Q52" s="474"/>
    </row>
    <row r="53" spans="1:114">
      <c r="A53" s="327" t="s">
        <v>426</v>
      </c>
      <c r="B53" s="474">
        <f t="shared" ref="B53:I53" si="58">B6</f>
        <v>2.3119999999999998</v>
      </c>
      <c r="C53" s="474">
        <f t="shared" si="58"/>
        <v>2.581</v>
      </c>
      <c r="D53" s="474">
        <f t="shared" si="58"/>
        <v>2.3290000000000002</v>
      </c>
      <c r="E53" s="474">
        <f t="shared" si="58"/>
        <v>2.2349999999999999</v>
      </c>
      <c r="F53" s="474">
        <f t="shared" si="58"/>
        <v>1.9019999999999999</v>
      </c>
      <c r="G53" s="474">
        <f t="shared" si="58"/>
        <v>1.835</v>
      </c>
      <c r="H53" s="474">
        <f t="shared" si="58"/>
        <v>1.7709999999999999</v>
      </c>
      <c r="I53" s="474">
        <f t="shared" si="58"/>
        <v>1.6579999999999999</v>
      </c>
      <c r="J53" s="474"/>
      <c r="K53" s="474"/>
      <c r="L53" s="474"/>
      <c r="M53" s="474"/>
      <c r="N53" s="474"/>
      <c r="O53" s="474"/>
      <c r="P53" s="474"/>
      <c r="Q53" s="474"/>
    </row>
    <row r="54" spans="1:114">
      <c r="A54" s="327" t="s">
        <v>864</v>
      </c>
      <c r="B54" s="474">
        <f t="shared" ref="B54:I54" si="59">-B7</f>
        <v>-1.9490000000000001</v>
      </c>
      <c r="C54" s="642">
        <f t="shared" si="59"/>
        <v>-0.52600000000000002</v>
      </c>
      <c r="D54" s="474">
        <f t="shared" si="59"/>
        <v>-0.17599999999999999</v>
      </c>
      <c r="E54" s="474">
        <f t="shared" si="59"/>
        <v>-0.57499999999999996</v>
      </c>
      <c r="F54" s="642">
        <f t="shared" si="59"/>
        <v>6.3E-2</v>
      </c>
      <c r="G54" s="474">
        <f t="shared" si="59"/>
        <v>-1.335</v>
      </c>
      <c r="H54" s="474">
        <f t="shared" si="59"/>
        <v>0.61299999999999999</v>
      </c>
      <c r="I54" s="474">
        <f t="shared" si="59"/>
        <v>-0.51300000000000001</v>
      </c>
      <c r="J54" s="474"/>
      <c r="K54" s="474"/>
      <c r="L54" s="474"/>
      <c r="M54" s="474"/>
      <c r="N54" s="474"/>
      <c r="O54" s="474"/>
      <c r="P54" s="474"/>
      <c r="Q54" s="474"/>
    </row>
    <row r="55" spans="1:114">
      <c r="A55" s="503" t="s">
        <v>865</v>
      </c>
      <c r="B55" s="504">
        <f>B52-B53+B54</f>
        <v>-2.3620000000000001</v>
      </c>
      <c r="C55" s="504">
        <f t="shared" ref="C55:I55" si="60">C52-C53+C54</f>
        <v>1.829</v>
      </c>
      <c r="D55" s="504">
        <f t="shared" si="60"/>
        <v>2.6629999999999998</v>
      </c>
      <c r="E55" s="504">
        <f t="shared" si="60"/>
        <v>1.0810000000000002</v>
      </c>
      <c r="F55" s="504">
        <f t="shared" si="60"/>
        <v>1.552</v>
      </c>
      <c r="G55" s="504">
        <f t="shared" si="60"/>
        <v>5.1000000000000156E-2</v>
      </c>
      <c r="H55" s="504">
        <f t="shared" si="60"/>
        <v>1.0910000000000002</v>
      </c>
      <c r="I55" s="504">
        <f t="shared" si="60"/>
        <v>0.39700000000000013</v>
      </c>
      <c r="J55" s="504"/>
      <c r="K55" s="504"/>
      <c r="L55" s="504"/>
      <c r="M55" s="504"/>
      <c r="N55" s="504"/>
      <c r="O55" s="504"/>
      <c r="P55" s="504"/>
      <c r="Q55" s="504"/>
    </row>
    <row r="56" spans="1:114">
      <c r="A56" s="327" t="s">
        <v>866</v>
      </c>
      <c r="B56" s="474">
        <f>CFS!C31</f>
        <v>19.797999999999998</v>
      </c>
      <c r="C56" s="474">
        <f>CFS!D31</f>
        <v>0.48699999999999999</v>
      </c>
      <c r="D56" s="642">
        <f>CFS!E31</f>
        <v>0.69299999999999995</v>
      </c>
      <c r="E56" s="642">
        <f>CFS!F31</f>
        <v>1.196</v>
      </c>
      <c r="F56" s="642">
        <f>CFS!G31</f>
        <v>-1.2589999999999999</v>
      </c>
      <c r="G56" s="642">
        <f>CFS!H31</f>
        <v>-1.52</v>
      </c>
      <c r="H56" s="642">
        <f>CFS!I31</f>
        <v>-1.9079999999999999</v>
      </c>
      <c r="I56" s="474">
        <f>CFS!J31</f>
        <v>-1.1930000000000001</v>
      </c>
      <c r="J56" s="474"/>
      <c r="K56" s="474"/>
      <c r="L56" s="474"/>
      <c r="M56" s="474"/>
      <c r="N56" s="474"/>
      <c r="O56" s="474"/>
      <c r="P56" s="474"/>
      <c r="Q56" s="474"/>
    </row>
    <row r="57" spans="1:114">
      <c r="A57" s="503" t="s">
        <v>867</v>
      </c>
      <c r="B57" s="505">
        <f>B55-B56</f>
        <v>-22.159999999999997</v>
      </c>
      <c r="C57" s="505">
        <f t="shared" ref="C57:I57" si="61">C55-C56</f>
        <v>1.3420000000000001</v>
      </c>
      <c r="D57" s="505">
        <f t="shared" si="61"/>
        <v>1.9699999999999998</v>
      </c>
      <c r="E57" s="505">
        <f t="shared" si="61"/>
        <v>-0.11499999999999977</v>
      </c>
      <c r="F57" s="505">
        <f t="shared" si="61"/>
        <v>2.8109999999999999</v>
      </c>
      <c r="G57" s="505">
        <f t="shared" si="61"/>
        <v>1.5710000000000002</v>
      </c>
      <c r="H57" s="505">
        <f t="shared" si="61"/>
        <v>2.9990000000000001</v>
      </c>
      <c r="I57" s="505">
        <f t="shared" si="61"/>
        <v>1.5900000000000003</v>
      </c>
      <c r="J57" s="505"/>
      <c r="K57" s="505"/>
      <c r="L57" s="505"/>
      <c r="M57" s="505"/>
      <c r="N57" s="505"/>
      <c r="O57" s="505"/>
      <c r="P57" s="505"/>
      <c r="Q57" s="505"/>
    </row>
    <row r="58" spans="1:114">
      <c r="A58" s="380"/>
      <c r="B58" s="637"/>
      <c r="C58" s="637"/>
      <c r="D58" s="639"/>
      <c r="E58" s="639"/>
      <c r="F58" s="639"/>
      <c r="G58" s="639"/>
      <c r="H58" s="639"/>
      <c r="I58" s="639"/>
      <c r="J58" s="640"/>
      <c r="K58" s="640"/>
      <c r="L58" s="640"/>
      <c r="M58" s="640"/>
      <c r="N58" s="640"/>
      <c r="O58" s="640"/>
      <c r="P58" s="640"/>
      <c r="Q58" s="640"/>
      <c r="R58" s="326"/>
      <c r="S58" s="326"/>
      <c r="T58" s="326"/>
      <c r="U58" s="326"/>
      <c r="V58" s="326"/>
      <c r="W58" s="326"/>
      <c r="X58" s="326"/>
      <c r="Y58" s="326"/>
      <c r="Z58" s="326"/>
      <c r="AA58" s="326"/>
      <c r="AB58" s="326"/>
      <c r="AC58" s="326"/>
      <c r="AD58" s="326"/>
      <c r="AE58" s="326"/>
      <c r="AF58" s="326"/>
      <c r="AG58" s="326"/>
      <c r="AH58" s="326"/>
      <c r="AI58" s="326"/>
      <c r="AJ58" s="326"/>
      <c r="AK58" s="326"/>
      <c r="AL58" s="326"/>
      <c r="AM58" s="326"/>
      <c r="AN58" s="326"/>
      <c r="AO58" s="326"/>
      <c r="AP58" s="326"/>
      <c r="AQ58" s="326"/>
      <c r="AR58" s="326"/>
      <c r="AS58" s="326"/>
      <c r="AT58" s="326"/>
      <c r="AU58" s="326"/>
      <c r="AV58" s="326"/>
      <c r="AW58" s="326"/>
      <c r="AX58" s="326"/>
      <c r="AY58" s="326"/>
      <c r="AZ58" s="326"/>
      <c r="BA58" s="326"/>
      <c r="BB58" s="326"/>
      <c r="BC58" s="326"/>
      <c r="BD58" s="326"/>
      <c r="BE58" s="326"/>
      <c r="BF58" s="326"/>
      <c r="BG58" s="326"/>
      <c r="BH58" s="326"/>
      <c r="BI58" s="326"/>
      <c r="BJ58" s="326"/>
      <c r="BK58" s="326"/>
      <c r="BL58" s="326"/>
      <c r="BM58" s="326"/>
      <c r="BN58" s="326"/>
      <c r="BO58" s="326"/>
      <c r="BP58" s="326"/>
      <c r="BQ58" s="326"/>
      <c r="BR58" s="326"/>
      <c r="BS58" s="326"/>
      <c r="BT58" s="326"/>
      <c r="BU58" s="326"/>
      <c r="BV58" s="326"/>
      <c r="BW58" s="326"/>
      <c r="BX58" s="326"/>
      <c r="BY58" s="326"/>
      <c r="BZ58" s="326"/>
      <c r="CA58" s="326"/>
      <c r="CB58" s="326"/>
      <c r="CC58" s="326"/>
      <c r="CD58" s="326"/>
      <c r="CE58" s="326"/>
      <c r="CF58" s="326"/>
      <c r="CG58" s="326"/>
      <c r="CH58" s="326"/>
      <c r="CI58" s="326"/>
      <c r="CJ58" s="326"/>
      <c r="CK58" s="326"/>
      <c r="CL58" s="326"/>
      <c r="CM58" s="326"/>
      <c r="CN58" s="326"/>
      <c r="CO58" s="326"/>
      <c r="CP58" s="326"/>
      <c r="CQ58" s="326"/>
      <c r="CR58" s="326"/>
      <c r="CS58" s="326"/>
      <c r="CT58" s="326"/>
      <c r="CU58" s="326"/>
      <c r="CV58" s="326"/>
      <c r="CW58" s="326"/>
      <c r="CX58" s="326"/>
      <c r="CY58" s="326"/>
      <c r="CZ58" s="326"/>
    </row>
    <row r="59" spans="1:114">
      <c r="A59" s="327" t="s">
        <v>425</v>
      </c>
      <c r="B59" s="474">
        <f t="shared" ref="B59:I59" si="62">B5</f>
        <v>-12.385</v>
      </c>
      <c r="C59" s="499">
        <f t="shared" si="62"/>
        <v>4.7670000000000003</v>
      </c>
      <c r="D59" s="499">
        <f t="shared" si="62"/>
        <v>3.9350000000000001</v>
      </c>
      <c r="E59" s="499">
        <f t="shared" si="62"/>
        <v>3.577</v>
      </c>
      <c r="F59" s="499">
        <f t="shared" si="62"/>
        <v>4.3730000000000002</v>
      </c>
      <c r="G59" s="499">
        <f t="shared" si="62"/>
        <v>4.5259999999999998</v>
      </c>
      <c r="H59" s="499">
        <f t="shared" si="62"/>
        <v>0.65900000000000003</v>
      </c>
      <c r="I59" s="499">
        <f t="shared" si="62"/>
        <v>10.54</v>
      </c>
      <c r="J59" s="499"/>
      <c r="K59" s="499"/>
      <c r="L59" s="499"/>
      <c r="M59" s="499"/>
      <c r="N59" s="499"/>
      <c r="O59" s="499"/>
      <c r="P59" s="499"/>
      <c r="Q59" s="499"/>
      <c r="R59" s="326"/>
      <c r="S59" s="326"/>
      <c r="T59" s="326"/>
      <c r="U59" s="326"/>
      <c r="V59" s="326"/>
      <c r="W59" s="326"/>
      <c r="X59" s="326"/>
      <c r="Y59" s="326"/>
      <c r="Z59" s="326"/>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s="326"/>
      <c r="AY59" s="326"/>
      <c r="AZ59" s="326"/>
      <c r="BA59" s="326"/>
      <c r="BB59" s="326"/>
      <c r="BC59" s="326"/>
      <c r="BD59" s="326"/>
      <c r="BE59" s="326"/>
      <c r="BF59" s="326"/>
      <c r="BG59" s="326"/>
      <c r="BH59" s="326"/>
      <c r="BI59" s="326"/>
      <c r="BJ59" s="326"/>
      <c r="BK59" s="326"/>
      <c r="BL59" s="326"/>
      <c r="BM59" s="326"/>
      <c r="BN59" s="326"/>
      <c r="BO59" s="326"/>
      <c r="BP59" s="326"/>
      <c r="BQ59" s="326"/>
      <c r="BR59" s="326"/>
      <c r="BS59" s="326"/>
      <c r="BT59" s="326"/>
      <c r="BU59" s="326"/>
      <c r="BV59" s="326"/>
      <c r="BW59" s="326"/>
      <c r="BX59" s="326"/>
      <c r="BY59" s="326"/>
      <c r="BZ59" s="326"/>
      <c r="CA59" s="326"/>
      <c r="CB59" s="326"/>
      <c r="CC59" s="326"/>
      <c r="CD59" s="326"/>
      <c r="CE59" s="326"/>
      <c r="CF59" s="326"/>
      <c r="CG59" s="326"/>
      <c r="CH59" s="326"/>
      <c r="CI59" s="326"/>
      <c r="CJ59" s="326"/>
      <c r="CK59" s="326"/>
      <c r="CL59" s="326"/>
      <c r="CM59" s="326"/>
      <c r="CN59" s="326"/>
      <c r="CO59" s="326"/>
      <c r="CP59" s="326"/>
      <c r="CQ59" s="326"/>
      <c r="CR59" s="326"/>
      <c r="CS59" s="326"/>
      <c r="CT59" s="326"/>
      <c r="CU59" s="326"/>
      <c r="CV59" s="326"/>
      <c r="CW59" s="326"/>
      <c r="CX59" s="326"/>
      <c r="CY59" s="326"/>
    </row>
    <row r="60" spans="1:114">
      <c r="A60" s="491" t="s">
        <v>873</v>
      </c>
      <c r="B60" s="474">
        <f>AVERAGE(BS!B15:C15)</f>
        <v>8.6910000000000007</v>
      </c>
      <c r="C60" s="474">
        <f>AVERAGE(BS!C15:D15)</f>
        <v>2.4544999999999999</v>
      </c>
      <c r="D60" s="474">
        <f>AVERAGE(BS!D15:E15)</f>
        <v>2.2269999999999999</v>
      </c>
      <c r="E60" s="474">
        <f>AVERAGE(BS!E15:F15)</f>
        <v>3.1404999999999998</v>
      </c>
      <c r="F60" s="474">
        <f>AVERAGE(BS!F15:G15)</f>
        <v>4.5330000000000004</v>
      </c>
      <c r="G60" s="474">
        <f>AVERAGE(BS!G15:H15)</f>
        <v>4.9035000000000002</v>
      </c>
      <c r="H60" s="474">
        <f>AVERAGE(BS!H15:I15)</f>
        <v>4.1539999999999999</v>
      </c>
      <c r="I60" s="474">
        <f>AVERAGE(BS!I15:J15)</f>
        <v>3.8369999999999997</v>
      </c>
      <c r="J60" s="499"/>
      <c r="K60" s="499"/>
      <c r="L60" s="499"/>
      <c r="M60" s="499"/>
      <c r="N60" s="635"/>
      <c r="O60" s="635"/>
      <c r="P60" s="499"/>
      <c r="Q60" s="499"/>
      <c r="R60" s="326"/>
      <c r="S60" s="326"/>
      <c r="T60" s="326"/>
      <c r="U60" s="326"/>
      <c r="V60" s="326"/>
      <c r="W60" s="326"/>
      <c r="X60" s="326"/>
      <c r="Y60" s="326"/>
      <c r="Z60" s="326"/>
      <c r="AA60" s="326"/>
      <c r="AB60" s="326"/>
      <c r="AC60" s="326"/>
      <c r="AD60" s="326"/>
      <c r="AE60" s="326"/>
      <c r="AF60" s="326"/>
      <c r="AG60" s="326"/>
      <c r="AH60" s="326"/>
      <c r="AI60" s="326"/>
      <c r="AJ60" s="326"/>
      <c r="AK60" s="326"/>
      <c r="AL60" s="326"/>
      <c r="AM60" s="326"/>
      <c r="AN60" s="326"/>
      <c r="AO60" s="326"/>
      <c r="AP60" s="326"/>
      <c r="AQ60" s="326"/>
      <c r="AR60" s="326"/>
      <c r="AS60" s="326"/>
      <c r="AT60" s="326"/>
      <c r="AU60" s="326"/>
      <c r="AV60" s="326"/>
      <c r="AW60" s="326"/>
      <c r="AX60" s="326"/>
      <c r="AY60" s="326"/>
      <c r="AZ60" s="326"/>
      <c r="BA60" s="326"/>
      <c r="BB60" s="326"/>
      <c r="BC60" s="326"/>
      <c r="BD60" s="326"/>
      <c r="BE60" s="326"/>
      <c r="BF60" s="326"/>
      <c r="BG60" s="326"/>
      <c r="BH60" s="326"/>
      <c r="BI60" s="326"/>
      <c r="BJ60" s="326"/>
      <c r="BK60" s="326"/>
      <c r="BL60" s="326"/>
      <c r="BM60" s="326"/>
      <c r="BN60" s="326"/>
      <c r="BO60" s="326"/>
      <c r="BP60" s="326"/>
      <c r="BQ60" s="326"/>
      <c r="BR60" s="326"/>
      <c r="BS60" s="326"/>
      <c r="BT60" s="326"/>
      <c r="BU60" s="326"/>
      <c r="BV60" s="326"/>
      <c r="BW60" s="326"/>
      <c r="BX60" s="326"/>
      <c r="BY60" s="326"/>
      <c r="BZ60" s="326"/>
      <c r="CA60" s="326"/>
      <c r="CB60" s="326"/>
      <c r="CC60" s="326"/>
      <c r="CD60" s="326"/>
      <c r="CE60" s="326"/>
      <c r="CF60" s="326"/>
      <c r="CG60" s="326"/>
      <c r="CH60" s="326"/>
      <c r="CI60" s="326"/>
      <c r="CJ60" s="326"/>
      <c r="CK60" s="326"/>
      <c r="CL60" s="326"/>
      <c r="CM60" s="326"/>
      <c r="CN60" s="326"/>
      <c r="CO60" s="326"/>
      <c r="CP60" s="326"/>
      <c r="CQ60" s="326"/>
      <c r="CR60" s="326"/>
      <c r="CS60" s="326"/>
      <c r="CT60" s="326"/>
      <c r="CU60" s="326"/>
      <c r="CV60" s="326"/>
      <c r="CW60" s="326"/>
      <c r="CX60" s="326"/>
      <c r="CY60" s="326"/>
    </row>
    <row r="61" spans="1:114">
      <c r="A61" s="327" t="s">
        <v>868</v>
      </c>
      <c r="B61" s="641">
        <f t="array" ref="B61:I61">_xll.FDSR("TRYUS3M-FDS","FG_YIELD("&amp;B45&amp;","&amp;I45&amp;",AY,,""YTM"")")/100</f>
        <v>7.7499999999999997E-4</v>
      </c>
      <c r="C61" s="641">
        <v>1.5488E-2</v>
      </c>
      <c r="D61" s="641">
        <v>2.4483999999999999E-2</v>
      </c>
      <c r="E61" s="641">
        <v>1.3861000000000002E-2</v>
      </c>
      <c r="F61" s="641">
        <v>4.5929999999999999E-3</v>
      </c>
      <c r="G61" s="641">
        <v>1.8559999999999998E-3</v>
      </c>
      <c r="H61" s="641">
        <v>2.2800000000000001E-4</v>
      </c>
      <c r="I61" s="641">
        <v>5.8299999999999997E-4</v>
      </c>
      <c r="J61" s="633"/>
      <c r="K61" s="633"/>
      <c r="L61" s="473"/>
      <c r="M61" s="633"/>
      <c r="N61" s="633"/>
      <c r="O61" s="636"/>
      <c r="P61" s="636"/>
      <c r="Q61" s="636"/>
      <c r="R61" s="635"/>
      <c r="S61" s="635"/>
      <c r="T61" s="326"/>
      <c r="U61" s="326"/>
      <c r="V61" s="326"/>
      <c r="W61" s="326"/>
      <c r="X61" s="326"/>
      <c r="Y61" s="326"/>
      <c r="Z61" s="326"/>
      <c r="AA61" s="326"/>
      <c r="AB61" s="326"/>
      <c r="AC61" s="326"/>
      <c r="AD61" s="326"/>
      <c r="AE61" s="326"/>
      <c r="AF61" s="326"/>
      <c r="AG61" s="326"/>
      <c r="AH61" s="326"/>
      <c r="AI61" s="326"/>
      <c r="AJ61" s="326"/>
      <c r="AK61" s="326"/>
      <c r="AL61" s="326"/>
      <c r="AM61" s="326"/>
      <c r="AN61" s="326"/>
      <c r="AO61" s="326"/>
      <c r="AP61" s="326"/>
      <c r="AQ61" s="326"/>
      <c r="AR61" s="326"/>
      <c r="AS61" s="326"/>
      <c r="AT61" s="326"/>
      <c r="AU61" s="326"/>
      <c r="AV61" s="326"/>
      <c r="AW61" s="326"/>
      <c r="AX61" s="326"/>
      <c r="AY61" s="326"/>
      <c r="AZ61" s="326"/>
      <c r="BA61" s="326"/>
      <c r="BB61" s="326"/>
      <c r="BC61" s="326"/>
      <c r="BD61" s="326"/>
      <c r="BE61" s="326"/>
      <c r="BF61" s="326"/>
      <c r="BG61" s="326"/>
      <c r="BH61" s="326"/>
      <c r="BI61" s="326"/>
      <c r="BJ61" s="326"/>
      <c r="BK61" s="326"/>
      <c r="BL61" s="326"/>
      <c r="BM61" s="326"/>
      <c r="BN61" s="326"/>
      <c r="BO61" s="326"/>
      <c r="BP61" s="326"/>
      <c r="BQ61" s="326"/>
      <c r="BR61" s="326"/>
      <c r="BS61" s="326"/>
      <c r="BT61" s="326"/>
      <c r="BU61" s="326"/>
      <c r="BV61" s="326"/>
      <c r="BW61" s="326"/>
      <c r="BX61" s="326"/>
      <c r="BY61" s="326"/>
      <c r="BZ61" s="326"/>
      <c r="CA61" s="326"/>
      <c r="CB61" s="326"/>
      <c r="CC61" s="326"/>
      <c r="CD61" s="326"/>
      <c r="CE61" s="326"/>
      <c r="CF61" s="326"/>
      <c r="CG61" s="326"/>
      <c r="CH61" s="326"/>
      <c r="CI61" s="326"/>
      <c r="CJ61" s="326"/>
      <c r="CK61" s="326"/>
      <c r="CL61" s="326"/>
      <c r="CM61" s="326"/>
      <c r="CN61" s="326"/>
      <c r="CO61" s="326"/>
      <c r="CP61" s="326"/>
      <c r="CQ61" s="326"/>
      <c r="CR61" s="326"/>
      <c r="CS61" s="326"/>
      <c r="CT61" s="326"/>
      <c r="CU61" s="326"/>
      <c r="CV61" s="326"/>
      <c r="CW61" s="326"/>
      <c r="CX61" s="326"/>
      <c r="CY61" s="326"/>
      <c r="CZ61" s="326"/>
      <c r="DA61" s="326"/>
      <c r="DB61" s="326"/>
      <c r="DC61" s="326"/>
      <c r="DD61" s="326"/>
      <c r="DE61" s="326"/>
      <c r="DF61" s="326"/>
      <c r="DG61" s="326"/>
      <c r="DH61" s="326"/>
      <c r="DI61" s="326"/>
      <c r="DJ61" s="326"/>
    </row>
    <row r="62" spans="1:114">
      <c r="A62" s="327" t="str">
        <f>A41</f>
        <v>Tax rate</v>
      </c>
      <c r="B62" s="491">
        <f t="shared" ref="B62:I62" si="63">B17</f>
        <v>0.20542759992301277</v>
      </c>
      <c r="C62" s="491">
        <f t="shared" si="63"/>
        <v>0.2308809293320426</v>
      </c>
      <c r="D62" s="491">
        <f t="shared" si="63"/>
        <v>0.23607066589011844</v>
      </c>
      <c r="E62" s="491">
        <f t="shared" si="63"/>
        <v>0.37256621645325377</v>
      </c>
      <c r="F62" s="491">
        <f t="shared" si="63"/>
        <v>0.34101868595539481</v>
      </c>
      <c r="G62" s="491">
        <f t="shared" si="63"/>
        <v>0.36761212798658655</v>
      </c>
      <c r="H62" s="491">
        <f t="shared" si="63"/>
        <v>0.38526119402985071</v>
      </c>
      <c r="I62" s="491">
        <f t="shared" si="63"/>
        <v>-3.1709537000395733</v>
      </c>
      <c r="J62" s="633"/>
      <c r="K62" s="633"/>
      <c r="L62" s="473"/>
      <c r="M62" s="633"/>
      <c r="N62" s="636"/>
      <c r="O62" s="499"/>
      <c r="P62" s="499"/>
      <c r="Q62" s="499"/>
      <c r="R62" s="499"/>
      <c r="S62" s="499"/>
      <c r="T62" s="635"/>
      <c r="U62" s="635"/>
      <c r="V62" s="326"/>
      <c r="W62" s="326"/>
      <c r="X62" s="326"/>
      <c r="Y62" s="326"/>
      <c r="Z62" s="326"/>
      <c r="AA62" s="326"/>
      <c r="AB62" s="326"/>
      <c r="AC62" s="326"/>
      <c r="AD62" s="326"/>
      <c r="AE62" s="326"/>
      <c r="AF62" s="326"/>
      <c r="AG62" s="326"/>
      <c r="AH62" s="326"/>
      <c r="AI62" s="326"/>
      <c r="AJ62" s="326"/>
      <c r="AK62" s="326"/>
      <c r="AL62" s="326"/>
      <c r="AM62" s="326"/>
      <c r="AN62" s="326"/>
      <c r="AO62" s="326"/>
      <c r="AP62" s="326"/>
      <c r="AQ62" s="326"/>
      <c r="AR62" s="326"/>
      <c r="AS62" s="326"/>
      <c r="AT62" s="326"/>
      <c r="AU62" s="326"/>
      <c r="AV62" s="326"/>
      <c r="AW62" s="326"/>
      <c r="AX62" s="326"/>
      <c r="AY62" s="326"/>
      <c r="AZ62" s="326"/>
      <c r="BA62" s="326"/>
      <c r="BB62" s="326"/>
      <c r="BC62" s="326"/>
      <c r="BD62" s="326"/>
      <c r="BE62" s="326"/>
      <c r="BF62" s="326"/>
      <c r="BG62" s="326"/>
      <c r="BH62" s="326"/>
      <c r="BI62" s="326"/>
      <c r="BJ62" s="326"/>
      <c r="BK62" s="326"/>
      <c r="BL62" s="326"/>
      <c r="BM62" s="326"/>
      <c r="BN62" s="326"/>
      <c r="BO62" s="326"/>
      <c r="BP62" s="326"/>
      <c r="BQ62" s="326"/>
      <c r="BR62" s="326"/>
      <c r="BS62" s="326"/>
      <c r="BT62" s="326"/>
      <c r="BU62" s="326"/>
      <c r="BV62" s="326"/>
      <c r="BW62" s="326"/>
      <c r="BX62" s="326"/>
      <c r="BY62" s="326"/>
      <c r="BZ62" s="326"/>
      <c r="CA62" s="326"/>
      <c r="CB62" s="326"/>
      <c r="CC62" s="326"/>
      <c r="CD62" s="326"/>
      <c r="CE62" s="326"/>
      <c r="CF62" s="326"/>
      <c r="CG62" s="326"/>
      <c r="CH62" s="326"/>
      <c r="CI62" s="326"/>
      <c r="CJ62" s="326"/>
      <c r="CK62" s="326"/>
      <c r="CL62" s="326"/>
      <c r="CM62" s="326"/>
      <c r="CN62" s="326"/>
      <c r="CO62" s="326"/>
      <c r="CP62" s="326"/>
      <c r="CQ62" s="326"/>
      <c r="CR62" s="326"/>
      <c r="CS62" s="326"/>
      <c r="CT62" s="326"/>
      <c r="CU62" s="326"/>
      <c r="CV62" s="326"/>
      <c r="CW62" s="326"/>
      <c r="CX62" s="326"/>
      <c r="CY62" s="326"/>
      <c r="CZ62" s="326"/>
      <c r="DA62" s="326"/>
      <c r="DB62" s="326"/>
      <c r="DC62" s="326"/>
      <c r="DD62" s="326"/>
      <c r="DE62" s="326"/>
      <c r="DF62" s="326"/>
      <c r="DG62" s="326"/>
      <c r="DH62" s="326"/>
      <c r="DI62" s="326"/>
    </row>
    <row r="63" spans="1:114">
      <c r="A63" s="327" t="s">
        <v>869</v>
      </c>
      <c r="B63" s="499">
        <f>B60*B61*(1-B62)</f>
        <v>5.3518622650285492E-3</v>
      </c>
      <c r="C63" s="499">
        <f t="shared" ref="C63:I63" si="64">C60*C61*(1-C62)</f>
        <v>2.9238289130687316E-2</v>
      </c>
      <c r="D63" s="499">
        <f t="shared" si="64"/>
        <v>4.1653910033003297E-2</v>
      </c>
      <c r="E63" s="499">
        <f t="shared" si="64"/>
        <v>2.7312487805385026E-2</v>
      </c>
      <c r="F63" s="499">
        <f t="shared" si="64"/>
        <v>1.372003642811935E-2</v>
      </c>
      <c r="G63" s="499">
        <f t="shared" si="64"/>
        <v>5.7552962548553859E-3</v>
      </c>
      <c r="H63" s="499">
        <f t="shared" si="64"/>
        <v>5.8222650000000009E-4</v>
      </c>
      <c r="I63" s="499">
        <f t="shared" si="64"/>
        <v>9.3303024693312253E-3</v>
      </c>
      <c r="J63" s="499"/>
      <c r="K63" s="499"/>
      <c r="L63" s="499"/>
      <c r="M63" s="499"/>
      <c r="N63" s="499"/>
      <c r="T63" s="326"/>
      <c r="U63" s="326"/>
      <c r="V63" s="326"/>
      <c r="W63" s="326"/>
      <c r="X63" s="326"/>
      <c r="Y63" s="326"/>
      <c r="Z63" s="326"/>
      <c r="AA63" s="326"/>
      <c r="AB63" s="326"/>
      <c r="AC63" s="326"/>
      <c r="AD63" s="326"/>
      <c r="AE63" s="326"/>
      <c r="AF63" s="326"/>
      <c r="AG63" s="326"/>
      <c r="AH63" s="326"/>
      <c r="AI63" s="326"/>
      <c r="AJ63" s="326"/>
      <c r="AK63" s="326"/>
      <c r="AL63" s="326"/>
      <c r="AM63" s="326"/>
      <c r="AN63" s="326"/>
      <c r="AO63" s="326"/>
      <c r="AP63" s="326"/>
      <c r="AQ63" s="326"/>
      <c r="AR63" s="326"/>
      <c r="AS63" s="326"/>
      <c r="AT63" s="326"/>
      <c r="AU63" s="326"/>
      <c r="AV63" s="326"/>
      <c r="AW63" s="326"/>
      <c r="AX63" s="326"/>
      <c r="AY63" s="326"/>
      <c r="AZ63" s="326"/>
      <c r="BA63" s="326"/>
      <c r="BB63" s="326"/>
      <c r="BC63" s="326"/>
      <c r="BD63" s="326"/>
      <c r="BE63" s="326"/>
      <c r="BF63" s="326"/>
      <c r="BG63" s="326"/>
      <c r="BH63" s="326"/>
      <c r="BI63" s="326"/>
      <c r="BJ63" s="326"/>
      <c r="BK63" s="326"/>
      <c r="BL63" s="326"/>
      <c r="BM63" s="326"/>
      <c r="BN63" s="326"/>
      <c r="BO63" s="326"/>
      <c r="BP63" s="326"/>
      <c r="BQ63" s="326"/>
      <c r="BR63" s="326"/>
      <c r="BS63" s="326"/>
      <c r="BT63" s="326"/>
      <c r="BU63" s="326"/>
      <c r="BV63" s="326"/>
      <c r="BW63" s="326"/>
      <c r="BX63" s="326"/>
      <c r="BY63" s="326"/>
      <c r="BZ63" s="326"/>
      <c r="CA63" s="326"/>
      <c r="CB63" s="326"/>
      <c r="CC63" s="326"/>
      <c r="CD63" s="326"/>
      <c r="CE63" s="326"/>
      <c r="CF63" s="326"/>
      <c r="CG63" s="326"/>
      <c r="CH63" s="326"/>
      <c r="CI63" s="326"/>
      <c r="CJ63" s="326"/>
      <c r="CK63" s="326"/>
      <c r="CL63" s="326"/>
      <c r="CM63" s="326"/>
      <c r="CN63" s="326"/>
      <c r="CO63" s="326"/>
      <c r="CP63" s="326"/>
      <c r="CQ63" s="326"/>
      <c r="CR63" s="326"/>
      <c r="CS63" s="326"/>
      <c r="CT63" s="326"/>
      <c r="CU63" s="326"/>
      <c r="CV63" s="326"/>
      <c r="CW63" s="326"/>
      <c r="CX63" s="326"/>
      <c r="CY63" s="326"/>
      <c r="CZ63" s="326"/>
      <c r="DA63" s="326"/>
      <c r="DB63" s="326"/>
      <c r="DC63" s="326"/>
      <c r="DD63" s="326"/>
      <c r="DE63" s="326"/>
      <c r="DF63" s="326"/>
      <c r="DG63" s="326"/>
      <c r="DH63" s="326"/>
      <c r="DI63" s="326"/>
    </row>
    <row r="64" spans="1:114">
      <c r="A64" s="503" t="s">
        <v>870</v>
      </c>
      <c r="B64" s="505">
        <f>B59-B63</f>
        <v>-12.390351862265028</v>
      </c>
      <c r="C64" s="505">
        <f t="shared" ref="C64:I64" si="65">C59-C63</f>
        <v>4.7377617108693126</v>
      </c>
      <c r="D64" s="505">
        <f t="shared" si="65"/>
        <v>3.8933460899669967</v>
      </c>
      <c r="E64" s="505">
        <f t="shared" si="65"/>
        <v>3.5496875121946148</v>
      </c>
      <c r="F64" s="505">
        <f t="shared" si="65"/>
        <v>4.3592799635718809</v>
      </c>
      <c r="G64" s="505">
        <f t="shared" si="65"/>
        <v>4.5202447037451448</v>
      </c>
      <c r="H64" s="505">
        <f t="shared" si="65"/>
        <v>0.65841777350000008</v>
      </c>
      <c r="I64" s="505">
        <f t="shared" si="65"/>
        <v>10.530669697530668</v>
      </c>
      <c r="J64" s="505"/>
      <c r="K64" s="505"/>
      <c r="L64" s="505"/>
      <c r="M64" s="505"/>
      <c r="N64" s="505"/>
      <c r="O64" s="505"/>
      <c r="P64" s="505"/>
      <c r="Q64" s="505"/>
    </row>
    <row r="65" spans="1:113">
      <c r="A65" s="327"/>
      <c r="B65" s="499"/>
      <c r="C65" s="499"/>
      <c r="D65" s="499"/>
      <c r="E65" s="499"/>
      <c r="F65" s="499"/>
      <c r="G65" s="499"/>
      <c r="H65" s="499"/>
      <c r="I65" s="499"/>
      <c r="J65" s="499"/>
      <c r="K65" s="499"/>
      <c r="L65" s="499"/>
      <c r="M65" s="499"/>
      <c r="N65" s="499"/>
      <c r="T65" s="326"/>
      <c r="U65" s="326"/>
      <c r="V65" s="326"/>
      <c r="W65" s="326"/>
      <c r="X65" s="326"/>
      <c r="Y65" s="326"/>
      <c r="Z65" s="326"/>
      <c r="AA65" s="326"/>
      <c r="AB65" s="326"/>
      <c r="AC65" s="326"/>
      <c r="AD65" s="326"/>
      <c r="AE65" s="326"/>
      <c r="AF65" s="326"/>
      <c r="AG65" s="326"/>
      <c r="AH65" s="326"/>
      <c r="AI65" s="326"/>
      <c r="AJ65" s="326"/>
      <c r="AK65" s="326"/>
      <c r="AL65" s="326"/>
      <c r="AM65" s="326"/>
      <c r="AN65" s="326"/>
      <c r="AO65" s="326"/>
      <c r="AP65" s="326"/>
      <c r="AQ65" s="326"/>
      <c r="AR65" s="326"/>
      <c r="AS65" s="326"/>
      <c r="AT65" s="326"/>
      <c r="AU65" s="326"/>
      <c r="AV65" s="326"/>
      <c r="AW65" s="326"/>
      <c r="AX65" s="326"/>
      <c r="AY65" s="326"/>
      <c r="AZ65" s="326"/>
      <c r="BA65" s="326"/>
      <c r="BB65" s="326"/>
      <c r="BC65" s="326"/>
      <c r="BD65" s="326"/>
      <c r="BE65" s="326"/>
      <c r="BF65" s="326"/>
      <c r="BG65" s="326"/>
      <c r="BH65" s="326"/>
      <c r="BI65" s="326"/>
      <c r="BJ65" s="326"/>
      <c r="BK65" s="326"/>
      <c r="BL65" s="326"/>
      <c r="BM65" s="326"/>
      <c r="BN65" s="326"/>
      <c r="BO65" s="326"/>
      <c r="BP65" s="326"/>
      <c r="BQ65" s="326"/>
      <c r="BR65" s="326"/>
      <c r="BS65" s="326"/>
      <c r="BT65" s="326"/>
      <c r="BU65" s="326"/>
      <c r="BV65" s="326"/>
      <c r="BW65" s="326"/>
      <c r="BX65" s="326"/>
      <c r="BY65" s="326"/>
      <c r="BZ65" s="326"/>
      <c r="CA65" s="326"/>
      <c r="CB65" s="326"/>
      <c r="CC65" s="326"/>
      <c r="CD65" s="326"/>
      <c r="CE65" s="326"/>
      <c r="CF65" s="326"/>
      <c r="CG65" s="326"/>
      <c r="CH65" s="326"/>
      <c r="CI65" s="326"/>
      <c r="CJ65" s="326"/>
      <c r="CK65" s="326"/>
      <c r="CL65" s="326"/>
      <c r="CM65" s="326"/>
      <c r="CN65" s="326"/>
      <c r="CO65" s="326"/>
      <c r="CP65" s="326"/>
      <c r="CQ65" s="326"/>
      <c r="CR65" s="326"/>
      <c r="CS65" s="326"/>
      <c r="CT65" s="326"/>
      <c r="CU65" s="326"/>
      <c r="CV65" s="326"/>
      <c r="CW65" s="326"/>
      <c r="CX65" s="326"/>
      <c r="CY65" s="326"/>
      <c r="CZ65" s="326"/>
      <c r="DA65" s="326"/>
      <c r="DB65" s="326"/>
      <c r="DC65" s="326"/>
      <c r="DD65" s="326"/>
      <c r="DE65" s="326"/>
      <c r="DF65" s="326"/>
      <c r="DG65" s="326"/>
      <c r="DH65" s="326"/>
      <c r="DI65" s="326"/>
    </row>
    <row r="66" spans="1:113">
      <c r="A66" s="380" t="s">
        <v>871</v>
      </c>
      <c r="B66" s="634">
        <f>B57/B64</f>
        <v>1.7884883533847455</v>
      </c>
      <c r="C66" s="643">
        <f t="shared" ref="C66:I66" si="66">C57/C64</f>
        <v>0.28325612006218059</v>
      </c>
      <c r="D66" s="643">
        <f t="shared" si="66"/>
        <v>0.50599149278730038</v>
      </c>
      <c r="E66" s="643">
        <f t="shared" si="66"/>
        <v>-3.2397217953672876E-2</v>
      </c>
      <c r="F66" s="643">
        <f t="shared" si="66"/>
        <v>0.64483126192627915</v>
      </c>
      <c r="G66" s="643">
        <f t="shared" si="66"/>
        <v>0.34754755615296318</v>
      </c>
      <c r="H66" s="643">
        <f>H57/H64</f>
        <v>4.5548588156391858</v>
      </c>
      <c r="I66" s="634">
        <f t="shared" si="66"/>
        <v>0.15098754833919431</v>
      </c>
      <c r="J66" s="506"/>
      <c r="K66" s="506"/>
      <c r="L66" s="506"/>
      <c r="M66" s="634"/>
      <c r="N66" s="638"/>
      <c r="O66" s="634"/>
      <c r="P66" s="634"/>
      <c r="Q66" s="634"/>
      <c r="R66" s="326"/>
      <c r="S66" s="326"/>
      <c r="T66" s="326"/>
      <c r="U66" s="326"/>
    </row>
    <row r="67" spans="1:113">
      <c r="A67" s="491" t="s">
        <v>872</v>
      </c>
      <c r="B67" s="491">
        <f>AVERAGE(BS!B40:C40)</f>
        <v>8.4459999999999997</v>
      </c>
      <c r="C67" s="491">
        <f>AVERAGE(BS!C40:D40)</f>
        <v>14.522500000000001</v>
      </c>
      <c r="D67" s="491">
        <f>AVERAGE(BS!D40:E40)</f>
        <v>13.798500000000001</v>
      </c>
      <c r="E67" s="491">
        <f>AVERAGE(BS!E40:F40)</f>
        <v>13.098500000000001</v>
      </c>
      <c r="F67" s="491">
        <f>AVERAGE(BS!F40:G40)</f>
        <v>11.5685</v>
      </c>
      <c r="G67" s="491">
        <f>AVERAGE(BS!G40:H40)</f>
        <v>9.8315000000000001</v>
      </c>
      <c r="H67" s="491">
        <f>AVERAGE(BS!H40:I40)</f>
        <v>10.228000000000002</v>
      </c>
      <c r="I67" s="491">
        <f>AVERAGE(BS!I40:J40)</f>
        <v>4.7560000000000002</v>
      </c>
      <c r="J67" s="491"/>
      <c r="K67" s="491"/>
      <c r="L67" s="491"/>
      <c r="M67" s="491"/>
      <c r="N67" s="491"/>
      <c r="O67" s="491"/>
      <c r="P67" s="491"/>
      <c r="Q67" s="491"/>
    </row>
    <row r="68" spans="1:113">
      <c r="A68" s="491" t="s">
        <v>873</v>
      </c>
      <c r="B68" s="491">
        <f>AVERAGE(BS!B15:C15)</f>
        <v>8.6910000000000007</v>
      </c>
      <c r="C68" s="491">
        <f>AVERAGE(BS!C15:D15)</f>
        <v>2.4544999999999999</v>
      </c>
      <c r="D68" s="491">
        <f>AVERAGE(BS!D15:E15)</f>
        <v>2.2269999999999999</v>
      </c>
      <c r="E68" s="491">
        <f>AVERAGE(BS!E15:F15)</f>
        <v>3.1404999999999998</v>
      </c>
      <c r="F68" s="491">
        <f>AVERAGE(BS!F15:G15)</f>
        <v>4.5330000000000004</v>
      </c>
      <c r="G68" s="491">
        <f>AVERAGE(BS!G15:H15)</f>
        <v>4.9035000000000002</v>
      </c>
      <c r="H68" s="491">
        <f>AVERAGE(BS!H15:I15)</f>
        <v>4.1539999999999999</v>
      </c>
      <c r="I68" s="491">
        <f>AVERAGE(BS!I15:J15)</f>
        <v>3.8369999999999997</v>
      </c>
      <c r="J68" s="491"/>
      <c r="K68" s="491"/>
      <c r="L68" s="491"/>
      <c r="M68" s="491"/>
      <c r="N68" s="491"/>
      <c r="O68" s="491"/>
      <c r="P68" s="491"/>
      <c r="Q68" s="491"/>
    </row>
    <row r="69" spans="1:113">
      <c r="A69" s="3" t="s">
        <v>874</v>
      </c>
      <c r="B69" s="327">
        <f>B67-B68</f>
        <v>-0.24500000000000099</v>
      </c>
      <c r="C69" s="327">
        <f>C67-C68</f>
        <v>12.068000000000001</v>
      </c>
      <c r="D69" s="327">
        <f t="shared" ref="D69:I69" si="67">D67-D68</f>
        <v>11.5715</v>
      </c>
      <c r="E69" s="327">
        <f t="shared" si="67"/>
        <v>9.958000000000002</v>
      </c>
      <c r="F69" s="327">
        <f t="shared" si="67"/>
        <v>7.0354999999999999</v>
      </c>
      <c r="G69" s="327">
        <f t="shared" si="67"/>
        <v>4.9279999999999999</v>
      </c>
      <c r="H69" s="327">
        <f t="shared" si="67"/>
        <v>6.0740000000000016</v>
      </c>
      <c r="I69" s="327">
        <f t="shared" si="67"/>
        <v>0.91900000000000048</v>
      </c>
    </row>
    <row r="70" spans="1:113">
      <c r="A70" s="380" t="s">
        <v>875</v>
      </c>
      <c r="B70" s="644">
        <f>B64/B69</f>
        <v>50.572864743938688</v>
      </c>
      <c r="C70" s="644">
        <f>C64/C69</f>
        <v>0.39258880600508056</v>
      </c>
      <c r="D70" s="644">
        <f t="shared" ref="D70:I70" si="68">D64/D69</f>
        <v>0.33645993086177217</v>
      </c>
      <c r="E70" s="644">
        <f t="shared" si="68"/>
        <v>0.35646590803320083</v>
      </c>
      <c r="F70" s="644">
        <f t="shared" si="68"/>
        <v>0.61961196269943586</v>
      </c>
      <c r="G70" s="644">
        <f t="shared" si="68"/>
        <v>0.91725744800023234</v>
      </c>
      <c r="H70" s="644">
        <f t="shared" si="68"/>
        <v>0.10839937001975632</v>
      </c>
      <c r="I70" s="644">
        <f t="shared" si="68"/>
        <v>11.458835361839675</v>
      </c>
      <c r="J70" s="507"/>
      <c r="K70" s="507"/>
      <c r="L70" s="507"/>
      <c r="M70" s="507"/>
      <c r="N70" s="507"/>
      <c r="O70" s="507"/>
      <c r="P70" s="507"/>
      <c r="Q70" s="507"/>
    </row>
    <row r="71" spans="1:113">
      <c r="A71" s="508" t="s">
        <v>876</v>
      </c>
      <c r="B71" s="509">
        <f>B66*B70</f>
        <v>90.448979591836348</v>
      </c>
      <c r="C71" s="509">
        <f t="shared" ref="C71:I71" si="69">C66*C70</f>
        <v>0.11120318196884323</v>
      </c>
      <c r="D71" s="509">
        <f t="shared" si="69"/>
        <v>0.17024586267985997</v>
      </c>
      <c r="E71" s="509">
        <f t="shared" si="69"/>
        <v>-1.1548503715605517E-2</v>
      </c>
      <c r="F71" s="509">
        <f t="shared" si="69"/>
        <v>0.39954516381209582</v>
      </c>
      <c r="G71" s="509">
        <f t="shared" si="69"/>
        <v>0.31879058441558444</v>
      </c>
      <c r="H71" s="509">
        <f t="shared" si="69"/>
        <v>0.49374382614422113</v>
      </c>
      <c r="I71" s="509">
        <f t="shared" si="69"/>
        <v>1.730141458106637</v>
      </c>
      <c r="J71" s="509"/>
      <c r="K71" s="509"/>
      <c r="L71" s="509"/>
      <c r="M71" s="509"/>
      <c r="N71" s="509"/>
      <c r="O71" s="509"/>
      <c r="P71" s="509"/>
      <c r="Q71" s="509"/>
    </row>
    <row r="72" spans="1:113">
      <c r="A72" s="380"/>
      <c r="B72" s="645"/>
      <c r="C72" s="645"/>
      <c r="D72" s="645"/>
      <c r="E72" s="645"/>
      <c r="F72" s="645"/>
      <c r="G72" s="645"/>
      <c r="H72" s="645"/>
      <c r="I72" s="645"/>
      <c r="J72" s="645"/>
      <c r="K72" s="645"/>
      <c r="L72" s="645"/>
      <c r="M72" s="645"/>
      <c r="N72" s="645"/>
      <c r="O72" s="645"/>
      <c r="P72" s="645"/>
      <c r="Q72" s="645"/>
    </row>
    <row r="73" spans="1:113">
      <c r="A73" s="327" t="s">
        <v>865</v>
      </c>
      <c r="B73" s="646">
        <f>B55</f>
        <v>-2.3620000000000001</v>
      </c>
      <c r="C73" s="647">
        <f>C55</f>
        <v>1.829</v>
      </c>
      <c r="D73" s="646">
        <f t="shared" ref="D73:I73" si="70">D55</f>
        <v>2.6629999999999998</v>
      </c>
      <c r="E73" s="646">
        <f t="shared" si="70"/>
        <v>1.0810000000000002</v>
      </c>
      <c r="F73" s="647">
        <f>F55</f>
        <v>1.552</v>
      </c>
      <c r="G73" s="646">
        <f t="shared" si="70"/>
        <v>5.1000000000000156E-2</v>
      </c>
      <c r="H73" s="646">
        <f t="shared" si="70"/>
        <v>1.0910000000000002</v>
      </c>
      <c r="I73" s="646">
        <f t="shared" si="70"/>
        <v>0.39700000000000013</v>
      </c>
      <c r="J73" s="510"/>
      <c r="K73" s="510"/>
      <c r="L73" s="510"/>
      <c r="M73" s="510"/>
      <c r="N73" s="510"/>
      <c r="O73" s="510"/>
      <c r="P73" s="510"/>
      <c r="Q73" s="510"/>
    </row>
    <row r="74" spans="1:113">
      <c r="A74" s="327" t="s">
        <v>793</v>
      </c>
      <c r="B74" s="327">
        <f t="shared" ref="B74:I74" si="71">B25</f>
        <v>-6.579854045037532</v>
      </c>
      <c r="C74" s="327">
        <f t="shared" si="71"/>
        <v>5.1207947725072609</v>
      </c>
      <c r="D74" s="327">
        <f t="shared" si="71"/>
        <v>4.0236158027567468</v>
      </c>
      <c r="E74" s="327">
        <f t="shared" si="71"/>
        <v>3.8806779512366254</v>
      </c>
      <c r="F74" s="327">
        <f t="shared" si="71"/>
        <v>4.7980429475587707</v>
      </c>
      <c r="G74" s="327">
        <f t="shared" si="71"/>
        <v>5.2994103674724053</v>
      </c>
      <c r="H74" s="327">
        <f t="shared" si="71"/>
        <v>2.9286156716417913</v>
      </c>
      <c r="I74" s="327">
        <f t="shared" si="71"/>
        <v>13.238607043925606</v>
      </c>
      <c r="J74" s="327"/>
      <c r="K74" s="327"/>
      <c r="L74" s="327"/>
      <c r="M74" s="327"/>
      <c r="N74" s="327"/>
      <c r="O74" s="327"/>
      <c r="P74" s="327"/>
      <c r="Q74" s="327"/>
    </row>
    <row r="75" spans="1:113">
      <c r="A75" s="511" t="s">
        <v>877</v>
      </c>
      <c r="B75" s="507">
        <f>B73/B74</f>
        <v>0.35897452798081436</v>
      </c>
      <c r="C75" s="507">
        <f>C73/C74</f>
        <v>0.35717111918243871</v>
      </c>
      <c r="D75" s="507">
        <f t="shared" ref="D75:I75" si="72">D73/D74</f>
        <v>0.66184251443079323</v>
      </c>
      <c r="E75" s="507">
        <f t="shared" si="72"/>
        <v>0.27855957479170007</v>
      </c>
      <c r="F75" s="507">
        <f t="shared" si="72"/>
        <v>0.32346521633151548</v>
      </c>
      <c r="G75" s="507">
        <f t="shared" si="72"/>
        <v>9.6237121610804784E-3</v>
      </c>
      <c r="H75" s="507">
        <f t="shared" si="72"/>
        <v>0.37253095739543801</v>
      </c>
      <c r="I75" s="507">
        <f t="shared" si="72"/>
        <v>2.9988049247383571E-2</v>
      </c>
      <c r="J75" s="507"/>
      <c r="K75" s="507"/>
      <c r="L75" s="507"/>
      <c r="M75" s="507"/>
      <c r="N75" s="507"/>
      <c r="O75" s="507"/>
      <c r="P75" s="507"/>
      <c r="Q75" s="507"/>
    </row>
    <row r="76" spans="1:113">
      <c r="A76" s="503" t="s">
        <v>878</v>
      </c>
      <c r="B76" s="512">
        <f t="shared" ref="B76:I76" si="73">1-B30/B25</f>
        <v>0.3589745279808142</v>
      </c>
      <c r="C76" s="512">
        <f t="shared" si="73"/>
        <v>0.35717111918243871</v>
      </c>
      <c r="D76" s="512">
        <f t="shared" si="73"/>
        <v>0.66184251443079334</v>
      </c>
      <c r="E76" s="512">
        <f t="shared" si="73"/>
        <v>0.27855957479170002</v>
      </c>
      <c r="F76" s="512">
        <f t="shared" si="73"/>
        <v>0.32346521633151537</v>
      </c>
      <c r="G76" s="512">
        <f t="shared" si="73"/>
        <v>9.6237121610802667E-3</v>
      </c>
      <c r="H76" s="512">
        <f t="shared" si="73"/>
        <v>0.37253095739543796</v>
      </c>
      <c r="I76" s="512">
        <f t="shared" si="73"/>
        <v>2.998804924738363E-2</v>
      </c>
      <c r="J76" s="512"/>
      <c r="K76" s="512"/>
      <c r="L76" s="512"/>
      <c r="M76" s="512"/>
      <c r="N76" s="512"/>
      <c r="O76" s="512"/>
      <c r="P76" s="512"/>
      <c r="Q76" s="512"/>
    </row>
    <row r="77" spans="1:113">
      <c r="A77" s="3" t="s">
        <v>879</v>
      </c>
      <c r="B77" s="507">
        <f>Ratios!B156</f>
        <v>-0.25010953300326882</v>
      </c>
      <c r="C77" s="507">
        <f>Ratios!C156</f>
        <v>0.17358299665043683</v>
      </c>
      <c r="D77" s="507">
        <f>Ratios!D156</f>
        <v>0.14529963500551737</v>
      </c>
      <c r="E77" s="507">
        <f>Ratios!E156</f>
        <v>0.22615699383320848</v>
      </c>
      <c r="F77" s="507">
        <f>Ratios!F156</f>
        <v>0.31835396206107902</v>
      </c>
      <c r="G77" s="507">
        <f>Ratios!G156</f>
        <v>0.38960017166154065</v>
      </c>
      <c r="H77" s="507">
        <f>Ratios!H156</f>
        <v>0.18616647127784292</v>
      </c>
      <c r="I77" s="507">
        <f>Ratios!I156</f>
        <v>0.15938043184364015</v>
      </c>
      <c r="J77" s="507"/>
      <c r="K77" s="507"/>
      <c r="L77" s="507"/>
      <c r="M77" s="507"/>
      <c r="N77" s="507"/>
      <c r="O77" s="507"/>
      <c r="P77" s="507"/>
      <c r="Q77" s="507"/>
    </row>
    <row r="78" spans="1:113">
      <c r="A78" s="508" t="s">
        <v>880</v>
      </c>
      <c r="B78" s="513">
        <f>B76*B77</f>
        <v>-8.9782951553350296E-2</v>
      </c>
      <c r="C78" s="513">
        <f t="shared" ref="C78:H78" si="74">C76*C77</f>
        <v>6.1998833184678033E-2</v>
      </c>
      <c r="D78" s="513">
        <f t="shared" si="74"/>
        <v>9.6165475777928139E-2</v>
      </c>
      <c r="E78" s="513">
        <f t="shared" si="74"/>
        <v>6.2998196038347679E-2</v>
      </c>
      <c r="F78" s="513">
        <f t="shared" si="74"/>
        <v>0.10297643320808196</v>
      </c>
      <c r="G78" s="513">
        <f t="shared" si="74"/>
        <v>3.7493999099781281E-3</v>
      </c>
      <c r="H78" s="513">
        <f t="shared" si="74"/>
        <v>6.9352773780065116E-2</v>
      </c>
      <c r="I78" s="513">
        <f>I76*I77</f>
        <v>4.7795082391963511E-3</v>
      </c>
      <c r="J78" s="513"/>
      <c r="K78" s="509"/>
      <c r="L78" s="509"/>
      <c r="M78" s="513"/>
      <c r="N78" s="513"/>
      <c r="O78" s="513"/>
      <c r="P78" s="513"/>
      <c r="Q78" s="513"/>
    </row>
  </sheetData>
  <pageMargins left="0.7" right="0.7" top="0.78740157499999996" bottom="0.78740157499999996"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50151-1C7F-409D-90AC-BCE6C27F2ED1}">
  <sheetPr>
    <tabColor theme="5" tint="0.79998168889431442"/>
  </sheetPr>
  <dimension ref="A1:I48"/>
  <sheetViews>
    <sheetView showGridLines="0" topLeftCell="A13" workbookViewId="0">
      <selection activeCell="C43" sqref="C43:H43"/>
    </sheetView>
  </sheetViews>
  <sheetFormatPr defaultRowHeight="15"/>
  <cols>
    <col min="1" max="1" width="39.42578125" customWidth="1"/>
    <col min="2" max="8" width="9.7109375" customWidth="1"/>
  </cols>
  <sheetData>
    <row r="1" spans="1:8">
      <c r="A1" s="1268" t="s">
        <v>833</v>
      </c>
      <c r="B1" s="1267">
        <v>2019</v>
      </c>
      <c r="C1" s="1267">
        <v>2020</v>
      </c>
      <c r="D1" s="1267">
        <v>2021</v>
      </c>
      <c r="E1" s="1267">
        <v>2022</v>
      </c>
      <c r="F1" s="1267">
        <v>2023</v>
      </c>
      <c r="G1" s="1267">
        <v>2024</v>
      </c>
      <c r="H1" s="1267">
        <v>2025</v>
      </c>
    </row>
    <row r="2" spans="1:8">
      <c r="A2" s="468" t="s">
        <v>425</v>
      </c>
      <c r="B2" s="468">
        <f>Forecast!K37</f>
        <v>5.7708799999999982</v>
      </c>
      <c r="C2" s="468">
        <f>Forecast!L37</f>
        <v>-5.7133700000000012</v>
      </c>
      <c r="D2" s="468">
        <f>Forecast!M37</f>
        <v>2.4744107498044414</v>
      </c>
      <c r="E2" s="468">
        <f ca="1">Forecast!N37</f>
        <v>3.8693202744288913</v>
      </c>
      <c r="F2" s="468">
        <f ca="1">Forecast!O37</f>
        <v>4.5484698570423721</v>
      </c>
      <c r="G2" s="468">
        <f ca="1">Forecast!P37</f>
        <v>4.8353640869964245</v>
      </c>
      <c r="H2" s="468">
        <f ca="1">Forecast!Q37</f>
        <v>5.0730371211120868</v>
      </c>
    </row>
    <row r="3" spans="1:8">
      <c r="A3" s="469" t="s">
        <v>426</v>
      </c>
      <c r="B3" s="469">
        <f>Forecast!K38</f>
        <v>2.581</v>
      </c>
      <c r="C3" s="469">
        <f>Forecast!L38</f>
        <v>2.3119999999999998</v>
      </c>
      <c r="D3" s="469">
        <f>Forecast!M38</f>
        <v>9.6140499999999989</v>
      </c>
      <c r="E3" s="469">
        <f>Forecast!N38</f>
        <v>10.37365</v>
      </c>
      <c r="F3" s="469">
        <f>Forecast!O38</f>
        <v>11.17123</v>
      </c>
      <c r="G3" s="469">
        <f>Forecast!P38</f>
        <v>12.008689</v>
      </c>
      <c r="H3" s="469">
        <f>Forecast!Q38</f>
        <v>3.6537709500000002</v>
      </c>
    </row>
    <row r="4" spans="1:8">
      <c r="A4" s="469" t="s">
        <v>430</v>
      </c>
      <c r="B4" s="469">
        <f>Forecast!K44</f>
        <v>0.52600000000000002</v>
      </c>
      <c r="C4" s="469">
        <f>Forecast!L44</f>
        <v>1.9490000000000001</v>
      </c>
      <c r="D4" s="469">
        <f>Forecast!M44</f>
        <v>-3.1585676914441017</v>
      </c>
      <c r="E4" s="469">
        <f>Forecast!N44</f>
        <v>2.0022453218383358</v>
      </c>
      <c r="F4" s="469">
        <f>Forecast!O44</f>
        <v>0.59608254578176023</v>
      </c>
      <c r="G4" s="469">
        <f>Forecast!P44</f>
        <v>6.8326496708358775E-2</v>
      </c>
      <c r="H4" s="469">
        <f>Forecast!Q44</f>
        <v>2.6781940038574703E-2</v>
      </c>
    </row>
    <row r="5" spans="1:8">
      <c r="A5" s="380" t="s">
        <v>836</v>
      </c>
      <c r="B5" s="470">
        <f>B2+B3+B4</f>
        <v>8.8778799999999976</v>
      </c>
      <c r="C5" s="470">
        <f t="shared" ref="C5:H5" si="0">C2+C3+C4</f>
        <v>-1.4523700000000013</v>
      </c>
      <c r="D5" s="470">
        <f>D2+D3+D4</f>
        <v>8.9298930583603386</v>
      </c>
      <c r="E5" s="470">
        <f t="shared" ca="1" si="0"/>
        <v>16.245215596267229</v>
      </c>
      <c r="F5" s="470">
        <f t="shared" ca="1" si="0"/>
        <v>16.315782402824134</v>
      </c>
      <c r="G5" s="470">
        <f t="shared" ca="1" si="0"/>
        <v>16.912379583704784</v>
      </c>
      <c r="H5" s="470">
        <f t="shared" ca="1" si="0"/>
        <v>8.7535900111506617</v>
      </c>
    </row>
    <row r="6" spans="1:8">
      <c r="A6" s="469" t="s">
        <v>886</v>
      </c>
      <c r="B6" s="469">
        <f>Forecast!K50</f>
        <v>-4.9359999999999999</v>
      </c>
      <c r="C6" s="469">
        <f>Forecast!L50</f>
        <v>-1.899</v>
      </c>
      <c r="D6" s="469">
        <f>Forecast!M50</f>
        <v>-3.798</v>
      </c>
      <c r="E6" s="469">
        <f>Forecast!N50</f>
        <v>-3.9879000000000002</v>
      </c>
      <c r="F6" s="469">
        <f>Forecast!O50</f>
        <v>-4.1872950000000007</v>
      </c>
      <c r="G6" s="469">
        <f>Forecast!P50</f>
        <v>-4.3966597500000013</v>
      </c>
      <c r="H6" s="469">
        <f>Forecast!Q50</f>
        <v>-4.6164927375000016</v>
      </c>
    </row>
    <row r="7" spans="1:8">
      <c r="A7" s="471" t="s">
        <v>837</v>
      </c>
      <c r="B7" s="470">
        <f t="shared" ref="B7:H7" si="1">SUM(B5:B6)</f>
        <v>3.9418799999999976</v>
      </c>
      <c r="C7" s="470">
        <f t="shared" si="1"/>
        <v>-3.3513700000000011</v>
      </c>
      <c r="D7" s="470">
        <f t="shared" si="1"/>
        <v>5.1318930583603386</v>
      </c>
      <c r="E7" s="470">
        <f t="shared" ca="1" si="1"/>
        <v>12.25731559626723</v>
      </c>
      <c r="F7" s="470">
        <f t="shared" ca="1" si="1"/>
        <v>12.128487402824133</v>
      </c>
      <c r="G7" s="470">
        <f t="shared" ca="1" si="1"/>
        <v>12.515719833704782</v>
      </c>
      <c r="H7" s="470">
        <f t="shared" ca="1" si="1"/>
        <v>4.1370972736506602</v>
      </c>
    </row>
    <row r="8" spans="1:8">
      <c r="A8" s="472" t="s">
        <v>439</v>
      </c>
      <c r="B8" s="472">
        <f>Forecast!K59</f>
        <v>0.48699999999999999</v>
      </c>
      <c r="C8" s="472">
        <f>Forecast!L59</f>
        <v>19.797999999999998</v>
      </c>
      <c r="D8" s="472">
        <f>Forecast!M59</f>
        <v>-0.1</v>
      </c>
      <c r="E8" s="472">
        <f>Forecast!N59</f>
        <v>-0.1</v>
      </c>
      <c r="F8" s="472">
        <f>Forecast!O59</f>
        <v>-0.1</v>
      </c>
      <c r="G8" s="472">
        <f>Forecast!P59</f>
        <v>-0.1</v>
      </c>
      <c r="H8" s="472">
        <f>Forecast!Q59</f>
        <v>-0.1</v>
      </c>
    </row>
    <row r="9" spans="1:8">
      <c r="A9" s="372" t="s">
        <v>838</v>
      </c>
      <c r="B9" s="470">
        <f>SUM(B7:B8)</f>
        <v>4.4288799999999977</v>
      </c>
      <c r="C9" s="470">
        <f t="shared" ref="C9:H9" si="2">SUM(C7:C8)</f>
        <v>16.446629999999999</v>
      </c>
      <c r="D9" s="470">
        <f>SUM(D7:D8)</f>
        <v>5.031893058360339</v>
      </c>
      <c r="E9" s="470">
        <f t="shared" ca="1" si="2"/>
        <v>12.15731559626723</v>
      </c>
      <c r="F9" s="470">
        <f t="shared" ca="1" si="2"/>
        <v>12.028487402824133</v>
      </c>
      <c r="G9" s="470">
        <f t="shared" ca="1" si="2"/>
        <v>12.415719833704783</v>
      </c>
      <c r="H9" s="470">
        <f t="shared" ca="1" si="2"/>
        <v>4.0370972736506605</v>
      </c>
    </row>
    <row r="11" spans="1:8">
      <c r="A11" s="987" t="s">
        <v>850</v>
      </c>
      <c r="B11" s="1264">
        <f>B1</f>
        <v>2019</v>
      </c>
      <c r="C11" s="1264">
        <f t="shared" ref="C11:H11" si="3">C1</f>
        <v>2020</v>
      </c>
      <c r="D11" s="1264">
        <f t="shared" si="3"/>
        <v>2021</v>
      </c>
      <c r="E11" s="1264">
        <f t="shared" si="3"/>
        <v>2022</v>
      </c>
      <c r="F11" s="1264">
        <f t="shared" si="3"/>
        <v>2023</v>
      </c>
      <c r="G11" s="1264">
        <f t="shared" si="3"/>
        <v>2024</v>
      </c>
      <c r="H11" s="1264">
        <f t="shared" si="3"/>
        <v>2025</v>
      </c>
    </row>
    <row r="12" spans="1:8">
      <c r="A12" s="482" t="s">
        <v>405</v>
      </c>
      <c r="B12" s="483">
        <f>Forecast!K12</f>
        <v>8.4289999999999967</v>
      </c>
      <c r="C12" s="483">
        <f>Forecast!L12</f>
        <v>-7.1180000000000012</v>
      </c>
      <c r="D12" s="483">
        <f>Forecast!M12</f>
        <v>5.4730855631048465</v>
      </c>
      <c r="E12" s="483">
        <f>Forecast!N12</f>
        <v>7.0965434302865891</v>
      </c>
      <c r="F12" s="483">
        <f>Forecast!O12</f>
        <v>7.6815371696553694</v>
      </c>
      <c r="G12" s="483">
        <f>Forecast!P12</f>
        <v>7.8743335980505869</v>
      </c>
      <c r="H12" s="483">
        <f>Forecast!Q12</f>
        <v>8.047978724813472</v>
      </c>
    </row>
    <row r="13" spans="1:8">
      <c r="A13" s="484" t="s">
        <v>841</v>
      </c>
      <c r="B13" s="469">
        <f>Forecast!K21</f>
        <v>0.28999999999999998</v>
      </c>
      <c r="C13" s="469">
        <f>Forecast!L21</f>
        <v>0.28999999999999998</v>
      </c>
      <c r="D13" s="469">
        <f>Forecast!M21</f>
        <v>0.28999999999999998</v>
      </c>
      <c r="E13" s="469">
        <f>Forecast!N21</f>
        <v>0.31</v>
      </c>
      <c r="F13" s="469">
        <f>Forecast!O21</f>
        <v>0.32</v>
      </c>
      <c r="G13" s="469">
        <f>Forecast!P21</f>
        <v>0.33</v>
      </c>
      <c r="H13" s="469">
        <f>Forecast!Q21</f>
        <v>0.34</v>
      </c>
    </row>
    <row r="14" spans="1:8">
      <c r="A14" s="482" t="s">
        <v>793</v>
      </c>
      <c r="B14" s="485">
        <f t="shared" ref="B14:H14" si="4">B12*(1-B13)</f>
        <v>5.9845899999999972</v>
      </c>
      <c r="C14" s="485">
        <f>C12*(1-C13)</f>
        <v>-5.0537800000000006</v>
      </c>
      <c r="D14" s="485">
        <f t="shared" si="4"/>
        <v>3.885890749804441</v>
      </c>
      <c r="E14" s="485">
        <f t="shared" si="4"/>
        <v>4.8966149668977463</v>
      </c>
      <c r="F14" s="485">
        <f t="shared" si="4"/>
        <v>5.2234452753656511</v>
      </c>
      <c r="G14" s="485">
        <f t="shared" si="4"/>
        <v>5.2758035106938923</v>
      </c>
      <c r="H14" s="485">
        <f t="shared" si="4"/>
        <v>5.3116659583768913</v>
      </c>
    </row>
    <row r="15" spans="1:8">
      <c r="A15" s="31" t="s">
        <v>426</v>
      </c>
      <c r="B15" s="31">
        <f>Forecast!K38</f>
        <v>2.581</v>
      </c>
      <c r="C15" s="31">
        <f>Forecast!L38</f>
        <v>2.3119999999999998</v>
      </c>
      <c r="D15" s="31">
        <f>Forecast!M38</f>
        <v>9.6140499999999989</v>
      </c>
      <c r="E15" s="31">
        <f>Forecast!N38</f>
        <v>10.37365</v>
      </c>
      <c r="F15" s="31">
        <f>Forecast!O38</f>
        <v>11.17123</v>
      </c>
      <c r="G15" s="31">
        <f>Forecast!P38</f>
        <v>12.008689</v>
      </c>
      <c r="H15" s="31">
        <f>Forecast!Q38</f>
        <v>3.6537709500000002</v>
      </c>
    </row>
    <row r="16" spans="1:8">
      <c r="A16" s="31" t="s">
        <v>430</v>
      </c>
      <c r="B16" s="31">
        <f>Forecast!K44</f>
        <v>0.52600000000000002</v>
      </c>
      <c r="C16" s="31">
        <f>Forecast!L44</f>
        <v>1.9490000000000001</v>
      </c>
      <c r="D16" s="31">
        <f>Forecast!M44</f>
        <v>-3.1585676914441017</v>
      </c>
      <c r="E16" s="31">
        <f>Forecast!N44</f>
        <v>2.0022453218383358</v>
      </c>
      <c r="F16" s="31">
        <f>Forecast!O44</f>
        <v>0.59608254578176023</v>
      </c>
      <c r="G16" s="31">
        <f>Forecast!P44</f>
        <v>6.8326496708358775E-2</v>
      </c>
      <c r="H16" s="31">
        <f>Forecast!Q44</f>
        <v>2.6781940038574703E-2</v>
      </c>
    </row>
    <row r="17" spans="1:9">
      <c r="A17" s="469" t="s">
        <v>886</v>
      </c>
      <c r="B17" s="486">
        <f>B6</f>
        <v>-4.9359999999999999</v>
      </c>
      <c r="C17" s="486">
        <f t="shared" ref="C17:H17" si="5">C6</f>
        <v>-1.899</v>
      </c>
      <c r="D17" s="486">
        <f t="shared" si="5"/>
        <v>-3.798</v>
      </c>
      <c r="E17" s="486">
        <f t="shared" si="5"/>
        <v>-3.9879000000000002</v>
      </c>
      <c r="F17" s="486">
        <f t="shared" si="5"/>
        <v>-4.1872950000000007</v>
      </c>
      <c r="G17" s="486">
        <f t="shared" si="5"/>
        <v>-4.3966597500000013</v>
      </c>
      <c r="H17" s="486">
        <f t="shared" si="5"/>
        <v>-4.6164927375000016</v>
      </c>
    </row>
    <row r="18" spans="1:9">
      <c r="A18" s="372" t="s">
        <v>855</v>
      </c>
      <c r="B18" s="470">
        <f>B14+B15+B16+B17</f>
        <v>4.1555899999999966</v>
      </c>
      <c r="C18" s="470">
        <f t="shared" ref="C18:H18" si="6">C14+C15+C16+C17</f>
        <v>-2.6917800000000005</v>
      </c>
      <c r="D18" s="470">
        <f t="shared" si="6"/>
        <v>6.5433730583603378</v>
      </c>
      <c r="E18" s="470">
        <f t="shared" si="6"/>
        <v>13.284610288736079</v>
      </c>
      <c r="F18" s="470">
        <f t="shared" si="6"/>
        <v>12.803462821147411</v>
      </c>
      <c r="G18" s="470">
        <f t="shared" si="6"/>
        <v>12.956159257402252</v>
      </c>
      <c r="H18" s="470">
        <f t="shared" si="6"/>
        <v>4.3757261109154637</v>
      </c>
    </row>
    <row r="20" spans="1:9">
      <c r="A20" s="1269" t="s">
        <v>887</v>
      </c>
      <c r="B20" s="1269">
        <v>2019</v>
      </c>
      <c r="C20" s="1269">
        <v>2020</v>
      </c>
      <c r="D20" s="1269">
        <v>2021</v>
      </c>
      <c r="E20" s="1269">
        <v>2022</v>
      </c>
      <c r="F20" s="1269">
        <v>2023</v>
      </c>
      <c r="G20" s="1269">
        <v>2024</v>
      </c>
      <c r="H20" s="1269">
        <v>2025</v>
      </c>
    </row>
    <row r="21" spans="1:9">
      <c r="A21" s="468" t="str">
        <f>A2</f>
        <v>Net Income / Starting Line</v>
      </c>
      <c r="B21" s="468">
        <f t="shared" ref="B21:H21" si="7">B2</f>
        <v>5.7708799999999982</v>
      </c>
      <c r="C21" s="468">
        <f t="shared" si="7"/>
        <v>-5.7133700000000012</v>
      </c>
      <c r="D21" s="468">
        <f t="shared" si="7"/>
        <v>2.4744107498044414</v>
      </c>
      <c r="E21" s="468">
        <f t="shared" ca="1" si="7"/>
        <v>3.8693202744288913</v>
      </c>
      <c r="F21" s="468">
        <f t="shared" ca="1" si="7"/>
        <v>4.5484698570423721</v>
      </c>
      <c r="G21" s="468">
        <f t="shared" ca="1" si="7"/>
        <v>4.8353640869964245</v>
      </c>
      <c r="H21" s="468">
        <f t="shared" ca="1" si="7"/>
        <v>5.0730371211120868</v>
      </c>
    </row>
    <row r="22" spans="1:9">
      <c r="A22" s="16" t="str">
        <f>A3</f>
        <v>Depreciation, Depletion &amp; Amortization</v>
      </c>
      <c r="B22" s="16">
        <f t="shared" ref="B22:H22" si="8">B3</f>
        <v>2.581</v>
      </c>
      <c r="C22" s="16">
        <f t="shared" si="8"/>
        <v>2.3119999999999998</v>
      </c>
      <c r="D22" s="16">
        <f t="shared" si="8"/>
        <v>9.6140499999999989</v>
      </c>
      <c r="E22" s="16">
        <f t="shared" si="8"/>
        <v>10.37365</v>
      </c>
      <c r="F22" s="16">
        <f t="shared" si="8"/>
        <v>11.17123</v>
      </c>
      <c r="G22" s="16">
        <f t="shared" si="8"/>
        <v>12.008689</v>
      </c>
      <c r="H22" s="16">
        <f t="shared" si="8"/>
        <v>3.6537709500000002</v>
      </c>
      <c r="I22" s="16"/>
    </row>
    <row r="23" spans="1:9">
      <c r="A23" s="16" t="str">
        <f t="shared" ref="A23:H23" si="9">A4</f>
        <v>Changes in Working Capital</v>
      </c>
      <c r="B23" s="16">
        <f t="shared" si="9"/>
        <v>0.52600000000000002</v>
      </c>
      <c r="C23" s="16">
        <f t="shared" si="9"/>
        <v>1.9490000000000001</v>
      </c>
      <c r="D23" s="16">
        <f t="shared" si="9"/>
        <v>-3.1585676914441017</v>
      </c>
      <c r="E23" s="16">
        <f t="shared" si="9"/>
        <v>2.0022453218383358</v>
      </c>
      <c r="F23" s="16">
        <f t="shared" si="9"/>
        <v>0.59608254578176023</v>
      </c>
      <c r="G23" s="16">
        <f t="shared" si="9"/>
        <v>6.8326496708358775E-2</v>
      </c>
      <c r="H23" s="16">
        <f t="shared" si="9"/>
        <v>2.6781940038574703E-2</v>
      </c>
      <c r="I23" s="16"/>
    </row>
    <row r="24" spans="1:9">
      <c r="A24" s="16" t="str">
        <f>A6</f>
        <v>CAPEX  +  CAPEX adj. for R&amp;D + CAPEX Acq.</v>
      </c>
      <c r="B24" s="16">
        <f t="shared" ref="B24:H24" si="10">B6</f>
        <v>-4.9359999999999999</v>
      </c>
      <c r="C24" s="16">
        <f t="shared" si="10"/>
        <v>-1.899</v>
      </c>
      <c r="D24" s="16">
        <f t="shared" si="10"/>
        <v>-3.798</v>
      </c>
      <c r="E24" s="16">
        <f t="shared" si="10"/>
        <v>-3.9879000000000002</v>
      </c>
      <c r="F24" s="16">
        <f t="shared" si="10"/>
        <v>-4.1872950000000007</v>
      </c>
      <c r="G24" s="16">
        <f t="shared" si="10"/>
        <v>-4.3966597500000013</v>
      </c>
      <c r="H24" s="16">
        <f t="shared" si="10"/>
        <v>-4.6164927375000016</v>
      </c>
      <c r="I24" s="16"/>
    </row>
    <row r="25" spans="1:9">
      <c r="A25" s="16" t="str">
        <f>A8</f>
        <v>Issuance/Reduction of Debt, Net</v>
      </c>
      <c r="B25" s="16">
        <f t="shared" ref="B25:H25" si="11">B8</f>
        <v>0.48699999999999999</v>
      </c>
      <c r="C25" s="16">
        <f t="shared" si="11"/>
        <v>19.797999999999998</v>
      </c>
      <c r="D25" s="16">
        <f t="shared" si="11"/>
        <v>-0.1</v>
      </c>
      <c r="E25" s="16">
        <f t="shared" si="11"/>
        <v>-0.1</v>
      </c>
      <c r="F25" s="16">
        <f t="shared" si="11"/>
        <v>-0.1</v>
      </c>
      <c r="G25" s="16">
        <f t="shared" si="11"/>
        <v>-0.1</v>
      </c>
      <c r="H25" s="16">
        <f t="shared" si="11"/>
        <v>-0.1</v>
      </c>
    </row>
    <row r="26" spans="1:9">
      <c r="A26" s="1265" t="s">
        <v>867</v>
      </c>
      <c r="B26" s="1266">
        <f>-(B24+B22+B23+B25)</f>
        <v>1.3420000000000001</v>
      </c>
      <c r="C26" s="1266">
        <f t="shared" ref="C26:H26" si="12">-(C24+C22+C23+C25)</f>
        <v>-22.159999999999997</v>
      </c>
      <c r="D26" s="1266">
        <f t="shared" si="12"/>
        <v>-2.5574823085558971</v>
      </c>
      <c r="E26" s="1266">
        <f t="shared" si="12"/>
        <v>-8.287995321838336</v>
      </c>
      <c r="F26" s="1266">
        <f t="shared" si="12"/>
        <v>-7.4800175457817595</v>
      </c>
      <c r="G26" s="1266">
        <f t="shared" si="12"/>
        <v>-7.5803557467083582</v>
      </c>
      <c r="H26" s="1266">
        <f t="shared" si="12"/>
        <v>1.0359398474614268</v>
      </c>
    </row>
    <row r="27" spans="1:9">
      <c r="A27" s="17" t="s">
        <v>888</v>
      </c>
      <c r="B27" s="18">
        <f>B26/B21</f>
        <v>0.23254685593878238</v>
      </c>
      <c r="C27" s="18">
        <f t="shared" ref="C27:H27" si="13">C26/C21</f>
        <v>3.8786215491032423</v>
      </c>
      <c r="D27" s="18">
        <f t="shared" si="13"/>
        <v>-1.0335722590754268</v>
      </c>
      <c r="E27" s="18">
        <f t="shared" ca="1" si="13"/>
        <v>-2.1419770745293598</v>
      </c>
      <c r="F27" s="18">
        <f t="shared" ca="1" si="13"/>
        <v>-1.644512941907373</v>
      </c>
      <c r="G27" s="18">
        <f t="shared" ca="1" si="13"/>
        <v>-1.5676907902538184</v>
      </c>
      <c r="H27" s="18">
        <f t="shared" ca="1" si="13"/>
        <v>0.20420505955894386</v>
      </c>
    </row>
    <row r="28" spans="1:9">
      <c r="A28" t="s">
        <v>889</v>
      </c>
      <c r="B28" s="16">
        <f>1-B27</f>
        <v>0.76745314406121756</v>
      </c>
      <c r="C28" s="16">
        <f t="shared" ref="C28:H28" si="14">1-C27</f>
        <v>-2.8786215491032423</v>
      </c>
      <c r="D28" s="16">
        <f t="shared" si="14"/>
        <v>2.0335722590754268</v>
      </c>
      <c r="E28" s="16">
        <f t="shared" ca="1" si="14"/>
        <v>3.1419770745293598</v>
      </c>
      <c r="F28" s="16">
        <f t="shared" ca="1" si="14"/>
        <v>2.6445129419073732</v>
      </c>
      <c r="G28" s="16">
        <f t="shared" ca="1" si="14"/>
        <v>2.5676907902538186</v>
      </c>
      <c r="H28" s="16">
        <f t="shared" ca="1" si="14"/>
        <v>0.79579494044105614</v>
      </c>
    </row>
    <row r="29" spans="1:9">
      <c r="A29" s="17" t="s">
        <v>890</v>
      </c>
      <c r="B29" s="18">
        <f>B21*B28</f>
        <v>4.4288799999999977</v>
      </c>
      <c r="C29" s="18">
        <f t="shared" ref="C29:H29" si="15">C21*C28</f>
        <v>16.446629999999995</v>
      </c>
      <c r="D29" s="18">
        <f t="shared" si="15"/>
        <v>5.031893058360339</v>
      </c>
      <c r="E29" s="18">
        <f t="shared" ca="1" si="15"/>
        <v>12.157315596267228</v>
      </c>
      <c r="F29" s="18">
        <f t="shared" ca="1" si="15"/>
        <v>12.028487402824133</v>
      </c>
      <c r="G29" s="18">
        <f t="shared" ca="1" si="15"/>
        <v>12.415719833704783</v>
      </c>
      <c r="H29" s="18">
        <f t="shared" ca="1" si="15"/>
        <v>4.0370972736506596</v>
      </c>
    </row>
    <row r="31" spans="1:9">
      <c r="A31" s="987" t="s">
        <v>891</v>
      </c>
      <c r="B31" s="1264">
        <f t="shared" ref="B31:H34" si="16">B11</f>
        <v>2019</v>
      </c>
      <c r="C31" s="1264">
        <f t="shared" si="16"/>
        <v>2020</v>
      </c>
      <c r="D31" s="1264">
        <f t="shared" si="16"/>
        <v>2021</v>
      </c>
      <c r="E31" s="1264">
        <f t="shared" si="16"/>
        <v>2022</v>
      </c>
      <c r="F31" s="1264">
        <f t="shared" si="16"/>
        <v>2023</v>
      </c>
      <c r="G31" s="1264">
        <f t="shared" si="16"/>
        <v>2024</v>
      </c>
      <c r="H31" s="1264">
        <f t="shared" si="16"/>
        <v>2025</v>
      </c>
    </row>
    <row r="32" spans="1:9">
      <c r="A32" s="18" t="str">
        <f>A12</f>
        <v>EBIT (Operating Income)</v>
      </c>
      <c r="B32" s="16">
        <f t="shared" si="16"/>
        <v>8.4289999999999967</v>
      </c>
      <c r="C32" s="16">
        <f t="shared" si="16"/>
        <v>-7.1180000000000012</v>
      </c>
      <c r="D32" s="16">
        <f t="shared" si="16"/>
        <v>5.4730855631048465</v>
      </c>
      <c r="E32" s="16">
        <f t="shared" si="16"/>
        <v>7.0965434302865891</v>
      </c>
      <c r="F32" s="16">
        <f t="shared" si="16"/>
        <v>7.6815371696553694</v>
      </c>
      <c r="G32" s="16">
        <f t="shared" si="16"/>
        <v>7.8743335980505869</v>
      </c>
      <c r="H32" s="16">
        <f t="shared" si="16"/>
        <v>8.047978724813472</v>
      </c>
    </row>
    <row r="33" spans="1:8">
      <c r="A33" s="16" t="str">
        <f>A13</f>
        <v>Tax rate</v>
      </c>
      <c r="B33" s="16">
        <f t="shared" si="16"/>
        <v>0.28999999999999998</v>
      </c>
      <c r="C33" s="16">
        <f t="shared" si="16"/>
        <v>0.28999999999999998</v>
      </c>
      <c r="D33" s="16">
        <f t="shared" si="16"/>
        <v>0.28999999999999998</v>
      </c>
      <c r="E33" s="16">
        <f t="shared" si="16"/>
        <v>0.31</v>
      </c>
      <c r="F33" s="16">
        <f t="shared" si="16"/>
        <v>0.32</v>
      </c>
      <c r="G33" s="16">
        <f t="shared" si="16"/>
        <v>0.33</v>
      </c>
      <c r="H33" s="16">
        <f t="shared" si="16"/>
        <v>0.34</v>
      </c>
    </row>
    <row r="34" spans="1:8">
      <c r="A34" s="18" t="str">
        <f>A14</f>
        <v>EBIT(1-t)</v>
      </c>
      <c r="B34" s="16">
        <f t="shared" si="16"/>
        <v>5.9845899999999972</v>
      </c>
      <c r="C34" s="16">
        <f t="shared" si="16"/>
        <v>-5.0537800000000006</v>
      </c>
      <c r="D34" s="16">
        <f t="shared" si="16"/>
        <v>3.885890749804441</v>
      </c>
      <c r="E34" s="16">
        <f t="shared" si="16"/>
        <v>4.8966149668977463</v>
      </c>
      <c r="F34" s="16">
        <f t="shared" si="16"/>
        <v>5.2234452753656511</v>
      </c>
      <c r="G34" s="16">
        <f t="shared" si="16"/>
        <v>5.2758035106938923</v>
      </c>
      <c r="H34" s="16">
        <f t="shared" si="16"/>
        <v>5.3116659583768913</v>
      </c>
    </row>
    <row r="35" spans="1:8">
      <c r="A35" s="16" t="str">
        <f t="shared" ref="A35:H35" si="17">A17</f>
        <v>CAPEX  +  CAPEX adj. for R&amp;D + CAPEX Acq.</v>
      </c>
      <c r="B35" s="16">
        <f t="shared" si="17"/>
        <v>-4.9359999999999999</v>
      </c>
      <c r="C35" s="16">
        <f t="shared" si="17"/>
        <v>-1.899</v>
      </c>
      <c r="D35" s="16">
        <f t="shared" si="17"/>
        <v>-3.798</v>
      </c>
      <c r="E35" s="16">
        <f t="shared" si="17"/>
        <v>-3.9879000000000002</v>
      </c>
      <c r="F35" s="16">
        <f t="shared" si="17"/>
        <v>-4.1872950000000007</v>
      </c>
      <c r="G35" s="16">
        <f t="shared" si="17"/>
        <v>-4.3966597500000013</v>
      </c>
      <c r="H35" s="16">
        <f t="shared" si="17"/>
        <v>-4.6164927375000016</v>
      </c>
    </row>
    <row r="36" spans="1:8">
      <c r="A36" s="16" t="str">
        <f t="shared" ref="A36:H36" si="18">A16</f>
        <v>Changes in Working Capital</v>
      </c>
      <c r="B36" s="16">
        <f t="shared" si="18"/>
        <v>0.52600000000000002</v>
      </c>
      <c r="C36" s="16">
        <f t="shared" si="18"/>
        <v>1.9490000000000001</v>
      </c>
      <c r="D36" s="16">
        <f t="shared" si="18"/>
        <v>-3.1585676914441017</v>
      </c>
      <c r="E36" s="16">
        <f t="shared" si="18"/>
        <v>2.0022453218383358</v>
      </c>
      <c r="F36" s="16">
        <f t="shared" si="18"/>
        <v>0.59608254578176023</v>
      </c>
      <c r="G36" s="16">
        <f t="shared" si="18"/>
        <v>6.8326496708358775E-2</v>
      </c>
      <c r="H36" s="16">
        <f t="shared" si="18"/>
        <v>2.6781940038574703E-2</v>
      </c>
    </row>
    <row r="37" spans="1:8">
      <c r="A37" s="16" t="str">
        <f t="shared" ref="A37:H37" si="19">A3</f>
        <v>Depreciation, Depletion &amp; Amortization</v>
      </c>
      <c r="B37" s="16">
        <f t="shared" si="19"/>
        <v>2.581</v>
      </c>
      <c r="C37" s="16">
        <f t="shared" si="19"/>
        <v>2.3119999999999998</v>
      </c>
      <c r="D37" s="16">
        <f t="shared" si="19"/>
        <v>9.6140499999999989</v>
      </c>
      <c r="E37" s="16">
        <f t="shared" si="19"/>
        <v>10.37365</v>
      </c>
      <c r="F37" s="16">
        <f t="shared" si="19"/>
        <v>11.17123</v>
      </c>
      <c r="G37" s="16">
        <f t="shared" si="19"/>
        <v>12.008689</v>
      </c>
      <c r="H37" s="16">
        <f t="shared" si="19"/>
        <v>3.6537709500000002</v>
      </c>
    </row>
    <row r="38" spans="1:8">
      <c r="A38" s="1266" t="s">
        <v>892</v>
      </c>
      <c r="B38" s="1266">
        <f>-(B35+B37+B36)</f>
        <v>1.829</v>
      </c>
      <c r="C38" s="1266">
        <f t="shared" ref="C38:H38" si="20">-(C35+C37+C36)</f>
        <v>-2.3620000000000001</v>
      </c>
      <c r="D38" s="1266">
        <f t="shared" si="20"/>
        <v>-2.6574823085558972</v>
      </c>
      <c r="E38" s="1266">
        <f t="shared" si="20"/>
        <v>-8.3879953218383356</v>
      </c>
      <c r="F38" s="1266">
        <f t="shared" si="20"/>
        <v>-7.5800175457817591</v>
      </c>
      <c r="G38" s="1266">
        <f t="shared" si="20"/>
        <v>-7.6803557467083579</v>
      </c>
      <c r="H38" s="1266">
        <f t="shared" si="20"/>
        <v>0.93593984746142667</v>
      </c>
    </row>
    <row r="39" spans="1:8">
      <c r="A39" s="17" t="s">
        <v>877</v>
      </c>
      <c r="B39" s="18">
        <f>B38/B34</f>
        <v>0.30561826290522842</v>
      </c>
      <c r="C39" s="18">
        <f t="shared" ref="C39:H39" si="21">C38/C14</f>
        <v>0.46737293669293078</v>
      </c>
      <c r="D39" s="18">
        <f t="shared" si="21"/>
        <v>-0.68387983081861892</v>
      </c>
      <c r="E39" s="18">
        <f t="shared" si="21"/>
        <v>-1.7130191731518878</v>
      </c>
      <c r="F39" s="18">
        <f t="shared" si="21"/>
        <v>-1.4511528591157956</v>
      </c>
      <c r="G39" s="18">
        <f t="shared" si="21"/>
        <v>-1.4557698616221229</v>
      </c>
      <c r="H39" s="18">
        <f t="shared" si="21"/>
        <v>0.17620457588929894</v>
      </c>
    </row>
    <row r="40" spans="1:8">
      <c r="A40" s="17" t="s">
        <v>893</v>
      </c>
      <c r="B40" s="16">
        <f>1-B39</f>
        <v>0.69438173709477158</v>
      </c>
      <c r="C40" s="16">
        <f t="shared" ref="C40:H40" si="22">1-C39</f>
        <v>0.53262706330706922</v>
      </c>
      <c r="D40" s="16">
        <f t="shared" si="22"/>
        <v>1.6838798308186189</v>
      </c>
      <c r="E40" s="16">
        <f t="shared" si="22"/>
        <v>2.7130191731518876</v>
      </c>
      <c r="F40" s="16">
        <f t="shared" si="22"/>
        <v>2.4511528591157958</v>
      </c>
      <c r="G40" s="16">
        <f t="shared" si="22"/>
        <v>2.4557698616221231</v>
      </c>
      <c r="H40" s="16">
        <f t="shared" si="22"/>
        <v>0.82379542411070106</v>
      </c>
    </row>
    <row r="41" spans="1:8">
      <c r="A41" s="17" t="s">
        <v>855</v>
      </c>
      <c r="B41" s="18">
        <f>B34*B40</f>
        <v>4.1555899999999975</v>
      </c>
      <c r="C41" s="18">
        <f t="shared" ref="C41:H41" si="23">C34*C40</f>
        <v>-2.6917800000000005</v>
      </c>
      <c r="D41" s="18">
        <f t="shared" si="23"/>
        <v>6.5433730583603387</v>
      </c>
      <c r="E41" s="18">
        <f t="shared" si="23"/>
        <v>13.284610288736081</v>
      </c>
      <c r="F41" s="18">
        <f t="shared" si="23"/>
        <v>12.803462821147411</v>
      </c>
      <c r="G41" s="18">
        <f t="shared" si="23"/>
        <v>12.95615925740225</v>
      </c>
      <c r="H41" s="18">
        <f t="shared" si="23"/>
        <v>4.3757261109154646</v>
      </c>
    </row>
    <row r="43" spans="1:8">
      <c r="A43" s="327" t="s">
        <v>425</v>
      </c>
      <c r="C43" s="474">
        <f>D2</f>
        <v>2.4744107498044414</v>
      </c>
      <c r="D43" s="474">
        <f t="shared" ref="D43:H43" ca="1" si="24">E2</f>
        <v>3.8693202744288913</v>
      </c>
      <c r="E43" s="474">
        <f t="shared" ca="1" si="24"/>
        <v>4.5484698570423721</v>
      </c>
      <c r="F43" s="474">
        <f t="shared" ca="1" si="24"/>
        <v>4.8353640869964245</v>
      </c>
      <c r="G43" s="474">
        <f t="shared" ca="1" si="24"/>
        <v>5.0730371211120868</v>
      </c>
      <c r="H43" s="474">
        <f t="shared" si="24"/>
        <v>0</v>
      </c>
    </row>
    <row r="44" spans="1:8">
      <c r="A44" s="491" t="s">
        <v>358</v>
      </c>
      <c r="C44" s="474" t="e">
        <f>AVERAGE(BS!B6:C6)</f>
        <v>#DIV/0!</v>
      </c>
      <c r="D44" s="474" t="e">
        <f>AVERAGE(BS!C6:D6)</f>
        <v>#DIV/0!</v>
      </c>
      <c r="E44" s="474" t="e">
        <f>AVERAGE(BS!D6:E6)</f>
        <v>#DIV/0!</v>
      </c>
      <c r="F44" s="474" t="e">
        <f>AVERAGE(BS!E6:F6)</f>
        <v>#DIV/0!</v>
      </c>
      <c r="G44" s="474" t="e">
        <f>AVERAGE(BS!F6:G6)</f>
        <v>#DIV/0!</v>
      </c>
      <c r="H44" s="474" t="e">
        <f>AVERAGE(BS!G6:H6)</f>
        <v>#DIV/0!</v>
      </c>
    </row>
    <row r="45" spans="1:8">
      <c r="A45" s="327" t="s">
        <v>868</v>
      </c>
      <c r="C45" s="641" t="e">
        <f t="array" ref="C45:H45">_xll.FDSR("TRYUS3M-FDS","FG_YIELD("&amp;B29&amp;","&amp;I29&amp;",AY,,""YTM"")")/100</f>
        <v>#VALUE!</v>
      </c>
      <c r="D45" s="641" t="e">
        <v>#VALUE!</v>
      </c>
      <c r="E45" s="641" t="e">
        <v>#VALUE!</v>
      </c>
      <c r="F45" s="641" t="e">
        <v>#VALUE!</v>
      </c>
      <c r="G45" s="641" t="e">
        <v>#VALUE!</v>
      </c>
      <c r="H45" s="641" t="e">
        <v>#VALUE!</v>
      </c>
    </row>
    <row r="46" spans="1:8">
      <c r="A46" s="327" t="s">
        <v>47</v>
      </c>
      <c r="C46" s="491">
        <f t="shared" ref="C46:H46" si="25">B6</f>
        <v>-4.9359999999999999</v>
      </c>
      <c r="D46" s="491">
        <f t="shared" si="25"/>
        <v>-1.899</v>
      </c>
      <c r="E46" s="491">
        <f t="shared" si="25"/>
        <v>-3.798</v>
      </c>
      <c r="F46" s="491">
        <f t="shared" si="25"/>
        <v>-3.9879000000000002</v>
      </c>
      <c r="G46" s="491">
        <f t="shared" si="25"/>
        <v>-4.1872950000000007</v>
      </c>
      <c r="H46" s="491">
        <f t="shared" si="25"/>
        <v>-4.3966597500000013</v>
      </c>
    </row>
    <row r="47" spans="1:8">
      <c r="A47" s="327" t="s">
        <v>869</v>
      </c>
      <c r="C47" s="499" t="e">
        <f>C44*C45*(1-C46)</f>
        <v>#DIV/0!</v>
      </c>
      <c r="D47" s="499" t="e">
        <f t="shared" ref="D47:H47" si="26">D44*D45*(1-D46)</f>
        <v>#DIV/0!</v>
      </c>
      <c r="E47" s="499" t="e">
        <f t="shared" si="26"/>
        <v>#DIV/0!</v>
      </c>
      <c r="F47" s="499" t="e">
        <f t="shared" si="26"/>
        <v>#DIV/0!</v>
      </c>
      <c r="G47" s="499" t="e">
        <f t="shared" si="26"/>
        <v>#DIV/0!</v>
      </c>
      <c r="H47" s="499" t="e">
        <f t="shared" si="26"/>
        <v>#DIV/0!</v>
      </c>
    </row>
    <row r="48" spans="1:8">
      <c r="A48" s="503" t="s">
        <v>870</v>
      </c>
      <c r="C48" s="505" t="e">
        <f>C43-C47</f>
        <v>#DIV/0!</v>
      </c>
      <c r="D48" s="505" t="e">
        <f t="shared" ref="D48:H48" ca="1" si="27">D43-D47</f>
        <v>#DIV/0!</v>
      </c>
      <c r="E48" s="505" t="e">
        <f t="shared" ca="1" si="27"/>
        <v>#DIV/0!</v>
      </c>
      <c r="F48" s="505" t="e">
        <f t="shared" ca="1" si="27"/>
        <v>#DIV/0!</v>
      </c>
      <c r="G48" s="505" t="e">
        <f t="shared" ca="1" si="27"/>
        <v>#DIV/0!</v>
      </c>
      <c r="H48" s="505" t="e">
        <f t="shared" si="27"/>
        <v>#DIV/0!</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13">
    <tabColor theme="7" tint="0.59999389629810485"/>
  </sheetPr>
  <dimension ref="A2:S2671"/>
  <sheetViews>
    <sheetView topLeftCell="E1" zoomScale="115" zoomScaleNormal="115" workbookViewId="0">
      <selection activeCell="C21" sqref="C21"/>
    </sheetView>
  </sheetViews>
  <sheetFormatPr defaultColWidth="11.28515625" defaultRowHeight="15"/>
  <cols>
    <col min="1" max="1" width="11.28515625" style="3"/>
    <col min="2" max="2" width="35.7109375" style="3" bestFit="1" customWidth="1"/>
    <col min="3" max="3" width="13.28515625" style="3" customWidth="1"/>
    <col min="4" max="4" width="11.28515625" style="3" customWidth="1"/>
    <col min="5" max="12" width="11.28515625" style="3"/>
    <col min="13" max="14" width="11.28515625" style="388"/>
    <col min="15" max="15" width="11.28515625" style="529"/>
    <col min="16" max="16" width="11.28515625" style="528"/>
    <col min="17" max="17" width="22.7109375" style="528" bestFit="1" customWidth="1"/>
    <col min="18" max="16384" width="11.28515625" style="3"/>
  </cols>
  <sheetData>
    <row r="2" spans="1:19">
      <c r="L2" s="3" t="s">
        <v>894</v>
      </c>
      <c r="M2" s="388" t="str">
        <f>'At a Glance'!CPYATGLANCEFF_RWIdentifier</f>
        <v>DAL-US</v>
      </c>
    </row>
    <row r="3" spans="1:19">
      <c r="L3" s="389" t="str" cm="1">
        <f t="array" ref="L3">_xll.FDS(L2,"FG_COMPANY_NAME")</f>
        <v>S&amp;P 500</v>
      </c>
      <c r="M3" s="389" t="str" cm="1">
        <f t="array" ref="M3">_xll.FDS(M2,"FG_COMPANY_NAME")</f>
        <v>Delta Air Lines, Inc.</v>
      </c>
      <c r="N3" s="390"/>
      <c r="O3" s="1026"/>
      <c r="R3" s="528"/>
    </row>
    <row r="4" spans="1:19">
      <c r="B4" s="392" t="s">
        <v>27</v>
      </c>
      <c r="C4" s="393"/>
      <c r="L4" s="394">
        <f ca="1">IF(NOT(OFFSET(Data!E7,0,MATCH('Delta Beta'!$C$5,Data!$B$4:$Q$4,0)-3)=""),OFFSET(Data!E7,0,MATCH('Delta Beta'!$C$5,Data!$B$4:$Q$4,0)-3),#N/A)-$C$8/250</f>
        <v>-2.2824855683128208E-2</v>
      </c>
      <c r="M4" s="394">
        <f ca="1">IF(NOT(OFFSET(Data!E7,0,MATCH('Delta Beta'!$C$5,Data!$B$4:$Q$4,0)-1)=""),OFFSET(Data!E7,0,MATCH('Delta Beta'!$C$5,Data!$B$4:$Q$4,0)-1),#N/A)-$C$8/250</f>
        <v>-8.3496321491559514E-2</v>
      </c>
      <c r="N4" s="395">
        <v>-0.15</v>
      </c>
      <c r="O4" s="529">
        <f ca="1">N4*$C$9</f>
        <v>-0.18276463520958247</v>
      </c>
      <c r="P4" s="528" t="s">
        <v>895</v>
      </c>
      <c r="Q4" s="530" t="s">
        <v>896</v>
      </c>
      <c r="R4" s="530" t="s">
        <v>897</v>
      </c>
    </row>
    <row r="5" spans="1:19">
      <c r="B5" s="396" t="s">
        <v>898</v>
      </c>
      <c r="C5" s="397" t="s">
        <v>895</v>
      </c>
      <c r="D5" s="398"/>
      <c r="E5" s="398"/>
      <c r="F5" s="398"/>
      <c r="G5" s="398"/>
      <c r="H5" s="398"/>
      <c r="I5" s="398"/>
      <c r="J5" s="398"/>
      <c r="K5" s="398"/>
      <c r="L5" s="394">
        <f ca="1">IF(NOT(OFFSET(Data!E8,0,MATCH('Delta Beta'!$C$5,Data!$B$4:$Q$4,0)-3)=""),OFFSET(Data!E8,0,MATCH('Delta Beta'!$C$5,Data!$B$4:$Q$4,0)-3),#N/A)-$C$8/250</f>
        <v>2.1939006971240962E-3</v>
      </c>
      <c r="M5" s="394">
        <f ca="1">IF(NOT(OFFSET(Data!E8,0,MATCH('Delta Beta'!$C$5,Data!$B$4:$Q$4,0)-1)=""),OFFSET(Data!E8,0,MATCH('Delta Beta'!$C$5,Data!$B$4:$Q$4,0)-1),#N/A)-$C$8/250</f>
        <v>3.9475588160888695E-3</v>
      </c>
      <c r="N5" s="395">
        <v>0.15</v>
      </c>
      <c r="O5" s="529">
        <f ca="1">N5*$C$9</f>
        <v>0.18276463520958247</v>
      </c>
      <c r="P5" s="528" t="s">
        <v>899</v>
      </c>
      <c r="Q5" s="530" t="s">
        <v>900</v>
      </c>
      <c r="R5" s="530" t="s">
        <v>901</v>
      </c>
    </row>
    <row r="6" spans="1:19">
      <c r="B6" s="396" t="str">
        <f>"Avg. Total Return Firm "&amp;C5&amp;" (p.a.)"</f>
        <v>Avg. Total Return Firm 1 Year (p.a.)</v>
      </c>
      <c r="C6" s="399">
        <f ca="1">AVERAGE(INDIRECT(VLOOKUP(C5,P4:S7,3,0)))*COUNT(INDIRECT(VLOOKUP(C5,P4:S7,3,0)))/IF(C5="10 Years",10,IF(C5="5 Years",5,IF(C5="3 Years",3,1)))</f>
        <v>-6.457951050275812E-2</v>
      </c>
      <c r="D6" s="398"/>
      <c r="E6" s="398"/>
      <c r="F6" s="398"/>
      <c r="G6" s="398"/>
      <c r="H6" s="398"/>
      <c r="I6" s="398"/>
      <c r="J6" s="398"/>
      <c r="K6" s="398"/>
      <c r="L6" s="394">
        <f ca="1">IF(NOT(OFFSET(Data!E9,0,MATCH('Delta Beta'!$C$5,Data!$B$4:$Q$4,0)-3)=""),OFFSET(Data!E9,0,MATCH('Delta Beta'!$C$5,Data!$B$4:$Q$4,0)-3),#N/A)-$C$8/250</f>
        <v>1.5570786727996278E-3</v>
      </c>
      <c r="M6" s="394">
        <f ca="1">IF(NOT(OFFSET(Data!E9,0,MATCH('Delta Beta'!$C$5,Data!$B$4:$Q$4,0)-1)=""),OFFSET(Data!E9,0,MATCH('Delta Beta'!$C$5,Data!$B$4:$Q$4,0)-1),#N/A)-$C$8/250</f>
        <v>-6.1346995222529956E-3</v>
      </c>
      <c r="N6" s="395"/>
      <c r="P6" s="528" t="s">
        <v>902</v>
      </c>
      <c r="Q6" s="530" t="s">
        <v>903</v>
      </c>
      <c r="R6" s="530" t="s">
        <v>904</v>
      </c>
    </row>
    <row r="7" spans="1:19">
      <c r="B7" s="396" t="str">
        <f>"Avg. Retunr S&amp;P500 "&amp;C5&amp;" (p.a.)"</f>
        <v>Avg. Retunr S&amp;P500 1 Year (p.a.)</v>
      </c>
      <c r="C7" s="399">
        <f ca="1">AVERAGE(INDIRECT(VLOOKUP(C5,P4:S7,2,0)))*COUNT(INDIRECT(VLOOKUP(C5,P4:S7,3,0)))/IF(C5="10 Years",10,IF(C5="5 Years",5,IF(C5="3 Years",3,1)))</f>
        <v>0.24166117147069088</v>
      </c>
      <c r="D7" s="398"/>
      <c r="E7" s="398"/>
      <c r="F7" s="398"/>
      <c r="G7" s="398"/>
      <c r="H7" s="398"/>
      <c r="I7" s="398"/>
      <c r="J7" s="398"/>
      <c r="K7" s="398"/>
      <c r="L7" s="394">
        <f ca="1">IF(NOT(OFFSET(Data!E10,0,MATCH('Delta Beta'!$C$5,Data!$B$4:$Q$4,0)-3)=""),OFFSET(Data!E10,0,MATCH('Delta Beta'!$C$5,Data!$B$4:$Q$4,0)-3),#N/A)-$C$8/250</f>
        <v>-3.2971323723489762E-3</v>
      </c>
      <c r="M7" s="394">
        <f ca="1">IF(NOT(OFFSET(Data!E10,0,MATCH('Delta Beta'!$C$5,Data!$B$4:$Q$4,0)-1)=""),OFFSET(Data!E10,0,MATCH('Delta Beta'!$C$5,Data!$B$4:$Q$4,0)-1),#N/A)-$C$8/250</f>
        <v>1.9156210632402693E-3</v>
      </c>
      <c r="N7" s="395"/>
      <c r="P7" s="528" t="s">
        <v>905</v>
      </c>
      <c r="Q7" s="530" t="s">
        <v>906</v>
      </c>
      <c r="R7" s="530" t="s">
        <v>907</v>
      </c>
    </row>
    <row r="8" spans="1:19">
      <c r="B8" s="396" t="s">
        <v>908</v>
      </c>
      <c r="C8" s="400">
        <v>2.5000000000000001E-2</v>
      </c>
      <c r="D8" s="398"/>
      <c r="E8" s="398"/>
      <c r="F8" s="398"/>
      <c r="G8" s="398"/>
      <c r="H8" s="398"/>
      <c r="I8" s="398"/>
      <c r="J8" s="398"/>
      <c r="K8" s="398"/>
      <c r="L8" s="394">
        <f ca="1">IF(NOT(OFFSET(Data!E11,0,MATCH('Delta Beta'!$C$5,Data!$B$4:$Q$4,0)-3)=""),OFFSET(Data!E11,0,MATCH('Delta Beta'!$C$5,Data!$B$4:$Q$4,0)-3),#N/A)-$C$8/250</f>
        <v>-1.4986489646171663E-3</v>
      </c>
      <c r="M8" s="394">
        <f ca="1">IF(NOT(OFFSET(Data!E11,0,MATCH('Delta Beta'!$C$5,Data!$B$4:$Q$4,0)-1)=""),OFFSET(Data!E11,0,MATCH('Delta Beta'!$C$5,Data!$B$4:$Q$4,0)-1),#N/A)-$C$8/250</f>
        <v>-1.0817846460618129E-2</v>
      </c>
      <c r="N8" s="395"/>
      <c r="R8" s="528"/>
    </row>
    <row r="9" spans="1:19">
      <c r="A9"/>
      <c r="B9" s="401" t="s">
        <v>27</v>
      </c>
      <c r="C9" s="402">
        <f ca="1">_xlfn.COVARIANCE.P(INDIRECT(VLOOKUP(C5,P4:S7,2,0)),INDIRECT(VLOOKUP(C5,P4:S7,3,0)))/_xlfn.COVARIANCE.P(INDIRECT(VLOOKUP(C5,P4:S7,2,0)),INDIRECT(VLOOKUP(C5,P4:S7,2,0)))</f>
        <v>1.2184309013972165</v>
      </c>
      <c r="D9" s="398"/>
      <c r="E9" s="398"/>
      <c r="F9" s="398"/>
      <c r="G9" s="398"/>
      <c r="H9" s="398"/>
      <c r="I9" s="398"/>
      <c r="J9" s="398"/>
      <c r="K9" s="398"/>
      <c r="L9" s="394">
        <f ca="1">IF(NOT(OFFSET(Data!E12,0,MATCH('Delta Beta'!$C$5,Data!$B$4:$Q$4,0)-3)=""),OFFSET(Data!E12,0,MATCH('Delta Beta'!$C$5,Data!$B$4:$Q$4,0)-3),#N/A)-$C$8/250</f>
        <v>3.2847551651107201E-3</v>
      </c>
      <c r="M9" s="394">
        <f ca="1">IF(NOT(OFFSET(Data!E12,0,MATCH('Delta Beta'!$C$5,Data!$B$4:$Q$4,0)-1)=""),OFFSET(Data!E12,0,MATCH('Delta Beta'!$C$5,Data!$B$4:$Q$4,0)-1),#N/A)-$C$8/250</f>
        <v>-1.459275362318847E-2</v>
      </c>
      <c r="N9" s="395"/>
      <c r="R9" s="528"/>
    </row>
    <row r="10" spans="1:19">
      <c r="C10" s="388"/>
      <c r="D10" s="398"/>
      <c r="E10" s="398"/>
      <c r="F10" s="398"/>
      <c r="G10" s="398"/>
      <c r="H10" s="398"/>
      <c r="I10" s="398"/>
      <c r="J10" s="398"/>
      <c r="K10" s="398"/>
      <c r="L10" s="394">
        <f ca="1">IF(NOT(OFFSET(Data!E13,0,MATCH('Delta Beta'!$C$5,Data!$B$4:$Q$4,0)-3)=""),OFFSET(Data!E13,0,MATCH('Delta Beta'!$C$5,Data!$B$4:$Q$4,0)-3),#N/A)-$C$8/250</f>
        <v>-2.7016294752068124E-3</v>
      </c>
      <c r="M10" s="394">
        <f ca="1">IF(NOT(OFFSET(Data!E13,0,MATCH('Delta Beta'!$C$5,Data!$B$4:$Q$4,0)-1)=""),OFFSET(Data!E13,0,MATCH('Delta Beta'!$C$5,Data!$B$4:$Q$4,0)-1),#N/A)-$C$8/250</f>
        <v>-8.1409356725146258E-3</v>
      </c>
      <c r="N10" s="395"/>
      <c r="R10" s="528"/>
    </row>
    <row r="11" spans="1:19">
      <c r="B11" s="3" t="s">
        <v>909</v>
      </c>
      <c r="D11" s="398"/>
      <c r="E11" s="398"/>
      <c r="F11" s="398"/>
      <c r="G11" s="398"/>
      <c r="H11" s="398"/>
      <c r="I11" s="398"/>
      <c r="J11" s="398"/>
      <c r="K11" s="398"/>
      <c r="L11" s="394">
        <f ca="1">IF(NOT(OFFSET(Data!E14,0,MATCH('Delta Beta'!$C$5,Data!$B$4:$Q$4,0)-3)=""),OFFSET(Data!E14,0,MATCH('Delta Beta'!$C$5,Data!$B$4:$Q$4,0)-3),#N/A)-$C$8/250</f>
        <v>3.7652088494062211E-3</v>
      </c>
      <c r="M11" s="394">
        <f ca="1">IF(NOT(OFFSET(Data!E14,0,MATCH('Delta Beta'!$C$5,Data!$B$4:$Q$4,0)-1)=""),OFFSET(Data!E14,0,MATCH('Delta Beta'!$C$5,Data!$B$4:$Q$4,0)-1),#N/A)-$C$8/250</f>
        <v>-3.1718688060405911E-2</v>
      </c>
      <c r="N11" s="395"/>
      <c r="O11" s="388" t="s">
        <v>910</v>
      </c>
      <c r="P11" s="1000" t="s">
        <v>911</v>
      </c>
      <c r="Q11" s="1000" t="s">
        <v>912</v>
      </c>
      <c r="R11" s="1000" t="s">
        <v>913</v>
      </c>
      <c r="S11" s="1000" t="s">
        <v>914</v>
      </c>
    </row>
    <row r="12" spans="1:19">
      <c r="B12" s="3" t="s">
        <v>911</v>
      </c>
      <c r="C12" s="3" t="str">
        <f>"["&amp;ROUND(P12-1.96*P13,2)&amp;","&amp;ROUND(P12+1.96*P13,2)&amp;"]"</f>
        <v>[0.9,1.54]</v>
      </c>
      <c r="D12" s="398"/>
      <c r="E12" s="398"/>
      <c r="F12" s="398"/>
      <c r="G12" s="398"/>
      <c r="H12" s="398"/>
      <c r="I12" s="398"/>
      <c r="J12" s="398"/>
      <c r="K12" s="398"/>
      <c r="L12" s="394">
        <f ca="1">IF(NOT(OFFSET(Data!E15,0,MATCH('Delta Beta'!$C$5,Data!$B$4:$Q$4,0)-3)=""),OFFSET(Data!E15,0,MATCH('Delta Beta'!$C$5,Data!$B$4:$Q$4,0)-3),#N/A)-$C$8/250</f>
        <v>-1.106772585071191E-4</v>
      </c>
      <c r="M12" s="394">
        <f ca="1">IF(NOT(OFFSET(Data!E15,0,MATCH('Delta Beta'!$C$5,Data!$B$4:$Q$4,0)-1)=""),OFFSET(Data!E15,0,MATCH('Delta Beta'!$C$5,Data!$B$4:$Q$4,0)-1),#N/A)-$C$8/250</f>
        <v>3.6896731406916741E-3</v>
      </c>
      <c r="N12" s="395"/>
      <c r="O12" s="388" t="s">
        <v>27</v>
      </c>
      <c r="P12" s="943">
        <f t="array" ref="P12:P13">LINEST(Data!Q7:Q259,Data!O7:O259,TRUE,TRUE)</f>
        <v>1.218430901397215</v>
      </c>
      <c r="Q12" s="943">
        <f t="array" ref="Q12:Q13">LINEST(Data!M7:M761,Data!K7:K761,TRUE,TRUE)</f>
        <v>1.2813287958616941</v>
      </c>
      <c r="R12" s="943">
        <f t="array" ref="R12:R13">LINEST(Data!I7:I1265,Data!G7:G1265,TRUE,TRUE)</f>
        <v>1.2492372646240386</v>
      </c>
      <c r="S12" s="943">
        <f t="array" ref="S12:S13">LINEST(Data!E7:E2523,Data!C7:C2523,TRUE,TRUE)</f>
        <v>1.2503852510733071</v>
      </c>
    </row>
    <row r="13" spans="1:19">
      <c r="B13" s="3" t="s">
        <v>912</v>
      </c>
      <c r="C13" s="3" t="str">
        <f>"["&amp;ROUND(Q12-1.96*Q13,2)&amp;","&amp;ROUND(Q12+1.96*Q13,2)&amp;"]"</f>
        <v>[1.14,1.42]</v>
      </c>
      <c r="D13" s="398"/>
      <c r="E13" s="398"/>
      <c r="F13" s="398"/>
      <c r="G13" s="398"/>
      <c r="H13" s="398"/>
      <c r="I13" s="398"/>
      <c r="J13" s="398"/>
      <c r="K13" s="398"/>
      <c r="L13" s="394">
        <f ca="1">IF(NOT(OFFSET(Data!E16,0,MATCH('Delta Beta'!$C$5,Data!$B$4:$Q$4,0)-3)=""),OFFSET(Data!E16,0,MATCH('Delta Beta'!$C$5,Data!$B$4:$Q$4,0)-3),#N/A)-$C$8/250</f>
        <v>7.1226392530441161E-3</v>
      </c>
      <c r="M13" s="394">
        <f ca="1">IF(NOT(OFFSET(Data!E16,0,MATCH('Delta Beta'!$C$5,Data!$B$4:$Q$4,0)-1)=""),OFFSET(Data!E16,0,MATCH('Delta Beta'!$C$5,Data!$B$4:$Q$4,0)-1),#N/A)-$C$8/250</f>
        <v>-2.8408400460299254E-2</v>
      </c>
      <c r="N13" s="395"/>
      <c r="O13" s="388" t="s">
        <v>915</v>
      </c>
      <c r="P13" s="943">
        <v>0.16495376762421129</v>
      </c>
      <c r="Q13" s="943">
        <v>6.9951477900337122E-2</v>
      </c>
      <c r="R13" s="943">
        <v>5.4019011246991759E-2</v>
      </c>
      <c r="S13" s="943">
        <v>4.1170844675124614E-2</v>
      </c>
    </row>
    <row r="14" spans="1:19">
      <c r="B14" s="3" t="s">
        <v>913</v>
      </c>
      <c r="C14" s="3" t="str">
        <f>"["&amp;ROUND(R12-1.96*R13,2)&amp;","&amp;ROUND(R12+1.96*R13,2)&amp;"]"</f>
        <v>[1.14,1.36]</v>
      </c>
      <c r="D14" s="398"/>
      <c r="E14" s="398"/>
      <c r="F14" s="398"/>
      <c r="G14" s="398"/>
      <c r="H14" s="398"/>
      <c r="I14" s="398"/>
      <c r="J14" s="398"/>
      <c r="K14" s="398"/>
      <c r="L14" s="394">
        <f ca="1">IF(NOT(OFFSET(Data!E17,0,MATCH('Delta Beta'!$C$5,Data!$B$4:$Q$4,0)-3)=""),OFFSET(Data!E17,0,MATCH('Delta Beta'!$C$5,Data!$B$4:$Q$4,0)-3),#N/A)-$C$8/250</f>
        <v>4.509274303756584E-4</v>
      </c>
      <c r="M14" s="394">
        <f ca="1">IF(NOT(OFFSET(Data!E17,0,MATCH('Delta Beta'!$C$5,Data!$B$4:$Q$4,0)-1)=""),OFFSET(Data!E17,0,MATCH('Delta Beta'!$C$5,Data!$B$4:$Q$4,0)-1),#N/A)-$C$8/250</f>
        <v>-6.048295584534358E-3</v>
      </c>
      <c r="N14" s="395"/>
      <c r="R14" s="528"/>
    </row>
    <row r="15" spans="1:19">
      <c r="B15" s="3" t="s">
        <v>914</v>
      </c>
      <c r="C15" s="3" t="str">
        <f>"["&amp;ROUND(S12-1.96*S13,2)&amp;","&amp;ROUND(S12+1.96*S13,2)&amp;"]"</f>
        <v>[1.17,1.33]</v>
      </c>
      <c r="D15" s="398"/>
      <c r="E15" s="398"/>
      <c r="F15" s="398"/>
      <c r="G15" s="398"/>
      <c r="H15" s="398"/>
      <c r="I15" s="398"/>
      <c r="J15" s="398"/>
      <c r="K15" s="398"/>
      <c r="L15" s="394">
        <f ca="1">IF(NOT(OFFSET(Data!E18,0,MATCH('Delta Beta'!$C$5,Data!$B$4:$Q$4,0)-3)=""),OFFSET(Data!E18,0,MATCH('Delta Beta'!$C$5,Data!$B$4:$Q$4,0)-3),#N/A)-$C$8/250</f>
        <v>-8.3258150578944361E-3</v>
      </c>
      <c r="M15" s="394">
        <f ca="1">IF(NOT(OFFSET(Data!E18,0,MATCH('Delta Beta'!$C$5,Data!$B$4:$Q$4,0)-1)=""),OFFSET(Data!E18,0,MATCH('Delta Beta'!$C$5,Data!$B$4:$Q$4,0)-1),#N/A)-$C$8/250</f>
        <v>-1.8514551987424254E-2</v>
      </c>
      <c r="N15" s="395"/>
      <c r="R15" s="528"/>
    </row>
    <row r="16" spans="1:19">
      <c r="D16" s="398"/>
      <c r="E16" s="398"/>
      <c r="F16" s="398"/>
      <c r="G16" s="398"/>
      <c r="H16" s="398"/>
      <c r="I16" s="398"/>
      <c r="J16" s="398"/>
      <c r="K16" s="398"/>
      <c r="L16" s="394">
        <f ca="1">IF(NOT(OFFSET(Data!E19,0,MATCH('Delta Beta'!$C$5,Data!$B$4:$Q$4,0)-3)=""),OFFSET(Data!E19,0,MATCH('Delta Beta'!$C$5,Data!$B$4:$Q$4,0)-3),#N/A)-$C$8/250</f>
        <v>-3.5987345002870372E-3</v>
      </c>
      <c r="M16" s="394">
        <f ca="1">IF(NOT(OFFSET(Data!E19,0,MATCH('Delta Beta'!$C$5,Data!$B$4:$Q$4,0)-1)=""),OFFSET(Data!E19,0,MATCH('Delta Beta'!$C$5,Data!$B$4:$Q$4,0)-1),#N/A)-$C$8/250</f>
        <v>-2.7875699888017078E-3</v>
      </c>
      <c r="N16" s="395"/>
      <c r="R16" s="528"/>
    </row>
    <row r="17" spans="4:18">
      <c r="D17" s="398"/>
      <c r="E17" s="398"/>
      <c r="F17" s="398"/>
      <c r="G17" s="398"/>
      <c r="H17" s="398"/>
      <c r="I17" s="398"/>
      <c r="J17" s="398"/>
      <c r="K17" s="398"/>
      <c r="L17" s="394">
        <f ca="1">IF(NOT(OFFSET(Data!E20,0,MATCH('Delta Beta'!$C$5,Data!$B$4:$Q$4,0)-3)=""),OFFSET(Data!E20,0,MATCH('Delta Beta'!$C$5,Data!$B$4:$Q$4,0)-3),#N/A)-$C$8/250</f>
        <v>7.8770055752696026E-4</v>
      </c>
      <c r="M17" s="394">
        <f ca="1">IF(NOT(OFFSET(Data!E20,0,MATCH('Delta Beta'!$C$5,Data!$B$4:$Q$4,0)-1)=""),OFFSET(Data!E20,0,MATCH('Delta Beta'!$C$5,Data!$B$4:$Q$4,0)-1),#N/A)-$C$8/250</f>
        <v>8.0282456536464493E-3</v>
      </c>
      <c r="N17" s="395"/>
      <c r="R17" s="528"/>
    </row>
    <row r="18" spans="4:18">
      <c r="D18" s="398"/>
      <c r="E18" s="398"/>
      <c r="F18" s="398"/>
      <c r="G18" s="398"/>
      <c r="H18" s="398"/>
      <c r="I18" s="398"/>
      <c r="J18" s="398"/>
      <c r="K18" s="398"/>
      <c r="L18" s="394">
        <f ca="1">IF(NOT(OFFSET(Data!E21,0,MATCH('Delta Beta'!$C$5,Data!$B$4:$Q$4,0)-3)=""),OFFSET(Data!E21,0,MATCH('Delta Beta'!$C$5,Data!$B$4:$Q$4,0)-3),#N/A)-$C$8/250</f>
        <v>3.6328581257503048E-3</v>
      </c>
      <c r="M18" s="394">
        <f ca="1">IF(NOT(OFFSET(Data!E21,0,MATCH('Delta Beta'!$C$5,Data!$B$4:$Q$4,0)-1)=""),OFFSET(Data!E21,0,MATCH('Delta Beta'!$C$5,Data!$B$4:$Q$4,0)-1),#N/A)-$C$8/250</f>
        <v>8.0407440839229002E-2</v>
      </c>
      <c r="N18" s="395"/>
      <c r="R18" s="391"/>
    </row>
    <row r="19" spans="4:18">
      <c r="D19" s="398"/>
      <c r="E19" s="398"/>
      <c r="F19" s="398"/>
      <c r="G19" s="398"/>
      <c r="H19" s="398"/>
      <c r="I19" s="398"/>
      <c r="J19" s="398"/>
      <c r="K19" s="398"/>
      <c r="L19" s="394">
        <f ca="1">IF(NOT(OFFSET(Data!E22,0,MATCH('Delta Beta'!$C$5,Data!$B$4:$Q$4,0)-3)=""),OFFSET(Data!E22,0,MATCH('Delta Beta'!$C$5,Data!$B$4:$Q$4,0)-3),#N/A)-$C$8/250</f>
        <v>4.0818919145084618E-3</v>
      </c>
      <c r="M19" s="394">
        <f ca="1">IF(NOT(OFFSET(Data!E22,0,MATCH('Delta Beta'!$C$5,Data!$B$4:$Q$4,0)-1)=""),OFFSET(Data!E22,0,MATCH('Delta Beta'!$C$5,Data!$B$4:$Q$4,0)-1),#N/A)-$C$8/250</f>
        <v>-6.1620756547041801E-3</v>
      </c>
      <c r="N19" s="395"/>
      <c r="Q19" s="529"/>
      <c r="R19" s="391"/>
    </row>
    <row r="20" spans="4:18">
      <c r="D20" s="398"/>
      <c r="E20" s="398"/>
      <c r="F20" s="398"/>
      <c r="G20" s="398"/>
      <c r="H20" s="398"/>
      <c r="I20" s="398"/>
      <c r="J20" s="398"/>
      <c r="K20" s="398"/>
      <c r="L20" s="394">
        <f ca="1">IF(NOT(OFFSET(Data!E23,0,MATCH('Delta Beta'!$C$5,Data!$B$4:$Q$4,0)-3)=""),OFFSET(Data!E23,0,MATCH('Delta Beta'!$C$5,Data!$B$4:$Q$4,0)-3),#N/A)-$C$8/250</f>
        <v>6.3612959303769199E-3</v>
      </c>
      <c r="M20" s="394">
        <f ca="1">IF(NOT(OFFSET(Data!E23,0,MATCH('Delta Beta'!$C$5,Data!$B$4:$Q$4,0)-1)=""),OFFSET(Data!E23,0,MATCH('Delta Beta'!$C$5,Data!$B$4:$Q$4,0)-1),#N/A)-$C$8/250</f>
        <v>2.094481307254269E-2</v>
      </c>
      <c r="N20" s="395"/>
      <c r="R20" s="391"/>
    </row>
    <row r="21" spans="4:18">
      <c r="D21" s="398"/>
      <c r="E21" s="398"/>
      <c r="F21" s="398"/>
      <c r="G21" s="398"/>
      <c r="H21" s="398"/>
      <c r="I21" s="398"/>
      <c r="J21" s="398"/>
      <c r="K21" s="398"/>
      <c r="L21" s="394">
        <f ca="1">IF(NOT(OFFSET(Data!E24,0,MATCH('Delta Beta'!$C$5,Data!$B$4:$Q$4,0)-3)=""),OFFSET(Data!E24,0,MATCH('Delta Beta'!$C$5,Data!$B$4:$Q$4,0)-3),#N/A)-$C$8/250</f>
        <v>3.5803672564356129E-3</v>
      </c>
      <c r="M21" s="394">
        <f ca="1">IF(NOT(OFFSET(Data!E24,0,MATCH('Delta Beta'!$C$5,Data!$B$4:$Q$4,0)-1)=""),OFFSET(Data!E24,0,MATCH('Delta Beta'!$C$5,Data!$B$4:$Q$4,0)-1),#N/A)-$C$8/250</f>
        <v>-8.4220682830283829E-4</v>
      </c>
      <c r="N21" s="395"/>
      <c r="R21" s="391"/>
    </row>
    <row r="22" spans="4:18">
      <c r="D22" s="398"/>
      <c r="E22" s="398"/>
      <c r="F22" s="398"/>
      <c r="G22" s="398"/>
      <c r="H22" s="398"/>
      <c r="I22" s="398"/>
      <c r="J22" s="398"/>
      <c r="K22" s="398"/>
      <c r="L22" s="394">
        <f ca="1">IF(NOT(OFFSET(Data!E25,0,MATCH('Delta Beta'!$C$5,Data!$B$4:$Q$4,0)-3)=""),OFFSET(Data!E25,0,MATCH('Delta Beta'!$C$5,Data!$B$4:$Q$4,0)-3),#N/A)-$C$8/250</f>
        <v>1.7000686154020506E-3</v>
      </c>
      <c r="M22" s="394">
        <f ca="1">IF(NOT(OFFSET(Data!E25,0,MATCH('Delta Beta'!$C$5,Data!$B$4:$Q$4,0)-1)=""),OFFSET(Data!E25,0,MATCH('Delta Beta'!$C$5,Data!$B$4:$Q$4,0)-1),#N/A)-$C$8/250</f>
        <v>3.2867032967032847E-2</v>
      </c>
      <c r="N22" s="395"/>
      <c r="R22" s="391"/>
    </row>
    <row r="23" spans="4:18">
      <c r="D23" s="398"/>
      <c r="E23" s="398"/>
      <c r="F23" s="398"/>
      <c r="G23" s="398"/>
      <c r="H23" s="398"/>
      <c r="I23" s="398"/>
      <c r="J23" s="398"/>
      <c r="K23" s="398"/>
      <c r="L23" s="394">
        <f ca="1">IF(NOT(OFFSET(Data!E26,0,MATCH('Delta Beta'!$C$5,Data!$B$4:$Q$4,0)-3)=""),OFFSET(Data!E26,0,MATCH('Delta Beta'!$C$5,Data!$B$4:$Q$4,0)-3),#N/A)-$C$8/250</f>
        <v>1.8493431844783692E-3</v>
      </c>
      <c r="M23" s="394">
        <f ca="1">IF(NOT(OFFSET(Data!E26,0,MATCH('Delta Beta'!$C$5,Data!$B$4:$Q$4,0)-1)=""),OFFSET(Data!E26,0,MATCH('Delta Beta'!$C$5,Data!$B$4:$Q$4,0)-1),#N/A)-$C$8/250</f>
        <v>-6.1085568326936231E-4</v>
      </c>
      <c r="N23" s="395"/>
      <c r="R23" s="391"/>
    </row>
    <row r="24" spans="4:18">
      <c r="D24" s="398"/>
      <c r="E24" s="398"/>
      <c r="F24" s="398"/>
      <c r="G24" s="398"/>
      <c r="H24" s="398"/>
      <c r="I24" s="398"/>
      <c r="J24" s="398"/>
      <c r="K24" s="398"/>
      <c r="L24" s="394">
        <f ca="1">IF(NOT(OFFSET(Data!E27,0,MATCH('Delta Beta'!$C$5,Data!$B$4:$Q$4,0)-3)=""),OFFSET(Data!E27,0,MATCH('Delta Beta'!$C$5,Data!$B$4:$Q$4,0)-3),#N/A)-$C$8/250</f>
        <v>9.729337739032607E-3</v>
      </c>
      <c r="M24" s="394">
        <f ca="1">IF(NOT(OFFSET(Data!E27,0,MATCH('Delta Beta'!$C$5,Data!$B$4:$Q$4,0)-1)=""),OFFSET(Data!E27,0,MATCH('Delta Beta'!$C$5,Data!$B$4:$Q$4,0)-1),#N/A)-$C$8/250</f>
        <v>1.9476068594830199E-3</v>
      </c>
      <c r="N24" s="395"/>
      <c r="R24" s="391"/>
    </row>
    <row r="25" spans="4:18">
      <c r="D25" s="398"/>
      <c r="E25" s="398"/>
      <c r="F25" s="398"/>
      <c r="G25" s="398"/>
      <c r="H25" s="398"/>
      <c r="I25" s="398"/>
      <c r="J25" s="398"/>
      <c r="K25" s="398"/>
      <c r="L25" s="394">
        <f ca="1">IF(NOT(OFFSET(Data!E28,0,MATCH('Delta Beta'!$C$5,Data!$B$4:$Q$4,0)-3)=""),OFFSET(Data!E28,0,MATCH('Delta Beta'!$C$5,Data!$B$4:$Q$4,0)-3),#N/A)-$C$8/250</f>
        <v>-5.1515979968478455E-3</v>
      </c>
      <c r="M25" s="394">
        <f ca="1">IF(NOT(OFFSET(Data!E28,0,MATCH('Delta Beta'!$C$5,Data!$B$4:$Q$4,0)-1)=""),OFFSET(Data!E28,0,MATCH('Delta Beta'!$C$5,Data!$B$4:$Q$4,0)-1),#N/A)-$C$8/250</f>
        <v>-1.6216847141777856E-2</v>
      </c>
      <c r="N25" s="395"/>
      <c r="R25" s="391"/>
    </row>
    <row r="26" spans="4:18">
      <c r="D26" s="398"/>
      <c r="E26" s="398"/>
      <c r="F26" s="398"/>
      <c r="G26" s="398"/>
      <c r="H26" s="398"/>
      <c r="I26" s="398"/>
      <c r="J26" s="398"/>
      <c r="K26" s="398"/>
      <c r="L26" s="394">
        <f ca="1">IF(NOT(OFFSET(Data!E29,0,MATCH('Delta Beta'!$C$5,Data!$B$4:$Q$4,0)-3)=""),OFFSET(Data!E29,0,MATCH('Delta Beta'!$C$5,Data!$B$4:$Q$4,0)-3),#N/A)-$C$8/250</f>
        <v>1.7197824144636776E-3</v>
      </c>
      <c r="M26" s="394">
        <f ca="1">IF(NOT(OFFSET(Data!E29,0,MATCH('Delta Beta'!$C$5,Data!$B$4:$Q$4,0)-1)=""),OFFSET(Data!E29,0,MATCH('Delta Beta'!$C$5,Data!$B$4:$Q$4,0)-1),#N/A)-$C$8/250</f>
        <v>4.9620096178184412E-3</v>
      </c>
      <c r="N26" s="395"/>
      <c r="R26" s="391"/>
    </row>
    <row r="27" spans="4:18">
      <c r="D27" s="398"/>
      <c r="E27" s="398"/>
      <c r="F27" s="398"/>
      <c r="G27" s="398"/>
      <c r="H27" s="398"/>
      <c r="I27" s="398"/>
      <c r="J27" s="398"/>
      <c r="K27" s="398"/>
      <c r="L27" s="394">
        <f ca="1">IF(NOT(OFFSET(Data!E30,0,MATCH('Delta Beta'!$C$5,Data!$B$4:$Q$4,0)-3)=""),OFFSET(Data!E30,0,MATCH('Delta Beta'!$C$5,Data!$B$4:$Q$4,0)-3),#N/A)-$C$8/250</f>
        <v>4.6481792778718554E-3</v>
      </c>
      <c r="M27" s="394">
        <f ca="1">IF(NOT(OFFSET(Data!E30,0,MATCH('Delta Beta'!$C$5,Data!$B$4:$Q$4,0)-1)=""),OFFSET(Data!E30,0,MATCH('Delta Beta'!$C$5,Data!$B$4:$Q$4,0)-1),#N/A)-$C$8/250</f>
        <v>-5.887619526925081E-3</v>
      </c>
      <c r="N27" s="395"/>
      <c r="R27" s="391"/>
    </row>
    <row r="28" spans="4:18">
      <c r="D28" s="398"/>
      <c r="E28" s="398"/>
      <c r="F28" s="398"/>
      <c r="G28" s="398"/>
      <c r="H28" s="398"/>
      <c r="I28" s="398"/>
      <c r="J28" s="398"/>
      <c r="K28" s="398"/>
      <c r="L28" s="394">
        <f ca="1">IF(NOT(OFFSET(Data!E31,0,MATCH('Delta Beta'!$C$5,Data!$B$4:$Q$4,0)-3)=""),OFFSET(Data!E31,0,MATCH('Delta Beta'!$C$5,Data!$B$4:$Q$4,0)-3),#N/A)-$C$8/250</f>
        <v>-1.1725793335062406E-3</v>
      </c>
      <c r="M28" s="394">
        <f ca="1">IF(NOT(OFFSET(Data!E31,0,MATCH('Delta Beta'!$C$5,Data!$B$4:$Q$4,0)-1)=""),OFFSET(Data!E31,0,MATCH('Delta Beta'!$C$5,Data!$B$4:$Q$4,0)-1),#N/A)-$C$8/250</f>
        <v>-1.643663366336624E-2</v>
      </c>
      <c r="N28" s="395"/>
      <c r="R28" s="391"/>
    </row>
    <row r="29" spans="4:18">
      <c r="L29" s="394">
        <f ca="1">IF(NOT(OFFSET(Data!E32,0,MATCH('Delta Beta'!$C$5,Data!$B$4:$Q$4,0)-3)=""),OFFSET(Data!E32,0,MATCH('Delta Beta'!$C$5,Data!$B$4:$Q$4,0)-3),#N/A)-$C$8/250</f>
        <v>2.8959062561313312E-3</v>
      </c>
      <c r="M29" s="394">
        <f ca="1">IF(NOT(OFFSET(Data!E32,0,MATCH('Delta Beta'!$C$5,Data!$B$4:$Q$4,0)-1)=""),OFFSET(Data!E32,0,MATCH('Delta Beta'!$C$5,Data!$B$4:$Q$4,0)-1),#N/A)-$C$8/250</f>
        <v>2.3813895781639063E-3</v>
      </c>
      <c r="N29" s="395"/>
      <c r="R29" s="391"/>
    </row>
    <row r="30" spans="4:18">
      <c r="L30" s="394">
        <f ca="1">IF(NOT(OFFSET(Data!E33,0,MATCH('Delta Beta'!$C$5,Data!$B$4:$Q$4,0)-3)=""),OFFSET(Data!E33,0,MATCH('Delta Beta'!$C$5,Data!$B$4:$Q$4,0)-3),#N/A)-$C$8/250</f>
        <v>3.5640167447334894E-3</v>
      </c>
      <c r="M30" s="394">
        <f ca="1">IF(NOT(OFFSET(Data!E33,0,MATCH('Delta Beta'!$C$5,Data!$B$4:$Q$4,0)-1)=""),OFFSET(Data!E33,0,MATCH('Delta Beta'!$C$5,Data!$B$4:$Q$4,0)-1),#N/A)-$C$8/250</f>
        <v>-3.8082818294191798E-3</v>
      </c>
      <c r="N30" s="395"/>
      <c r="R30" s="391"/>
    </row>
    <row r="31" spans="4:18">
      <c r="L31" s="394">
        <f ca="1">IF(NOT(OFFSET(Data!E34,0,MATCH('Delta Beta'!$C$5,Data!$B$4:$Q$4,0)-3)=""),OFFSET(Data!E34,0,MATCH('Delta Beta'!$C$5,Data!$B$4:$Q$4,0)-3),#N/A)-$C$8/250</f>
        <v>7.2933569005406594E-3</v>
      </c>
      <c r="M31" s="394">
        <f ca="1">IF(NOT(OFFSET(Data!E34,0,MATCH('Delta Beta'!$C$5,Data!$B$4:$Q$4,0)-1)=""),OFFSET(Data!E34,0,MATCH('Delta Beta'!$C$5,Data!$B$4:$Q$4,0)-1),#N/A)-$C$8/250</f>
        <v>-1.3755206047305412E-2</v>
      </c>
      <c r="N31" s="395"/>
      <c r="R31" s="391"/>
    </row>
    <row r="32" spans="4:18">
      <c r="L32" s="394">
        <f ca="1">IF(NOT(OFFSET(Data!E35,0,MATCH('Delta Beta'!$C$5,Data!$B$4:$Q$4,0)-3)=""),OFFSET(Data!E35,0,MATCH('Delta Beta'!$C$5,Data!$B$4:$Q$4,0)-3),#N/A)-$C$8/250</f>
        <v>3.2748045900920955E-3</v>
      </c>
      <c r="M32" s="394">
        <f ca="1">IF(NOT(OFFSET(Data!E35,0,MATCH('Delta Beta'!$C$5,Data!$B$4:$Q$4,0)-1)=""),OFFSET(Data!E35,0,MATCH('Delta Beta'!$C$5,Data!$B$4:$Q$4,0)-1),#N/A)-$C$8/250</f>
        <v>3.8792388387397524E-4</v>
      </c>
      <c r="N32" s="395"/>
      <c r="R32" s="391"/>
    </row>
    <row r="33" spans="12:18">
      <c r="L33" s="394">
        <f ca="1">IF(NOT(OFFSET(Data!E36,0,MATCH('Delta Beta'!$C$5,Data!$B$4:$Q$4,0)-3)=""),OFFSET(Data!E36,0,MATCH('Delta Beta'!$C$5,Data!$B$4:$Q$4,0)-3),#N/A)-$C$8/250</f>
        <v>7.3601307719690532E-3</v>
      </c>
      <c r="M33" s="394">
        <f ca="1">IF(NOT(OFFSET(Data!E36,0,MATCH('Delta Beta'!$C$5,Data!$B$4:$Q$4,0)-1)=""),OFFSET(Data!E36,0,MATCH('Delta Beta'!$C$5,Data!$B$4:$Q$4,0)-1),#N/A)-$C$8/250</f>
        <v>-5.1970873786407858E-3</v>
      </c>
      <c r="N33" s="395"/>
      <c r="R33" s="391"/>
    </row>
    <row r="34" spans="12:18">
      <c r="L34" s="394">
        <f ca="1">IF(NOT(OFFSET(Data!E37,0,MATCH('Delta Beta'!$C$5,Data!$B$4:$Q$4,0)-3)=""),OFFSET(Data!E37,0,MATCH('Delta Beta'!$C$5,Data!$B$4:$Q$4,0)-3),#N/A)-$C$8/250</f>
        <v>1.696311013337003E-2</v>
      </c>
      <c r="M34" s="394">
        <f ca="1">IF(NOT(OFFSET(Data!E37,0,MATCH('Delta Beta'!$C$5,Data!$B$4:$Q$4,0)-1)=""),OFFSET(Data!E37,0,MATCH('Delta Beta'!$C$5,Data!$B$4:$Q$4,0)-1),#N/A)-$C$8/250</f>
        <v>4.0433097733365451E-3</v>
      </c>
      <c r="N34" s="395"/>
      <c r="R34" s="391"/>
    </row>
    <row r="35" spans="12:18">
      <c r="L35" s="394">
        <f ca="1">IF(NOT(OFFSET(Data!E38,0,MATCH('Delta Beta'!$C$5,Data!$B$4:$Q$4,0)-3)=""),OFFSET(Data!E38,0,MATCH('Delta Beta'!$C$5,Data!$B$4:$Q$4,0)-3),#N/A)-$C$8/250</f>
        <v>2.922536862308023E-3</v>
      </c>
      <c r="M35" s="394">
        <f ca="1">IF(NOT(OFFSET(Data!E38,0,MATCH('Delta Beta'!$C$5,Data!$B$4:$Q$4,0)-1)=""),OFFSET(Data!E38,0,MATCH('Delta Beta'!$C$5,Data!$B$4:$Q$4,0)-1),#N/A)-$C$8/250</f>
        <v>-5.7748139641708787E-2</v>
      </c>
      <c r="N35" s="395"/>
      <c r="R35" s="391"/>
    </row>
    <row r="36" spans="12:18">
      <c r="L36" s="394">
        <f ca="1">IF(NOT(OFFSET(Data!E39,0,MATCH('Delta Beta'!$C$5,Data!$B$4:$Q$4,0)-3)=""),OFFSET(Data!E39,0,MATCH('Delta Beta'!$C$5,Data!$B$4:$Q$4,0)-3),#N/A)-$C$8/250</f>
        <v>-2.5167715692277046E-3</v>
      </c>
      <c r="M36" s="394">
        <f ca="1">IF(NOT(OFFSET(Data!E39,0,MATCH('Delta Beta'!$C$5,Data!$B$4:$Q$4,0)-1)=""),OFFSET(Data!E39,0,MATCH('Delta Beta'!$C$5,Data!$B$4:$Q$4,0)-1),#N/A)-$C$8/250</f>
        <v>8.0037277147488768E-3</v>
      </c>
      <c r="N36" s="395"/>
      <c r="R36" s="391"/>
    </row>
    <row r="37" spans="12:18">
      <c r="L37" s="394">
        <f ca="1">IF(NOT(OFFSET(Data!E40,0,MATCH('Delta Beta'!$C$5,Data!$B$4:$Q$4,0)-3)=""),OFFSET(Data!E40,0,MATCH('Delta Beta'!$C$5,Data!$B$4:$Q$4,0)-3),#N/A)-$C$8/250</f>
        <v>-6.9657858421348197E-3</v>
      </c>
      <c r="M37" s="394">
        <f ca="1">IF(NOT(OFFSET(Data!E40,0,MATCH('Delta Beta'!$C$5,Data!$B$4:$Q$4,0)-1)=""),OFFSET(Data!E40,0,MATCH('Delta Beta'!$C$5,Data!$B$4:$Q$4,0)-1),#N/A)-$C$8/250</f>
        <v>-4.4798985707700358E-3</v>
      </c>
      <c r="N37" s="395"/>
      <c r="R37" s="391"/>
    </row>
    <row r="38" spans="12:18">
      <c r="L38" s="394">
        <f ca="1">IF(NOT(OFFSET(Data!E41,0,MATCH('Delta Beta'!$C$5,Data!$B$4:$Q$4,0)-3)=""),OFFSET(Data!E41,0,MATCH('Delta Beta'!$C$5,Data!$B$4:$Q$4,0)-3),#N/A)-$C$8/250</f>
        <v>-2.0137407494954626E-3</v>
      </c>
      <c r="M38" s="394">
        <f ca="1">IF(NOT(OFFSET(Data!E41,0,MATCH('Delta Beta'!$C$5,Data!$B$4:$Q$4,0)-1)=""),OFFSET(Data!E41,0,MATCH('Delta Beta'!$C$5,Data!$B$4:$Q$4,0)-1),#N/A)-$C$8/250</f>
        <v>-6.968131868131844E-3</v>
      </c>
      <c r="N38" s="395"/>
      <c r="R38" s="391"/>
    </row>
    <row r="39" spans="12:18">
      <c r="L39" s="394">
        <f ca="1">IF(NOT(OFFSET(Data!E42,0,MATCH('Delta Beta'!$C$5,Data!$B$4:$Q$4,0)-3)=""),OFFSET(Data!E42,0,MATCH('Delta Beta'!$C$5,Data!$B$4:$Q$4,0)-3),#N/A)-$C$8/250</f>
        <v>8.1982892369745104E-3</v>
      </c>
      <c r="M39" s="394">
        <f ca="1">IF(NOT(OFFSET(Data!E42,0,MATCH('Delta Beta'!$C$5,Data!$B$4:$Q$4,0)-1)=""),OFFSET(Data!E42,0,MATCH('Delta Beta'!$C$5,Data!$B$4:$Q$4,0)-1),#N/A)-$C$8/250</f>
        <v>-7.8237619263971207E-3</v>
      </c>
      <c r="N39" s="395"/>
      <c r="R39" s="391"/>
    </row>
    <row r="40" spans="12:18">
      <c r="L40" s="394">
        <f ca="1">IF(NOT(OFFSET(Data!E43,0,MATCH('Delta Beta'!$C$5,Data!$B$4:$Q$4,0)-3)=""),OFFSET(Data!E43,0,MATCH('Delta Beta'!$C$5,Data!$B$4:$Q$4,0)-3),#N/A)-$C$8/250</f>
        <v>4.002887438675262E-3</v>
      </c>
      <c r="M40" s="394">
        <f ca="1">IF(NOT(OFFSET(Data!E43,0,MATCH('Delta Beta'!$C$5,Data!$B$4:$Q$4,0)-1)=""),OFFSET(Data!E43,0,MATCH('Delta Beta'!$C$5,Data!$B$4:$Q$4,0)-1),#N/A)-$C$8/250</f>
        <v>-1.6192981671882E-2</v>
      </c>
      <c r="N40" s="395"/>
      <c r="R40" s="391"/>
    </row>
    <row r="41" spans="12:18">
      <c r="L41" s="394">
        <f ca="1">IF(NOT(OFFSET(Data!E44,0,MATCH('Delta Beta'!$C$5,Data!$B$4:$Q$4,0)-3)=""),OFFSET(Data!E44,0,MATCH('Delta Beta'!$C$5,Data!$B$4:$Q$4,0)-3),#N/A)-$C$8/250</f>
        <v>1.0424455523362564E-2</v>
      </c>
      <c r="M41" s="394">
        <f ca="1">IF(NOT(OFFSET(Data!E44,0,MATCH('Delta Beta'!$C$5,Data!$B$4:$Q$4,0)-1)=""),OFFSET(Data!E44,0,MATCH('Delta Beta'!$C$5,Data!$B$4:$Q$4,0)-1),#N/A)-$C$8/250</f>
        <v>-4.9932384341636717E-3</v>
      </c>
      <c r="N41" s="395"/>
      <c r="R41" s="391"/>
    </row>
    <row r="42" spans="12:18">
      <c r="L42" s="394">
        <f ca="1">IF(NOT(OFFSET(Data!E45,0,MATCH('Delta Beta'!$C$5,Data!$B$4:$Q$4,0)-3)=""),OFFSET(Data!E45,0,MATCH('Delta Beta'!$C$5,Data!$B$4:$Q$4,0)-3),#N/A)-$C$8/250</f>
        <v>-1.3085880322420761E-2</v>
      </c>
      <c r="M42" s="394">
        <f ca="1">IF(NOT(OFFSET(Data!E45,0,MATCH('Delta Beta'!$C$5,Data!$B$4:$Q$4,0)-1)=""),OFFSET(Data!E45,0,MATCH('Delta Beta'!$C$5,Data!$B$4:$Q$4,0)-1),#N/A)-$C$8/250</f>
        <v>-9.355178492728166E-3</v>
      </c>
      <c r="N42" s="395"/>
      <c r="R42" s="391"/>
    </row>
    <row r="43" spans="12:18">
      <c r="L43" s="394">
        <f ca="1">IF(NOT(OFFSET(Data!E46,0,MATCH('Delta Beta'!$C$5,Data!$B$4:$Q$4,0)-3)=""),OFFSET(Data!E46,0,MATCH('Delta Beta'!$C$5,Data!$B$4:$Q$4,0)-3),#N/A)-$C$8/250</f>
        <v>1.1391477734391298E-2</v>
      </c>
      <c r="M43" s="394">
        <f ca="1">IF(NOT(OFFSET(Data!E46,0,MATCH('Delta Beta'!$C$5,Data!$B$4:$Q$4,0)-1)=""),OFFSET(Data!E46,0,MATCH('Delta Beta'!$C$5,Data!$B$4:$Q$4,0)-1),#N/A)-$C$8/250</f>
        <v>6.4908214034264264E-2</v>
      </c>
      <c r="N43" s="395"/>
      <c r="R43" s="391"/>
    </row>
    <row r="44" spans="12:18">
      <c r="L44" s="394">
        <f ca="1">IF(NOT(OFFSET(Data!E47,0,MATCH('Delta Beta'!$C$5,Data!$B$4:$Q$4,0)-3)=""),OFFSET(Data!E47,0,MATCH('Delta Beta'!$C$5,Data!$B$4:$Q$4,0)-3),#N/A)-$C$8/250</f>
        <v>-1.2009958593505076E-2</v>
      </c>
      <c r="M44" s="394">
        <f ca="1">IF(NOT(OFFSET(Data!E47,0,MATCH('Delta Beta'!$C$5,Data!$B$4:$Q$4,0)-1)=""),OFFSET(Data!E47,0,MATCH('Delta Beta'!$C$5,Data!$B$4:$Q$4,0)-1),#N/A)-$C$8/250</f>
        <v>-1.7397047970479706E-2</v>
      </c>
      <c r="N44" s="395"/>
      <c r="R44" s="391"/>
    </row>
    <row r="45" spans="12:18">
      <c r="L45" s="394">
        <f ca="1">IF(NOT(OFFSET(Data!E48,0,MATCH('Delta Beta'!$C$5,Data!$B$4:$Q$4,0)-3)=""),OFFSET(Data!E48,0,MATCH('Delta Beta'!$C$5,Data!$B$4:$Q$4,0)-3),#N/A)-$C$8/250</f>
        <v>1.4693959743878771E-3</v>
      </c>
      <c r="M45" s="394">
        <f ca="1">IF(NOT(OFFSET(Data!E48,0,MATCH('Delta Beta'!$C$5,Data!$B$4:$Q$4,0)-1)=""),OFFSET(Data!E48,0,MATCH('Delta Beta'!$C$5,Data!$B$4:$Q$4,0)-1),#N/A)-$C$8/250</f>
        <v>-1.9416206261510082E-3</v>
      </c>
      <c r="N45" s="395"/>
      <c r="R45" s="391"/>
    </row>
    <row r="46" spans="12:18">
      <c r="L46" s="394">
        <f ca="1">IF(NOT(OFFSET(Data!E49,0,MATCH('Delta Beta'!$C$5,Data!$B$4:$Q$4,0)-3)=""),OFFSET(Data!E49,0,MATCH('Delta Beta'!$C$5,Data!$B$4:$Q$4,0)-3),#N/A)-$C$8/250</f>
        <v>-2.0464114325326032E-2</v>
      </c>
      <c r="M46" s="394">
        <f ca="1">IF(NOT(OFFSET(Data!E49,0,MATCH('Delta Beta'!$C$5,Data!$B$4:$Q$4,0)-1)=""),OFFSET(Data!E49,0,MATCH('Delta Beta'!$C$5,Data!$B$4:$Q$4,0)-1),#N/A)-$C$8/250</f>
        <v>-7.8661032434902516E-3</v>
      </c>
      <c r="N46" s="395"/>
      <c r="R46" s="391"/>
    </row>
    <row r="47" spans="12:18">
      <c r="L47" s="394">
        <f ca="1">IF(NOT(OFFSET(Data!E50,0,MATCH('Delta Beta'!$C$5,Data!$B$4:$Q$4,0)-3)=""),OFFSET(Data!E50,0,MATCH('Delta Beta'!$C$5,Data!$B$4:$Q$4,0)-3),#N/A)-$C$8/250</f>
        <v>-2.8763563072890072E-3</v>
      </c>
      <c r="M47" s="394">
        <f ca="1">IF(NOT(OFFSET(Data!E50,0,MATCH('Delta Beta'!$C$5,Data!$B$4:$Q$4,0)-1)=""),OFFSET(Data!E50,0,MATCH('Delta Beta'!$C$5,Data!$B$4:$Q$4,0)-1),#N/A)-$C$8/250</f>
        <v>5.6431656328967848E-3</v>
      </c>
      <c r="N47" s="395"/>
      <c r="R47" s="391"/>
    </row>
    <row r="48" spans="12:18">
      <c r="L48" s="394">
        <f ca="1">IF(NOT(OFFSET(Data!E51,0,MATCH('Delta Beta'!$C$5,Data!$B$4:$Q$4,0)-3)=""),OFFSET(Data!E51,0,MATCH('Delta Beta'!$C$5,Data!$B$4:$Q$4,0)-3),#N/A)-$C$8/250</f>
        <v>1.3610090402744635E-3</v>
      </c>
      <c r="M48" s="394">
        <f ca="1">IF(NOT(OFFSET(Data!E51,0,MATCH('Delta Beta'!$C$5,Data!$B$4:$Q$4,0)-1)=""),OFFSET(Data!E51,0,MATCH('Delta Beta'!$C$5,Data!$B$4:$Q$4,0)-1),#N/A)-$C$8/250</f>
        <v>2.1970908664005629E-2</v>
      </c>
      <c r="N48" s="395"/>
      <c r="R48" s="391"/>
    </row>
    <row r="49" spans="12:18">
      <c r="L49" s="394">
        <f ca="1">IF(NOT(OFFSET(Data!E52,0,MATCH('Delta Beta'!$C$5,Data!$B$4:$Q$4,0)-3)=""),OFFSET(Data!E52,0,MATCH('Delta Beta'!$C$5,Data!$B$4:$Q$4,0)-3),#N/A)-$C$8/250</f>
        <v>1.2034751708511083E-2</v>
      </c>
      <c r="M49" s="394">
        <f ca="1">IF(NOT(OFFSET(Data!E52,0,MATCH('Delta Beta'!$C$5,Data!$B$4:$Q$4,0)-1)=""),OFFSET(Data!E52,0,MATCH('Delta Beta'!$C$5,Data!$B$4:$Q$4,0)-1),#N/A)-$C$8/250</f>
        <v>2.3944241404183709E-2</v>
      </c>
      <c r="N49" s="395"/>
      <c r="R49" s="391"/>
    </row>
    <row r="50" spans="12:18">
      <c r="L50" s="394">
        <f ca="1">IF(NOT(OFFSET(Data!E53,0,MATCH('Delta Beta'!$C$5,Data!$B$4:$Q$4,0)-3)=""),OFFSET(Data!E53,0,MATCH('Delta Beta'!$C$5,Data!$B$4:$Q$4,0)-3),#N/A)-$C$8/250</f>
        <v>9.4195662109373031E-3</v>
      </c>
      <c r="M50" s="394">
        <f ca="1">IF(NOT(OFFSET(Data!E53,0,MATCH('Delta Beta'!$C$5,Data!$B$4:$Q$4,0)-1)=""),OFFSET(Data!E53,0,MATCH('Delta Beta'!$C$5,Data!$B$4:$Q$4,0)-1),#N/A)-$C$8/250</f>
        <v>3.0375718533201191E-2</v>
      </c>
      <c r="N50" s="395"/>
      <c r="R50" s="391"/>
    </row>
    <row r="51" spans="12:18">
      <c r="L51" s="394">
        <f ca="1">IF(NOT(OFFSET(Data!E54,0,MATCH('Delta Beta'!$C$5,Data!$B$4:$Q$4,0)-3)=""),OFFSET(Data!E54,0,MATCH('Delta Beta'!$C$5,Data!$B$4:$Q$4,0)-3),#N/A)-$C$8/250</f>
        <v>-9.123495489623656E-4</v>
      </c>
      <c r="M51" s="394">
        <f ca="1">IF(NOT(OFFSET(Data!E54,0,MATCH('Delta Beta'!$C$5,Data!$B$4:$Q$4,0)-1)=""),OFFSET(Data!E54,0,MATCH('Delta Beta'!$C$5,Data!$B$4:$Q$4,0)-1),#N/A)-$C$8/250</f>
        <v>-1.0399166257969671E-2</v>
      </c>
      <c r="N51" s="395"/>
      <c r="R51" s="391"/>
    </row>
    <row r="52" spans="12:18">
      <c r="L52" s="394">
        <f ca="1">IF(NOT(OFFSET(Data!E55,0,MATCH('Delta Beta'!$C$5,Data!$B$4:$Q$4,0)-3)=""),OFFSET(Data!E55,0,MATCH('Delta Beta'!$C$5,Data!$B$4:$Q$4,0)-3),#N/A)-$C$8/250</f>
        <v>-1.7077254629493954E-2</v>
      </c>
      <c r="M52" s="394">
        <f ca="1">IF(NOT(OFFSET(Data!E55,0,MATCH('Delta Beta'!$C$5,Data!$B$4:$Q$4,0)-1)=""),OFFSET(Data!E55,0,MATCH('Delta Beta'!$C$5,Data!$B$4:$Q$4,0)-1),#N/A)-$C$8/250</f>
        <v>1.6604063824482641E-2</v>
      </c>
      <c r="N52" s="395"/>
      <c r="R52" s="391"/>
    </row>
    <row r="53" spans="12:18">
      <c r="L53" s="394">
        <f ca="1">IF(NOT(OFFSET(Data!E56,0,MATCH('Delta Beta'!$C$5,Data!$B$4:$Q$4,0)-3)=""),OFFSET(Data!E56,0,MATCH('Delta Beta'!$C$5,Data!$B$4:$Q$4,0)-3),#N/A)-$C$8/250</f>
        <v>-9.2109248393406166E-3</v>
      </c>
      <c r="M53" s="394">
        <f ca="1">IF(NOT(OFFSET(Data!E56,0,MATCH('Delta Beta'!$C$5,Data!$B$4:$Q$4,0)-1)=""),OFFSET(Data!E56,0,MATCH('Delta Beta'!$C$5,Data!$B$4:$Q$4,0)-1),#N/A)-$C$8/250</f>
        <v>-2.8349577324713435E-3</v>
      </c>
      <c r="N53" s="395"/>
      <c r="R53" s="391"/>
    </row>
    <row r="54" spans="12:18">
      <c r="L54" s="394">
        <f ca="1">IF(NOT(OFFSET(Data!E57,0,MATCH('Delta Beta'!$C$5,Data!$B$4:$Q$4,0)-3)=""),OFFSET(Data!E57,0,MATCH('Delta Beta'!$C$5,Data!$B$4:$Q$4,0)-3),#N/A)-$C$8/250</f>
        <v>-1.6510969268194286E-3</v>
      </c>
      <c r="M54" s="394">
        <f ca="1">IF(NOT(OFFSET(Data!E57,0,MATCH('Delta Beta'!$C$5,Data!$B$4:$Q$4,0)-1)=""),OFFSET(Data!E57,0,MATCH('Delta Beta'!$C$5,Data!$B$4:$Q$4,0)-1),#N/A)-$C$8/250</f>
        <v>1.4531685166498488E-2</v>
      </c>
      <c r="N54" s="395"/>
      <c r="R54" s="391"/>
    </row>
    <row r="55" spans="12:18">
      <c r="L55" s="394">
        <f ca="1">IF(NOT(OFFSET(Data!E58,0,MATCH('Delta Beta'!$C$5,Data!$B$4:$Q$4,0)-3)=""),OFFSET(Data!E58,0,MATCH('Delta Beta'!$C$5,Data!$B$4:$Q$4,0)-3),#N/A)-$C$8/250</f>
        <v>8.3739086888510068E-3</v>
      </c>
      <c r="M55" s="394">
        <f ca="1">IF(NOT(OFFSET(Data!E58,0,MATCH('Delta Beta'!$C$5,Data!$B$4:$Q$4,0)-1)=""),OFFSET(Data!E58,0,MATCH('Delta Beta'!$C$5,Data!$B$4:$Q$4,0)-1),#N/A)-$C$8/250</f>
        <v>4.9709939148074754E-3</v>
      </c>
      <c r="N55" s="395"/>
      <c r="R55" s="391"/>
    </row>
    <row r="56" spans="12:18">
      <c r="L56" s="394">
        <f ca="1">IF(NOT(OFFSET(Data!E59,0,MATCH('Delta Beta'!$C$5,Data!$B$4:$Q$4,0)-3)=""),OFFSET(Data!E59,0,MATCH('Delta Beta'!$C$5,Data!$B$4:$Q$4,0)-3),#N/A)-$C$8/250</f>
        <v>-5.8465991456183699E-3</v>
      </c>
      <c r="M56" s="394">
        <f ca="1">IF(NOT(OFFSET(Data!E59,0,MATCH('Delta Beta'!$C$5,Data!$B$4:$Q$4,0)-1)=""),OFFSET(Data!E59,0,MATCH('Delta Beta'!$C$5,Data!$B$4:$Q$4,0)-1),#N/A)-$C$8/250</f>
        <v>-1.8517122946739694E-2</v>
      </c>
      <c r="N56" s="395"/>
      <c r="R56" s="391"/>
    </row>
    <row r="57" spans="12:18">
      <c r="L57" s="394">
        <f ca="1">IF(NOT(OFFSET(Data!E60,0,MATCH('Delta Beta'!$C$5,Data!$B$4:$Q$4,0)-3)=""),OFFSET(Data!E60,0,MATCH('Delta Beta'!$C$5,Data!$B$4:$Q$4,0)-3),#N/A)-$C$8/250</f>
        <v>2.1765095613401788E-3</v>
      </c>
      <c r="M57" s="394">
        <f ca="1">IF(NOT(OFFSET(Data!E60,0,MATCH('Delta Beta'!$C$5,Data!$B$4:$Q$4,0)-1)=""),OFFSET(Data!E60,0,MATCH('Delta Beta'!$C$5,Data!$B$4:$Q$4,0)-1),#N/A)-$C$8/250</f>
        <v>2.073333333333326E-2</v>
      </c>
      <c r="N57" s="395"/>
      <c r="R57" s="391"/>
    </row>
    <row r="58" spans="12:18">
      <c r="L58" s="394">
        <f ca="1">IF(NOT(OFFSET(Data!E61,0,MATCH('Delta Beta'!$C$5,Data!$B$4:$Q$4,0)-3)=""),OFFSET(Data!E61,0,MATCH('Delta Beta'!$C$5,Data!$B$4:$Q$4,0)-3),#N/A)-$C$8/250</f>
        <v>-7.8226435922087549E-3</v>
      </c>
      <c r="M58" s="394">
        <f ca="1">IF(NOT(OFFSET(Data!E61,0,MATCH('Delta Beta'!$C$5,Data!$B$4:$Q$4,0)-1)=""),OFFSET(Data!E61,0,MATCH('Delta Beta'!$C$5,Data!$B$4:$Q$4,0)-1),#N/A)-$C$8/250</f>
        <v>-4.2202701387198963E-2</v>
      </c>
      <c r="N58" s="395"/>
      <c r="R58" s="391"/>
    </row>
    <row r="59" spans="12:18">
      <c r="L59" s="394">
        <f ca="1">IF(NOT(OFFSET(Data!E62,0,MATCH('Delta Beta'!$C$5,Data!$B$4:$Q$4,0)-3)=""),OFFSET(Data!E62,0,MATCH('Delta Beta'!$C$5,Data!$B$4:$Q$4,0)-3),#N/A)-$C$8/250</f>
        <v>-4.7055998245485566E-3</v>
      </c>
      <c r="M59" s="394">
        <f ca="1">IF(NOT(OFFSET(Data!E62,0,MATCH('Delta Beta'!$C$5,Data!$B$4:$Q$4,0)-1)=""),OFFSET(Data!E62,0,MATCH('Delta Beta'!$C$5,Data!$B$4:$Q$4,0)-1),#N/A)-$C$8/250</f>
        <v>3.621778058007584E-2</v>
      </c>
      <c r="N59" s="395"/>
      <c r="R59" s="391"/>
    </row>
    <row r="60" spans="12:18">
      <c r="L60" s="394">
        <f ca="1">IF(NOT(OFFSET(Data!E63,0,MATCH('Delta Beta'!$C$5,Data!$B$4:$Q$4,0)-3)=""),OFFSET(Data!E63,0,MATCH('Delta Beta'!$C$5,Data!$B$4:$Q$4,0)-3),#N/A)-$C$8/250</f>
        <v>-1.4185753191903294E-3</v>
      </c>
      <c r="M60" s="394">
        <f ca="1">IF(NOT(OFFSET(Data!E63,0,MATCH('Delta Beta'!$C$5,Data!$B$4:$Q$4,0)-1)=""),OFFSET(Data!E63,0,MATCH('Delta Beta'!$C$5,Data!$B$4:$Q$4,0)-1),#N/A)-$C$8/250</f>
        <v>-1.7448203221809188E-2</v>
      </c>
      <c r="N60" s="395"/>
      <c r="R60" s="391"/>
    </row>
    <row r="61" spans="12:18">
      <c r="L61" s="394">
        <f ca="1">IF(NOT(OFFSET(Data!E64,0,MATCH('Delta Beta'!$C$5,Data!$B$4:$Q$4,0)-3)=""),OFFSET(Data!E64,0,MATCH('Delta Beta'!$C$5,Data!$B$4:$Q$4,0)-3),#N/A)-$C$8/250</f>
        <v>-3.4954884101398129E-3</v>
      </c>
      <c r="M61" s="394">
        <f ca="1">IF(NOT(OFFSET(Data!E64,0,MATCH('Delta Beta'!$C$5,Data!$B$4:$Q$4,0)-1)=""),OFFSET(Data!E64,0,MATCH('Delta Beta'!$C$5,Data!$B$4:$Q$4,0)-1),#N/A)-$C$8/250</f>
        <v>2.3844720496894903E-3</v>
      </c>
      <c r="N61" s="395"/>
      <c r="R61" s="391"/>
    </row>
    <row r="62" spans="12:18">
      <c r="L62" s="394">
        <f ca="1">IF(NOT(OFFSET(Data!E65,0,MATCH('Delta Beta'!$C$5,Data!$B$4:$Q$4,0)-3)=""),OFFSET(Data!E65,0,MATCH('Delta Beta'!$C$5,Data!$B$4:$Q$4,0)-3),#N/A)-$C$8/250</f>
        <v>-4.35026835208585E-4</v>
      </c>
      <c r="M62" s="394">
        <f ca="1">IF(NOT(OFFSET(Data!E65,0,MATCH('Delta Beta'!$C$5,Data!$B$4:$Q$4,0)-1)=""),OFFSET(Data!E65,0,MATCH('Delta Beta'!$C$5,Data!$B$4:$Q$4,0)-1),#N/A)-$C$8/250</f>
        <v>-1.4063743263106342E-2</v>
      </c>
      <c r="N62" s="395"/>
      <c r="R62" s="391"/>
    </row>
    <row r="63" spans="12:18">
      <c r="L63" s="394">
        <f ca="1">IF(NOT(OFFSET(Data!E66,0,MATCH('Delta Beta'!$C$5,Data!$B$4:$Q$4,0)-3)=""),OFFSET(Data!E66,0,MATCH('Delta Beta'!$C$5,Data!$B$4:$Q$4,0)-3),#N/A)-$C$8/250</f>
        <v>2.7425606033477548E-3</v>
      </c>
      <c r="M63" s="394">
        <f ca="1">IF(NOT(OFFSET(Data!E66,0,MATCH('Delta Beta'!$C$5,Data!$B$4:$Q$4,0)-1)=""),OFFSET(Data!E66,0,MATCH('Delta Beta'!$C$5,Data!$B$4:$Q$4,0)-1),#N/A)-$C$8/250</f>
        <v>1.0296039603960406E-2</v>
      </c>
      <c r="N63" s="395"/>
      <c r="R63" s="391"/>
    </row>
    <row r="64" spans="12:18">
      <c r="L64" s="394">
        <f ca="1">IF(NOT(OFFSET(Data!E67,0,MATCH('Delta Beta'!$C$5,Data!$B$4:$Q$4,0)-3)=""),OFFSET(Data!E67,0,MATCH('Delta Beta'!$C$5,Data!$B$4:$Q$4,0)-3),#N/A)-$C$8/250</f>
        <v>2.1176205258831581E-4</v>
      </c>
      <c r="M64" s="394">
        <f ca="1">IF(NOT(OFFSET(Data!E67,0,MATCH('Delta Beta'!$C$5,Data!$B$4:$Q$4,0)-1)=""),OFFSET(Data!E67,0,MATCH('Delta Beta'!$C$5,Data!$B$4:$Q$4,0)-1),#N/A)-$C$8/250</f>
        <v>-1.0891196834816985E-3</v>
      </c>
      <c r="N64" s="395"/>
      <c r="R64" s="391"/>
    </row>
    <row r="65" spans="12:18">
      <c r="L65" s="394">
        <f ca="1">IF(NOT(OFFSET(Data!E68,0,MATCH('Delta Beta'!$C$5,Data!$B$4:$Q$4,0)-3)=""),OFFSET(Data!E68,0,MATCH('Delta Beta'!$C$5,Data!$B$4:$Q$4,0)-3),#N/A)-$C$8/250</f>
        <v>-1.4491462399448651E-3</v>
      </c>
      <c r="M65" s="394">
        <f ca="1">IF(NOT(OFFSET(Data!E68,0,MATCH('Delta Beta'!$C$5,Data!$B$4:$Q$4,0)-1)=""),OFFSET(Data!E68,0,MATCH('Delta Beta'!$C$5,Data!$B$4:$Q$4,0)-1),#N/A)-$C$8/250</f>
        <v>1.3179879729391154E-2</v>
      </c>
      <c r="N65" s="395"/>
      <c r="R65" s="391"/>
    </row>
    <row r="66" spans="12:18">
      <c r="L66" s="394">
        <f ca="1">IF(NOT(OFFSET(Data!E69,0,MATCH('Delta Beta'!$C$5,Data!$B$4:$Q$4,0)-3)=""),OFFSET(Data!E69,0,MATCH('Delta Beta'!$C$5,Data!$B$4:$Q$4,0)-3),#N/A)-$C$8/250</f>
        <v>4.2065882817334697E-3</v>
      </c>
      <c r="M66" s="394">
        <f ca="1">IF(NOT(OFFSET(Data!E69,0,MATCH('Delta Beta'!$C$5,Data!$B$4:$Q$4,0)-1)=""),OFFSET(Data!E69,0,MATCH('Delta Beta'!$C$5,Data!$B$4:$Q$4,0)-1),#N/A)-$C$8/250</f>
        <v>-3.8876493256262204E-2</v>
      </c>
      <c r="N66" s="395"/>
      <c r="R66" s="391"/>
    </row>
    <row r="67" spans="12:18">
      <c r="L67" s="394">
        <f ca="1">IF(NOT(OFFSET(Data!E70,0,MATCH('Delta Beta'!$C$5,Data!$B$4:$Q$4,0)-3)=""),OFFSET(Data!E70,0,MATCH('Delta Beta'!$C$5,Data!$B$4:$Q$4,0)-3),#N/A)-$C$8/250</f>
        <v>8.7076062639821379E-3</v>
      </c>
      <c r="M67" s="394">
        <f ca="1">IF(NOT(OFFSET(Data!E70,0,MATCH('Delta Beta'!$C$5,Data!$B$4:$Q$4,0)-1)=""),OFFSET(Data!E70,0,MATCH('Delta Beta'!$C$5,Data!$B$4:$Q$4,0)-1),#N/A)-$C$8/250</f>
        <v>1.8295879323031661E-2</v>
      </c>
      <c r="N67" s="395"/>
      <c r="R67" s="391"/>
    </row>
    <row r="68" spans="12:18">
      <c r="L68" s="394">
        <f ca="1">IF(NOT(OFFSET(Data!E71,0,MATCH('Delta Beta'!$C$5,Data!$B$4:$Q$4,0)-3)=""),OFFSET(Data!E71,0,MATCH('Delta Beta'!$C$5,Data!$B$4:$Q$4,0)-3),#N/A)-$C$8/250</f>
        <v>-5.924931775569864E-3</v>
      </c>
      <c r="M68" s="394">
        <f ca="1">IF(NOT(OFFSET(Data!E71,0,MATCH('Delta Beta'!$C$5,Data!$B$4:$Q$4,0)-1)=""),OFFSET(Data!E71,0,MATCH('Delta Beta'!$C$5,Data!$B$4:$Q$4,0)-1),#N/A)-$C$8/250</f>
        <v>-1.2932929782082169E-2</v>
      </c>
      <c r="N68" s="395"/>
      <c r="R68" s="391"/>
    </row>
    <row r="69" spans="12:18">
      <c r="L69" s="394">
        <f ca="1">IF(NOT(OFFSET(Data!E72,0,MATCH('Delta Beta'!$C$5,Data!$B$4:$Q$4,0)-3)=""),OFFSET(Data!E72,0,MATCH('Delta Beta'!$C$5,Data!$B$4:$Q$4,0)-3),#N/A)-$C$8/250</f>
        <v>2.1201269217136945E-3</v>
      </c>
      <c r="M69" s="394">
        <f ca="1">IF(NOT(OFFSET(Data!E72,0,MATCH('Delta Beta'!$C$5,Data!$B$4:$Q$4,0)-1)=""),OFFSET(Data!E72,0,MATCH('Delta Beta'!$C$5,Data!$B$4:$Q$4,0)-1),#N/A)-$C$8/250</f>
        <v>1.8898272884283241E-2</v>
      </c>
      <c r="N69" s="395"/>
      <c r="R69" s="391"/>
    </row>
    <row r="70" spans="12:18">
      <c r="L70" s="394">
        <f ca="1">IF(NOT(OFFSET(Data!E73,0,MATCH('Delta Beta'!$C$5,Data!$B$4:$Q$4,0)-3)=""),OFFSET(Data!E73,0,MATCH('Delta Beta'!$C$5,Data!$B$4:$Q$4,0)-3),#N/A)-$C$8/250</f>
        <v>1.3956926284677152E-3</v>
      </c>
      <c r="M70" s="394">
        <f ca="1">IF(NOT(OFFSET(Data!E73,0,MATCH('Delta Beta'!$C$5,Data!$B$4:$Q$4,0)-1)=""),OFFSET(Data!E73,0,MATCH('Delta Beta'!$C$5,Data!$B$4:$Q$4,0)-1),#N/A)-$C$8/250</f>
        <v>3.3564881407804212E-2</v>
      </c>
      <c r="N70" s="395"/>
      <c r="R70" s="391"/>
    </row>
    <row r="71" spans="12:18">
      <c r="L71" s="394">
        <f ca="1">IF(NOT(OFFSET(Data!E74,0,MATCH('Delta Beta'!$C$5,Data!$B$4:$Q$4,0)-3)=""),OFFSET(Data!E74,0,MATCH('Delta Beta'!$C$5,Data!$B$4:$Q$4,0)-3),#N/A)-$C$8/250</f>
        <v>8.4238209952562822E-3</v>
      </c>
      <c r="M71" s="394">
        <f ca="1">IF(NOT(OFFSET(Data!E74,0,MATCH('Delta Beta'!$C$5,Data!$B$4:$Q$4,0)-1)=""),OFFSET(Data!E74,0,MATCH('Delta Beta'!$C$5,Data!$B$4:$Q$4,0)-1),#N/A)-$C$8/250</f>
        <v>2.8493913955928808E-2</v>
      </c>
      <c r="N71" s="395"/>
      <c r="R71" s="391"/>
    </row>
    <row r="72" spans="12:18">
      <c r="L72" s="394">
        <f ca="1">IF(NOT(OFFSET(Data!E75,0,MATCH('Delta Beta'!$C$5,Data!$B$4:$Q$4,0)-3)=""),OFFSET(Data!E75,0,MATCH('Delta Beta'!$C$5,Data!$B$4:$Q$4,0)-3),#N/A)-$C$8/250</f>
        <v>8.0415406963547549E-3</v>
      </c>
      <c r="M72" s="394">
        <f ca="1">IF(NOT(OFFSET(Data!E75,0,MATCH('Delta Beta'!$C$5,Data!$B$4:$Q$4,0)-1)=""),OFFSET(Data!E75,0,MATCH('Delta Beta'!$C$5,Data!$B$4:$Q$4,0)-1),#N/A)-$C$8/250</f>
        <v>4.9092275243869275E-3</v>
      </c>
      <c r="N72" s="395"/>
      <c r="R72" s="391"/>
    </row>
    <row r="73" spans="12:18">
      <c r="L73" s="394">
        <f ca="1">IF(NOT(OFFSET(Data!E76,0,MATCH('Delta Beta'!$C$5,Data!$B$4:$Q$4,0)-3)=""),OFFSET(Data!E76,0,MATCH('Delta Beta'!$C$5,Data!$B$4:$Q$4,0)-3),#N/A)-$C$8/250</f>
        <v>1.1567410636163955E-3</v>
      </c>
      <c r="M73" s="394">
        <f ca="1">IF(NOT(OFFSET(Data!E76,0,MATCH('Delta Beta'!$C$5,Data!$B$4:$Q$4,0)-1)=""),OFFSET(Data!E76,0,MATCH('Delta Beta'!$C$5,Data!$B$4:$Q$4,0)-1),#N/A)-$C$8/250</f>
        <v>-1.8728719275549765E-2</v>
      </c>
      <c r="N73" s="395"/>
      <c r="R73" s="391"/>
    </row>
    <row r="74" spans="12:18">
      <c r="L74" s="394">
        <f ca="1">IF(NOT(OFFSET(Data!E77,0,MATCH('Delta Beta'!$C$5,Data!$B$4:$Q$4,0)-3)=""),OFFSET(Data!E77,0,MATCH('Delta Beta'!$C$5,Data!$B$4:$Q$4,0)-3),#N/A)-$C$8/250</f>
        <v>-1.0848457761550977E-2</v>
      </c>
      <c r="M74" s="394">
        <f ca="1">IF(NOT(OFFSET(Data!E77,0,MATCH('Delta Beta'!$C$5,Data!$B$4:$Q$4,0)-1)=""),OFFSET(Data!E77,0,MATCH('Delta Beta'!$C$5,Data!$B$4:$Q$4,0)-1),#N/A)-$C$8/250</f>
        <v>-3.4522434244456221E-3</v>
      </c>
      <c r="N74" s="395"/>
      <c r="R74" s="391"/>
    </row>
    <row r="75" spans="12:18">
      <c r="L75" s="394">
        <f ca="1">IF(NOT(OFFSET(Data!E78,0,MATCH('Delta Beta'!$C$5,Data!$B$4:$Q$4,0)-3)=""),OFFSET(Data!E78,0,MATCH('Delta Beta'!$C$5,Data!$B$4:$Q$4,0)-3),#N/A)-$C$8/250</f>
        <v>-7.1607249129965857E-3</v>
      </c>
      <c r="M75" s="394">
        <f ca="1">IF(NOT(OFFSET(Data!E78,0,MATCH('Delta Beta'!$C$5,Data!$B$4:$Q$4,0)-1)=""),OFFSET(Data!E78,0,MATCH('Delta Beta'!$C$5,Data!$B$4:$Q$4,0)-1),#N/A)-$C$8/250</f>
        <v>-2.8900400701227135E-2</v>
      </c>
      <c r="N75" s="395"/>
      <c r="R75" s="391"/>
    </row>
    <row r="76" spans="12:18">
      <c r="L76" s="394">
        <f ca="1">IF(NOT(OFFSET(Data!E79,0,MATCH('Delta Beta'!$C$5,Data!$B$4:$Q$4,0)-3)=""),OFFSET(Data!E79,0,MATCH('Delta Beta'!$C$5,Data!$B$4:$Q$4,0)-3),#N/A)-$C$8/250</f>
        <v>2.5208594449417257E-3</v>
      </c>
      <c r="M76" s="394">
        <f ca="1">IF(NOT(OFFSET(Data!E79,0,MATCH('Delta Beta'!$C$5,Data!$B$4:$Q$4,0)-1)=""),OFFSET(Data!E79,0,MATCH('Delta Beta'!$C$5,Data!$B$4:$Q$4,0)-1),#N/A)-$C$8/250</f>
        <v>6.5187969924805915E-4</v>
      </c>
      <c r="N76" s="395"/>
      <c r="R76" s="391"/>
    </row>
    <row r="77" spans="12:18">
      <c r="L77" s="394">
        <f ca="1">IF(NOT(OFFSET(Data!E80,0,MATCH('Delta Beta'!$C$5,Data!$B$4:$Q$4,0)-3)=""),OFFSET(Data!E80,0,MATCH('Delta Beta'!$C$5,Data!$B$4:$Q$4,0)-3),#N/A)-$C$8/250</f>
        <v>1.5073241975147478E-3</v>
      </c>
      <c r="M77" s="394">
        <f ca="1">IF(NOT(OFFSET(Data!E80,0,MATCH('Delta Beta'!$C$5,Data!$B$4:$Q$4,0)-1)=""),OFFSET(Data!E80,0,MATCH('Delta Beta'!$C$5,Data!$B$4:$Q$4,0)-1),#N/A)-$C$8/250</f>
        <v>-1.5644041450777257E-2</v>
      </c>
      <c r="N77" s="395"/>
      <c r="R77" s="391"/>
    </row>
    <row r="78" spans="12:18">
      <c r="L78" s="394">
        <f ca="1">IF(NOT(OFFSET(Data!E81,0,MATCH('Delta Beta'!$C$5,Data!$B$4:$Q$4,0)-3)=""),OFFSET(Data!E81,0,MATCH('Delta Beta'!$C$5,Data!$B$4:$Q$4,0)-3),#N/A)-$C$8/250</f>
        <v>2.852087595835984E-3</v>
      </c>
      <c r="M78" s="394">
        <f ca="1">IF(NOT(OFFSET(Data!E81,0,MATCH('Delta Beta'!$C$5,Data!$B$4:$Q$4,0)-1)=""),OFFSET(Data!E81,0,MATCH('Delta Beta'!$C$5,Data!$B$4:$Q$4,0)-1),#N/A)-$C$8/250</f>
        <v>-1.8744067796610097E-2</v>
      </c>
      <c r="N78" s="395"/>
      <c r="R78" s="391"/>
    </row>
    <row r="79" spans="12:18">
      <c r="L79" s="394">
        <f ca="1">IF(NOT(OFFSET(Data!E82,0,MATCH('Delta Beta'!$C$5,Data!$B$4:$Q$4,0)-3)=""),OFFSET(Data!E82,0,MATCH('Delta Beta'!$C$5,Data!$B$4:$Q$4,0)-3),#N/A)-$C$8/250</f>
        <v>2.3680227644109378E-3</v>
      </c>
      <c r="M79" s="394">
        <f ca="1">IF(NOT(OFFSET(Data!E82,0,MATCH('Delta Beta'!$C$5,Data!$B$4:$Q$4,0)-1)=""),OFFSET(Data!E82,0,MATCH('Delta Beta'!$C$5,Data!$B$4:$Q$4,0)-1),#N/A)-$C$8/250</f>
        <v>2.0661245674740359E-2</v>
      </c>
      <c r="N79" s="395"/>
      <c r="R79" s="391"/>
    </row>
    <row r="80" spans="12:18">
      <c r="L80" s="394">
        <f ca="1">IF(NOT(OFFSET(Data!E83,0,MATCH('Delta Beta'!$C$5,Data!$B$4:$Q$4,0)-3)=""),OFFSET(Data!E83,0,MATCH('Delta Beta'!$C$5,Data!$B$4:$Q$4,0)-3),#N/A)-$C$8/250</f>
        <v>8.9270138865370501E-4</v>
      </c>
      <c r="M80" s="394">
        <f ca="1">IF(NOT(OFFSET(Data!E83,0,MATCH('Delta Beta'!$C$5,Data!$B$4:$Q$4,0)-1)=""),OFFSET(Data!E83,0,MATCH('Delta Beta'!$C$5,Data!$B$4:$Q$4,0)-1),#N/A)-$C$8/250</f>
        <v>2.9678569610587891E-2</v>
      </c>
      <c r="N80" s="395"/>
      <c r="R80" s="391"/>
    </row>
    <row r="81" spans="12:18">
      <c r="L81" s="394">
        <f ca="1">IF(NOT(OFFSET(Data!E84,0,MATCH('Delta Beta'!$C$5,Data!$B$4:$Q$4,0)-3)=""),OFFSET(Data!E84,0,MATCH('Delta Beta'!$C$5,Data!$B$4:$Q$4,0)-3),#N/A)-$C$8/250</f>
        <v>-1.039925887858073E-3</v>
      </c>
      <c r="M81" s="394">
        <f ca="1">IF(NOT(OFFSET(Data!E84,0,MATCH('Delta Beta'!$C$5,Data!$B$4:$Q$4,0)-1)=""),OFFSET(Data!E84,0,MATCH('Delta Beta'!$C$5,Data!$B$4:$Q$4,0)-1),#N/A)-$C$8/250</f>
        <v>-2.5645634920634996E-2</v>
      </c>
      <c r="N81" s="395"/>
      <c r="R81" s="391"/>
    </row>
    <row r="82" spans="12:18">
      <c r="L82" s="394">
        <f ca="1">IF(NOT(OFFSET(Data!E85,0,MATCH('Delta Beta'!$C$5,Data!$B$4:$Q$4,0)-3)=""),OFFSET(Data!E85,0,MATCH('Delta Beta'!$C$5,Data!$B$4:$Q$4,0)-3),#N/A)-$C$8/250</f>
        <v>1.5752839177258671E-3</v>
      </c>
      <c r="M82" s="394">
        <f ca="1">IF(NOT(OFFSET(Data!E85,0,MATCH('Delta Beta'!$C$5,Data!$B$4:$Q$4,0)-1)=""),OFFSET(Data!E85,0,MATCH('Delta Beta'!$C$5,Data!$B$4:$Q$4,0)-1),#N/A)-$C$8/250</f>
        <v>8.152063015753875E-3</v>
      </c>
      <c r="N82" s="395"/>
      <c r="R82" s="391"/>
    </row>
    <row r="83" spans="12:18">
      <c r="L83" s="394">
        <f ca="1">IF(NOT(OFFSET(Data!E86,0,MATCH('Delta Beta'!$C$5,Data!$B$4:$Q$4,0)-3)=""),OFFSET(Data!E86,0,MATCH('Delta Beta'!$C$5,Data!$B$4:$Q$4,0)-3),#N/A)-$C$8/250</f>
        <v>5.9054603353427713E-3</v>
      </c>
      <c r="M83" s="394">
        <f ca="1">IF(NOT(OFFSET(Data!E86,0,MATCH('Delta Beta'!$C$5,Data!$B$4:$Q$4,0)-1)=""),OFFSET(Data!E86,0,MATCH('Delta Beta'!$C$5,Data!$B$4:$Q$4,0)-1),#N/A)-$C$8/250</f>
        <v>4.2664015645371686E-2</v>
      </c>
      <c r="N83" s="395"/>
      <c r="R83" s="391"/>
    </row>
    <row r="84" spans="12:18">
      <c r="L84" s="394">
        <f ca="1">IF(NOT(OFFSET(Data!E87,0,MATCH('Delta Beta'!$C$5,Data!$B$4:$Q$4,0)-3)=""),OFFSET(Data!E87,0,MATCH('Delta Beta'!$C$5,Data!$B$4:$Q$4,0)-3),#N/A)-$C$8/250</f>
        <v>-4.7324452030791499E-3</v>
      </c>
      <c r="M84" s="394">
        <f ca="1">IF(NOT(OFFSET(Data!E87,0,MATCH('Delta Beta'!$C$5,Data!$B$4:$Q$4,0)-1)=""),OFFSET(Data!E87,0,MATCH('Delta Beta'!$C$5,Data!$B$4:$Q$4,0)-1),#N/A)-$C$8/250</f>
        <v>-3.5805305506663401E-2</v>
      </c>
      <c r="N84" s="395"/>
      <c r="R84" s="391"/>
    </row>
    <row r="85" spans="12:18">
      <c r="L85" s="394">
        <f ca="1">IF(NOT(OFFSET(Data!E88,0,MATCH('Delta Beta'!$C$5,Data!$B$4:$Q$4,0)-3)=""),OFFSET(Data!E88,0,MATCH('Delta Beta'!$C$5,Data!$B$4:$Q$4,0)-3),#N/A)-$C$8/250</f>
        <v>8.1034847144849549E-3</v>
      </c>
      <c r="M85" s="394">
        <f ca="1">IF(NOT(OFFSET(Data!E88,0,MATCH('Delta Beta'!$C$5,Data!$B$4:$Q$4,0)-1)=""),OFFSET(Data!E88,0,MATCH('Delta Beta'!$C$5,Data!$B$4:$Q$4,0)-1),#N/A)-$C$8/250</f>
        <v>8.0115335868187094E-3</v>
      </c>
      <c r="N85" s="395"/>
      <c r="R85" s="391"/>
    </row>
    <row r="86" spans="12:18">
      <c r="L86" s="394">
        <f ca="1">IF(NOT(OFFSET(Data!E89,0,MATCH('Delta Beta'!$C$5,Data!$B$4:$Q$4,0)-3)=""),OFFSET(Data!E89,0,MATCH('Delta Beta'!$C$5,Data!$B$4:$Q$4,0)-3),#N/A)-$C$8/250</f>
        <v>-1.9428943907755624E-3</v>
      </c>
      <c r="M86" s="394">
        <f ca="1">IF(NOT(OFFSET(Data!E89,0,MATCH('Delta Beta'!$C$5,Data!$B$4:$Q$4,0)-1)=""),OFFSET(Data!E89,0,MATCH('Delta Beta'!$C$5,Data!$B$4:$Q$4,0)-1),#N/A)-$C$8/250</f>
        <v>-1.1378195488721665E-2</v>
      </c>
      <c r="N86" s="395"/>
      <c r="R86" s="391"/>
    </row>
    <row r="87" spans="12:18">
      <c r="L87" s="394">
        <f ca="1">IF(NOT(OFFSET(Data!E90,0,MATCH('Delta Beta'!$C$5,Data!$B$4:$Q$4,0)-3)=""),OFFSET(Data!E90,0,MATCH('Delta Beta'!$C$5,Data!$B$4:$Q$4,0)-3),#N/A)-$C$8/250</f>
        <v>-5.506016994218166E-3</v>
      </c>
      <c r="M87" s="394">
        <f ca="1">IF(NOT(OFFSET(Data!E90,0,MATCH('Delta Beta'!$C$5,Data!$B$4:$Q$4,0)-1)=""),OFFSET(Data!E90,0,MATCH('Delta Beta'!$C$5,Data!$B$4:$Q$4,0)-1),#N/A)-$C$8/250</f>
        <v>-3.2358064516129006E-2</v>
      </c>
      <c r="N87" s="395"/>
      <c r="R87" s="391"/>
    </row>
    <row r="88" spans="12:18">
      <c r="L88" s="394">
        <f ca="1">IF(NOT(OFFSET(Data!E91,0,MATCH('Delta Beta'!$C$5,Data!$B$4:$Q$4,0)-3)=""),OFFSET(Data!E91,0,MATCH('Delta Beta'!$C$5,Data!$B$4:$Q$4,0)-3),#N/A)-$C$8/250</f>
        <v>4.1062063699823679E-3</v>
      </c>
      <c r="M88" s="394">
        <f ca="1">IF(NOT(OFFSET(Data!E91,0,MATCH('Delta Beta'!$C$5,Data!$B$4:$Q$4,0)-1)=""),OFFSET(Data!E91,0,MATCH('Delta Beta'!$C$5,Data!$B$4:$Q$4,0)-1),#N/A)-$C$8/250</f>
        <v>-1.7949152542372615E-3</v>
      </c>
      <c r="N88" s="395"/>
      <c r="R88" s="391"/>
    </row>
    <row r="89" spans="12:18">
      <c r="L89" s="394">
        <f ca="1">IF(NOT(OFFSET(Data!E92,0,MATCH('Delta Beta'!$C$5,Data!$B$4:$Q$4,0)-3)=""),OFFSET(Data!E92,0,MATCH('Delta Beta'!$C$5,Data!$B$4:$Q$4,0)-3),#N/A)-$C$8/250</f>
        <v>-2.8630181803303002E-4</v>
      </c>
      <c r="M89" s="394">
        <f ca="1">IF(NOT(OFFSET(Data!E92,0,MATCH('Delta Beta'!$C$5,Data!$B$4:$Q$4,0)-1)=""),OFFSET(Data!E92,0,MATCH('Delta Beta'!$C$5,Data!$B$4:$Q$4,0)-1),#N/A)-$C$8/250</f>
        <v>8.2007812500000006E-3</v>
      </c>
      <c r="N89" s="395"/>
      <c r="R89" s="391"/>
    </row>
    <row r="90" spans="12:18">
      <c r="L90" s="394">
        <f ca="1">IF(NOT(OFFSET(Data!E93,0,MATCH('Delta Beta'!$C$5,Data!$B$4:$Q$4,0)-3)=""),OFFSET(Data!E93,0,MATCH('Delta Beta'!$C$5,Data!$B$4:$Q$4,0)-3),#N/A)-$C$8/250</f>
        <v>-4.812479931257563E-3</v>
      </c>
      <c r="M90" s="394">
        <f ca="1">IF(NOT(OFFSET(Data!E93,0,MATCH('Delta Beta'!$C$5,Data!$B$4:$Q$4,0)-1)=""),OFFSET(Data!E93,0,MATCH('Delta Beta'!$C$5,Data!$B$4:$Q$4,0)-1),#N/A)-$C$8/250</f>
        <v>-1.7138636909047277E-2</v>
      </c>
      <c r="N90" s="395"/>
      <c r="R90" s="391"/>
    </row>
    <row r="91" spans="12:18">
      <c r="L91" s="394">
        <f ca="1">IF(NOT(OFFSET(Data!E94,0,MATCH('Delta Beta'!$C$5,Data!$B$4:$Q$4,0)-3)=""),OFFSET(Data!E94,0,MATCH('Delta Beta'!$C$5,Data!$B$4:$Q$4,0)-3),#N/A)-$C$8/250</f>
        <v>2.2822530084161022E-3</v>
      </c>
      <c r="M91" s="394">
        <f ca="1">IF(NOT(OFFSET(Data!E94,0,MATCH('Delta Beta'!$C$5,Data!$B$4:$Q$4,0)-1)=""),OFFSET(Data!E94,0,MATCH('Delta Beta'!$C$5,Data!$B$4:$Q$4,0)-1),#N/A)-$C$8/250</f>
        <v>3.108040089086871E-2</v>
      </c>
      <c r="N91" s="395"/>
      <c r="R91" s="391"/>
    </row>
    <row r="92" spans="12:18">
      <c r="L92" s="394">
        <f ca="1">IF(NOT(OFFSET(Data!E95,0,MATCH('Delta Beta'!$C$5,Data!$B$4:$Q$4,0)-3)=""),OFFSET(Data!E95,0,MATCH('Delta Beta'!$C$5,Data!$B$4:$Q$4,0)-3),#N/A)-$C$8/250</f>
        <v>1.0045438559535647E-2</v>
      </c>
      <c r="M92" s="394">
        <f ca="1">IF(NOT(OFFSET(Data!E95,0,MATCH('Delta Beta'!$C$5,Data!$B$4:$Q$4,0)-1)=""),OFFSET(Data!E95,0,MATCH('Delta Beta'!$C$5,Data!$B$4:$Q$4,0)-1),#N/A)-$C$8/250</f>
        <v>-1.5930491962981141E-2</v>
      </c>
      <c r="N92" s="395"/>
      <c r="R92" s="391"/>
    </row>
    <row r="93" spans="12:18">
      <c r="L93" s="394">
        <f ca="1">IF(NOT(OFFSET(Data!E96,0,MATCH('Delta Beta'!$C$5,Data!$B$4:$Q$4,0)-3)=""),OFFSET(Data!E96,0,MATCH('Delta Beta'!$C$5,Data!$B$4:$Q$4,0)-3),#N/A)-$C$8/250</f>
        <v>1.9166609692362502E-3</v>
      </c>
      <c r="M93" s="394">
        <f ca="1">IF(NOT(OFFSET(Data!E96,0,MATCH('Delta Beta'!$C$5,Data!$B$4:$Q$4,0)-1)=""),OFFSET(Data!E96,0,MATCH('Delta Beta'!$C$5,Data!$B$4:$Q$4,0)-1),#N/A)-$C$8/250</f>
        <v>-1.3317976447969181E-2</v>
      </c>
      <c r="N93" s="395"/>
      <c r="R93" s="391"/>
    </row>
    <row r="94" spans="12:18">
      <c r="L94" s="394">
        <f ca="1">IF(NOT(OFFSET(Data!E97,0,MATCH('Delta Beta'!$C$5,Data!$B$4:$Q$4,0)-3)=""),OFFSET(Data!E97,0,MATCH('Delta Beta'!$C$5,Data!$B$4:$Q$4,0)-3),#N/A)-$C$8/250</f>
        <v>8.1418472100778135E-3</v>
      </c>
      <c r="M94" s="394">
        <f ca="1">IF(NOT(OFFSET(Data!E97,0,MATCH('Delta Beta'!$C$5,Data!$B$4:$Q$4,0)-1)=""),OFFSET(Data!E97,0,MATCH('Delta Beta'!$C$5,Data!$B$4:$Q$4,0)-1),#N/A)-$C$8/250</f>
        <v>2.326448598130847E-2</v>
      </c>
      <c r="N94" s="395"/>
      <c r="R94" s="391"/>
    </row>
    <row r="95" spans="12:18">
      <c r="L95" s="394">
        <f ca="1">IF(NOT(OFFSET(Data!E98,0,MATCH('Delta Beta'!$C$5,Data!$B$4:$Q$4,0)-3)=""),OFFSET(Data!E98,0,MATCH('Delta Beta'!$C$5,Data!$B$4:$Q$4,0)-3),#N/A)-$C$8/250</f>
        <v>1.5062651550197471E-2</v>
      </c>
      <c r="M95" s="394">
        <f ca="1">IF(NOT(OFFSET(Data!E98,0,MATCH('Delta Beta'!$C$5,Data!$B$4:$Q$4,0)-1)=""),OFFSET(Data!E98,0,MATCH('Delta Beta'!$C$5,Data!$B$4:$Q$4,0)-1),#N/A)-$C$8/250</f>
        <v>5.4360580912862874E-2</v>
      </c>
      <c r="N95" s="395"/>
      <c r="R95" s="391"/>
    </row>
    <row r="96" spans="12:18">
      <c r="L96" s="394">
        <f ca="1">IF(NOT(OFFSET(Data!E99,0,MATCH('Delta Beta'!$C$5,Data!$B$4:$Q$4,0)-3)=""),OFFSET(Data!E99,0,MATCH('Delta Beta'!$C$5,Data!$B$4:$Q$4,0)-3),#N/A)-$C$8/250</f>
        <v>-1.5969531055010654E-2</v>
      </c>
      <c r="M96" s="394">
        <f ca="1">IF(NOT(OFFSET(Data!E99,0,MATCH('Delta Beta'!$C$5,Data!$B$4:$Q$4,0)-1)=""),OFFSET(Data!E99,0,MATCH('Delta Beta'!$C$5,Data!$B$4:$Q$4,0)-1),#N/A)-$C$8/250</f>
        <v>-3.7543834248627075E-2</v>
      </c>
      <c r="N96" s="395"/>
      <c r="R96" s="391"/>
    </row>
    <row r="97" spans="12:18">
      <c r="L97" s="394">
        <f ca="1">IF(NOT(OFFSET(Data!E100,0,MATCH('Delta Beta'!$C$5,Data!$B$4:$Q$4,0)-3)=""),OFFSET(Data!E100,0,MATCH('Delta Beta'!$C$5,Data!$B$4:$Q$4,0)-3),#N/A)-$C$8/250</f>
        <v>-7.6389389522548813E-3</v>
      </c>
      <c r="M97" s="394">
        <f ca="1">IF(NOT(OFFSET(Data!E100,0,MATCH('Delta Beta'!$C$5,Data!$B$4:$Q$4,0)-1)=""),OFFSET(Data!E100,0,MATCH('Delta Beta'!$C$5,Data!$B$4:$Q$4,0)-1),#N/A)-$C$8/250</f>
        <v>-3.1297097944377197E-2</v>
      </c>
      <c r="N97" s="395"/>
      <c r="R97" s="391"/>
    </row>
    <row r="98" spans="12:18">
      <c r="L98" s="394">
        <f ca="1">IF(NOT(OFFSET(Data!E101,0,MATCH('Delta Beta'!$C$5,Data!$B$4:$Q$4,0)-3)=""),OFFSET(Data!E101,0,MATCH('Delta Beta'!$C$5,Data!$B$4:$Q$4,0)-3),#N/A)-$C$8/250</f>
        <v>-3.3622362435132944E-3</v>
      </c>
      <c r="M98" s="394">
        <f ca="1">IF(NOT(OFFSET(Data!E101,0,MATCH('Delta Beta'!$C$5,Data!$B$4:$Q$4,0)-1)=""),OFFSET(Data!E101,0,MATCH('Delta Beta'!$C$5,Data!$B$4:$Q$4,0)-1),#N/A)-$C$8/250</f>
        <v>1.6370009832841637E-2</v>
      </c>
      <c r="N98" s="395"/>
      <c r="R98" s="391"/>
    </row>
    <row r="99" spans="12:18">
      <c r="L99" s="394">
        <f ca="1">IF(NOT(OFFSET(Data!E102,0,MATCH('Delta Beta'!$C$5,Data!$B$4:$Q$4,0)-3)=""),OFFSET(Data!E102,0,MATCH('Delta Beta'!$C$5,Data!$B$4:$Q$4,0)-3),#N/A)-$C$8/250</f>
        <v>1.0649703264435817E-3</v>
      </c>
      <c r="M99" s="394">
        <f ca="1">IF(NOT(OFFSET(Data!E102,0,MATCH('Delta Beta'!$C$5,Data!$B$4:$Q$4,0)-1)=""),OFFSET(Data!E102,0,MATCH('Delta Beta'!$C$5,Data!$B$4:$Q$4,0)-1),#N/A)-$C$8/250</f>
        <v>-1.5827074764093851E-2</v>
      </c>
      <c r="N99" s="395"/>
      <c r="R99" s="391"/>
    </row>
    <row r="100" spans="12:18">
      <c r="L100" s="394">
        <f ca="1">IF(NOT(OFFSET(Data!E103,0,MATCH('Delta Beta'!$C$5,Data!$B$4:$Q$4,0)-3)=""),OFFSET(Data!E103,0,MATCH('Delta Beta'!$C$5,Data!$B$4:$Q$4,0)-3),#N/A)-$C$8/250</f>
        <v>-3.6168303824952838E-3</v>
      </c>
      <c r="M100" s="394">
        <f ca="1">IF(NOT(OFFSET(Data!E103,0,MATCH('Delta Beta'!$C$5,Data!$B$4:$Q$4,0)-1)=""),OFFSET(Data!E103,0,MATCH('Delta Beta'!$C$5,Data!$B$4:$Q$4,0)-1),#N/A)-$C$8/250</f>
        <v>-3.5572578763127263E-2</v>
      </c>
      <c r="N100" s="395"/>
      <c r="R100" s="391"/>
    </row>
    <row r="101" spans="12:18">
      <c r="L101" s="394">
        <f ca="1">IF(NOT(OFFSET(Data!E104,0,MATCH('Delta Beta'!$C$5,Data!$B$4:$Q$4,0)-3)=""),OFFSET(Data!E104,0,MATCH('Delta Beta'!$C$5,Data!$B$4:$Q$4,0)-3),#N/A)-$C$8/250</f>
        <v>3.3511562975592104E-3</v>
      </c>
      <c r="M101" s="394">
        <f ca="1">IF(NOT(OFFSET(Data!E104,0,MATCH('Delta Beta'!$C$5,Data!$B$4:$Q$4,0)-1)=""),OFFSET(Data!E104,0,MATCH('Delta Beta'!$C$5,Data!$B$4:$Q$4,0)-1),#N/A)-$C$8/250</f>
        <v>-1.7309412861137407E-3</v>
      </c>
      <c r="N101" s="395"/>
      <c r="R101" s="391"/>
    </row>
    <row r="102" spans="12:18">
      <c r="L102" s="394">
        <f ca="1">IF(NOT(OFFSET(Data!E105,0,MATCH('Delta Beta'!$C$5,Data!$B$4:$Q$4,0)-3)=""),OFFSET(Data!E105,0,MATCH('Delta Beta'!$C$5,Data!$B$4:$Q$4,0)-3),#N/A)-$C$8/250</f>
        <v>1.117795187024705E-2</v>
      </c>
      <c r="M102" s="394">
        <f ca="1">IF(NOT(OFFSET(Data!E105,0,MATCH('Delta Beta'!$C$5,Data!$B$4:$Q$4,0)-1)=""),OFFSET(Data!E105,0,MATCH('Delta Beta'!$C$5,Data!$B$4:$Q$4,0)-1),#N/A)-$C$8/250</f>
        <v>2.0104421202757451E-2</v>
      </c>
      <c r="N102" s="395"/>
      <c r="R102" s="391"/>
    </row>
    <row r="103" spans="12:18">
      <c r="L103" s="394">
        <f ca="1">IF(NOT(OFFSET(Data!E106,0,MATCH('Delta Beta'!$C$5,Data!$B$4:$Q$4,0)-3)=""),OFFSET(Data!E106,0,MATCH('Delta Beta'!$C$5,Data!$B$4:$Q$4,0)-3),#N/A)-$C$8/250</f>
        <v>-8.6610112594164394E-3</v>
      </c>
      <c r="M103" s="394">
        <f ca="1">IF(NOT(OFFSET(Data!E106,0,MATCH('Delta Beta'!$C$5,Data!$B$4:$Q$4,0)-1)=""),OFFSET(Data!E106,0,MATCH('Delta Beta'!$C$5,Data!$B$4:$Q$4,0)-1),#N/A)-$C$8/250</f>
        <v>-1.1148425011753626E-2</v>
      </c>
      <c r="N103" s="395"/>
      <c r="R103" s="391"/>
    </row>
    <row r="104" spans="12:18">
      <c r="L104" s="394">
        <f ca="1">IF(NOT(OFFSET(Data!E107,0,MATCH('Delta Beta'!$C$5,Data!$B$4:$Q$4,0)-3)=""),OFFSET(Data!E107,0,MATCH('Delta Beta'!$C$5,Data!$B$4:$Q$4,0)-3),#N/A)-$C$8/250</f>
        <v>3.2590113133528112E-3</v>
      </c>
      <c r="M104" s="394">
        <f ca="1">IF(NOT(OFFSET(Data!E107,0,MATCH('Delta Beta'!$C$5,Data!$B$4:$Q$4,0)-1)=""),OFFSET(Data!E107,0,MATCH('Delta Beta'!$C$5,Data!$B$4:$Q$4,0)-1),#N/A)-$C$8/250</f>
        <v>-1.62887141535616E-2</v>
      </c>
      <c r="N104" s="395"/>
      <c r="R104" s="391"/>
    </row>
    <row r="105" spans="12:18">
      <c r="L105" s="394">
        <f ca="1">IF(NOT(OFFSET(Data!E108,0,MATCH('Delta Beta'!$C$5,Data!$B$4:$Q$4,0)-3)=""),OFFSET(Data!E108,0,MATCH('Delta Beta'!$C$5,Data!$B$4:$Q$4,0)-3),#N/A)-$C$8/250</f>
        <v>-2.121900862524517E-3</v>
      </c>
      <c r="M105" s="394">
        <f ca="1">IF(NOT(OFFSET(Data!E108,0,MATCH('Delta Beta'!$C$5,Data!$B$4:$Q$4,0)-1)=""),OFFSET(Data!E108,0,MATCH('Delta Beta'!$C$5,Data!$B$4:$Q$4,0)-1),#N/A)-$C$8/250</f>
        <v>-2.0711551528878724E-2</v>
      </c>
      <c r="N105" s="395"/>
      <c r="R105" s="391"/>
    </row>
    <row r="106" spans="12:18">
      <c r="L106" s="394">
        <f ca="1">IF(NOT(OFFSET(Data!E109,0,MATCH('Delta Beta'!$C$5,Data!$B$4:$Q$4,0)-3)=""),OFFSET(Data!E109,0,MATCH('Delta Beta'!$C$5,Data!$B$4:$Q$4,0)-3),#N/A)-$C$8/250</f>
        <v>7.4001041681135303E-3</v>
      </c>
      <c r="M106" s="394">
        <f ca="1">IF(NOT(OFFSET(Data!E109,0,MATCH('Delta Beta'!$C$5,Data!$B$4:$Q$4,0)-1)=""),OFFSET(Data!E109,0,MATCH('Delta Beta'!$C$5,Data!$B$4:$Q$4,0)-1),#N/A)-$C$8/250</f>
        <v>-1.9087271082974921E-3</v>
      </c>
      <c r="N106" s="395"/>
      <c r="R106" s="391"/>
    </row>
    <row r="107" spans="12:18">
      <c r="L107" s="394">
        <f ca="1">IF(NOT(OFFSET(Data!E110,0,MATCH('Delta Beta'!$C$5,Data!$B$4:$Q$4,0)-3)=""),OFFSET(Data!E110,0,MATCH('Delta Beta'!$C$5,Data!$B$4:$Q$4,0)-3),#N/A)-$C$8/250</f>
        <v>5.1216404886560317E-3</v>
      </c>
      <c r="M107" s="394">
        <f ca="1">IF(NOT(OFFSET(Data!E110,0,MATCH('Delta Beta'!$C$5,Data!$B$4:$Q$4,0)-1)=""),OFFSET(Data!E110,0,MATCH('Delta Beta'!$C$5,Data!$B$4:$Q$4,0)-1),#N/A)-$C$8/250</f>
        <v>2.232256125751263E-2</v>
      </c>
      <c r="N107" s="395"/>
      <c r="R107" s="391"/>
    </row>
    <row r="108" spans="12:18">
      <c r="L108" s="394">
        <f ca="1">IF(NOT(OFFSET(Data!E111,0,MATCH('Delta Beta'!$C$5,Data!$B$4:$Q$4,0)-3)=""),OFFSET(Data!E111,0,MATCH('Delta Beta'!$C$5,Data!$B$4:$Q$4,0)-3),#N/A)-$C$8/250</f>
        <v>1.228114078009257E-3</v>
      </c>
      <c r="M108" s="394">
        <f ca="1">IF(NOT(OFFSET(Data!E111,0,MATCH('Delta Beta'!$C$5,Data!$B$4:$Q$4,0)-1)=""),OFFSET(Data!E111,0,MATCH('Delta Beta'!$C$5,Data!$B$4:$Q$4,0)-1),#N/A)-$C$8/250</f>
        <v>8.9972708187544444E-3</v>
      </c>
      <c r="N108" s="395"/>
      <c r="R108" s="391"/>
    </row>
    <row r="109" spans="12:18">
      <c r="L109" s="394">
        <f ca="1">IF(NOT(OFFSET(Data!E112,0,MATCH('Delta Beta'!$C$5,Data!$B$4:$Q$4,0)-3)=""),OFFSET(Data!E112,0,MATCH('Delta Beta'!$C$5,Data!$B$4:$Q$4,0)-3),#N/A)-$C$8/250</f>
        <v>1.7734984069871516E-4</v>
      </c>
      <c r="M109" s="394">
        <f ca="1">IF(NOT(OFFSET(Data!E112,0,MATCH('Delta Beta'!$C$5,Data!$B$4:$Q$4,0)-1)=""),OFFSET(Data!E112,0,MATCH('Delta Beta'!$C$5,Data!$B$4:$Q$4,0)-1),#N/A)-$C$8/250</f>
        <v>-5.8977736549165162E-3</v>
      </c>
      <c r="N109" s="395"/>
      <c r="R109" s="391"/>
    </row>
    <row r="110" spans="12:18">
      <c r="L110" s="394">
        <f ca="1">IF(NOT(OFFSET(Data!E113,0,MATCH('Delta Beta'!$C$5,Data!$B$4:$Q$4,0)-3)=""),OFFSET(Data!E113,0,MATCH('Delta Beta'!$C$5,Data!$B$4:$Q$4,0)-3),#N/A)-$C$8/250</f>
        <v>2.2150419323942907E-3</v>
      </c>
      <c r="M110" s="394">
        <f ca="1">IF(NOT(OFFSET(Data!E113,0,MATCH('Delta Beta'!$C$5,Data!$B$4:$Q$4,0)-1)=""),OFFSET(Data!E113,0,MATCH('Delta Beta'!$C$5,Data!$B$4:$Q$4,0)-1),#N/A)-$C$8/250</f>
        <v>-2.9584582489309074E-2</v>
      </c>
      <c r="N110" s="395"/>
      <c r="R110" s="391"/>
    </row>
    <row r="111" spans="12:18">
      <c r="L111" s="394">
        <f ca="1">IF(NOT(OFFSET(Data!E114,0,MATCH('Delta Beta'!$C$5,Data!$B$4:$Q$4,0)-3)=""),OFFSET(Data!E114,0,MATCH('Delta Beta'!$C$5,Data!$B$4:$Q$4,0)-3),#N/A)-$C$8/250</f>
        <v>3.2306066579319451E-3</v>
      </c>
      <c r="M111" s="394">
        <f ca="1">IF(NOT(OFFSET(Data!E114,0,MATCH('Delta Beta'!$C$5,Data!$B$4:$Q$4,0)-1)=""),OFFSET(Data!E114,0,MATCH('Delta Beta'!$C$5,Data!$B$4:$Q$4,0)-1),#N/A)-$C$8/250</f>
        <v>-1.0788042752170945E-2</v>
      </c>
      <c r="N111" s="395"/>
      <c r="R111" s="391"/>
    </row>
    <row r="112" spans="12:18">
      <c r="L112" s="394">
        <f ca="1">IF(NOT(OFFSET(Data!E115,0,MATCH('Delta Beta'!$C$5,Data!$B$4:$Q$4,0)-3)=""),OFFSET(Data!E115,0,MATCH('Delta Beta'!$C$5,Data!$B$4:$Q$4,0)-3),#N/A)-$C$8/250</f>
        <v>5.7111574222505788E-3</v>
      </c>
      <c r="M112" s="394">
        <f ca="1">IF(NOT(OFFSET(Data!E115,0,MATCH('Delta Beta'!$C$5,Data!$B$4:$Q$4,0)-1)=""),OFFSET(Data!E115,0,MATCH('Delta Beta'!$C$5,Data!$B$4:$Q$4,0)-1),#N/A)-$C$8/250</f>
        <v>-8.0522862823062639E-3</v>
      </c>
      <c r="N112" s="395"/>
      <c r="R112" s="391"/>
    </row>
    <row r="113" spans="12:18">
      <c r="L113" s="394">
        <f ca="1">IF(NOT(OFFSET(Data!E116,0,MATCH('Delta Beta'!$C$5,Data!$B$4:$Q$4,0)-3)=""),OFFSET(Data!E116,0,MATCH('Delta Beta'!$C$5,Data!$B$4:$Q$4,0)-3),#N/A)-$C$8/250</f>
        <v>-1.1832603310065859E-3</v>
      </c>
      <c r="M113" s="394">
        <f ca="1">IF(NOT(OFFSET(Data!E116,0,MATCH('Delta Beta'!$C$5,Data!$B$4:$Q$4,0)-1)=""),OFFSET(Data!E116,0,MATCH('Delta Beta'!$C$5,Data!$B$4:$Q$4,0)-1),#N/A)-$C$8/250</f>
        <v>-2.3040996253029908E-3</v>
      </c>
      <c r="N113" s="395"/>
      <c r="R113" s="391"/>
    </row>
    <row r="114" spans="12:18">
      <c r="L114" s="394">
        <f ca="1">IF(NOT(OFFSET(Data!E117,0,MATCH('Delta Beta'!$C$5,Data!$B$4:$Q$4,0)-3)=""),OFFSET(Data!E117,0,MATCH('Delta Beta'!$C$5,Data!$B$4:$Q$4,0)-3),#N/A)-$C$8/250</f>
        <v>5.0245150646539448E-3</v>
      </c>
      <c r="M114" s="394">
        <f ca="1">IF(NOT(OFFSET(Data!E117,0,MATCH('Delta Beta'!$C$5,Data!$B$4:$Q$4,0)-1)=""),OFFSET(Data!E117,0,MATCH('Delta Beta'!$C$5,Data!$B$4:$Q$4,0)-1),#N/A)-$C$8/250</f>
        <v>-8.8393489185056955E-3</v>
      </c>
      <c r="N114" s="395"/>
      <c r="R114" s="391"/>
    </row>
    <row r="115" spans="12:18">
      <c r="L115" s="394">
        <f ca="1">IF(NOT(OFFSET(Data!E118,0,MATCH('Delta Beta'!$C$5,Data!$B$4:$Q$4,0)-3)=""),OFFSET(Data!E118,0,MATCH('Delta Beta'!$C$5,Data!$B$4:$Q$4,0)-3),#N/A)-$C$8/250</f>
        <v>1.3902328121062391E-2</v>
      </c>
      <c r="M115" s="394">
        <f ca="1">IF(NOT(OFFSET(Data!E118,0,MATCH('Delta Beta'!$C$5,Data!$B$4:$Q$4,0)-1)=""),OFFSET(Data!E118,0,MATCH('Delta Beta'!$C$5,Data!$B$4:$Q$4,0)-1),#N/A)-$C$8/250</f>
        <v>1.7916014234875533E-2</v>
      </c>
      <c r="N115" s="395"/>
      <c r="R115" s="391"/>
    </row>
    <row r="116" spans="12:18">
      <c r="L116" s="394">
        <f ca="1">IF(NOT(OFFSET(Data!E119,0,MATCH('Delta Beta'!$C$5,Data!$B$4:$Q$4,0)-3)=""),OFFSET(Data!E119,0,MATCH('Delta Beta'!$C$5,Data!$B$4:$Q$4,0)-3),#N/A)-$C$8/250</f>
        <v>-1.3224547000611053E-2</v>
      </c>
      <c r="M116" s="394">
        <f ca="1">IF(NOT(OFFSET(Data!E119,0,MATCH('Delta Beta'!$C$5,Data!$B$4:$Q$4,0)-1)=""),OFFSET(Data!E119,0,MATCH('Delta Beta'!$C$5,Data!$B$4:$Q$4,0)-1),#N/A)-$C$8/250</f>
        <v>8.6502804577070942E-3</v>
      </c>
      <c r="N116" s="395"/>
      <c r="R116" s="391"/>
    </row>
    <row r="117" spans="12:18">
      <c r="L117" s="394">
        <f ca="1">IF(NOT(OFFSET(Data!E120,0,MATCH('Delta Beta'!$C$5,Data!$B$4:$Q$4,0)-3)=""),OFFSET(Data!E120,0,MATCH('Delta Beta'!$C$5,Data!$B$4:$Q$4,0)-3),#N/A)-$C$8/250</f>
        <v>-5.3563700073401273E-4</v>
      </c>
      <c r="M117" s="394">
        <f ca="1">IF(NOT(OFFSET(Data!E120,0,MATCH('Delta Beta'!$C$5,Data!$B$4:$Q$4,0)-1)=""),OFFSET(Data!E120,0,MATCH('Delta Beta'!$C$5,Data!$B$4:$Q$4,0)-1),#N/A)-$C$8/250</f>
        <v>-2.0969947275922728E-2</v>
      </c>
      <c r="N117" s="395"/>
      <c r="R117" s="391"/>
    </row>
    <row r="118" spans="12:18">
      <c r="L118" s="394">
        <f ca="1">IF(NOT(OFFSET(Data!E121,0,MATCH('Delta Beta'!$C$5,Data!$B$4:$Q$4,0)-3)=""),OFFSET(Data!E121,0,MATCH('Delta Beta'!$C$5,Data!$B$4:$Q$4,0)-3),#N/A)-$C$8/250</f>
        <v>-5.4902072015429295E-3</v>
      </c>
      <c r="M118" s="394">
        <f ca="1">IF(NOT(OFFSET(Data!E121,0,MATCH('Delta Beta'!$C$5,Data!$B$4:$Q$4,0)-1)=""),OFFSET(Data!E121,0,MATCH('Delta Beta'!$C$5,Data!$B$4:$Q$4,0)-1),#N/A)-$C$8/250</f>
        <v>-3.1963540522729196E-4</v>
      </c>
      <c r="N118" s="395"/>
      <c r="R118" s="391"/>
    </row>
    <row r="119" spans="12:18">
      <c r="L119" s="394">
        <f ca="1">IF(NOT(OFFSET(Data!E122,0,MATCH('Delta Beta'!$C$5,Data!$B$4:$Q$4,0)-3)=""),OFFSET(Data!E122,0,MATCH('Delta Beta'!$C$5,Data!$B$4:$Q$4,0)-3),#N/A)-$C$8/250</f>
        <v>-2.1116799642784232E-3</v>
      </c>
      <c r="M119" s="394">
        <f ca="1">IF(NOT(OFFSET(Data!E122,0,MATCH('Delta Beta'!$C$5,Data!$B$4:$Q$4,0)-1)=""),OFFSET(Data!E122,0,MATCH('Delta Beta'!$C$5,Data!$B$4:$Q$4,0)-1),#N/A)-$C$8/250</f>
        <v>-8.1610021786491342E-3</v>
      </c>
      <c r="N119" s="395"/>
      <c r="R119" s="391"/>
    </row>
    <row r="120" spans="12:18">
      <c r="L120" s="394">
        <f ca="1">IF(NOT(OFFSET(Data!E123,0,MATCH('Delta Beta'!$C$5,Data!$B$4:$Q$4,0)-3)=""),OFFSET(Data!E123,0,MATCH('Delta Beta'!$C$5,Data!$B$4:$Q$4,0)-3),#N/A)-$C$8/250</f>
        <v>1.7152110447704483E-3</v>
      </c>
      <c r="M120" s="394">
        <f ca="1">IF(NOT(OFFSET(Data!E123,0,MATCH('Delta Beta'!$C$5,Data!$B$4:$Q$4,0)-1)=""),OFFSET(Data!E123,0,MATCH('Delta Beta'!$C$5,Data!$B$4:$Q$4,0)-1),#N/A)-$C$8/250</f>
        <v>-1.3003225806451645E-2</v>
      </c>
      <c r="N120" s="395"/>
      <c r="R120" s="391"/>
    </row>
    <row r="121" spans="12:18">
      <c r="L121" s="394">
        <f ca="1">IF(NOT(OFFSET(Data!E124,0,MATCH('Delta Beta'!$C$5,Data!$B$4:$Q$4,0)-3)=""),OFFSET(Data!E124,0,MATCH('Delta Beta'!$C$5,Data!$B$4:$Q$4,0)-3),#N/A)-$C$8/250</f>
        <v>1.8484900381676606E-3</v>
      </c>
      <c r="M121" s="394">
        <f ca="1">IF(NOT(OFFSET(Data!E124,0,MATCH('Delta Beta'!$C$5,Data!$B$4:$Q$4,0)-1)=""),OFFSET(Data!E124,0,MATCH('Delta Beta'!$C$5,Data!$B$4:$Q$4,0)-1),#N/A)-$C$8/250</f>
        <v>4.6536732929991385E-3</v>
      </c>
      <c r="N121" s="395"/>
      <c r="R121" s="391"/>
    </row>
    <row r="122" spans="12:18">
      <c r="L122" s="394">
        <f ca="1">IF(NOT(OFFSET(Data!E125,0,MATCH('Delta Beta'!$C$5,Data!$B$4:$Q$4,0)-3)=""),OFFSET(Data!E125,0,MATCH('Delta Beta'!$C$5,Data!$B$4:$Q$4,0)-3),#N/A)-$C$8/250</f>
        <v>4.5521548506357477E-3</v>
      </c>
      <c r="M122" s="394">
        <f ca="1">IF(NOT(OFFSET(Data!E125,0,MATCH('Delta Beta'!$C$5,Data!$B$4:$Q$4,0)-1)=""),OFFSET(Data!E125,0,MATCH('Delta Beta'!$C$5,Data!$B$4:$Q$4,0)-1),#N/A)-$C$8/250</f>
        <v>-5.2590713671539892E-3</v>
      </c>
      <c r="N122" s="395"/>
      <c r="R122" s="391"/>
    </row>
    <row r="123" spans="12:18">
      <c r="L123" s="394">
        <f ca="1">IF(NOT(OFFSET(Data!E126,0,MATCH('Delta Beta'!$C$5,Data!$B$4:$Q$4,0)-3)=""),OFFSET(Data!E126,0,MATCH('Delta Beta'!$C$5,Data!$B$4:$Q$4,0)-3),#N/A)-$C$8/250</f>
        <v>-1.9238764589828538E-3</v>
      </c>
      <c r="M123" s="394">
        <f ca="1">IF(NOT(OFFSET(Data!E126,0,MATCH('Delta Beta'!$C$5,Data!$B$4:$Q$4,0)-1)=""),OFFSET(Data!E126,0,MATCH('Delta Beta'!$C$5,Data!$B$4:$Q$4,0)-1),#N/A)-$C$8/250</f>
        <v>-1.1154421768707411E-2</v>
      </c>
      <c r="N123" s="395"/>
      <c r="R123" s="391"/>
    </row>
    <row r="124" spans="12:18">
      <c r="L124" s="394">
        <f ca="1">IF(NOT(OFFSET(Data!E127,0,MATCH('Delta Beta'!$C$5,Data!$B$4:$Q$4,0)-3)=""),OFFSET(Data!E127,0,MATCH('Delta Beta'!$C$5,Data!$B$4:$Q$4,0)-3),#N/A)-$C$8/250</f>
        <v>7.5084939855851824E-5</v>
      </c>
      <c r="M124" s="394">
        <f ca="1">IF(NOT(OFFSET(Data!E127,0,MATCH('Delta Beta'!$C$5,Data!$B$4:$Q$4,0)-1)=""),OFFSET(Data!E127,0,MATCH('Delta Beta'!$C$5,Data!$B$4:$Q$4,0)-1),#N/A)-$C$8/250</f>
        <v>2.073333333333326E-2</v>
      </c>
      <c r="N124" s="395"/>
      <c r="R124" s="391"/>
    </row>
    <row r="125" spans="12:18">
      <c r="L125" s="394">
        <f ca="1">IF(NOT(OFFSET(Data!E128,0,MATCH('Delta Beta'!$C$5,Data!$B$4:$Q$4,0)-3)=""),OFFSET(Data!E128,0,MATCH('Delta Beta'!$C$5,Data!$B$4:$Q$4,0)-3),#N/A)-$C$8/250</f>
        <v>-8.9671102558220857E-4</v>
      </c>
      <c r="M125" s="394">
        <f ca="1">IF(NOT(OFFSET(Data!E128,0,MATCH('Delta Beta'!$C$5,Data!$B$4:$Q$4,0)-1)=""),OFFSET(Data!E128,0,MATCH('Delta Beta'!$C$5,Data!$B$4:$Q$4,0)-1),#N/A)-$C$8/250</f>
        <v>2.074858634188759E-3</v>
      </c>
      <c r="N125" s="395"/>
      <c r="R125" s="391"/>
    </row>
    <row r="126" spans="12:18">
      <c r="L126" s="394">
        <f ca="1">IF(NOT(OFFSET(Data!E129,0,MATCH('Delta Beta'!$C$5,Data!$B$4:$Q$4,0)-3)=""),OFFSET(Data!E129,0,MATCH('Delta Beta'!$C$5,Data!$B$4:$Q$4,0)-3),#N/A)-$C$8/250</f>
        <v>8.7340865998068902E-3</v>
      </c>
      <c r="M126" s="394">
        <f ca="1">IF(NOT(OFFSET(Data!E129,0,MATCH('Delta Beta'!$C$5,Data!$B$4:$Q$4,0)-1)=""),OFFSET(Data!E129,0,MATCH('Delta Beta'!$C$5,Data!$B$4:$Q$4,0)-1),#N/A)-$C$8/250</f>
        <v>-3.3516800346846784E-3</v>
      </c>
      <c r="N126" s="395"/>
      <c r="R126" s="391"/>
    </row>
    <row r="127" spans="12:18">
      <c r="L127" s="394">
        <f ca="1">IF(NOT(OFFSET(Data!E130,0,MATCH('Delta Beta'!$C$5,Data!$B$4:$Q$4,0)-3)=""),OFFSET(Data!E130,0,MATCH('Delta Beta'!$C$5,Data!$B$4:$Q$4,0)-3),#N/A)-$C$8/250</f>
        <v>-3.728698801364849E-3</v>
      </c>
      <c r="M127" s="394">
        <f ca="1">IF(NOT(OFFSET(Data!E130,0,MATCH('Delta Beta'!$C$5,Data!$B$4:$Q$4,0)-1)=""),OFFSET(Data!E130,0,MATCH('Delta Beta'!$C$5,Data!$B$4:$Q$4,0)-1),#N/A)-$C$8/250</f>
        <v>-3.4431170190496144E-2</v>
      </c>
      <c r="N127" s="395"/>
      <c r="R127" s="391"/>
    </row>
    <row r="128" spans="12:18">
      <c r="L128" s="394">
        <f ca="1">IF(NOT(OFFSET(Data!E131,0,MATCH('Delta Beta'!$C$5,Data!$B$4:$Q$4,0)-3)=""),OFFSET(Data!E131,0,MATCH('Delta Beta'!$C$5,Data!$B$4:$Q$4,0)-3),#N/A)-$C$8/250</f>
        <v>1.3469162597214868E-3</v>
      </c>
      <c r="M128" s="394">
        <f ca="1">IF(NOT(OFFSET(Data!E131,0,MATCH('Delta Beta'!$C$5,Data!$B$4:$Q$4,0)-1)=""),OFFSET(Data!E131,0,MATCH('Delta Beta'!$C$5,Data!$B$4:$Q$4,0)-1),#N/A)-$C$8/250</f>
        <v>1.3675052410901834E-3</v>
      </c>
      <c r="N128" s="395"/>
      <c r="R128" s="391"/>
    </row>
    <row r="129" spans="12:18">
      <c r="L129" s="394">
        <f ca="1">IF(NOT(OFFSET(Data!E132,0,MATCH('Delta Beta'!$C$5,Data!$B$4:$Q$4,0)-3)=""),OFFSET(Data!E132,0,MATCH('Delta Beta'!$C$5,Data!$B$4:$Q$4,0)-3),#N/A)-$C$8/250</f>
        <v>-5.9237531843826514E-4</v>
      </c>
      <c r="M129" s="394">
        <f ca="1">IF(NOT(OFFSET(Data!E132,0,MATCH('Delta Beta'!$C$5,Data!$B$4:$Q$4,0)-1)=""),OFFSET(Data!E132,0,MATCH('Delta Beta'!$C$5,Data!$B$4:$Q$4,0)-1),#N/A)-$C$8/250</f>
        <v>3.1946308724849502E-4</v>
      </c>
      <c r="N129" s="395"/>
      <c r="R129" s="391"/>
    </row>
    <row r="130" spans="12:18">
      <c r="L130" s="394">
        <f ca="1">IF(NOT(OFFSET(Data!E133,0,MATCH('Delta Beta'!$C$5,Data!$B$4:$Q$4,0)-3)=""),OFFSET(Data!E133,0,MATCH('Delta Beta'!$C$5,Data!$B$4:$Q$4,0)-3),#N/A)-$C$8/250</f>
        <v>6.6888651901496625E-4</v>
      </c>
      <c r="M130" s="394">
        <f ca="1">IF(NOT(OFFSET(Data!E133,0,MATCH('Delta Beta'!$C$5,Data!$B$4:$Q$4,0)-1)=""),OFFSET(Data!E133,0,MATCH('Delta Beta'!$C$5,Data!$B$4:$Q$4,0)-1),#N/A)-$C$8/250</f>
        <v>-7.8003121748178141E-3</v>
      </c>
      <c r="N130" s="395"/>
      <c r="R130" s="391"/>
    </row>
    <row r="131" spans="12:18">
      <c r="L131" s="394">
        <f ca="1">IF(NOT(OFFSET(Data!E134,0,MATCH('Delta Beta'!$C$5,Data!$B$4:$Q$4,0)-3)=""),OFFSET(Data!E134,0,MATCH('Delta Beta'!$C$5,Data!$B$4:$Q$4,0)-3),#N/A)-$C$8/250</f>
        <v>1.0653983922745858E-3</v>
      </c>
      <c r="M131" s="394">
        <f ca="1">IF(NOT(OFFSET(Data!E134,0,MATCH('Delta Beta'!$C$5,Data!$B$4:$Q$4,0)-1)=""),OFFSET(Data!E134,0,MATCH('Delta Beta'!$C$5,Data!$B$4:$Q$4,0)-1),#N/A)-$C$8/250</f>
        <v>1.1691956201305354E-2</v>
      </c>
      <c r="N131" s="395"/>
      <c r="R131" s="391"/>
    </row>
    <row r="132" spans="12:18">
      <c r="L132" s="394">
        <f ca="1">IF(NOT(OFFSET(Data!E135,0,MATCH('Delta Beta'!$C$5,Data!$B$4:$Q$4,0)-3)=""),OFFSET(Data!E135,0,MATCH('Delta Beta'!$C$5,Data!$B$4:$Q$4,0)-3),#N/A)-$C$8/250</f>
        <v>1.776732575158746E-3</v>
      </c>
      <c r="M132" s="394">
        <f ca="1">IF(NOT(OFFSET(Data!E135,0,MATCH('Delta Beta'!$C$5,Data!$B$4:$Q$4,0)-1)=""),OFFSET(Data!E135,0,MATCH('Delta Beta'!$C$5,Data!$B$4:$Q$4,0)-1),#N/A)-$C$8/250</f>
        <v>1.7470173559031455E-2</v>
      </c>
      <c r="N132" s="395"/>
      <c r="R132" s="391"/>
    </row>
    <row r="133" spans="12:18">
      <c r="L133" s="394">
        <f ca="1">IF(NOT(OFFSET(Data!E136,0,MATCH('Delta Beta'!$C$5,Data!$B$4:$Q$4,0)-3)=""),OFFSET(Data!E136,0,MATCH('Delta Beta'!$C$5,Data!$B$4:$Q$4,0)-3),#N/A)-$C$8/250</f>
        <v>-2.2253022956601029E-3</v>
      </c>
      <c r="M133" s="394">
        <f ca="1">IF(NOT(OFFSET(Data!E136,0,MATCH('Delta Beta'!$C$5,Data!$B$4:$Q$4,0)-1)=""),OFFSET(Data!E136,0,MATCH('Delta Beta'!$C$5,Data!$B$4:$Q$4,0)-1),#N/A)-$C$8/250</f>
        <v>1.0729542993285646E-2</v>
      </c>
      <c r="N133" s="395"/>
      <c r="R133" s="391"/>
    </row>
    <row r="134" spans="12:18">
      <c r="L134" s="394">
        <f ca="1">IF(NOT(OFFSET(Data!E137,0,MATCH('Delta Beta'!$C$5,Data!$B$4:$Q$4,0)-3)=""),OFFSET(Data!E137,0,MATCH('Delta Beta'!$C$5,Data!$B$4:$Q$4,0)-3),#N/A)-$C$8/250</f>
        <v>9.8113059631461559E-3</v>
      </c>
      <c r="M134" s="394">
        <f ca="1">IF(NOT(OFFSET(Data!E137,0,MATCH('Delta Beta'!$C$5,Data!$B$4:$Q$4,0)-1)=""),OFFSET(Data!E137,0,MATCH('Delta Beta'!$C$5,Data!$B$4:$Q$4,0)-1),#N/A)-$C$8/250</f>
        <v>2.1134240212342437E-2</v>
      </c>
      <c r="N134" s="395"/>
      <c r="R134" s="391"/>
    </row>
    <row r="135" spans="12:18">
      <c r="L135" s="394">
        <f ca="1">IF(NOT(OFFSET(Data!E138,0,MATCH('Delta Beta'!$C$5,Data!$B$4:$Q$4,0)-3)=""),OFFSET(Data!E138,0,MATCH('Delta Beta'!$C$5,Data!$B$4:$Q$4,0)-3),#N/A)-$C$8/250</f>
        <v>-8.8381965415763593E-4</v>
      </c>
      <c r="M135" s="394">
        <f ca="1">IF(NOT(OFFSET(Data!E138,0,MATCH('Delta Beta'!$C$5,Data!$B$4:$Q$4,0)-1)=""),OFFSET(Data!E138,0,MATCH('Delta Beta'!$C$5,Data!$B$4:$Q$4,0)-1),#N/A)-$C$8/250</f>
        <v>-4.5043162299052255E-3</v>
      </c>
      <c r="N135" s="395"/>
      <c r="R135" s="391"/>
    </row>
    <row r="136" spans="12:18">
      <c r="L136" s="394">
        <f ca="1">IF(NOT(OFFSET(Data!E139,0,MATCH('Delta Beta'!$C$5,Data!$B$4:$Q$4,0)-3)=""),OFFSET(Data!E139,0,MATCH('Delta Beta'!$C$5,Data!$B$4:$Q$4,0)-3),#N/A)-$C$8/250</f>
        <v>1.045475644364945E-2</v>
      </c>
      <c r="M136" s="394">
        <f ca="1">IF(NOT(OFFSET(Data!E139,0,MATCH('Delta Beta'!$C$5,Data!$B$4:$Q$4,0)-1)=""),OFFSET(Data!E139,0,MATCH('Delta Beta'!$C$5,Data!$B$4:$Q$4,0)-1),#N/A)-$C$8/250</f>
        <v>-1.5921413090593927E-2</v>
      </c>
      <c r="N136" s="395"/>
      <c r="R136" s="391"/>
    </row>
    <row r="137" spans="12:18">
      <c r="L137" s="394">
        <f ca="1">IF(NOT(OFFSET(Data!E140,0,MATCH('Delta Beta'!$C$5,Data!$B$4:$Q$4,0)-3)=""),OFFSET(Data!E140,0,MATCH('Delta Beta'!$C$5,Data!$B$4:$Q$4,0)-3),#N/A)-$C$8/250</f>
        <v>-3.0434351705374116E-3</v>
      </c>
      <c r="M137" s="394">
        <f ca="1">IF(NOT(OFFSET(Data!E140,0,MATCH('Delta Beta'!$C$5,Data!$B$4:$Q$4,0)-1)=""),OFFSET(Data!E140,0,MATCH('Delta Beta'!$C$5,Data!$B$4:$Q$4,0)-1),#N/A)-$C$8/250</f>
        <v>-1.2725722234110736E-2</v>
      </c>
      <c r="N137" s="395"/>
      <c r="R137" s="391"/>
    </row>
    <row r="138" spans="12:18">
      <c r="L138" s="394">
        <f ca="1">IF(NOT(OFFSET(Data!E141,0,MATCH('Delta Beta'!$C$5,Data!$B$4:$Q$4,0)-3)=""),OFFSET(Data!E141,0,MATCH('Delta Beta'!$C$5,Data!$B$4:$Q$4,0)-3),#N/A)-$C$8/250</f>
        <v>-8.6173024218827547E-3</v>
      </c>
      <c r="M138" s="394">
        <f ca="1">IF(NOT(OFFSET(Data!E141,0,MATCH('Delta Beta'!$C$5,Data!$B$4:$Q$4,0)-1)=""),OFFSET(Data!E141,0,MATCH('Delta Beta'!$C$5,Data!$B$4:$Q$4,0)-1),#N/A)-$C$8/250</f>
        <v>-5.2780748663107109E-4</v>
      </c>
      <c r="N138" s="395"/>
      <c r="R138" s="391"/>
    </row>
    <row r="139" spans="12:18">
      <c r="L139" s="394">
        <f ca="1">IF(NOT(OFFSET(Data!E142,0,MATCH('Delta Beta'!$C$5,Data!$B$4:$Q$4,0)-3)=""),OFFSET(Data!E142,0,MATCH('Delta Beta'!$C$5,Data!$B$4:$Q$4,0)-3),#N/A)-$C$8/250</f>
        <v>-2.6300382141189013E-3</v>
      </c>
      <c r="M139" s="394">
        <f ca="1">IF(NOT(OFFSET(Data!E142,0,MATCH('Delta Beta'!$C$5,Data!$B$4:$Q$4,0)-1)=""),OFFSET(Data!E142,0,MATCH('Delta Beta'!$C$5,Data!$B$4:$Q$4,0)-1),#N/A)-$C$8/250</f>
        <v>9.4011876484560893E-3</v>
      </c>
      <c r="N139" s="395"/>
      <c r="R139" s="391"/>
    </row>
    <row r="140" spans="12:18">
      <c r="L140" s="394">
        <f ca="1">IF(NOT(OFFSET(Data!E143,0,MATCH('Delta Beta'!$C$5,Data!$B$4:$Q$4,0)-3)=""),OFFSET(Data!E143,0,MATCH('Delta Beta'!$C$5,Data!$B$4:$Q$4,0)-3),#N/A)-$C$8/250</f>
        <v>1.4817933130699224E-2</v>
      </c>
      <c r="M140" s="394">
        <f ca="1">IF(NOT(OFFSET(Data!E143,0,MATCH('Delta Beta'!$C$5,Data!$B$4:$Q$4,0)-1)=""),OFFSET(Data!E143,0,MATCH('Delta Beta'!$C$5,Data!$B$4:$Q$4,0)-1),#N/A)-$C$8/250</f>
        <v>5.3118103252217427E-2</v>
      </c>
      <c r="N140" s="395"/>
      <c r="R140" s="391"/>
    </row>
    <row r="141" spans="12:18">
      <c r="L141" s="394">
        <f ca="1">IF(NOT(OFFSET(Data!E144,0,MATCH('Delta Beta'!$C$5,Data!$B$4:$Q$4,0)-3)=""),OFFSET(Data!E144,0,MATCH('Delta Beta'!$C$5,Data!$B$4:$Q$4,0)-3),#N/A)-$C$8/250</f>
        <v>1.2073151138064054E-2</v>
      </c>
      <c r="M141" s="394">
        <f ca="1">IF(NOT(OFFSET(Data!E144,0,MATCH('Delta Beta'!$C$5,Data!$B$4:$Q$4,0)-1)=""),OFFSET(Data!E144,0,MATCH('Delta Beta'!$C$5,Data!$B$4:$Q$4,0)-1),#N/A)-$C$8/250</f>
        <v>2.1745224262142749E-2</v>
      </c>
      <c r="N141" s="395"/>
      <c r="R141" s="391"/>
    </row>
    <row r="142" spans="12:18">
      <c r="L142" s="394">
        <f ca="1">IF(NOT(OFFSET(Data!E145,0,MATCH('Delta Beta'!$C$5,Data!$B$4:$Q$4,0)-3)=""),OFFSET(Data!E145,0,MATCH('Delta Beta'!$C$5,Data!$B$4:$Q$4,0)-3),#N/A)-$C$8/250</f>
        <v>-2.1549387057151936E-2</v>
      </c>
      <c r="M142" s="394">
        <f ca="1">IF(NOT(OFFSET(Data!E145,0,MATCH('Delta Beta'!$C$5,Data!$B$4:$Q$4,0)-1)=""),OFFSET(Data!E145,0,MATCH('Delta Beta'!$C$5,Data!$B$4:$Q$4,0)-1),#N/A)-$C$8/250</f>
        <v>-3.3568104222821207E-2</v>
      </c>
      <c r="N142" s="395"/>
      <c r="R142" s="391"/>
    </row>
    <row r="143" spans="12:18">
      <c r="L143" s="394">
        <f ca="1">IF(NOT(OFFSET(Data!E146,0,MATCH('Delta Beta'!$C$5,Data!$B$4:$Q$4,0)-3)=""),OFFSET(Data!E146,0,MATCH('Delta Beta'!$C$5,Data!$B$4:$Q$4,0)-3),#N/A)-$C$8/250</f>
        <v>-8.7738945141735518E-3</v>
      </c>
      <c r="M143" s="394">
        <f ca="1">IF(NOT(OFFSET(Data!E146,0,MATCH('Delta Beta'!$C$5,Data!$B$4:$Q$4,0)-1)=""),OFFSET(Data!E146,0,MATCH('Delta Beta'!$C$5,Data!$B$4:$Q$4,0)-1),#N/A)-$C$8/250</f>
        <v>-2.0130816640986048E-2</v>
      </c>
      <c r="N143" s="395"/>
      <c r="R143" s="391"/>
    </row>
    <row r="144" spans="12:18">
      <c r="L144" s="394">
        <f ca="1">IF(NOT(OFFSET(Data!E147,0,MATCH('Delta Beta'!$C$5,Data!$B$4:$Q$4,0)-3)=""),OFFSET(Data!E147,0,MATCH('Delta Beta'!$C$5,Data!$B$4:$Q$4,0)-3),#N/A)-$C$8/250</f>
        <v>-1.0535666020885525E-2</v>
      </c>
      <c r="M144" s="394">
        <f ca="1">IF(NOT(OFFSET(Data!E147,0,MATCH('Delta Beta'!$C$5,Data!$B$4:$Q$4,0)-1)=""),OFFSET(Data!E147,0,MATCH('Delta Beta'!$C$5,Data!$B$4:$Q$4,0)-1),#N/A)-$C$8/250</f>
        <v>-1.4847343309477356E-2</v>
      </c>
      <c r="N144" s="395"/>
      <c r="R144" s="391"/>
    </row>
    <row r="145" spans="12:18">
      <c r="L145" s="394">
        <f ca="1">IF(NOT(OFFSET(Data!E148,0,MATCH('Delta Beta'!$C$5,Data!$B$4:$Q$4,0)-3)=""),OFFSET(Data!E148,0,MATCH('Delta Beta'!$C$5,Data!$B$4:$Q$4,0)-3),#N/A)-$C$8/250</f>
        <v>7.2733464711231986E-3</v>
      </c>
      <c r="M145" s="394">
        <f ca="1">IF(NOT(OFFSET(Data!E148,0,MATCH('Delta Beta'!$C$5,Data!$B$4:$Q$4,0)-1)=""),OFFSET(Data!E148,0,MATCH('Delta Beta'!$C$5,Data!$B$4:$Q$4,0)-1),#N/A)-$C$8/250</f>
        <v>2.6163075895837985E-2</v>
      </c>
      <c r="N145" s="395"/>
      <c r="R145" s="391"/>
    </row>
    <row r="146" spans="12:18">
      <c r="L146" s="394">
        <f ca="1">IF(NOT(OFFSET(Data!E149,0,MATCH('Delta Beta'!$C$5,Data!$B$4:$Q$4,0)-3)=""),OFFSET(Data!E149,0,MATCH('Delta Beta'!$C$5,Data!$B$4:$Q$4,0)-3),#N/A)-$C$8/250</f>
        <v>8.0653905494540885E-3</v>
      </c>
      <c r="M146" s="394">
        <f ca="1">IF(NOT(OFFSET(Data!E149,0,MATCH('Delta Beta'!$C$5,Data!$B$4:$Q$4,0)-1)=""),OFFSET(Data!E149,0,MATCH('Delta Beta'!$C$5,Data!$B$4:$Q$4,0)-1),#N/A)-$C$8/250</f>
        <v>-6.0734513274336545E-3</v>
      </c>
      <c r="N146" s="395"/>
      <c r="R146" s="391"/>
    </row>
    <row r="147" spans="12:18">
      <c r="L147" s="394">
        <f ca="1">IF(NOT(OFFSET(Data!E150,0,MATCH('Delta Beta'!$C$5,Data!$B$4:$Q$4,0)-3)=""),OFFSET(Data!E150,0,MATCH('Delta Beta'!$C$5,Data!$B$4:$Q$4,0)-3),#N/A)-$C$8/250</f>
        <v>6.0353882429774468E-4</v>
      </c>
      <c r="M147" s="394">
        <f ca="1">IF(NOT(OFFSET(Data!E150,0,MATCH('Delta Beta'!$C$5,Data!$B$4:$Q$4,0)-1)=""),OFFSET(Data!E150,0,MATCH('Delta Beta'!$C$5,Data!$B$4:$Q$4,0)-1),#N/A)-$C$8/250</f>
        <v>1.1991356918943364E-2</v>
      </c>
      <c r="N147" s="395"/>
      <c r="R147" s="391"/>
    </row>
    <row r="148" spans="12:18">
      <c r="L148" s="394">
        <f ca="1">IF(NOT(OFFSET(Data!E151,0,MATCH('Delta Beta'!$C$5,Data!$B$4:$Q$4,0)-3)=""),OFFSET(Data!E151,0,MATCH('Delta Beta'!$C$5,Data!$B$4:$Q$4,0)-3),#N/A)-$C$8/250</f>
        <v>-6.7783378571121379E-3</v>
      </c>
      <c r="M148" s="394">
        <f ca="1">IF(NOT(OFFSET(Data!E151,0,MATCH('Delta Beta'!$C$5,Data!$B$4:$Q$4,0)-1)=""),OFFSET(Data!E151,0,MATCH('Delta Beta'!$C$5,Data!$B$4:$Q$4,0)-1),#N/A)-$C$8/250</f>
        <v>-4.1113528022332049E-2</v>
      </c>
      <c r="N148" s="395"/>
      <c r="R148" s="391"/>
    </row>
    <row r="149" spans="12:18">
      <c r="L149" s="394">
        <f ca="1">IF(NOT(OFFSET(Data!E152,0,MATCH('Delta Beta'!$C$5,Data!$B$4:$Q$4,0)-3)=""),OFFSET(Data!E152,0,MATCH('Delta Beta'!$C$5,Data!$B$4:$Q$4,0)-3),#N/A)-$C$8/250</f>
        <v>2.6480346410215796E-3</v>
      </c>
      <c r="M149" s="394">
        <f ca="1">IF(NOT(OFFSET(Data!E152,0,MATCH('Delta Beta'!$C$5,Data!$B$4:$Q$4,0)-1)=""),OFFSET(Data!E152,0,MATCH('Delta Beta'!$C$5,Data!$B$4:$Q$4,0)-1),#N/A)-$C$8/250</f>
        <v>-7.5595055413470004E-3</v>
      </c>
      <c r="N149" s="395"/>
      <c r="R149" s="391"/>
    </row>
    <row r="150" spans="12:18">
      <c r="L150" s="394">
        <f ca="1">IF(NOT(OFFSET(Data!E153,0,MATCH('Delta Beta'!$C$5,Data!$B$4:$Q$4,0)-3)=""),OFFSET(Data!E153,0,MATCH('Delta Beta'!$C$5,Data!$B$4:$Q$4,0)-3),#N/A)-$C$8/250</f>
        <v>-7.294637501869883E-3</v>
      </c>
      <c r="M150" s="394">
        <f ca="1">IF(NOT(OFFSET(Data!E153,0,MATCH('Delta Beta'!$C$5,Data!$B$4:$Q$4,0)-1)=""),OFFSET(Data!E153,0,MATCH('Delta Beta'!$C$5,Data!$B$4:$Q$4,0)-1),#N/A)-$C$8/250</f>
        <v>1.1542949547218562E-2</v>
      </c>
      <c r="N150" s="395"/>
      <c r="R150" s="391"/>
    </row>
    <row r="151" spans="12:18">
      <c r="L151" s="394">
        <f ca="1">IF(NOT(OFFSET(Data!E154,0,MATCH('Delta Beta'!$C$5,Data!$B$4:$Q$4,0)-3)=""),OFFSET(Data!E154,0,MATCH('Delta Beta'!$C$5,Data!$B$4:$Q$4,0)-3),#N/A)-$C$8/250</f>
        <v>6.6627976802335785E-3</v>
      </c>
      <c r="M151" s="394">
        <f ca="1">IF(NOT(OFFSET(Data!E154,0,MATCH('Delta Beta'!$C$5,Data!$B$4:$Q$4,0)-1)=""),OFFSET(Data!E154,0,MATCH('Delta Beta'!$C$5,Data!$B$4:$Q$4,0)-1),#N/A)-$C$8/250</f>
        <v>-1.3919896640826157E-3</v>
      </c>
      <c r="N151" s="395"/>
      <c r="R151" s="391"/>
    </row>
    <row r="152" spans="12:18">
      <c r="L152" s="394">
        <f ca="1">IF(NOT(OFFSET(Data!E155,0,MATCH('Delta Beta'!$C$5,Data!$B$4:$Q$4,0)-3)=""),OFFSET(Data!E155,0,MATCH('Delta Beta'!$C$5,Data!$B$4:$Q$4,0)-3),#N/A)-$C$8/250</f>
        <v>-9.4553063018300017E-4</v>
      </c>
      <c r="M152" s="394">
        <f ca="1">IF(NOT(OFFSET(Data!E155,0,MATCH('Delta Beta'!$C$5,Data!$B$4:$Q$4,0)-1)=""),OFFSET(Data!E155,0,MATCH('Delta Beta'!$C$5,Data!$B$4:$Q$4,0)-1),#N/A)-$C$8/250</f>
        <v>2.0579628830383781E-3</v>
      </c>
      <c r="N152" s="395"/>
      <c r="R152" s="391"/>
    </row>
    <row r="153" spans="12:18">
      <c r="L153" s="394">
        <f ca="1">IF(NOT(OFFSET(Data!E156,0,MATCH('Delta Beta'!$C$5,Data!$B$4:$Q$4,0)-3)=""),OFFSET(Data!E156,0,MATCH('Delta Beta'!$C$5,Data!$B$4:$Q$4,0)-3),#N/A)-$C$8/250</f>
        <v>-3.1491921425531578E-4</v>
      </c>
      <c r="M153" s="394">
        <f ca="1">IF(NOT(OFFSET(Data!E156,0,MATCH('Delta Beta'!$C$5,Data!$B$4:$Q$4,0)-1)=""),OFFSET(Data!E156,0,MATCH('Delta Beta'!$C$5,Data!$B$4:$Q$4,0)-1),#N/A)-$C$8/250</f>
        <v>-5.892748337266618E-3</v>
      </c>
      <c r="N153" s="395"/>
      <c r="R153" s="391"/>
    </row>
    <row r="154" spans="12:18">
      <c r="L154" s="394">
        <f ca="1">IF(NOT(OFFSET(Data!E157,0,MATCH('Delta Beta'!$C$5,Data!$B$4:$Q$4,0)-3)=""),OFFSET(Data!E157,0,MATCH('Delta Beta'!$C$5,Data!$B$4:$Q$4,0)-3),#N/A)-$C$8/250</f>
        <v>1.6822241679166239E-3</v>
      </c>
      <c r="M154" s="394">
        <f ca="1">IF(NOT(OFFSET(Data!E157,0,MATCH('Delta Beta'!$C$5,Data!$B$4:$Q$4,0)-1)=""),OFFSET(Data!E157,0,MATCH('Delta Beta'!$C$5,Data!$B$4:$Q$4,0)-1),#N/A)-$C$8/250</f>
        <v>1.7585589519650602E-2</v>
      </c>
      <c r="N154" s="395"/>
      <c r="R154" s="391"/>
    </row>
    <row r="155" spans="12:18">
      <c r="L155" s="394">
        <f ca="1">IF(NOT(OFFSET(Data!E158,0,MATCH('Delta Beta'!$C$5,Data!$B$4:$Q$4,0)-3)=""),OFFSET(Data!E158,0,MATCH('Delta Beta'!$C$5,Data!$B$4:$Q$4,0)-3),#N/A)-$C$8/250</f>
        <v>1.0828710658818286E-2</v>
      </c>
      <c r="M155" s="394">
        <f ca="1">IF(NOT(OFFSET(Data!E158,0,MATCH('Delta Beta'!$C$5,Data!$B$4:$Q$4,0)-1)=""),OFFSET(Data!E158,0,MATCH('Delta Beta'!$C$5,Data!$B$4:$Q$4,0)-1),#N/A)-$C$8/250</f>
        <v>2.5655879059350396E-2</v>
      </c>
      <c r="N155" s="395"/>
      <c r="R155" s="391"/>
    </row>
    <row r="156" spans="12:18">
      <c r="L156" s="394">
        <f ca="1">IF(NOT(OFFSET(Data!E159,0,MATCH('Delta Beta'!$C$5,Data!$B$4:$Q$4,0)-3)=""),OFFSET(Data!E159,0,MATCH('Delta Beta'!$C$5,Data!$B$4:$Q$4,0)-3),#N/A)-$C$8/250</f>
        <v>-9.3106713438859783E-3</v>
      </c>
      <c r="M156" s="394">
        <f ca="1">IF(NOT(OFFSET(Data!E159,0,MATCH('Delta Beta'!$C$5,Data!$B$4:$Q$4,0)-1)=""),OFFSET(Data!E159,0,MATCH('Delta Beta'!$C$5,Data!$B$4:$Q$4,0)-1),#N/A)-$C$8/250</f>
        <v>-2.3075929978118258E-2</v>
      </c>
      <c r="N156" s="395"/>
      <c r="R156" s="391"/>
    </row>
    <row r="157" spans="12:18">
      <c r="L157" s="394">
        <f ca="1">IF(NOT(OFFSET(Data!E160,0,MATCH('Delta Beta'!$C$5,Data!$B$4:$Q$4,0)-3)=""),OFFSET(Data!E160,0,MATCH('Delta Beta'!$C$5,Data!$B$4:$Q$4,0)-3),#N/A)-$C$8/250</f>
        <v>9.2060600637495667E-3</v>
      </c>
      <c r="M157" s="394">
        <f ca="1">IF(NOT(OFFSET(Data!E160,0,MATCH('Delta Beta'!$C$5,Data!$B$4:$Q$4,0)-1)=""),OFFSET(Data!E160,0,MATCH('Delta Beta'!$C$5,Data!$B$4:$Q$4,0)-1),#N/A)-$C$8/250</f>
        <v>2.8021484814398246E-2</v>
      </c>
      <c r="N157" s="395"/>
      <c r="R157" s="391"/>
    </row>
    <row r="158" spans="12:18">
      <c r="L158" s="394">
        <f ca="1">IF(NOT(OFFSET(Data!E161,0,MATCH('Delta Beta'!$C$5,Data!$B$4:$Q$4,0)-3)=""),OFFSET(Data!E161,0,MATCH('Delta Beta'!$C$5,Data!$B$4:$Q$4,0)-3),#N/A)-$C$8/250</f>
        <v>-6.9023616108532361E-3</v>
      </c>
      <c r="M158" s="394">
        <f ca="1">IF(NOT(OFFSET(Data!E161,0,MATCH('Delta Beta'!$C$5,Data!$B$4:$Q$4,0)-1)=""),OFFSET(Data!E161,0,MATCH('Delta Beta'!$C$5,Data!$B$4:$Q$4,0)-1),#N/A)-$C$8/250</f>
        <v>-3.6936403033586043E-2</v>
      </c>
      <c r="N158" s="395"/>
      <c r="R158" s="391"/>
    </row>
    <row r="159" spans="12:18">
      <c r="L159" s="394">
        <f ca="1">IF(NOT(OFFSET(Data!E162,0,MATCH('Delta Beta'!$C$5,Data!$B$4:$Q$4,0)-3)=""),OFFSET(Data!E162,0,MATCH('Delta Beta'!$C$5,Data!$B$4:$Q$4,0)-3),#N/A)-$C$8/250</f>
        <v>-5.4064530387267886E-3</v>
      </c>
      <c r="M159" s="394">
        <f ca="1">IF(NOT(OFFSET(Data!E162,0,MATCH('Delta Beta'!$C$5,Data!$B$4:$Q$4,0)-1)=""),OFFSET(Data!E162,0,MATCH('Delta Beta'!$C$5,Data!$B$4:$Q$4,0)-1),#N/A)-$C$8/250</f>
        <v>-1.0606003430531762E-2</v>
      </c>
      <c r="N159" s="395"/>
      <c r="R159" s="391"/>
    </row>
    <row r="160" spans="12:18">
      <c r="L160" s="394">
        <f ca="1">IF(NOT(OFFSET(Data!E163,0,MATCH('Delta Beta'!$C$5,Data!$B$4:$Q$4,0)-3)=""),OFFSET(Data!E163,0,MATCH('Delta Beta'!$C$5,Data!$B$4:$Q$4,0)-3),#N/A)-$C$8/250</f>
        <v>3.5087492386858157E-3</v>
      </c>
      <c r="M160" s="394">
        <f ca="1">IF(NOT(OFFSET(Data!E163,0,MATCH('Delta Beta'!$C$5,Data!$B$4:$Q$4,0)-1)=""),OFFSET(Data!E163,0,MATCH('Delta Beta'!$C$5,Data!$B$4:$Q$4,0)-1),#N/A)-$C$8/250</f>
        <v>-3.9445108927808172E-3</v>
      </c>
      <c r="N160" s="395"/>
      <c r="R160" s="391"/>
    </row>
    <row r="161" spans="12:18">
      <c r="L161" s="394">
        <f ca="1">IF(NOT(OFFSET(Data!E164,0,MATCH('Delta Beta'!$C$5,Data!$B$4:$Q$4,0)-3)=""),OFFSET(Data!E164,0,MATCH('Delta Beta'!$C$5,Data!$B$4:$Q$4,0)-3),#N/A)-$C$8/250</f>
        <v>1.0994247768300925E-2</v>
      </c>
      <c r="M161" s="394">
        <f ca="1">IF(NOT(OFFSET(Data!E164,0,MATCH('Delta Beta'!$C$5,Data!$B$4:$Q$4,0)-1)=""),OFFSET(Data!E164,0,MATCH('Delta Beta'!$C$5,Data!$B$4:$Q$4,0)-1),#N/A)-$C$8/250</f>
        <v>-2.8125742163172106E-2</v>
      </c>
      <c r="N161" s="395"/>
      <c r="R161" s="391"/>
    </row>
    <row r="162" spans="12:18">
      <c r="L162" s="394">
        <f ca="1">IF(NOT(OFFSET(Data!E165,0,MATCH('Delta Beta'!$C$5,Data!$B$4:$Q$4,0)-3)=""),OFFSET(Data!E165,0,MATCH('Delta Beta'!$C$5,Data!$B$4:$Q$4,0)-3),#N/A)-$C$8/250</f>
        <v>-4.1878020277237417E-3</v>
      </c>
      <c r="M162" s="394">
        <f ca="1">IF(NOT(OFFSET(Data!E165,0,MATCH('Delta Beta'!$C$5,Data!$B$4:$Q$4,0)-1)=""),OFFSET(Data!E165,0,MATCH('Delta Beta'!$C$5,Data!$B$4:$Q$4,0)-1),#N/A)-$C$8/250</f>
        <v>-1.9648984666389533E-3</v>
      </c>
      <c r="N162" s="395"/>
      <c r="R162" s="391"/>
    </row>
    <row r="163" spans="12:18">
      <c r="L163" s="394">
        <f ca="1">IF(NOT(OFFSET(Data!E166,0,MATCH('Delta Beta'!$C$5,Data!$B$4:$Q$4,0)-3)=""),OFFSET(Data!E166,0,MATCH('Delta Beta'!$C$5,Data!$B$4:$Q$4,0)-3),#N/A)-$C$8/250</f>
        <v>3.1945816244711603E-3</v>
      </c>
      <c r="M163" s="394">
        <f ca="1">IF(NOT(OFFSET(Data!E166,0,MATCH('Delta Beta'!$C$5,Data!$B$4:$Q$4,0)-1)=""),OFFSET(Data!E166,0,MATCH('Delta Beta'!$C$5,Data!$B$4:$Q$4,0)-1),#N/A)-$C$8/250</f>
        <v>-1.1570708725932032E-2</v>
      </c>
      <c r="N163" s="395"/>
      <c r="R163" s="391"/>
    </row>
    <row r="164" spans="12:18">
      <c r="L164" s="394">
        <f ca="1">IF(NOT(OFFSET(Data!E167,0,MATCH('Delta Beta'!$C$5,Data!$B$4:$Q$4,0)-3)=""),OFFSET(Data!E167,0,MATCH('Delta Beta'!$C$5,Data!$B$4:$Q$4,0)-3),#N/A)-$C$8/250</f>
        <v>-2.9618291028877798E-4</v>
      </c>
      <c r="M164" s="394">
        <f ca="1">IF(NOT(OFFSET(Data!E167,0,MATCH('Delta Beta'!$C$5,Data!$B$4:$Q$4,0)-1)=""),OFFSET(Data!E167,0,MATCH('Delta Beta'!$C$5,Data!$B$4:$Q$4,0)-1),#N/A)-$C$8/250</f>
        <v>-9.2333468642176279E-3</v>
      </c>
      <c r="N164" s="395"/>
      <c r="R164" s="391"/>
    </row>
    <row r="165" spans="12:18">
      <c r="L165" s="394">
        <f ca="1">IF(NOT(OFFSET(Data!E168,0,MATCH('Delta Beta'!$C$5,Data!$B$4:$Q$4,0)-3)=""),OFFSET(Data!E168,0,MATCH('Delta Beta'!$C$5,Data!$B$4:$Q$4,0)-3),#N/A)-$C$8/250</f>
        <v>7.6199628035937715E-3</v>
      </c>
      <c r="M165" s="394">
        <f ca="1">IF(NOT(OFFSET(Data!E168,0,MATCH('Delta Beta'!$C$5,Data!$B$4:$Q$4,0)-1)=""),OFFSET(Data!E168,0,MATCH('Delta Beta'!$C$5,Data!$B$4:$Q$4,0)-1),#N/A)-$C$8/250</f>
        <v>-1.0941196546878095E-2</v>
      </c>
      <c r="N165" s="395"/>
      <c r="R165" s="391"/>
    </row>
    <row r="166" spans="12:18">
      <c r="L166" s="394">
        <f ca="1">IF(NOT(OFFSET(Data!E169,0,MATCH('Delta Beta'!$C$5,Data!$B$4:$Q$4,0)-3)=""),OFFSET(Data!E169,0,MATCH('Delta Beta'!$C$5,Data!$B$4:$Q$4,0)-3),#N/A)-$C$8/250</f>
        <v>4.1206399588231577E-3</v>
      </c>
      <c r="M166" s="394">
        <f ca="1">IF(NOT(OFFSET(Data!E169,0,MATCH('Delta Beta'!$C$5,Data!$B$4:$Q$4,0)-1)=""),OFFSET(Data!E169,0,MATCH('Delta Beta'!$C$5,Data!$B$4:$Q$4,0)-1),#N/A)-$C$8/250</f>
        <v>-7.8689243027888593E-3</v>
      </c>
      <c r="N166" s="395"/>
      <c r="R166" s="391"/>
    </row>
    <row r="167" spans="12:18">
      <c r="L167" s="394">
        <f ca="1">IF(NOT(OFFSET(Data!E170,0,MATCH('Delta Beta'!$C$5,Data!$B$4:$Q$4,0)-3)=""),OFFSET(Data!E170,0,MATCH('Delta Beta'!$C$5,Data!$B$4:$Q$4,0)-3),#N/A)-$C$8/250</f>
        <v>1.3752303666720756E-3</v>
      </c>
      <c r="M167" s="394">
        <f ca="1">IF(NOT(OFFSET(Data!E170,0,MATCH('Delta Beta'!$C$5,Data!$B$4:$Q$4,0)-1)=""),OFFSET(Data!E170,0,MATCH('Delta Beta'!$C$5,Data!$B$4:$Q$4,0)-1),#N/A)-$C$8/250</f>
        <v>-2.8173572120038692E-2</v>
      </c>
      <c r="N167" s="395"/>
      <c r="R167" s="391"/>
    </row>
    <row r="168" spans="12:18">
      <c r="L168" s="394">
        <f ca="1">IF(NOT(OFFSET(Data!E171,0,MATCH('Delta Beta'!$C$5,Data!$B$4:$Q$4,0)-3)=""),OFFSET(Data!E171,0,MATCH('Delta Beta'!$C$5,Data!$B$4:$Q$4,0)-3),#N/A)-$C$8/250</f>
        <v>-1.0735379152555624E-3</v>
      </c>
      <c r="M168" s="394">
        <f ca="1">IF(NOT(OFFSET(Data!E171,0,MATCH('Delta Beta'!$C$5,Data!$B$4:$Q$4,0)-1)=""),OFFSET(Data!E171,0,MATCH('Delta Beta'!$C$5,Data!$B$4:$Q$4,0)-1),#N/A)-$C$8/250</f>
        <v>2.7760696517412854E-2</v>
      </c>
      <c r="N168" s="395"/>
      <c r="R168" s="391"/>
    </row>
    <row r="169" spans="12:18">
      <c r="L169" s="394">
        <f ca="1">IF(NOT(OFFSET(Data!E172,0,MATCH('Delta Beta'!$C$5,Data!$B$4:$Q$4,0)-3)=""),OFFSET(Data!E172,0,MATCH('Delta Beta'!$C$5,Data!$B$4:$Q$4,0)-3),#N/A)-$C$8/250</f>
        <v>1.4338277854756488E-2</v>
      </c>
      <c r="M169" s="394">
        <f ca="1">IF(NOT(OFFSET(Data!E172,0,MATCH('Delta Beta'!$C$5,Data!$B$4:$Q$4,0)-1)=""),OFFSET(Data!E172,0,MATCH('Delta Beta'!$C$5,Data!$B$4:$Q$4,0)-1),#N/A)-$C$8/250</f>
        <v>2.8980483309440908E-2</v>
      </c>
      <c r="N169" s="395"/>
      <c r="R169" s="391"/>
    </row>
    <row r="170" spans="12:18">
      <c r="L170" s="394">
        <f ca="1">IF(NOT(OFFSET(Data!E173,0,MATCH('Delta Beta'!$C$5,Data!$B$4:$Q$4,0)-3)=""),OFFSET(Data!E173,0,MATCH('Delta Beta'!$C$5,Data!$B$4:$Q$4,0)-3),#N/A)-$C$8/250</f>
        <v>1.1725144919693332E-2</v>
      </c>
      <c r="M170" s="394">
        <f ca="1">IF(NOT(OFFSET(Data!E173,0,MATCH('Delta Beta'!$C$5,Data!$B$4:$Q$4,0)-1)=""),OFFSET(Data!E173,0,MATCH('Delta Beta'!$C$5,Data!$B$4:$Q$4,0)-1),#N/A)-$C$8/250</f>
        <v>1.1291880695940327E-2</v>
      </c>
      <c r="N170" s="395"/>
      <c r="R170" s="391"/>
    </row>
    <row r="171" spans="12:18">
      <c r="L171" s="394">
        <f ca="1">IF(NOT(OFFSET(Data!E174,0,MATCH('Delta Beta'!$C$5,Data!$B$4:$Q$4,0)-3)=""),OFFSET(Data!E174,0,MATCH('Delta Beta'!$C$5,Data!$B$4:$Q$4,0)-3),#N/A)-$C$8/250</f>
        <v>3.5225385557842051E-3</v>
      </c>
      <c r="M171" s="394">
        <f ca="1">IF(NOT(OFFSET(Data!E174,0,MATCH('Delta Beta'!$C$5,Data!$B$4:$Q$4,0)-1)=""),OFFSET(Data!E174,0,MATCH('Delta Beta'!$C$5,Data!$B$4:$Q$4,0)-1),#N/A)-$C$8/250</f>
        <v>-1.2778936605316937E-2</v>
      </c>
      <c r="N171" s="395"/>
      <c r="R171" s="391"/>
    </row>
    <row r="172" spans="12:18">
      <c r="L172" s="394">
        <f ca="1">IF(NOT(OFFSET(Data!E175,0,MATCH('Delta Beta'!$C$5,Data!$B$4:$Q$4,0)-3)=""),OFFSET(Data!E175,0,MATCH('Delta Beta'!$C$5,Data!$B$4:$Q$4,0)-3),#N/A)-$C$8/250</f>
        <v>-3.257823166939022E-3</v>
      </c>
      <c r="M172" s="394">
        <f ca="1">IF(NOT(OFFSET(Data!E175,0,MATCH('Delta Beta'!$C$5,Data!$B$4:$Q$4,0)-1)=""),OFFSET(Data!E175,0,MATCH('Delta Beta'!$C$5,Data!$B$4:$Q$4,0)-1),#N/A)-$C$8/250</f>
        <v>3.3289687235841012E-2</v>
      </c>
      <c r="N172" s="395"/>
      <c r="R172" s="391"/>
    </row>
    <row r="173" spans="12:18">
      <c r="L173" s="394">
        <f ca="1">IF(NOT(OFFSET(Data!E176,0,MATCH('Delta Beta'!$C$5,Data!$B$4:$Q$4,0)-3)=""),OFFSET(Data!E176,0,MATCH('Delta Beta'!$C$5,Data!$B$4:$Q$4,0)-3),#N/A)-$C$8/250</f>
        <v>-9.6802497899118873E-4</v>
      </c>
      <c r="M173" s="394">
        <f ca="1">IF(NOT(OFFSET(Data!E176,0,MATCH('Delta Beta'!$C$5,Data!$B$4:$Q$4,0)-1)=""),OFFSET(Data!E176,0,MATCH('Delta Beta'!$C$5,Data!$B$4:$Q$4,0)-1),#N/A)-$C$8/250</f>
        <v>-7.2338648762063753E-3</v>
      </c>
      <c r="N173" s="395"/>
      <c r="R173" s="391"/>
    </row>
    <row r="174" spans="12:18">
      <c r="L174" s="394">
        <f ca="1">IF(NOT(OFFSET(Data!E177,0,MATCH('Delta Beta'!$C$5,Data!$B$4:$Q$4,0)-3)=""),OFFSET(Data!E177,0,MATCH('Delta Beta'!$C$5,Data!$B$4:$Q$4,0)-3),#N/A)-$C$8/250</f>
        <v>1.6531197691788336E-2</v>
      </c>
      <c r="M174" s="394">
        <f ca="1">IF(NOT(OFFSET(Data!E177,0,MATCH('Delta Beta'!$C$5,Data!$B$4:$Q$4,0)-1)=""),OFFSET(Data!E177,0,MATCH('Delta Beta'!$C$5,Data!$B$4:$Q$4,0)-1),#N/A)-$C$8/250</f>
        <v>1.3726845352052697E-2</v>
      </c>
      <c r="N174" s="395"/>
      <c r="R174" s="391"/>
    </row>
    <row r="175" spans="12:18">
      <c r="L175" s="394">
        <f ca="1">IF(NOT(OFFSET(Data!E178,0,MATCH('Delta Beta'!$C$5,Data!$B$4:$Q$4,0)-3)=""),OFFSET(Data!E178,0,MATCH('Delta Beta'!$C$5,Data!$B$4:$Q$4,0)-3),#N/A)-$C$8/250</f>
        <v>5.1402330592367094E-3</v>
      </c>
      <c r="M175" s="394">
        <f ca="1">IF(NOT(OFFSET(Data!E178,0,MATCH('Delta Beta'!$C$5,Data!$B$4:$Q$4,0)-1)=""),OFFSET(Data!E178,0,MATCH('Delta Beta'!$C$5,Data!$B$4:$Q$4,0)-1),#N/A)-$C$8/250</f>
        <v>3.0595023021267254E-2</v>
      </c>
      <c r="N175" s="395"/>
      <c r="R175" s="391"/>
    </row>
    <row r="176" spans="12:18">
      <c r="L176" s="394">
        <f ca="1">IF(NOT(OFFSET(Data!E179,0,MATCH('Delta Beta'!$C$5,Data!$B$4:$Q$4,0)-3)=""),OFFSET(Data!E179,0,MATCH('Delta Beta'!$C$5,Data!$B$4:$Q$4,0)-3),#N/A)-$C$8/250</f>
        <v>-5.567303581109473E-3</v>
      </c>
      <c r="M176" s="394">
        <f ca="1">IF(NOT(OFFSET(Data!E179,0,MATCH('Delta Beta'!$C$5,Data!$B$4:$Q$4,0)-1)=""),OFFSET(Data!E179,0,MATCH('Delta Beta'!$C$5,Data!$B$4:$Q$4,0)-1),#N/A)-$C$8/250</f>
        <v>-7.5731814198077836E-4</v>
      </c>
      <c r="N176" s="395"/>
      <c r="R176" s="391"/>
    </row>
    <row r="177" spans="12:18">
      <c r="L177" s="394">
        <f ca="1">IF(NOT(OFFSET(Data!E180,0,MATCH('Delta Beta'!$C$5,Data!$B$4:$Q$4,0)-3)=""),OFFSET(Data!E180,0,MATCH('Delta Beta'!$C$5,Data!$B$4:$Q$4,0)-3),#N/A)-$C$8/250</f>
        <v>-7.7308370066411338E-3</v>
      </c>
      <c r="M177" s="394">
        <f ca="1">IF(NOT(OFFSET(Data!E180,0,MATCH('Delta Beta'!$C$5,Data!$B$4:$Q$4,0)-1)=""),OFFSET(Data!E180,0,MATCH('Delta Beta'!$C$5,Data!$B$4:$Q$4,0)-1),#N/A)-$C$8/250</f>
        <v>-4.8672024181780196E-2</v>
      </c>
      <c r="N177" s="395"/>
      <c r="R177" s="391"/>
    </row>
    <row r="178" spans="12:18">
      <c r="L178" s="394">
        <f ca="1">IF(NOT(OFFSET(Data!E181,0,MATCH('Delta Beta'!$C$5,Data!$B$4:$Q$4,0)-3)=""),OFFSET(Data!E181,0,MATCH('Delta Beta'!$C$5,Data!$B$4:$Q$4,0)-3),#N/A)-$C$8/250</f>
        <v>6.9251207482558972E-3</v>
      </c>
      <c r="M178" s="394">
        <f ca="1">IF(NOT(OFFSET(Data!E181,0,MATCH('Delta Beta'!$C$5,Data!$B$4:$Q$4,0)-1)=""),OFFSET(Data!E181,0,MATCH('Delta Beta'!$C$5,Data!$B$4:$Q$4,0)-1),#N/A)-$C$8/250</f>
        <v>-2.1120408163265336E-2</v>
      </c>
      <c r="N178" s="395"/>
      <c r="R178" s="391"/>
    </row>
    <row r="179" spans="12:18">
      <c r="L179" s="394">
        <f ca="1">IF(NOT(OFFSET(Data!E182,0,MATCH('Delta Beta'!$C$5,Data!$B$4:$Q$4,0)-3)=""),OFFSET(Data!E182,0,MATCH('Delta Beta'!$C$5,Data!$B$4:$Q$4,0)-3),#N/A)-$C$8/250</f>
        <v>-7.0273888636330768E-4</v>
      </c>
      <c r="M179" s="394">
        <f ca="1">IF(NOT(OFFSET(Data!E182,0,MATCH('Delta Beta'!$C$5,Data!$B$4:$Q$4,0)-1)=""),OFFSET(Data!E182,0,MATCH('Delta Beta'!$C$5,Data!$B$4:$Q$4,0)-1),#N/A)-$C$8/250</f>
        <v>-3.7600244001626646E-3</v>
      </c>
      <c r="N179" s="395"/>
      <c r="R179" s="391"/>
    </row>
    <row r="180" spans="12:18">
      <c r="L180" s="394">
        <f ca="1">IF(NOT(OFFSET(Data!E183,0,MATCH('Delta Beta'!$C$5,Data!$B$4:$Q$4,0)-3)=""),OFFSET(Data!E183,0,MATCH('Delta Beta'!$C$5,Data!$B$4:$Q$4,0)-3),#N/A)-$C$8/250</f>
        <v>-1.4860500437832724E-2</v>
      </c>
      <c r="M180" s="394">
        <f ca="1">IF(NOT(OFFSET(Data!E183,0,MATCH('Delta Beta'!$C$5,Data!$B$4:$Q$4,0)-1)=""),OFFSET(Data!E183,0,MATCH('Delta Beta'!$C$5,Data!$B$4:$Q$4,0)-1),#N/A)-$C$8/250</f>
        <v>-2.5080174464710458E-2</v>
      </c>
      <c r="N180" s="395"/>
      <c r="R180" s="391"/>
    </row>
    <row r="181" spans="12:18">
      <c r="L181" s="394">
        <f ca="1">IF(NOT(OFFSET(Data!E184,0,MATCH('Delta Beta'!$C$5,Data!$B$4:$Q$4,0)-3)=""),OFFSET(Data!E184,0,MATCH('Delta Beta'!$C$5,Data!$B$4:$Q$4,0)-3),#N/A)-$C$8/250</f>
        <v>2.7793426720601369E-3</v>
      </c>
      <c r="M181" s="394">
        <f ca="1">IF(NOT(OFFSET(Data!E184,0,MATCH('Delta Beta'!$C$5,Data!$B$4:$Q$4,0)-1)=""),OFFSET(Data!E184,0,MATCH('Delta Beta'!$C$5,Data!$B$4:$Q$4,0)-1),#N/A)-$C$8/250</f>
        <v>2.1159364243773949E-2</v>
      </c>
      <c r="N181" s="395"/>
      <c r="R181" s="391"/>
    </row>
    <row r="182" spans="12:18">
      <c r="L182" s="394">
        <f ca="1">IF(NOT(OFFSET(Data!E185,0,MATCH('Delta Beta'!$C$5,Data!$B$4:$Q$4,0)-3)=""),OFFSET(Data!E185,0,MATCH('Delta Beta'!$C$5,Data!$B$4:$Q$4,0)-3),#N/A)-$C$8/250</f>
        <v>-1.6696886322292825E-3</v>
      </c>
      <c r="M182" s="394">
        <f ca="1">IF(NOT(OFFSET(Data!E185,0,MATCH('Delta Beta'!$C$5,Data!$B$4:$Q$4,0)-1)=""),OFFSET(Data!E185,0,MATCH('Delta Beta'!$C$5,Data!$B$4:$Q$4,0)-1),#N/A)-$C$8/250</f>
        <v>-3.147870170621693E-2</v>
      </c>
      <c r="N182" s="395"/>
      <c r="R182" s="391"/>
    </row>
    <row r="183" spans="12:18">
      <c r="L183" s="394">
        <f ca="1">IF(NOT(OFFSET(Data!E186,0,MATCH('Delta Beta'!$C$5,Data!$B$4:$Q$4,0)-3)=""),OFFSET(Data!E186,0,MATCH('Delta Beta'!$C$5,Data!$B$4:$Q$4,0)-3),#N/A)-$C$8/250</f>
        <v>6.3919585934766208E-3</v>
      </c>
      <c r="M183" s="394">
        <f ca="1">IF(NOT(OFFSET(Data!E186,0,MATCH('Delta Beta'!$C$5,Data!$B$4:$Q$4,0)-1)=""),OFFSET(Data!E186,0,MATCH('Delta Beta'!$C$5,Data!$B$4:$Q$4,0)-1),#N/A)-$C$8/250</f>
        <v>2.3179149106963715E-2</v>
      </c>
      <c r="N183" s="395"/>
      <c r="R183" s="391"/>
    </row>
    <row r="184" spans="12:18">
      <c r="L184" s="394">
        <f ca="1">IF(NOT(OFFSET(Data!E187,0,MATCH('Delta Beta'!$C$5,Data!$B$4:$Q$4,0)-3)=""),OFFSET(Data!E187,0,MATCH('Delta Beta'!$C$5,Data!$B$4:$Q$4,0)-3),#N/A)-$C$8/250</f>
        <v>9.1539851853349456E-4</v>
      </c>
      <c r="M184" s="394">
        <f ca="1">IF(NOT(OFFSET(Data!E187,0,MATCH('Delta Beta'!$C$5,Data!$B$4:$Q$4,0)-1)=""),OFFSET(Data!E187,0,MATCH('Delta Beta'!$C$5,Data!$B$4:$Q$4,0)-1),#N/A)-$C$8/250</f>
        <v>3.1150000000000001E-2</v>
      </c>
      <c r="N184" s="395"/>
      <c r="R184" s="391"/>
    </row>
    <row r="185" spans="12:18">
      <c r="L185" s="394">
        <f ca="1">IF(NOT(OFFSET(Data!E188,0,MATCH('Delta Beta'!$C$5,Data!$B$4:$Q$4,0)-3)=""),OFFSET(Data!E188,0,MATCH('Delta Beta'!$C$5,Data!$B$4:$Q$4,0)-3),#N/A)-$C$8/250</f>
        <v>1.0295479646353679E-2</v>
      </c>
      <c r="M185" s="394">
        <f ca="1">IF(NOT(OFFSET(Data!E188,0,MATCH('Delta Beta'!$C$5,Data!$B$4:$Q$4,0)-1)=""),OFFSET(Data!E188,0,MATCH('Delta Beta'!$C$5,Data!$B$4:$Q$4,0)-1),#N/A)-$C$8/250</f>
        <v>1.0778661087866171E-2</v>
      </c>
      <c r="N185" s="395"/>
      <c r="R185" s="391"/>
    </row>
    <row r="186" spans="12:18">
      <c r="L186" s="394">
        <f ca="1">IF(NOT(OFFSET(Data!E189,0,MATCH('Delta Beta'!$C$5,Data!$B$4:$Q$4,0)-3)=""),OFFSET(Data!E189,0,MATCH('Delta Beta'!$C$5,Data!$B$4:$Q$4,0)-3),#N/A)-$C$8/250</f>
        <v>5.930283013025661E-3</v>
      </c>
      <c r="M186" s="394">
        <f ca="1">IF(NOT(OFFSET(Data!E189,0,MATCH('Delta Beta'!$C$5,Data!$B$4:$Q$4,0)-1)=""),OFFSET(Data!E189,0,MATCH('Delta Beta'!$C$5,Data!$B$4:$Q$4,0)-1),#N/A)-$C$8/250</f>
        <v>3.6799244015119806E-3</v>
      </c>
      <c r="N186" s="395"/>
      <c r="R186" s="391"/>
    </row>
    <row r="187" spans="12:18">
      <c r="L187" s="394">
        <f ca="1">IF(NOT(OFFSET(Data!E190,0,MATCH('Delta Beta'!$C$5,Data!$B$4:$Q$4,0)-3)=""),OFFSET(Data!E190,0,MATCH('Delta Beta'!$C$5,Data!$B$4:$Q$4,0)-3),#N/A)-$C$8/250</f>
        <v>1.4054683554241432E-2</v>
      </c>
      <c r="M187" s="394">
        <f ca="1">IF(NOT(OFFSET(Data!E190,0,MATCH('Delta Beta'!$C$5,Data!$B$4:$Q$4,0)-1)=""),OFFSET(Data!E190,0,MATCH('Delta Beta'!$C$5,Data!$B$4:$Q$4,0)-1),#N/A)-$C$8/250</f>
        <v>-5.5302422723476742E-3</v>
      </c>
      <c r="N187" s="395"/>
      <c r="R187" s="391"/>
    </row>
    <row r="188" spans="12:18">
      <c r="L188" s="394">
        <f ca="1">IF(NOT(OFFSET(Data!E191,0,MATCH('Delta Beta'!$C$5,Data!$B$4:$Q$4,0)-3)=""),OFFSET(Data!E191,0,MATCH('Delta Beta'!$C$5,Data!$B$4:$Q$4,0)-3),#N/A)-$C$8/250</f>
        <v>-5.4592716179846625E-3</v>
      </c>
      <c r="M188" s="394">
        <f ca="1">IF(NOT(OFFSET(Data!E191,0,MATCH('Delta Beta'!$C$5,Data!$B$4:$Q$4,0)-1)=""),OFFSET(Data!E191,0,MATCH('Delta Beta'!$C$5,Data!$B$4:$Q$4,0)-1),#N/A)-$C$8/250</f>
        <v>3.6039363774075003E-2</v>
      </c>
      <c r="N188" s="395"/>
      <c r="R188" s="391"/>
    </row>
    <row r="189" spans="12:18">
      <c r="L189" s="394">
        <f ca="1">IF(NOT(OFFSET(Data!E192,0,MATCH('Delta Beta'!$C$5,Data!$B$4:$Q$4,0)-3)=""),OFFSET(Data!E192,0,MATCH('Delta Beta'!$C$5,Data!$B$4:$Q$4,0)-3),#N/A)-$C$8/250</f>
        <v>1.9395975820425838E-2</v>
      </c>
      <c r="M189" s="394">
        <f ca="1">IF(NOT(OFFSET(Data!E192,0,MATCH('Delta Beta'!$C$5,Data!$B$4:$Q$4,0)-1)=""),OFFSET(Data!E192,0,MATCH('Delta Beta'!$C$5,Data!$B$4:$Q$4,0)-1),#N/A)-$C$8/250</f>
        <v>-1.607103918228282E-2</v>
      </c>
      <c r="N189" s="395"/>
      <c r="R189" s="391"/>
    </row>
    <row r="190" spans="12:18">
      <c r="L190" s="394">
        <f ca="1">IF(NOT(OFFSET(Data!E193,0,MATCH('Delta Beta'!$C$5,Data!$B$4:$Q$4,0)-3)=""),OFFSET(Data!E193,0,MATCH('Delta Beta'!$C$5,Data!$B$4:$Q$4,0)-3),#N/A)-$C$8/250</f>
        <v>-1.351721382719152E-2</v>
      </c>
      <c r="M190" s="394">
        <f ca="1">IF(NOT(OFFSET(Data!E193,0,MATCH('Delta Beta'!$C$5,Data!$B$4:$Q$4,0)-1)=""),OFFSET(Data!E193,0,MATCH('Delta Beta'!$C$5,Data!$B$4:$Q$4,0)-1),#N/A)-$C$8/250</f>
        <v>-2.8848707342295731E-2</v>
      </c>
      <c r="N190" s="395"/>
      <c r="R190" s="391"/>
    </row>
    <row r="191" spans="12:18">
      <c r="L191" s="394">
        <f ca="1">IF(NOT(OFFSET(Data!E194,0,MATCH('Delta Beta'!$C$5,Data!$B$4:$Q$4,0)-3)=""),OFFSET(Data!E194,0,MATCH('Delta Beta'!$C$5,Data!$B$4:$Q$4,0)-3),#N/A)-$C$8/250</f>
        <v>-1.316620434127681E-2</v>
      </c>
      <c r="M191" s="394">
        <f ca="1">IF(NOT(OFFSET(Data!E194,0,MATCH('Delta Beta'!$C$5,Data!$B$4:$Q$4,0)-1)=""),OFFSET(Data!E194,0,MATCH('Delta Beta'!$C$5,Data!$B$4:$Q$4,0)-1),#N/A)-$C$8/250</f>
        <v>2.3880779597762361E-3</v>
      </c>
      <c r="N191" s="395"/>
      <c r="R191" s="391"/>
    </row>
    <row r="192" spans="12:18">
      <c r="L192" s="394">
        <f ca="1">IF(NOT(OFFSET(Data!E195,0,MATCH('Delta Beta'!$C$5,Data!$B$4:$Q$4,0)-3)=""),OFFSET(Data!E195,0,MATCH('Delta Beta'!$C$5,Data!$B$4:$Q$4,0)-3),#N/A)-$C$8/250</f>
        <v>-8.1808443239309685E-3</v>
      </c>
      <c r="M192" s="394">
        <f ca="1">IF(NOT(OFFSET(Data!E195,0,MATCH('Delta Beta'!$C$5,Data!$B$4:$Q$4,0)-1)=""),OFFSET(Data!E195,0,MATCH('Delta Beta'!$C$5,Data!$B$4:$Q$4,0)-1),#N/A)-$C$8/250</f>
        <v>3.4372451102786419E-3</v>
      </c>
      <c r="N192" s="395"/>
      <c r="R192" s="391"/>
    </row>
    <row r="193" spans="12:18">
      <c r="L193" s="394">
        <f ca="1">IF(NOT(OFFSET(Data!E196,0,MATCH('Delta Beta'!$C$5,Data!$B$4:$Q$4,0)-3)=""),OFFSET(Data!E196,0,MATCH('Delta Beta'!$C$5,Data!$B$4:$Q$4,0)-3),#N/A)-$C$8/250</f>
        <v>2.3690719336683087E-2</v>
      </c>
      <c r="M193" s="394">
        <f ca="1">IF(NOT(OFFSET(Data!E196,0,MATCH('Delta Beta'!$C$5,Data!$B$4:$Q$4,0)-1)=""),OFFSET(Data!E196,0,MATCH('Delta Beta'!$C$5,Data!$B$4:$Q$4,0)-1),#N/A)-$C$8/250</f>
        <v>2.4031289111390189E-3</v>
      </c>
      <c r="N193" s="395"/>
      <c r="R193" s="391"/>
    </row>
    <row r="194" spans="12:18">
      <c r="L194" s="394">
        <f ca="1">IF(NOT(OFFSET(Data!E197,0,MATCH('Delta Beta'!$C$5,Data!$B$4:$Q$4,0)-3)=""),OFFSET(Data!E197,0,MATCH('Delta Beta'!$C$5,Data!$B$4:$Q$4,0)-3),#N/A)-$C$8/250</f>
        <v>-4.8501658249202719E-3</v>
      </c>
      <c r="M194" s="394">
        <f ca="1">IF(NOT(OFFSET(Data!E197,0,MATCH('Delta Beta'!$C$5,Data!$B$4:$Q$4,0)-1)=""),OFFSET(Data!E197,0,MATCH('Delta Beta'!$C$5,Data!$B$4:$Q$4,0)-1),#N/A)-$C$8/250</f>
        <v>-6.5248704663213421E-3</v>
      </c>
      <c r="N194" s="395"/>
      <c r="R194" s="391"/>
    </row>
    <row r="195" spans="12:18">
      <c r="L195" s="394">
        <f ca="1">IF(NOT(OFFSET(Data!E198,0,MATCH('Delta Beta'!$C$5,Data!$B$4:$Q$4,0)-3)=""),OFFSET(Data!E198,0,MATCH('Delta Beta'!$C$5,Data!$B$4:$Q$4,0)-3),#N/A)-$C$8/250</f>
        <v>-2.4578846903396522E-2</v>
      </c>
      <c r="M195" s="394">
        <f ca="1">IF(NOT(OFFSET(Data!E198,0,MATCH('Delta Beta'!$C$5,Data!$B$4:$Q$4,0)-1)=""),OFFSET(Data!E198,0,MATCH('Delta Beta'!$C$5,Data!$B$4:$Q$4,0)-1),#N/A)-$C$8/250</f>
        <v>-2.7317741935483874E-2</v>
      </c>
      <c r="N195" s="395"/>
      <c r="R195" s="391"/>
    </row>
    <row r="196" spans="12:18">
      <c r="L196" s="394">
        <f ca="1">IF(NOT(OFFSET(Data!E199,0,MATCH('Delta Beta'!$C$5,Data!$B$4:$Q$4,0)-3)=""),OFFSET(Data!E199,0,MATCH('Delta Beta'!$C$5,Data!$B$4:$Q$4,0)-3),#N/A)-$C$8/250</f>
        <v>1.125166191319037E-2</v>
      </c>
      <c r="M196" s="394">
        <f ca="1">IF(NOT(OFFSET(Data!E199,0,MATCH('Delta Beta'!$C$5,Data!$B$4:$Q$4,0)-1)=""),OFFSET(Data!E199,0,MATCH('Delta Beta'!$C$5,Data!$B$4:$Q$4,0)-1),#N/A)-$C$8/250</f>
        <v>2.5965370293752555E-2</v>
      </c>
      <c r="N196" s="395"/>
      <c r="R196" s="391"/>
    </row>
    <row r="197" spans="12:18">
      <c r="L197" s="394">
        <f ca="1">IF(NOT(OFFSET(Data!E200,0,MATCH('Delta Beta'!$C$5,Data!$B$4:$Q$4,0)-3)=""),OFFSET(Data!E200,0,MATCH('Delta Beta'!$C$5,Data!$B$4:$Q$4,0)-3),#N/A)-$C$8/250</f>
        <v>1.1562878885591377E-3</v>
      </c>
      <c r="M197" s="394">
        <f ca="1">IF(NOT(OFFSET(Data!E200,0,MATCH('Delta Beta'!$C$5,Data!$B$4:$Q$4,0)-1)=""),OFFSET(Data!E200,0,MATCH('Delta Beta'!$C$5,Data!$B$4:$Q$4,0)-1),#N/A)-$C$8/250</f>
        <v>1.2468077084206042E-2</v>
      </c>
      <c r="N197" s="395"/>
      <c r="R197" s="391"/>
    </row>
    <row r="198" spans="12:18">
      <c r="L198" s="394">
        <f ca="1">IF(NOT(OFFSET(Data!E201,0,MATCH('Delta Beta'!$C$5,Data!$B$4:$Q$4,0)-3)=""),OFFSET(Data!E201,0,MATCH('Delta Beta'!$C$5,Data!$B$4:$Q$4,0)-3),#N/A)-$C$8/250</f>
        <v>-7.8328493796570135E-3</v>
      </c>
      <c r="M198" s="394">
        <f ca="1">IF(NOT(OFFSET(Data!E201,0,MATCH('Delta Beta'!$C$5,Data!$B$4:$Q$4,0)-1)=""),OFFSET(Data!E201,0,MATCH('Delta Beta'!$C$5,Data!$B$4:$Q$4,0)-1),#N/A)-$C$8/250</f>
        <v>4.5225158747536728E-2</v>
      </c>
      <c r="N198" s="395"/>
      <c r="R198" s="391"/>
    </row>
    <row r="199" spans="12:18">
      <c r="L199" s="394">
        <f ca="1">IF(NOT(OFFSET(Data!E202,0,MATCH('Delta Beta'!$C$5,Data!$B$4:$Q$4,0)-3)=""),OFFSET(Data!E202,0,MATCH('Delta Beta'!$C$5,Data!$B$4:$Q$4,0)-3),#N/A)-$C$8/250</f>
        <v>-1.9548941356217872E-3</v>
      </c>
      <c r="M199" s="394">
        <f ca="1">IF(NOT(OFFSET(Data!E202,0,MATCH('Delta Beta'!$C$5,Data!$B$4:$Q$4,0)-1)=""),OFFSET(Data!E202,0,MATCH('Delta Beta'!$C$5,Data!$B$4:$Q$4,0)-1),#N/A)-$C$8/250</f>
        <v>2.8967147363677215E-2</v>
      </c>
      <c r="N199" s="395"/>
      <c r="R199" s="391"/>
    </row>
    <row r="200" spans="12:18">
      <c r="L200" s="394">
        <f ca="1">IF(NOT(OFFSET(Data!E203,0,MATCH('Delta Beta'!$C$5,Data!$B$4:$Q$4,0)-3)=""),OFFSET(Data!E203,0,MATCH('Delta Beta'!$C$5,Data!$B$4:$Q$4,0)-3),#N/A)-$C$8/250</f>
        <v>-4.5158083905446735E-3</v>
      </c>
      <c r="M200" s="394">
        <f ca="1">IF(NOT(OFFSET(Data!E203,0,MATCH('Delta Beta'!$C$5,Data!$B$4:$Q$4,0)-1)=""),OFFSET(Data!E203,0,MATCH('Delta Beta'!$C$5,Data!$B$4:$Q$4,0)-1),#N/A)-$C$8/250</f>
        <v>-3.2527596305466079E-4</v>
      </c>
      <c r="N200" s="395"/>
      <c r="R200" s="391"/>
    </row>
    <row r="201" spans="12:18">
      <c r="L201" s="394">
        <f ca="1">IF(NOT(OFFSET(Data!E204,0,MATCH('Delta Beta'!$C$5,Data!$B$4:$Q$4,0)-3)=""),OFFSET(Data!E204,0,MATCH('Delta Beta'!$C$5,Data!$B$4:$Q$4,0)-3),#N/A)-$C$8/250</f>
        <v>-4.2039953313212076E-4</v>
      </c>
      <c r="M201" s="394">
        <f ca="1">IF(NOT(OFFSET(Data!E204,0,MATCH('Delta Beta'!$C$5,Data!$B$4:$Q$4,0)-1)=""),OFFSET(Data!E204,0,MATCH('Delta Beta'!$C$5,Data!$B$4:$Q$4,0)-1),#N/A)-$C$8/250</f>
        <v>-5.923068309070534E-3</v>
      </c>
      <c r="N201" s="395"/>
      <c r="R201" s="391"/>
    </row>
    <row r="202" spans="12:18">
      <c r="L202" s="394">
        <f ca="1">IF(NOT(OFFSET(Data!E205,0,MATCH('Delta Beta'!$C$5,Data!$B$4:$Q$4,0)-3)=""),OFFSET(Data!E205,0,MATCH('Delta Beta'!$C$5,Data!$B$4:$Q$4,0)-3),#N/A)-$C$8/250</f>
        <v>-6.6927491149549874E-4</v>
      </c>
      <c r="M202" s="394">
        <f ca="1">IF(NOT(OFFSET(Data!E205,0,MATCH('Delta Beta'!$C$5,Data!$B$4:$Q$4,0)-1)=""),OFFSET(Data!E205,0,MATCH('Delta Beta'!$C$5,Data!$B$4:$Q$4,0)-1),#N/A)-$C$8/250</f>
        <v>3.131603141603144E-2</v>
      </c>
      <c r="N202" s="395"/>
      <c r="R202" s="391"/>
    </row>
    <row r="203" spans="12:18">
      <c r="L203" s="394">
        <f ca="1">IF(NOT(OFFSET(Data!E206,0,MATCH('Delta Beta'!$C$5,Data!$B$4:$Q$4,0)-3)=""),OFFSET(Data!E206,0,MATCH('Delta Beta'!$C$5,Data!$B$4:$Q$4,0)-3),#N/A)-$C$8/250</f>
        <v>4.6109831017417833E-3</v>
      </c>
      <c r="M203" s="394">
        <f ca="1">IF(NOT(OFFSET(Data!E206,0,MATCH('Delta Beta'!$C$5,Data!$B$4:$Q$4,0)-1)=""),OFFSET(Data!E206,0,MATCH('Delta Beta'!$C$5,Data!$B$4:$Q$4,0)-1),#N/A)-$C$8/250</f>
        <v>1.3242696629213391E-2</v>
      </c>
      <c r="N203" s="395"/>
      <c r="R203" s="391"/>
    </row>
    <row r="204" spans="12:18">
      <c r="L204" s="394">
        <f ca="1">IF(NOT(OFFSET(Data!E207,0,MATCH('Delta Beta'!$C$5,Data!$B$4:$Q$4,0)-3)=""),OFFSET(Data!E207,0,MATCH('Delta Beta'!$C$5,Data!$B$4:$Q$4,0)-3),#N/A)-$C$8/250</f>
        <v>1.5624551137118803E-3</v>
      </c>
      <c r="M204" s="394">
        <f ca="1">IF(NOT(OFFSET(Data!E207,0,MATCH('Delta Beta'!$C$5,Data!$B$4:$Q$4,0)-1)=""),OFFSET(Data!E207,0,MATCH('Delta Beta'!$C$5,Data!$B$4:$Q$4,0)-1),#N/A)-$C$8/250</f>
        <v>-4.2958041958042316E-3</v>
      </c>
      <c r="N204" s="395"/>
      <c r="R204" s="391"/>
    </row>
    <row r="205" spans="12:18">
      <c r="L205" s="394">
        <f ca="1">IF(NOT(OFFSET(Data!E208,0,MATCH('Delta Beta'!$C$5,Data!$B$4:$Q$4,0)-3)=""),OFFSET(Data!E208,0,MATCH('Delta Beta'!$C$5,Data!$B$4:$Q$4,0)-3),#N/A)-$C$8/250</f>
        <v>-4.4515996246697877E-4</v>
      </c>
      <c r="M205" s="394">
        <f ca="1">IF(NOT(OFFSET(Data!E208,0,MATCH('Delta Beta'!$C$5,Data!$B$4:$Q$4,0)-1)=""),OFFSET(Data!E208,0,MATCH('Delta Beta'!$C$5,Data!$B$4:$Q$4,0)-1),#N/A)-$C$8/250</f>
        <v>9.0743119266054502E-3</v>
      </c>
      <c r="N205" s="395"/>
      <c r="R205" s="391"/>
    </row>
    <row r="206" spans="12:18">
      <c r="L206" s="394">
        <f ca="1">IF(NOT(OFFSET(Data!E209,0,MATCH('Delta Beta'!$C$5,Data!$B$4:$Q$4,0)-3)=""),OFFSET(Data!E209,0,MATCH('Delta Beta'!$C$5,Data!$B$4:$Q$4,0)-3),#N/A)-$C$8/250</f>
        <v>-1.2134975827398197E-3</v>
      </c>
      <c r="M206" s="394">
        <f ca="1">IF(NOT(OFFSET(Data!E209,0,MATCH('Delta Beta'!$C$5,Data!$B$4:$Q$4,0)-1)=""),OFFSET(Data!E209,0,MATCH('Delta Beta'!$C$5,Data!$B$4:$Q$4,0)-1),#N/A)-$C$8/250</f>
        <v>-1.698251618871428E-2</v>
      </c>
      <c r="N206" s="395"/>
      <c r="R206" s="391"/>
    </row>
    <row r="207" spans="12:18">
      <c r="L207" s="394">
        <f ca="1">IF(NOT(OFFSET(Data!E210,0,MATCH('Delta Beta'!$C$5,Data!$B$4:$Q$4,0)-3)=""),OFFSET(Data!E210,0,MATCH('Delta Beta'!$C$5,Data!$B$4:$Q$4,0)-3),#N/A)-$C$8/250</f>
        <v>7.2993459966090744E-3</v>
      </c>
      <c r="M207" s="394">
        <f ca="1">IF(NOT(OFFSET(Data!E210,0,MATCH('Delta Beta'!$C$5,Data!$B$4:$Q$4,0)-1)=""),OFFSET(Data!E210,0,MATCH('Delta Beta'!$C$5,Data!$B$4:$Q$4,0)-1),#N/A)-$C$8/250</f>
        <v>5.0689793438639205E-2</v>
      </c>
      <c r="N207" s="395"/>
      <c r="R207" s="391"/>
    </row>
    <row r="208" spans="12:18">
      <c r="L208" s="394">
        <f ca="1">IF(NOT(OFFSET(Data!E211,0,MATCH('Delta Beta'!$C$5,Data!$B$4:$Q$4,0)-3)=""),OFFSET(Data!E211,0,MATCH('Delta Beta'!$C$5,Data!$B$4:$Q$4,0)-3),#N/A)-$C$8/250</f>
        <v>3.7974724542453211E-3</v>
      </c>
      <c r="M208" s="394">
        <f ca="1">IF(NOT(OFFSET(Data!E211,0,MATCH('Delta Beta'!$C$5,Data!$B$4:$Q$4,0)-1)=""),OFFSET(Data!E211,0,MATCH('Delta Beta'!$C$5,Data!$B$4:$Q$4,0)-1),#N/A)-$C$8/250</f>
        <v>5.275030539946257E-3</v>
      </c>
      <c r="N208" s="395"/>
      <c r="R208" s="391"/>
    </row>
    <row r="209" spans="12:18">
      <c r="L209" s="394">
        <f ca="1">IF(NOT(OFFSET(Data!E212,0,MATCH('Delta Beta'!$C$5,Data!$B$4:$Q$4,0)-3)=""),OFFSET(Data!E212,0,MATCH('Delta Beta'!$C$5,Data!$B$4:$Q$4,0)-3),#N/A)-$C$8/250</f>
        <v>1.0753304161434041E-2</v>
      </c>
      <c r="M209" s="394">
        <f ca="1">IF(NOT(OFFSET(Data!E212,0,MATCH('Delta Beta'!$C$5,Data!$B$4:$Q$4,0)-1)=""),OFFSET(Data!E212,0,MATCH('Delta Beta'!$C$5,Data!$B$4:$Q$4,0)-1),#N/A)-$C$8/250</f>
        <v>2.8808999497234689E-2</v>
      </c>
      <c r="N209" s="395"/>
      <c r="R209" s="391"/>
    </row>
    <row r="210" spans="12:18">
      <c r="L210" s="394">
        <f ca="1">IF(NOT(OFFSET(Data!E213,0,MATCH('Delta Beta'!$C$5,Data!$B$4:$Q$4,0)-3)=""),OFFSET(Data!E213,0,MATCH('Delta Beta'!$C$5,Data!$B$4:$Q$4,0)-3),#N/A)-$C$8/250</f>
        <v>9.0880482762777386E-4</v>
      </c>
      <c r="M210" s="394">
        <f ca="1">IF(NOT(OFFSET(Data!E213,0,MATCH('Delta Beta'!$C$5,Data!$B$4:$Q$4,0)-1)=""),OFFSET(Data!E213,0,MATCH('Delta Beta'!$C$5,Data!$B$4:$Q$4,0)-1),#N/A)-$C$8/250</f>
        <v>2.515773195876302E-2</v>
      </c>
      <c r="N210" s="395"/>
      <c r="R210" s="391"/>
    </row>
    <row r="211" spans="12:18">
      <c r="L211" s="394">
        <f ca="1">IF(NOT(OFFSET(Data!E214,0,MATCH('Delta Beta'!$C$5,Data!$B$4:$Q$4,0)-3)=""),OFFSET(Data!E214,0,MATCH('Delta Beta'!$C$5,Data!$B$4:$Q$4,0)-3),#N/A)-$C$8/250</f>
        <v>1.3798236818535859E-2</v>
      </c>
      <c r="M211" s="394">
        <f ca="1">IF(NOT(OFFSET(Data!E214,0,MATCH('Delta Beta'!$C$5,Data!$B$4:$Q$4,0)-1)=""),OFFSET(Data!E214,0,MATCH('Delta Beta'!$C$5,Data!$B$4:$Q$4,0)-1),#N/A)-$C$8/250</f>
        <v>2.5812215758857605E-2</v>
      </c>
      <c r="N211" s="395"/>
      <c r="R211" s="391"/>
    </row>
    <row r="212" spans="12:18">
      <c r="L212" s="394">
        <f ca="1">IF(NOT(OFFSET(Data!E215,0,MATCH('Delta Beta'!$C$5,Data!$B$4:$Q$4,0)-3)=""),OFFSET(Data!E215,0,MATCH('Delta Beta'!$C$5,Data!$B$4:$Q$4,0)-3),#N/A)-$C$8/250</f>
        <v>1.5951736021366559E-2</v>
      </c>
      <c r="M212" s="394">
        <f ca="1">IF(NOT(OFFSET(Data!E215,0,MATCH('Delta Beta'!$C$5,Data!$B$4:$Q$4,0)-1)=""),OFFSET(Data!E215,0,MATCH('Delta Beta'!$C$5,Data!$B$4:$Q$4,0)-1),#N/A)-$C$8/250</f>
        <v>-3.7880927291886854E-3</v>
      </c>
      <c r="N212" s="395"/>
      <c r="R212" s="391"/>
    </row>
    <row r="213" spans="12:18">
      <c r="L213" s="394">
        <f ca="1">IF(NOT(OFFSET(Data!E216,0,MATCH('Delta Beta'!$C$5,Data!$B$4:$Q$4,0)-3)=""),OFFSET(Data!E216,0,MATCH('Delta Beta'!$C$5,Data!$B$4:$Q$4,0)-3),#N/A)-$C$8/250</f>
        <v>-1.9411502938707092E-2</v>
      </c>
      <c r="M213" s="394">
        <f ca="1">IF(NOT(OFFSET(Data!E216,0,MATCH('Delta Beta'!$C$5,Data!$B$4:$Q$4,0)-1)=""),OFFSET(Data!E216,0,MATCH('Delta Beta'!$C$5,Data!$B$4:$Q$4,0)-1),#N/A)-$C$8/250</f>
        <v>-5.2994211576846265E-2</v>
      </c>
      <c r="N213" s="395"/>
      <c r="R213" s="391"/>
    </row>
    <row r="214" spans="12:18">
      <c r="L214" s="394">
        <f ca="1">IF(NOT(OFFSET(Data!E217,0,MATCH('Delta Beta'!$C$5,Data!$B$4:$Q$4,0)-3)=""),OFFSET(Data!E217,0,MATCH('Delta Beta'!$C$5,Data!$B$4:$Q$4,0)-3),#N/A)-$C$8/250</f>
        <v>9.6606624773047829E-3</v>
      </c>
      <c r="M214" s="394">
        <f ca="1">IF(NOT(OFFSET(Data!E217,0,MATCH('Delta Beta'!$C$5,Data!$B$4:$Q$4,0)-1)=""),OFFSET(Data!E217,0,MATCH('Delta Beta'!$C$5,Data!$B$4:$Q$4,0)-1),#N/A)-$C$8/250</f>
        <v>4.0398442367601137E-2</v>
      </c>
      <c r="N214" s="395"/>
      <c r="R214" s="391"/>
    </row>
    <row r="215" spans="12:18">
      <c r="L215" s="394">
        <f ca="1">IF(NOT(OFFSET(Data!E218,0,MATCH('Delta Beta'!$C$5,Data!$B$4:$Q$4,0)-3)=""),OFFSET(Data!E218,0,MATCH('Delta Beta'!$C$5,Data!$B$4:$Q$4,0)-3),#N/A)-$C$8/250</f>
        <v>-2.5777859113367062E-2</v>
      </c>
      <c r="M215" s="394">
        <f ca="1">IF(NOT(OFFSET(Data!E218,0,MATCH('Delta Beta'!$C$5,Data!$B$4:$Q$4,0)-1)=""),OFFSET(Data!E218,0,MATCH('Delta Beta'!$C$5,Data!$B$4:$Q$4,0)-1),#N/A)-$C$8/250</f>
        <v>-2.0445879959308143E-2</v>
      </c>
      <c r="N215" s="395"/>
      <c r="R215" s="391"/>
    </row>
    <row r="216" spans="12:18">
      <c r="L216" s="394">
        <f ca="1">IF(NOT(OFFSET(Data!E219,0,MATCH('Delta Beta'!$C$5,Data!$B$4:$Q$4,0)-3)=""),OFFSET(Data!E219,0,MATCH('Delta Beta'!$C$5,Data!$B$4:$Q$4,0)-3),#N/A)-$C$8/250</f>
        <v>-1.5888363213811929E-3</v>
      </c>
      <c r="M216" s="394">
        <f ca="1">IF(NOT(OFFSET(Data!E219,0,MATCH('Delta Beta'!$C$5,Data!$B$4:$Q$4,0)-1)=""),OFFSET(Data!E219,0,MATCH('Delta Beta'!$C$5,Data!$B$4:$Q$4,0)-1),#N/A)-$C$8/250</f>
        <v>1.0696915167095245E-2</v>
      </c>
      <c r="N216" s="395"/>
      <c r="R216" s="391"/>
    </row>
    <row r="217" spans="12:18">
      <c r="L217" s="394">
        <f ca="1">IF(NOT(OFFSET(Data!E220,0,MATCH('Delta Beta'!$C$5,Data!$B$4:$Q$4,0)-3)=""),OFFSET(Data!E220,0,MATCH('Delta Beta'!$C$5,Data!$B$4:$Q$4,0)-3),#N/A)-$C$8/250</f>
        <v>3.5158033252895462E-3</v>
      </c>
      <c r="M217" s="394">
        <f ca="1">IF(NOT(OFFSET(Data!E220,0,MATCH('Delta Beta'!$C$5,Data!$B$4:$Q$4,0)-1)=""),OFFSET(Data!E220,0,MATCH('Delta Beta'!$C$5,Data!$B$4:$Q$4,0)-1),#N/A)-$C$8/250</f>
        <v>-2.7600000000000079E-2</v>
      </c>
      <c r="N217" s="395"/>
      <c r="R217" s="391"/>
    </row>
    <row r="218" spans="12:18">
      <c r="L218" s="394">
        <f ca="1">IF(NOT(OFFSET(Data!E221,0,MATCH('Delta Beta'!$C$5,Data!$B$4:$Q$4,0)-3)=""),OFFSET(Data!E221,0,MATCH('Delta Beta'!$C$5,Data!$B$4:$Q$4,0)-3),#N/A)-$C$8/250</f>
        <v>-3.1105863636010753E-3</v>
      </c>
      <c r="M218" s="394">
        <f ca="1">IF(NOT(OFFSET(Data!E221,0,MATCH('Delta Beta'!$C$5,Data!$B$4:$Q$4,0)-1)=""),OFFSET(Data!E221,0,MATCH('Delta Beta'!$C$5,Data!$B$4:$Q$4,0)-1),#N/A)-$C$8/250</f>
        <v>-1.6574059503319482E-2</v>
      </c>
      <c r="N218" s="395"/>
      <c r="R218" s="391"/>
    </row>
    <row r="219" spans="12:18">
      <c r="L219" s="394">
        <f ca="1">IF(NOT(OFFSET(Data!E222,0,MATCH('Delta Beta'!$C$5,Data!$B$4:$Q$4,0)-3)=""),OFFSET(Data!E222,0,MATCH('Delta Beta'!$C$5,Data!$B$4:$Q$4,0)-3),#N/A)-$C$8/250</f>
        <v>2.1673092150530381E-4</v>
      </c>
      <c r="M219" s="394">
        <f ca="1">IF(NOT(OFFSET(Data!E222,0,MATCH('Delta Beta'!$C$5,Data!$B$4:$Q$4,0)-1)=""),OFFSET(Data!E222,0,MATCH('Delta Beta'!$C$5,Data!$B$4:$Q$4,0)-1),#N/A)-$C$8/250</f>
        <v>-2.2925564632388162E-2</v>
      </c>
      <c r="N219" s="395"/>
      <c r="R219" s="391"/>
    </row>
    <row r="220" spans="12:18">
      <c r="L220" s="394">
        <f ca="1">IF(NOT(OFFSET(Data!E223,0,MATCH('Delta Beta'!$C$5,Data!$B$4:$Q$4,0)-3)=""),OFFSET(Data!E223,0,MATCH('Delta Beta'!$C$5,Data!$B$4:$Q$4,0)-3),#N/A)-$C$8/250</f>
        <v>1.3835576257400273E-2</v>
      </c>
      <c r="M220" s="394">
        <f ca="1">IF(NOT(OFFSET(Data!E223,0,MATCH('Delta Beta'!$C$5,Data!$B$4:$Q$4,0)-1)=""),OFFSET(Data!E223,0,MATCH('Delta Beta'!$C$5,Data!$B$4:$Q$4,0)-1),#N/A)-$C$8/250</f>
        <v>3.2398139419498748E-2</v>
      </c>
      <c r="N220" s="395"/>
      <c r="R220" s="391"/>
    </row>
    <row r="221" spans="12:18">
      <c r="L221" s="394">
        <f ca="1">IF(NOT(OFFSET(Data!E224,0,MATCH('Delta Beta'!$C$5,Data!$B$4:$Q$4,0)-3)=""),OFFSET(Data!E224,0,MATCH('Delta Beta'!$C$5,Data!$B$4:$Q$4,0)-3),#N/A)-$C$8/250</f>
        <v>8.0364028395143346E-3</v>
      </c>
      <c r="M221" s="394">
        <f ca="1">IF(NOT(OFFSET(Data!E224,0,MATCH('Delta Beta'!$C$5,Data!$B$4:$Q$4,0)-1)=""),OFFSET(Data!E224,0,MATCH('Delta Beta'!$C$5,Data!$B$4:$Q$4,0)-1),#N/A)-$C$8/250</f>
        <v>8.1541270635319026E-3</v>
      </c>
      <c r="N221" s="395"/>
      <c r="R221" s="391"/>
    </row>
    <row r="222" spans="12:18">
      <c r="L222" s="394">
        <f ca="1">IF(NOT(OFFSET(Data!E225,0,MATCH('Delta Beta'!$C$5,Data!$B$4:$Q$4,0)-3)=""),OFFSET(Data!E225,0,MATCH('Delta Beta'!$C$5,Data!$B$4:$Q$4,0)-3),#N/A)-$C$8/250</f>
        <v>-7.2900177576840199E-3</v>
      </c>
      <c r="M222" s="394">
        <f ca="1">IF(NOT(OFFSET(Data!E225,0,MATCH('Delta Beta'!$C$5,Data!$B$4:$Q$4,0)-1)=""),OFFSET(Data!E225,0,MATCH('Delta Beta'!$C$5,Data!$B$4:$Q$4,0)-1),#N/A)-$C$8/250</f>
        <v>-3.6029587653725673E-2</v>
      </c>
      <c r="N222" s="395"/>
      <c r="R222" s="391"/>
    </row>
    <row r="223" spans="12:18">
      <c r="L223" s="394">
        <f ca="1">IF(NOT(OFFSET(Data!E226,0,MATCH('Delta Beta'!$C$5,Data!$B$4:$Q$4,0)-3)=""),OFFSET(Data!E226,0,MATCH('Delta Beta'!$C$5,Data!$B$4:$Q$4,0)-3),#N/A)-$C$8/250</f>
        <v>-3.8534384646075168E-3</v>
      </c>
      <c r="M223" s="394">
        <f ca="1">IF(NOT(OFFSET(Data!E226,0,MATCH('Delta Beta'!$C$5,Data!$B$4:$Q$4,0)-1)=""),OFFSET(Data!E226,0,MATCH('Delta Beta'!$C$5,Data!$B$4:$Q$4,0)-1),#N/A)-$C$8/250</f>
        <v>2.5116316440049403E-2</v>
      </c>
      <c r="N223" s="395"/>
      <c r="R223" s="391"/>
    </row>
    <row r="224" spans="12:18">
      <c r="L224" s="394">
        <f ca="1">IF(NOT(OFFSET(Data!E227,0,MATCH('Delta Beta'!$C$5,Data!$B$4:$Q$4,0)-3)=""),OFFSET(Data!E227,0,MATCH('Delta Beta'!$C$5,Data!$B$4:$Q$4,0)-3),#N/A)-$C$8/250</f>
        <v>2.1756031663768718E-3</v>
      </c>
      <c r="M224" s="394">
        <f ca="1">IF(NOT(OFFSET(Data!E227,0,MATCH('Delta Beta'!$C$5,Data!$B$4:$Q$4,0)-1)=""),OFFSET(Data!E227,0,MATCH('Delta Beta'!$C$5,Data!$B$4:$Q$4,0)-1),#N/A)-$C$8/250</f>
        <v>3.6220843672458594E-3</v>
      </c>
      <c r="N224" s="395"/>
      <c r="R224" s="391"/>
    </row>
    <row r="225" spans="12:18">
      <c r="L225" s="394">
        <f ca="1">IF(NOT(OFFSET(Data!E228,0,MATCH('Delta Beta'!$C$5,Data!$B$4:$Q$4,0)-3)=""),OFFSET(Data!E228,0,MATCH('Delta Beta'!$C$5,Data!$B$4:$Q$4,0)-3),#N/A)-$C$8/250</f>
        <v>3.1583215119445073E-4</v>
      </c>
      <c r="M225" s="394">
        <f ca="1">IF(NOT(OFFSET(Data!E228,0,MATCH('Delta Beta'!$C$5,Data!$B$4:$Q$4,0)-1)=""),OFFSET(Data!E228,0,MATCH('Delta Beta'!$C$5,Data!$B$4:$Q$4,0)-1),#N/A)-$C$8/250</f>
        <v>2.2483100735853901E-2</v>
      </c>
      <c r="N225" s="395"/>
      <c r="R225" s="391"/>
    </row>
    <row r="226" spans="12:18">
      <c r="L226" s="394">
        <f ca="1">IF(NOT(OFFSET(Data!E229,0,MATCH('Delta Beta'!$C$5,Data!$B$4:$Q$4,0)-3)=""),OFFSET(Data!E229,0,MATCH('Delta Beta'!$C$5,Data!$B$4:$Q$4,0)-3),#N/A)-$C$8/250</f>
        <v>-6.6547967411652144E-3</v>
      </c>
      <c r="M226" s="394">
        <f ca="1">IF(NOT(OFFSET(Data!E229,0,MATCH('Delta Beta'!$C$5,Data!$B$4:$Q$4,0)-1)=""),OFFSET(Data!E229,0,MATCH('Delta Beta'!$C$5,Data!$B$4:$Q$4,0)-1),#N/A)-$C$8/250</f>
        <v>-1.5342378810594869E-2</v>
      </c>
      <c r="N226" s="395"/>
      <c r="R226" s="391"/>
    </row>
    <row r="227" spans="12:18">
      <c r="L227" s="394">
        <f ca="1">IF(NOT(OFFSET(Data!E230,0,MATCH('Delta Beta'!$C$5,Data!$B$4:$Q$4,0)-3)=""),OFFSET(Data!E230,0,MATCH('Delta Beta'!$C$5,Data!$B$4:$Q$4,0)-3),#N/A)-$C$8/250</f>
        <v>5.3918909824148707E-3</v>
      </c>
      <c r="M227" s="394">
        <f ca="1">IF(NOT(OFFSET(Data!E230,0,MATCH('Delta Beta'!$C$5,Data!$B$4:$Q$4,0)-1)=""),OFFSET(Data!E230,0,MATCH('Delta Beta'!$C$5,Data!$B$4:$Q$4,0)-1),#N/A)-$C$8/250</f>
        <v>-5.3199850857567179E-3</v>
      </c>
      <c r="N227" s="395"/>
      <c r="R227" s="391"/>
    </row>
    <row r="228" spans="12:18">
      <c r="L228" s="394">
        <f ca="1">IF(NOT(OFFSET(Data!E231,0,MATCH('Delta Beta'!$C$5,Data!$B$4:$Q$4,0)-3)=""),OFFSET(Data!E231,0,MATCH('Delta Beta'!$C$5,Data!$B$4:$Q$4,0)-3),#N/A)-$C$8/250</f>
        <v>1.4747364292689181E-2</v>
      </c>
      <c r="M228" s="394">
        <f ca="1">IF(NOT(OFFSET(Data!E231,0,MATCH('Delta Beta'!$C$5,Data!$B$4:$Q$4,0)-1)=""),OFFSET(Data!E231,0,MATCH('Delta Beta'!$C$5,Data!$B$4:$Q$4,0)-1),#N/A)-$C$8/250</f>
        <v>-3.8147102526003948E-3</v>
      </c>
      <c r="N228" s="395"/>
      <c r="R228" s="391"/>
    </row>
    <row r="229" spans="12:18">
      <c r="L229" s="394">
        <f ca="1">IF(NOT(OFFSET(Data!E232,0,MATCH('Delta Beta'!$C$5,Data!$B$4:$Q$4,0)-3)=""),OFFSET(Data!E232,0,MATCH('Delta Beta'!$C$5,Data!$B$4:$Q$4,0)-3),#N/A)-$C$8/250</f>
        <v>5.6099005597205374E-3</v>
      </c>
      <c r="M229" s="394">
        <f ca="1">IF(NOT(OFFSET(Data!E232,0,MATCH('Delta Beta'!$C$5,Data!$B$4:$Q$4,0)-1)=""),OFFSET(Data!E232,0,MATCH('Delta Beta'!$C$5,Data!$B$4:$Q$4,0)-1),#N/A)-$C$8/250</f>
        <v>2.088609355246528E-2</v>
      </c>
      <c r="N229" s="395"/>
      <c r="R229" s="391"/>
    </row>
    <row r="230" spans="12:18">
      <c r="L230" s="394">
        <f ca="1">IF(NOT(OFFSET(Data!E233,0,MATCH('Delta Beta'!$C$5,Data!$B$4:$Q$4,0)-3)=""),OFFSET(Data!E233,0,MATCH('Delta Beta'!$C$5,Data!$B$4:$Q$4,0)-3),#N/A)-$C$8/250</f>
        <v>6.9825395538620659E-3</v>
      </c>
      <c r="M230" s="394">
        <f ca="1">IF(NOT(OFFSET(Data!E233,0,MATCH('Delta Beta'!$C$5,Data!$B$4:$Q$4,0)-1)=""),OFFSET(Data!E233,0,MATCH('Delta Beta'!$C$5,Data!$B$4:$Q$4,0)-1),#N/A)-$C$8/250</f>
        <v>2.1072217918925985E-2</v>
      </c>
      <c r="N230" s="395"/>
      <c r="R230" s="391"/>
    </row>
    <row r="231" spans="12:18">
      <c r="L231" s="394">
        <f ca="1">IF(NOT(OFFSET(Data!E234,0,MATCH('Delta Beta'!$C$5,Data!$B$4:$Q$4,0)-3)=""),OFFSET(Data!E234,0,MATCH('Delta Beta'!$C$5,Data!$B$4:$Q$4,0)-3),#N/A)-$C$8/250</f>
        <v>-1.4854783590295139E-2</v>
      </c>
      <c r="M231" s="394">
        <f ca="1">IF(NOT(OFFSET(Data!E234,0,MATCH('Delta Beta'!$C$5,Data!$B$4:$Q$4,0)-1)=""),OFFSET(Data!E234,0,MATCH('Delta Beta'!$C$5,Data!$B$4:$Q$4,0)-1),#N/A)-$C$8/250</f>
        <v>-3.6906764486446267E-2</v>
      </c>
      <c r="N231" s="395"/>
      <c r="R231" s="391"/>
    </row>
    <row r="232" spans="12:18">
      <c r="L232" s="394">
        <f ca="1">IF(NOT(OFFSET(Data!E235,0,MATCH('Delta Beta'!$C$5,Data!$B$4:$Q$4,0)-3)=""),OFFSET(Data!E235,0,MATCH('Delta Beta'!$C$5,Data!$B$4:$Q$4,0)-3),#N/A)-$C$8/250</f>
        <v>6.3388377402171401E-3</v>
      </c>
      <c r="M232" s="394">
        <f ca="1">IF(NOT(OFFSET(Data!E235,0,MATCH('Delta Beta'!$C$5,Data!$B$4:$Q$4,0)-1)=""),OFFSET(Data!E235,0,MATCH('Delta Beta'!$C$5,Data!$B$4:$Q$4,0)-1),#N/A)-$C$8/250</f>
        <v>-8.729191321499085E-3</v>
      </c>
      <c r="N232" s="395"/>
      <c r="R232" s="391"/>
    </row>
    <row r="233" spans="12:18">
      <c r="L233" s="394">
        <f ca="1">IF(NOT(OFFSET(Data!E236,0,MATCH('Delta Beta'!$C$5,Data!$B$4:$Q$4,0)-3)=""),OFFSET(Data!E236,0,MATCH('Delta Beta'!$C$5,Data!$B$4:$Q$4,0)-3),#N/A)-$C$8/250</f>
        <v>1.2415471795312772E-3</v>
      </c>
      <c r="M233" s="394">
        <f ca="1">IF(NOT(OFFSET(Data!E236,0,MATCH('Delta Beta'!$C$5,Data!$B$4:$Q$4,0)-1)=""),OFFSET(Data!E236,0,MATCH('Delta Beta'!$C$5,Data!$B$4:$Q$4,0)-1),#N/A)-$C$8/250</f>
        <v>1.3140069947539457E-2</v>
      </c>
      <c r="N233" s="395"/>
      <c r="R233" s="391"/>
    </row>
    <row r="234" spans="12:18">
      <c r="L234" s="394">
        <f ca="1">IF(NOT(OFFSET(Data!E237,0,MATCH('Delta Beta'!$C$5,Data!$B$4:$Q$4,0)-3)=""),OFFSET(Data!E237,0,MATCH('Delta Beta'!$C$5,Data!$B$4:$Q$4,0)-3),#N/A)-$C$8/250</f>
        <v>-2.3273622890431886E-3</v>
      </c>
      <c r="M234" s="394">
        <f ca="1">IF(NOT(OFFSET(Data!E237,0,MATCH('Delta Beta'!$C$5,Data!$B$4:$Q$4,0)-1)=""),OFFSET(Data!E237,0,MATCH('Delta Beta'!$C$5,Data!$B$4:$Q$4,0)-1),#N/A)-$C$8/250</f>
        <v>-3.0887920298878877E-3</v>
      </c>
      <c r="N234" s="395"/>
      <c r="R234" s="391"/>
    </row>
    <row r="235" spans="12:18">
      <c r="L235" s="394">
        <f ca="1">IF(NOT(OFFSET(Data!E238,0,MATCH('Delta Beta'!$C$5,Data!$B$4:$Q$4,0)-3)=""),OFFSET(Data!E238,0,MATCH('Delta Beta'!$C$5,Data!$B$4:$Q$4,0)-3),#N/A)-$C$8/250</f>
        <v>8.6225159732762242E-3</v>
      </c>
      <c r="M235" s="394">
        <f ca="1">IF(NOT(OFFSET(Data!E238,0,MATCH('Delta Beta'!$C$5,Data!$B$4:$Q$4,0)-1)=""),OFFSET(Data!E238,0,MATCH('Delta Beta'!$C$5,Data!$B$4:$Q$4,0)-1),#N/A)-$C$8/250</f>
        <v>1.0471356657437692E-2</v>
      </c>
      <c r="N235" s="395"/>
      <c r="R235" s="391"/>
    </row>
    <row r="236" spans="12:18">
      <c r="L236" s="394">
        <f ca="1">IF(NOT(OFFSET(Data!E239,0,MATCH('Delta Beta'!$C$5,Data!$B$4:$Q$4,0)-3)=""),OFFSET(Data!E239,0,MATCH('Delta Beta'!$C$5,Data!$B$4:$Q$4,0)-3),#N/A)-$C$8/250</f>
        <v>3.4365757816374634E-3</v>
      </c>
      <c r="M236" s="394">
        <f ca="1">IF(NOT(OFFSET(Data!E239,0,MATCH('Delta Beta'!$C$5,Data!$B$4:$Q$4,0)-1)=""),OFFSET(Data!E239,0,MATCH('Delta Beta'!$C$5,Data!$B$4:$Q$4,0)-1),#N/A)-$C$8/250</f>
        <v>-1.2773956262425622E-2</v>
      </c>
      <c r="N236" s="395"/>
      <c r="R236" s="391"/>
    </row>
    <row r="237" spans="12:18">
      <c r="L237" s="394">
        <f ca="1">IF(NOT(OFFSET(Data!E240,0,MATCH('Delta Beta'!$C$5,Data!$B$4:$Q$4,0)-3)=""),OFFSET(Data!E240,0,MATCH('Delta Beta'!$C$5,Data!$B$4:$Q$4,0)-3),#N/A)-$C$8/250</f>
        <v>6.4581125280026579E-4</v>
      </c>
      <c r="M237" s="394">
        <f ca="1">IF(NOT(OFFSET(Data!E240,0,MATCH('Delta Beta'!$C$5,Data!$B$4:$Q$4,0)-1)=""),OFFSET(Data!E240,0,MATCH('Delta Beta'!$C$5,Data!$B$4:$Q$4,0)-1),#N/A)-$C$8/250</f>
        <v>3.3284694401643597E-2</v>
      </c>
      <c r="N237" s="395"/>
      <c r="R237" s="391"/>
    </row>
    <row r="238" spans="12:18">
      <c r="L238" s="394">
        <f ca="1">IF(NOT(OFFSET(Data!E241,0,MATCH('Delta Beta'!$C$5,Data!$B$4:$Q$4,0)-3)=""),OFFSET(Data!E241,0,MATCH('Delta Beta'!$C$5,Data!$B$4:$Q$4,0)-3),#N/A)-$C$8/250</f>
        <v>-2.1731166033364222E-3</v>
      </c>
      <c r="M238" s="394">
        <f ca="1">IF(NOT(OFFSET(Data!E241,0,MATCH('Delta Beta'!$C$5,Data!$B$4:$Q$4,0)-1)=""),OFFSET(Data!E241,0,MATCH('Delta Beta'!$C$5,Data!$B$4:$Q$4,0)-1),#N/A)-$C$8/250</f>
        <v>-2.9995366218236296E-2</v>
      </c>
      <c r="N238" s="395"/>
      <c r="R238" s="391"/>
    </row>
    <row r="239" spans="12:18">
      <c r="L239" s="394">
        <f ca="1">IF(NOT(OFFSET(Data!E242,0,MATCH('Delta Beta'!$C$5,Data!$B$4:$Q$4,0)-3)=""),OFFSET(Data!E242,0,MATCH('Delta Beta'!$C$5,Data!$B$4:$Q$4,0)-3),#N/A)-$C$8/250</f>
        <v>-4.0062815919512775E-3</v>
      </c>
      <c r="M239" s="394">
        <f ca="1">IF(NOT(OFFSET(Data!E242,0,MATCH('Delta Beta'!$C$5,Data!$B$4:$Q$4,0)-1)=""),OFFSET(Data!E242,0,MATCH('Delta Beta'!$C$5,Data!$B$4:$Q$4,0)-1),#N/A)-$C$8/250</f>
        <v>-1.3374336283185861E-2</v>
      </c>
      <c r="N239" s="395"/>
      <c r="R239" s="391"/>
    </row>
    <row r="240" spans="12:18">
      <c r="L240" s="394">
        <f ca="1">IF(NOT(OFFSET(Data!E243,0,MATCH('Delta Beta'!$C$5,Data!$B$4:$Q$4,0)-3)=""),OFFSET(Data!E243,0,MATCH('Delta Beta'!$C$5,Data!$B$4:$Q$4,0)-3),#N/A)-$C$8/250</f>
        <v>-3.6111001267972284E-3</v>
      </c>
      <c r="M240" s="394">
        <f ca="1">IF(NOT(OFFSET(Data!E243,0,MATCH('Delta Beta'!$C$5,Data!$B$4:$Q$4,0)-1)=""),OFFSET(Data!E243,0,MATCH('Delta Beta'!$C$5,Data!$B$4:$Q$4,0)-1),#N/A)-$C$8/250</f>
        <v>-1.0559742155193407E-2</v>
      </c>
      <c r="N240" s="395"/>
      <c r="R240" s="391"/>
    </row>
    <row r="241" spans="12:18">
      <c r="L241" s="394">
        <f ca="1">IF(NOT(OFFSET(Data!E244,0,MATCH('Delta Beta'!$C$5,Data!$B$4:$Q$4,0)-3)=""),OFFSET(Data!E244,0,MATCH('Delta Beta'!$C$5,Data!$B$4:$Q$4,0)-3),#N/A)-$C$8/250</f>
        <v>5.6576388007034571E-3</v>
      </c>
      <c r="M241" s="394">
        <f ca="1">IF(NOT(OFFSET(Data!E244,0,MATCH('Delta Beta'!$C$5,Data!$B$4:$Q$4,0)-1)=""),OFFSET(Data!E244,0,MATCH('Delta Beta'!$C$5,Data!$B$4:$Q$4,0)-1),#N/A)-$C$8/250</f>
        <v>6.3028237585193163E-4</v>
      </c>
      <c r="N241" s="395"/>
      <c r="R241" s="391"/>
    </row>
    <row r="242" spans="12:18">
      <c r="L242" s="394">
        <f ca="1">IF(NOT(OFFSET(Data!E245,0,MATCH('Delta Beta'!$C$5,Data!$B$4:$Q$4,0)-3)=""),OFFSET(Data!E245,0,MATCH('Delta Beta'!$C$5,Data!$B$4:$Q$4,0)-3),#N/A)-$C$8/250</f>
        <v>1.6728480872187812E-3</v>
      </c>
      <c r="M242" s="394">
        <f ca="1">IF(NOT(OFFSET(Data!E245,0,MATCH('Delta Beta'!$C$5,Data!$B$4:$Q$4,0)-1)=""),OFFSET(Data!E245,0,MATCH('Delta Beta'!$C$5,Data!$B$4:$Q$4,0)-1),#N/A)-$C$8/250</f>
        <v>-1.8499044205495873E-2</v>
      </c>
      <c r="N242" s="395"/>
      <c r="R242" s="391"/>
    </row>
    <row r="243" spans="12:18">
      <c r="L243" s="394">
        <f ca="1">IF(NOT(OFFSET(Data!E246,0,MATCH('Delta Beta'!$C$5,Data!$B$4:$Q$4,0)-3)=""),OFFSET(Data!E246,0,MATCH('Delta Beta'!$C$5,Data!$B$4:$Q$4,0)-3),#N/A)-$C$8/250</f>
        <v>1.2821214314501218E-2</v>
      </c>
      <c r="M243" s="394">
        <f ca="1">IF(NOT(OFFSET(Data!E246,0,MATCH('Delta Beta'!$C$5,Data!$B$4:$Q$4,0)-1)=""),OFFSET(Data!E246,0,MATCH('Delta Beta'!$C$5,Data!$B$4:$Q$4,0)-1),#N/A)-$C$8/250</f>
        <v>2.8408232981076632E-2</v>
      </c>
      <c r="N243" s="395"/>
      <c r="R243" s="391"/>
    </row>
    <row r="244" spans="12:18">
      <c r="L244" s="394">
        <f ca="1">IF(NOT(OFFSET(Data!E247,0,MATCH('Delta Beta'!$C$5,Data!$B$4:$Q$4,0)-3)=""),OFFSET(Data!E247,0,MATCH('Delta Beta'!$C$5,Data!$B$4:$Q$4,0)-3),#N/A)-$C$8/250</f>
        <v>-4.4592669225268613E-3</v>
      </c>
      <c r="M244" s="394">
        <f ca="1">IF(NOT(OFFSET(Data!E247,0,MATCH('Delta Beta'!$C$5,Data!$B$4:$Q$4,0)-1)=""),OFFSET(Data!E247,0,MATCH('Delta Beta'!$C$5,Data!$B$4:$Q$4,0)-1),#N/A)-$C$8/250</f>
        <v>-2.5255725922376692E-2</v>
      </c>
      <c r="N244" s="395"/>
      <c r="R244" s="391"/>
    </row>
    <row r="245" spans="12:18">
      <c r="L245" s="394">
        <f ca="1">IF(NOT(OFFSET(Data!E248,0,MATCH('Delta Beta'!$C$5,Data!$B$4:$Q$4,0)-3)=""),OFFSET(Data!E248,0,MATCH('Delta Beta'!$C$5,Data!$B$4:$Q$4,0)-3),#N/A)-$C$8/250</f>
        <v>-1.364960061067022E-3</v>
      </c>
      <c r="M245" s="394">
        <f ca="1">IF(NOT(OFFSET(Data!E248,0,MATCH('Delta Beta'!$C$5,Data!$B$4:$Q$4,0)-1)=""),OFFSET(Data!E248,0,MATCH('Delta Beta'!$C$5,Data!$B$4:$Q$4,0)-1),#N/A)-$C$8/250</f>
        <v>-2.0747583294228E-2</v>
      </c>
      <c r="N245" s="395"/>
      <c r="R245" s="391"/>
    </row>
    <row r="246" spans="12:18">
      <c r="L246" s="394">
        <f ca="1">IF(NOT(OFFSET(Data!E249,0,MATCH('Delta Beta'!$C$5,Data!$B$4:$Q$4,0)-3)=""),OFFSET(Data!E249,0,MATCH('Delta Beta'!$C$5,Data!$B$4:$Q$4,0)-3),#N/A)-$C$8/250</f>
        <v>-1.3851160688518438E-3</v>
      </c>
      <c r="M246" s="394">
        <f ca="1">IF(NOT(OFFSET(Data!E249,0,MATCH('Delta Beta'!$C$5,Data!$B$4:$Q$4,0)-1)=""),OFFSET(Data!E249,0,MATCH('Delta Beta'!$C$5,Data!$B$4:$Q$4,0)-1),#N/A)-$C$8/250</f>
        <v>1.2011137497031522E-2</v>
      </c>
      <c r="N246" s="395"/>
      <c r="R246" s="391"/>
    </row>
    <row r="247" spans="12:18">
      <c r="L247" s="394">
        <f ca="1">IF(NOT(OFFSET(Data!E250,0,MATCH('Delta Beta'!$C$5,Data!$B$4:$Q$4,0)-3)=""),OFFSET(Data!E250,0,MATCH('Delta Beta'!$C$5,Data!$B$4:$Q$4,0)-3),#N/A)-$C$8/250</f>
        <v>-8.0492200688769937E-3</v>
      </c>
      <c r="M247" s="394">
        <f ca="1">IF(NOT(OFFSET(Data!E250,0,MATCH('Delta Beta'!$C$5,Data!$B$4:$Q$4,0)-1)=""),OFFSET(Data!E250,0,MATCH('Delta Beta'!$C$5,Data!$B$4:$Q$4,0)-1),#N/A)-$C$8/250</f>
        <v>-7.1738033482669052E-3</v>
      </c>
      <c r="N247" s="395"/>
      <c r="R247" s="391"/>
    </row>
    <row r="248" spans="12:18">
      <c r="L248" s="394">
        <f ca="1">IF(NOT(OFFSET(Data!E251,0,MATCH('Delta Beta'!$C$5,Data!$B$4:$Q$4,0)-3)=""),OFFSET(Data!E251,0,MATCH('Delta Beta'!$C$5,Data!$B$4:$Q$4,0)-3),#N/A)-$C$8/250</f>
        <v>2.6871374554437891E-3</v>
      </c>
      <c r="M248" s="394">
        <f ca="1">IF(NOT(OFFSET(Data!E251,0,MATCH('Delta Beta'!$C$5,Data!$B$4:$Q$4,0)-1)=""),OFFSET(Data!E251,0,MATCH('Delta Beta'!$C$5,Data!$B$4:$Q$4,0)-1),#N/A)-$C$8/250</f>
        <v>1.3167650531284881E-3</v>
      </c>
      <c r="N248" s="395"/>
      <c r="R248" s="391"/>
    </row>
    <row r="249" spans="12:18">
      <c r="L249" s="394">
        <f ca="1">IF(NOT(OFFSET(Data!E252,0,MATCH('Delta Beta'!$C$5,Data!$B$4:$Q$4,0)-3)=""),OFFSET(Data!E252,0,MATCH('Delta Beta'!$C$5,Data!$B$4:$Q$4,0)-3),#N/A)-$C$8/250</f>
        <v>-2.0355954929820561E-3</v>
      </c>
      <c r="M249" s="394">
        <f ca="1">IF(NOT(OFFSET(Data!E252,0,MATCH('Delta Beta'!$C$5,Data!$B$4:$Q$4,0)-1)=""),OFFSET(Data!E252,0,MATCH('Delta Beta'!$C$5,Data!$B$4:$Q$4,0)-1),#N/A)-$C$8/250</f>
        <v>-3.3607176581674771E-4</v>
      </c>
      <c r="N249" s="395"/>
      <c r="R249" s="391"/>
    </row>
    <row r="250" spans="12:18">
      <c r="L250" s="394">
        <f ca="1">IF(NOT(OFFSET(Data!E253,0,MATCH('Delta Beta'!$C$5,Data!$B$4:$Q$4,0)-3)=""),OFFSET(Data!E253,0,MATCH('Delta Beta'!$C$5,Data!$B$4:$Q$4,0)-3),#N/A)-$C$8/250</f>
        <v>8.7362351093074227E-3</v>
      </c>
      <c r="M250" s="394">
        <f ca="1">IF(NOT(OFFSET(Data!E253,0,MATCH('Delta Beta'!$C$5,Data!$B$4:$Q$4,0)-1)=""),OFFSET(Data!E253,0,MATCH('Delta Beta'!$C$5,Data!$B$4:$Q$4,0)-1),#N/A)-$C$8/250</f>
        <v>-1.3836903376018738E-2</v>
      </c>
      <c r="N250" s="395"/>
      <c r="R250" s="391"/>
    </row>
    <row r="251" spans="12:18">
      <c r="L251" s="394">
        <f ca="1">IF(NOT(OFFSET(Data!E254,0,MATCH('Delta Beta'!$C$5,Data!$B$4:$Q$4,0)-3)=""),OFFSET(Data!E254,0,MATCH('Delta Beta'!$C$5,Data!$B$4:$Q$4,0)-3),#N/A)-$C$8/250</f>
        <v>-7.2414656814790974E-4</v>
      </c>
      <c r="M251" s="394">
        <f ca="1">IF(NOT(OFFSET(Data!E254,0,MATCH('Delta Beta'!$C$5,Data!$B$4:$Q$4,0)-1)=""),OFFSET(Data!E254,0,MATCH('Delta Beta'!$C$5,Data!$B$4:$Q$4,0)-1),#N/A)-$C$8/250</f>
        <v>4.567550523496465E-2</v>
      </c>
      <c r="N251" s="395"/>
      <c r="R251" s="391"/>
    </row>
    <row r="252" spans="12:18">
      <c r="L252" s="394">
        <f ca="1">IF(NOT(OFFSET(Data!E255,0,MATCH('Delta Beta'!$C$5,Data!$B$4:$Q$4,0)-3)=""),OFFSET(Data!E255,0,MATCH('Delta Beta'!$C$5,Data!$B$4:$Q$4,0)-3),#N/A)-$C$8/250</f>
        <v>1.6911507324332998E-3</v>
      </c>
      <c r="M252" s="394">
        <f ca="1">IF(NOT(OFFSET(Data!E255,0,MATCH('Delta Beta'!$C$5,Data!$B$4:$Q$4,0)-1)=""),OFFSET(Data!E255,0,MATCH('Delta Beta'!$C$5,Data!$B$4:$Q$4,0)-1),#N/A)-$C$8/250</f>
        <v>2.767777777777768E-2</v>
      </c>
      <c r="N252" s="395"/>
      <c r="R252" s="391"/>
    </row>
    <row r="253" spans="12:18">
      <c r="L253" s="394">
        <f ca="1">IF(NOT(OFFSET(Data!E256,0,MATCH('Delta Beta'!$C$5,Data!$B$4:$Q$4,0)-3)=""),OFFSET(Data!E256,0,MATCH('Delta Beta'!$C$5,Data!$B$4:$Q$4,0)-3),#N/A)-$C$8/250</f>
        <v>1.1171167954760575E-2</v>
      </c>
      <c r="M253" s="394">
        <f ca="1">IF(NOT(OFFSET(Data!E256,0,MATCH('Delta Beta'!$C$5,Data!$B$4:$Q$4,0)-1)=""),OFFSET(Data!E256,0,MATCH('Delta Beta'!$C$5,Data!$B$4:$Q$4,0)-1),#N/A)-$C$8/250</f>
        <v>-7.3049689440993883E-3</v>
      </c>
      <c r="N253" s="395"/>
      <c r="R253" s="391"/>
    </row>
    <row r="254" spans="12:18">
      <c r="L254" s="394">
        <f ca="1">IF(NOT(OFFSET(Data!E257,0,MATCH('Delta Beta'!$C$5,Data!$B$4:$Q$4,0)-3)=""),OFFSET(Data!E257,0,MATCH('Delta Beta'!$C$5,Data!$B$4:$Q$4,0)-3),#N/A)-$C$8/250</f>
        <v>-4.6954897137437947E-3</v>
      </c>
      <c r="M254" s="394">
        <f ca="1">IF(NOT(OFFSET(Data!E257,0,MATCH('Delta Beta'!$C$5,Data!$B$4:$Q$4,0)-1)=""),OFFSET(Data!E257,0,MATCH('Delta Beta'!$C$5,Data!$B$4:$Q$4,0)-1),#N/A)-$C$8/250</f>
        <v>-1.9827228446176359E-2</v>
      </c>
      <c r="N254" s="395"/>
      <c r="R254" s="391"/>
    </row>
    <row r="255" spans="12:18">
      <c r="L255" s="394">
        <f ca="1">IF(NOT(OFFSET(Data!E258,0,MATCH('Delta Beta'!$C$5,Data!$B$4:$Q$4,0)-3)=""),OFFSET(Data!E258,0,MATCH('Delta Beta'!$C$5,Data!$B$4:$Q$4,0)-3),#N/A)-$C$8/250</f>
        <v>2.2969253233782075E-3</v>
      </c>
      <c r="M255" s="394">
        <f ca="1">IF(NOT(OFFSET(Data!E258,0,MATCH('Delta Beta'!$C$5,Data!$B$4:$Q$4,0)-1)=""),OFFSET(Data!E258,0,MATCH('Delta Beta'!$C$5,Data!$B$4:$Q$4,0)-1),#N/A)-$C$8/250</f>
        <v>-5.6703560184062753E-3</v>
      </c>
      <c r="N255" s="395"/>
      <c r="R255" s="391"/>
    </row>
    <row r="256" spans="12:18">
      <c r="L256" s="394">
        <f ca="1">IF(NOT(OFFSET(Data!E259,0,MATCH('Delta Beta'!$C$5,Data!$B$4:$Q$4,0)-3)=""),OFFSET(Data!E259,0,MATCH('Delta Beta'!$C$5,Data!$B$4:$Q$4,0)-3),#N/A)-$C$8/250</f>
        <v>-1.6844155129681737E-3</v>
      </c>
      <c r="M256" s="394">
        <f ca="1">IF(NOT(OFFSET(Data!E259,0,MATCH('Delta Beta'!$C$5,Data!$B$4:$Q$4,0)-1)=""),OFFSET(Data!E259,0,MATCH('Delta Beta'!$C$5,Data!$B$4:$Q$4,0)-1),#N/A)-$C$8/250</f>
        <v>6.2709646146384972E-4</v>
      </c>
      <c r="N256" s="395"/>
      <c r="R256" s="391"/>
    </row>
    <row r="257" spans="12:18">
      <c r="L257" s="394" t="e">
        <f ca="1">IF(NOT(OFFSET(Data!E260,0,MATCH('Delta Beta'!$C$5,Data!$B$4:$Q$4,0)-3)=""),OFFSET(Data!E260,0,MATCH('Delta Beta'!$C$5,Data!$B$4:$Q$4,0)-3),#N/A)-$C$8/250</f>
        <v>#N/A</v>
      </c>
      <c r="M257" s="394" t="e">
        <f ca="1">IF(NOT(OFFSET(Data!E260,0,MATCH('Delta Beta'!$C$5,Data!$B$4:$Q$4,0)-1)=""),OFFSET(Data!E260,0,MATCH('Delta Beta'!$C$5,Data!$B$4:$Q$4,0)-1),#N/A)-$C$8/250</f>
        <v>#N/A</v>
      </c>
      <c r="N257" s="395"/>
      <c r="R257" s="391"/>
    </row>
    <row r="258" spans="12:18">
      <c r="L258" s="394" t="e">
        <f ca="1">IF(NOT(OFFSET(Data!E261,0,MATCH('Delta Beta'!$C$5,Data!$B$4:$Q$4,0)-3)=""),OFFSET(Data!E261,0,MATCH('Delta Beta'!$C$5,Data!$B$4:$Q$4,0)-3),#N/A)-$C$8/250</f>
        <v>#N/A</v>
      </c>
      <c r="M258" s="394" t="e">
        <f ca="1">IF(NOT(OFFSET(Data!E261,0,MATCH('Delta Beta'!$C$5,Data!$B$4:$Q$4,0)-1)=""),OFFSET(Data!E261,0,MATCH('Delta Beta'!$C$5,Data!$B$4:$Q$4,0)-1),#N/A)-$C$8/250</f>
        <v>#N/A</v>
      </c>
      <c r="N258" s="395"/>
      <c r="R258" s="391"/>
    </row>
    <row r="259" spans="12:18">
      <c r="L259" s="394" t="e">
        <f ca="1">IF(NOT(OFFSET(Data!E262,0,MATCH('Delta Beta'!$C$5,Data!$B$4:$Q$4,0)-3)=""),OFFSET(Data!E262,0,MATCH('Delta Beta'!$C$5,Data!$B$4:$Q$4,0)-3),#N/A)-$C$8/250</f>
        <v>#N/A</v>
      </c>
      <c r="M259" s="394" t="e">
        <f ca="1">IF(NOT(OFFSET(Data!E262,0,MATCH('Delta Beta'!$C$5,Data!$B$4:$Q$4,0)-1)=""),OFFSET(Data!E262,0,MATCH('Delta Beta'!$C$5,Data!$B$4:$Q$4,0)-1),#N/A)-$C$8/250</f>
        <v>#N/A</v>
      </c>
      <c r="N259" s="395"/>
      <c r="R259" s="391"/>
    </row>
    <row r="260" spans="12:18">
      <c r="L260" s="394" t="e">
        <f ca="1">IF(NOT(OFFSET(Data!E263,0,MATCH('Delta Beta'!$C$5,Data!$B$4:$Q$4,0)-3)=""),OFFSET(Data!E263,0,MATCH('Delta Beta'!$C$5,Data!$B$4:$Q$4,0)-3),#N/A)-$C$8/250</f>
        <v>#N/A</v>
      </c>
      <c r="M260" s="394" t="e">
        <f ca="1">IF(NOT(OFFSET(Data!E263,0,MATCH('Delta Beta'!$C$5,Data!$B$4:$Q$4,0)-1)=""),OFFSET(Data!E263,0,MATCH('Delta Beta'!$C$5,Data!$B$4:$Q$4,0)-1),#N/A)-$C$8/250</f>
        <v>#N/A</v>
      </c>
      <c r="N260" s="395"/>
      <c r="R260" s="391"/>
    </row>
    <row r="261" spans="12:18">
      <c r="L261" s="394" t="e">
        <f ca="1">IF(NOT(OFFSET(Data!E264,0,MATCH('Delta Beta'!$C$5,Data!$B$4:$Q$4,0)-3)=""),OFFSET(Data!E264,0,MATCH('Delta Beta'!$C$5,Data!$B$4:$Q$4,0)-3),#N/A)-$C$8/250</f>
        <v>#N/A</v>
      </c>
      <c r="M261" s="394" t="e">
        <f ca="1">IF(NOT(OFFSET(Data!E264,0,MATCH('Delta Beta'!$C$5,Data!$B$4:$Q$4,0)-1)=""),OFFSET(Data!E264,0,MATCH('Delta Beta'!$C$5,Data!$B$4:$Q$4,0)-1),#N/A)-$C$8/250</f>
        <v>#N/A</v>
      </c>
      <c r="N261" s="395"/>
      <c r="R261" s="391"/>
    </row>
    <row r="262" spans="12:18">
      <c r="L262" s="394" t="e">
        <f ca="1">IF(NOT(OFFSET(Data!E265,0,MATCH('Delta Beta'!$C$5,Data!$B$4:$Q$4,0)-3)=""),OFFSET(Data!E265,0,MATCH('Delta Beta'!$C$5,Data!$B$4:$Q$4,0)-3),#N/A)-$C$8/250</f>
        <v>#N/A</v>
      </c>
      <c r="M262" s="394" t="e">
        <f ca="1">IF(NOT(OFFSET(Data!E265,0,MATCH('Delta Beta'!$C$5,Data!$B$4:$Q$4,0)-1)=""),OFFSET(Data!E265,0,MATCH('Delta Beta'!$C$5,Data!$B$4:$Q$4,0)-1),#N/A)-$C$8/250</f>
        <v>#N/A</v>
      </c>
      <c r="N262" s="395"/>
      <c r="R262" s="391"/>
    </row>
    <row r="263" spans="12:18">
      <c r="L263" s="394" t="e">
        <f ca="1">IF(NOT(OFFSET(Data!E266,0,MATCH('Delta Beta'!$C$5,Data!$B$4:$Q$4,0)-3)=""),OFFSET(Data!E266,0,MATCH('Delta Beta'!$C$5,Data!$B$4:$Q$4,0)-3),#N/A)-$C$8/250</f>
        <v>#N/A</v>
      </c>
      <c r="M263" s="394" t="e">
        <f ca="1">IF(NOT(OFFSET(Data!E266,0,MATCH('Delta Beta'!$C$5,Data!$B$4:$Q$4,0)-1)=""),OFFSET(Data!E266,0,MATCH('Delta Beta'!$C$5,Data!$B$4:$Q$4,0)-1),#N/A)-$C$8/250</f>
        <v>#N/A</v>
      </c>
      <c r="N263" s="395"/>
      <c r="R263" s="391"/>
    </row>
    <row r="264" spans="12:18">
      <c r="L264" s="394" t="e">
        <f ca="1">IF(NOT(OFFSET(Data!E267,0,MATCH('Delta Beta'!$C$5,Data!$B$4:$Q$4,0)-3)=""),OFFSET(Data!E267,0,MATCH('Delta Beta'!$C$5,Data!$B$4:$Q$4,0)-3),#N/A)-$C$8/250</f>
        <v>#N/A</v>
      </c>
      <c r="M264" s="394" t="e">
        <f ca="1">IF(NOT(OFFSET(Data!E267,0,MATCH('Delta Beta'!$C$5,Data!$B$4:$Q$4,0)-1)=""),OFFSET(Data!E267,0,MATCH('Delta Beta'!$C$5,Data!$B$4:$Q$4,0)-1),#N/A)-$C$8/250</f>
        <v>#N/A</v>
      </c>
      <c r="N264" s="395"/>
      <c r="R264" s="391"/>
    </row>
    <row r="265" spans="12:18">
      <c r="L265" s="394" t="e">
        <f ca="1">IF(NOT(OFFSET(Data!E268,0,MATCH('Delta Beta'!$C$5,Data!$B$4:$Q$4,0)-3)=""),OFFSET(Data!E268,0,MATCH('Delta Beta'!$C$5,Data!$B$4:$Q$4,0)-3),#N/A)-$C$8/250</f>
        <v>#N/A</v>
      </c>
      <c r="M265" s="394" t="e">
        <f ca="1">IF(NOT(OFFSET(Data!E268,0,MATCH('Delta Beta'!$C$5,Data!$B$4:$Q$4,0)-1)=""),OFFSET(Data!E268,0,MATCH('Delta Beta'!$C$5,Data!$B$4:$Q$4,0)-1),#N/A)-$C$8/250</f>
        <v>#N/A</v>
      </c>
      <c r="N265" s="395"/>
      <c r="R265" s="391"/>
    </row>
    <row r="266" spans="12:18">
      <c r="L266" s="394" t="e">
        <f ca="1">IF(NOT(OFFSET(Data!E269,0,MATCH('Delta Beta'!$C$5,Data!$B$4:$Q$4,0)-3)=""),OFFSET(Data!E269,0,MATCH('Delta Beta'!$C$5,Data!$B$4:$Q$4,0)-3),#N/A)-$C$8/250</f>
        <v>#N/A</v>
      </c>
      <c r="M266" s="394" t="e">
        <f ca="1">IF(NOT(OFFSET(Data!E269,0,MATCH('Delta Beta'!$C$5,Data!$B$4:$Q$4,0)-1)=""),OFFSET(Data!E269,0,MATCH('Delta Beta'!$C$5,Data!$B$4:$Q$4,0)-1),#N/A)-$C$8/250</f>
        <v>#N/A</v>
      </c>
      <c r="N266" s="395"/>
      <c r="R266" s="391"/>
    </row>
    <row r="267" spans="12:18">
      <c r="L267" s="394" t="e">
        <f ca="1">IF(NOT(OFFSET(Data!E270,0,MATCH('Delta Beta'!$C$5,Data!$B$4:$Q$4,0)-3)=""),OFFSET(Data!E270,0,MATCH('Delta Beta'!$C$5,Data!$B$4:$Q$4,0)-3),#N/A)-$C$8/250</f>
        <v>#N/A</v>
      </c>
      <c r="M267" s="394" t="e">
        <f ca="1">IF(NOT(OFFSET(Data!E270,0,MATCH('Delta Beta'!$C$5,Data!$B$4:$Q$4,0)-1)=""),OFFSET(Data!E270,0,MATCH('Delta Beta'!$C$5,Data!$B$4:$Q$4,0)-1),#N/A)-$C$8/250</f>
        <v>#N/A</v>
      </c>
      <c r="N267" s="395"/>
      <c r="R267" s="391"/>
    </row>
    <row r="268" spans="12:18">
      <c r="L268" s="394" t="e">
        <f ca="1">IF(NOT(OFFSET(Data!E271,0,MATCH('Delta Beta'!$C$5,Data!$B$4:$Q$4,0)-3)=""),OFFSET(Data!E271,0,MATCH('Delta Beta'!$C$5,Data!$B$4:$Q$4,0)-3),#N/A)-$C$8/250</f>
        <v>#N/A</v>
      </c>
      <c r="M268" s="394" t="e">
        <f ca="1">IF(NOT(OFFSET(Data!E271,0,MATCH('Delta Beta'!$C$5,Data!$B$4:$Q$4,0)-1)=""),OFFSET(Data!E271,0,MATCH('Delta Beta'!$C$5,Data!$B$4:$Q$4,0)-1),#N/A)-$C$8/250</f>
        <v>#N/A</v>
      </c>
      <c r="N268" s="395"/>
      <c r="R268" s="391"/>
    </row>
    <row r="269" spans="12:18">
      <c r="L269" s="394" t="e">
        <f ca="1">IF(NOT(OFFSET(Data!E272,0,MATCH('Delta Beta'!$C$5,Data!$B$4:$Q$4,0)-3)=""),OFFSET(Data!E272,0,MATCH('Delta Beta'!$C$5,Data!$B$4:$Q$4,0)-3),#N/A)-$C$8/250</f>
        <v>#N/A</v>
      </c>
      <c r="M269" s="394" t="e">
        <f ca="1">IF(NOT(OFFSET(Data!E272,0,MATCH('Delta Beta'!$C$5,Data!$B$4:$Q$4,0)-1)=""),OFFSET(Data!E272,0,MATCH('Delta Beta'!$C$5,Data!$B$4:$Q$4,0)-1),#N/A)-$C$8/250</f>
        <v>#N/A</v>
      </c>
      <c r="N269" s="395"/>
      <c r="R269" s="391"/>
    </row>
    <row r="270" spans="12:18">
      <c r="L270" s="394" t="e">
        <f ca="1">IF(NOT(OFFSET(Data!E273,0,MATCH('Delta Beta'!$C$5,Data!$B$4:$Q$4,0)-3)=""),OFFSET(Data!E273,0,MATCH('Delta Beta'!$C$5,Data!$B$4:$Q$4,0)-3),#N/A)-$C$8/250</f>
        <v>#N/A</v>
      </c>
      <c r="M270" s="394" t="e">
        <f ca="1">IF(NOT(OFFSET(Data!E273,0,MATCH('Delta Beta'!$C$5,Data!$B$4:$Q$4,0)-1)=""),OFFSET(Data!E273,0,MATCH('Delta Beta'!$C$5,Data!$B$4:$Q$4,0)-1),#N/A)-$C$8/250</f>
        <v>#N/A</v>
      </c>
      <c r="N270" s="395"/>
      <c r="R270" s="391"/>
    </row>
    <row r="271" spans="12:18">
      <c r="L271" s="394" t="e">
        <f ca="1">IF(NOT(OFFSET(Data!E274,0,MATCH('Delta Beta'!$C$5,Data!$B$4:$Q$4,0)-3)=""),OFFSET(Data!E274,0,MATCH('Delta Beta'!$C$5,Data!$B$4:$Q$4,0)-3),#N/A)-$C$8/250</f>
        <v>#N/A</v>
      </c>
      <c r="M271" s="394" t="e">
        <f ca="1">IF(NOT(OFFSET(Data!E274,0,MATCH('Delta Beta'!$C$5,Data!$B$4:$Q$4,0)-1)=""),OFFSET(Data!E274,0,MATCH('Delta Beta'!$C$5,Data!$B$4:$Q$4,0)-1),#N/A)-$C$8/250</f>
        <v>#N/A</v>
      </c>
      <c r="N271" s="395"/>
      <c r="R271" s="391"/>
    </row>
    <row r="272" spans="12:18">
      <c r="L272" s="394" t="e">
        <f ca="1">IF(NOT(OFFSET(Data!E275,0,MATCH('Delta Beta'!$C$5,Data!$B$4:$Q$4,0)-3)=""),OFFSET(Data!E275,0,MATCH('Delta Beta'!$C$5,Data!$B$4:$Q$4,0)-3),#N/A)-$C$8/250</f>
        <v>#N/A</v>
      </c>
      <c r="M272" s="394" t="e">
        <f ca="1">IF(NOT(OFFSET(Data!E275,0,MATCH('Delta Beta'!$C$5,Data!$B$4:$Q$4,0)-1)=""),OFFSET(Data!E275,0,MATCH('Delta Beta'!$C$5,Data!$B$4:$Q$4,0)-1),#N/A)-$C$8/250</f>
        <v>#N/A</v>
      </c>
      <c r="N272" s="395"/>
      <c r="R272" s="391"/>
    </row>
    <row r="273" spans="12:18">
      <c r="L273" s="394" t="e">
        <f ca="1">IF(NOT(OFFSET(Data!E276,0,MATCH('Delta Beta'!$C$5,Data!$B$4:$Q$4,0)-3)=""),OFFSET(Data!E276,0,MATCH('Delta Beta'!$C$5,Data!$B$4:$Q$4,0)-3),#N/A)-$C$8/250</f>
        <v>#N/A</v>
      </c>
      <c r="M273" s="394" t="e">
        <f ca="1">IF(NOT(OFFSET(Data!E276,0,MATCH('Delta Beta'!$C$5,Data!$B$4:$Q$4,0)-1)=""),OFFSET(Data!E276,0,MATCH('Delta Beta'!$C$5,Data!$B$4:$Q$4,0)-1),#N/A)-$C$8/250</f>
        <v>#N/A</v>
      </c>
      <c r="N273" s="395"/>
      <c r="R273" s="391"/>
    </row>
    <row r="274" spans="12:18">
      <c r="L274" s="394" t="e">
        <f ca="1">IF(NOT(OFFSET(Data!E277,0,MATCH('Delta Beta'!$C$5,Data!$B$4:$Q$4,0)-3)=""),OFFSET(Data!E277,0,MATCH('Delta Beta'!$C$5,Data!$B$4:$Q$4,0)-3),#N/A)-$C$8/250</f>
        <v>#N/A</v>
      </c>
      <c r="M274" s="394" t="e">
        <f ca="1">IF(NOT(OFFSET(Data!E277,0,MATCH('Delta Beta'!$C$5,Data!$B$4:$Q$4,0)-1)=""),OFFSET(Data!E277,0,MATCH('Delta Beta'!$C$5,Data!$B$4:$Q$4,0)-1),#N/A)-$C$8/250</f>
        <v>#N/A</v>
      </c>
      <c r="N274" s="395"/>
      <c r="R274" s="391"/>
    </row>
    <row r="275" spans="12:18">
      <c r="L275" s="394" t="e">
        <f ca="1">IF(NOT(OFFSET(Data!E278,0,MATCH('Delta Beta'!$C$5,Data!$B$4:$Q$4,0)-3)=""),OFFSET(Data!E278,0,MATCH('Delta Beta'!$C$5,Data!$B$4:$Q$4,0)-3),#N/A)-$C$8/250</f>
        <v>#N/A</v>
      </c>
      <c r="M275" s="394" t="e">
        <f ca="1">IF(NOT(OFFSET(Data!E278,0,MATCH('Delta Beta'!$C$5,Data!$B$4:$Q$4,0)-1)=""),OFFSET(Data!E278,0,MATCH('Delta Beta'!$C$5,Data!$B$4:$Q$4,0)-1),#N/A)-$C$8/250</f>
        <v>#N/A</v>
      </c>
      <c r="N275" s="395"/>
      <c r="R275" s="391"/>
    </row>
    <row r="276" spans="12:18">
      <c r="L276" s="394" t="e">
        <f ca="1">IF(NOT(OFFSET(Data!E279,0,MATCH('Delta Beta'!$C$5,Data!$B$4:$Q$4,0)-3)=""),OFFSET(Data!E279,0,MATCH('Delta Beta'!$C$5,Data!$B$4:$Q$4,0)-3),#N/A)-$C$8/250</f>
        <v>#N/A</v>
      </c>
      <c r="M276" s="394" t="e">
        <f ca="1">IF(NOT(OFFSET(Data!E279,0,MATCH('Delta Beta'!$C$5,Data!$B$4:$Q$4,0)-1)=""),OFFSET(Data!E279,0,MATCH('Delta Beta'!$C$5,Data!$B$4:$Q$4,0)-1),#N/A)-$C$8/250</f>
        <v>#N/A</v>
      </c>
      <c r="N276" s="395"/>
      <c r="R276" s="391"/>
    </row>
    <row r="277" spans="12:18">
      <c r="L277" s="394" t="e">
        <f ca="1">IF(NOT(OFFSET(Data!E280,0,MATCH('Delta Beta'!$C$5,Data!$B$4:$Q$4,0)-3)=""),OFFSET(Data!E280,0,MATCH('Delta Beta'!$C$5,Data!$B$4:$Q$4,0)-3),#N/A)-$C$8/250</f>
        <v>#N/A</v>
      </c>
      <c r="M277" s="394" t="e">
        <f ca="1">IF(NOT(OFFSET(Data!E280,0,MATCH('Delta Beta'!$C$5,Data!$B$4:$Q$4,0)-1)=""),OFFSET(Data!E280,0,MATCH('Delta Beta'!$C$5,Data!$B$4:$Q$4,0)-1),#N/A)-$C$8/250</f>
        <v>#N/A</v>
      </c>
      <c r="N277" s="395"/>
      <c r="R277" s="391"/>
    </row>
    <row r="278" spans="12:18">
      <c r="L278" s="394" t="e">
        <f ca="1">IF(NOT(OFFSET(Data!E281,0,MATCH('Delta Beta'!$C$5,Data!$B$4:$Q$4,0)-3)=""),OFFSET(Data!E281,0,MATCH('Delta Beta'!$C$5,Data!$B$4:$Q$4,0)-3),#N/A)-$C$8/250</f>
        <v>#N/A</v>
      </c>
      <c r="M278" s="394" t="e">
        <f ca="1">IF(NOT(OFFSET(Data!E281,0,MATCH('Delta Beta'!$C$5,Data!$B$4:$Q$4,0)-1)=""),OFFSET(Data!E281,0,MATCH('Delta Beta'!$C$5,Data!$B$4:$Q$4,0)-1),#N/A)-$C$8/250</f>
        <v>#N/A</v>
      </c>
      <c r="N278" s="395"/>
      <c r="R278" s="391"/>
    </row>
    <row r="279" spans="12:18">
      <c r="L279" s="394" t="e">
        <f ca="1">IF(NOT(OFFSET(Data!E282,0,MATCH('Delta Beta'!$C$5,Data!$B$4:$Q$4,0)-3)=""),OFFSET(Data!E282,0,MATCH('Delta Beta'!$C$5,Data!$B$4:$Q$4,0)-3),#N/A)-$C$8/250</f>
        <v>#N/A</v>
      </c>
      <c r="M279" s="394" t="e">
        <f ca="1">IF(NOT(OFFSET(Data!E282,0,MATCH('Delta Beta'!$C$5,Data!$B$4:$Q$4,0)-1)=""),OFFSET(Data!E282,0,MATCH('Delta Beta'!$C$5,Data!$B$4:$Q$4,0)-1),#N/A)-$C$8/250</f>
        <v>#N/A</v>
      </c>
      <c r="N279" s="395"/>
      <c r="R279" s="391"/>
    </row>
    <row r="280" spans="12:18">
      <c r="L280" s="394" t="e">
        <f ca="1">IF(NOT(OFFSET(Data!E283,0,MATCH('Delta Beta'!$C$5,Data!$B$4:$Q$4,0)-3)=""),OFFSET(Data!E283,0,MATCH('Delta Beta'!$C$5,Data!$B$4:$Q$4,0)-3),#N/A)-$C$8/250</f>
        <v>#N/A</v>
      </c>
      <c r="M280" s="394" t="e">
        <f ca="1">IF(NOT(OFFSET(Data!E283,0,MATCH('Delta Beta'!$C$5,Data!$B$4:$Q$4,0)-1)=""),OFFSET(Data!E283,0,MATCH('Delta Beta'!$C$5,Data!$B$4:$Q$4,0)-1),#N/A)-$C$8/250</f>
        <v>#N/A</v>
      </c>
      <c r="N280" s="395"/>
      <c r="R280" s="391"/>
    </row>
    <row r="281" spans="12:18">
      <c r="L281" s="394" t="e">
        <f ca="1">IF(NOT(OFFSET(Data!E284,0,MATCH('Delta Beta'!$C$5,Data!$B$4:$Q$4,0)-3)=""),OFFSET(Data!E284,0,MATCH('Delta Beta'!$C$5,Data!$B$4:$Q$4,0)-3),#N/A)-$C$8/250</f>
        <v>#N/A</v>
      </c>
      <c r="M281" s="394" t="e">
        <f ca="1">IF(NOT(OFFSET(Data!E284,0,MATCH('Delta Beta'!$C$5,Data!$B$4:$Q$4,0)-1)=""),OFFSET(Data!E284,0,MATCH('Delta Beta'!$C$5,Data!$B$4:$Q$4,0)-1),#N/A)-$C$8/250</f>
        <v>#N/A</v>
      </c>
      <c r="N281" s="395"/>
      <c r="R281" s="391"/>
    </row>
    <row r="282" spans="12:18">
      <c r="L282" s="394" t="e">
        <f ca="1">IF(NOT(OFFSET(Data!E285,0,MATCH('Delta Beta'!$C$5,Data!$B$4:$Q$4,0)-3)=""),OFFSET(Data!E285,0,MATCH('Delta Beta'!$C$5,Data!$B$4:$Q$4,0)-3),#N/A)-$C$8/250</f>
        <v>#N/A</v>
      </c>
      <c r="M282" s="394" t="e">
        <f ca="1">IF(NOT(OFFSET(Data!E285,0,MATCH('Delta Beta'!$C$5,Data!$B$4:$Q$4,0)-1)=""),OFFSET(Data!E285,0,MATCH('Delta Beta'!$C$5,Data!$B$4:$Q$4,0)-1),#N/A)-$C$8/250</f>
        <v>#N/A</v>
      </c>
      <c r="N282" s="395"/>
      <c r="R282" s="391"/>
    </row>
    <row r="283" spans="12:18">
      <c r="L283" s="394" t="e">
        <f ca="1">IF(NOT(OFFSET(Data!E286,0,MATCH('Delta Beta'!$C$5,Data!$B$4:$Q$4,0)-3)=""),OFFSET(Data!E286,0,MATCH('Delta Beta'!$C$5,Data!$B$4:$Q$4,0)-3),#N/A)-$C$8/250</f>
        <v>#N/A</v>
      </c>
      <c r="M283" s="394" t="e">
        <f ca="1">IF(NOT(OFFSET(Data!E286,0,MATCH('Delta Beta'!$C$5,Data!$B$4:$Q$4,0)-1)=""),OFFSET(Data!E286,0,MATCH('Delta Beta'!$C$5,Data!$B$4:$Q$4,0)-1),#N/A)-$C$8/250</f>
        <v>#N/A</v>
      </c>
      <c r="N283" s="395"/>
      <c r="R283" s="391"/>
    </row>
    <row r="284" spans="12:18">
      <c r="L284" s="394" t="e">
        <f ca="1">IF(NOT(OFFSET(Data!E287,0,MATCH('Delta Beta'!$C$5,Data!$B$4:$Q$4,0)-3)=""),OFFSET(Data!E287,0,MATCH('Delta Beta'!$C$5,Data!$B$4:$Q$4,0)-3),#N/A)-$C$8/250</f>
        <v>#N/A</v>
      </c>
      <c r="M284" s="394" t="e">
        <f ca="1">IF(NOT(OFFSET(Data!E287,0,MATCH('Delta Beta'!$C$5,Data!$B$4:$Q$4,0)-1)=""),OFFSET(Data!E287,0,MATCH('Delta Beta'!$C$5,Data!$B$4:$Q$4,0)-1),#N/A)-$C$8/250</f>
        <v>#N/A</v>
      </c>
      <c r="N284" s="395"/>
      <c r="R284" s="391"/>
    </row>
    <row r="285" spans="12:18">
      <c r="L285" s="394" t="e">
        <f ca="1">IF(NOT(OFFSET(Data!E288,0,MATCH('Delta Beta'!$C$5,Data!$B$4:$Q$4,0)-3)=""),OFFSET(Data!E288,0,MATCH('Delta Beta'!$C$5,Data!$B$4:$Q$4,0)-3),#N/A)-$C$8/250</f>
        <v>#N/A</v>
      </c>
      <c r="M285" s="394" t="e">
        <f ca="1">IF(NOT(OFFSET(Data!E288,0,MATCH('Delta Beta'!$C$5,Data!$B$4:$Q$4,0)-1)=""),OFFSET(Data!E288,0,MATCH('Delta Beta'!$C$5,Data!$B$4:$Q$4,0)-1),#N/A)-$C$8/250</f>
        <v>#N/A</v>
      </c>
      <c r="N285" s="395"/>
      <c r="R285" s="391"/>
    </row>
    <row r="286" spans="12:18">
      <c r="L286" s="394" t="e">
        <f ca="1">IF(NOT(OFFSET(Data!E289,0,MATCH('Delta Beta'!$C$5,Data!$B$4:$Q$4,0)-3)=""),OFFSET(Data!E289,0,MATCH('Delta Beta'!$C$5,Data!$B$4:$Q$4,0)-3),#N/A)-$C$8/250</f>
        <v>#N/A</v>
      </c>
      <c r="M286" s="394" t="e">
        <f ca="1">IF(NOT(OFFSET(Data!E289,0,MATCH('Delta Beta'!$C$5,Data!$B$4:$Q$4,0)-1)=""),OFFSET(Data!E289,0,MATCH('Delta Beta'!$C$5,Data!$B$4:$Q$4,0)-1),#N/A)-$C$8/250</f>
        <v>#N/A</v>
      </c>
      <c r="N286" s="395"/>
      <c r="R286" s="391"/>
    </row>
    <row r="287" spans="12:18">
      <c r="L287" s="394" t="e">
        <f ca="1">IF(NOT(OFFSET(Data!E290,0,MATCH('Delta Beta'!$C$5,Data!$B$4:$Q$4,0)-3)=""),OFFSET(Data!E290,0,MATCH('Delta Beta'!$C$5,Data!$B$4:$Q$4,0)-3),#N/A)-$C$8/250</f>
        <v>#N/A</v>
      </c>
      <c r="M287" s="394" t="e">
        <f ca="1">IF(NOT(OFFSET(Data!E290,0,MATCH('Delta Beta'!$C$5,Data!$B$4:$Q$4,0)-1)=""),OFFSET(Data!E290,0,MATCH('Delta Beta'!$C$5,Data!$B$4:$Q$4,0)-1),#N/A)-$C$8/250</f>
        <v>#N/A</v>
      </c>
      <c r="N287" s="395"/>
      <c r="R287" s="391"/>
    </row>
    <row r="288" spans="12:18">
      <c r="L288" s="394" t="e">
        <f ca="1">IF(NOT(OFFSET(Data!E291,0,MATCH('Delta Beta'!$C$5,Data!$B$4:$Q$4,0)-3)=""),OFFSET(Data!E291,0,MATCH('Delta Beta'!$C$5,Data!$B$4:$Q$4,0)-3),#N/A)-$C$8/250</f>
        <v>#N/A</v>
      </c>
      <c r="M288" s="394" t="e">
        <f ca="1">IF(NOT(OFFSET(Data!E291,0,MATCH('Delta Beta'!$C$5,Data!$B$4:$Q$4,0)-1)=""),OFFSET(Data!E291,0,MATCH('Delta Beta'!$C$5,Data!$B$4:$Q$4,0)-1),#N/A)-$C$8/250</f>
        <v>#N/A</v>
      </c>
      <c r="N288" s="395"/>
      <c r="R288" s="391"/>
    </row>
    <row r="289" spans="12:18">
      <c r="L289" s="394" t="e">
        <f ca="1">IF(NOT(OFFSET(Data!E292,0,MATCH('Delta Beta'!$C$5,Data!$B$4:$Q$4,0)-3)=""),OFFSET(Data!E292,0,MATCH('Delta Beta'!$C$5,Data!$B$4:$Q$4,0)-3),#N/A)-$C$8/250</f>
        <v>#N/A</v>
      </c>
      <c r="M289" s="394" t="e">
        <f ca="1">IF(NOT(OFFSET(Data!E292,0,MATCH('Delta Beta'!$C$5,Data!$B$4:$Q$4,0)-1)=""),OFFSET(Data!E292,0,MATCH('Delta Beta'!$C$5,Data!$B$4:$Q$4,0)-1),#N/A)-$C$8/250</f>
        <v>#N/A</v>
      </c>
      <c r="N289" s="395"/>
      <c r="R289" s="391"/>
    </row>
    <row r="290" spans="12:18">
      <c r="L290" s="394" t="e">
        <f ca="1">IF(NOT(OFFSET(Data!E293,0,MATCH('Delta Beta'!$C$5,Data!$B$4:$Q$4,0)-3)=""),OFFSET(Data!E293,0,MATCH('Delta Beta'!$C$5,Data!$B$4:$Q$4,0)-3),#N/A)-$C$8/250</f>
        <v>#N/A</v>
      </c>
      <c r="M290" s="394" t="e">
        <f ca="1">IF(NOT(OFFSET(Data!E293,0,MATCH('Delta Beta'!$C$5,Data!$B$4:$Q$4,0)-1)=""),OFFSET(Data!E293,0,MATCH('Delta Beta'!$C$5,Data!$B$4:$Q$4,0)-1),#N/A)-$C$8/250</f>
        <v>#N/A</v>
      </c>
      <c r="N290" s="395"/>
      <c r="R290" s="391"/>
    </row>
    <row r="291" spans="12:18">
      <c r="L291" s="394" t="e">
        <f ca="1">IF(NOT(OFFSET(Data!E294,0,MATCH('Delta Beta'!$C$5,Data!$B$4:$Q$4,0)-3)=""),OFFSET(Data!E294,0,MATCH('Delta Beta'!$C$5,Data!$B$4:$Q$4,0)-3),#N/A)-$C$8/250</f>
        <v>#N/A</v>
      </c>
      <c r="M291" s="394" t="e">
        <f ca="1">IF(NOT(OFFSET(Data!E294,0,MATCH('Delta Beta'!$C$5,Data!$B$4:$Q$4,0)-1)=""),OFFSET(Data!E294,0,MATCH('Delta Beta'!$C$5,Data!$B$4:$Q$4,0)-1),#N/A)-$C$8/250</f>
        <v>#N/A</v>
      </c>
      <c r="N291" s="395"/>
      <c r="R291" s="391"/>
    </row>
    <row r="292" spans="12:18">
      <c r="L292" s="394" t="e">
        <f ca="1">IF(NOT(OFFSET(Data!E295,0,MATCH('Delta Beta'!$C$5,Data!$B$4:$Q$4,0)-3)=""),OFFSET(Data!E295,0,MATCH('Delta Beta'!$C$5,Data!$B$4:$Q$4,0)-3),#N/A)-$C$8/250</f>
        <v>#N/A</v>
      </c>
      <c r="M292" s="394" t="e">
        <f ca="1">IF(NOT(OFFSET(Data!E295,0,MATCH('Delta Beta'!$C$5,Data!$B$4:$Q$4,0)-1)=""),OFFSET(Data!E295,0,MATCH('Delta Beta'!$C$5,Data!$B$4:$Q$4,0)-1),#N/A)-$C$8/250</f>
        <v>#N/A</v>
      </c>
      <c r="N292" s="395"/>
      <c r="R292" s="391"/>
    </row>
    <row r="293" spans="12:18">
      <c r="L293" s="394" t="e">
        <f ca="1">IF(NOT(OFFSET(Data!E296,0,MATCH('Delta Beta'!$C$5,Data!$B$4:$Q$4,0)-3)=""),OFFSET(Data!E296,0,MATCH('Delta Beta'!$C$5,Data!$B$4:$Q$4,0)-3),#N/A)-$C$8/250</f>
        <v>#N/A</v>
      </c>
      <c r="M293" s="394" t="e">
        <f ca="1">IF(NOT(OFFSET(Data!E296,0,MATCH('Delta Beta'!$C$5,Data!$B$4:$Q$4,0)-1)=""),OFFSET(Data!E296,0,MATCH('Delta Beta'!$C$5,Data!$B$4:$Q$4,0)-1),#N/A)-$C$8/250</f>
        <v>#N/A</v>
      </c>
      <c r="N293" s="395"/>
      <c r="R293" s="391"/>
    </row>
    <row r="294" spans="12:18">
      <c r="L294" s="394" t="e">
        <f ca="1">IF(NOT(OFFSET(Data!E297,0,MATCH('Delta Beta'!$C$5,Data!$B$4:$Q$4,0)-3)=""),OFFSET(Data!E297,0,MATCH('Delta Beta'!$C$5,Data!$B$4:$Q$4,0)-3),#N/A)-$C$8/250</f>
        <v>#N/A</v>
      </c>
      <c r="M294" s="394" t="e">
        <f ca="1">IF(NOT(OFFSET(Data!E297,0,MATCH('Delta Beta'!$C$5,Data!$B$4:$Q$4,0)-1)=""),OFFSET(Data!E297,0,MATCH('Delta Beta'!$C$5,Data!$B$4:$Q$4,0)-1),#N/A)-$C$8/250</f>
        <v>#N/A</v>
      </c>
      <c r="N294" s="395"/>
      <c r="R294" s="391"/>
    </row>
    <row r="295" spans="12:18">
      <c r="L295" s="394" t="e">
        <f ca="1">IF(NOT(OFFSET(Data!E298,0,MATCH('Delta Beta'!$C$5,Data!$B$4:$Q$4,0)-3)=""),OFFSET(Data!E298,0,MATCH('Delta Beta'!$C$5,Data!$B$4:$Q$4,0)-3),#N/A)-$C$8/250</f>
        <v>#N/A</v>
      </c>
      <c r="M295" s="394" t="e">
        <f ca="1">IF(NOT(OFFSET(Data!E298,0,MATCH('Delta Beta'!$C$5,Data!$B$4:$Q$4,0)-1)=""),OFFSET(Data!E298,0,MATCH('Delta Beta'!$C$5,Data!$B$4:$Q$4,0)-1),#N/A)-$C$8/250</f>
        <v>#N/A</v>
      </c>
      <c r="N295" s="395"/>
      <c r="R295" s="391"/>
    </row>
    <row r="296" spans="12:18">
      <c r="L296" s="394" t="e">
        <f ca="1">IF(NOT(OFFSET(Data!E299,0,MATCH('Delta Beta'!$C$5,Data!$B$4:$Q$4,0)-3)=""),OFFSET(Data!E299,0,MATCH('Delta Beta'!$C$5,Data!$B$4:$Q$4,0)-3),#N/A)-$C$8/250</f>
        <v>#N/A</v>
      </c>
      <c r="M296" s="394" t="e">
        <f ca="1">IF(NOT(OFFSET(Data!E299,0,MATCH('Delta Beta'!$C$5,Data!$B$4:$Q$4,0)-1)=""),OFFSET(Data!E299,0,MATCH('Delta Beta'!$C$5,Data!$B$4:$Q$4,0)-1),#N/A)-$C$8/250</f>
        <v>#N/A</v>
      </c>
      <c r="N296" s="395"/>
      <c r="R296" s="391"/>
    </row>
    <row r="297" spans="12:18">
      <c r="L297" s="394" t="e">
        <f ca="1">IF(NOT(OFFSET(Data!E300,0,MATCH('Delta Beta'!$C$5,Data!$B$4:$Q$4,0)-3)=""),OFFSET(Data!E300,0,MATCH('Delta Beta'!$C$5,Data!$B$4:$Q$4,0)-3),#N/A)-$C$8/250</f>
        <v>#N/A</v>
      </c>
      <c r="M297" s="394" t="e">
        <f ca="1">IF(NOT(OFFSET(Data!E300,0,MATCH('Delta Beta'!$C$5,Data!$B$4:$Q$4,0)-1)=""),OFFSET(Data!E300,0,MATCH('Delta Beta'!$C$5,Data!$B$4:$Q$4,0)-1),#N/A)-$C$8/250</f>
        <v>#N/A</v>
      </c>
      <c r="N297" s="395"/>
      <c r="R297" s="391"/>
    </row>
    <row r="298" spans="12:18">
      <c r="L298" s="394" t="e">
        <f ca="1">IF(NOT(OFFSET(Data!E301,0,MATCH('Delta Beta'!$C$5,Data!$B$4:$Q$4,0)-3)=""),OFFSET(Data!E301,0,MATCH('Delta Beta'!$C$5,Data!$B$4:$Q$4,0)-3),#N/A)-$C$8/250</f>
        <v>#N/A</v>
      </c>
      <c r="M298" s="394" t="e">
        <f ca="1">IF(NOT(OFFSET(Data!E301,0,MATCH('Delta Beta'!$C$5,Data!$B$4:$Q$4,0)-1)=""),OFFSET(Data!E301,0,MATCH('Delta Beta'!$C$5,Data!$B$4:$Q$4,0)-1),#N/A)-$C$8/250</f>
        <v>#N/A</v>
      </c>
      <c r="N298" s="395"/>
      <c r="R298" s="391"/>
    </row>
    <row r="299" spans="12:18">
      <c r="L299" s="394" t="e">
        <f ca="1">IF(NOT(OFFSET(Data!E302,0,MATCH('Delta Beta'!$C$5,Data!$B$4:$Q$4,0)-3)=""),OFFSET(Data!E302,0,MATCH('Delta Beta'!$C$5,Data!$B$4:$Q$4,0)-3),#N/A)-$C$8/250</f>
        <v>#N/A</v>
      </c>
      <c r="M299" s="394" t="e">
        <f ca="1">IF(NOT(OFFSET(Data!E302,0,MATCH('Delta Beta'!$C$5,Data!$B$4:$Q$4,0)-1)=""),OFFSET(Data!E302,0,MATCH('Delta Beta'!$C$5,Data!$B$4:$Q$4,0)-1),#N/A)-$C$8/250</f>
        <v>#N/A</v>
      </c>
      <c r="N299" s="395"/>
      <c r="R299" s="391"/>
    </row>
    <row r="300" spans="12:18">
      <c r="L300" s="394" t="e">
        <f ca="1">IF(NOT(OFFSET(Data!E303,0,MATCH('Delta Beta'!$C$5,Data!$B$4:$Q$4,0)-3)=""),OFFSET(Data!E303,0,MATCH('Delta Beta'!$C$5,Data!$B$4:$Q$4,0)-3),#N/A)-$C$8/250</f>
        <v>#N/A</v>
      </c>
      <c r="M300" s="394" t="e">
        <f ca="1">IF(NOT(OFFSET(Data!E303,0,MATCH('Delta Beta'!$C$5,Data!$B$4:$Q$4,0)-1)=""),OFFSET(Data!E303,0,MATCH('Delta Beta'!$C$5,Data!$B$4:$Q$4,0)-1),#N/A)-$C$8/250</f>
        <v>#N/A</v>
      </c>
      <c r="N300" s="395"/>
      <c r="R300" s="391"/>
    </row>
    <row r="301" spans="12:18">
      <c r="L301" s="394" t="e">
        <f ca="1">IF(NOT(OFFSET(Data!E304,0,MATCH('Delta Beta'!$C$5,Data!$B$4:$Q$4,0)-3)=""),OFFSET(Data!E304,0,MATCH('Delta Beta'!$C$5,Data!$B$4:$Q$4,0)-3),#N/A)-$C$8/250</f>
        <v>#N/A</v>
      </c>
      <c r="M301" s="394" t="e">
        <f ca="1">IF(NOT(OFFSET(Data!E304,0,MATCH('Delta Beta'!$C$5,Data!$B$4:$Q$4,0)-1)=""),OFFSET(Data!E304,0,MATCH('Delta Beta'!$C$5,Data!$B$4:$Q$4,0)-1),#N/A)-$C$8/250</f>
        <v>#N/A</v>
      </c>
      <c r="N301" s="395"/>
      <c r="R301" s="391"/>
    </row>
    <row r="302" spans="12:18">
      <c r="L302" s="394" t="e">
        <f ca="1">IF(NOT(OFFSET(Data!E305,0,MATCH('Delta Beta'!$C$5,Data!$B$4:$Q$4,0)-3)=""),OFFSET(Data!E305,0,MATCH('Delta Beta'!$C$5,Data!$B$4:$Q$4,0)-3),#N/A)-$C$8/250</f>
        <v>#N/A</v>
      </c>
      <c r="M302" s="394" t="e">
        <f ca="1">IF(NOT(OFFSET(Data!E305,0,MATCH('Delta Beta'!$C$5,Data!$B$4:$Q$4,0)-1)=""),OFFSET(Data!E305,0,MATCH('Delta Beta'!$C$5,Data!$B$4:$Q$4,0)-1),#N/A)-$C$8/250</f>
        <v>#N/A</v>
      </c>
      <c r="N302" s="395"/>
      <c r="R302" s="391"/>
    </row>
    <row r="303" spans="12:18">
      <c r="L303" s="394" t="e">
        <f ca="1">IF(NOT(OFFSET(Data!E306,0,MATCH('Delta Beta'!$C$5,Data!$B$4:$Q$4,0)-3)=""),OFFSET(Data!E306,0,MATCH('Delta Beta'!$C$5,Data!$B$4:$Q$4,0)-3),#N/A)-$C$8/250</f>
        <v>#N/A</v>
      </c>
      <c r="M303" s="394" t="e">
        <f ca="1">IF(NOT(OFFSET(Data!E306,0,MATCH('Delta Beta'!$C$5,Data!$B$4:$Q$4,0)-1)=""),OFFSET(Data!E306,0,MATCH('Delta Beta'!$C$5,Data!$B$4:$Q$4,0)-1),#N/A)-$C$8/250</f>
        <v>#N/A</v>
      </c>
      <c r="N303" s="395"/>
      <c r="R303" s="391"/>
    </row>
    <row r="304" spans="12:18">
      <c r="L304" s="394" t="e">
        <f ca="1">IF(NOT(OFFSET(Data!E307,0,MATCH('Delta Beta'!$C$5,Data!$B$4:$Q$4,0)-3)=""),OFFSET(Data!E307,0,MATCH('Delta Beta'!$C$5,Data!$B$4:$Q$4,0)-3),#N/A)-$C$8/250</f>
        <v>#N/A</v>
      </c>
      <c r="M304" s="394" t="e">
        <f ca="1">IF(NOT(OFFSET(Data!E307,0,MATCH('Delta Beta'!$C$5,Data!$B$4:$Q$4,0)-1)=""),OFFSET(Data!E307,0,MATCH('Delta Beta'!$C$5,Data!$B$4:$Q$4,0)-1),#N/A)-$C$8/250</f>
        <v>#N/A</v>
      </c>
      <c r="N304" s="395"/>
      <c r="R304" s="391"/>
    </row>
    <row r="305" spans="12:18">
      <c r="L305" s="394" t="e">
        <f ca="1">IF(NOT(OFFSET(Data!E308,0,MATCH('Delta Beta'!$C$5,Data!$B$4:$Q$4,0)-3)=""),OFFSET(Data!E308,0,MATCH('Delta Beta'!$C$5,Data!$B$4:$Q$4,0)-3),#N/A)-$C$8/250</f>
        <v>#N/A</v>
      </c>
      <c r="M305" s="394" t="e">
        <f ca="1">IF(NOT(OFFSET(Data!E308,0,MATCH('Delta Beta'!$C$5,Data!$B$4:$Q$4,0)-1)=""),OFFSET(Data!E308,0,MATCH('Delta Beta'!$C$5,Data!$B$4:$Q$4,0)-1),#N/A)-$C$8/250</f>
        <v>#N/A</v>
      </c>
      <c r="N305" s="395"/>
      <c r="R305" s="391"/>
    </row>
    <row r="306" spans="12:18">
      <c r="L306" s="394" t="e">
        <f ca="1">IF(NOT(OFFSET(Data!E309,0,MATCH('Delta Beta'!$C$5,Data!$B$4:$Q$4,0)-3)=""),OFFSET(Data!E309,0,MATCH('Delta Beta'!$C$5,Data!$B$4:$Q$4,0)-3),#N/A)-$C$8/250</f>
        <v>#N/A</v>
      </c>
      <c r="M306" s="394" t="e">
        <f ca="1">IF(NOT(OFFSET(Data!E309,0,MATCH('Delta Beta'!$C$5,Data!$B$4:$Q$4,0)-1)=""),OFFSET(Data!E309,0,MATCH('Delta Beta'!$C$5,Data!$B$4:$Q$4,0)-1),#N/A)-$C$8/250</f>
        <v>#N/A</v>
      </c>
      <c r="N306" s="395"/>
      <c r="R306" s="391"/>
    </row>
    <row r="307" spans="12:18">
      <c r="L307" s="394" t="e">
        <f ca="1">IF(NOT(OFFSET(Data!E310,0,MATCH('Delta Beta'!$C$5,Data!$B$4:$Q$4,0)-3)=""),OFFSET(Data!E310,0,MATCH('Delta Beta'!$C$5,Data!$B$4:$Q$4,0)-3),#N/A)-$C$8/250</f>
        <v>#N/A</v>
      </c>
      <c r="M307" s="394" t="e">
        <f ca="1">IF(NOT(OFFSET(Data!E310,0,MATCH('Delta Beta'!$C$5,Data!$B$4:$Q$4,0)-1)=""),OFFSET(Data!E310,0,MATCH('Delta Beta'!$C$5,Data!$B$4:$Q$4,0)-1),#N/A)-$C$8/250</f>
        <v>#N/A</v>
      </c>
      <c r="N307" s="395"/>
      <c r="R307" s="391"/>
    </row>
    <row r="308" spans="12:18">
      <c r="L308" s="394" t="e">
        <f ca="1">IF(NOT(OFFSET(Data!E311,0,MATCH('Delta Beta'!$C$5,Data!$B$4:$Q$4,0)-3)=""),OFFSET(Data!E311,0,MATCH('Delta Beta'!$C$5,Data!$B$4:$Q$4,0)-3),#N/A)-$C$8/250</f>
        <v>#N/A</v>
      </c>
      <c r="M308" s="394" t="e">
        <f ca="1">IF(NOT(OFFSET(Data!E311,0,MATCH('Delta Beta'!$C$5,Data!$B$4:$Q$4,0)-1)=""),OFFSET(Data!E311,0,MATCH('Delta Beta'!$C$5,Data!$B$4:$Q$4,0)-1),#N/A)-$C$8/250</f>
        <v>#N/A</v>
      </c>
      <c r="N308" s="395"/>
      <c r="R308" s="391"/>
    </row>
    <row r="309" spans="12:18">
      <c r="L309" s="394" t="e">
        <f ca="1">IF(NOT(OFFSET(Data!E312,0,MATCH('Delta Beta'!$C$5,Data!$B$4:$Q$4,0)-3)=""),OFFSET(Data!E312,0,MATCH('Delta Beta'!$C$5,Data!$B$4:$Q$4,0)-3),#N/A)-$C$8/250</f>
        <v>#N/A</v>
      </c>
      <c r="M309" s="394" t="e">
        <f ca="1">IF(NOT(OFFSET(Data!E312,0,MATCH('Delta Beta'!$C$5,Data!$B$4:$Q$4,0)-1)=""),OFFSET(Data!E312,0,MATCH('Delta Beta'!$C$5,Data!$B$4:$Q$4,0)-1),#N/A)-$C$8/250</f>
        <v>#N/A</v>
      </c>
      <c r="N309" s="395"/>
      <c r="R309" s="391"/>
    </row>
    <row r="310" spans="12:18">
      <c r="L310" s="394" t="e">
        <f ca="1">IF(NOT(OFFSET(Data!E313,0,MATCH('Delta Beta'!$C$5,Data!$B$4:$Q$4,0)-3)=""),OFFSET(Data!E313,0,MATCH('Delta Beta'!$C$5,Data!$B$4:$Q$4,0)-3),#N/A)-$C$8/250</f>
        <v>#N/A</v>
      </c>
      <c r="M310" s="394" t="e">
        <f ca="1">IF(NOT(OFFSET(Data!E313,0,MATCH('Delta Beta'!$C$5,Data!$B$4:$Q$4,0)-1)=""),OFFSET(Data!E313,0,MATCH('Delta Beta'!$C$5,Data!$B$4:$Q$4,0)-1),#N/A)-$C$8/250</f>
        <v>#N/A</v>
      </c>
      <c r="N310" s="395"/>
      <c r="R310" s="391"/>
    </row>
    <row r="311" spans="12:18">
      <c r="L311" s="394" t="e">
        <f ca="1">IF(NOT(OFFSET(Data!E314,0,MATCH('Delta Beta'!$C$5,Data!$B$4:$Q$4,0)-3)=""),OFFSET(Data!E314,0,MATCH('Delta Beta'!$C$5,Data!$B$4:$Q$4,0)-3),#N/A)-$C$8/250</f>
        <v>#N/A</v>
      </c>
      <c r="M311" s="394" t="e">
        <f ca="1">IF(NOT(OFFSET(Data!E314,0,MATCH('Delta Beta'!$C$5,Data!$B$4:$Q$4,0)-1)=""),OFFSET(Data!E314,0,MATCH('Delta Beta'!$C$5,Data!$B$4:$Q$4,0)-1),#N/A)-$C$8/250</f>
        <v>#N/A</v>
      </c>
      <c r="N311" s="395"/>
      <c r="R311" s="391"/>
    </row>
    <row r="312" spans="12:18">
      <c r="L312" s="394" t="e">
        <f ca="1">IF(NOT(OFFSET(Data!E315,0,MATCH('Delta Beta'!$C$5,Data!$B$4:$Q$4,0)-3)=""),OFFSET(Data!E315,0,MATCH('Delta Beta'!$C$5,Data!$B$4:$Q$4,0)-3),#N/A)-$C$8/250</f>
        <v>#N/A</v>
      </c>
      <c r="M312" s="394" t="e">
        <f ca="1">IF(NOT(OFFSET(Data!E315,0,MATCH('Delta Beta'!$C$5,Data!$B$4:$Q$4,0)-1)=""),OFFSET(Data!E315,0,MATCH('Delta Beta'!$C$5,Data!$B$4:$Q$4,0)-1),#N/A)-$C$8/250</f>
        <v>#N/A</v>
      </c>
      <c r="N312" s="395"/>
      <c r="R312" s="391"/>
    </row>
    <row r="313" spans="12:18">
      <c r="L313" s="394" t="e">
        <f ca="1">IF(NOT(OFFSET(Data!E316,0,MATCH('Delta Beta'!$C$5,Data!$B$4:$Q$4,0)-3)=""),OFFSET(Data!E316,0,MATCH('Delta Beta'!$C$5,Data!$B$4:$Q$4,0)-3),#N/A)-$C$8/250</f>
        <v>#N/A</v>
      </c>
      <c r="M313" s="394" t="e">
        <f ca="1">IF(NOT(OFFSET(Data!E316,0,MATCH('Delta Beta'!$C$5,Data!$B$4:$Q$4,0)-1)=""),OFFSET(Data!E316,0,MATCH('Delta Beta'!$C$5,Data!$B$4:$Q$4,0)-1),#N/A)-$C$8/250</f>
        <v>#N/A</v>
      </c>
      <c r="N313" s="395"/>
      <c r="R313" s="391"/>
    </row>
    <row r="314" spans="12:18">
      <c r="L314" s="394" t="e">
        <f ca="1">IF(NOT(OFFSET(Data!E317,0,MATCH('Delta Beta'!$C$5,Data!$B$4:$Q$4,0)-3)=""),OFFSET(Data!E317,0,MATCH('Delta Beta'!$C$5,Data!$B$4:$Q$4,0)-3),#N/A)-$C$8/250</f>
        <v>#N/A</v>
      </c>
      <c r="M314" s="394" t="e">
        <f ca="1">IF(NOT(OFFSET(Data!E317,0,MATCH('Delta Beta'!$C$5,Data!$B$4:$Q$4,0)-1)=""),OFFSET(Data!E317,0,MATCH('Delta Beta'!$C$5,Data!$B$4:$Q$4,0)-1),#N/A)-$C$8/250</f>
        <v>#N/A</v>
      </c>
      <c r="N314" s="395"/>
      <c r="R314" s="391"/>
    </row>
    <row r="315" spans="12:18">
      <c r="L315" s="394" t="e">
        <f ca="1">IF(NOT(OFFSET(Data!E318,0,MATCH('Delta Beta'!$C$5,Data!$B$4:$Q$4,0)-3)=""),OFFSET(Data!E318,0,MATCH('Delta Beta'!$C$5,Data!$B$4:$Q$4,0)-3),#N/A)-$C$8/250</f>
        <v>#N/A</v>
      </c>
      <c r="M315" s="394" t="e">
        <f ca="1">IF(NOT(OFFSET(Data!E318,0,MATCH('Delta Beta'!$C$5,Data!$B$4:$Q$4,0)-1)=""),OFFSET(Data!E318,0,MATCH('Delta Beta'!$C$5,Data!$B$4:$Q$4,0)-1),#N/A)-$C$8/250</f>
        <v>#N/A</v>
      </c>
      <c r="N315" s="395"/>
      <c r="R315" s="391"/>
    </row>
    <row r="316" spans="12:18">
      <c r="L316" s="394" t="e">
        <f ca="1">IF(NOT(OFFSET(Data!E319,0,MATCH('Delta Beta'!$C$5,Data!$B$4:$Q$4,0)-3)=""),OFFSET(Data!E319,0,MATCH('Delta Beta'!$C$5,Data!$B$4:$Q$4,0)-3),#N/A)-$C$8/250</f>
        <v>#N/A</v>
      </c>
      <c r="M316" s="394" t="e">
        <f ca="1">IF(NOT(OFFSET(Data!E319,0,MATCH('Delta Beta'!$C$5,Data!$B$4:$Q$4,0)-1)=""),OFFSET(Data!E319,0,MATCH('Delta Beta'!$C$5,Data!$B$4:$Q$4,0)-1),#N/A)-$C$8/250</f>
        <v>#N/A</v>
      </c>
      <c r="N316" s="395"/>
      <c r="R316" s="391"/>
    </row>
    <row r="317" spans="12:18">
      <c r="L317" s="394" t="e">
        <f ca="1">IF(NOT(OFFSET(Data!E320,0,MATCH('Delta Beta'!$C$5,Data!$B$4:$Q$4,0)-3)=""),OFFSET(Data!E320,0,MATCH('Delta Beta'!$C$5,Data!$B$4:$Q$4,0)-3),#N/A)-$C$8/250</f>
        <v>#N/A</v>
      </c>
      <c r="M317" s="394" t="e">
        <f ca="1">IF(NOT(OFFSET(Data!E320,0,MATCH('Delta Beta'!$C$5,Data!$B$4:$Q$4,0)-1)=""),OFFSET(Data!E320,0,MATCH('Delta Beta'!$C$5,Data!$B$4:$Q$4,0)-1),#N/A)-$C$8/250</f>
        <v>#N/A</v>
      </c>
      <c r="N317" s="395"/>
      <c r="R317" s="391"/>
    </row>
    <row r="318" spans="12:18">
      <c r="L318" s="394" t="e">
        <f ca="1">IF(NOT(OFFSET(Data!E321,0,MATCH('Delta Beta'!$C$5,Data!$B$4:$Q$4,0)-3)=""),OFFSET(Data!E321,0,MATCH('Delta Beta'!$C$5,Data!$B$4:$Q$4,0)-3),#N/A)-$C$8/250</f>
        <v>#N/A</v>
      </c>
      <c r="M318" s="394" t="e">
        <f ca="1">IF(NOT(OFFSET(Data!E321,0,MATCH('Delta Beta'!$C$5,Data!$B$4:$Q$4,0)-1)=""),OFFSET(Data!E321,0,MATCH('Delta Beta'!$C$5,Data!$B$4:$Q$4,0)-1),#N/A)-$C$8/250</f>
        <v>#N/A</v>
      </c>
      <c r="N318" s="395"/>
      <c r="R318" s="391"/>
    </row>
    <row r="319" spans="12:18">
      <c r="L319" s="394" t="e">
        <f ca="1">IF(NOT(OFFSET(Data!E322,0,MATCH('Delta Beta'!$C$5,Data!$B$4:$Q$4,0)-3)=""),OFFSET(Data!E322,0,MATCH('Delta Beta'!$C$5,Data!$B$4:$Q$4,0)-3),#N/A)-$C$8/250</f>
        <v>#N/A</v>
      </c>
      <c r="M319" s="394" t="e">
        <f ca="1">IF(NOT(OFFSET(Data!E322,0,MATCH('Delta Beta'!$C$5,Data!$B$4:$Q$4,0)-1)=""),OFFSET(Data!E322,0,MATCH('Delta Beta'!$C$5,Data!$B$4:$Q$4,0)-1),#N/A)-$C$8/250</f>
        <v>#N/A</v>
      </c>
      <c r="N319" s="395"/>
      <c r="R319" s="391"/>
    </row>
    <row r="320" spans="12:18">
      <c r="L320" s="394" t="e">
        <f ca="1">IF(NOT(OFFSET(Data!E323,0,MATCH('Delta Beta'!$C$5,Data!$B$4:$Q$4,0)-3)=""),OFFSET(Data!E323,0,MATCH('Delta Beta'!$C$5,Data!$B$4:$Q$4,0)-3),#N/A)-$C$8/250</f>
        <v>#N/A</v>
      </c>
      <c r="M320" s="394" t="e">
        <f ca="1">IF(NOT(OFFSET(Data!E323,0,MATCH('Delta Beta'!$C$5,Data!$B$4:$Q$4,0)-1)=""),OFFSET(Data!E323,0,MATCH('Delta Beta'!$C$5,Data!$B$4:$Q$4,0)-1),#N/A)-$C$8/250</f>
        <v>#N/A</v>
      </c>
      <c r="N320" s="395"/>
      <c r="R320" s="391"/>
    </row>
    <row r="321" spans="12:18">
      <c r="L321" s="394" t="e">
        <f ca="1">IF(NOT(OFFSET(Data!E324,0,MATCH('Delta Beta'!$C$5,Data!$B$4:$Q$4,0)-3)=""),OFFSET(Data!E324,0,MATCH('Delta Beta'!$C$5,Data!$B$4:$Q$4,0)-3),#N/A)-$C$8/250</f>
        <v>#N/A</v>
      </c>
      <c r="M321" s="394" t="e">
        <f ca="1">IF(NOT(OFFSET(Data!E324,0,MATCH('Delta Beta'!$C$5,Data!$B$4:$Q$4,0)-1)=""),OFFSET(Data!E324,0,MATCH('Delta Beta'!$C$5,Data!$B$4:$Q$4,0)-1),#N/A)-$C$8/250</f>
        <v>#N/A</v>
      </c>
      <c r="N321" s="395"/>
      <c r="R321" s="391"/>
    </row>
    <row r="322" spans="12:18">
      <c r="L322" s="394" t="e">
        <f ca="1">IF(NOT(OFFSET(Data!E325,0,MATCH('Delta Beta'!$C$5,Data!$B$4:$Q$4,0)-3)=""),OFFSET(Data!E325,0,MATCH('Delta Beta'!$C$5,Data!$B$4:$Q$4,0)-3),#N/A)-$C$8/250</f>
        <v>#N/A</v>
      </c>
      <c r="M322" s="394" t="e">
        <f ca="1">IF(NOT(OFFSET(Data!E325,0,MATCH('Delta Beta'!$C$5,Data!$B$4:$Q$4,0)-1)=""),OFFSET(Data!E325,0,MATCH('Delta Beta'!$C$5,Data!$B$4:$Q$4,0)-1),#N/A)-$C$8/250</f>
        <v>#N/A</v>
      </c>
      <c r="N322" s="395"/>
      <c r="R322" s="391"/>
    </row>
    <row r="323" spans="12:18">
      <c r="L323" s="394" t="e">
        <f ca="1">IF(NOT(OFFSET(Data!E326,0,MATCH('Delta Beta'!$C$5,Data!$B$4:$Q$4,0)-3)=""),OFFSET(Data!E326,0,MATCH('Delta Beta'!$C$5,Data!$B$4:$Q$4,0)-3),#N/A)-$C$8/250</f>
        <v>#N/A</v>
      </c>
      <c r="M323" s="394" t="e">
        <f ca="1">IF(NOT(OFFSET(Data!E326,0,MATCH('Delta Beta'!$C$5,Data!$B$4:$Q$4,0)-1)=""),OFFSET(Data!E326,0,MATCH('Delta Beta'!$C$5,Data!$B$4:$Q$4,0)-1),#N/A)-$C$8/250</f>
        <v>#N/A</v>
      </c>
      <c r="N323" s="395"/>
      <c r="R323" s="391"/>
    </row>
    <row r="324" spans="12:18">
      <c r="L324" s="394" t="e">
        <f ca="1">IF(NOT(OFFSET(Data!E327,0,MATCH('Delta Beta'!$C$5,Data!$B$4:$Q$4,0)-3)=""),OFFSET(Data!E327,0,MATCH('Delta Beta'!$C$5,Data!$B$4:$Q$4,0)-3),#N/A)-$C$8/250</f>
        <v>#N/A</v>
      </c>
      <c r="M324" s="394" t="e">
        <f ca="1">IF(NOT(OFFSET(Data!E327,0,MATCH('Delta Beta'!$C$5,Data!$B$4:$Q$4,0)-1)=""),OFFSET(Data!E327,0,MATCH('Delta Beta'!$C$5,Data!$B$4:$Q$4,0)-1),#N/A)-$C$8/250</f>
        <v>#N/A</v>
      </c>
      <c r="N324" s="395"/>
      <c r="R324" s="391"/>
    </row>
    <row r="325" spans="12:18">
      <c r="L325" s="394" t="e">
        <f ca="1">IF(NOT(OFFSET(Data!E328,0,MATCH('Delta Beta'!$C$5,Data!$B$4:$Q$4,0)-3)=""),OFFSET(Data!E328,0,MATCH('Delta Beta'!$C$5,Data!$B$4:$Q$4,0)-3),#N/A)-$C$8/250</f>
        <v>#N/A</v>
      </c>
      <c r="M325" s="394" t="e">
        <f ca="1">IF(NOT(OFFSET(Data!E328,0,MATCH('Delta Beta'!$C$5,Data!$B$4:$Q$4,0)-1)=""),OFFSET(Data!E328,0,MATCH('Delta Beta'!$C$5,Data!$B$4:$Q$4,0)-1),#N/A)-$C$8/250</f>
        <v>#N/A</v>
      </c>
      <c r="N325" s="395"/>
      <c r="R325" s="391"/>
    </row>
    <row r="326" spans="12:18">
      <c r="L326" s="394" t="e">
        <f ca="1">IF(NOT(OFFSET(Data!E329,0,MATCH('Delta Beta'!$C$5,Data!$B$4:$Q$4,0)-3)=""),OFFSET(Data!E329,0,MATCH('Delta Beta'!$C$5,Data!$B$4:$Q$4,0)-3),#N/A)-$C$8/250</f>
        <v>#N/A</v>
      </c>
      <c r="M326" s="394" t="e">
        <f ca="1">IF(NOT(OFFSET(Data!E329,0,MATCH('Delta Beta'!$C$5,Data!$B$4:$Q$4,0)-1)=""),OFFSET(Data!E329,0,MATCH('Delta Beta'!$C$5,Data!$B$4:$Q$4,0)-1),#N/A)-$C$8/250</f>
        <v>#N/A</v>
      </c>
      <c r="N326" s="395"/>
      <c r="R326" s="391"/>
    </row>
    <row r="327" spans="12:18">
      <c r="L327" s="394" t="e">
        <f ca="1">IF(NOT(OFFSET(Data!E330,0,MATCH('Delta Beta'!$C$5,Data!$B$4:$Q$4,0)-3)=""),OFFSET(Data!E330,0,MATCH('Delta Beta'!$C$5,Data!$B$4:$Q$4,0)-3),#N/A)-$C$8/250</f>
        <v>#N/A</v>
      </c>
      <c r="M327" s="394" t="e">
        <f ca="1">IF(NOT(OFFSET(Data!E330,0,MATCH('Delta Beta'!$C$5,Data!$B$4:$Q$4,0)-1)=""),OFFSET(Data!E330,0,MATCH('Delta Beta'!$C$5,Data!$B$4:$Q$4,0)-1),#N/A)-$C$8/250</f>
        <v>#N/A</v>
      </c>
      <c r="N327" s="395"/>
      <c r="R327" s="391"/>
    </row>
    <row r="328" spans="12:18">
      <c r="L328" s="394" t="e">
        <f ca="1">IF(NOT(OFFSET(Data!E331,0,MATCH('Delta Beta'!$C$5,Data!$B$4:$Q$4,0)-3)=""),OFFSET(Data!E331,0,MATCH('Delta Beta'!$C$5,Data!$B$4:$Q$4,0)-3),#N/A)-$C$8/250</f>
        <v>#N/A</v>
      </c>
      <c r="M328" s="394" t="e">
        <f ca="1">IF(NOT(OFFSET(Data!E331,0,MATCH('Delta Beta'!$C$5,Data!$B$4:$Q$4,0)-1)=""),OFFSET(Data!E331,0,MATCH('Delta Beta'!$C$5,Data!$B$4:$Q$4,0)-1),#N/A)-$C$8/250</f>
        <v>#N/A</v>
      </c>
      <c r="N328" s="395"/>
      <c r="R328" s="391"/>
    </row>
    <row r="329" spans="12:18">
      <c r="L329" s="394" t="e">
        <f ca="1">IF(NOT(OFFSET(Data!E332,0,MATCH('Delta Beta'!$C$5,Data!$B$4:$Q$4,0)-3)=""),OFFSET(Data!E332,0,MATCH('Delta Beta'!$C$5,Data!$B$4:$Q$4,0)-3),#N/A)-$C$8/250</f>
        <v>#N/A</v>
      </c>
      <c r="M329" s="394" t="e">
        <f ca="1">IF(NOT(OFFSET(Data!E332,0,MATCH('Delta Beta'!$C$5,Data!$B$4:$Q$4,0)-1)=""),OFFSET(Data!E332,0,MATCH('Delta Beta'!$C$5,Data!$B$4:$Q$4,0)-1),#N/A)-$C$8/250</f>
        <v>#N/A</v>
      </c>
      <c r="N329" s="395"/>
      <c r="R329" s="391"/>
    </row>
    <row r="330" spans="12:18">
      <c r="L330" s="394" t="e">
        <f ca="1">IF(NOT(OFFSET(Data!E333,0,MATCH('Delta Beta'!$C$5,Data!$B$4:$Q$4,0)-3)=""),OFFSET(Data!E333,0,MATCH('Delta Beta'!$C$5,Data!$B$4:$Q$4,0)-3),#N/A)-$C$8/250</f>
        <v>#N/A</v>
      </c>
      <c r="M330" s="394" t="e">
        <f ca="1">IF(NOT(OFFSET(Data!E333,0,MATCH('Delta Beta'!$C$5,Data!$B$4:$Q$4,0)-1)=""),OFFSET(Data!E333,0,MATCH('Delta Beta'!$C$5,Data!$B$4:$Q$4,0)-1),#N/A)-$C$8/250</f>
        <v>#N/A</v>
      </c>
      <c r="N330" s="395"/>
      <c r="R330" s="391"/>
    </row>
    <row r="331" spans="12:18">
      <c r="L331" s="394" t="e">
        <f ca="1">IF(NOT(OFFSET(Data!E334,0,MATCH('Delta Beta'!$C$5,Data!$B$4:$Q$4,0)-3)=""),OFFSET(Data!E334,0,MATCH('Delta Beta'!$C$5,Data!$B$4:$Q$4,0)-3),#N/A)-$C$8/250</f>
        <v>#N/A</v>
      </c>
      <c r="M331" s="394" t="e">
        <f ca="1">IF(NOT(OFFSET(Data!E334,0,MATCH('Delta Beta'!$C$5,Data!$B$4:$Q$4,0)-1)=""),OFFSET(Data!E334,0,MATCH('Delta Beta'!$C$5,Data!$B$4:$Q$4,0)-1),#N/A)-$C$8/250</f>
        <v>#N/A</v>
      </c>
      <c r="N331" s="395"/>
      <c r="R331" s="391"/>
    </row>
    <row r="332" spans="12:18">
      <c r="L332" s="394" t="e">
        <f ca="1">IF(NOT(OFFSET(Data!E335,0,MATCH('Delta Beta'!$C$5,Data!$B$4:$Q$4,0)-3)=""),OFFSET(Data!E335,0,MATCH('Delta Beta'!$C$5,Data!$B$4:$Q$4,0)-3),#N/A)-$C$8/250</f>
        <v>#N/A</v>
      </c>
      <c r="M332" s="394" t="e">
        <f ca="1">IF(NOT(OFFSET(Data!E335,0,MATCH('Delta Beta'!$C$5,Data!$B$4:$Q$4,0)-1)=""),OFFSET(Data!E335,0,MATCH('Delta Beta'!$C$5,Data!$B$4:$Q$4,0)-1),#N/A)-$C$8/250</f>
        <v>#N/A</v>
      </c>
      <c r="N332" s="395"/>
      <c r="R332" s="391"/>
    </row>
    <row r="333" spans="12:18">
      <c r="L333" s="394" t="e">
        <f ca="1">IF(NOT(OFFSET(Data!E336,0,MATCH('Delta Beta'!$C$5,Data!$B$4:$Q$4,0)-3)=""),OFFSET(Data!E336,0,MATCH('Delta Beta'!$C$5,Data!$B$4:$Q$4,0)-3),#N/A)-$C$8/250</f>
        <v>#N/A</v>
      </c>
      <c r="M333" s="394" t="e">
        <f ca="1">IF(NOT(OFFSET(Data!E336,0,MATCH('Delta Beta'!$C$5,Data!$B$4:$Q$4,0)-1)=""),OFFSET(Data!E336,0,MATCH('Delta Beta'!$C$5,Data!$B$4:$Q$4,0)-1),#N/A)-$C$8/250</f>
        <v>#N/A</v>
      </c>
      <c r="N333" s="395"/>
      <c r="R333" s="391"/>
    </row>
    <row r="334" spans="12:18">
      <c r="L334" s="394" t="e">
        <f ca="1">IF(NOT(OFFSET(Data!E337,0,MATCH('Delta Beta'!$C$5,Data!$B$4:$Q$4,0)-3)=""),OFFSET(Data!E337,0,MATCH('Delta Beta'!$C$5,Data!$B$4:$Q$4,0)-3),#N/A)-$C$8/250</f>
        <v>#N/A</v>
      </c>
      <c r="M334" s="394" t="e">
        <f ca="1">IF(NOT(OFFSET(Data!E337,0,MATCH('Delta Beta'!$C$5,Data!$B$4:$Q$4,0)-1)=""),OFFSET(Data!E337,0,MATCH('Delta Beta'!$C$5,Data!$B$4:$Q$4,0)-1),#N/A)-$C$8/250</f>
        <v>#N/A</v>
      </c>
      <c r="N334" s="395"/>
      <c r="R334" s="391"/>
    </row>
    <row r="335" spans="12:18">
      <c r="L335" s="394" t="e">
        <f ca="1">IF(NOT(OFFSET(Data!E338,0,MATCH('Delta Beta'!$C$5,Data!$B$4:$Q$4,0)-3)=""),OFFSET(Data!E338,0,MATCH('Delta Beta'!$C$5,Data!$B$4:$Q$4,0)-3),#N/A)-$C$8/250</f>
        <v>#N/A</v>
      </c>
      <c r="M335" s="394" t="e">
        <f ca="1">IF(NOT(OFFSET(Data!E338,0,MATCH('Delta Beta'!$C$5,Data!$B$4:$Q$4,0)-1)=""),OFFSET(Data!E338,0,MATCH('Delta Beta'!$C$5,Data!$B$4:$Q$4,0)-1),#N/A)-$C$8/250</f>
        <v>#N/A</v>
      </c>
      <c r="N335" s="395"/>
      <c r="R335" s="391"/>
    </row>
    <row r="336" spans="12:18">
      <c r="L336" s="394" t="e">
        <f ca="1">IF(NOT(OFFSET(Data!E339,0,MATCH('Delta Beta'!$C$5,Data!$B$4:$Q$4,0)-3)=""),OFFSET(Data!E339,0,MATCH('Delta Beta'!$C$5,Data!$B$4:$Q$4,0)-3),#N/A)-$C$8/250</f>
        <v>#N/A</v>
      </c>
      <c r="M336" s="394" t="e">
        <f ca="1">IF(NOT(OFFSET(Data!E339,0,MATCH('Delta Beta'!$C$5,Data!$B$4:$Q$4,0)-1)=""),OFFSET(Data!E339,0,MATCH('Delta Beta'!$C$5,Data!$B$4:$Q$4,0)-1),#N/A)-$C$8/250</f>
        <v>#N/A</v>
      </c>
      <c r="N336" s="395"/>
      <c r="R336" s="391"/>
    </row>
    <row r="337" spans="12:18">
      <c r="L337" s="394" t="e">
        <f ca="1">IF(NOT(OFFSET(Data!E340,0,MATCH('Delta Beta'!$C$5,Data!$B$4:$Q$4,0)-3)=""),OFFSET(Data!E340,0,MATCH('Delta Beta'!$C$5,Data!$B$4:$Q$4,0)-3),#N/A)-$C$8/250</f>
        <v>#N/A</v>
      </c>
      <c r="M337" s="394" t="e">
        <f ca="1">IF(NOT(OFFSET(Data!E340,0,MATCH('Delta Beta'!$C$5,Data!$B$4:$Q$4,0)-1)=""),OFFSET(Data!E340,0,MATCH('Delta Beta'!$C$5,Data!$B$4:$Q$4,0)-1),#N/A)-$C$8/250</f>
        <v>#N/A</v>
      </c>
      <c r="N337" s="395"/>
      <c r="R337" s="391"/>
    </row>
    <row r="338" spans="12:18">
      <c r="L338" s="394" t="e">
        <f ca="1">IF(NOT(OFFSET(Data!E341,0,MATCH('Delta Beta'!$C$5,Data!$B$4:$Q$4,0)-3)=""),OFFSET(Data!E341,0,MATCH('Delta Beta'!$C$5,Data!$B$4:$Q$4,0)-3),#N/A)-$C$8/250</f>
        <v>#N/A</v>
      </c>
      <c r="M338" s="394" t="e">
        <f ca="1">IF(NOT(OFFSET(Data!E341,0,MATCH('Delta Beta'!$C$5,Data!$B$4:$Q$4,0)-1)=""),OFFSET(Data!E341,0,MATCH('Delta Beta'!$C$5,Data!$B$4:$Q$4,0)-1),#N/A)-$C$8/250</f>
        <v>#N/A</v>
      </c>
      <c r="N338" s="395"/>
      <c r="R338" s="391"/>
    </row>
    <row r="339" spans="12:18">
      <c r="L339" s="394" t="e">
        <f ca="1">IF(NOT(OFFSET(Data!E342,0,MATCH('Delta Beta'!$C$5,Data!$B$4:$Q$4,0)-3)=""),OFFSET(Data!E342,0,MATCH('Delta Beta'!$C$5,Data!$B$4:$Q$4,0)-3),#N/A)-$C$8/250</f>
        <v>#N/A</v>
      </c>
      <c r="M339" s="394" t="e">
        <f ca="1">IF(NOT(OFFSET(Data!E342,0,MATCH('Delta Beta'!$C$5,Data!$B$4:$Q$4,0)-1)=""),OFFSET(Data!E342,0,MATCH('Delta Beta'!$C$5,Data!$B$4:$Q$4,0)-1),#N/A)-$C$8/250</f>
        <v>#N/A</v>
      </c>
      <c r="N339" s="395"/>
      <c r="R339" s="391"/>
    </row>
    <row r="340" spans="12:18">
      <c r="L340" s="394" t="e">
        <f ca="1">IF(NOT(OFFSET(Data!E343,0,MATCH('Delta Beta'!$C$5,Data!$B$4:$Q$4,0)-3)=""),OFFSET(Data!E343,0,MATCH('Delta Beta'!$C$5,Data!$B$4:$Q$4,0)-3),#N/A)-$C$8/250</f>
        <v>#N/A</v>
      </c>
      <c r="M340" s="394" t="e">
        <f ca="1">IF(NOT(OFFSET(Data!E343,0,MATCH('Delta Beta'!$C$5,Data!$B$4:$Q$4,0)-1)=""),OFFSET(Data!E343,0,MATCH('Delta Beta'!$C$5,Data!$B$4:$Q$4,0)-1),#N/A)-$C$8/250</f>
        <v>#N/A</v>
      </c>
      <c r="N340" s="395"/>
      <c r="R340" s="391"/>
    </row>
    <row r="341" spans="12:18">
      <c r="L341" s="394" t="e">
        <f ca="1">IF(NOT(OFFSET(Data!E344,0,MATCH('Delta Beta'!$C$5,Data!$B$4:$Q$4,0)-3)=""),OFFSET(Data!E344,0,MATCH('Delta Beta'!$C$5,Data!$B$4:$Q$4,0)-3),#N/A)-$C$8/250</f>
        <v>#N/A</v>
      </c>
      <c r="M341" s="394" t="e">
        <f ca="1">IF(NOT(OFFSET(Data!E344,0,MATCH('Delta Beta'!$C$5,Data!$B$4:$Q$4,0)-1)=""),OFFSET(Data!E344,0,MATCH('Delta Beta'!$C$5,Data!$B$4:$Q$4,0)-1),#N/A)-$C$8/250</f>
        <v>#N/A</v>
      </c>
      <c r="N341" s="395"/>
      <c r="R341" s="391"/>
    </row>
    <row r="342" spans="12:18">
      <c r="L342" s="394" t="e">
        <f ca="1">IF(NOT(OFFSET(Data!E345,0,MATCH('Delta Beta'!$C$5,Data!$B$4:$Q$4,0)-3)=""),OFFSET(Data!E345,0,MATCH('Delta Beta'!$C$5,Data!$B$4:$Q$4,0)-3),#N/A)-$C$8/250</f>
        <v>#N/A</v>
      </c>
      <c r="M342" s="394" t="e">
        <f ca="1">IF(NOT(OFFSET(Data!E345,0,MATCH('Delta Beta'!$C$5,Data!$B$4:$Q$4,0)-1)=""),OFFSET(Data!E345,0,MATCH('Delta Beta'!$C$5,Data!$B$4:$Q$4,0)-1),#N/A)-$C$8/250</f>
        <v>#N/A</v>
      </c>
      <c r="N342" s="395"/>
      <c r="R342" s="391"/>
    </row>
    <row r="343" spans="12:18">
      <c r="L343" s="394" t="e">
        <f ca="1">IF(NOT(OFFSET(Data!E346,0,MATCH('Delta Beta'!$C$5,Data!$B$4:$Q$4,0)-3)=""),OFFSET(Data!E346,0,MATCH('Delta Beta'!$C$5,Data!$B$4:$Q$4,0)-3),#N/A)-$C$8/250</f>
        <v>#N/A</v>
      </c>
      <c r="M343" s="394" t="e">
        <f ca="1">IF(NOT(OFFSET(Data!E346,0,MATCH('Delta Beta'!$C$5,Data!$B$4:$Q$4,0)-1)=""),OFFSET(Data!E346,0,MATCH('Delta Beta'!$C$5,Data!$B$4:$Q$4,0)-1),#N/A)-$C$8/250</f>
        <v>#N/A</v>
      </c>
      <c r="N343" s="395"/>
      <c r="R343" s="391"/>
    </row>
    <row r="344" spans="12:18">
      <c r="L344" s="394" t="e">
        <f ca="1">IF(NOT(OFFSET(Data!E347,0,MATCH('Delta Beta'!$C$5,Data!$B$4:$Q$4,0)-3)=""),OFFSET(Data!E347,0,MATCH('Delta Beta'!$C$5,Data!$B$4:$Q$4,0)-3),#N/A)-$C$8/250</f>
        <v>#N/A</v>
      </c>
      <c r="M344" s="394" t="e">
        <f ca="1">IF(NOT(OFFSET(Data!E347,0,MATCH('Delta Beta'!$C$5,Data!$B$4:$Q$4,0)-1)=""),OFFSET(Data!E347,0,MATCH('Delta Beta'!$C$5,Data!$B$4:$Q$4,0)-1),#N/A)-$C$8/250</f>
        <v>#N/A</v>
      </c>
      <c r="N344" s="395"/>
      <c r="R344" s="391"/>
    </row>
    <row r="345" spans="12:18">
      <c r="L345" s="394" t="e">
        <f ca="1">IF(NOT(OFFSET(Data!E348,0,MATCH('Delta Beta'!$C$5,Data!$B$4:$Q$4,0)-3)=""),OFFSET(Data!E348,0,MATCH('Delta Beta'!$C$5,Data!$B$4:$Q$4,0)-3),#N/A)-$C$8/250</f>
        <v>#N/A</v>
      </c>
      <c r="M345" s="394" t="e">
        <f ca="1">IF(NOT(OFFSET(Data!E348,0,MATCH('Delta Beta'!$C$5,Data!$B$4:$Q$4,0)-1)=""),OFFSET(Data!E348,0,MATCH('Delta Beta'!$C$5,Data!$B$4:$Q$4,0)-1),#N/A)-$C$8/250</f>
        <v>#N/A</v>
      </c>
      <c r="N345" s="395"/>
      <c r="R345" s="391"/>
    </row>
    <row r="346" spans="12:18">
      <c r="L346" s="394" t="e">
        <f ca="1">IF(NOT(OFFSET(Data!E349,0,MATCH('Delta Beta'!$C$5,Data!$B$4:$Q$4,0)-3)=""),OFFSET(Data!E349,0,MATCH('Delta Beta'!$C$5,Data!$B$4:$Q$4,0)-3),#N/A)-$C$8/250</f>
        <v>#N/A</v>
      </c>
      <c r="M346" s="394" t="e">
        <f ca="1">IF(NOT(OFFSET(Data!E349,0,MATCH('Delta Beta'!$C$5,Data!$B$4:$Q$4,0)-1)=""),OFFSET(Data!E349,0,MATCH('Delta Beta'!$C$5,Data!$B$4:$Q$4,0)-1),#N/A)-$C$8/250</f>
        <v>#N/A</v>
      </c>
      <c r="N346" s="395"/>
      <c r="R346" s="391"/>
    </row>
    <row r="347" spans="12:18">
      <c r="L347" s="394" t="e">
        <f ca="1">IF(NOT(OFFSET(Data!E350,0,MATCH('Delta Beta'!$C$5,Data!$B$4:$Q$4,0)-3)=""),OFFSET(Data!E350,0,MATCH('Delta Beta'!$C$5,Data!$B$4:$Q$4,0)-3),#N/A)-$C$8/250</f>
        <v>#N/A</v>
      </c>
      <c r="M347" s="394" t="e">
        <f ca="1">IF(NOT(OFFSET(Data!E350,0,MATCH('Delta Beta'!$C$5,Data!$B$4:$Q$4,0)-1)=""),OFFSET(Data!E350,0,MATCH('Delta Beta'!$C$5,Data!$B$4:$Q$4,0)-1),#N/A)-$C$8/250</f>
        <v>#N/A</v>
      </c>
      <c r="N347" s="395"/>
      <c r="R347" s="391"/>
    </row>
    <row r="348" spans="12:18">
      <c r="L348" s="394" t="e">
        <f ca="1">IF(NOT(OFFSET(Data!E351,0,MATCH('Delta Beta'!$C$5,Data!$B$4:$Q$4,0)-3)=""),OFFSET(Data!E351,0,MATCH('Delta Beta'!$C$5,Data!$B$4:$Q$4,0)-3),#N/A)-$C$8/250</f>
        <v>#N/A</v>
      </c>
      <c r="M348" s="394" t="e">
        <f ca="1">IF(NOT(OFFSET(Data!E351,0,MATCH('Delta Beta'!$C$5,Data!$B$4:$Q$4,0)-1)=""),OFFSET(Data!E351,0,MATCH('Delta Beta'!$C$5,Data!$B$4:$Q$4,0)-1),#N/A)-$C$8/250</f>
        <v>#N/A</v>
      </c>
      <c r="N348" s="395"/>
      <c r="R348" s="391"/>
    </row>
    <row r="349" spans="12:18">
      <c r="L349" s="394" t="e">
        <f ca="1">IF(NOT(OFFSET(Data!E352,0,MATCH('Delta Beta'!$C$5,Data!$B$4:$Q$4,0)-3)=""),OFFSET(Data!E352,0,MATCH('Delta Beta'!$C$5,Data!$B$4:$Q$4,0)-3),#N/A)-$C$8/250</f>
        <v>#N/A</v>
      </c>
      <c r="M349" s="394" t="e">
        <f ca="1">IF(NOT(OFFSET(Data!E352,0,MATCH('Delta Beta'!$C$5,Data!$B$4:$Q$4,0)-1)=""),OFFSET(Data!E352,0,MATCH('Delta Beta'!$C$5,Data!$B$4:$Q$4,0)-1),#N/A)-$C$8/250</f>
        <v>#N/A</v>
      </c>
      <c r="N349" s="395"/>
      <c r="R349" s="391"/>
    </row>
    <row r="350" spans="12:18">
      <c r="L350" s="394" t="e">
        <f ca="1">IF(NOT(OFFSET(Data!E353,0,MATCH('Delta Beta'!$C$5,Data!$B$4:$Q$4,0)-3)=""),OFFSET(Data!E353,0,MATCH('Delta Beta'!$C$5,Data!$B$4:$Q$4,0)-3),#N/A)-$C$8/250</f>
        <v>#N/A</v>
      </c>
      <c r="M350" s="394" t="e">
        <f ca="1">IF(NOT(OFFSET(Data!E353,0,MATCH('Delta Beta'!$C$5,Data!$B$4:$Q$4,0)-1)=""),OFFSET(Data!E353,0,MATCH('Delta Beta'!$C$5,Data!$B$4:$Q$4,0)-1),#N/A)-$C$8/250</f>
        <v>#N/A</v>
      </c>
      <c r="N350" s="395"/>
      <c r="R350" s="391"/>
    </row>
    <row r="351" spans="12:18">
      <c r="L351" s="394" t="e">
        <f ca="1">IF(NOT(OFFSET(Data!E354,0,MATCH('Delta Beta'!$C$5,Data!$B$4:$Q$4,0)-3)=""),OFFSET(Data!E354,0,MATCH('Delta Beta'!$C$5,Data!$B$4:$Q$4,0)-3),#N/A)-$C$8/250</f>
        <v>#N/A</v>
      </c>
      <c r="M351" s="394" t="e">
        <f ca="1">IF(NOT(OFFSET(Data!E354,0,MATCH('Delta Beta'!$C$5,Data!$B$4:$Q$4,0)-1)=""),OFFSET(Data!E354,0,MATCH('Delta Beta'!$C$5,Data!$B$4:$Q$4,0)-1),#N/A)-$C$8/250</f>
        <v>#N/A</v>
      </c>
      <c r="N351" s="395"/>
      <c r="R351" s="391"/>
    </row>
    <row r="352" spans="12:18">
      <c r="L352" s="394" t="e">
        <f ca="1">IF(NOT(OFFSET(Data!E355,0,MATCH('Delta Beta'!$C$5,Data!$B$4:$Q$4,0)-3)=""),OFFSET(Data!E355,0,MATCH('Delta Beta'!$C$5,Data!$B$4:$Q$4,0)-3),#N/A)-$C$8/250</f>
        <v>#N/A</v>
      </c>
      <c r="M352" s="394" t="e">
        <f ca="1">IF(NOT(OFFSET(Data!E355,0,MATCH('Delta Beta'!$C$5,Data!$B$4:$Q$4,0)-1)=""),OFFSET(Data!E355,0,MATCH('Delta Beta'!$C$5,Data!$B$4:$Q$4,0)-1),#N/A)-$C$8/250</f>
        <v>#N/A</v>
      </c>
      <c r="N352" s="395"/>
      <c r="R352" s="391"/>
    </row>
    <row r="353" spans="12:18">
      <c r="L353" s="394" t="e">
        <f ca="1">IF(NOT(OFFSET(Data!E356,0,MATCH('Delta Beta'!$C$5,Data!$B$4:$Q$4,0)-3)=""),OFFSET(Data!E356,0,MATCH('Delta Beta'!$C$5,Data!$B$4:$Q$4,0)-3),#N/A)-$C$8/250</f>
        <v>#N/A</v>
      </c>
      <c r="M353" s="394" t="e">
        <f ca="1">IF(NOT(OFFSET(Data!E356,0,MATCH('Delta Beta'!$C$5,Data!$B$4:$Q$4,0)-1)=""),OFFSET(Data!E356,0,MATCH('Delta Beta'!$C$5,Data!$B$4:$Q$4,0)-1),#N/A)-$C$8/250</f>
        <v>#N/A</v>
      </c>
      <c r="N353" s="395"/>
      <c r="R353" s="391"/>
    </row>
    <row r="354" spans="12:18">
      <c r="L354" s="394" t="e">
        <f ca="1">IF(NOT(OFFSET(Data!E357,0,MATCH('Delta Beta'!$C$5,Data!$B$4:$Q$4,0)-3)=""),OFFSET(Data!E357,0,MATCH('Delta Beta'!$C$5,Data!$B$4:$Q$4,0)-3),#N/A)-$C$8/250</f>
        <v>#N/A</v>
      </c>
      <c r="M354" s="394" t="e">
        <f ca="1">IF(NOT(OFFSET(Data!E357,0,MATCH('Delta Beta'!$C$5,Data!$B$4:$Q$4,0)-1)=""),OFFSET(Data!E357,0,MATCH('Delta Beta'!$C$5,Data!$B$4:$Q$4,0)-1),#N/A)-$C$8/250</f>
        <v>#N/A</v>
      </c>
      <c r="N354" s="395"/>
      <c r="R354" s="391"/>
    </row>
    <row r="355" spans="12:18">
      <c r="L355" s="394" t="e">
        <f ca="1">IF(NOT(OFFSET(Data!E358,0,MATCH('Delta Beta'!$C$5,Data!$B$4:$Q$4,0)-3)=""),OFFSET(Data!E358,0,MATCH('Delta Beta'!$C$5,Data!$B$4:$Q$4,0)-3),#N/A)-$C$8/250</f>
        <v>#N/A</v>
      </c>
      <c r="M355" s="394" t="e">
        <f ca="1">IF(NOT(OFFSET(Data!E358,0,MATCH('Delta Beta'!$C$5,Data!$B$4:$Q$4,0)-1)=""),OFFSET(Data!E358,0,MATCH('Delta Beta'!$C$5,Data!$B$4:$Q$4,0)-1),#N/A)-$C$8/250</f>
        <v>#N/A</v>
      </c>
      <c r="N355" s="395"/>
      <c r="R355" s="391"/>
    </row>
    <row r="356" spans="12:18">
      <c r="L356" s="394" t="e">
        <f ca="1">IF(NOT(OFFSET(Data!E359,0,MATCH('Delta Beta'!$C$5,Data!$B$4:$Q$4,0)-3)=""),OFFSET(Data!E359,0,MATCH('Delta Beta'!$C$5,Data!$B$4:$Q$4,0)-3),#N/A)-$C$8/250</f>
        <v>#N/A</v>
      </c>
      <c r="M356" s="394" t="e">
        <f ca="1">IF(NOT(OFFSET(Data!E359,0,MATCH('Delta Beta'!$C$5,Data!$B$4:$Q$4,0)-1)=""),OFFSET(Data!E359,0,MATCH('Delta Beta'!$C$5,Data!$B$4:$Q$4,0)-1),#N/A)-$C$8/250</f>
        <v>#N/A</v>
      </c>
      <c r="N356" s="395"/>
      <c r="R356" s="391"/>
    </row>
    <row r="357" spans="12:18">
      <c r="L357" s="394" t="e">
        <f ca="1">IF(NOT(OFFSET(Data!E360,0,MATCH('Delta Beta'!$C$5,Data!$B$4:$Q$4,0)-3)=""),OFFSET(Data!E360,0,MATCH('Delta Beta'!$C$5,Data!$B$4:$Q$4,0)-3),#N/A)-$C$8/250</f>
        <v>#N/A</v>
      </c>
      <c r="M357" s="394" t="e">
        <f ca="1">IF(NOT(OFFSET(Data!E360,0,MATCH('Delta Beta'!$C$5,Data!$B$4:$Q$4,0)-1)=""),OFFSET(Data!E360,0,MATCH('Delta Beta'!$C$5,Data!$B$4:$Q$4,0)-1),#N/A)-$C$8/250</f>
        <v>#N/A</v>
      </c>
      <c r="N357" s="395"/>
      <c r="R357" s="391"/>
    </row>
    <row r="358" spans="12:18">
      <c r="L358" s="394" t="e">
        <f ca="1">IF(NOT(OFFSET(Data!E361,0,MATCH('Delta Beta'!$C$5,Data!$B$4:$Q$4,0)-3)=""),OFFSET(Data!E361,0,MATCH('Delta Beta'!$C$5,Data!$B$4:$Q$4,0)-3),#N/A)-$C$8/250</f>
        <v>#N/A</v>
      </c>
      <c r="M358" s="394" t="e">
        <f ca="1">IF(NOT(OFFSET(Data!E361,0,MATCH('Delta Beta'!$C$5,Data!$B$4:$Q$4,0)-1)=""),OFFSET(Data!E361,0,MATCH('Delta Beta'!$C$5,Data!$B$4:$Q$4,0)-1),#N/A)-$C$8/250</f>
        <v>#N/A</v>
      </c>
      <c r="N358" s="395"/>
      <c r="R358" s="391"/>
    </row>
    <row r="359" spans="12:18">
      <c r="L359" s="394" t="e">
        <f ca="1">IF(NOT(OFFSET(Data!E362,0,MATCH('Delta Beta'!$C$5,Data!$B$4:$Q$4,0)-3)=""),OFFSET(Data!E362,0,MATCH('Delta Beta'!$C$5,Data!$B$4:$Q$4,0)-3),#N/A)-$C$8/250</f>
        <v>#N/A</v>
      </c>
      <c r="M359" s="394" t="e">
        <f ca="1">IF(NOT(OFFSET(Data!E362,0,MATCH('Delta Beta'!$C$5,Data!$B$4:$Q$4,0)-1)=""),OFFSET(Data!E362,0,MATCH('Delta Beta'!$C$5,Data!$B$4:$Q$4,0)-1),#N/A)-$C$8/250</f>
        <v>#N/A</v>
      </c>
      <c r="N359" s="395"/>
      <c r="R359" s="391"/>
    </row>
    <row r="360" spans="12:18">
      <c r="L360" s="394" t="e">
        <f ca="1">IF(NOT(OFFSET(Data!E363,0,MATCH('Delta Beta'!$C$5,Data!$B$4:$Q$4,0)-3)=""),OFFSET(Data!E363,0,MATCH('Delta Beta'!$C$5,Data!$B$4:$Q$4,0)-3),#N/A)-$C$8/250</f>
        <v>#N/A</v>
      </c>
      <c r="M360" s="394" t="e">
        <f ca="1">IF(NOT(OFFSET(Data!E363,0,MATCH('Delta Beta'!$C$5,Data!$B$4:$Q$4,0)-1)=""),OFFSET(Data!E363,0,MATCH('Delta Beta'!$C$5,Data!$B$4:$Q$4,0)-1),#N/A)-$C$8/250</f>
        <v>#N/A</v>
      </c>
      <c r="N360" s="395"/>
      <c r="R360" s="391"/>
    </row>
    <row r="361" spans="12:18">
      <c r="L361" s="394" t="e">
        <f ca="1">IF(NOT(OFFSET(Data!E364,0,MATCH('Delta Beta'!$C$5,Data!$B$4:$Q$4,0)-3)=""),OFFSET(Data!E364,0,MATCH('Delta Beta'!$C$5,Data!$B$4:$Q$4,0)-3),#N/A)-$C$8/250</f>
        <v>#N/A</v>
      </c>
      <c r="M361" s="394" t="e">
        <f ca="1">IF(NOT(OFFSET(Data!E364,0,MATCH('Delta Beta'!$C$5,Data!$B$4:$Q$4,0)-1)=""),OFFSET(Data!E364,0,MATCH('Delta Beta'!$C$5,Data!$B$4:$Q$4,0)-1),#N/A)-$C$8/250</f>
        <v>#N/A</v>
      </c>
      <c r="N361" s="395"/>
      <c r="R361" s="391"/>
    </row>
    <row r="362" spans="12:18">
      <c r="L362" s="394" t="e">
        <f ca="1">IF(NOT(OFFSET(Data!E365,0,MATCH('Delta Beta'!$C$5,Data!$B$4:$Q$4,0)-3)=""),OFFSET(Data!E365,0,MATCH('Delta Beta'!$C$5,Data!$B$4:$Q$4,0)-3),#N/A)-$C$8/250</f>
        <v>#N/A</v>
      </c>
      <c r="M362" s="394" t="e">
        <f ca="1">IF(NOT(OFFSET(Data!E365,0,MATCH('Delta Beta'!$C$5,Data!$B$4:$Q$4,0)-1)=""),OFFSET(Data!E365,0,MATCH('Delta Beta'!$C$5,Data!$B$4:$Q$4,0)-1),#N/A)-$C$8/250</f>
        <v>#N/A</v>
      </c>
      <c r="N362" s="395"/>
      <c r="R362" s="391"/>
    </row>
    <row r="363" spans="12:18">
      <c r="L363" s="394" t="e">
        <f ca="1">IF(NOT(OFFSET(Data!E366,0,MATCH('Delta Beta'!$C$5,Data!$B$4:$Q$4,0)-3)=""),OFFSET(Data!E366,0,MATCH('Delta Beta'!$C$5,Data!$B$4:$Q$4,0)-3),#N/A)-$C$8/250</f>
        <v>#N/A</v>
      </c>
      <c r="M363" s="394" t="e">
        <f ca="1">IF(NOT(OFFSET(Data!E366,0,MATCH('Delta Beta'!$C$5,Data!$B$4:$Q$4,0)-1)=""),OFFSET(Data!E366,0,MATCH('Delta Beta'!$C$5,Data!$B$4:$Q$4,0)-1),#N/A)-$C$8/250</f>
        <v>#N/A</v>
      </c>
      <c r="N363" s="395"/>
      <c r="R363" s="391"/>
    </row>
    <row r="364" spans="12:18">
      <c r="L364" s="394" t="e">
        <f ca="1">IF(NOT(OFFSET(Data!E367,0,MATCH('Delta Beta'!$C$5,Data!$B$4:$Q$4,0)-3)=""),OFFSET(Data!E367,0,MATCH('Delta Beta'!$C$5,Data!$B$4:$Q$4,0)-3),#N/A)-$C$8/250</f>
        <v>#N/A</v>
      </c>
      <c r="M364" s="394" t="e">
        <f ca="1">IF(NOT(OFFSET(Data!E367,0,MATCH('Delta Beta'!$C$5,Data!$B$4:$Q$4,0)-1)=""),OFFSET(Data!E367,0,MATCH('Delta Beta'!$C$5,Data!$B$4:$Q$4,0)-1),#N/A)-$C$8/250</f>
        <v>#N/A</v>
      </c>
      <c r="N364" s="395"/>
      <c r="R364" s="391"/>
    </row>
    <row r="365" spans="12:18">
      <c r="L365" s="394" t="e">
        <f ca="1">IF(NOT(OFFSET(Data!E368,0,MATCH('Delta Beta'!$C$5,Data!$B$4:$Q$4,0)-3)=""),OFFSET(Data!E368,0,MATCH('Delta Beta'!$C$5,Data!$B$4:$Q$4,0)-3),#N/A)-$C$8/250</f>
        <v>#N/A</v>
      </c>
      <c r="M365" s="394" t="e">
        <f ca="1">IF(NOT(OFFSET(Data!E368,0,MATCH('Delta Beta'!$C$5,Data!$B$4:$Q$4,0)-1)=""),OFFSET(Data!E368,0,MATCH('Delta Beta'!$C$5,Data!$B$4:$Q$4,0)-1),#N/A)-$C$8/250</f>
        <v>#N/A</v>
      </c>
      <c r="N365" s="395"/>
      <c r="R365" s="391"/>
    </row>
    <row r="366" spans="12:18">
      <c r="L366" s="394" t="e">
        <f ca="1">IF(NOT(OFFSET(Data!E369,0,MATCH('Delta Beta'!$C$5,Data!$B$4:$Q$4,0)-3)=""),OFFSET(Data!E369,0,MATCH('Delta Beta'!$C$5,Data!$B$4:$Q$4,0)-3),#N/A)-$C$8/250</f>
        <v>#N/A</v>
      </c>
      <c r="M366" s="394" t="e">
        <f ca="1">IF(NOT(OFFSET(Data!E369,0,MATCH('Delta Beta'!$C$5,Data!$B$4:$Q$4,0)-1)=""),OFFSET(Data!E369,0,MATCH('Delta Beta'!$C$5,Data!$B$4:$Q$4,0)-1),#N/A)-$C$8/250</f>
        <v>#N/A</v>
      </c>
      <c r="N366" s="395"/>
      <c r="R366" s="391"/>
    </row>
    <row r="367" spans="12:18">
      <c r="L367" s="394" t="e">
        <f ca="1">IF(NOT(OFFSET(Data!E370,0,MATCH('Delta Beta'!$C$5,Data!$B$4:$Q$4,0)-3)=""),OFFSET(Data!E370,0,MATCH('Delta Beta'!$C$5,Data!$B$4:$Q$4,0)-3),#N/A)-$C$8/250</f>
        <v>#N/A</v>
      </c>
      <c r="M367" s="394" t="e">
        <f ca="1">IF(NOT(OFFSET(Data!E370,0,MATCH('Delta Beta'!$C$5,Data!$B$4:$Q$4,0)-1)=""),OFFSET(Data!E370,0,MATCH('Delta Beta'!$C$5,Data!$B$4:$Q$4,0)-1),#N/A)-$C$8/250</f>
        <v>#N/A</v>
      </c>
      <c r="N367" s="395"/>
      <c r="R367" s="391"/>
    </row>
    <row r="368" spans="12:18">
      <c r="L368" s="394" t="e">
        <f ca="1">IF(NOT(OFFSET(Data!E371,0,MATCH('Delta Beta'!$C$5,Data!$B$4:$Q$4,0)-3)=""),OFFSET(Data!E371,0,MATCH('Delta Beta'!$C$5,Data!$B$4:$Q$4,0)-3),#N/A)-$C$8/250</f>
        <v>#N/A</v>
      </c>
      <c r="M368" s="394" t="e">
        <f ca="1">IF(NOT(OFFSET(Data!E371,0,MATCH('Delta Beta'!$C$5,Data!$B$4:$Q$4,0)-1)=""),OFFSET(Data!E371,0,MATCH('Delta Beta'!$C$5,Data!$B$4:$Q$4,0)-1),#N/A)-$C$8/250</f>
        <v>#N/A</v>
      </c>
      <c r="N368" s="395"/>
      <c r="R368" s="391"/>
    </row>
    <row r="369" spans="12:18">
      <c r="L369" s="394" t="e">
        <f ca="1">IF(NOT(OFFSET(Data!E372,0,MATCH('Delta Beta'!$C$5,Data!$B$4:$Q$4,0)-3)=""),OFFSET(Data!E372,0,MATCH('Delta Beta'!$C$5,Data!$B$4:$Q$4,0)-3),#N/A)-$C$8/250</f>
        <v>#N/A</v>
      </c>
      <c r="M369" s="394" t="e">
        <f ca="1">IF(NOT(OFFSET(Data!E372,0,MATCH('Delta Beta'!$C$5,Data!$B$4:$Q$4,0)-1)=""),OFFSET(Data!E372,0,MATCH('Delta Beta'!$C$5,Data!$B$4:$Q$4,0)-1),#N/A)-$C$8/250</f>
        <v>#N/A</v>
      </c>
      <c r="N369" s="395"/>
      <c r="R369" s="391"/>
    </row>
    <row r="370" spans="12:18">
      <c r="L370" s="394" t="e">
        <f ca="1">IF(NOT(OFFSET(Data!E373,0,MATCH('Delta Beta'!$C$5,Data!$B$4:$Q$4,0)-3)=""),OFFSET(Data!E373,0,MATCH('Delta Beta'!$C$5,Data!$B$4:$Q$4,0)-3),#N/A)-$C$8/250</f>
        <v>#N/A</v>
      </c>
      <c r="M370" s="394" t="e">
        <f ca="1">IF(NOT(OFFSET(Data!E373,0,MATCH('Delta Beta'!$C$5,Data!$B$4:$Q$4,0)-1)=""),OFFSET(Data!E373,0,MATCH('Delta Beta'!$C$5,Data!$B$4:$Q$4,0)-1),#N/A)-$C$8/250</f>
        <v>#N/A</v>
      </c>
      <c r="N370" s="395"/>
      <c r="R370" s="391"/>
    </row>
    <row r="371" spans="12:18">
      <c r="L371" s="394" t="e">
        <f ca="1">IF(NOT(OFFSET(Data!E374,0,MATCH('Delta Beta'!$C$5,Data!$B$4:$Q$4,0)-3)=""),OFFSET(Data!E374,0,MATCH('Delta Beta'!$C$5,Data!$B$4:$Q$4,0)-3),#N/A)-$C$8/250</f>
        <v>#N/A</v>
      </c>
      <c r="M371" s="394" t="e">
        <f ca="1">IF(NOT(OFFSET(Data!E374,0,MATCH('Delta Beta'!$C$5,Data!$B$4:$Q$4,0)-1)=""),OFFSET(Data!E374,0,MATCH('Delta Beta'!$C$5,Data!$B$4:$Q$4,0)-1),#N/A)-$C$8/250</f>
        <v>#N/A</v>
      </c>
      <c r="N371" s="395"/>
      <c r="R371" s="391"/>
    </row>
    <row r="372" spans="12:18">
      <c r="L372" s="394" t="e">
        <f ca="1">IF(NOT(OFFSET(Data!E375,0,MATCH('Delta Beta'!$C$5,Data!$B$4:$Q$4,0)-3)=""),OFFSET(Data!E375,0,MATCH('Delta Beta'!$C$5,Data!$B$4:$Q$4,0)-3),#N/A)-$C$8/250</f>
        <v>#N/A</v>
      </c>
      <c r="M372" s="394" t="e">
        <f ca="1">IF(NOT(OFFSET(Data!E375,0,MATCH('Delta Beta'!$C$5,Data!$B$4:$Q$4,0)-1)=""),OFFSET(Data!E375,0,MATCH('Delta Beta'!$C$5,Data!$B$4:$Q$4,0)-1),#N/A)-$C$8/250</f>
        <v>#N/A</v>
      </c>
      <c r="N372" s="395"/>
      <c r="R372" s="391"/>
    </row>
    <row r="373" spans="12:18">
      <c r="L373" s="394" t="e">
        <f ca="1">IF(NOT(OFFSET(Data!E376,0,MATCH('Delta Beta'!$C$5,Data!$B$4:$Q$4,0)-3)=""),OFFSET(Data!E376,0,MATCH('Delta Beta'!$C$5,Data!$B$4:$Q$4,0)-3),#N/A)-$C$8/250</f>
        <v>#N/A</v>
      </c>
      <c r="M373" s="394" t="e">
        <f ca="1">IF(NOT(OFFSET(Data!E376,0,MATCH('Delta Beta'!$C$5,Data!$B$4:$Q$4,0)-1)=""),OFFSET(Data!E376,0,MATCH('Delta Beta'!$C$5,Data!$B$4:$Q$4,0)-1),#N/A)-$C$8/250</f>
        <v>#N/A</v>
      </c>
      <c r="N373" s="395"/>
      <c r="R373" s="391"/>
    </row>
    <row r="374" spans="12:18">
      <c r="L374" s="394" t="e">
        <f ca="1">IF(NOT(OFFSET(Data!E377,0,MATCH('Delta Beta'!$C$5,Data!$B$4:$Q$4,0)-3)=""),OFFSET(Data!E377,0,MATCH('Delta Beta'!$C$5,Data!$B$4:$Q$4,0)-3),#N/A)-$C$8/250</f>
        <v>#N/A</v>
      </c>
      <c r="M374" s="394" t="e">
        <f ca="1">IF(NOT(OFFSET(Data!E377,0,MATCH('Delta Beta'!$C$5,Data!$B$4:$Q$4,0)-1)=""),OFFSET(Data!E377,0,MATCH('Delta Beta'!$C$5,Data!$B$4:$Q$4,0)-1),#N/A)-$C$8/250</f>
        <v>#N/A</v>
      </c>
      <c r="N374" s="395"/>
      <c r="R374" s="391"/>
    </row>
    <row r="375" spans="12:18">
      <c r="L375" s="394" t="e">
        <f ca="1">IF(NOT(OFFSET(Data!E378,0,MATCH('Delta Beta'!$C$5,Data!$B$4:$Q$4,0)-3)=""),OFFSET(Data!E378,0,MATCH('Delta Beta'!$C$5,Data!$B$4:$Q$4,0)-3),#N/A)-$C$8/250</f>
        <v>#N/A</v>
      </c>
      <c r="M375" s="394" t="e">
        <f ca="1">IF(NOT(OFFSET(Data!E378,0,MATCH('Delta Beta'!$C$5,Data!$B$4:$Q$4,0)-1)=""),OFFSET(Data!E378,0,MATCH('Delta Beta'!$C$5,Data!$B$4:$Q$4,0)-1),#N/A)-$C$8/250</f>
        <v>#N/A</v>
      </c>
      <c r="N375" s="395"/>
      <c r="R375" s="391"/>
    </row>
    <row r="376" spans="12:18">
      <c r="L376" s="394" t="e">
        <f ca="1">IF(NOT(OFFSET(Data!E379,0,MATCH('Delta Beta'!$C$5,Data!$B$4:$Q$4,0)-3)=""),OFFSET(Data!E379,0,MATCH('Delta Beta'!$C$5,Data!$B$4:$Q$4,0)-3),#N/A)-$C$8/250</f>
        <v>#N/A</v>
      </c>
      <c r="M376" s="394" t="e">
        <f ca="1">IF(NOT(OFFSET(Data!E379,0,MATCH('Delta Beta'!$C$5,Data!$B$4:$Q$4,0)-1)=""),OFFSET(Data!E379,0,MATCH('Delta Beta'!$C$5,Data!$B$4:$Q$4,0)-1),#N/A)-$C$8/250</f>
        <v>#N/A</v>
      </c>
      <c r="N376" s="395"/>
      <c r="R376" s="391"/>
    </row>
    <row r="377" spans="12:18">
      <c r="L377" s="394" t="e">
        <f ca="1">IF(NOT(OFFSET(Data!E380,0,MATCH('Delta Beta'!$C$5,Data!$B$4:$Q$4,0)-3)=""),OFFSET(Data!E380,0,MATCH('Delta Beta'!$C$5,Data!$B$4:$Q$4,0)-3),#N/A)-$C$8/250</f>
        <v>#N/A</v>
      </c>
      <c r="M377" s="394" t="e">
        <f ca="1">IF(NOT(OFFSET(Data!E380,0,MATCH('Delta Beta'!$C$5,Data!$B$4:$Q$4,0)-1)=""),OFFSET(Data!E380,0,MATCH('Delta Beta'!$C$5,Data!$B$4:$Q$4,0)-1),#N/A)-$C$8/250</f>
        <v>#N/A</v>
      </c>
      <c r="N377" s="395"/>
      <c r="R377" s="391"/>
    </row>
    <row r="378" spans="12:18">
      <c r="L378" s="394" t="e">
        <f ca="1">IF(NOT(OFFSET(Data!E381,0,MATCH('Delta Beta'!$C$5,Data!$B$4:$Q$4,0)-3)=""),OFFSET(Data!E381,0,MATCH('Delta Beta'!$C$5,Data!$B$4:$Q$4,0)-3),#N/A)-$C$8/250</f>
        <v>#N/A</v>
      </c>
      <c r="M378" s="394" t="e">
        <f ca="1">IF(NOT(OFFSET(Data!E381,0,MATCH('Delta Beta'!$C$5,Data!$B$4:$Q$4,0)-1)=""),OFFSET(Data!E381,0,MATCH('Delta Beta'!$C$5,Data!$B$4:$Q$4,0)-1),#N/A)-$C$8/250</f>
        <v>#N/A</v>
      </c>
      <c r="N378" s="395"/>
      <c r="R378" s="391"/>
    </row>
    <row r="379" spans="12:18">
      <c r="L379" s="394" t="e">
        <f ca="1">IF(NOT(OFFSET(Data!E382,0,MATCH('Delta Beta'!$C$5,Data!$B$4:$Q$4,0)-3)=""),OFFSET(Data!E382,0,MATCH('Delta Beta'!$C$5,Data!$B$4:$Q$4,0)-3),#N/A)-$C$8/250</f>
        <v>#N/A</v>
      </c>
      <c r="M379" s="394" t="e">
        <f ca="1">IF(NOT(OFFSET(Data!E382,0,MATCH('Delta Beta'!$C$5,Data!$B$4:$Q$4,0)-1)=""),OFFSET(Data!E382,0,MATCH('Delta Beta'!$C$5,Data!$B$4:$Q$4,0)-1),#N/A)-$C$8/250</f>
        <v>#N/A</v>
      </c>
      <c r="N379" s="395"/>
      <c r="R379" s="391"/>
    </row>
    <row r="380" spans="12:18">
      <c r="L380" s="394" t="e">
        <f ca="1">IF(NOT(OFFSET(Data!E383,0,MATCH('Delta Beta'!$C$5,Data!$B$4:$Q$4,0)-3)=""),OFFSET(Data!E383,0,MATCH('Delta Beta'!$C$5,Data!$B$4:$Q$4,0)-3),#N/A)-$C$8/250</f>
        <v>#N/A</v>
      </c>
      <c r="M380" s="394" t="e">
        <f ca="1">IF(NOT(OFFSET(Data!E383,0,MATCH('Delta Beta'!$C$5,Data!$B$4:$Q$4,0)-1)=""),OFFSET(Data!E383,0,MATCH('Delta Beta'!$C$5,Data!$B$4:$Q$4,0)-1),#N/A)-$C$8/250</f>
        <v>#N/A</v>
      </c>
      <c r="N380" s="395"/>
      <c r="R380" s="391"/>
    </row>
    <row r="381" spans="12:18">
      <c r="L381" s="394" t="e">
        <f ca="1">IF(NOT(OFFSET(Data!E384,0,MATCH('Delta Beta'!$C$5,Data!$B$4:$Q$4,0)-3)=""),OFFSET(Data!E384,0,MATCH('Delta Beta'!$C$5,Data!$B$4:$Q$4,0)-3),#N/A)-$C$8/250</f>
        <v>#N/A</v>
      </c>
      <c r="M381" s="394" t="e">
        <f ca="1">IF(NOT(OFFSET(Data!E384,0,MATCH('Delta Beta'!$C$5,Data!$B$4:$Q$4,0)-1)=""),OFFSET(Data!E384,0,MATCH('Delta Beta'!$C$5,Data!$B$4:$Q$4,0)-1),#N/A)-$C$8/250</f>
        <v>#N/A</v>
      </c>
      <c r="N381" s="395"/>
      <c r="R381" s="391"/>
    </row>
    <row r="382" spans="12:18">
      <c r="L382" s="394" t="e">
        <f ca="1">IF(NOT(OFFSET(Data!E385,0,MATCH('Delta Beta'!$C$5,Data!$B$4:$Q$4,0)-3)=""),OFFSET(Data!E385,0,MATCH('Delta Beta'!$C$5,Data!$B$4:$Q$4,0)-3),#N/A)-$C$8/250</f>
        <v>#N/A</v>
      </c>
      <c r="M382" s="394" t="e">
        <f ca="1">IF(NOT(OFFSET(Data!E385,0,MATCH('Delta Beta'!$C$5,Data!$B$4:$Q$4,0)-1)=""),OFFSET(Data!E385,0,MATCH('Delta Beta'!$C$5,Data!$B$4:$Q$4,0)-1),#N/A)-$C$8/250</f>
        <v>#N/A</v>
      </c>
      <c r="N382" s="395"/>
      <c r="R382" s="391"/>
    </row>
    <row r="383" spans="12:18">
      <c r="L383" s="394" t="e">
        <f ca="1">IF(NOT(OFFSET(Data!E386,0,MATCH('Delta Beta'!$C$5,Data!$B$4:$Q$4,0)-3)=""),OFFSET(Data!E386,0,MATCH('Delta Beta'!$C$5,Data!$B$4:$Q$4,0)-3),#N/A)-$C$8/250</f>
        <v>#N/A</v>
      </c>
      <c r="M383" s="394" t="e">
        <f ca="1">IF(NOT(OFFSET(Data!E386,0,MATCH('Delta Beta'!$C$5,Data!$B$4:$Q$4,0)-1)=""),OFFSET(Data!E386,0,MATCH('Delta Beta'!$C$5,Data!$B$4:$Q$4,0)-1),#N/A)-$C$8/250</f>
        <v>#N/A</v>
      </c>
      <c r="N383" s="395"/>
      <c r="R383" s="391"/>
    </row>
    <row r="384" spans="12:18">
      <c r="L384" s="394" t="e">
        <f ca="1">IF(NOT(OFFSET(Data!E387,0,MATCH('Delta Beta'!$C$5,Data!$B$4:$Q$4,0)-3)=""),OFFSET(Data!E387,0,MATCH('Delta Beta'!$C$5,Data!$B$4:$Q$4,0)-3),#N/A)-$C$8/250</f>
        <v>#N/A</v>
      </c>
      <c r="M384" s="394" t="e">
        <f ca="1">IF(NOT(OFFSET(Data!E387,0,MATCH('Delta Beta'!$C$5,Data!$B$4:$Q$4,0)-1)=""),OFFSET(Data!E387,0,MATCH('Delta Beta'!$C$5,Data!$B$4:$Q$4,0)-1),#N/A)-$C$8/250</f>
        <v>#N/A</v>
      </c>
      <c r="N384" s="395"/>
      <c r="R384" s="391"/>
    </row>
    <row r="385" spans="12:18">
      <c r="L385" s="394" t="e">
        <f ca="1">IF(NOT(OFFSET(Data!E388,0,MATCH('Delta Beta'!$C$5,Data!$B$4:$Q$4,0)-3)=""),OFFSET(Data!E388,0,MATCH('Delta Beta'!$C$5,Data!$B$4:$Q$4,0)-3),#N/A)-$C$8/250</f>
        <v>#N/A</v>
      </c>
      <c r="M385" s="394" t="e">
        <f ca="1">IF(NOT(OFFSET(Data!E388,0,MATCH('Delta Beta'!$C$5,Data!$B$4:$Q$4,0)-1)=""),OFFSET(Data!E388,0,MATCH('Delta Beta'!$C$5,Data!$B$4:$Q$4,0)-1),#N/A)-$C$8/250</f>
        <v>#N/A</v>
      </c>
      <c r="N385" s="395"/>
      <c r="R385" s="391"/>
    </row>
    <row r="386" spans="12:18">
      <c r="L386" s="394" t="e">
        <f ca="1">IF(NOT(OFFSET(Data!E389,0,MATCH('Delta Beta'!$C$5,Data!$B$4:$Q$4,0)-3)=""),OFFSET(Data!E389,0,MATCH('Delta Beta'!$C$5,Data!$B$4:$Q$4,0)-3),#N/A)-$C$8/250</f>
        <v>#N/A</v>
      </c>
      <c r="M386" s="394" t="e">
        <f ca="1">IF(NOT(OFFSET(Data!E389,0,MATCH('Delta Beta'!$C$5,Data!$B$4:$Q$4,0)-1)=""),OFFSET(Data!E389,0,MATCH('Delta Beta'!$C$5,Data!$B$4:$Q$4,0)-1),#N/A)-$C$8/250</f>
        <v>#N/A</v>
      </c>
      <c r="N386" s="395"/>
      <c r="R386" s="391"/>
    </row>
    <row r="387" spans="12:18">
      <c r="L387" s="394" t="e">
        <f ca="1">IF(NOT(OFFSET(Data!E390,0,MATCH('Delta Beta'!$C$5,Data!$B$4:$Q$4,0)-3)=""),OFFSET(Data!E390,0,MATCH('Delta Beta'!$C$5,Data!$B$4:$Q$4,0)-3),#N/A)-$C$8/250</f>
        <v>#N/A</v>
      </c>
      <c r="M387" s="394" t="e">
        <f ca="1">IF(NOT(OFFSET(Data!E390,0,MATCH('Delta Beta'!$C$5,Data!$B$4:$Q$4,0)-1)=""),OFFSET(Data!E390,0,MATCH('Delta Beta'!$C$5,Data!$B$4:$Q$4,0)-1),#N/A)-$C$8/250</f>
        <v>#N/A</v>
      </c>
      <c r="N387" s="395"/>
      <c r="R387" s="391"/>
    </row>
    <row r="388" spans="12:18">
      <c r="L388" s="394" t="e">
        <f ca="1">IF(NOT(OFFSET(Data!E391,0,MATCH('Delta Beta'!$C$5,Data!$B$4:$Q$4,0)-3)=""),OFFSET(Data!E391,0,MATCH('Delta Beta'!$C$5,Data!$B$4:$Q$4,0)-3),#N/A)-$C$8/250</f>
        <v>#N/A</v>
      </c>
      <c r="M388" s="394" t="e">
        <f ca="1">IF(NOT(OFFSET(Data!E391,0,MATCH('Delta Beta'!$C$5,Data!$B$4:$Q$4,0)-1)=""),OFFSET(Data!E391,0,MATCH('Delta Beta'!$C$5,Data!$B$4:$Q$4,0)-1),#N/A)-$C$8/250</f>
        <v>#N/A</v>
      </c>
      <c r="N388" s="395"/>
      <c r="R388" s="391"/>
    </row>
    <row r="389" spans="12:18">
      <c r="L389" s="394" t="e">
        <f ca="1">IF(NOT(OFFSET(Data!E392,0,MATCH('Delta Beta'!$C$5,Data!$B$4:$Q$4,0)-3)=""),OFFSET(Data!E392,0,MATCH('Delta Beta'!$C$5,Data!$B$4:$Q$4,0)-3),#N/A)-$C$8/250</f>
        <v>#N/A</v>
      </c>
      <c r="M389" s="394" t="e">
        <f ca="1">IF(NOT(OFFSET(Data!E392,0,MATCH('Delta Beta'!$C$5,Data!$B$4:$Q$4,0)-1)=""),OFFSET(Data!E392,0,MATCH('Delta Beta'!$C$5,Data!$B$4:$Q$4,0)-1),#N/A)-$C$8/250</f>
        <v>#N/A</v>
      </c>
      <c r="N389" s="395"/>
      <c r="R389" s="391"/>
    </row>
    <row r="390" spans="12:18">
      <c r="L390" s="394" t="e">
        <f ca="1">IF(NOT(OFFSET(Data!E393,0,MATCH('Delta Beta'!$C$5,Data!$B$4:$Q$4,0)-3)=""),OFFSET(Data!E393,0,MATCH('Delta Beta'!$C$5,Data!$B$4:$Q$4,0)-3),#N/A)-$C$8/250</f>
        <v>#N/A</v>
      </c>
      <c r="M390" s="394" t="e">
        <f ca="1">IF(NOT(OFFSET(Data!E393,0,MATCH('Delta Beta'!$C$5,Data!$B$4:$Q$4,0)-1)=""),OFFSET(Data!E393,0,MATCH('Delta Beta'!$C$5,Data!$B$4:$Q$4,0)-1),#N/A)-$C$8/250</f>
        <v>#N/A</v>
      </c>
      <c r="N390" s="395"/>
      <c r="R390" s="391"/>
    </row>
    <row r="391" spans="12:18">
      <c r="L391" s="394" t="e">
        <f ca="1">IF(NOT(OFFSET(Data!E394,0,MATCH('Delta Beta'!$C$5,Data!$B$4:$Q$4,0)-3)=""),OFFSET(Data!E394,0,MATCH('Delta Beta'!$C$5,Data!$B$4:$Q$4,0)-3),#N/A)-$C$8/250</f>
        <v>#N/A</v>
      </c>
      <c r="M391" s="394" t="e">
        <f ca="1">IF(NOT(OFFSET(Data!E394,0,MATCH('Delta Beta'!$C$5,Data!$B$4:$Q$4,0)-1)=""),OFFSET(Data!E394,0,MATCH('Delta Beta'!$C$5,Data!$B$4:$Q$4,0)-1),#N/A)-$C$8/250</f>
        <v>#N/A</v>
      </c>
      <c r="N391" s="395"/>
      <c r="R391" s="391"/>
    </row>
    <row r="392" spans="12:18">
      <c r="L392" s="394" t="e">
        <f ca="1">IF(NOT(OFFSET(Data!E395,0,MATCH('Delta Beta'!$C$5,Data!$B$4:$Q$4,0)-3)=""),OFFSET(Data!E395,0,MATCH('Delta Beta'!$C$5,Data!$B$4:$Q$4,0)-3),#N/A)-$C$8/250</f>
        <v>#N/A</v>
      </c>
      <c r="M392" s="394" t="e">
        <f ca="1">IF(NOT(OFFSET(Data!E395,0,MATCH('Delta Beta'!$C$5,Data!$B$4:$Q$4,0)-1)=""),OFFSET(Data!E395,0,MATCH('Delta Beta'!$C$5,Data!$B$4:$Q$4,0)-1),#N/A)-$C$8/250</f>
        <v>#N/A</v>
      </c>
      <c r="N392" s="395"/>
      <c r="R392" s="391"/>
    </row>
    <row r="393" spans="12:18">
      <c r="L393" s="394" t="e">
        <f ca="1">IF(NOT(OFFSET(Data!E396,0,MATCH('Delta Beta'!$C$5,Data!$B$4:$Q$4,0)-3)=""),OFFSET(Data!E396,0,MATCH('Delta Beta'!$C$5,Data!$B$4:$Q$4,0)-3),#N/A)-$C$8/250</f>
        <v>#N/A</v>
      </c>
      <c r="M393" s="394" t="e">
        <f ca="1">IF(NOT(OFFSET(Data!E396,0,MATCH('Delta Beta'!$C$5,Data!$B$4:$Q$4,0)-1)=""),OFFSET(Data!E396,0,MATCH('Delta Beta'!$C$5,Data!$B$4:$Q$4,0)-1),#N/A)-$C$8/250</f>
        <v>#N/A</v>
      </c>
      <c r="N393" s="395"/>
      <c r="R393" s="391"/>
    </row>
    <row r="394" spans="12:18">
      <c r="L394" s="394" t="e">
        <f ca="1">IF(NOT(OFFSET(Data!E397,0,MATCH('Delta Beta'!$C$5,Data!$B$4:$Q$4,0)-3)=""),OFFSET(Data!E397,0,MATCH('Delta Beta'!$C$5,Data!$B$4:$Q$4,0)-3),#N/A)-$C$8/250</f>
        <v>#N/A</v>
      </c>
      <c r="M394" s="394" t="e">
        <f ca="1">IF(NOT(OFFSET(Data!E397,0,MATCH('Delta Beta'!$C$5,Data!$B$4:$Q$4,0)-1)=""),OFFSET(Data!E397,0,MATCH('Delta Beta'!$C$5,Data!$B$4:$Q$4,0)-1),#N/A)-$C$8/250</f>
        <v>#N/A</v>
      </c>
      <c r="N394" s="395"/>
      <c r="R394" s="391"/>
    </row>
    <row r="395" spans="12:18">
      <c r="L395" s="394" t="e">
        <f ca="1">IF(NOT(OFFSET(Data!E398,0,MATCH('Delta Beta'!$C$5,Data!$B$4:$Q$4,0)-3)=""),OFFSET(Data!E398,0,MATCH('Delta Beta'!$C$5,Data!$B$4:$Q$4,0)-3),#N/A)-$C$8/250</f>
        <v>#N/A</v>
      </c>
      <c r="M395" s="394" t="e">
        <f ca="1">IF(NOT(OFFSET(Data!E398,0,MATCH('Delta Beta'!$C$5,Data!$B$4:$Q$4,0)-1)=""),OFFSET(Data!E398,0,MATCH('Delta Beta'!$C$5,Data!$B$4:$Q$4,0)-1),#N/A)-$C$8/250</f>
        <v>#N/A</v>
      </c>
      <c r="N395" s="395"/>
      <c r="R395" s="391"/>
    </row>
    <row r="396" spans="12:18">
      <c r="L396" s="394" t="e">
        <f ca="1">IF(NOT(OFFSET(Data!E399,0,MATCH('Delta Beta'!$C$5,Data!$B$4:$Q$4,0)-3)=""),OFFSET(Data!E399,0,MATCH('Delta Beta'!$C$5,Data!$B$4:$Q$4,0)-3),#N/A)-$C$8/250</f>
        <v>#N/A</v>
      </c>
      <c r="M396" s="394" t="e">
        <f ca="1">IF(NOT(OFFSET(Data!E399,0,MATCH('Delta Beta'!$C$5,Data!$B$4:$Q$4,0)-1)=""),OFFSET(Data!E399,0,MATCH('Delta Beta'!$C$5,Data!$B$4:$Q$4,0)-1),#N/A)-$C$8/250</f>
        <v>#N/A</v>
      </c>
      <c r="N396" s="395"/>
      <c r="R396" s="391"/>
    </row>
    <row r="397" spans="12:18">
      <c r="L397" s="394" t="e">
        <f ca="1">IF(NOT(OFFSET(Data!E400,0,MATCH('Delta Beta'!$C$5,Data!$B$4:$Q$4,0)-3)=""),OFFSET(Data!E400,0,MATCH('Delta Beta'!$C$5,Data!$B$4:$Q$4,0)-3),#N/A)-$C$8/250</f>
        <v>#N/A</v>
      </c>
      <c r="M397" s="394" t="e">
        <f ca="1">IF(NOT(OFFSET(Data!E400,0,MATCH('Delta Beta'!$C$5,Data!$B$4:$Q$4,0)-1)=""),OFFSET(Data!E400,0,MATCH('Delta Beta'!$C$5,Data!$B$4:$Q$4,0)-1),#N/A)-$C$8/250</f>
        <v>#N/A</v>
      </c>
      <c r="N397" s="395"/>
      <c r="R397" s="391"/>
    </row>
    <row r="398" spans="12:18">
      <c r="L398" s="394" t="e">
        <f ca="1">IF(NOT(OFFSET(Data!E401,0,MATCH('Delta Beta'!$C$5,Data!$B$4:$Q$4,0)-3)=""),OFFSET(Data!E401,0,MATCH('Delta Beta'!$C$5,Data!$B$4:$Q$4,0)-3),#N/A)-$C$8/250</f>
        <v>#N/A</v>
      </c>
      <c r="M398" s="394" t="e">
        <f ca="1">IF(NOT(OFFSET(Data!E401,0,MATCH('Delta Beta'!$C$5,Data!$B$4:$Q$4,0)-1)=""),OFFSET(Data!E401,0,MATCH('Delta Beta'!$C$5,Data!$B$4:$Q$4,0)-1),#N/A)-$C$8/250</f>
        <v>#N/A</v>
      </c>
      <c r="N398" s="395"/>
      <c r="R398" s="391"/>
    </row>
    <row r="399" spans="12:18">
      <c r="L399" s="394" t="e">
        <f ca="1">IF(NOT(OFFSET(Data!E402,0,MATCH('Delta Beta'!$C$5,Data!$B$4:$Q$4,0)-3)=""),OFFSET(Data!E402,0,MATCH('Delta Beta'!$C$5,Data!$B$4:$Q$4,0)-3),#N/A)-$C$8/250</f>
        <v>#N/A</v>
      </c>
      <c r="M399" s="394" t="e">
        <f ca="1">IF(NOT(OFFSET(Data!E402,0,MATCH('Delta Beta'!$C$5,Data!$B$4:$Q$4,0)-1)=""),OFFSET(Data!E402,0,MATCH('Delta Beta'!$C$5,Data!$B$4:$Q$4,0)-1),#N/A)-$C$8/250</f>
        <v>#N/A</v>
      </c>
      <c r="N399" s="395"/>
      <c r="R399" s="391"/>
    </row>
    <row r="400" spans="12:18">
      <c r="L400" s="394" t="e">
        <f ca="1">IF(NOT(OFFSET(Data!E403,0,MATCH('Delta Beta'!$C$5,Data!$B$4:$Q$4,0)-3)=""),OFFSET(Data!E403,0,MATCH('Delta Beta'!$C$5,Data!$B$4:$Q$4,0)-3),#N/A)-$C$8/250</f>
        <v>#N/A</v>
      </c>
      <c r="M400" s="394" t="e">
        <f ca="1">IF(NOT(OFFSET(Data!E403,0,MATCH('Delta Beta'!$C$5,Data!$B$4:$Q$4,0)-1)=""),OFFSET(Data!E403,0,MATCH('Delta Beta'!$C$5,Data!$B$4:$Q$4,0)-1),#N/A)-$C$8/250</f>
        <v>#N/A</v>
      </c>
      <c r="N400" s="395"/>
      <c r="R400" s="391"/>
    </row>
    <row r="401" spans="12:18">
      <c r="L401" s="394" t="e">
        <f ca="1">IF(NOT(OFFSET(Data!E404,0,MATCH('Delta Beta'!$C$5,Data!$B$4:$Q$4,0)-3)=""),OFFSET(Data!E404,0,MATCH('Delta Beta'!$C$5,Data!$B$4:$Q$4,0)-3),#N/A)-$C$8/250</f>
        <v>#N/A</v>
      </c>
      <c r="M401" s="394" t="e">
        <f ca="1">IF(NOT(OFFSET(Data!E404,0,MATCH('Delta Beta'!$C$5,Data!$B$4:$Q$4,0)-1)=""),OFFSET(Data!E404,0,MATCH('Delta Beta'!$C$5,Data!$B$4:$Q$4,0)-1),#N/A)-$C$8/250</f>
        <v>#N/A</v>
      </c>
      <c r="N401" s="395"/>
      <c r="R401" s="391"/>
    </row>
    <row r="402" spans="12:18">
      <c r="L402" s="394" t="e">
        <f ca="1">IF(NOT(OFFSET(Data!E405,0,MATCH('Delta Beta'!$C$5,Data!$B$4:$Q$4,0)-3)=""),OFFSET(Data!E405,0,MATCH('Delta Beta'!$C$5,Data!$B$4:$Q$4,0)-3),#N/A)-$C$8/250</f>
        <v>#N/A</v>
      </c>
      <c r="M402" s="394" t="e">
        <f ca="1">IF(NOT(OFFSET(Data!E405,0,MATCH('Delta Beta'!$C$5,Data!$B$4:$Q$4,0)-1)=""),OFFSET(Data!E405,0,MATCH('Delta Beta'!$C$5,Data!$B$4:$Q$4,0)-1),#N/A)-$C$8/250</f>
        <v>#N/A</v>
      </c>
      <c r="N402" s="395"/>
      <c r="R402" s="391"/>
    </row>
    <row r="403" spans="12:18">
      <c r="L403" s="394" t="e">
        <f ca="1">IF(NOT(OFFSET(Data!E406,0,MATCH('Delta Beta'!$C$5,Data!$B$4:$Q$4,0)-3)=""),OFFSET(Data!E406,0,MATCH('Delta Beta'!$C$5,Data!$B$4:$Q$4,0)-3),#N/A)-$C$8/250</f>
        <v>#N/A</v>
      </c>
      <c r="M403" s="394" t="e">
        <f ca="1">IF(NOT(OFFSET(Data!E406,0,MATCH('Delta Beta'!$C$5,Data!$B$4:$Q$4,0)-1)=""),OFFSET(Data!E406,0,MATCH('Delta Beta'!$C$5,Data!$B$4:$Q$4,0)-1),#N/A)-$C$8/250</f>
        <v>#N/A</v>
      </c>
      <c r="N403" s="395"/>
      <c r="R403" s="391"/>
    </row>
    <row r="404" spans="12:18">
      <c r="L404" s="394" t="e">
        <f ca="1">IF(NOT(OFFSET(Data!E407,0,MATCH('Delta Beta'!$C$5,Data!$B$4:$Q$4,0)-3)=""),OFFSET(Data!E407,0,MATCH('Delta Beta'!$C$5,Data!$B$4:$Q$4,0)-3),#N/A)-$C$8/250</f>
        <v>#N/A</v>
      </c>
      <c r="M404" s="394" t="e">
        <f ca="1">IF(NOT(OFFSET(Data!E407,0,MATCH('Delta Beta'!$C$5,Data!$B$4:$Q$4,0)-1)=""),OFFSET(Data!E407,0,MATCH('Delta Beta'!$C$5,Data!$B$4:$Q$4,0)-1),#N/A)-$C$8/250</f>
        <v>#N/A</v>
      </c>
      <c r="N404" s="395"/>
      <c r="R404" s="391"/>
    </row>
    <row r="405" spans="12:18">
      <c r="L405" s="394" t="e">
        <f ca="1">IF(NOT(OFFSET(Data!E408,0,MATCH('Delta Beta'!$C$5,Data!$B$4:$Q$4,0)-3)=""),OFFSET(Data!E408,0,MATCH('Delta Beta'!$C$5,Data!$B$4:$Q$4,0)-3),#N/A)-$C$8/250</f>
        <v>#N/A</v>
      </c>
      <c r="M405" s="394" t="e">
        <f ca="1">IF(NOT(OFFSET(Data!E408,0,MATCH('Delta Beta'!$C$5,Data!$B$4:$Q$4,0)-1)=""),OFFSET(Data!E408,0,MATCH('Delta Beta'!$C$5,Data!$B$4:$Q$4,0)-1),#N/A)-$C$8/250</f>
        <v>#N/A</v>
      </c>
      <c r="N405" s="395"/>
      <c r="R405" s="391"/>
    </row>
    <row r="406" spans="12:18">
      <c r="L406" s="394" t="e">
        <f ca="1">IF(NOT(OFFSET(Data!E409,0,MATCH('Delta Beta'!$C$5,Data!$B$4:$Q$4,0)-3)=""),OFFSET(Data!E409,0,MATCH('Delta Beta'!$C$5,Data!$B$4:$Q$4,0)-3),#N/A)-$C$8/250</f>
        <v>#N/A</v>
      </c>
      <c r="M406" s="394" t="e">
        <f ca="1">IF(NOT(OFFSET(Data!E409,0,MATCH('Delta Beta'!$C$5,Data!$B$4:$Q$4,0)-1)=""),OFFSET(Data!E409,0,MATCH('Delta Beta'!$C$5,Data!$B$4:$Q$4,0)-1),#N/A)-$C$8/250</f>
        <v>#N/A</v>
      </c>
      <c r="N406" s="395"/>
      <c r="R406" s="391"/>
    </row>
    <row r="407" spans="12:18">
      <c r="L407" s="394" t="e">
        <f ca="1">IF(NOT(OFFSET(Data!E410,0,MATCH('Delta Beta'!$C$5,Data!$B$4:$Q$4,0)-3)=""),OFFSET(Data!E410,0,MATCH('Delta Beta'!$C$5,Data!$B$4:$Q$4,0)-3),#N/A)-$C$8/250</f>
        <v>#N/A</v>
      </c>
      <c r="M407" s="394" t="e">
        <f ca="1">IF(NOT(OFFSET(Data!E410,0,MATCH('Delta Beta'!$C$5,Data!$B$4:$Q$4,0)-1)=""),OFFSET(Data!E410,0,MATCH('Delta Beta'!$C$5,Data!$B$4:$Q$4,0)-1),#N/A)-$C$8/250</f>
        <v>#N/A</v>
      </c>
      <c r="N407" s="395"/>
      <c r="R407" s="391"/>
    </row>
    <row r="408" spans="12:18">
      <c r="L408" s="394" t="e">
        <f ca="1">IF(NOT(OFFSET(Data!E411,0,MATCH('Delta Beta'!$C$5,Data!$B$4:$Q$4,0)-3)=""),OFFSET(Data!E411,0,MATCH('Delta Beta'!$C$5,Data!$B$4:$Q$4,0)-3),#N/A)-$C$8/250</f>
        <v>#N/A</v>
      </c>
      <c r="M408" s="394" t="e">
        <f ca="1">IF(NOT(OFFSET(Data!E411,0,MATCH('Delta Beta'!$C$5,Data!$B$4:$Q$4,0)-1)=""),OFFSET(Data!E411,0,MATCH('Delta Beta'!$C$5,Data!$B$4:$Q$4,0)-1),#N/A)-$C$8/250</f>
        <v>#N/A</v>
      </c>
      <c r="N408" s="395"/>
      <c r="R408" s="391"/>
    </row>
    <row r="409" spans="12:18">
      <c r="L409" s="394" t="e">
        <f ca="1">IF(NOT(OFFSET(Data!E412,0,MATCH('Delta Beta'!$C$5,Data!$B$4:$Q$4,0)-3)=""),OFFSET(Data!E412,0,MATCH('Delta Beta'!$C$5,Data!$B$4:$Q$4,0)-3),#N/A)-$C$8/250</f>
        <v>#N/A</v>
      </c>
      <c r="M409" s="394" t="e">
        <f ca="1">IF(NOT(OFFSET(Data!E412,0,MATCH('Delta Beta'!$C$5,Data!$B$4:$Q$4,0)-1)=""),OFFSET(Data!E412,0,MATCH('Delta Beta'!$C$5,Data!$B$4:$Q$4,0)-1),#N/A)-$C$8/250</f>
        <v>#N/A</v>
      </c>
      <c r="N409" s="395"/>
      <c r="R409" s="391"/>
    </row>
    <row r="410" spans="12:18">
      <c r="L410" s="394" t="e">
        <f ca="1">IF(NOT(OFFSET(Data!E413,0,MATCH('Delta Beta'!$C$5,Data!$B$4:$Q$4,0)-3)=""),OFFSET(Data!E413,0,MATCH('Delta Beta'!$C$5,Data!$B$4:$Q$4,0)-3),#N/A)-$C$8/250</f>
        <v>#N/A</v>
      </c>
      <c r="M410" s="394" t="e">
        <f ca="1">IF(NOT(OFFSET(Data!E413,0,MATCH('Delta Beta'!$C$5,Data!$B$4:$Q$4,0)-1)=""),OFFSET(Data!E413,0,MATCH('Delta Beta'!$C$5,Data!$B$4:$Q$4,0)-1),#N/A)-$C$8/250</f>
        <v>#N/A</v>
      </c>
      <c r="N410" s="395"/>
      <c r="R410" s="391"/>
    </row>
    <row r="411" spans="12:18">
      <c r="L411" s="394" t="e">
        <f ca="1">IF(NOT(OFFSET(Data!E414,0,MATCH('Delta Beta'!$C$5,Data!$B$4:$Q$4,0)-3)=""),OFFSET(Data!E414,0,MATCH('Delta Beta'!$C$5,Data!$B$4:$Q$4,0)-3),#N/A)-$C$8/250</f>
        <v>#N/A</v>
      </c>
      <c r="M411" s="394" t="e">
        <f ca="1">IF(NOT(OFFSET(Data!E414,0,MATCH('Delta Beta'!$C$5,Data!$B$4:$Q$4,0)-1)=""),OFFSET(Data!E414,0,MATCH('Delta Beta'!$C$5,Data!$B$4:$Q$4,0)-1),#N/A)-$C$8/250</f>
        <v>#N/A</v>
      </c>
      <c r="N411" s="395"/>
      <c r="R411" s="391"/>
    </row>
    <row r="412" spans="12:18">
      <c r="L412" s="394" t="e">
        <f ca="1">IF(NOT(OFFSET(Data!E415,0,MATCH('Delta Beta'!$C$5,Data!$B$4:$Q$4,0)-3)=""),OFFSET(Data!E415,0,MATCH('Delta Beta'!$C$5,Data!$B$4:$Q$4,0)-3),#N/A)-$C$8/250</f>
        <v>#N/A</v>
      </c>
      <c r="M412" s="394" t="e">
        <f ca="1">IF(NOT(OFFSET(Data!E415,0,MATCH('Delta Beta'!$C$5,Data!$B$4:$Q$4,0)-1)=""),OFFSET(Data!E415,0,MATCH('Delta Beta'!$C$5,Data!$B$4:$Q$4,0)-1),#N/A)-$C$8/250</f>
        <v>#N/A</v>
      </c>
      <c r="N412" s="395"/>
      <c r="R412" s="391"/>
    </row>
    <row r="413" spans="12:18">
      <c r="L413" s="394" t="e">
        <f ca="1">IF(NOT(OFFSET(Data!E416,0,MATCH('Delta Beta'!$C$5,Data!$B$4:$Q$4,0)-3)=""),OFFSET(Data!E416,0,MATCH('Delta Beta'!$C$5,Data!$B$4:$Q$4,0)-3),#N/A)-$C$8/250</f>
        <v>#N/A</v>
      </c>
      <c r="M413" s="394" t="e">
        <f ca="1">IF(NOT(OFFSET(Data!E416,0,MATCH('Delta Beta'!$C$5,Data!$B$4:$Q$4,0)-1)=""),OFFSET(Data!E416,0,MATCH('Delta Beta'!$C$5,Data!$B$4:$Q$4,0)-1),#N/A)-$C$8/250</f>
        <v>#N/A</v>
      </c>
      <c r="N413" s="395"/>
      <c r="R413" s="391"/>
    </row>
    <row r="414" spans="12:18">
      <c r="L414" s="394" t="e">
        <f ca="1">IF(NOT(OFFSET(Data!E417,0,MATCH('Delta Beta'!$C$5,Data!$B$4:$Q$4,0)-3)=""),OFFSET(Data!E417,0,MATCH('Delta Beta'!$C$5,Data!$B$4:$Q$4,0)-3),#N/A)-$C$8/250</f>
        <v>#N/A</v>
      </c>
      <c r="M414" s="394" t="e">
        <f ca="1">IF(NOT(OFFSET(Data!E417,0,MATCH('Delta Beta'!$C$5,Data!$B$4:$Q$4,0)-1)=""),OFFSET(Data!E417,0,MATCH('Delta Beta'!$C$5,Data!$B$4:$Q$4,0)-1),#N/A)-$C$8/250</f>
        <v>#N/A</v>
      </c>
      <c r="N414" s="395"/>
      <c r="R414" s="391"/>
    </row>
    <row r="415" spans="12:18">
      <c r="L415" s="394" t="e">
        <f ca="1">IF(NOT(OFFSET(Data!E418,0,MATCH('Delta Beta'!$C$5,Data!$B$4:$Q$4,0)-3)=""),OFFSET(Data!E418,0,MATCH('Delta Beta'!$C$5,Data!$B$4:$Q$4,0)-3),#N/A)-$C$8/250</f>
        <v>#N/A</v>
      </c>
      <c r="M415" s="394" t="e">
        <f ca="1">IF(NOT(OFFSET(Data!E418,0,MATCH('Delta Beta'!$C$5,Data!$B$4:$Q$4,0)-1)=""),OFFSET(Data!E418,0,MATCH('Delta Beta'!$C$5,Data!$B$4:$Q$4,0)-1),#N/A)-$C$8/250</f>
        <v>#N/A</v>
      </c>
      <c r="N415" s="395"/>
      <c r="R415" s="391"/>
    </row>
    <row r="416" spans="12:18">
      <c r="L416" s="394" t="e">
        <f ca="1">IF(NOT(OFFSET(Data!E419,0,MATCH('Delta Beta'!$C$5,Data!$B$4:$Q$4,0)-3)=""),OFFSET(Data!E419,0,MATCH('Delta Beta'!$C$5,Data!$B$4:$Q$4,0)-3),#N/A)-$C$8/250</f>
        <v>#N/A</v>
      </c>
      <c r="M416" s="394" t="e">
        <f ca="1">IF(NOT(OFFSET(Data!E419,0,MATCH('Delta Beta'!$C$5,Data!$B$4:$Q$4,0)-1)=""),OFFSET(Data!E419,0,MATCH('Delta Beta'!$C$5,Data!$B$4:$Q$4,0)-1),#N/A)-$C$8/250</f>
        <v>#N/A</v>
      </c>
      <c r="N416" s="395"/>
      <c r="R416" s="391"/>
    </row>
    <row r="417" spans="12:18">
      <c r="L417" s="394" t="e">
        <f ca="1">IF(NOT(OFFSET(Data!E420,0,MATCH('Delta Beta'!$C$5,Data!$B$4:$Q$4,0)-3)=""),OFFSET(Data!E420,0,MATCH('Delta Beta'!$C$5,Data!$B$4:$Q$4,0)-3),#N/A)-$C$8/250</f>
        <v>#N/A</v>
      </c>
      <c r="M417" s="394" t="e">
        <f ca="1">IF(NOT(OFFSET(Data!E420,0,MATCH('Delta Beta'!$C$5,Data!$B$4:$Q$4,0)-1)=""),OFFSET(Data!E420,0,MATCH('Delta Beta'!$C$5,Data!$B$4:$Q$4,0)-1),#N/A)-$C$8/250</f>
        <v>#N/A</v>
      </c>
      <c r="N417" s="395"/>
      <c r="R417" s="391"/>
    </row>
    <row r="418" spans="12:18">
      <c r="L418" s="394" t="e">
        <f ca="1">IF(NOT(OFFSET(Data!E421,0,MATCH('Delta Beta'!$C$5,Data!$B$4:$Q$4,0)-3)=""),OFFSET(Data!E421,0,MATCH('Delta Beta'!$C$5,Data!$B$4:$Q$4,0)-3),#N/A)-$C$8/250</f>
        <v>#N/A</v>
      </c>
      <c r="M418" s="394" t="e">
        <f ca="1">IF(NOT(OFFSET(Data!E421,0,MATCH('Delta Beta'!$C$5,Data!$B$4:$Q$4,0)-1)=""),OFFSET(Data!E421,0,MATCH('Delta Beta'!$C$5,Data!$B$4:$Q$4,0)-1),#N/A)-$C$8/250</f>
        <v>#N/A</v>
      </c>
      <c r="N418" s="395"/>
      <c r="R418" s="391"/>
    </row>
    <row r="419" spans="12:18">
      <c r="L419" s="394" t="e">
        <f ca="1">IF(NOT(OFFSET(Data!E422,0,MATCH('Delta Beta'!$C$5,Data!$B$4:$Q$4,0)-3)=""),OFFSET(Data!E422,0,MATCH('Delta Beta'!$C$5,Data!$B$4:$Q$4,0)-3),#N/A)-$C$8/250</f>
        <v>#N/A</v>
      </c>
      <c r="M419" s="394" t="e">
        <f ca="1">IF(NOT(OFFSET(Data!E422,0,MATCH('Delta Beta'!$C$5,Data!$B$4:$Q$4,0)-1)=""),OFFSET(Data!E422,0,MATCH('Delta Beta'!$C$5,Data!$B$4:$Q$4,0)-1),#N/A)-$C$8/250</f>
        <v>#N/A</v>
      </c>
      <c r="N419" s="395"/>
      <c r="R419" s="391"/>
    </row>
    <row r="420" spans="12:18">
      <c r="L420" s="394" t="e">
        <f ca="1">IF(NOT(OFFSET(Data!E423,0,MATCH('Delta Beta'!$C$5,Data!$B$4:$Q$4,0)-3)=""),OFFSET(Data!E423,0,MATCH('Delta Beta'!$C$5,Data!$B$4:$Q$4,0)-3),#N/A)-$C$8/250</f>
        <v>#N/A</v>
      </c>
      <c r="M420" s="394" t="e">
        <f ca="1">IF(NOT(OFFSET(Data!E423,0,MATCH('Delta Beta'!$C$5,Data!$B$4:$Q$4,0)-1)=""),OFFSET(Data!E423,0,MATCH('Delta Beta'!$C$5,Data!$B$4:$Q$4,0)-1),#N/A)-$C$8/250</f>
        <v>#N/A</v>
      </c>
      <c r="N420" s="395"/>
      <c r="R420" s="391"/>
    </row>
    <row r="421" spans="12:18">
      <c r="L421" s="394" t="e">
        <f ca="1">IF(NOT(OFFSET(Data!E424,0,MATCH('Delta Beta'!$C$5,Data!$B$4:$Q$4,0)-3)=""),OFFSET(Data!E424,0,MATCH('Delta Beta'!$C$5,Data!$B$4:$Q$4,0)-3),#N/A)-$C$8/250</f>
        <v>#N/A</v>
      </c>
      <c r="M421" s="394" t="e">
        <f ca="1">IF(NOT(OFFSET(Data!E424,0,MATCH('Delta Beta'!$C$5,Data!$B$4:$Q$4,0)-1)=""),OFFSET(Data!E424,0,MATCH('Delta Beta'!$C$5,Data!$B$4:$Q$4,0)-1),#N/A)-$C$8/250</f>
        <v>#N/A</v>
      </c>
      <c r="N421" s="395"/>
      <c r="R421" s="391"/>
    </row>
    <row r="422" spans="12:18">
      <c r="L422" s="394" t="e">
        <f ca="1">IF(NOT(OFFSET(Data!E425,0,MATCH('Delta Beta'!$C$5,Data!$B$4:$Q$4,0)-3)=""),OFFSET(Data!E425,0,MATCH('Delta Beta'!$C$5,Data!$B$4:$Q$4,0)-3),#N/A)-$C$8/250</f>
        <v>#N/A</v>
      </c>
      <c r="M422" s="394" t="e">
        <f ca="1">IF(NOT(OFFSET(Data!E425,0,MATCH('Delta Beta'!$C$5,Data!$B$4:$Q$4,0)-1)=""),OFFSET(Data!E425,0,MATCH('Delta Beta'!$C$5,Data!$B$4:$Q$4,0)-1),#N/A)-$C$8/250</f>
        <v>#N/A</v>
      </c>
      <c r="N422" s="395"/>
      <c r="R422" s="391"/>
    </row>
    <row r="423" spans="12:18">
      <c r="L423" s="394" t="e">
        <f ca="1">IF(NOT(OFFSET(Data!E426,0,MATCH('Delta Beta'!$C$5,Data!$B$4:$Q$4,0)-3)=""),OFFSET(Data!E426,0,MATCH('Delta Beta'!$C$5,Data!$B$4:$Q$4,0)-3),#N/A)-$C$8/250</f>
        <v>#N/A</v>
      </c>
      <c r="M423" s="394" t="e">
        <f ca="1">IF(NOT(OFFSET(Data!E426,0,MATCH('Delta Beta'!$C$5,Data!$B$4:$Q$4,0)-1)=""),OFFSET(Data!E426,0,MATCH('Delta Beta'!$C$5,Data!$B$4:$Q$4,0)-1),#N/A)-$C$8/250</f>
        <v>#N/A</v>
      </c>
      <c r="N423" s="395"/>
      <c r="R423" s="391"/>
    </row>
    <row r="424" spans="12:18">
      <c r="L424" s="394" t="e">
        <f ca="1">IF(NOT(OFFSET(Data!E427,0,MATCH('Delta Beta'!$C$5,Data!$B$4:$Q$4,0)-3)=""),OFFSET(Data!E427,0,MATCH('Delta Beta'!$C$5,Data!$B$4:$Q$4,0)-3),#N/A)-$C$8/250</f>
        <v>#N/A</v>
      </c>
      <c r="M424" s="394" t="e">
        <f ca="1">IF(NOT(OFFSET(Data!E427,0,MATCH('Delta Beta'!$C$5,Data!$B$4:$Q$4,0)-1)=""),OFFSET(Data!E427,0,MATCH('Delta Beta'!$C$5,Data!$B$4:$Q$4,0)-1),#N/A)-$C$8/250</f>
        <v>#N/A</v>
      </c>
      <c r="N424" s="395"/>
      <c r="R424" s="391"/>
    </row>
    <row r="425" spans="12:18">
      <c r="L425" s="394" t="e">
        <f ca="1">IF(NOT(OFFSET(Data!E428,0,MATCH('Delta Beta'!$C$5,Data!$B$4:$Q$4,0)-3)=""),OFFSET(Data!E428,0,MATCH('Delta Beta'!$C$5,Data!$B$4:$Q$4,0)-3),#N/A)-$C$8/250</f>
        <v>#N/A</v>
      </c>
      <c r="M425" s="394" t="e">
        <f ca="1">IF(NOT(OFFSET(Data!E428,0,MATCH('Delta Beta'!$C$5,Data!$B$4:$Q$4,0)-1)=""),OFFSET(Data!E428,0,MATCH('Delta Beta'!$C$5,Data!$B$4:$Q$4,0)-1),#N/A)-$C$8/250</f>
        <v>#N/A</v>
      </c>
      <c r="N425" s="395"/>
      <c r="R425" s="391"/>
    </row>
    <row r="426" spans="12:18">
      <c r="L426" s="394" t="e">
        <f ca="1">IF(NOT(OFFSET(Data!E429,0,MATCH('Delta Beta'!$C$5,Data!$B$4:$Q$4,0)-3)=""),OFFSET(Data!E429,0,MATCH('Delta Beta'!$C$5,Data!$B$4:$Q$4,0)-3),#N/A)-$C$8/250</f>
        <v>#N/A</v>
      </c>
      <c r="M426" s="394" t="e">
        <f ca="1">IF(NOT(OFFSET(Data!E429,0,MATCH('Delta Beta'!$C$5,Data!$B$4:$Q$4,0)-1)=""),OFFSET(Data!E429,0,MATCH('Delta Beta'!$C$5,Data!$B$4:$Q$4,0)-1),#N/A)-$C$8/250</f>
        <v>#N/A</v>
      </c>
      <c r="N426" s="395"/>
      <c r="R426" s="391"/>
    </row>
    <row r="427" spans="12:18">
      <c r="L427" s="394" t="e">
        <f ca="1">IF(NOT(OFFSET(Data!E430,0,MATCH('Delta Beta'!$C$5,Data!$B$4:$Q$4,0)-3)=""),OFFSET(Data!E430,0,MATCH('Delta Beta'!$C$5,Data!$B$4:$Q$4,0)-3),#N/A)-$C$8/250</f>
        <v>#N/A</v>
      </c>
      <c r="M427" s="394" t="e">
        <f ca="1">IF(NOT(OFFSET(Data!E430,0,MATCH('Delta Beta'!$C$5,Data!$B$4:$Q$4,0)-1)=""),OFFSET(Data!E430,0,MATCH('Delta Beta'!$C$5,Data!$B$4:$Q$4,0)-1),#N/A)-$C$8/250</f>
        <v>#N/A</v>
      </c>
      <c r="N427" s="395"/>
      <c r="R427" s="391"/>
    </row>
    <row r="428" spans="12:18">
      <c r="L428" s="394" t="e">
        <f ca="1">IF(NOT(OFFSET(Data!E431,0,MATCH('Delta Beta'!$C$5,Data!$B$4:$Q$4,0)-3)=""),OFFSET(Data!E431,0,MATCH('Delta Beta'!$C$5,Data!$B$4:$Q$4,0)-3),#N/A)-$C$8/250</f>
        <v>#N/A</v>
      </c>
      <c r="M428" s="394" t="e">
        <f ca="1">IF(NOT(OFFSET(Data!E431,0,MATCH('Delta Beta'!$C$5,Data!$B$4:$Q$4,0)-1)=""),OFFSET(Data!E431,0,MATCH('Delta Beta'!$C$5,Data!$B$4:$Q$4,0)-1),#N/A)-$C$8/250</f>
        <v>#N/A</v>
      </c>
      <c r="N428" s="395"/>
      <c r="R428" s="391"/>
    </row>
    <row r="429" spans="12:18">
      <c r="L429" s="394" t="e">
        <f ca="1">IF(NOT(OFFSET(Data!E432,0,MATCH('Delta Beta'!$C$5,Data!$B$4:$Q$4,0)-3)=""),OFFSET(Data!E432,0,MATCH('Delta Beta'!$C$5,Data!$B$4:$Q$4,0)-3),#N/A)-$C$8/250</f>
        <v>#N/A</v>
      </c>
      <c r="M429" s="394" t="e">
        <f ca="1">IF(NOT(OFFSET(Data!E432,0,MATCH('Delta Beta'!$C$5,Data!$B$4:$Q$4,0)-1)=""),OFFSET(Data!E432,0,MATCH('Delta Beta'!$C$5,Data!$B$4:$Q$4,0)-1),#N/A)-$C$8/250</f>
        <v>#N/A</v>
      </c>
      <c r="N429" s="395"/>
      <c r="R429" s="391"/>
    </row>
    <row r="430" spans="12:18">
      <c r="L430" s="394" t="e">
        <f ca="1">IF(NOT(OFFSET(Data!E433,0,MATCH('Delta Beta'!$C$5,Data!$B$4:$Q$4,0)-3)=""),OFFSET(Data!E433,0,MATCH('Delta Beta'!$C$5,Data!$B$4:$Q$4,0)-3),#N/A)-$C$8/250</f>
        <v>#N/A</v>
      </c>
      <c r="M430" s="394" t="e">
        <f ca="1">IF(NOT(OFFSET(Data!E433,0,MATCH('Delta Beta'!$C$5,Data!$B$4:$Q$4,0)-1)=""),OFFSET(Data!E433,0,MATCH('Delta Beta'!$C$5,Data!$B$4:$Q$4,0)-1),#N/A)-$C$8/250</f>
        <v>#N/A</v>
      </c>
      <c r="N430" s="395"/>
      <c r="R430" s="391"/>
    </row>
    <row r="431" spans="12:18">
      <c r="L431" s="394" t="e">
        <f ca="1">IF(NOT(OFFSET(Data!E434,0,MATCH('Delta Beta'!$C$5,Data!$B$4:$Q$4,0)-3)=""),OFFSET(Data!E434,0,MATCH('Delta Beta'!$C$5,Data!$B$4:$Q$4,0)-3),#N/A)-$C$8/250</f>
        <v>#N/A</v>
      </c>
      <c r="M431" s="394" t="e">
        <f ca="1">IF(NOT(OFFSET(Data!E434,0,MATCH('Delta Beta'!$C$5,Data!$B$4:$Q$4,0)-1)=""),OFFSET(Data!E434,0,MATCH('Delta Beta'!$C$5,Data!$B$4:$Q$4,0)-1),#N/A)-$C$8/250</f>
        <v>#N/A</v>
      </c>
      <c r="N431" s="395"/>
      <c r="R431" s="391"/>
    </row>
    <row r="432" spans="12:18">
      <c r="L432" s="394" t="e">
        <f ca="1">IF(NOT(OFFSET(Data!E435,0,MATCH('Delta Beta'!$C$5,Data!$B$4:$Q$4,0)-3)=""),OFFSET(Data!E435,0,MATCH('Delta Beta'!$C$5,Data!$B$4:$Q$4,0)-3),#N/A)-$C$8/250</f>
        <v>#N/A</v>
      </c>
      <c r="M432" s="394" t="e">
        <f ca="1">IF(NOT(OFFSET(Data!E435,0,MATCH('Delta Beta'!$C$5,Data!$B$4:$Q$4,0)-1)=""),OFFSET(Data!E435,0,MATCH('Delta Beta'!$C$5,Data!$B$4:$Q$4,0)-1),#N/A)-$C$8/250</f>
        <v>#N/A</v>
      </c>
      <c r="N432" s="395"/>
      <c r="R432" s="391"/>
    </row>
    <row r="433" spans="12:18">
      <c r="L433" s="394" t="e">
        <f ca="1">IF(NOT(OFFSET(Data!E436,0,MATCH('Delta Beta'!$C$5,Data!$B$4:$Q$4,0)-3)=""),OFFSET(Data!E436,0,MATCH('Delta Beta'!$C$5,Data!$B$4:$Q$4,0)-3),#N/A)-$C$8/250</f>
        <v>#N/A</v>
      </c>
      <c r="M433" s="394" t="e">
        <f ca="1">IF(NOT(OFFSET(Data!E436,0,MATCH('Delta Beta'!$C$5,Data!$B$4:$Q$4,0)-1)=""),OFFSET(Data!E436,0,MATCH('Delta Beta'!$C$5,Data!$B$4:$Q$4,0)-1),#N/A)-$C$8/250</f>
        <v>#N/A</v>
      </c>
      <c r="N433" s="395"/>
      <c r="R433" s="391"/>
    </row>
    <row r="434" spans="12:18">
      <c r="L434" s="394" t="e">
        <f ca="1">IF(NOT(OFFSET(Data!E437,0,MATCH('Delta Beta'!$C$5,Data!$B$4:$Q$4,0)-3)=""),OFFSET(Data!E437,0,MATCH('Delta Beta'!$C$5,Data!$B$4:$Q$4,0)-3),#N/A)-$C$8/250</f>
        <v>#N/A</v>
      </c>
      <c r="M434" s="394" t="e">
        <f ca="1">IF(NOT(OFFSET(Data!E437,0,MATCH('Delta Beta'!$C$5,Data!$B$4:$Q$4,0)-1)=""),OFFSET(Data!E437,0,MATCH('Delta Beta'!$C$5,Data!$B$4:$Q$4,0)-1),#N/A)-$C$8/250</f>
        <v>#N/A</v>
      </c>
      <c r="N434" s="395"/>
      <c r="R434" s="391"/>
    </row>
    <row r="435" spans="12:18">
      <c r="L435" s="394" t="e">
        <f ca="1">IF(NOT(OFFSET(Data!E438,0,MATCH('Delta Beta'!$C$5,Data!$B$4:$Q$4,0)-3)=""),OFFSET(Data!E438,0,MATCH('Delta Beta'!$C$5,Data!$B$4:$Q$4,0)-3),#N/A)-$C$8/250</f>
        <v>#N/A</v>
      </c>
      <c r="M435" s="394" t="e">
        <f ca="1">IF(NOT(OFFSET(Data!E438,0,MATCH('Delta Beta'!$C$5,Data!$B$4:$Q$4,0)-1)=""),OFFSET(Data!E438,0,MATCH('Delta Beta'!$C$5,Data!$B$4:$Q$4,0)-1),#N/A)-$C$8/250</f>
        <v>#N/A</v>
      </c>
      <c r="N435" s="395"/>
      <c r="R435" s="391"/>
    </row>
    <row r="436" spans="12:18">
      <c r="L436" s="394" t="e">
        <f ca="1">IF(NOT(OFFSET(Data!E439,0,MATCH('Delta Beta'!$C$5,Data!$B$4:$Q$4,0)-3)=""),OFFSET(Data!E439,0,MATCH('Delta Beta'!$C$5,Data!$B$4:$Q$4,0)-3),#N/A)-$C$8/250</f>
        <v>#N/A</v>
      </c>
      <c r="M436" s="394" t="e">
        <f ca="1">IF(NOT(OFFSET(Data!E439,0,MATCH('Delta Beta'!$C$5,Data!$B$4:$Q$4,0)-1)=""),OFFSET(Data!E439,0,MATCH('Delta Beta'!$C$5,Data!$B$4:$Q$4,0)-1),#N/A)-$C$8/250</f>
        <v>#N/A</v>
      </c>
      <c r="N436" s="395"/>
      <c r="R436" s="391"/>
    </row>
    <row r="437" spans="12:18">
      <c r="L437" s="394" t="e">
        <f ca="1">IF(NOT(OFFSET(Data!E440,0,MATCH('Delta Beta'!$C$5,Data!$B$4:$Q$4,0)-3)=""),OFFSET(Data!E440,0,MATCH('Delta Beta'!$C$5,Data!$B$4:$Q$4,0)-3),#N/A)-$C$8/250</f>
        <v>#N/A</v>
      </c>
      <c r="M437" s="394" t="e">
        <f ca="1">IF(NOT(OFFSET(Data!E440,0,MATCH('Delta Beta'!$C$5,Data!$B$4:$Q$4,0)-1)=""),OFFSET(Data!E440,0,MATCH('Delta Beta'!$C$5,Data!$B$4:$Q$4,0)-1),#N/A)-$C$8/250</f>
        <v>#N/A</v>
      </c>
      <c r="N437" s="395"/>
      <c r="R437" s="391"/>
    </row>
    <row r="438" spans="12:18">
      <c r="L438" s="394" t="e">
        <f ca="1">IF(NOT(OFFSET(Data!E441,0,MATCH('Delta Beta'!$C$5,Data!$B$4:$Q$4,0)-3)=""),OFFSET(Data!E441,0,MATCH('Delta Beta'!$C$5,Data!$B$4:$Q$4,0)-3),#N/A)-$C$8/250</f>
        <v>#N/A</v>
      </c>
      <c r="M438" s="394" t="e">
        <f ca="1">IF(NOT(OFFSET(Data!E441,0,MATCH('Delta Beta'!$C$5,Data!$B$4:$Q$4,0)-1)=""),OFFSET(Data!E441,0,MATCH('Delta Beta'!$C$5,Data!$B$4:$Q$4,0)-1),#N/A)-$C$8/250</f>
        <v>#N/A</v>
      </c>
      <c r="N438" s="395"/>
      <c r="R438" s="391"/>
    </row>
    <row r="439" spans="12:18">
      <c r="L439" s="394" t="e">
        <f ca="1">IF(NOT(OFFSET(Data!E442,0,MATCH('Delta Beta'!$C$5,Data!$B$4:$Q$4,0)-3)=""),OFFSET(Data!E442,0,MATCH('Delta Beta'!$C$5,Data!$B$4:$Q$4,0)-3),#N/A)-$C$8/250</f>
        <v>#N/A</v>
      </c>
      <c r="M439" s="394" t="e">
        <f ca="1">IF(NOT(OFFSET(Data!E442,0,MATCH('Delta Beta'!$C$5,Data!$B$4:$Q$4,0)-1)=""),OFFSET(Data!E442,0,MATCH('Delta Beta'!$C$5,Data!$B$4:$Q$4,0)-1),#N/A)-$C$8/250</f>
        <v>#N/A</v>
      </c>
      <c r="N439" s="395"/>
      <c r="R439" s="391"/>
    </row>
    <row r="440" spans="12:18">
      <c r="L440" s="394" t="e">
        <f ca="1">IF(NOT(OFFSET(Data!E443,0,MATCH('Delta Beta'!$C$5,Data!$B$4:$Q$4,0)-3)=""),OFFSET(Data!E443,0,MATCH('Delta Beta'!$C$5,Data!$B$4:$Q$4,0)-3),#N/A)-$C$8/250</f>
        <v>#N/A</v>
      </c>
      <c r="M440" s="394" t="e">
        <f ca="1">IF(NOT(OFFSET(Data!E443,0,MATCH('Delta Beta'!$C$5,Data!$B$4:$Q$4,0)-1)=""),OFFSET(Data!E443,0,MATCH('Delta Beta'!$C$5,Data!$B$4:$Q$4,0)-1),#N/A)-$C$8/250</f>
        <v>#N/A</v>
      </c>
      <c r="N440" s="395"/>
      <c r="R440" s="391"/>
    </row>
    <row r="441" spans="12:18">
      <c r="L441" s="394" t="e">
        <f ca="1">IF(NOT(OFFSET(Data!E444,0,MATCH('Delta Beta'!$C$5,Data!$B$4:$Q$4,0)-3)=""),OFFSET(Data!E444,0,MATCH('Delta Beta'!$C$5,Data!$B$4:$Q$4,0)-3),#N/A)-$C$8/250</f>
        <v>#N/A</v>
      </c>
      <c r="M441" s="394" t="e">
        <f ca="1">IF(NOT(OFFSET(Data!E444,0,MATCH('Delta Beta'!$C$5,Data!$B$4:$Q$4,0)-1)=""),OFFSET(Data!E444,0,MATCH('Delta Beta'!$C$5,Data!$B$4:$Q$4,0)-1),#N/A)-$C$8/250</f>
        <v>#N/A</v>
      </c>
      <c r="N441" s="395"/>
      <c r="R441" s="391"/>
    </row>
    <row r="442" spans="12:18">
      <c r="L442" s="394" t="e">
        <f ca="1">IF(NOT(OFFSET(Data!E445,0,MATCH('Delta Beta'!$C$5,Data!$B$4:$Q$4,0)-3)=""),OFFSET(Data!E445,0,MATCH('Delta Beta'!$C$5,Data!$B$4:$Q$4,0)-3),#N/A)-$C$8/250</f>
        <v>#N/A</v>
      </c>
      <c r="M442" s="394" t="e">
        <f ca="1">IF(NOT(OFFSET(Data!E445,0,MATCH('Delta Beta'!$C$5,Data!$B$4:$Q$4,0)-1)=""),OFFSET(Data!E445,0,MATCH('Delta Beta'!$C$5,Data!$B$4:$Q$4,0)-1),#N/A)-$C$8/250</f>
        <v>#N/A</v>
      </c>
      <c r="N442" s="395"/>
      <c r="R442" s="391"/>
    </row>
    <row r="443" spans="12:18">
      <c r="L443" s="394" t="e">
        <f ca="1">IF(NOT(OFFSET(Data!E446,0,MATCH('Delta Beta'!$C$5,Data!$B$4:$Q$4,0)-3)=""),OFFSET(Data!E446,0,MATCH('Delta Beta'!$C$5,Data!$B$4:$Q$4,0)-3),#N/A)-$C$8/250</f>
        <v>#N/A</v>
      </c>
      <c r="M443" s="394" t="e">
        <f ca="1">IF(NOT(OFFSET(Data!E446,0,MATCH('Delta Beta'!$C$5,Data!$B$4:$Q$4,0)-1)=""),OFFSET(Data!E446,0,MATCH('Delta Beta'!$C$5,Data!$B$4:$Q$4,0)-1),#N/A)-$C$8/250</f>
        <v>#N/A</v>
      </c>
      <c r="N443" s="395"/>
      <c r="R443" s="391"/>
    </row>
    <row r="444" spans="12:18">
      <c r="L444" s="394" t="e">
        <f ca="1">IF(NOT(OFFSET(Data!E447,0,MATCH('Delta Beta'!$C$5,Data!$B$4:$Q$4,0)-3)=""),OFFSET(Data!E447,0,MATCH('Delta Beta'!$C$5,Data!$B$4:$Q$4,0)-3),#N/A)-$C$8/250</f>
        <v>#N/A</v>
      </c>
      <c r="M444" s="394" t="e">
        <f ca="1">IF(NOT(OFFSET(Data!E447,0,MATCH('Delta Beta'!$C$5,Data!$B$4:$Q$4,0)-1)=""),OFFSET(Data!E447,0,MATCH('Delta Beta'!$C$5,Data!$B$4:$Q$4,0)-1),#N/A)-$C$8/250</f>
        <v>#N/A</v>
      </c>
      <c r="N444" s="395"/>
      <c r="R444" s="391"/>
    </row>
    <row r="445" spans="12:18">
      <c r="L445" s="394" t="e">
        <f ca="1">IF(NOT(OFFSET(Data!E448,0,MATCH('Delta Beta'!$C$5,Data!$B$4:$Q$4,0)-3)=""),OFFSET(Data!E448,0,MATCH('Delta Beta'!$C$5,Data!$B$4:$Q$4,0)-3),#N/A)-$C$8/250</f>
        <v>#N/A</v>
      </c>
      <c r="M445" s="394" t="e">
        <f ca="1">IF(NOT(OFFSET(Data!E448,0,MATCH('Delta Beta'!$C$5,Data!$B$4:$Q$4,0)-1)=""),OFFSET(Data!E448,0,MATCH('Delta Beta'!$C$5,Data!$B$4:$Q$4,0)-1),#N/A)-$C$8/250</f>
        <v>#N/A</v>
      </c>
      <c r="N445" s="395"/>
      <c r="R445" s="391"/>
    </row>
    <row r="446" spans="12:18">
      <c r="L446" s="394" t="e">
        <f ca="1">IF(NOT(OFFSET(Data!E449,0,MATCH('Delta Beta'!$C$5,Data!$B$4:$Q$4,0)-3)=""),OFFSET(Data!E449,0,MATCH('Delta Beta'!$C$5,Data!$B$4:$Q$4,0)-3),#N/A)-$C$8/250</f>
        <v>#N/A</v>
      </c>
      <c r="M446" s="394" t="e">
        <f ca="1">IF(NOT(OFFSET(Data!E449,0,MATCH('Delta Beta'!$C$5,Data!$B$4:$Q$4,0)-1)=""),OFFSET(Data!E449,0,MATCH('Delta Beta'!$C$5,Data!$B$4:$Q$4,0)-1),#N/A)-$C$8/250</f>
        <v>#N/A</v>
      </c>
      <c r="N446" s="395"/>
      <c r="R446" s="391"/>
    </row>
    <row r="447" spans="12:18">
      <c r="L447" s="394" t="e">
        <f ca="1">IF(NOT(OFFSET(Data!E450,0,MATCH('Delta Beta'!$C$5,Data!$B$4:$Q$4,0)-3)=""),OFFSET(Data!E450,0,MATCH('Delta Beta'!$C$5,Data!$B$4:$Q$4,0)-3),#N/A)-$C$8/250</f>
        <v>#N/A</v>
      </c>
      <c r="M447" s="394" t="e">
        <f ca="1">IF(NOT(OFFSET(Data!E450,0,MATCH('Delta Beta'!$C$5,Data!$B$4:$Q$4,0)-1)=""),OFFSET(Data!E450,0,MATCH('Delta Beta'!$C$5,Data!$B$4:$Q$4,0)-1),#N/A)-$C$8/250</f>
        <v>#N/A</v>
      </c>
      <c r="N447" s="395"/>
      <c r="R447" s="391"/>
    </row>
    <row r="448" spans="12:18">
      <c r="L448" s="394" t="e">
        <f ca="1">IF(NOT(OFFSET(Data!E451,0,MATCH('Delta Beta'!$C$5,Data!$B$4:$Q$4,0)-3)=""),OFFSET(Data!E451,0,MATCH('Delta Beta'!$C$5,Data!$B$4:$Q$4,0)-3),#N/A)-$C$8/250</f>
        <v>#N/A</v>
      </c>
      <c r="M448" s="394" t="e">
        <f ca="1">IF(NOT(OFFSET(Data!E451,0,MATCH('Delta Beta'!$C$5,Data!$B$4:$Q$4,0)-1)=""),OFFSET(Data!E451,0,MATCH('Delta Beta'!$C$5,Data!$B$4:$Q$4,0)-1),#N/A)-$C$8/250</f>
        <v>#N/A</v>
      </c>
      <c r="N448" s="395"/>
      <c r="R448" s="391"/>
    </row>
    <row r="449" spans="12:18">
      <c r="L449" s="394" t="e">
        <f ca="1">IF(NOT(OFFSET(Data!E452,0,MATCH('Delta Beta'!$C$5,Data!$B$4:$Q$4,0)-3)=""),OFFSET(Data!E452,0,MATCH('Delta Beta'!$C$5,Data!$B$4:$Q$4,0)-3),#N/A)-$C$8/250</f>
        <v>#N/A</v>
      </c>
      <c r="M449" s="394" t="e">
        <f ca="1">IF(NOT(OFFSET(Data!E452,0,MATCH('Delta Beta'!$C$5,Data!$B$4:$Q$4,0)-1)=""),OFFSET(Data!E452,0,MATCH('Delta Beta'!$C$5,Data!$B$4:$Q$4,0)-1),#N/A)-$C$8/250</f>
        <v>#N/A</v>
      </c>
      <c r="N449" s="395"/>
      <c r="R449" s="391"/>
    </row>
    <row r="450" spans="12:18">
      <c r="L450" s="394" t="e">
        <f ca="1">IF(NOT(OFFSET(Data!E453,0,MATCH('Delta Beta'!$C$5,Data!$B$4:$Q$4,0)-3)=""),OFFSET(Data!E453,0,MATCH('Delta Beta'!$C$5,Data!$B$4:$Q$4,0)-3),#N/A)-$C$8/250</f>
        <v>#N/A</v>
      </c>
      <c r="M450" s="394" t="e">
        <f ca="1">IF(NOT(OFFSET(Data!E453,0,MATCH('Delta Beta'!$C$5,Data!$B$4:$Q$4,0)-1)=""),OFFSET(Data!E453,0,MATCH('Delta Beta'!$C$5,Data!$B$4:$Q$4,0)-1),#N/A)-$C$8/250</f>
        <v>#N/A</v>
      </c>
      <c r="N450" s="395"/>
      <c r="R450" s="391"/>
    </row>
    <row r="451" spans="12:18">
      <c r="L451" s="394" t="e">
        <f ca="1">IF(NOT(OFFSET(Data!E454,0,MATCH('Delta Beta'!$C$5,Data!$B$4:$Q$4,0)-3)=""),OFFSET(Data!E454,0,MATCH('Delta Beta'!$C$5,Data!$B$4:$Q$4,0)-3),#N/A)-$C$8/250</f>
        <v>#N/A</v>
      </c>
      <c r="M451" s="394" t="e">
        <f ca="1">IF(NOT(OFFSET(Data!E454,0,MATCH('Delta Beta'!$C$5,Data!$B$4:$Q$4,0)-1)=""),OFFSET(Data!E454,0,MATCH('Delta Beta'!$C$5,Data!$B$4:$Q$4,0)-1),#N/A)-$C$8/250</f>
        <v>#N/A</v>
      </c>
      <c r="N451" s="395"/>
      <c r="R451" s="391"/>
    </row>
    <row r="452" spans="12:18">
      <c r="L452" s="394" t="e">
        <f ca="1">IF(NOT(OFFSET(Data!E455,0,MATCH('Delta Beta'!$C$5,Data!$B$4:$Q$4,0)-3)=""),OFFSET(Data!E455,0,MATCH('Delta Beta'!$C$5,Data!$B$4:$Q$4,0)-3),#N/A)-$C$8/250</f>
        <v>#N/A</v>
      </c>
      <c r="M452" s="394" t="e">
        <f ca="1">IF(NOT(OFFSET(Data!E455,0,MATCH('Delta Beta'!$C$5,Data!$B$4:$Q$4,0)-1)=""),OFFSET(Data!E455,0,MATCH('Delta Beta'!$C$5,Data!$B$4:$Q$4,0)-1),#N/A)-$C$8/250</f>
        <v>#N/A</v>
      </c>
      <c r="N452" s="395"/>
      <c r="R452" s="391"/>
    </row>
    <row r="453" spans="12:18">
      <c r="L453" s="394" t="e">
        <f ca="1">IF(NOT(OFFSET(Data!E456,0,MATCH('Delta Beta'!$C$5,Data!$B$4:$Q$4,0)-3)=""),OFFSET(Data!E456,0,MATCH('Delta Beta'!$C$5,Data!$B$4:$Q$4,0)-3),#N/A)-$C$8/250</f>
        <v>#N/A</v>
      </c>
      <c r="M453" s="394" t="e">
        <f ca="1">IF(NOT(OFFSET(Data!E456,0,MATCH('Delta Beta'!$C$5,Data!$B$4:$Q$4,0)-1)=""),OFFSET(Data!E456,0,MATCH('Delta Beta'!$C$5,Data!$B$4:$Q$4,0)-1),#N/A)-$C$8/250</f>
        <v>#N/A</v>
      </c>
      <c r="N453" s="395"/>
      <c r="R453" s="391"/>
    </row>
    <row r="454" spans="12:18">
      <c r="L454" s="394" t="e">
        <f ca="1">IF(NOT(OFFSET(Data!E457,0,MATCH('Delta Beta'!$C$5,Data!$B$4:$Q$4,0)-3)=""),OFFSET(Data!E457,0,MATCH('Delta Beta'!$C$5,Data!$B$4:$Q$4,0)-3),#N/A)-$C$8/250</f>
        <v>#N/A</v>
      </c>
      <c r="M454" s="394" t="e">
        <f ca="1">IF(NOT(OFFSET(Data!E457,0,MATCH('Delta Beta'!$C$5,Data!$B$4:$Q$4,0)-1)=""),OFFSET(Data!E457,0,MATCH('Delta Beta'!$C$5,Data!$B$4:$Q$4,0)-1),#N/A)-$C$8/250</f>
        <v>#N/A</v>
      </c>
      <c r="N454" s="395"/>
      <c r="R454" s="391"/>
    </row>
    <row r="455" spans="12:18">
      <c r="L455" s="394" t="e">
        <f ca="1">IF(NOT(OFFSET(Data!E458,0,MATCH('Delta Beta'!$C$5,Data!$B$4:$Q$4,0)-3)=""),OFFSET(Data!E458,0,MATCH('Delta Beta'!$C$5,Data!$B$4:$Q$4,0)-3),#N/A)-$C$8/250</f>
        <v>#N/A</v>
      </c>
      <c r="M455" s="394" t="e">
        <f ca="1">IF(NOT(OFFSET(Data!E458,0,MATCH('Delta Beta'!$C$5,Data!$B$4:$Q$4,0)-1)=""),OFFSET(Data!E458,0,MATCH('Delta Beta'!$C$5,Data!$B$4:$Q$4,0)-1),#N/A)-$C$8/250</f>
        <v>#N/A</v>
      </c>
      <c r="N455" s="395"/>
      <c r="R455" s="391"/>
    </row>
    <row r="456" spans="12:18">
      <c r="L456" s="394" t="e">
        <f ca="1">IF(NOT(OFFSET(Data!E459,0,MATCH('Delta Beta'!$C$5,Data!$B$4:$Q$4,0)-3)=""),OFFSET(Data!E459,0,MATCH('Delta Beta'!$C$5,Data!$B$4:$Q$4,0)-3),#N/A)-$C$8/250</f>
        <v>#N/A</v>
      </c>
      <c r="M456" s="394" t="e">
        <f ca="1">IF(NOT(OFFSET(Data!E459,0,MATCH('Delta Beta'!$C$5,Data!$B$4:$Q$4,0)-1)=""),OFFSET(Data!E459,0,MATCH('Delta Beta'!$C$5,Data!$B$4:$Q$4,0)-1),#N/A)-$C$8/250</f>
        <v>#N/A</v>
      </c>
      <c r="N456" s="395"/>
      <c r="R456" s="391"/>
    </row>
    <row r="457" spans="12:18">
      <c r="L457" s="394" t="e">
        <f ca="1">IF(NOT(OFFSET(Data!E460,0,MATCH('Delta Beta'!$C$5,Data!$B$4:$Q$4,0)-3)=""),OFFSET(Data!E460,0,MATCH('Delta Beta'!$C$5,Data!$B$4:$Q$4,0)-3),#N/A)-$C$8/250</f>
        <v>#N/A</v>
      </c>
      <c r="M457" s="394" t="e">
        <f ca="1">IF(NOT(OFFSET(Data!E460,0,MATCH('Delta Beta'!$C$5,Data!$B$4:$Q$4,0)-1)=""),OFFSET(Data!E460,0,MATCH('Delta Beta'!$C$5,Data!$B$4:$Q$4,0)-1),#N/A)-$C$8/250</f>
        <v>#N/A</v>
      </c>
      <c r="N457" s="395"/>
      <c r="R457" s="391"/>
    </row>
    <row r="458" spans="12:18">
      <c r="L458" s="394" t="e">
        <f ca="1">IF(NOT(OFFSET(Data!E461,0,MATCH('Delta Beta'!$C$5,Data!$B$4:$Q$4,0)-3)=""),OFFSET(Data!E461,0,MATCH('Delta Beta'!$C$5,Data!$B$4:$Q$4,0)-3),#N/A)-$C$8/250</f>
        <v>#N/A</v>
      </c>
      <c r="M458" s="394" t="e">
        <f ca="1">IF(NOT(OFFSET(Data!E461,0,MATCH('Delta Beta'!$C$5,Data!$B$4:$Q$4,0)-1)=""),OFFSET(Data!E461,0,MATCH('Delta Beta'!$C$5,Data!$B$4:$Q$4,0)-1),#N/A)-$C$8/250</f>
        <v>#N/A</v>
      </c>
      <c r="N458" s="395"/>
      <c r="R458" s="391"/>
    </row>
    <row r="459" spans="12:18">
      <c r="L459" s="394" t="e">
        <f ca="1">IF(NOT(OFFSET(Data!E462,0,MATCH('Delta Beta'!$C$5,Data!$B$4:$Q$4,0)-3)=""),OFFSET(Data!E462,0,MATCH('Delta Beta'!$C$5,Data!$B$4:$Q$4,0)-3),#N/A)-$C$8/250</f>
        <v>#N/A</v>
      </c>
      <c r="M459" s="394" t="e">
        <f ca="1">IF(NOT(OFFSET(Data!E462,0,MATCH('Delta Beta'!$C$5,Data!$B$4:$Q$4,0)-1)=""),OFFSET(Data!E462,0,MATCH('Delta Beta'!$C$5,Data!$B$4:$Q$4,0)-1),#N/A)-$C$8/250</f>
        <v>#N/A</v>
      </c>
      <c r="N459" s="395"/>
      <c r="R459" s="391"/>
    </row>
    <row r="460" spans="12:18">
      <c r="L460" s="394" t="e">
        <f ca="1">IF(NOT(OFFSET(Data!E463,0,MATCH('Delta Beta'!$C$5,Data!$B$4:$Q$4,0)-3)=""),OFFSET(Data!E463,0,MATCH('Delta Beta'!$C$5,Data!$B$4:$Q$4,0)-3),#N/A)-$C$8/250</f>
        <v>#N/A</v>
      </c>
      <c r="M460" s="394" t="e">
        <f ca="1">IF(NOT(OFFSET(Data!E463,0,MATCH('Delta Beta'!$C$5,Data!$B$4:$Q$4,0)-1)=""),OFFSET(Data!E463,0,MATCH('Delta Beta'!$C$5,Data!$B$4:$Q$4,0)-1),#N/A)-$C$8/250</f>
        <v>#N/A</v>
      </c>
      <c r="N460" s="395"/>
      <c r="R460" s="391"/>
    </row>
    <row r="461" spans="12:18">
      <c r="L461" s="394" t="e">
        <f ca="1">IF(NOT(OFFSET(Data!E464,0,MATCH('Delta Beta'!$C$5,Data!$B$4:$Q$4,0)-3)=""),OFFSET(Data!E464,0,MATCH('Delta Beta'!$C$5,Data!$B$4:$Q$4,0)-3),#N/A)-$C$8/250</f>
        <v>#N/A</v>
      </c>
      <c r="M461" s="394" t="e">
        <f ca="1">IF(NOT(OFFSET(Data!E464,0,MATCH('Delta Beta'!$C$5,Data!$B$4:$Q$4,0)-1)=""),OFFSET(Data!E464,0,MATCH('Delta Beta'!$C$5,Data!$B$4:$Q$4,0)-1),#N/A)-$C$8/250</f>
        <v>#N/A</v>
      </c>
      <c r="N461" s="395"/>
      <c r="R461" s="391"/>
    </row>
    <row r="462" spans="12:18">
      <c r="L462" s="394" t="e">
        <f ca="1">IF(NOT(OFFSET(Data!E465,0,MATCH('Delta Beta'!$C$5,Data!$B$4:$Q$4,0)-3)=""),OFFSET(Data!E465,0,MATCH('Delta Beta'!$C$5,Data!$B$4:$Q$4,0)-3),#N/A)-$C$8/250</f>
        <v>#N/A</v>
      </c>
      <c r="M462" s="394" t="e">
        <f ca="1">IF(NOT(OFFSET(Data!E465,0,MATCH('Delta Beta'!$C$5,Data!$B$4:$Q$4,0)-1)=""),OFFSET(Data!E465,0,MATCH('Delta Beta'!$C$5,Data!$B$4:$Q$4,0)-1),#N/A)-$C$8/250</f>
        <v>#N/A</v>
      </c>
      <c r="N462" s="395"/>
      <c r="R462" s="391"/>
    </row>
    <row r="463" spans="12:18">
      <c r="L463" s="394" t="e">
        <f ca="1">IF(NOT(OFFSET(Data!E466,0,MATCH('Delta Beta'!$C$5,Data!$B$4:$Q$4,0)-3)=""),OFFSET(Data!E466,0,MATCH('Delta Beta'!$C$5,Data!$B$4:$Q$4,0)-3),#N/A)-$C$8/250</f>
        <v>#N/A</v>
      </c>
      <c r="M463" s="394" t="e">
        <f ca="1">IF(NOT(OFFSET(Data!E466,0,MATCH('Delta Beta'!$C$5,Data!$B$4:$Q$4,0)-1)=""),OFFSET(Data!E466,0,MATCH('Delta Beta'!$C$5,Data!$B$4:$Q$4,0)-1),#N/A)-$C$8/250</f>
        <v>#N/A</v>
      </c>
      <c r="N463" s="395"/>
      <c r="R463" s="391"/>
    </row>
    <row r="464" spans="12:18">
      <c r="L464" s="394" t="e">
        <f ca="1">IF(NOT(OFFSET(Data!E467,0,MATCH('Delta Beta'!$C$5,Data!$B$4:$Q$4,0)-3)=""),OFFSET(Data!E467,0,MATCH('Delta Beta'!$C$5,Data!$B$4:$Q$4,0)-3),#N/A)-$C$8/250</f>
        <v>#N/A</v>
      </c>
      <c r="M464" s="394" t="e">
        <f ca="1">IF(NOT(OFFSET(Data!E467,0,MATCH('Delta Beta'!$C$5,Data!$B$4:$Q$4,0)-1)=""),OFFSET(Data!E467,0,MATCH('Delta Beta'!$C$5,Data!$B$4:$Q$4,0)-1),#N/A)-$C$8/250</f>
        <v>#N/A</v>
      </c>
      <c r="N464" s="395"/>
      <c r="R464" s="391"/>
    </row>
    <row r="465" spans="12:18">
      <c r="L465" s="394" t="e">
        <f ca="1">IF(NOT(OFFSET(Data!E468,0,MATCH('Delta Beta'!$C$5,Data!$B$4:$Q$4,0)-3)=""),OFFSET(Data!E468,0,MATCH('Delta Beta'!$C$5,Data!$B$4:$Q$4,0)-3),#N/A)-$C$8/250</f>
        <v>#N/A</v>
      </c>
      <c r="M465" s="394" t="e">
        <f ca="1">IF(NOT(OFFSET(Data!E468,0,MATCH('Delta Beta'!$C$5,Data!$B$4:$Q$4,0)-1)=""),OFFSET(Data!E468,0,MATCH('Delta Beta'!$C$5,Data!$B$4:$Q$4,0)-1),#N/A)-$C$8/250</f>
        <v>#N/A</v>
      </c>
      <c r="N465" s="395"/>
      <c r="R465" s="391"/>
    </row>
    <row r="466" spans="12:18">
      <c r="L466" s="394" t="e">
        <f ca="1">IF(NOT(OFFSET(Data!E469,0,MATCH('Delta Beta'!$C$5,Data!$B$4:$Q$4,0)-3)=""),OFFSET(Data!E469,0,MATCH('Delta Beta'!$C$5,Data!$B$4:$Q$4,0)-3),#N/A)-$C$8/250</f>
        <v>#N/A</v>
      </c>
      <c r="M466" s="394" t="e">
        <f ca="1">IF(NOT(OFFSET(Data!E469,0,MATCH('Delta Beta'!$C$5,Data!$B$4:$Q$4,0)-1)=""),OFFSET(Data!E469,0,MATCH('Delta Beta'!$C$5,Data!$B$4:$Q$4,0)-1),#N/A)-$C$8/250</f>
        <v>#N/A</v>
      </c>
      <c r="N466" s="395"/>
      <c r="R466" s="391"/>
    </row>
    <row r="467" spans="12:18">
      <c r="L467" s="394" t="e">
        <f ca="1">IF(NOT(OFFSET(Data!E470,0,MATCH('Delta Beta'!$C$5,Data!$B$4:$Q$4,0)-3)=""),OFFSET(Data!E470,0,MATCH('Delta Beta'!$C$5,Data!$B$4:$Q$4,0)-3),#N/A)-$C$8/250</f>
        <v>#N/A</v>
      </c>
      <c r="M467" s="394" t="e">
        <f ca="1">IF(NOT(OFFSET(Data!E470,0,MATCH('Delta Beta'!$C$5,Data!$B$4:$Q$4,0)-1)=""),OFFSET(Data!E470,0,MATCH('Delta Beta'!$C$5,Data!$B$4:$Q$4,0)-1),#N/A)-$C$8/250</f>
        <v>#N/A</v>
      </c>
      <c r="N467" s="395"/>
      <c r="R467" s="391"/>
    </row>
    <row r="468" spans="12:18">
      <c r="L468" s="394" t="e">
        <f ca="1">IF(NOT(OFFSET(Data!E471,0,MATCH('Delta Beta'!$C$5,Data!$B$4:$Q$4,0)-3)=""),OFFSET(Data!E471,0,MATCH('Delta Beta'!$C$5,Data!$B$4:$Q$4,0)-3),#N/A)-$C$8/250</f>
        <v>#N/A</v>
      </c>
      <c r="M468" s="394" t="e">
        <f ca="1">IF(NOT(OFFSET(Data!E471,0,MATCH('Delta Beta'!$C$5,Data!$B$4:$Q$4,0)-1)=""),OFFSET(Data!E471,0,MATCH('Delta Beta'!$C$5,Data!$B$4:$Q$4,0)-1),#N/A)-$C$8/250</f>
        <v>#N/A</v>
      </c>
      <c r="N468" s="395"/>
      <c r="R468" s="391"/>
    </row>
    <row r="469" spans="12:18">
      <c r="L469" s="394" t="e">
        <f ca="1">IF(NOT(OFFSET(Data!E472,0,MATCH('Delta Beta'!$C$5,Data!$B$4:$Q$4,0)-3)=""),OFFSET(Data!E472,0,MATCH('Delta Beta'!$C$5,Data!$B$4:$Q$4,0)-3),#N/A)-$C$8/250</f>
        <v>#N/A</v>
      </c>
      <c r="M469" s="394" t="e">
        <f ca="1">IF(NOT(OFFSET(Data!E472,0,MATCH('Delta Beta'!$C$5,Data!$B$4:$Q$4,0)-1)=""),OFFSET(Data!E472,0,MATCH('Delta Beta'!$C$5,Data!$B$4:$Q$4,0)-1),#N/A)-$C$8/250</f>
        <v>#N/A</v>
      </c>
      <c r="N469" s="395"/>
      <c r="R469" s="391"/>
    </row>
    <row r="470" spans="12:18">
      <c r="L470" s="394" t="e">
        <f ca="1">IF(NOT(OFFSET(Data!E473,0,MATCH('Delta Beta'!$C$5,Data!$B$4:$Q$4,0)-3)=""),OFFSET(Data!E473,0,MATCH('Delta Beta'!$C$5,Data!$B$4:$Q$4,0)-3),#N/A)-$C$8/250</f>
        <v>#N/A</v>
      </c>
      <c r="M470" s="394" t="e">
        <f ca="1">IF(NOT(OFFSET(Data!E473,0,MATCH('Delta Beta'!$C$5,Data!$B$4:$Q$4,0)-1)=""),OFFSET(Data!E473,0,MATCH('Delta Beta'!$C$5,Data!$B$4:$Q$4,0)-1),#N/A)-$C$8/250</f>
        <v>#N/A</v>
      </c>
      <c r="N470" s="395"/>
      <c r="R470" s="391"/>
    </row>
    <row r="471" spans="12:18">
      <c r="L471" s="394" t="e">
        <f ca="1">IF(NOT(OFFSET(Data!E474,0,MATCH('Delta Beta'!$C$5,Data!$B$4:$Q$4,0)-3)=""),OFFSET(Data!E474,0,MATCH('Delta Beta'!$C$5,Data!$B$4:$Q$4,0)-3),#N/A)-$C$8/250</f>
        <v>#N/A</v>
      </c>
      <c r="M471" s="394" t="e">
        <f ca="1">IF(NOT(OFFSET(Data!E474,0,MATCH('Delta Beta'!$C$5,Data!$B$4:$Q$4,0)-1)=""),OFFSET(Data!E474,0,MATCH('Delta Beta'!$C$5,Data!$B$4:$Q$4,0)-1),#N/A)-$C$8/250</f>
        <v>#N/A</v>
      </c>
      <c r="N471" s="395"/>
      <c r="R471" s="391"/>
    </row>
    <row r="472" spans="12:18">
      <c r="L472" s="394" t="e">
        <f ca="1">IF(NOT(OFFSET(Data!E475,0,MATCH('Delta Beta'!$C$5,Data!$B$4:$Q$4,0)-3)=""),OFFSET(Data!E475,0,MATCH('Delta Beta'!$C$5,Data!$B$4:$Q$4,0)-3),#N/A)-$C$8/250</f>
        <v>#N/A</v>
      </c>
      <c r="M472" s="394" t="e">
        <f ca="1">IF(NOT(OFFSET(Data!E475,0,MATCH('Delta Beta'!$C$5,Data!$B$4:$Q$4,0)-1)=""),OFFSET(Data!E475,0,MATCH('Delta Beta'!$C$5,Data!$B$4:$Q$4,0)-1),#N/A)-$C$8/250</f>
        <v>#N/A</v>
      </c>
      <c r="N472" s="395"/>
      <c r="R472" s="391"/>
    </row>
    <row r="473" spans="12:18">
      <c r="L473" s="394" t="e">
        <f ca="1">IF(NOT(OFFSET(Data!E476,0,MATCH('Delta Beta'!$C$5,Data!$B$4:$Q$4,0)-3)=""),OFFSET(Data!E476,0,MATCH('Delta Beta'!$C$5,Data!$B$4:$Q$4,0)-3),#N/A)-$C$8/250</f>
        <v>#N/A</v>
      </c>
      <c r="M473" s="394" t="e">
        <f ca="1">IF(NOT(OFFSET(Data!E476,0,MATCH('Delta Beta'!$C$5,Data!$B$4:$Q$4,0)-1)=""),OFFSET(Data!E476,0,MATCH('Delta Beta'!$C$5,Data!$B$4:$Q$4,0)-1),#N/A)-$C$8/250</f>
        <v>#N/A</v>
      </c>
      <c r="N473" s="395"/>
      <c r="R473" s="391"/>
    </row>
    <row r="474" spans="12:18">
      <c r="L474" s="394" t="e">
        <f ca="1">IF(NOT(OFFSET(Data!E477,0,MATCH('Delta Beta'!$C$5,Data!$B$4:$Q$4,0)-3)=""),OFFSET(Data!E477,0,MATCH('Delta Beta'!$C$5,Data!$B$4:$Q$4,0)-3),#N/A)-$C$8/250</f>
        <v>#N/A</v>
      </c>
      <c r="M474" s="394" t="e">
        <f ca="1">IF(NOT(OFFSET(Data!E477,0,MATCH('Delta Beta'!$C$5,Data!$B$4:$Q$4,0)-1)=""),OFFSET(Data!E477,0,MATCH('Delta Beta'!$C$5,Data!$B$4:$Q$4,0)-1),#N/A)-$C$8/250</f>
        <v>#N/A</v>
      </c>
      <c r="N474" s="395"/>
      <c r="R474" s="391"/>
    </row>
    <row r="475" spans="12:18">
      <c r="L475" s="394" t="e">
        <f ca="1">IF(NOT(OFFSET(Data!E478,0,MATCH('Delta Beta'!$C$5,Data!$B$4:$Q$4,0)-3)=""),OFFSET(Data!E478,0,MATCH('Delta Beta'!$C$5,Data!$B$4:$Q$4,0)-3),#N/A)-$C$8/250</f>
        <v>#N/A</v>
      </c>
      <c r="M475" s="394" t="e">
        <f ca="1">IF(NOT(OFFSET(Data!E478,0,MATCH('Delta Beta'!$C$5,Data!$B$4:$Q$4,0)-1)=""),OFFSET(Data!E478,0,MATCH('Delta Beta'!$C$5,Data!$B$4:$Q$4,0)-1),#N/A)-$C$8/250</f>
        <v>#N/A</v>
      </c>
      <c r="N475" s="395"/>
      <c r="R475" s="391"/>
    </row>
    <row r="476" spans="12:18">
      <c r="L476" s="394" t="e">
        <f ca="1">IF(NOT(OFFSET(Data!E479,0,MATCH('Delta Beta'!$C$5,Data!$B$4:$Q$4,0)-3)=""),OFFSET(Data!E479,0,MATCH('Delta Beta'!$C$5,Data!$B$4:$Q$4,0)-3),#N/A)-$C$8/250</f>
        <v>#N/A</v>
      </c>
      <c r="M476" s="394" t="e">
        <f ca="1">IF(NOT(OFFSET(Data!E479,0,MATCH('Delta Beta'!$C$5,Data!$B$4:$Q$4,0)-1)=""),OFFSET(Data!E479,0,MATCH('Delta Beta'!$C$5,Data!$B$4:$Q$4,0)-1),#N/A)-$C$8/250</f>
        <v>#N/A</v>
      </c>
      <c r="N476" s="395"/>
      <c r="R476" s="391"/>
    </row>
    <row r="477" spans="12:18">
      <c r="L477" s="394" t="e">
        <f ca="1">IF(NOT(OFFSET(Data!E480,0,MATCH('Delta Beta'!$C$5,Data!$B$4:$Q$4,0)-3)=""),OFFSET(Data!E480,0,MATCH('Delta Beta'!$C$5,Data!$B$4:$Q$4,0)-3),#N/A)-$C$8/250</f>
        <v>#N/A</v>
      </c>
      <c r="M477" s="394" t="e">
        <f ca="1">IF(NOT(OFFSET(Data!E480,0,MATCH('Delta Beta'!$C$5,Data!$B$4:$Q$4,0)-1)=""),OFFSET(Data!E480,0,MATCH('Delta Beta'!$C$5,Data!$B$4:$Q$4,0)-1),#N/A)-$C$8/250</f>
        <v>#N/A</v>
      </c>
      <c r="N477" s="395"/>
      <c r="R477" s="391"/>
    </row>
    <row r="478" spans="12:18">
      <c r="L478" s="394" t="e">
        <f ca="1">IF(NOT(OFFSET(Data!E481,0,MATCH('Delta Beta'!$C$5,Data!$B$4:$Q$4,0)-3)=""),OFFSET(Data!E481,0,MATCH('Delta Beta'!$C$5,Data!$B$4:$Q$4,0)-3),#N/A)-$C$8/250</f>
        <v>#N/A</v>
      </c>
      <c r="M478" s="394" t="e">
        <f ca="1">IF(NOT(OFFSET(Data!E481,0,MATCH('Delta Beta'!$C$5,Data!$B$4:$Q$4,0)-1)=""),OFFSET(Data!E481,0,MATCH('Delta Beta'!$C$5,Data!$B$4:$Q$4,0)-1),#N/A)-$C$8/250</f>
        <v>#N/A</v>
      </c>
      <c r="N478" s="395"/>
      <c r="R478" s="391"/>
    </row>
    <row r="479" spans="12:18">
      <c r="L479" s="394" t="e">
        <f ca="1">IF(NOT(OFFSET(Data!E482,0,MATCH('Delta Beta'!$C$5,Data!$B$4:$Q$4,0)-3)=""),OFFSET(Data!E482,0,MATCH('Delta Beta'!$C$5,Data!$B$4:$Q$4,0)-3),#N/A)-$C$8/250</f>
        <v>#N/A</v>
      </c>
      <c r="M479" s="394" t="e">
        <f ca="1">IF(NOT(OFFSET(Data!E482,0,MATCH('Delta Beta'!$C$5,Data!$B$4:$Q$4,0)-1)=""),OFFSET(Data!E482,0,MATCH('Delta Beta'!$C$5,Data!$B$4:$Q$4,0)-1),#N/A)-$C$8/250</f>
        <v>#N/A</v>
      </c>
      <c r="N479" s="395"/>
      <c r="R479" s="391"/>
    </row>
    <row r="480" spans="12:18">
      <c r="L480" s="394" t="e">
        <f ca="1">IF(NOT(OFFSET(Data!E483,0,MATCH('Delta Beta'!$C$5,Data!$B$4:$Q$4,0)-3)=""),OFFSET(Data!E483,0,MATCH('Delta Beta'!$C$5,Data!$B$4:$Q$4,0)-3),#N/A)-$C$8/250</f>
        <v>#N/A</v>
      </c>
      <c r="M480" s="394" t="e">
        <f ca="1">IF(NOT(OFFSET(Data!E483,0,MATCH('Delta Beta'!$C$5,Data!$B$4:$Q$4,0)-1)=""),OFFSET(Data!E483,0,MATCH('Delta Beta'!$C$5,Data!$B$4:$Q$4,0)-1),#N/A)-$C$8/250</f>
        <v>#N/A</v>
      </c>
      <c r="N480" s="395"/>
      <c r="R480" s="391"/>
    </row>
    <row r="481" spans="12:18">
      <c r="L481" s="394" t="e">
        <f ca="1">IF(NOT(OFFSET(Data!E484,0,MATCH('Delta Beta'!$C$5,Data!$B$4:$Q$4,0)-3)=""),OFFSET(Data!E484,0,MATCH('Delta Beta'!$C$5,Data!$B$4:$Q$4,0)-3),#N/A)-$C$8/250</f>
        <v>#N/A</v>
      </c>
      <c r="M481" s="394" t="e">
        <f ca="1">IF(NOT(OFFSET(Data!E484,0,MATCH('Delta Beta'!$C$5,Data!$B$4:$Q$4,0)-1)=""),OFFSET(Data!E484,0,MATCH('Delta Beta'!$C$5,Data!$B$4:$Q$4,0)-1),#N/A)-$C$8/250</f>
        <v>#N/A</v>
      </c>
      <c r="N481" s="395"/>
      <c r="R481" s="391"/>
    </row>
    <row r="482" spans="12:18">
      <c r="L482" s="394" t="e">
        <f ca="1">IF(NOT(OFFSET(Data!E485,0,MATCH('Delta Beta'!$C$5,Data!$B$4:$Q$4,0)-3)=""),OFFSET(Data!E485,0,MATCH('Delta Beta'!$C$5,Data!$B$4:$Q$4,0)-3),#N/A)-$C$8/250</f>
        <v>#N/A</v>
      </c>
      <c r="M482" s="394" t="e">
        <f ca="1">IF(NOT(OFFSET(Data!E485,0,MATCH('Delta Beta'!$C$5,Data!$B$4:$Q$4,0)-1)=""),OFFSET(Data!E485,0,MATCH('Delta Beta'!$C$5,Data!$B$4:$Q$4,0)-1),#N/A)-$C$8/250</f>
        <v>#N/A</v>
      </c>
      <c r="N482" s="395"/>
      <c r="R482" s="391"/>
    </row>
    <row r="483" spans="12:18">
      <c r="L483" s="394" t="e">
        <f ca="1">IF(NOT(OFFSET(Data!E486,0,MATCH('Delta Beta'!$C$5,Data!$B$4:$Q$4,0)-3)=""),OFFSET(Data!E486,0,MATCH('Delta Beta'!$C$5,Data!$B$4:$Q$4,0)-3),#N/A)-$C$8/250</f>
        <v>#N/A</v>
      </c>
      <c r="M483" s="394" t="e">
        <f ca="1">IF(NOT(OFFSET(Data!E486,0,MATCH('Delta Beta'!$C$5,Data!$B$4:$Q$4,0)-1)=""),OFFSET(Data!E486,0,MATCH('Delta Beta'!$C$5,Data!$B$4:$Q$4,0)-1),#N/A)-$C$8/250</f>
        <v>#N/A</v>
      </c>
      <c r="N483" s="395"/>
      <c r="R483" s="391"/>
    </row>
    <row r="484" spans="12:18">
      <c r="L484" s="394" t="e">
        <f ca="1">IF(NOT(OFFSET(Data!E487,0,MATCH('Delta Beta'!$C$5,Data!$B$4:$Q$4,0)-3)=""),OFFSET(Data!E487,0,MATCH('Delta Beta'!$C$5,Data!$B$4:$Q$4,0)-3),#N/A)-$C$8/250</f>
        <v>#N/A</v>
      </c>
      <c r="M484" s="394" t="e">
        <f ca="1">IF(NOT(OFFSET(Data!E487,0,MATCH('Delta Beta'!$C$5,Data!$B$4:$Q$4,0)-1)=""),OFFSET(Data!E487,0,MATCH('Delta Beta'!$C$5,Data!$B$4:$Q$4,0)-1),#N/A)-$C$8/250</f>
        <v>#N/A</v>
      </c>
      <c r="N484" s="395"/>
      <c r="R484" s="391"/>
    </row>
    <row r="485" spans="12:18">
      <c r="L485" s="394" t="e">
        <f ca="1">IF(NOT(OFFSET(Data!E488,0,MATCH('Delta Beta'!$C$5,Data!$B$4:$Q$4,0)-3)=""),OFFSET(Data!E488,0,MATCH('Delta Beta'!$C$5,Data!$B$4:$Q$4,0)-3),#N/A)-$C$8/250</f>
        <v>#N/A</v>
      </c>
      <c r="M485" s="394" t="e">
        <f ca="1">IF(NOT(OFFSET(Data!E488,0,MATCH('Delta Beta'!$C$5,Data!$B$4:$Q$4,0)-1)=""),OFFSET(Data!E488,0,MATCH('Delta Beta'!$C$5,Data!$B$4:$Q$4,0)-1),#N/A)-$C$8/250</f>
        <v>#N/A</v>
      </c>
      <c r="N485" s="395"/>
      <c r="R485" s="391"/>
    </row>
    <row r="486" spans="12:18">
      <c r="L486" s="394" t="e">
        <f ca="1">IF(NOT(OFFSET(Data!E489,0,MATCH('Delta Beta'!$C$5,Data!$B$4:$Q$4,0)-3)=""),OFFSET(Data!E489,0,MATCH('Delta Beta'!$C$5,Data!$B$4:$Q$4,0)-3),#N/A)-$C$8/250</f>
        <v>#N/A</v>
      </c>
      <c r="M486" s="394" t="e">
        <f ca="1">IF(NOT(OFFSET(Data!E489,0,MATCH('Delta Beta'!$C$5,Data!$B$4:$Q$4,0)-1)=""),OFFSET(Data!E489,0,MATCH('Delta Beta'!$C$5,Data!$B$4:$Q$4,0)-1),#N/A)-$C$8/250</f>
        <v>#N/A</v>
      </c>
      <c r="N486" s="395"/>
      <c r="R486" s="391"/>
    </row>
    <row r="487" spans="12:18">
      <c r="L487" s="394" t="e">
        <f ca="1">IF(NOT(OFFSET(Data!E490,0,MATCH('Delta Beta'!$C$5,Data!$B$4:$Q$4,0)-3)=""),OFFSET(Data!E490,0,MATCH('Delta Beta'!$C$5,Data!$B$4:$Q$4,0)-3),#N/A)-$C$8/250</f>
        <v>#N/A</v>
      </c>
      <c r="M487" s="394" t="e">
        <f ca="1">IF(NOT(OFFSET(Data!E490,0,MATCH('Delta Beta'!$C$5,Data!$B$4:$Q$4,0)-1)=""),OFFSET(Data!E490,0,MATCH('Delta Beta'!$C$5,Data!$B$4:$Q$4,0)-1),#N/A)-$C$8/250</f>
        <v>#N/A</v>
      </c>
      <c r="N487" s="395"/>
      <c r="R487" s="391"/>
    </row>
    <row r="488" spans="12:18">
      <c r="L488" s="394" t="e">
        <f ca="1">IF(NOT(OFFSET(Data!E491,0,MATCH('Delta Beta'!$C$5,Data!$B$4:$Q$4,0)-3)=""),OFFSET(Data!E491,0,MATCH('Delta Beta'!$C$5,Data!$B$4:$Q$4,0)-3),#N/A)-$C$8/250</f>
        <v>#N/A</v>
      </c>
      <c r="M488" s="394" t="e">
        <f ca="1">IF(NOT(OFFSET(Data!E491,0,MATCH('Delta Beta'!$C$5,Data!$B$4:$Q$4,0)-1)=""),OFFSET(Data!E491,0,MATCH('Delta Beta'!$C$5,Data!$B$4:$Q$4,0)-1),#N/A)-$C$8/250</f>
        <v>#N/A</v>
      </c>
      <c r="N488" s="395"/>
      <c r="R488" s="391"/>
    </row>
    <row r="489" spans="12:18">
      <c r="L489" s="394" t="e">
        <f ca="1">IF(NOT(OFFSET(Data!E492,0,MATCH('Delta Beta'!$C$5,Data!$B$4:$Q$4,0)-3)=""),OFFSET(Data!E492,0,MATCH('Delta Beta'!$C$5,Data!$B$4:$Q$4,0)-3),#N/A)-$C$8/250</f>
        <v>#N/A</v>
      </c>
      <c r="M489" s="394" t="e">
        <f ca="1">IF(NOT(OFFSET(Data!E492,0,MATCH('Delta Beta'!$C$5,Data!$B$4:$Q$4,0)-1)=""),OFFSET(Data!E492,0,MATCH('Delta Beta'!$C$5,Data!$B$4:$Q$4,0)-1),#N/A)-$C$8/250</f>
        <v>#N/A</v>
      </c>
      <c r="N489" s="395"/>
      <c r="R489" s="391"/>
    </row>
    <row r="490" spans="12:18">
      <c r="L490" s="394" t="e">
        <f ca="1">IF(NOT(OFFSET(Data!E493,0,MATCH('Delta Beta'!$C$5,Data!$B$4:$Q$4,0)-3)=""),OFFSET(Data!E493,0,MATCH('Delta Beta'!$C$5,Data!$B$4:$Q$4,0)-3),#N/A)-$C$8/250</f>
        <v>#N/A</v>
      </c>
      <c r="M490" s="394" t="e">
        <f ca="1">IF(NOT(OFFSET(Data!E493,0,MATCH('Delta Beta'!$C$5,Data!$B$4:$Q$4,0)-1)=""),OFFSET(Data!E493,0,MATCH('Delta Beta'!$C$5,Data!$B$4:$Q$4,0)-1),#N/A)-$C$8/250</f>
        <v>#N/A</v>
      </c>
      <c r="N490" s="395"/>
      <c r="R490" s="391"/>
    </row>
    <row r="491" spans="12:18">
      <c r="L491" s="394" t="e">
        <f ca="1">IF(NOT(OFFSET(Data!E494,0,MATCH('Delta Beta'!$C$5,Data!$B$4:$Q$4,0)-3)=""),OFFSET(Data!E494,0,MATCH('Delta Beta'!$C$5,Data!$B$4:$Q$4,0)-3),#N/A)-$C$8/250</f>
        <v>#N/A</v>
      </c>
      <c r="M491" s="394" t="e">
        <f ca="1">IF(NOT(OFFSET(Data!E494,0,MATCH('Delta Beta'!$C$5,Data!$B$4:$Q$4,0)-1)=""),OFFSET(Data!E494,0,MATCH('Delta Beta'!$C$5,Data!$B$4:$Q$4,0)-1),#N/A)-$C$8/250</f>
        <v>#N/A</v>
      </c>
      <c r="N491" s="395"/>
      <c r="R491" s="391"/>
    </row>
    <row r="492" spans="12:18">
      <c r="L492" s="394" t="e">
        <f ca="1">IF(NOT(OFFSET(Data!E495,0,MATCH('Delta Beta'!$C$5,Data!$B$4:$Q$4,0)-3)=""),OFFSET(Data!E495,0,MATCH('Delta Beta'!$C$5,Data!$B$4:$Q$4,0)-3),#N/A)-$C$8/250</f>
        <v>#N/A</v>
      </c>
      <c r="M492" s="394" t="e">
        <f ca="1">IF(NOT(OFFSET(Data!E495,0,MATCH('Delta Beta'!$C$5,Data!$B$4:$Q$4,0)-1)=""),OFFSET(Data!E495,0,MATCH('Delta Beta'!$C$5,Data!$B$4:$Q$4,0)-1),#N/A)-$C$8/250</f>
        <v>#N/A</v>
      </c>
      <c r="N492" s="395"/>
      <c r="R492" s="391"/>
    </row>
    <row r="493" spans="12:18">
      <c r="L493" s="394" t="e">
        <f ca="1">IF(NOT(OFFSET(Data!E496,0,MATCH('Delta Beta'!$C$5,Data!$B$4:$Q$4,0)-3)=""),OFFSET(Data!E496,0,MATCH('Delta Beta'!$C$5,Data!$B$4:$Q$4,0)-3),#N/A)-$C$8/250</f>
        <v>#N/A</v>
      </c>
      <c r="M493" s="394" t="e">
        <f ca="1">IF(NOT(OFFSET(Data!E496,0,MATCH('Delta Beta'!$C$5,Data!$B$4:$Q$4,0)-1)=""),OFFSET(Data!E496,0,MATCH('Delta Beta'!$C$5,Data!$B$4:$Q$4,0)-1),#N/A)-$C$8/250</f>
        <v>#N/A</v>
      </c>
      <c r="N493" s="395"/>
      <c r="R493" s="391"/>
    </row>
    <row r="494" spans="12:18">
      <c r="L494" s="394" t="e">
        <f ca="1">IF(NOT(OFFSET(Data!E497,0,MATCH('Delta Beta'!$C$5,Data!$B$4:$Q$4,0)-3)=""),OFFSET(Data!E497,0,MATCH('Delta Beta'!$C$5,Data!$B$4:$Q$4,0)-3),#N/A)-$C$8/250</f>
        <v>#N/A</v>
      </c>
      <c r="M494" s="394" t="e">
        <f ca="1">IF(NOT(OFFSET(Data!E497,0,MATCH('Delta Beta'!$C$5,Data!$B$4:$Q$4,0)-1)=""),OFFSET(Data!E497,0,MATCH('Delta Beta'!$C$5,Data!$B$4:$Q$4,0)-1),#N/A)-$C$8/250</f>
        <v>#N/A</v>
      </c>
      <c r="N494" s="395"/>
      <c r="R494" s="391"/>
    </row>
    <row r="495" spans="12:18">
      <c r="L495" s="394" t="e">
        <f ca="1">IF(NOT(OFFSET(Data!E498,0,MATCH('Delta Beta'!$C$5,Data!$B$4:$Q$4,0)-3)=""),OFFSET(Data!E498,0,MATCH('Delta Beta'!$C$5,Data!$B$4:$Q$4,0)-3),#N/A)-$C$8/250</f>
        <v>#N/A</v>
      </c>
      <c r="M495" s="394" t="e">
        <f ca="1">IF(NOT(OFFSET(Data!E498,0,MATCH('Delta Beta'!$C$5,Data!$B$4:$Q$4,0)-1)=""),OFFSET(Data!E498,0,MATCH('Delta Beta'!$C$5,Data!$B$4:$Q$4,0)-1),#N/A)-$C$8/250</f>
        <v>#N/A</v>
      </c>
      <c r="N495" s="395"/>
      <c r="R495" s="391"/>
    </row>
    <row r="496" spans="12:18">
      <c r="L496" s="394" t="e">
        <f ca="1">IF(NOT(OFFSET(Data!E499,0,MATCH('Delta Beta'!$C$5,Data!$B$4:$Q$4,0)-3)=""),OFFSET(Data!E499,0,MATCH('Delta Beta'!$C$5,Data!$B$4:$Q$4,0)-3),#N/A)-$C$8/250</f>
        <v>#N/A</v>
      </c>
      <c r="M496" s="394" t="e">
        <f ca="1">IF(NOT(OFFSET(Data!E499,0,MATCH('Delta Beta'!$C$5,Data!$B$4:$Q$4,0)-1)=""),OFFSET(Data!E499,0,MATCH('Delta Beta'!$C$5,Data!$B$4:$Q$4,0)-1),#N/A)-$C$8/250</f>
        <v>#N/A</v>
      </c>
      <c r="N496" s="395"/>
      <c r="R496" s="391"/>
    </row>
    <row r="497" spans="12:18">
      <c r="L497" s="394" t="e">
        <f ca="1">IF(NOT(OFFSET(Data!E500,0,MATCH('Delta Beta'!$C$5,Data!$B$4:$Q$4,0)-3)=""),OFFSET(Data!E500,0,MATCH('Delta Beta'!$C$5,Data!$B$4:$Q$4,0)-3),#N/A)-$C$8/250</f>
        <v>#N/A</v>
      </c>
      <c r="M497" s="394" t="e">
        <f ca="1">IF(NOT(OFFSET(Data!E500,0,MATCH('Delta Beta'!$C$5,Data!$B$4:$Q$4,0)-1)=""),OFFSET(Data!E500,0,MATCH('Delta Beta'!$C$5,Data!$B$4:$Q$4,0)-1),#N/A)-$C$8/250</f>
        <v>#N/A</v>
      </c>
      <c r="N497" s="395"/>
      <c r="R497" s="391"/>
    </row>
    <row r="498" spans="12:18">
      <c r="L498" s="394" t="e">
        <f ca="1">IF(NOT(OFFSET(Data!E501,0,MATCH('Delta Beta'!$C$5,Data!$B$4:$Q$4,0)-3)=""),OFFSET(Data!E501,0,MATCH('Delta Beta'!$C$5,Data!$B$4:$Q$4,0)-3),#N/A)-$C$8/250</f>
        <v>#N/A</v>
      </c>
      <c r="M498" s="394" t="e">
        <f ca="1">IF(NOT(OFFSET(Data!E501,0,MATCH('Delta Beta'!$C$5,Data!$B$4:$Q$4,0)-1)=""),OFFSET(Data!E501,0,MATCH('Delta Beta'!$C$5,Data!$B$4:$Q$4,0)-1),#N/A)-$C$8/250</f>
        <v>#N/A</v>
      </c>
      <c r="N498" s="395"/>
      <c r="R498" s="391"/>
    </row>
    <row r="499" spans="12:18">
      <c r="L499" s="394" t="e">
        <f ca="1">IF(NOT(OFFSET(Data!E502,0,MATCH('Delta Beta'!$C$5,Data!$B$4:$Q$4,0)-3)=""),OFFSET(Data!E502,0,MATCH('Delta Beta'!$C$5,Data!$B$4:$Q$4,0)-3),#N/A)-$C$8/250</f>
        <v>#N/A</v>
      </c>
      <c r="M499" s="394" t="e">
        <f ca="1">IF(NOT(OFFSET(Data!E502,0,MATCH('Delta Beta'!$C$5,Data!$B$4:$Q$4,0)-1)=""),OFFSET(Data!E502,0,MATCH('Delta Beta'!$C$5,Data!$B$4:$Q$4,0)-1),#N/A)-$C$8/250</f>
        <v>#N/A</v>
      </c>
      <c r="N499" s="395"/>
      <c r="R499" s="391"/>
    </row>
    <row r="500" spans="12:18">
      <c r="L500" s="394" t="e">
        <f ca="1">IF(NOT(OFFSET(Data!E503,0,MATCH('Delta Beta'!$C$5,Data!$B$4:$Q$4,0)-3)=""),OFFSET(Data!E503,0,MATCH('Delta Beta'!$C$5,Data!$B$4:$Q$4,0)-3),#N/A)-$C$8/250</f>
        <v>#N/A</v>
      </c>
      <c r="M500" s="394" t="e">
        <f ca="1">IF(NOT(OFFSET(Data!E503,0,MATCH('Delta Beta'!$C$5,Data!$B$4:$Q$4,0)-1)=""),OFFSET(Data!E503,0,MATCH('Delta Beta'!$C$5,Data!$B$4:$Q$4,0)-1),#N/A)-$C$8/250</f>
        <v>#N/A</v>
      </c>
      <c r="N500" s="395"/>
      <c r="R500" s="391"/>
    </row>
    <row r="501" spans="12:18">
      <c r="L501" s="394" t="e">
        <f ca="1">IF(NOT(OFFSET(Data!E504,0,MATCH('Delta Beta'!$C$5,Data!$B$4:$Q$4,0)-3)=""),OFFSET(Data!E504,0,MATCH('Delta Beta'!$C$5,Data!$B$4:$Q$4,0)-3),#N/A)-$C$8/250</f>
        <v>#N/A</v>
      </c>
      <c r="M501" s="394" t="e">
        <f ca="1">IF(NOT(OFFSET(Data!E504,0,MATCH('Delta Beta'!$C$5,Data!$B$4:$Q$4,0)-1)=""),OFFSET(Data!E504,0,MATCH('Delta Beta'!$C$5,Data!$B$4:$Q$4,0)-1),#N/A)-$C$8/250</f>
        <v>#N/A</v>
      </c>
      <c r="N501" s="395"/>
      <c r="R501" s="391"/>
    </row>
    <row r="502" spans="12:18">
      <c r="L502" s="394" t="e">
        <f ca="1">IF(NOT(OFFSET(Data!E505,0,MATCH('Delta Beta'!$C$5,Data!$B$4:$Q$4,0)-3)=""),OFFSET(Data!E505,0,MATCH('Delta Beta'!$C$5,Data!$B$4:$Q$4,0)-3),#N/A)-$C$8/250</f>
        <v>#N/A</v>
      </c>
      <c r="M502" s="394" t="e">
        <f ca="1">IF(NOT(OFFSET(Data!E505,0,MATCH('Delta Beta'!$C$5,Data!$B$4:$Q$4,0)-1)=""),OFFSET(Data!E505,0,MATCH('Delta Beta'!$C$5,Data!$B$4:$Q$4,0)-1),#N/A)-$C$8/250</f>
        <v>#N/A</v>
      </c>
      <c r="N502" s="395"/>
      <c r="R502" s="391"/>
    </row>
    <row r="503" spans="12:18">
      <c r="L503" s="394" t="e">
        <f ca="1">IF(NOT(OFFSET(Data!E506,0,MATCH('Delta Beta'!$C$5,Data!$B$4:$Q$4,0)-3)=""),OFFSET(Data!E506,0,MATCH('Delta Beta'!$C$5,Data!$B$4:$Q$4,0)-3),#N/A)-$C$8/250</f>
        <v>#N/A</v>
      </c>
      <c r="M503" s="394" t="e">
        <f ca="1">IF(NOT(OFFSET(Data!E506,0,MATCH('Delta Beta'!$C$5,Data!$B$4:$Q$4,0)-1)=""),OFFSET(Data!E506,0,MATCH('Delta Beta'!$C$5,Data!$B$4:$Q$4,0)-1),#N/A)-$C$8/250</f>
        <v>#N/A</v>
      </c>
      <c r="N503" s="395"/>
      <c r="R503" s="391"/>
    </row>
    <row r="504" spans="12:18">
      <c r="L504" s="394" t="e">
        <f ca="1">IF(NOT(OFFSET(Data!E507,0,MATCH('Delta Beta'!$C$5,Data!$B$4:$Q$4,0)-3)=""),OFFSET(Data!E507,0,MATCH('Delta Beta'!$C$5,Data!$B$4:$Q$4,0)-3),#N/A)-$C$8/250</f>
        <v>#N/A</v>
      </c>
      <c r="M504" s="394" t="e">
        <f ca="1">IF(NOT(OFFSET(Data!E507,0,MATCH('Delta Beta'!$C$5,Data!$B$4:$Q$4,0)-1)=""),OFFSET(Data!E507,0,MATCH('Delta Beta'!$C$5,Data!$B$4:$Q$4,0)-1),#N/A)-$C$8/250</f>
        <v>#N/A</v>
      </c>
      <c r="N504" s="395"/>
      <c r="R504" s="391"/>
    </row>
    <row r="505" spans="12:18">
      <c r="L505" s="394" t="e">
        <f ca="1">IF(NOT(OFFSET(Data!E508,0,MATCH('Delta Beta'!$C$5,Data!$B$4:$Q$4,0)-3)=""),OFFSET(Data!E508,0,MATCH('Delta Beta'!$C$5,Data!$B$4:$Q$4,0)-3),#N/A)-$C$8/250</f>
        <v>#N/A</v>
      </c>
      <c r="M505" s="394" t="e">
        <f ca="1">IF(NOT(OFFSET(Data!E508,0,MATCH('Delta Beta'!$C$5,Data!$B$4:$Q$4,0)-1)=""),OFFSET(Data!E508,0,MATCH('Delta Beta'!$C$5,Data!$B$4:$Q$4,0)-1),#N/A)-$C$8/250</f>
        <v>#N/A</v>
      </c>
      <c r="N505" s="395"/>
      <c r="R505" s="391"/>
    </row>
    <row r="506" spans="12:18">
      <c r="L506" s="394" t="e">
        <f ca="1">IF(NOT(OFFSET(Data!E509,0,MATCH('Delta Beta'!$C$5,Data!$B$4:$Q$4,0)-3)=""),OFFSET(Data!E509,0,MATCH('Delta Beta'!$C$5,Data!$B$4:$Q$4,0)-3),#N/A)-$C$8/250</f>
        <v>#N/A</v>
      </c>
      <c r="M506" s="394" t="e">
        <f ca="1">IF(NOT(OFFSET(Data!E509,0,MATCH('Delta Beta'!$C$5,Data!$B$4:$Q$4,0)-1)=""),OFFSET(Data!E509,0,MATCH('Delta Beta'!$C$5,Data!$B$4:$Q$4,0)-1),#N/A)-$C$8/250</f>
        <v>#N/A</v>
      </c>
      <c r="N506" s="395"/>
      <c r="R506" s="391"/>
    </row>
    <row r="507" spans="12:18">
      <c r="L507" s="394" t="e">
        <f ca="1">IF(NOT(OFFSET(Data!E510,0,MATCH('Delta Beta'!$C$5,Data!$B$4:$Q$4,0)-3)=""),OFFSET(Data!E510,0,MATCH('Delta Beta'!$C$5,Data!$B$4:$Q$4,0)-3),#N/A)-$C$8/250</f>
        <v>#N/A</v>
      </c>
      <c r="M507" s="394" t="e">
        <f ca="1">IF(NOT(OFFSET(Data!E510,0,MATCH('Delta Beta'!$C$5,Data!$B$4:$Q$4,0)-1)=""),OFFSET(Data!E510,0,MATCH('Delta Beta'!$C$5,Data!$B$4:$Q$4,0)-1),#N/A)-$C$8/250</f>
        <v>#N/A</v>
      </c>
      <c r="N507" s="395"/>
      <c r="R507" s="391"/>
    </row>
    <row r="508" spans="12:18">
      <c r="L508" s="394" t="e">
        <f ca="1">IF(NOT(OFFSET(Data!E511,0,MATCH('Delta Beta'!$C$5,Data!$B$4:$Q$4,0)-3)=""),OFFSET(Data!E511,0,MATCH('Delta Beta'!$C$5,Data!$B$4:$Q$4,0)-3),#N/A)-$C$8/250</f>
        <v>#N/A</v>
      </c>
      <c r="M508" s="394" t="e">
        <f ca="1">IF(NOT(OFFSET(Data!E511,0,MATCH('Delta Beta'!$C$5,Data!$B$4:$Q$4,0)-1)=""),OFFSET(Data!E511,0,MATCH('Delta Beta'!$C$5,Data!$B$4:$Q$4,0)-1),#N/A)-$C$8/250</f>
        <v>#N/A</v>
      </c>
      <c r="N508" s="395"/>
      <c r="R508" s="391"/>
    </row>
    <row r="509" spans="12:18">
      <c r="L509" s="394" t="e">
        <f ca="1">IF(NOT(OFFSET(Data!E512,0,MATCH('Delta Beta'!$C$5,Data!$B$4:$Q$4,0)-3)=""),OFFSET(Data!E512,0,MATCH('Delta Beta'!$C$5,Data!$B$4:$Q$4,0)-3),#N/A)-$C$8/250</f>
        <v>#N/A</v>
      </c>
      <c r="M509" s="394" t="e">
        <f ca="1">IF(NOT(OFFSET(Data!E512,0,MATCH('Delta Beta'!$C$5,Data!$B$4:$Q$4,0)-1)=""),OFFSET(Data!E512,0,MATCH('Delta Beta'!$C$5,Data!$B$4:$Q$4,0)-1),#N/A)-$C$8/250</f>
        <v>#N/A</v>
      </c>
      <c r="N509" s="395"/>
      <c r="R509" s="391"/>
    </row>
    <row r="510" spans="12:18">
      <c r="L510" s="394" t="e">
        <f ca="1">IF(NOT(OFFSET(Data!E513,0,MATCH('Delta Beta'!$C$5,Data!$B$4:$Q$4,0)-3)=""),OFFSET(Data!E513,0,MATCH('Delta Beta'!$C$5,Data!$B$4:$Q$4,0)-3),#N/A)-$C$8/250</f>
        <v>#N/A</v>
      </c>
      <c r="M510" s="394" t="e">
        <f ca="1">IF(NOT(OFFSET(Data!E513,0,MATCH('Delta Beta'!$C$5,Data!$B$4:$Q$4,0)-1)=""),OFFSET(Data!E513,0,MATCH('Delta Beta'!$C$5,Data!$B$4:$Q$4,0)-1),#N/A)-$C$8/250</f>
        <v>#N/A</v>
      </c>
      <c r="N510" s="395"/>
      <c r="R510" s="391"/>
    </row>
    <row r="511" spans="12:18">
      <c r="L511" s="394" t="e">
        <f ca="1">IF(NOT(OFFSET(Data!E514,0,MATCH('Delta Beta'!$C$5,Data!$B$4:$Q$4,0)-3)=""),OFFSET(Data!E514,0,MATCH('Delta Beta'!$C$5,Data!$B$4:$Q$4,0)-3),#N/A)-$C$8/250</f>
        <v>#N/A</v>
      </c>
      <c r="M511" s="394" t="e">
        <f ca="1">IF(NOT(OFFSET(Data!E514,0,MATCH('Delta Beta'!$C$5,Data!$B$4:$Q$4,0)-1)=""),OFFSET(Data!E514,0,MATCH('Delta Beta'!$C$5,Data!$B$4:$Q$4,0)-1),#N/A)-$C$8/250</f>
        <v>#N/A</v>
      </c>
      <c r="N511" s="395"/>
      <c r="R511" s="391"/>
    </row>
    <row r="512" spans="12:18">
      <c r="L512" s="394" t="e">
        <f ca="1">IF(NOT(OFFSET(Data!E515,0,MATCH('Delta Beta'!$C$5,Data!$B$4:$Q$4,0)-3)=""),OFFSET(Data!E515,0,MATCH('Delta Beta'!$C$5,Data!$B$4:$Q$4,0)-3),#N/A)-$C$8/250</f>
        <v>#N/A</v>
      </c>
      <c r="M512" s="394" t="e">
        <f ca="1">IF(NOT(OFFSET(Data!E515,0,MATCH('Delta Beta'!$C$5,Data!$B$4:$Q$4,0)-1)=""),OFFSET(Data!E515,0,MATCH('Delta Beta'!$C$5,Data!$B$4:$Q$4,0)-1),#N/A)-$C$8/250</f>
        <v>#N/A</v>
      </c>
      <c r="N512" s="395"/>
      <c r="R512" s="391"/>
    </row>
    <row r="513" spans="12:18">
      <c r="L513" s="394" t="e">
        <f ca="1">IF(NOT(OFFSET(Data!E516,0,MATCH('Delta Beta'!$C$5,Data!$B$4:$Q$4,0)-3)=""),OFFSET(Data!E516,0,MATCH('Delta Beta'!$C$5,Data!$B$4:$Q$4,0)-3),#N/A)-$C$8/250</f>
        <v>#N/A</v>
      </c>
      <c r="M513" s="394" t="e">
        <f ca="1">IF(NOT(OFFSET(Data!E516,0,MATCH('Delta Beta'!$C$5,Data!$B$4:$Q$4,0)-1)=""),OFFSET(Data!E516,0,MATCH('Delta Beta'!$C$5,Data!$B$4:$Q$4,0)-1),#N/A)-$C$8/250</f>
        <v>#N/A</v>
      </c>
      <c r="N513" s="395"/>
      <c r="R513" s="391"/>
    </row>
    <row r="514" spans="12:18">
      <c r="L514" s="394" t="e">
        <f ca="1">IF(NOT(OFFSET(Data!E517,0,MATCH('Delta Beta'!$C$5,Data!$B$4:$Q$4,0)-3)=""),OFFSET(Data!E517,0,MATCH('Delta Beta'!$C$5,Data!$B$4:$Q$4,0)-3),#N/A)-$C$8/250</f>
        <v>#N/A</v>
      </c>
      <c r="M514" s="394" t="e">
        <f ca="1">IF(NOT(OFFSET(Data!E517,0,MATCH('Delta Beta'!$C$5,Data!$B$4:$Q$4,0)-1)=""),OFFSET(Data!E517,0,MATCH('Delta Beta'!$C$5,Data!$B$4:$Q$4,0)-1),#N/A)-$C$8/250</f>
        <v>#N/A</v>
      </c>
      <c r="N514" s="395"/>
      <c r="R514" s="391"/>
    </row>
    <row r="515" spans="12:18">
      <c r="L515" s="394" t="e">
        <f ca="1">IF(NOT(OFFSET(Data!E518,0,MATCH('Delta Beta'!$C$5,Data!$B$4:$Q$4,0)-3)=""),OFFSET(Data!E518,0,MATCH('Delta Beta'!$C$5,Data!$B$4:$Q$4,0)-3),#N/A)-$C$8/250</f>
        <v>#N/A</v>
      </c>
      <c r="M515" s="394" t="e">
        <f ca="1">IF(NOT(OFFSET(Data!E518,0,MATCH('Delta Beta'!$C$5,Data!$B$4:$Q$4,0)-1)=""),OFFSET(Data!E518,0,MATCH('Delta Beta'!$C$5,Data!$B$4:$Q$4,0)-1),#N/A)-$C$8/250</f>
        <v>#N/A</v>
      </c>
      <c r="N515" s="395"/>
      <c r="R515" s="391"/>
    </row>
    <row r="516" spans="12:18">
      <c r="L516" s="394" t="e">
        <f ca="1">IF(NOT(OFFSET(Data!E519,0,MATCH('Delta Beta'!$C$5,Data!$B$4:$Q$4,0)-3)=""),OFFSET(Data!E519,0,MATCH('Delta Beta'!$C$5,Data!$B$4:$Q$4,0)-3),#N/A)-$C$8/250</f>
        <v>#N/A</v>
      </c>
      <c r="M516" s="394" t="e">
        <f ca="1">IF(NOT(OFFSET(Data!E519,0,MATCH('Delta Beta'!$C$5,Data!$B$4:$Q$4,0)-1)=""),OFFSET(Data!E519,0,MATCH('Delta Beta'!$C$5,Data!$B$4:$Q$4,0)-1),#N/A)-$C$8/250</f>
        <v>#N/A</v>
      </c>
      <c r="N516" s="395"/>
      <c r="R516" s="391"/>
    </row>
    <row r="517" spans="12:18">
      <c r="L517" s="394" t="e">
        <f ca="1">IF(NOT(OFFSET(Data!E520,0,MATCH('Delta Beta'!$C$5,Data!$B$4:$Q$4,0)-3)=""),OFFSET(Data!E520,0,MATCH('Delta Beta'!$C$5,Data!$B$4:$Q$4,0)-3),#N/A)-$C$8/250</f>
        <v>#N/A</v>
      </c>
      <c r="M517" s="394" t="e">
        <f ca="1">IF(NOT(OFFSET(Data!E520,0,MATCH('Delta Beta'!$C$5,Data!$B$4:$Q$4,0)-1)=""),OFFSET(Data!E520,0,MATCH('Delta Beta'!$C$5,Data!$B$4:$Q$4,0)-1),#N/A)-$C$8/250</f>
        <v>#N/A</v>
      </c>
      <c r="N517" s="395"/>
      <c r="R517" s="391"/>
    </row>
    <row r="518" spans="12:18">
      <c r="L518" s="394" t="e">
        <f ca="1">IF(NOT(OFFSET(Data!E521,0,MATCH('Delta Beta'!$C$5,Data!$B$4:$Q$4,0)-3)=""),OFFSET(Data!E521,0,MATCH('Delta Beta'!$C$5,Data!$B$4:$Q$4,0)-3),#N/A)-$C$8/250</f>
        <v>#N/A</v>
      </c>
      <c r="M518" s="394" t="e">
        <f ca="1">IF(NOT(OFFSET(Data!E521,0,MATCH('Delta Beta'!$C$5,Data!$B$4:$Q$4,0)-1)=""),OFFSET(Data!E521,0,MATCH('Delta Beta'!$C$5,Data!$B$4:$Q$4,0)-1),#N/A)-$C$8/250</f>
        <v>#N/A</v>
      </c>
      <c r="N518" s="395"/>
      <c r="R518" s="391"/>
    </row>
    <row r="519" spans="12:18">
      <c r="L519" s="394" t="e">
        <f ca="1">IF(NOT(OFFSET(Data!E522,0,MATCH('Delta Beta'!$C$5,Data!$B$4:$Q$4,0)-3)=""),OFFSET(Data!E522,0,MATCH('Delta Beta'!$C$5,Data!$B$4:$Q$4,0)-3),#N/A)-$C$8/250</f>
        <v>#N/A</v>
      </c>
      <c r="M519" s="394" t="e">
        <f ca="1">IF(NOT(OFFSET(Data!E522,0,MATCH('Delta Beta'!$C$5,Data!$B$4:$Q$4,0)-1)=""),OFFSET(Data!E522,0,MATCH('Delta Beta'!$C$5,Data!$B$4:$Q$4,0)-1),#N/A)-$C$8/250</f>
        <v>#N/A</v>
      </c>
      <c r="N519" s="395"/>
      <c r="R519" s="391"/>
    </row>
    <row r="520" spans="12:18">
      <c r="L520" s="394" t="e">
        <f ca="1">IF(NOT(OFFSET(Data!E523,0,MATCH('Delta Beta'!$C$5,Data!$B$4:$Q$4,0)-3)=""),OFFSET(Data!E523,0,MATCH('Delta Beta'!$C$5,Data!$B$4:$Q$4,0)-3),#N/A)-$C$8/250</f>
        <v>#N/A</v>
      </c>
      <c r="M520" s="394" t="e">
        <f ca="1">IF(NOT(OFFSET(Data!E523,0,MATCH('Delta Beta'!$C$5,Data!$B$4:$Q$4,0)-1)=""),OFFSET(Data!E523,0,MATCH('Delta Beta'!$C$5,Data!$B$4:$Q$4,0)-1),#N/A)-$C$8/250</f>
        <v>#N/A</v>
      </c>
      <c r="N520" s="395"/>
      <c r="R520" s="391"/>
    </row>
    <row r="521" spans="12:18">
      <c r="L521" s="394" t="e">
        <f ca="1">IF(NOT(OFFSET(Data!E524,0,MATCH('Delta Beta'!$C$5,Data!$B$4:$Q$4,0)-3)=""),OFFSET(Data!E524,0,MATCH('Delta Beta'!$C$5,Data!$B$4:$Q$4,0)-3),#N/A)-$C$8/250</f>
        <v>#N/A</v>
      </c>
      <c r="M521" s="394" t="e">
        <f ca="1">IF(NOT(OFFSET(Data!E524,0,MATCH('Delta Beta'!$C$5,Data!$B$4:$Q$4,0)-1)=""),OFFSET(Data!E524,0,MATCH('Delta Beta'!$C$5,Data!$B$4:$Q$4,0)-1),#N/A)-$C$8/250</f>
        <v>#N/A</v>
      </c>
      <c r="N521" s="395"/>
      <c r="R521" s="391"/>
    </row>
    <row r="522" spans="12:18">
      <c r="L522" s="394" t="e">
        <f ca="1">IF(NOT(OFFSET(Data!E525,0,MATCH('Delta Beta'!$C$5,Data!$B$4:$Q$4,0)-3)=""),OFFSET(Data!E525,0,MATCH('Delta Beta'!$C$5,Data!$B$4:$Q$4,0)-3),#N/A)-$C$8/250</f>
        <v>#N/A</v>
      </c>
      <c r="M522" s="394" t="e">
        <f ca="1">IF(NOT(OFFSET(Data!E525,0,MATCH('Delta Beta'!$C$5,Data!$B$4:$Q$4,0)-1)=""),OFFSET(Data!E525,0,MATCH('Delta Beta'!$C$5,Data!$B$4:$Q$4,0)-1),#N/A)-$C$8/250</f>
        <v>#N/A</v>
      </c>
      <c r="N522" s="395"/>
      <c r="R522" s="391"/>
    </row>
    <row r="523" spans="12:18">
      <c r="L523" s="394" t="e">
        <f ca="1">IF(NOT(OFFSET(Data!E526,0,MATCH('Delta Beta'!$C$5,Data!$B$4:$Q$4,0)-3)=""),OFFSET(Data!E526,0,MATCH('Delta Beta'!$C$5,Data!$B$4:$Q$4,0)-3),#N/A)-$C$8/250</f>
        <v>#N/A</v>
      </c>
      <c r="M523" s="394" t="e">
        <f ca="1">IF(NOT(OFFSET(Data!E526,0,MATCH('Delta Beta'!$C$5,Data!$B$4:$Q$4,0)-1)=""),OFFSET(Data!E526,0,MATCH('Delta Beta'!$C$5,Data!$B$4:$Q$4,0)-1),#N/A)-$C$8/250</f>
        <v>#N/A</v>
      </c>
      <c r="N523" s="395"/>
      <c r="R523" s="391"/>
    </row>
    <row r="524" spans="12:18">
      <c r="L524" s="394" t="e">
        <f ca="1">IF(NOT(OFFSET(Data!E527,0,MATCH('Delta Beta'!$C$5,Data!$B$4:$Q$4,0)-3)=""),OFFSET(Data!E527,0,MATCH('Delta Beta'!$C$5,Data!$B$4:$Q$4,0)-3),#N/A)-$C$8/250</f>
        <v>#N/A</v>
      </c>
      <c r="M524" s="394" t="e">
        <f ca="1">IF(NOT(OFFSET(Data!E527,0,MATCH('Delta Beta'!$C$5,Data!$B$4:$Q$4,0)-1)=""),OFFSET(Data!E527,0,MATCH('Delta Beta'!$C$5,Data!$B$4:$Q$4,0)-1),#N/A)-$C$8/250</f>
        <v>#N/A</v>
      </c>
      <c r="N524" s="395"/>
      <c r="R524" s="391"/>
    </row>
    <row r="525" spans="12:18">
      <c r="L525" s="394" t="e">
        <f ca="1">IF(NOT(OFFSET(Data!E528,0,MATCH('Delta Beta'!$C$5,Data!$B$4:$Q$4,0)-3)=""),OFFSET(Data!E528,0,MATCH('Delta Beta'!$C$5,Data!$B$4:$Q$4,0)-3),#N/A)-$C$8/250</f>
        <v>#N/A</v>
      </c>
      <c r="M525" s="394" t="e">
        <f ca="1">IF(NOT(OFFSET(Data!E528,0,MATCH('Delta Beta'!$C$5,Data!$B$4:$Q$4,0)-1)=""),OFFSET(Data!E528,0,MATCH('Delta Beta'!$C$5,Data!$B$4:$Q$4,0)-1),#N/A)-$C$8/250</f>
        <v>#N/A</v>
      </c>
      <c r="N525" s="395"/>
      <c r="R525" s="391"/>
    </row>
    <row r="526" spans="12:18">
      <c r="L526" s="394" t="e">
        <f ca="1">IF(NOT(OFFSET(Data!E529,0,MATCH('Delta Beta'!$C$5,Data!$B$4:$Q$4,0)-3)=""),OFFSET(Data!E529,0,MATCH('Delta Beta'!$C$5,Data!$B$4:$Q$4,0)-3),#N/A)-$C$8/250</f>
        <v>#N/A</v>
      </c>
      <c r="M526" s="394" t="e">
        <f ca="1">IF(NOT(OFFSET(Data!E529,0,MATCH('Delta Beta'!$C$5,Data!$B$4:$Q$4,0)-1)=""),OFFSET(Data!E529,0,MATCH('Delta Beta'!$C$5,Data!$B$4:$Q$4,0)-1),#N/A)-$C$8/250</f>
        <v>#N/A</v>
      </c>
      <c r="N526" s="395"/>
      <c r="R526" s="391"/>
    </row>
    <row r="527" spans="12:18">
      <c r="L527" s="394" t="e">
        <f ca="1">IF(NOT(OFFSET(Data!E530,0,MATCH('Delta Beta'!$C$5,Data!$B$4:$Q$4,0)-3)=""),OFFSET(Data!E530,0,MATCH('Delta Beta'!$C$5,Data!$B$4:$Q$4,0)-3),#N/A)-$C$8/250</f>
        <v>#N/A</v>
      </c>
      <c r="M527" s="394" t="e">
        <f ca="1">IF(NOT(OFFSET(Data!E530,0,MATCH('Delta Beta'!$C$5,Data!$B$4:$Q$4,0)-1)=""),OFFSET(Data!E530,0,MATCH('Delta Beta'!$C$5,Data!$B$4:$Q$4,0)-1),#N/A)-$C$8/250</f>
        <v>#N/A</v>
      </c>
      <c r="N527" s="395"/>
      <c r="R527" s="391"/>
    </row>
    <row r="528" spans="12:18">
      <c r="L528" s="394" t="e">
        <f ca="1">IF(NOT(OFFSET(Data!E531,0,MATCH('Delta Beta'!$C$5,Data!$B$4:$Q$4,0)-3)=""),OFFSET(Data!E531,0,MATCH('Delta Beta'!$C$5,Data!$B$4:$Q$4,0)-3),#N/A)-$C$8/250</f>
        <v>#N/A</v>
      </c>
      <c r="M528" s="394" t="e">
        <f ca="1">IF(NOT(OFFSET(Data!E531,0,MATCH('Delta Beta'!$C$5,Data!$B$4:$Q$4,0)-1)=""),OFFSET(Data!E531,0,MATCH('Delta Beta'!$C$5,Data!$B$4:$Q$4,0)-1),#N/A)-$C$8/250</f>
        <v>#N/A</v>
      </c>
      <c r="N528" s="395"/>
      <c r="R528" s="391"/>
    </row>
    <row r="529" spans="12:18">
      <c r="L529" s="394" t="e">
        <f ca="1">IF(NOT(OFFSET(Data!E532,0,MATCH('Delta Beta'!$C$5,Data!$B$4:$Q$4,0)-3)=""),OFFSET(Data!E532,0,MATCH('Delta Beta'!$C$5,Data!$B$4:$Q$4,0)-3),#N/A)-$C$8/250</f>
        <v>#N/A</v>
      </c>
      <c r="M529" s="394" t="e">
        <f ca="1">IF(NOT(OFFSET(Data!E532,0,MATCH('Delta Beta'!$C$5,Data!$B$4:$Q$4,0)-1)=""),OFFSET(Data!E532,0,MATCH('Delta Beta'!$C$5,Data!$B$4:$Q$4,0)-1),#N/A)-$C$8/250</f>
        <v>#N/A</v>
      </c>
      <c r="N529" s="395"/>
      <c r="R529" s="391"/>
    </row>
    <row r="530" spans="12:18">
      <c r="L530" s="394" t="e">
        <f ca="1">IF(NOT(OFFSET(Data!E533,0,MATCH('Delta Beta'!$C$5,Data!$B$4:$Q$4,0)-3)=""),OFFSET(Data!E533,0,MATCH('Delta Beta'!$C$5,Data!$B$4:$Q$4,0)-3),#N/A)-$C$8/250</f>
        <v>#N/A</v>
      </c>
      <c r="M530" s="394" t="e">
        <f ca="1">IF(NOT(OFFSET(Data!E533,0,MATCH('Delta Beta'!$C$5,Data!$B$4:$Q$4,0)-1)=""),OFFSET(Data!E533,0,MATCH('Delta Beta'!$C$5,Data!$B$4:$Q$4,0)-1),#N/A)-$C$8/250</f>
        <v>#N/A</v>
      </c>
      <c r="N530" s="395"/>
      <c r="R530" s="391"/>
    </row>
    <row r="531" spans="12:18">
      <c r="L531" s="394" t="e">
        <f ca="1">IF(NOT(OFFSET(Data!E534,0,MATCH('Delta Beta'!$C$5,Data!$B$4:$Q$4,0)-3)=""),OFFSET(Data!E534,0,MATCH('Delta Beta'!$C$5,Data!$B$4:$Q$4,0)-3),#N/A)-$C$8/250</f>
        <v>#N/A</v>
      </c>
      <c r="M531" s="394" t="e">
        <f ca="1">IF(NOT(OFFSET(Data!E534,0,MATCH('Delta Beta'!$C$5,Data!$B$4:$Q$4,0)-1)=""),OFFSET(Data!E534,0,MATCH('Delta Beta'!$C$5,Data!$B$4:$Q$4,0)-1),#N/A)-$C$8/250</f>
        <v>#N/A</v>
      </c>
      <c r="N531" s="395"/>
      <c r="R531" s="391"/>
    </row>
    <row r="532" spans="12:18">
      <c r="L532" s="394" t="e">
        <f ca="1">IF(NOT(OFFSET(Data!E535,0,MATCH('Delta Beta'!$C$5,Data!$B$4:$Q$4,0)-3)=""),OFFSET(Data!E535,0,MATCH('Delta Beta'!$C$5,Data!$B$4:$Q$4,0)-3),#N/A)-$C$8/250</f>
        <v>#N/A</v>
      </c>
      <c r="M532" s="394" t="e">
        <f ca="1">IF(NOT(OFFSET(Data!E535,0,MATCH('Delta Beta'!$C$5,Data!$B$4:$Q$4,0)-1)=""),OFFSET(Data!E535,0,MATCH('Delta Beta'!$C$5,Data!$B$4:$Q$4,0)-1),#N/A)-$C$8/250</f>
        <v>#N/A</v>
      </c>
      <c r="N532" s="395"/>
      <c r="R532" s="391"/>
    </row>
    <row r="533" spans="12:18">
      <c r="L533" s="394" t="e">
        <f ca="1">IF(NOT(OFFSET(Data!E536,0,MATCH('Delta Beta'!$C$5,Data!$B$4:$Q$4,0)-3)=""),OFFSET(Data!E536,0,MATCH('Delta Beta'!$C$5,Data!$B$4:$Q$4,0)-3),#N/A)-$C$8/250</f>
        <v>#N/A</v>
      </c>
      <c r="M533" s="394" t="e">
        <f ca="1">IF(NOT(OFFSET(Data!E536,0,MATCH('Delta Beta'!$C$5,Data!$B$4:$Q$4,0)-1)=""),OFFSET(Data!E536,0,MATCH('Delta Beta'!$C$5,Data!$B$4:$Q$4,0)-1),#N/A)-$C$8/250</f>
        <v>#N/A</v>
      </c>
      <c r="N533" s="395"/>
      <c r="R533" s="391"/>
    </row>
    <row r="534" spans="12:18">
      <c r="L534" s="394" t="e">
        <f ca="1">IF(NOT(OFFSET(Data!E537,0,MATCH('Delta Beta'!$C$5,Data!$B$4:$Q$4,0)-3)=""),OFFSET(Data!E537,0,MATCH('Delta Beta'!$C$5,Data!$B$4:$Q$4,0)-3),#N/A)-$C$8/250</f>
        <v>#N/A</v>
      </c>
      <c r="M534" s="394" t="e">
        <f ca="1">IF(NOT(OFFSET(Data!E537,0,MATCH('Delta Beta'!$C$5,Data!$B$4:$Q$4,0)-1)=""),OFFSET(Data!E537,0,MATCH('Delta Beta'!$C$5,Data!$B$4:$Q$4,0)-1),#N/A)-$C$8/250</f>
        <v>#N/A</v>
      </c>
      <c r="N534" s="395"/>
      <c r="R534" s="391"/>
    </row>
    <row r="535" spans="12:18">
      <c r="L535" s="394" t="e">
        <f ca="1">IF(NOT(OFFSET(Data!E538,0,MATCH('Delta Beta'!$C$5,Data!$B$4:$Q$4,0)-3)=""),OFFSET(Data!E538,0,MATCH('Delta Beta'!$C$5,Data!$B$4:$Q$4,0)-3),#N/A)-$C$8/250</f>
        <v>#N/A</v>
      </c>
      <c r="M535" s="394" t="e">
        <f ca="1">IF(NOT(OFFSET(Data!E538,0,MATCH('Delta Beta'!$C$5,Data!$B$4:$Q$4,0)-1)=""),OFFSET(Data!E538,0,MATCH('Delta Beta'!$C$5,Data!$B$4:$Q$4,0)-1),#N/A)-$C$8/250</f>
        <v>#N/A</v>
      </c>
      <c r="N535" s="395"/>
      <c r="R535" s="391"/>
    </row>
    <row r="536" spans="12:18">
      <c r="L536" s="394" t="e">
        <f ca="1">IF(NOT(OFFSET(Data!E539,0,MATCH('Delta Beta'!$C$5,Data!$B$4:$Q$4,0)-3)=""),OFFSET(Data!E539,0,MATCH('Delta Beta'!$C$5,Data!$B$4:$Q$4,0)-3),#N/A)-$C$8/250</f>
        <v>#N/A</v>
      </c>
      <c r="M536" s="394" t="e">
        <f ca="1">IF(NOT(OFFSET(Data!E539,0,MATCH('Delta Beta'!$C$5,Data!$B$4:$Q$4,0)-1)=""),OFFSET(Data!E539,0,MATCH('Delta Beta'!$C$5,Data!$B$4:$Q$4,0)-1),#N/A)-$C$8/250</f>
        <v>#N/A</v>
      </c>
      <c r="N536" s="395"/>
      <c r="R536" s="391"/>
    </row>
    <row r="537" spans="12:18">
      <c r="L537" s="394" t="e">
        <f ca="1">IF(NOT(OFFSET(Data!E540,0,MATCH('Delta Beta'!$C$5,Data!$B$4:$Q$4,0)-3)=""),OFFSET(Data!E540,0,MATCH('Delta Beta'!$C$5,Data!$B$4:$Q$4,0)-3),#N/A)-$C$8/250</f>
        <v>#N/A</v>
      </c>
      <c r="M537" s="394" t="e">
        <f ca="1">IF(NOT(OFFSET(Data!E540,0,MATCH('Delta Beta'!$C$5,Data!$B$4:$Q$4,0)-1)=""),OFFSET(Data!E540,0,MATCH('Delta Beta'!$C$5,Data!$B$4:$Q$4,0)-1),#N/A)-$C$8/250</f>
        <v>#N/A</v>
      </c>
      <c r="N537" s="395"/>
      <c r="R537" s="391"/>
    </row>
    <row r="538" spans="12:18">
      <c r="L538" s="394" t="e">
        <f ca="1">IF(NOT(OFFSET(Data!E541,0,MATCH('Delta Beta'!$C$5,Data!$B$4:$Q$4,0)-3)=""),OFFSET(Data!E541,0,MATCH('Delta Beta'!$C$5,Data!$B$4:$Q$4,0)-3),#N/A)-$C$8/250</f>
        <v>#N/A</v>
      </c>
      <c r="M538" s="394" t="e">
        <f ca="1">IF(NOT(OFFSET(Data!E541,0,MATCH('Delta Beta'!$C$5,Data!$B$4:$Q$4,0)-1)=""),OFFSET(Data!E541,0,MATCH('Delta Beta'!$C$5,Data!$B$4:$Q$4,0)-1),#N/A)-$C$8/250</f>
        <v>#N/A</v>
      </c>
      <c r="N538" s="395"/>
      <c r="R538" s="391"/>
    </row>
    <row r="539" spans="12:18">
      <c r="L539" s="394" t="e">
        <f ca="1">IF(NOT(OFFSET(Data!E542,0,MATCH('Delta Beta'!$C$5,Data!$B$4:$Q$4,0)-3)=""),OFFSET(Data!E542,0,MATCH('Delta Beta'!$C$5,Data!$B$4:$Q$4,0)-3),#N/A)-$C$8/250</f>
        <v>#N/A</v>
      </c>
      <c r="M539" s="394" t="e">
        <f ca="1">IF(NOT(OFFSET(Data!E542,0,MATCH('Delta Beta'!$C$5,Data!$B$4:$Q$4,0)-1)=""),OFFSET(Data!E542,0,MATCH('Delta Beta'!$C$5,Data!$B$4:$Q$4,0)-1),#N/A)-$C$8/250</f>
        <v>#N/A</v>
      </c>
      <c r="N539" s="395"/>
      <c r="R539" s="391"/>
    </row>
    <row r="540" spans="12:18">
      <c r="L540" s="394" t="e">
        <f ca="1">IF(NOT(OFFSET(Data!E543,0,MATCH('Delta Beta'!$C$5,Data!$B$4:$Q$4,0)-3)=""),OFFSET(Data!E543,0,MATCH('Delta Beta'!$C$5,Data!$B$4:$Q$4,0)-3),#N/A)-$C$8/250</f>
        <v>#N/A</v>
      </c>
      <c r="M540" s="394" t="e">
        <f ca="1">IF(NOT(OFFSET(Data!E543,0,MATCH('Delta Beta'!$C$5,Data!$B$4:$Q$4,0)-1)=""),OFFSET(Data!E543,0,MATCH('Delta Beta'!$C$5,Data!$B$4:$Q$4,0)-1),#N/A)-$C$8/250</f>
        <v>#N/A</v>
      </c>
      <c r="N540" s="395"/>
      <c r="R540" s="391"/>
    </row>
    <row r="541" spans="12:18">
      <c r="L541" s="394" t="e">
        <f ca="1">IF(NOT(OFFSET(Data!E544,0,MATCH('Delta Beta'!$C$5,Data!$B$4:$Q$4,0)-3)=""),OFFSET(Data!E544,0,MATCH('Delta Beta'!$C$5,Data!$B$4:$Q$4,0)-3),#N/A)-$C$8/250</f>
        <v>#N/A</v>
      </c>
      <c r="M541" s="394" t="e">
        <f ca="1">IF(NOT(OFFSET(Data!E544,0,MATCH('Delta Beta'!$C$5,Data!$B$4:$Q$4,0)-1)=""),OFFSET(Data!E544,0,MATCH('Delta Beta'!$C$5,Data!$B$4:$Q$4,0)-1),#N/A)-$C$8/250</f>
        <v>#N/A</v>
      </c>
      <c r="N541" s="395"/>
      <c r="R541" s="391"/>
    </row>
    <row r="542" spans="12:18">
      <c r="L542" s="394" t="e">
        <f ca="1">IF(NOT(OFFSET(Data!E545,0,MATCH('Delta Beta'!$C$5,Data!$B$4:$Q$4,0)-3)=""),OFFSET(Data!E545,0,MATCH('Delta Beta'!$C$5,Data!$B$4:$Q$4,0)-3),#N/A)-$C$8/250</f>
        <v>#N/A</v>
      </c>
      <c r="M542" s="394" t="e">
        <f ca="1">IF(NOT(OFFSET(Data!E545,0,MATCH('Delta Beta'!$C$5,Data!$B$4:$Q$4,0)-1)=""),OFFSET(Data!E545,0,MATCH('Delta Beta'!$C$5,Data!$B$4:$Q$4,0)-1),#N/A)-$C$8/250</f>
        <v>#N/A</v>
      </c>
      <c r="N542" s="395"/>
      <c r="R542" s="391"/>
    </row>
    <row r="543" spans="12:18">
      <c r="L543" s="394" t="e">
        <f ca="1">IF(NOT(OFFSET(Data!E546,0,MATCH('Delta Beta'!$C$5,Data!$B$4:$Q$4,0)-3)=""),OFFSET(Data!E546,0,MATCH('Delta Beta'!$C$5,Data!$B$4:$Q$4,0)-3),#N/A)-$C$8/250</f>
        <v>#N/A</v>
      </c>
      <c r="M543" s="394" t="e">
        <f ca="1">IF(NOT(OFFSET(Data!E546,0,MATCH('Delta Beta'!$C$5,Data!$B$4:$Q$4,0)-1)=""),OFFSET(Data!E546,0,MATCH('Delta Beta'!$C$5,Data!$B$4:$Q$4,0)-1),#N/A)-$C$8/250</f>
        <v>#N/A</v>
      </c>
      <c r="N543" s="395"/>
      <c r="R543" s="391"/>
    </row>
    <row r="544" spans="12:18">
      <c r="L544" s="394" t="e">
        <f ca="1">IF(NOT(OFFSET(Data!E547,0,MATCH('Delta Beta'!$C$5,Data!$B$4:$Q$4,0)-3)=""),OFFSET(Data!E547,0,MATCH('Delta Beta'!$C$5,Data!$B$4:$Q$4,0)-3),#N/A)-$C$8/250</f>
        <v>#N/A</v>
      </c>
      <c r="M544" s="394" t="e">
        <f ca="1">IF(NOT(OFFSET(Data!E547,0,MATCH('Delta Beta'!$C$5,Data!$B$4:$Q$4,0)-1)=""),OFFSET(Data!E547,0,MATCH('Delta Beta'!$C$5,Data!$B$4:$Q$4,0)-1),#N/A)-$C$8/250</f>
        <v>#N/A</v>
      </c>
      <c r="N544" s="395"/>
      <c r="R544" s="391"/>
    </row>
    <row r="545" spans="12:18">
      <c r="L545" s="394" t="e">
        <f ca="1">IF(NOT(OFFSET(Data!E548,0,MATCH('Delta Beta'!$C$5,Data!$B$4:$Q$4,0)-3)=""),OFFSET(Data!E548,0,MATCH('Delta Beta'!$C$5,Data!$B$4:$Q$4,0)-3),#N/A)-$C$8/250</f>
        <v>#N/A</v>
      </c>
      <c r="M545" s="394" t="e">
        <f ca="1">IF(NOT(OFFSET(Data!E548,0,MATCH('Delta Beta'!$C$5,Data!$B$4:$Q$4,0)-1)=""),OFFSET(Data!E548,0,MATCH('Delta Beta'!$C$5,Data!$B$4:$Q$4,0)-1),#N/A)-$C$8/250</f>
        <v>#N/A</v>
      </c>
      <c r="N545" s="395"/>
      <c r="R545" s="391"/>
    </row>
    <row r="546" spans="12:18">
      <c r="L546" s="394" t="e">
        <f ca="1">IF(NOT(OFFSET(Data!E549,0,MATCH('Delta Beta'!$C$5,Data!$B$4:$Q$4,0)-3)=""),OFFSET(Data!E549,0,MATCH('Delta Beta'!$C$5,Data!$B$4:$Q$4,0)-3),#N/A)-$C$8/250</f>
        <v>#N/A</v>
      </c>
      <c r="M546" s="394" t="e">
        <f ca="1">IF(NOT(OFFSET(Data!E549,0,MATCH('Delta Beta'!$C$5,Data!$B$4:$Q$4,0)-1)=""),OFFSET(Data!E549,0,MATCH('Delta Beta'!$C$5,Data!$B$4:$Q$4,0)-1),#N/A)-$C$8/250</f>
        <v>#N/A</v>
      </c>
      <c r="N546" s="395"/>
      <c r="R546" s="391"/>
    </row>
    <row r="547" spans="12:18">
      <c r="L547" s="394" t="e">
        <f ca="1">IF(NOT(OFFSET(Data!E550,0,MATCH('Delta Beta'!$C$5,Data!$B$4:$Q$4,0)-3)=""),OFFSET(Data!E550,0,MATCH('Delta Beta'!$C$5,Data!$B$4:$Q$4,0)-3),#N/A)-$C$8/250</f>
        <v>#N/A</v>
      </c>
      <c r="M547" s="394" t="e">
        <f ca="1">IF(NOT(OFFSET(Data!E550,0,MATCH('Delta Beta'!$C$5,Data!$B$4:$Q$4,0)-1)=""),OFFSET(Data!E550,0,MATCH('Delta Beta'!$C$5,Data!$B$4:$Q$4,0)-1),#N/A)-$C$8/250</f>
        <v>#N/A</v>
      </c>
      <c r="N547" s="395"/>
      <c r="R547" s="391"/>
    </row>
    <row r="548" spans="12:18">
      <c r="L548" s="394" t="e">
        <f ca="1">IF(NOT(OFFSET(Data!E551,0,MATCH('Delta Beta'!$C$5,Data!$B$4:$Q$4,0)-3)=""),OFFSET(Data!E551,0,MATCH('Delta Beta'!$C$5,Data!$B$4:$Q$4,0)-3),#N/A)-$C$8/250</f>
        <v>#N/A</v>
      </c>
      <c r="M548" s="394" t="e">
        <f ca="1">IF(NOT(OFFSET(Data!E551,0,MATCH('Delta Beta'!$C$5,Data!$B$4:$Q$4,0)-1)=""),OFFSET(Data!E551,0,MATCH('Delta Beta'!$C$5,Data!$B$4:$Q$4,0)-1),#N/A)-$C$8/250</f>
        <v>#N/A</v>
      </c>
      <c r="N548" s="395"/>
      <c r="R548" s="391"/>
    </row>
    <row r="549" spans="12:18">
      <c r="L549" s="394" t="e">
        <f ca="1">IF(NOT(OFFSET(Data!E552,0,MATCH('Delta Beta'!$C$5,Data!$B$4:$Q$4,0)-3)=""),OFFSET(Data!E552,0,MATCH('Delta Beta'!$C$5,Data!$B$4:$Q$4,0)-3),#N/A)-$C$8/250</f>
        <v>#N/A</v>
      </c>
      <c r="M549" s="394" t="e">
        <f ca="1">IF(NOT(OFFSET(Data!E552,0,MATCH('Delta Beta'!$C$5,Data!$B$4:$Q$4,0)-1)=""),OFFSET(Data!E552,0,MATCH('Delta Beta'!$C$5,Data!$B$4:$Q$4,0)-1),#N/A)-$C$8/250</f>
        <v>#N/A</v>
      </c>
      <c r="N549" s="395"/>
      <c r="R549" s="391"/>
    </row>
    <row r="550" spans="12:18">
      <c r="L550" s="394" t="e">
        <f ca="1">IF(NOT(OFFSET(Data!E553,0,MATCH('Delta Beta'!$C$5,Data!$B$4:$Q$4,0)-3)=""),OFFSET(Data!E553,0,MATCH('Delta Beta'!$C$5,Data!$B$4:$Q$4,0)-3),#N/A)-$C$8/250</f>
        <v>#N/A</v>
      </c>
      <c r="M550" s="394" t="e">
        <f ca="1">IF(NOT(OFFSET(Data!E553,0,MATCH('Delta Beta'!$C$5,Data!$B$4:$Q$4,0)-1)=""),OFFSET(Data!E553,0,MATCH('Delta Beta'!$C$5,Data!$B$4:$Q$4,0)-1),#N/A)-$C$8/250</f>
        <v>#N/A</v>
      </c>
      <c r="N550" s="395"/>
      <c r="R550" s="391"/>
    </row>
    <row r="551" spans="12:18">
      <c r="L551" s="394" t="e">
        <f ca="1">IF(NOT(OFFSET(Data!E554,0,MATCH('Delta Beta'!$C$5,Data!$B$4:$Q$4,0)-3)=""),OFFSET(Data!E554,0,MATCH('Delta Beta'!$C$5,Data!$B$4:$Q$4,0)-3),#N/A)-$C$8/250</f>
        <v>#N/A</v>
      </c>
      <c r="M551" s="394" t="e">
        <f ca="1">IF(NOT(OFFSET(Data!E554,0,MATCH('Delta Beta'!$C$5,Data!$B$4:$Q$4,0)-1)=""),OFFSET(Data!E554,0,MATCH('Delta Beta'!$C$5,Data!$B$4:$Q$4,0)-1),#N/A)-$C$8/250</f>
        <v>#N/A</v>
      </c>
      <c r="N551" s="395"/>
      <c r="R551" s="391"/>
    </row>
    <row r="552" spans="12:18">
      <c r="L552" s="394" t="e">
        <f ca="1">IF(NOT(OFFSET(Data!E555,0,MATCH('Delta Beta'!$C$5,Data!$B$4:$Q$4,0)-3)=""),OFFSET(Data!E555,0,MATCH('Delta Beta'!$C$5,Data!$B$4:$Q$4,0)-3),#N/A)-$C$8/250</f>
        <v>#N/A</v>
      </c>
      <c r="M552" s="394" t="e">
        <f ca="1">IF(NOT(OFFSET(Data!E555,0,MATCH('Delta Beta'!$C$5,Data!$B$4:$Q$4,0)-1)=""),OFFSET(Data!E555,0,MATCH('Delta Beta'!$C$5,Data!$B$4:$Q$4,0)-1),#N/A)-$C$8/250</f>
        <v>#N/A</v>
      </c>
      <c r="N552" s="395"/>
      <c r="R552" s="391"/>
    </row>
    <row r="553" spans="12:18">
      <c r="L553" s="394" t="e">
        <f ca="1">IF(NOT(OFFSET(Data!E556,0,MATCH('Delta Beta'!$C$5,Data!$B$4:$Q$4,0)-3)=""),OFFSET(Data!E556,0,MATCH('Delta Beta'!$C$5,Data!$B$4:$Q$4,0)-3),#N/A)-$C$8/250</f>
        <v>#N/A</v>
      </c>
      <c r="M553" s="394" t="e">
        <f ca="1">IF(NOT(OFFSET(Data!E556,0,MATCH('Delta Beta'!$C$5,Data!$B$4:$Q$4,0)-1)=""),OFFSET(Data!E556,0,MATCH('Delta Beta'!$C$5,Data!$B$4:$Q$4,0)-1),#N/A)-$C$8/250</f>
        <v>#N/A</v>
      </c>
      <c r="N553" s="395"/>
      <c r="R553" s="391"/>
    </row>
    <row r="554" spans="12:18">
      <c r="L554" s="394" t="e">
        <f ca="1">IF(NOT(OFFSET(Data!E557,0,MATCH('Delta Beta'!$C$5,Data!$B$4:$Q$4,0)-3)=""),OFFSET(Data!E557,0,MATCH('Delta Beta'!$C$5,Data!$B$4:$Q$4,0)-3),#N/A)-$C$8/250</f>
        <v>#N/A</v>
      </c>
      <c r="M554" s="394" t="e">
        <f ca="1">IF(NOT(OFFSET(Data!E557,0,MATCH('Delta Beta'!$C$5,Data!$B$4:$Q$4,0)-1)=""),OFFSET(Data!E557,0,MATCH('Delta Beta'!$C$5,Data!$B$4:$Q$4,0)-1),#N/A)-$C$8/250</f>
        <v>#N/A</v>
      </c>
      <c r="N554" s="395"/>
      <c r="R554" s="391"/>
    </row>
    <row r="555" spans="12:18">
      <c r="L555" s="394" t="e">
        <f ca="1">IF(NOT(OFFSET(Data!E558,0,MATCH('Delta Beta'!$C$5,Data!$B$4:$Q$4,0)-3)=""),OFFSET(Data!E558,0,MATCH('Delta Beta'!$C$5,Data!$B$4:$Q$4,0)-3),#N/A)-$C$8/250</f>
        <v>#N/A</v>
      </c>
      <c r="M555" s="394" t="e">
        <f ca="1">IF(NOT(OFFSET(Data!E558,0,MATCH('Delta Beta'!$C$5,Data!$B$4:$Q$4,0)-1)=""),OFFSET(Data!E558,0,MATCH('Delta Beta'!$C$5,Data!$B$4:$Q$4,0)-1),#N/A)-$C$8/250</f>
        <v>#N/A</v>
      </c>
      <c r="N555" s="395"/>
      <c r="R555" s="391"/>
    </row>
    <row r="556" spans="12:18">
      <c r="L556" s="394" t="e">
        <f ca="1">IF(NOT(OFFSET(Data!E559,0,MATCH('Delta Beta'!$C$5,Data!$B$4:$Q$4,0)-3)=""),OFFSET(Data!E559,0,MATCH('Delta Beta'!$C$5,Data!$B$4:$Q$4,0)-3),#N/A)-$C$8/250</f>
        <v>#N/A</v>
      </c>
      <c r="M556" s="394" t="e">
        <f ca="1">IF(NOT(OFFSET(Data!E559,0,MATCH('Delta Beta'!$C$5,Data!$B$4:$Q$4,0)-1)=""),OFFSET(Data!E559,0,MATCH('Delta Beta'!$C$5,Data!$B$4:$Q$4,0)-1),#N/A)-$C$8/250</f>
        <v>#N/A</v>
      </c>
      <c r="N556" s="395"/>
      <c r="R556" s="391"/>
    </row>
    <row r="557" spans="12:18">
      <c r="L557" s="394" t="e">
        <f ca="1">IF(NOT(OFFSET(Data!E560,0,MATCH('Delta Beta'!$C$5,Data!$B$4:$Q$4,0)-3)=""),OFFSET(Data!E560,0,MATCH('Delta Beta'!$C$5,Data!$B$4:$Q$4,0)-3),#N/A)-$C$8/250</f>
        <v>#N/A</v>
      </c>
      <c r="M557" s="394" t="e">
        <f ca="1">IF(NOT(OFFSET(Data!E560,0,MATCH('Delta Beta'!$C$5,Data!$B$4:$Q$4,0)-1)=""),OFFSET(Data!E560,0,MATCH('Delta Beta'!$C$5,Data!$B$4:$Q$4,0)-1),#N/A)-$C$8/250</f>
        <v>#N/A</v>
      </c>
      <c r="N557" s="395"/>
      <c r="R557" s="391"/>
    </row>
    <row r="558" spans="12:18">
      <c r="L558" s="394" t="e">
        <f ca="1">IF(NOT(OFFSET(Data!E561,0,MATCH('Delta Beta'!$C$5,Data!$B$4:$Q$4,0)-3)=""),OFFSET(Data!E561,0,MATCH('Delta Beta'!$C$5,Data!$B$4:$Q$4,0)-3),#N/A)-$C$8/250</f>
        <v>#N/A</v>
      </c>
      <c r="M558" s="394" t="e">
        <f ca="1">IF(NOT(OFFSET(Data!E561,0,MATCH('Delta Beta'!$C$5,Data!$B$4:$Q$4,0)-1)=""),OFFSET(Data!E561,0,MATCH('Delta Beta'!$C$5,Data!$B$4:$Q$4,0)-1),#N/A)-$C$8/250</f>
        <v>#N/A</v>
      </c>
      <c r="N558" s="395"/>
      <c r="R558" s="391"/>
    </row>
    <row r="559" spans="12:18">
      <c r="L559" s="394" t="e">
        <f ca="1">IF(NOT(OFFSET(Data!E562,0,MATCH('Delta Beta'!$C$5,Data!$B$4:$Q$4,0)-3)=""),OFFSET(Data!E562,0,MATCH('Delta Beta'!$C$5,Data!$B$4:$Q$4,0)-3),#N/A)-$C$8/250</f>
        <v>#N/A</v>
      </c>
      <c r="M559" s="394" t="e">
        <f ca="1">IF(NOT(OFFSET(Data!E562,0,MATCH('Delta Beta'!$C$5,Data!$B$4:$Q$4,0)-1)=""),OFFSET(Data!E562,0,MATCH('Delta Beta'!$C$5,Data!$B$4:$Q$4,0)-1),#N/A)-$C$8/250</f>
        <v>#N/A</v>
      </c>
      <c r="N559" s="395"/>
      <c r="R559" s="391"/>
    </row>
    <row r="560" spans="12:18">
      <c r="L560" s="394" t="e">
        <f ca="1">IF(NOT(OFFSET(Data!E563,0,MATCH('Delta Beta'!$C$5,Data!$B$4:$Q$4,0)-3)=""),OFFSET(Data!E563,0,MATCH('Delta Beta'!$C$5,Data!$B$4:$Q$4,0)-3),#N/A)-$C$8/250</f>
        <v>#N/A</v>
      </c>
      <c r="M560" s="394" t="e">
        <f ca="1">IF(NOT(OFFSET(Data!E563,0,MATCH('Delta Beta'!$C$5,Data!$B$4:$Q$4,0)-1)=""),OFFSET(Data!E563,0,MATCH('Delta Beta'!$C$5,Data!$B$4:$Q$4,0)-1),#N/A)-$C$8/250</f>
        <v>#N/A</v>
      </c>
      <c r="N560" s="395"/>
      <c r="R560" s="391"/>
    </row>
    <row r="561" spans="12:18">
      <c r="L561" s="394" t="e">
        <f ca="1">IF(NOT(OFFSET(Data!E564,0,MATCH('Delta Beta'!$C$5,Data!$B$4:$Q$4,0)-3)=""),OFFSET(Data!E564,0,MATCH('Delta Beta'!$C$5,Data!$B$4:$Q$4,0)-3),#N/A)-$C$8/250</f>
        <v>#N/A</v>
      </c>
      <c r="M561" s="394" t="e">
        <f ca="1">IF(NOT(OFFSET(Data!E564,0,MATCH('Delta Beta'!$C$5,Data!$B$4:$Q$4,0)-1)=""),OFFSET(Data!E564,0,MATCH('Delta Beta'!$C$5,Data!$B$4:$Q$4,0)-1),#N/A)-$C$8/250</f>
        <v>#N/A</v>
      </c>
      <c r="N561" s="395"/>
      <c r="R561" s="391"/>
    </row>
    <row r="562" spans="12:18">
      <c r="L562" s="394" t="e">
        <f ca="1">IF(NOT(OFFSET(Data!E565,0,MATCH('Delta Beta'!$C$5,Data!$B$4:$Q$4,0)-3)=""),OFFSET(Data!E565,0,MATCH('Delta Beta'!$C$5,Data!$B$4:$Q$4,0)-3),#N/A)-$C$8/250</f>
        <v>#N/A</v>
      </c>
      <c r="M562" s="394" t="e">
        <f ca="1">IF(NOT(OFFSET(Data!E565,0,MATCH('Delta Beta'!$C$5,Data!$B$4:$Q$4,0)-1)=""),OFFSET(Data!E565,0,MATCH('Delta Beta'!$C$5,Data!$B$4:$Q$4,0)-1),#N/A)-$C$8/250</f>
        <v>#N/A</v>
      </c>
      <c r="N562" s="395"/>
      <c r="R562" s="391"/>
    </row>
    <row r="563" spans="12:18">
      <c r="L563" s="394" t="e">
        <f ca="1">IF(NOT(OFFSET(Data!E566,0,MATCH('Delta Beta'!$C$5,Data!$B$4:$Q$4,0)-3)=""),OFFSET(Data!E566,0,MATCH('Delta Beta'!$C$5,Data!$B$4:$Q$4,0)-3),#N/A)-$C$8/250</f>
        <v>#N/A</v>
      </c>
      <c r="M563" s="394" t="e">
        <f ca="1">IF(NOT(OFFSET(Data!E566,0,MATCH('Delta Beta'!$C$5,Data!$B$4:$Q$4,0)-1)=""),OFFSET(Data!E566,0,MATCH('Delta Beta'!$C$5,Data!$B$4:$Q$4,0)-1),#N/A)-$C$8/250</f>
        <v>#N/A</v>
      </c>
      <c r="N563" s="395"/>
      <c r="R563" s="391"/>
    </row>
    <row r="564" spans="12:18">
      <c r="L564" s="394" t="e">
        <f ca="1">IF(NOT(OFFSET(Data!E567,0,MATCH('Delta Beta'!$C$5,Data!$B$4:$Q$4,0)-3)=""),OFFSET(Data!E567,0,MATCH('Delta Beta'!$C$5,Data!$B$4:$Q$4,0)-3),#N/A)-$C$8/250</f>
        <v>#N/A</v>
      </c>
      <c r="M564" s="394" t="e">
        <f ca="1">IF(NOT(OFFSET(Data!E567,0,MATCH('Delta Beta'!$C$5,Data!$B$4:$Q$4,0)-1)=""),OFFSET(Data!E567,0,MATCH('Delta Beta'!$C$5,Data!$B$4:$Q$4,0)-1),#N/A)-$C$8/250</f>
        <v>#N/A</v>
      </c>
      <c r="N564" s="395"/>
      <c r="R564" s="391"/>
    </row>
    <row r="565" spans="12:18">
      <c r="L565" s="394" t="e">
        <f ca="1">IF(NOT(OFFSET(Data!E568,0,MATCH('Delta Beta'!$C$5,Data!$B$4:$Q$4,0)-3)=""),OFFSET(Data!E568,0,MATCH('Delta Beta'!$C$5,Data!$B$4:$Q$4,0)-3),#N/A)-$C$8/250</f>
        <v>#N/A</v>
      </c>
      <c r="M565" s="394" t="e">
        <f ca="1">IF(NOT(OFFSET(Data!E568,0,MATCH('Delta Beta'!$C$5,Data!$B$4:$Q$4,0)-1)=""),OFFSET(Data!E568,0,MATCH('Delta Beta'!$C$5,Data!$B$4:$Q$4,0)-1),#N/A)-$C$8/250</f>
        <v>#N/A</v>
      </c>
      <c r="N565" s="395"/>
      <c r="R565" s="391"/>
    </row>
    <row r="566" spans="12:18">
      <c r="L566" s="394" t="e">
        <f ca="1">IF(NOT(OFFSET(Data!E569,0,MATCH('Delta Beta'!$C$5,Data!$B$4:$Q$4,0)-3)=""),OFFSET(Data!E569,0,MATCH('Delta Beta'!$C$5,Data!$B$4:$Q$4,0)-3),#N/A)-$C$8/250</f>
        <v>#N/A</v>
      </c>
      <c r="M566" s="394" t="e">
        <f ca="1">IF(NOT(OFFSET(Data!E569,0,MATCH('Delta Beta'!$C$5,Data!$B$4:$Q$4,0)-1)=""),OFFSET(Data!E569,0,MATCH('Delta Beta'!$C$5,Data!$B$4:$Q$4,0)-1),#N/A)-$C$8/250</f>
        <v>#N/A</v>
      </c>
      <c r="N566" s="395"/>
      <c r="R566" s="391"/>
    </row>
    <row r="567" spans="12:18">
      <c r="L567" s="394" t="e">
        <f ca="1">IF(NOT(OFFSET(Data!E570,0,MATCH('Delta Beta'!$C$5,Data!$B$4:$Q$4,0)-3)=""),OFFSET(Data!E570,0,MATCH('Delta Beta'!$C$5,Data!$B$4:$Q$4,0)-3),#N/A)-$C$8/250</f>
        <v>#N/A</v>
      </c>
      <c r="M567" s="394" t="e">
        <f ca="1">IF(NOT(OFFSET(Data!E570,0,MATCH('Delta Beta'!$C$5,Data!$B$4:$Q$4,0)-1)=""),OFFSET(Data!E570,0,MATCH('Delta Beta'!$C$5,Data!$B$4:$Q$4,0)-1),#N/A)-$C$8/250</f>
        <v>#N/A</v>
      </c>
      <c r="N567" s="395"/>
      <c r="R567" s="391"/>
    </row>
    <row r="568" spans="12:18">
      <c r="L568" s="394" t="e">
        <f ca="1">IF(NOT(OFFSET(Data!E571,0,MATCH('Delta Beta'!$C$5,Data!$B$4:$Q$4,0)-3)=""),OFFSET(Data!E571,0,MATCH('Delta Beta'!$C$5,Data!$B$4:$Q$4,0)-3),#N/A)-$C$8/250</f>
        <v>#N/A</v>
      </c>
      <c r="M568" s="394" t="e">
        <f ca="1">IF(NOT(OFFSET(Data!E571,0,MATCH('Delta Beta'!$C$5,Data!$B$4:$Q$4,0)-1)=""),OFFSET(Data!E571,0,MATCH('Delta Beta'!$C$5,Data!$B$4:$Q$4,0)-1),#N/A)-$C$8/250</f>
        <v>#N/A</v>
      </c>
      <c r="N568" s="395"/>
      <c r="R568" s="391"/>
    </row>
    <row r="569" spans="12:18">
      <c r="L569" s="394" t="e">
        <f ca="1">IF(NOT(OFFSET(Data!E572,0,MATCH('Delta Beta'!$C$5,Data!$B$4:$Q$4,0)-3)=""),OFFSET(Data!E572,0,MATCH('Delta Beta'!$C$5,Data!$B$4:$Q$4,0)-3),#N/A)-$C$8/250</f>
        <v>#N/A</v>
      </c>
      <c r="M569" s="394" t="e">
        <f ca="1">IF(NOT(OFFSET(Data!E572,0,MATCH('Delta Beta'!$C$5,Data!$B$4:$Q$4,0)-1)=""),OFFSET(Data!E572,0,MATCH('Delta Beta'!$C$5,Data!$B$4:$Q$4,0)-1),#N/A)-$C$8/250</f>
        <v>#N/A</v>
      </c>
      <c r="N569" s="395"/>
      <c r="R569" s="391"/>
    </row>
    <row r="570" spans="12:18">
      <c r="L570" s="394" t="e">
        <f ca="1">IF(NOT(OFFSET(Data!E573,0,MATCH('Delta Beta'!$C$5,Data!$B$4:$Q$4,0)-3)=""),OFFSET(Data!E573,0,MATCH('Delta Beta'!$C$5,Data!$B$4:$Q$4,0)-3),#N/A)-$C$8/250</f>
        <v>#N/A</v>
      </c>
      <c r="M570" s="394" t="e">
        <f ca="1">IF(NOT(OFFSET(Data!E573,0,MATCH('Delta Beta'!$C$5,Data!$B$4:$Q$4,0)-1)=""),OFFSET(Data!E573,0,MATCH('Delta Beta'!$C$5,Data!$B$4:$Q$4,0)-1),#N/A)-$C$8/250</f>
        <v>#N/A</v>
      </c>
      <c r="N570" s="395"/>
      <c r="R570" s="391"/>
    </row>
    <row r="571" spans="12:18">
      <c r="L571" s="394" t="e">
        <f ca="1">IF(NOT(OFFSET(Data!E574,0,MATCH('Delta Beta'!$C$5,Data!$B$4:$Q$4,0)-3)=""),OFFSET(Data!E574,0,MATCH('Delta Beta'!$C$5,Data!$B$4:$Q$4,0)-3),#N/A)-$C$8/250</f>
        <v>#N/A</v>
      </c>
      <c r="M571" s="394" t="e">
        <f ca="1">IF(NOT(OFFSET(Data!E574,0,MATCH('Delta Beta'!$C$5,Data!$B$4:$Q$4,0)-1)=""),OFFSET(Data!E574,0,MATCH('Delta Beta'!$C$5,Data!$B$4:$Q$4,0)-1),#N/A)-$C$8/250</f>
        <v>#N/A</v>
      </c>
      <c r="N571" s="395"/>
      <c r="R571" s="391"/>
    </row>
    <row r="572" spans="12:18">
      <c r="L572" s="394" t="e">
        <f ca="1">IF(NOT(OFFSET(Data!E575,0,MATCH('Delta Beta'!$C$5,Data!$B$4:$Q$4,0)-3)=""),OFFSET(Data!E575,0,MATCH('Delta Beta'!$C$5,Data!$B$4:$Q$4,0)-3),#N/A)-$C$8/250</f>
        <v>#N/A</v>
      </c>
      <c r="M572" s="394" t="e">
        <f ca="1">IF(NOT(OFFSET(Data!E575,0,MATCH('Delta Beta'!$C$5,Data!$B$4:$Q$4,0)-1)=""),OFFSET(Data!E575,0,MATCH('Delta Beta'!$C$5,Data!$B$4:$Q$4,0)-1),#N/A)-$C$8/250</f>
        <v>#N/A</v>
      </c>
      <c r="N572" s="395"/>
      <c r="R572" s="391"/>
    </row>
    <row r="573" spans="12:18">
      <c r="L573" s="394" t="e">
        <f ca="1">IF(NOT(OFFSET(Data!E576,0,MATCH('Delta Beta'!$C$5,Data!$B$4:$Q$4,0)-3)=""),OFFSET(Data!E576,0,MATCH('Delta Beta'!$C$5,Data!$B$4:$Q$4,0)-3),#N/A)-$C$8/250</f>
        <v>#N/A</v>
      </c>
      <c r="M573" s="394" t="e">
        <f ca="1">IF(NOT(OFFSET(Data!E576,0,MATCH('Delta Beta'!$C$5,Data!$B$4:$Q$4,0)-1)=""),OFFSET(Data!E576,0,MATCH('Delta Beta'!$C$5,Data!$B$4:$Q$4,0)-1),#N/A)-$C$8/250</f>
        <v>#N/A</v>
      </c>
      <c r="N573" s="395"/>
      <c r="R573" s="391"/>
    </row>
    <row r="574" spans="12:18">
      <c r="L574" s="394" t="e">
        <f ca="1">IF(NOT(OFFSET(Data!E577,0,MATCH('Delta Beta'!$C$5,Data!$B$4:$Q$4,0)-3)=""),OFFSET(Data!E577,0,MATCH('Delta Beta'!$C$5,Data!$B$4:$Q$4,0)-3),#N/A)-$C$8/250</f>
        <v>#N/A</v>
      </c>
      <c r="M574" s="394" t="e">
        <f ca="1">IF(NOT(OFFSET(Data!E577,0,MATCH('Delta Beta'!$C$5,Data!$B$4:$Q$4,0)-1)=""),OFFSET(Data!E577,0,MATCH('Delta Beta'!$C$5,Data!$B$4:$Q$4,0)-1),#N/A)-$C$8/250</f>
        <v>#N/A</v>
      </c>
      <c r="N574" s="395"/>
      <c r="R574" s="391"/>
    </row>
    <row r="575" spans="12:18">
      <c r="L575" s="394" t="e">
        <f ca="1">IF(NOT(OFFSET(Data!E578,0,MATCH('Delta Beta'!$C$5,Data!$B$4:$Q$4,0)-3)=""),OFFSET(Data!E578,0,MATCH('Delta Beta'!$C$5,Data!$B$4:$Q$4,0)-3),#N/A)-$C$8/250</f>
        <v>#N/A</v>
      </c>
      <c r="M575" s="394" t="e">
        <f ca="1">IF(NOT(OFFSET(Data!E578,0,MATCH('Delta Beta'!$C$5,Data!$B$4:$Q$4,0)-1)=""),OFFSET(Data!E578,0,MATCH('Delta Beta'!$C$5,Data!$B$4:$Q$4,0)-1),#N/A)-$C$8/250</f>
        <v>#N/A</v>
      </c>
      <c r="N575" s="395"/>
      <c r="R575" s="391"/>
    </row>
    <row r="576" spans="12:18">
      <c r="L576" s="394" t="e">
        <f ca="1">IF(NOT(OFFSET(Data!E579,0,MATCH('Delta Beta'!$C$5,Data!$B$4:$Q$4,0)-3)=""),OFFSET(Data!E579,0,MATCH('Delta Beta'!$C$5,Data!$B$4:$Q$4,0)-3),#N/A)-$C$8/250</f>
        <v>#N/A</v>
      </c>
      <c r="M576" s="394" t="e">
        <f ca="1">IF(NOT(OFFSET(Data!E579,0,MATCH('Delta Beta'!$C$5,Data!$B$4:$Q$4,0)-1)=""),OFFSET(Data!E579,0,MATCH('Delta Beta'!$C$5,Data!$B$4:$Q$4,0)-1),#N/A)-$C$8/250</f>
        <v>#N/A</v>
      </c>
      <c r="N576" s="395"/>
      <c r="R576" s="391"/>
    </row>
    <row r="577" spans="12:18">
      <c r="L577" s="394" t="e">
        <f ca="1">IF(NOT(OFFSET(Data!E580,0,MATCH('Delta Beta'!$C$5,Data!$B$4:$Q$4,0)-3)=""),OFFSET(Data!E580,0,MATCH('Delta Beta'!$C$5,Data!$B$4:$Q$4,0)-3),#N/A)-$C$8/250</f>
        <v>#N/A</v>
      </c>
      <c r="M577" s="394" t="e">
        <f ca="1">IF(NOT(OFFSET(Data!E580,0,MATCH('Delta Beta'!$C$5,Data!$B$4:$Q$4,0)-1)=""),OFFSET(Data!E580,0,MATCH('Delta Beta'!$C$5,Data!$B$4:$Q$4,0)-1),#N/A)-$C$8/250</f>
        <v>#N/A</v>
      </c>
      <c r="N577" s="395"/>
      <c r="R577" s="391"/>
    </row>
    <row r="578" spans="12:18">
      <c r="L578" s="394" t="e">
        <f ca="1">IF(NOT(OFFSET(Data!E581,0,MATCH('Delta Beta'!$C$5,Data!$B$4:$Q$4,0)-3)=""),OFFSET(Data!E581,0,MATCH('Delta Beta'!$C$5,Data!$B$4:$Q$4,0)-3),#N/A)-$C$8/250</f>
        <v>#N/A</v>
      </c>
      <c r="M578" s="394" t="e">
        <f ca="1">IF(NOT(OFFSET(Data!E581,0,MATCH('Delta Beta'!$C$5,Data!$B$4:$Q$4,0)-1)=""),OFFSET(Data!E581,0,MATCH('Delta Beta'!$C$5,Data!$B$4:$Q$4,0)-1),#N/A)-$C$8/250</f>
        <v>#N/A</v>
      </c>
      <c r="N578" s="395"/>
      <c r="R578" s="391"/>
    </row>
    <row r="579" spans="12:18">
      <c r="L579" s="394" t="e">
        <f ca="1">IF(NOT(OFFSET(Data!E582,0,MATCH('Delta Beta'!$C$5,Data!$B$4:$Q$4,0)-3)=""),OFFSET(Data!E582,0,MATCH('Delta Beta'!$C$5,Data!$B$4:$Q$4,0)-3),#N/A)-$C$8/250</f>
        <v>#N/A</v>
      </c>
      <c r="M579" s="394" t="e">
        <f ca="1">IF(NOT(OFFSET(Data!E582,0,MATCH('Delta Beta'!$C$5,Data!$B$4:$Q$4,0)-1)=""),OFFSET(Data!E582,0,MATCH('Delta Beta'!$C$5,Data!$B$4:$Q$4,0)-1),#N/A)-$C$8/250</f>
        <v>#N/A</v>
      </c>
      <c r="N579" s="395"/>
      <c r="R579" s="391"/>
    </row>
    <row r="580" spans="12:18">
      <c r="L580" s="394" t="e">
        <f ca="1">IF(NOT(OFFSET(Data!E583,0,MATCH('Delta Beta'!$C$5,Data!$B$4:$Q$4,0)-3)=""),OFFSET(Data!E583,0,MATCH('Delta Beta'!$C$5,Data!$B$4:$Q$4,0)-3),#N/A)-$C$8/250</f>
        <v>#N/A</v>
      </c>
      <c r="M580" s="394" t="e">
        <f ca="1">IF(NOT(OFFSET(Data!E583,0,MATCH('Delta Beta'!$C$5,Data!$B$4:$Q$4,0)-1)=""),OFFSET(Data!E583,0,MATCH('Delta Beta'!$C$5,Data!$B$4:$Q$4,0)-1),#N/A)-$C$8/250</f>
        <v>#N/A</v>
      </c>
      <c r="N580" s="395"/>
      <c r="R580" s="391"/>
    </row>
    <row r="581" spans="12:18">
      <c r="L581" s="394" t="e">
        <f ca="1">IF(NOT(OFFSET(Data!E584,0,MATCH('Delta Beta'!$C$5,Data!$B$4:$Q$4,0)-3)=""),OFFSET(Data!E584,0,MATCH('Delta Beta'!$C$5,Data!$B$4:$Q$4,0)-3),#N/A)-$C$8/250</f>
        <v>#N/A</v>
      </c>
      <c r="M581" s="394" t="e">
        <f ca="1">IF(NOT(OFFSET(Data!E584,0,MATCH('Delta Beta'!$C$5,Data!$B$4:$Q$4,0)-1)=""),OFFSET(Data!E584,0,MATCH('Delta Beta'!$C$5,Data!$B$4:$Q$4,0)-1),#N/A)-$C$8/250</f>
        <v>#N/A</v>
      </c>
      <c r="N581" s="395"/>
      <c r="R581" s="391"/>
    </row>
    <row r="582" spans="12:18">
      <c r="L582" s="394" t="e">
        <f ca="1">IF(NOT(OFFSET(Data!E585,0,MATCH('Delta Beta'!$C$5,Data!$B$4:$Q$4,0)-3)=""),OFFSET(Data!E585,0,MATCH('Delta Beta'!$C$5,Data!$B$4:$Q$4,0)-3),#N/A)-$C$8/250</f>
        <v>#N/A</v>
      </c>
      <c r="M582" s="394" t="e">
        <f ca="1">IF(NOT(OFFSET(Data!E585,0,MATCH('Delta Beta'!$C$5,Data!$B$4:$Q$4,0)-1)=""),OFFSET(Data!E585,0,MATCH('Delta Beta'!$C$5,Data!$B$4:$Q$4,0)-1),#N/A)-$C$8/250</f>
        <v>#N/A</v>
      </c>
      <c r="N582" s="395"/>
      <c r="R582" s="391"/>
    </row>
    <row r="583" spans="12:18">
      <c r="L583" s="394" t="e">
        <f ca="1">IF(NOT(OFFSET(Data!E586,0,MATCH('Delta Beta'!$C$5,Data!$B$4:$Q$4,0)-3)=""),OFFSET(Data!E586,0,MATCH('Delta Beta'!$C$5,Data!$B$4:$Q$4,0)-3),#N/A)-$C$8/250</f>
        <v>#N/A</v>
      </c>
      <c r="M583" s="394" t="e">
        <f ca="1">IF(NOT(OFFSET(Data!E586,0,MATCH('Delta Beta'!$C$5,Data!$B$4:$Q$4,0)-1)=""),OFFSET(Data!E586,0,MATCH('Delta Beta'!$C$5,Data!$B$4:$Q$4,0)-1),#N/A)-$C$8/250</f>
        <v>#N/A</v>
      </c>
      <c r="N583" s="395"/>
      <c r="R583" s="391"/>
    </row>
    <row r="584" spans="12:18">
      <c r="L584" s="394" t="e">
        <f ca="1">IF(NOT(OFFSET(Data!E587,0,MATCH('Delta Beta'!$C$5,Data!$B$4:$Q$4,0)-3)=""),OFFSET(Data!E587,0,MATCH('Delta Beta'!$C$5,Data!$B$4:$Q$4,0)-3),#N/A)-$C$8/250</f>
        <v>#N/A</v>
      </c>
      <c r="M584" s="394" t="e">
        <f ca="1">IF(NOT(OFFSET(Data!E587,0,MATCH('Delta Beta'!$C$5,Data!$B$4:$Q$4,0)-1)=""),OFFSET(Data!E587,0,MATCH('Delta Beta'!$C$5,Data!$B$4:$Q$4,0)-1),#N/A)-$C$8/250</f>
        <v>#N/A</v>
      </c>
      <c r="N584" s="395"/>
      <c r="R584" s="391"/>
    </row>
    <row r="585" spans="12:18">
      <c r="L585" s="394" t="e">
        <f ca="1">IF(NOT(OFFSET(Data!E588,0,MATCH('Delta Beta'!$C$5,Data!$B$4:$Q$4,0)-3)=""),OFFSET(Data!E588,0,MATCH('Delta Beta'!$C$5,Data!$B$4:$Q$4,0)-3),#N/A)-$C$8/250</f>
        <v>#N/A</v>
      </c>
      <c r="M585" s="394" t="e">
        <f ca="1">IF(NOT(OFFSET(Data!E588,0,MATCH('Delta Beta'!$C$5,Data!$B$4:$Q$4,0)-1)=""),OFFSET(Data!E588,0,MATCH('Delta Beta'!$C$5,Data!$B$4:$Q$4,0)-1),#N/A)-$C$8/250</f>
        <v>#N/A</v>
      </c>
      <c r="N585" s="395"/>
      <c r="R585" s="391"/>
    </row>
    <row r="586" spans="12:18">
      <c r="L586" s="394" t="e">
        <f ca="1">IF(NOT(OFFSET(Data!E589,0,MATCH('Delta Beta'!$C$5,Data!$B$4:$Q$4,0)-3)=""),OFFSET(Data!E589,0,MATCH('Delta Beta'!$C$5,Data!$B$4:$Q$4,0)-3),#N/A)-$C$8/250</f>
        <v>#N/A</v>
      </c>
      <c r="M586" s="394" t="e">
        <f ca="1">IF(NOT(OFFSET(Data!E589,0,MATCH('Delta Beta'!$C$5,Data!$B$4:$Q$4,0)-1)=""),OFFSET(Data!E589,0,MATCH('Delta Beta'!$C$5,Data!$B$4:$Q$4,0)-1),#N/A)-$C$8/250</f>
        <v>#N/A</v>
      </c>
      <c r="N586" s="395"/>
      <c r="R586" s="391"/>
    </row>
    <row r="587" spans="12:18">
      <c r="L587" s="394" t="e">
        <f ca="1">IF(NOT(OFFSET(Data!E590,0,MATCH('Delta Beta'!$C$5,Data!$B$4:$Q$4,0)-3)=""),OFFSET(Data!E590,0,MATCH('Delta Beta'!$C$5,Data!$B$4:$Q$4,0)-3),#N/A)-$C$8/250</f>
        <v>#N/A</v>
      </c>
      <c r="M587" s="394" t="e">
        <f ca="1">IF(NOT(OFFSET(Data!E590,0,MATCH('Delta Beta'!$C$5,Data!$B$4:$Q$4,0)-1)=""),OFFSET(Data!E590,0,MATCH('Delta Beta'!$C$5,Data!$B$4:$Q$4,0)-1),#N/A)-$C$8/250</f>
        <v>#N/A</v>
      </c>
      <c r="N587" s="395"/>
      <c r="R587" s="391"/>
    </row>
    <row r="588" spans="12:18">
      <c r="L588" s="394" t="e">
        <f ca="1">IF(NOT(OFFSET(Data!E591,0,MATCH('Delta Beta'!$C$5,Data!$B$4:$Q$4,0)-3)=""),OFFSET(Data!E591,0,MATCH('Delta Beta'!$C$5,Data!$B$4:$Q$4,0)-3),#N/A)-$C$8/250</f>
        <v>#N/A</v>
      </c>
      <c r="M588" s="394" t="e">
        <f ca="1">IF(NOT(OFFSET(Data!E591,0,MATCH('Delta Beta'!$C$5,Data!$B$4:$Q$4,0)-1)=""),OFFSET(Data!E591,0,MATCH('Delta Beta'!$C$5,Data!$B$4:$Q$4,0)-1),#N/A)-$C$8/250</f>
        <v>#N/A</v>
      </c>
      <c r="N588" s="395"/>
      <c r="R588" s="391"/>
    </row>
    <row r="589" spans="12:18">
      <c r="L589" s="394" t="e">
        <f ca="1">IF(NOT(OFFSET(Data!E592,0,MATCH('Delta Beta'!$C$5,Data!$B$4:$Q$4,0)-3)=""),OFFSET(Data!E592,0,MATCH('Delta Beta'!$C$5,Data!$B$4:$Q$4,0)-3),#N/A)-$C$8/250</f>
        <v>#N/A</v>
      </c>
      <c r="M589" s="394" t="e">
        <f ca="1">IF(NOT(OFFSET(Data!E592,0,MATCH('Delta Beta'!$C$5,Data!$B$4:$Q$4,0)-1)=""),OFFSET(Data!E592,0,MATCH('Delta Beta'!$C$5,Data!$B$4:$Q$4,0)-1),#N/A)-$C$8/250</f>
        <v>#N/A</v>
      </c>
      <c r="N589" s="395"/>
      <c r="R589" s="391"/>
    </row>
    <row r="590" spans="12:18">
      <c r="L590" s="394" t="e">
        <f ca="1">IF(NOT(OFFSET(Data!E593,0,MATCH('Delta Beta'!$C$5,Data!$B$4:$Q$4,0)-3)=""),OFFSET(Data!E593,0,MATCH('Delta Beta'!$C$5,Data!$B$4:$Q$4,0)-3),#N/A)-$C$8/250</f>
        <v>#N/A</v>
      </c>
      <c r="M590" s="394" t="e">
        <f ca="1">IF(NOT(OFFSET(Data!E593,0,MATCH('Delta Beta'!$C$5,Data!$B$4:$Q$4,0)-1)=""),OFFSET(Data!E593,0,MATCH('Delta Beta'!$C$5,Data!$B$4:$Q$4,0)-1),#N/A)-$C$8/250</f>
        <v>#N/A</v>
      </c>
      <c r="N590" s="395"/>
      <c r="R590" s="391"/>
    </row>
    <row r="591" spans="12:18">
      <c r="L591" s="394" t="e">
        <f ca="1">IF(NOT(OFFSET(Data!E594,0,MATCH('Delta Beta'!$C$5,Data!$B$4:$Q$4,0)-3)=""),OFFSET(Data!E594,0,MATCH('Delta Beta'!$C$5,Data!$B$4:$Q$4,0)-3),#N/A)-$C$8/250</f>
        <v>#N/A</v>
      </c>
      <c r="M591" s="394" t="e">
        <f ca="1">IF(NOT(OFFSET(Data!E594,0,MATCH('Delta Beta'!$C$5,Data!$B$4:$Q$4,0)-1)=""),OFFSET(Data!E594,0,MATCH('Delta Beta'!$C$5,Data!$B$4:$Q$4,0)-1),#N/A)-$C$8/250</f>
        <v>#N/A</v>
      </c>
      <c r="N591" s="395"/>
      <c r="R591" s="391"/>
    </row>
    <row r="592" spans="12:18">
      <c r="L592" s="394" t="e">
        <f ca="1">IF(NOT(OFFSET(Data!E595,0,MATCH('Delta Beta'!$C$5,Data!$B$4:$Q$4,0)-3)=""),OFFSET(Data!E595,0,MATCH('Delta Beta'!$C$5,Data!$B$4:$Q$4,0)-3),#N/A)-$C$8/250</f>
        <v>#N/A</v>
      </c>
      <c r="M592" s="394" t="e">
        <f ca="1">IF(NOT(OFFSET(Data!E595,0,MATCH('Delta Beta'!$C$5,Data!$B$4:$Q$4,0)-1)=""),OFFSET(Data!E595,0,MATCH('Delta Beta'!$C$5,Data!$B$4:$Q$4,0)-1),#N/A)-$C$8/250</f>
        <v>#N/A</v>
      </c>
      <c r="N592" s="395"/>
      <c r="R592" s="391"/>
    </row>
    <row r="593" spans="12:18">
      <c r="L593" s="394" t="e">
        <f ca="1">IF(NOT(OFFSET(Data!E596,0,MATCH('Delta Beta'!$C$5,Data!$B$4:$Q$4,0)-3)=""),OFFSET(Data!E596,0,MATCH('Delta Beta'!$C$5,Data!$B$4:$Q$4,0)-3),#N/A)-$C$8/250</f>
        <v>#N/A</v>
      </c>
      <c r="M593" s="394" t="e">
        <f ca="1">IF(NOT(OFFSET(Data!E596,0,MATCH('Delta Beta'!$C$5,Data!$B$4:$Q$4,0)-1)=""),OFFSET(Data!E596,0,MATCH('Delta Beta'!$C$5,Data!$B$4:$Q$4,0)-1),#N/A)-$C$8/250</f>
        <v>#N/A</v>
      </c>
      <c r="N593" s="395"/>
      <c r="R593" s="391"/>
    </row>
    <row r="594" spans="12:18">
      <c r="L594" s="394" t="e">
        <f ca="1">IF(NOT(OFFSET(Data!E597,0,MATCH('Delta Beta'!$C$5,Data!$B$4:$Q$4,0)-3)=""),OFFSET(Data!E597,0,MATCH('Delta Beta'!$C$5,Data!$B$4:$Q$4,0)-3),#N/A)-$C$8/250</f>
        <v>#N/A</v>
      </c>
      <c r="M594" s="394" t="e">
        <f ca="1">IF(NOT(OFFSET(Data!E597,0,MATCH('Delta Beta'!$C$5,Data!$B$4:$Q$4,0)-1)=""),OFFSET(Data!E597,0,MATCH('Delta Beta'!$C$5,Data!$B$4:$Q$4,0)-1),#N/A)-$C$8/250</f>
        <v>#N/A</v>
      </c>
      <c r="N594" s="395"/>
      <c r="R594" s="391"/>
    </row>
    <row r="595" spans="12:18">
      <c r="L595" s="394" t="e">
        <f ca="1">IF(NOT(OFFSET(Data!E598,0,MATCH('Delta Beta'!$C$5,Data!$B$4:$Q$4,0)-3)=""),OFFSET(Data!E598,0,MATCH('Delta Beta'!$C$5,Data!$B$4:$Q$4,0)-3),#N/A)-$C$8/250</f>
        <v>#N/A</v>
      </c>
      <c r="M595" s="394" t="e">
        <f ca="1">IF(NOT(OFFSET(Data!E598,0,MATCH('Delta Beta'!$C$5,Data!$B$4:$Q$4,0)-1)=""),OFFSET(Data!E598,0,MATCH('Delta Beta'!$C$5,Data!$B$4:$Q$4,0)-1),#N/A)-$C$8/250</f>
        <v>#N/A</v>
      </c>
      <c r="N595" s="395"/>
      <c r="R595" s="391"/>
    </row>
    <row r="596" spans="12:18">
      <c r="L596" s="394" t="e">
        <f ca="1">IF(NOT(OFFSET(Data!E599,0,MATCH('Delta Beta'!$C$5,Data!$B$4:$Q$4,0)-3)=""),OFFSET(Data!E599,0,MATCH('Delta Beta'!$C$5,Data!$B$4:$Q$4,0)-3),#N/A)-$C$8/250</f>
        <v>#N/A</v>
      </c>
      <c r="M596" s="394" t="e">
        <f ca="1">IF(NOT(OFFSET(Data!E599,0,MATCH('Delta Beta'!$C$5,Data!$B$4:$Q$4,0)-1)=""),OFFSET(Data!E599,0,MATCH('Delta Beta'!$C$5,Data!$B$4:$Q$4,0)-1),#N/A)-$C$8/250</f>
        <v>#N/A</v>
      </c>
      <c r="N596" s="395"/>
      <c r="R596" s="391"/>
    </row>
    <row r="597" spans="12:18">
      <c r="L597" s="394" t="e">
        <f ca="1">IF(NOT(OFFSET(Data!E600,0,MATCH('Delta Beta'!$C$5,Data!$B$4:$Q$4,0)-3)=""),OFFSET(Data!E600,0,MATCH('Delta Beta'!$C$5,Data!$B$4:$Q$4,0)-3),#N/A)-$C$8/250</f>
        <v>#N/A</v>
      </c>
      <c r="M597" s="394" t="e">
        <f ca="1">IF(NOT(OFFSET(Data!E600,0,MATCH('Delta Beta'!$C$5,Data!$B$4:$Q$4,0)-1)=""),OFFSET(Data!E600,0,MATCH('Delta Beta'!$C$5,Data!$B$4:$Q$4,0)-1),#N/A)-$C$8/250</f>
        <v>#N/A</v>
      </c>
      <c r="N597" s="395"/>
      <c r="R597" s="391"/>
    </row>
    <row r="598" spans="12:18">
      <c r="L598" s="394" t="e">
        <f ca="1">IF(NOT(OFFSET(Data!E601,0,MATCH('Delta Beta'!$C$5,Data!$B$4:$Q$4,0)-3)=""),OFFSET(Data!E601,0,MATCH('Delta Beta'!$C$5,Data!$B$4:$Q$4,0)-3),#N/A)-$C$8/250</f>
        <v>#N/A</v>
      </c>
      <c r="M598" s="394" t="e">
        <f ca="1">IF(NOT(OFFSET(Data!E601,0,MATCH('Delta Beta'!$C$5,Data!$B$4:$Q$4,0)-1)=""),OFFSET(Data!E601,0,MATCH('Delta Beta'!$C$5,Data!$B$4:$Q$4,0)-1),#N/A)-$C$8/250</f>
        <v>#N/A</v>
      </c>
      <c r="N598" s="395"/>
      <c r="R598" s="391"/>
    </row>
    <row r="599" spans="12:18">
      <c r="L599" s="394" t="e">
        <f ca="1">IF(NOT(OFFSET(Data!E602,0,MATCH('Delta Beta'!$C$5,Data!$B$4:$Q$4,0)-3)=""),OFFSET(Data!E602,0,MATCH('Delta Beta'!$C$5,Data!$B$4:$Q$4,0)-3),#N/A)-$C$8/250</f>
        <v>#N/A</v>
      </c>
      <c r="M599" s="394" t="e">
        <f ca="1">IF(NOT(OFFSET(Data!E602,0,MATCH('Delta Beta'!$C$5,Data!$B$4:$Q$4,0)-1)=""),OFFSET(Data!E602,0,MATCH('Delta Beta'!$C$5,Data!$B$4:$Q$4,0)-1),#N/A)-$C$8/250</f>
        <v>#N/A</v>
      </c>
      <c r="N599" s="395"/>
      <c r="R599" s="391"/>
    </row>
    <row r="600" spans="12:18">
      <c r="L600" s="394" t="e">
        <f ca="1">IF(NOT(OFFSET(Data!E603,0,MATCH('Delta Beta'!$C$5,Data!$B$4:$Q$4,0)-3)=""),OFFSET(Data!E603,0,MATCH('Delta Beta'!$C$5,Data!$B$4:$Q$4,0)-3),#N/A)-$C$8/250</f>
        <v>#N/A</v>
      </c>
      <c r="M600" s="394" t="e">
        <f ca="1">IF(NOT(OFFSET(Data!E603,0,MATCH('Delta Beta'!$C$5,Data!$B$4:$Q$4,0)-1)=""),OFFSET(Data!E603,0,MATCH('Delta Beta'!$C$5,Data!$B$4:$Q$4,0)-1),#N/A)-$C$8/250</f>
        <v>#N/A</v>
      </c>
      <c r="N600" s="395"/>
      <c r="R600" s="391"/>
    </row>
    <row r="601" spans="12:18">
      <c r="L601" s="394" t="e">
        <f ca="1">IF(NOT(OFFSET(Data!E604,0,MATCH('Delta Beta'!$C$5,Data!$B$4:$Q$4,0)-3)=""),OFFSET(Data!E604,0,MATCH('Delta Beta'!$C$5,Data!$B$4:$Q$4,0)-3),#N/A)-$C$8/250</f>
        <v>#N/A</v>
      </c>
      <c r="M601" s="394" t="e">
        <f ca="1">IF(NOT(OFFSET(Data!E604,0,MATCH('Delta Beta'!$C$5,Data!$B$4:$Q$4,0)-1)=""),OFFSET(Data!E604,0,MATCH('Delta Beta'!$C$5,Data!$B$4:$Q$4,0)-1),#N/A)-$C$8/250</f>
        <v>#N/A</v>
      </c>
      <c r="N601" s="395"/>
      <c r="R601" s="391"/>
    </row>
    <row r="602" spans="12:18">
      <c r="L602" s="394" t="e">
        <f ca="1">IF(NOT(OFFSET(Data!E605,0,MATCH('Delta Beta'!$C$5,Data!$B$4:$Q$4,0)-3)=""),OFFSET(Data!E605,0,MATCH('Delta Beta'!$C$5,Data!$B$4:$Q$4,0)-3),#N/A)-$C$8/250</f>
        <v>#N/A</v>
      </c>
      <c r="M602" s="394" t="e">
        <f ca="1">IF(NOT(OFFSET(Data!E605,0,MATCH('Delta Beta'!$C$5,Data!$B$4:$Q$4,0)-1)=""),OFFSET(Data!E605,0,MATCH('Delta Beta'!$C$5,Data!$B$4:$Q$4,0)-1),#N/A)-$C$8/250</f>
        <v>#N/A</v>
      </c>
      <c r="N602" s="395"/>
      <c r="R602" s="391"/>
    </row>
    <row r="603" spans="12:18">
      <c r="L603" s="394" t="e">
        <f ca="1">IF(NOT(OFFSET(Data!E606,0,MATCH('Delta Beta'!$C$5,Data!$B$4:$Q$4,0)-3)=""),OFFSET(Data!E606,0,MATCH('Delta Beta'!$C$5,Data!$B$4:$Q$4,0)-3),#N/A)-$C$8/250</f>
        <v>#N/A</v>
      </c>
      <c r="M603" s="394" t="e">
        <f ca="1">IF(NOT(OFFSET(Data!E606,0,MATCH('Delta Beta'!$C$5,Data!$B$4:$Q$4,0)-1)=""),OFFSET(Data!E606,0,MATCH('Delta Beta'!$C$5,Data!$B$4:$Q$4,0)-1),#N/A)-$C$8/250</f>
        <v>#N/A</v>
      </c>
      <c r="N603" s="395"/>
      <c r="R603" s="391"/>
    </row>
    <row r="604" spans="12:18">
      <c r="L604" s="394" t="e">
        <f ca="1">IF(NOT(OFFSET(Data!E607,0,MATCH('Delta Beta'!$C$5,Data!$B$4:$Q$4,0)-3)=""),OFFSET(Data!E607,0,MATCH('Delta Beta'!$C$5,Data!$B$4:$Q$4,0)-3),#N/A)-$C$8/250</f>
        <v>#N/A</v>
      </c>
      <c r="M604" s="394" t="e">
        <f ca="1">IF(NOT(OFFSET(Data!E607,0,MATCH('Delta Beta'!$C$5,Data!$B$4:$Q$4,0)-1)=""),OFFSET(Data!E607,0,MATCH('Delta Beta'!$C$5,Data!$B$4:$Q$4,0)-1),#N/A)-$C$8/250</f>
        <v>#N/A</v>
      </c>
      <c r="N604" s="395"/>
      <c r="R604" s="391"/>
    </row>
    <row r="605" spans="12:18">
      <c r="L605" s="394" t="e">
        <f ca="1">IF(NOT(OFFSET(Data!E608,0,MATCH('Delta Beta'!$C$5,Data!$B$4:$Q$4,0)-3)=""),OFFSET(Data!E608,0,MATCH('Delta Beta'!$C$5,Data!$B$4:$Q$4,0)-3),#N/A)-$C$8/250</f>
        <v>#N/A</v>
      </c>
      <c r="M605" s="394" t="e">
        <f ca="1">IF(NOT(OFFSET(Data!E608,0,MATCH('Delta Beta'!$C$5,Data!$B$4:$Q$4,0)-1)=""),OFFSET(Data!E608,0,MATCH('Delta Beta'!$C$5,Data!$B$4:$Q$4,0)-1),#N/A)-$C$8/250</f>
        <v>#N/A</v>
      </c>
      <c r="N605" s="395"/>
      <c r="R605" s="391"/>
    </row>
    <row r="606" spans="12:18">
      <c r="L606" s="394" t="e">
        <f ca="1">IF(NOT(OFFSET(Data!E609,0,MATCH('Delta Beta'!$C$5,Data!$B$4:$Q$4,0)-3)=""),OFFSET(Data!E609,0,MATCH('Delta Beta'!$C$5,Data!$B$4:$Q$4,0)-3),#N/A)-$C$8/250</f>
        <v>#N/A</v>
      </c>
      <c r="M606" s="394" t="e">
        <f ca="1">IF(NOT(OFFSET(Data!E609,0,MATCH('Delta Beta'!$C$5,Data!$B$4:$Q$4,0)-1)=""),OFFSET(Data!E609,0,MATCH('Delta Beta'!$C$5,Data!$B$4:$Q$4,0)-1),#N/A)-$C$8/250</f>
        <v>#N/A</v>
      </c>
      <c r="N606" s="395"/>
      <c r="R606" s="391"/>
    </row>
    <row r="607" spans="12:18">
      <c r="L607" s="394" t="e">
        <f ca="1">IF(NOT(OFFSET(Data!E610,0,MATCH('Delta Beta'!$C$5,Data!$B$4:$Q$4,0)-3)=""),OFFSET(Data!E610,0,MATCH('Delta Beta'!$C$5,Data!$B$4:$Q$4,0)-3),#N/A)-$C$8/250</f>
        <v>#N/A</v>
      </c>
      <c r="M607" s="394" t="e">
        <f ca="1">IF(NOT(OFFSET(Data!E610,0,MATCH('Delta Beta'!$C$5,Data!$B$4:$Q$4,0)-1)=""),OFFSET(Data!E610,0,MATCH('Delta Beta'!$C$5,Data!$B$4:$Q$4,0)-1),#N/A)-$C$8/250</f>
        <v>#N/A</v>
      </c>
      <c r="N607" s="395"/>
      <c r="R607" s="391"/>
    </row>
    <row r="608" spans="12:18">
      <c r="L608" s="394" t="e">
        <f ca="1">IF(NOT(OFFSET(Data!E611,0,MATCH('Delta Beta'!$C$5,Data!$B$4:$Q$4,0)-3)=""),OFFSET(Data!E611,0,MATCH('Delta Beta'!$C$5,Data!$B$4:$Q$4,0)-3),#N/A)-$C$8/250</f>
        <v>#N/A</v>
      </c>
      <c r="M608" s="394" t="e">
        <f ca="1">IF(NOT(OFFSET(Data!E611,0,MATCH('Delta Beta'!$C$5,Data!$B$4:$Q$4,0)-1)=""),OFFSET(Data!E611,0,MATCH('Delta Beta'!$C$5,Data!$B$4:$Q$4,0)-1),#N/A)-$C$8/250</f>
        <v>#N/A</v>
      </c>
      <c r="N608" s="395"/>
      <c r="R608" s="391"/>
    </row>
    <row r="609" spans="12:18">
      <c r="L609" s="394" t="e">
        <f ca="1">IF(NOT(OFFSET(Data!E612,0,MATCH('Delta Beta'!$C$5,Data!$B$4:$Q$4,0)-3)=""),OFFSET(Data!E612,0,MATCH('Delta Beta'!$C$5,Data!$B$4:$Q$4,0)-3),#N/A)-$C$8/250</f>
        <v>#N/A</v>
      </c>
      <c r="M609" s="394" t="e">
        <f ca="1">IF(NOT(OFFSET(Data!E612,0,MATCH('Delta Beta'!$C$5,Data!$B$4:$Q$4,0)-1)=""),OFFSET(Data!E612,0,MATCH('Delta Beta'!$C$5,Data!$B$4:$Q$4,0)-1),#N/A)-$C$8/250</f>
        <v>#N/A</v>
      </c>
      <c r="N609" s="395"/>
      <c r="R609" s="391"/>
    </row>
    <row r="610" spans="12:18">
      <c r="L610" s="394" t="e">
        <f ca="1">IF(NOT(OFFSET(Data!E613,0,MATCH('Delta Beta'!$C$5,Data!$B$4:$Q$4,0)-3)=""),OFFSET(Data!E613,0,MATCH('Delta Beta'!$C$5,Data!$B$4:$Q$4,0)-3),#N/A)-$C$8/250</f>
        <v>#N/A</v>
      </c>
      <c r="M610" s="394" t="e">
        <f ca="1">IF(NOT(OFFSET(Data!E613,0,MATCH('Delta Beta'!$C$5,Data!$B$4:$Q$4,0)-1)=""),OFFSET(Data!E613,0,MATCH('Delta Beta'!$C$5,Data!$B$4:$Q$4,0)-1),#N/A)-$C$8/250</f>
        <v>#N/A</v>
      </c>
      <c r="N610" s="395"/>
      <c r="R610" s="391"/>
    </row>
    <row r="611" spans="12:18">
      <c r="L611" s="394" t="e">
        <f ca="1">IF(NOT(OFFSET(Data!E614,0,MATCH('Delta Beta'!$C$5,Data!$B$4:$Q$4,0)-3)=""),OFFSET(Data!E614,0,MATCH('Delta Beta'!$C$5,Data!$B$4:$Q$4,0)-3),#N/A)-$C$8/250</f>
        <v>#N/A</v>
      </c>
      <c r="M611" s="394" t="e">
        <f ca="1">IF(NOT(OFFSET(Data!E614,0,MATCH('Delta Beta'!$C$5,Data!$B$4:$Q$4,0)-1)=""),OFFSET(Data!E614,0,MATCH('Delta Beta'!$C$5,Data!$B$4:$Q$4,0)-1),#N/A)-$C$8/250</f>
        <v>#N/A</v>
      </c>
      <c r="N611" s="395"/>
      <c r="R611" s="391"/>
    </row>
    <row r="612" spans="12:18">
      <c r="L612" s="394" t="e">
        <f ca="1">IF(NOT(OFFSET(Data!E615,0,MATCH('Delta Beta'!$C$5,Data!$B$4:$Q$4,0)-3)=""),OFFSET(Data!E615,0,MATCH('Delta Beta'!$C$5,Data!$B$4:$Q$4,0)-3),#N/A)-$C$8/250</f>
        <v>#N/A</v>
      </c>
      <c r="M612" s="394" t="e">
        <f ca="1">IF(NOT(OFFSET(Data!E615,0,MATCH('Delta Beta'!$C$5,Data!$B$4:$Q$4,0)-1)=""),OFFSET(Data!E615,0,MATCH('Delta Beta'!$C$5,Data!$B$4:$Q$4,0)-1),#N/A)-$C$8/250</f>
        <v>#N/A</v>
      </c>
      <c r="N612" s="395"/>
      <c r="R612" s="391"/>
    </row>
    <row r="613" spans="12:18">
      <c r="L613" s="394" t="e">
        <f ca="1">IF(NOT(OFFSET(Data!E616,0,MATCH('Delta Beta'!$C$5,Data!$B$4:$Q$4,0)-3)=""),OFFSET(Data!E616,0,MATCH('Delta Beta'!$C$5,Data!$B$4:$Q$4,0)-3),#N/A)-$C$8/250</f>
        <v>#N/A</v>
      </c>
      <c r="M613" s="394" t="e">
        <f ca="1">IF(NOT(OFFSET(Data!E616,0,MATCH('Delta Beta'!$C$5,Data!$B$4:$Q$4,0)-1)=""),OFFSET(Data!E616,0,MATCH('Delta Beta'!$C$5,Data!$B$4:$Q$4,0)-1),#N/A)-$C$8/250</f>
        <v>#N/A</v>
      </c>
      <c r="N613" s="395"/>
      <c r="R613" s="391"/>
    </row>
    <row r="614" spans="12:18">
      <c r="L614" s="394" t="e">
        <f ca="1">IF(NOT(OFFSET(Data!E617,0,MATCH('Delta Beta'!$C$5,Data!$B$4:$Q$4,0)-3)=""),OFFSET(Data!E617,0,MATCH('Delta Beta'!$C$5,Data!$B$4:$Q$4,0)-3),#N/A)-$C$8/250</f>
        <v>#N/A</v>
      </c>
      <c r="M614" s="394" t="e">
        <f ca="1">IF(NOT(OFFSET(Data!E617,0,MATCH('Delta Beta'!$C$5,Data!$B$4:$Q$4,0)-1)=""),OFFSET(Data!E617,0,MATCH('Delta Beta'!$C$5,Data!$B$4:$Q$4,0)-1),#N/A)-$C$8/250</f>
        <v>#N/A</v>
      </c>
      <c r="N614" s="395"/>
      <c r="R614" s="391"/>
    </row>
    <row r="615" spans="12:18">
      <c r="L615" s="394" t="e">
        <f ca="1">IF(NOT(OFFSET(Data!E618,0,MATCH('Delta Beta'!$C$5,Data!$B$4:$Q$4,0)-3)=""),OFFSET(Data!E618,0,MATCH('Delta Beta'!$C$5,Data!$B$4:$Q$4,0)-3),#N/A)-$C$8/250</f>
        <v>#N/A</v>
      </c>
      <c r="M615" s="394" t="e">
        <f ca="1">IF(NOT(OFFSET(Data!E618,0,MATCH('Delta Beta'!$C$5,Data!$B$4:$Q$4,0)-1)=""),OFFSET(Data!E618,0,MATCH('Delta Beta'!$C$5,Data!$B$4:$Q$4,0)-1),#N/A)-$C$8/250</f>
        <v>#N/A</v>
      </c>
      <c r="N615" s="395"/>
      <c r="R615" s="391"/>
    </row>
    <row r="616" spans="12:18">
      <c r="L616" s="394" t="e">
        <f ca="1">IF(NOT(OFFSET(Data!E619,0,MATCH('Delta Beta'!$C$5,Data!$B$4:$Q$4,0)-3)=""),OFFSET(Data!E619,0,MATCH('Delta Beta'!$C$5,Data!$B$4:$Q$4,0)-3),#N/A)-$C$8/250</f>
        <v>#N/A</v>
      </c>
      <c r="M616" s="394" t="e">
        <f ca="1">IF(NOT(OFFSET(Data!E619,0,MATCH('Delta Beta'!$C$5,Data!$B$4:$Q$4,0)-1)=""),OFFSET(Data!E619,0,MATCH('Delta Beta'!$C$5,Data!$B$4:$Q$4,0)-1),#N/A)-$C$8/250</f>
        <v>#N/A</v>
      </c>
      <c r="N616" s="395"/>
      <c r="R616" s="391"/>
    </row>
    <row r="617" spans="12:18">
      <c r="L617" s="394" t="e">
        <f ca="1">IF(NOT(OFFSET(Data!E620,0,MATCH('Delta Beta'!$C$5,Data!$B$4:$Q$4,0)-3)=""),OFFSET(Data!E620,0,MATCH('Delta Beta'!$C$5,Data!$B$4:$Q$4,0)-3),#N/A)-$C$8/250</f>
        <v>#N/A</v>
      </c>
      <c r="M617" s="394" t="e">
        <f ca="1">IF(NOT(OFFSET(Data!E620,0,MATCH('Delta Beta'!$C$5,Data!$B$4:$Q$4,0)-1)=""),OFFSET(Data!E620,0,MATCH('Delta Beta'!$C$5,Data!$B$4:$Q$4,0)-1),#N/A)-$C$8/250</f>
        <v>#N/A</v>
      </c>
      <c r="N617" s="395"/>
      <c r="R617" s="391"/>
    </row>
    <row r="618" spans="12:18">
      <c r="L618" s="394" t="e">
        <f ca="1">IF(NOT(OFFSET(Data!E621,0,MATCH('Delta Beta'!$C$5,Data!$B$4:$Q$4,0)-3)=""),OFFSET(Data!E621,0,MATCH('Delta Beta'!$C$5,Data!$B$4:$Q$4,0)-3),#N/A)-$C$8/250</f>
        <v>#N/A</v>
      </c>
      <c r="M618" s="394" t="e">
        <f ca="1">IF(NOT(OFFSET(Data!E621,0,MATCH('Delta Beta'!$C$5,Data!$B$4:$Q$4,0)-1)=""),OFFSET(Data!E621,0,MATCH('Delta Beta'!$C$5,Data!$B$4:$Q$4,0)-1),#N/A)-$C$8/250</f>
        <v>#N/A</v>
      </c>
      <c r="N618" s="395"/>
      <c r="R618" s="391"/>
    </row>
    <row r="619" spans="12:18">
      <c r="L619" s="394" t="e">
        <f ca="1">IF(NOT(OFFSET(Data!E622,0,MATCH('Delta Beta'!$C$5,Data!$B$4:$Q$4,0)-3)=""),OFFSET(Data!E622,0,MATCH('Delta Beta'!$C$5,Data!$B$4:$Q$4,0)-3),#N/A)-$C$8/250</f>
        <v>#N/A</v>
      </c>
      <c r="M619" s="394" t="e">
        <f ca="1">IF(NOT(OFFSET(Data!E622,0,MATCH('Delta Beta'!$C$5,Data!$B$4:$Q$4,0)-1)=""),OFFSET(Data!E622,0,MATCH('Delta Beta'!$C$5,Data!$B$4:$Q$4,0)-1),#N/A)-$C$8/250</f>
        <v>#N/A</v>
      </c>
      <c r="N619" s="395"/>
      <c r="R619" s="391"/>
    </row>
    <row r="620" spans="12:18">
      <c r="L620" s="394" t="e">
        <f ca="1">IF(NOT(OFFSET(Data!E623,0,MATCH('Delta Beta'!$C$5,Data!$B$4:$Q$4,0)-3)=""),OFFSET(Data!E623,0,MATCH('Delta Beta'!$C$5,Data!$B$4:$Q$4,0)-3),#N/A)-$C$8/250</f>
        <v>#N/A</v>
      </c>
      <c r="M620" s="394" t="e">
        <f ca="1">IF(NOT(OFFSET(Data!E623,0,MATCH('Delta Beta'!$C$5,Data!$B$4:$Q$4,0)-1)=""),OFFSET(Data!E623,0,MATCH('Delta Beta'!$C$5,Data!$B$4:$Q$4,0)-1),#N/A)-$C$8/250</f>
        <v>#N/A</v>
      </c>
      <c r="N620" s="395"/>
      <c r="R620" s="391"/>
    </row>
    <row r="621" spans="12:18">
      <c r="L621" s="394" t="e">
        <f ca="1">IF(NOT(OFFSET(Data!E624,0,MATCH('Delta Beta'!$C$5,Data!$B$4:$Q$4,0)-3)=""),OFFSET(Data!E624,0,MATCH('Delta Beta'!$C$5,Data!$B$4:$Q$4,0)-3),#N/A)-$C$8/250</f>
        <v>#N/A</v>
      </c>
      <c r="M621" s="394" t="e">
        <f ca="1">IF(NOT(OFFSET(Data!E624,0,MATCH('Delta Beta'!$C$5,Data!$B$4:$Q$4,0)-1)=""),OFFSET(Data!E624,0,MATCH('Delta Beta'!$C$5,Data!$B$4:$Q$4,0)-1),#N/A)-$C$8/250</f>
        <v>#N/A</v>
      </c>
      <c r="N621" s="395"/>
      <c r="R621" s="391"/>
    </row>
    <row r="622" spans="12:18">
      <c r="L622" s="394" t="e">
        <f ca="1">IF(NOT(OFFSET(Data!E625,0,MATCH('Delta Beta'!$C$5,Data!$B$4:$Q$4,0)-3)=""),OFFSET(Data!E625,0,MATCH('Delta Beta'!$C$5,Data!$B$4:$Q$4,0)-3),#N/A)-$C$8/250</f>
        <v>#N/A</v>
      </c>
      <c r="M622" s="394" t="e">
        <f ca="1">IF(NOT(OFFSET(Data!E625,0,MATCH('Delta Beta'!$C$5,Data!$B$4:$Q$4,0)-1)=""),OFFSET(Data!E625,0,MATCH('Delta Beta'!$C$5,Data!$B$4:$Q$4,0)-1),#N/A)-$C$8/250</f>
        <v>#N/A</v>
      </c>
      <c r="N622" s="395"/>
      <c r="R622" s="391"/>
    </row>
    <row r="623" spans="12:18">
      <c r="L623" s="394" t="e">
        <f ca="1">IF(NOT(OFFSET(Data!E626,0,MATCH('Delta Beta'!$C$5,Data!$B$4:$Q$4,0)-3)=""),OFFSET(Data!E626,0,MATCH('Delta Beta'!$C$5,Data!$B$4:$Q$4,0)-3),#N/A)-$C$8/250</f>
        <v>#N/A</v>
      </c>
      <c r="M623" s="394" t="e">
        <f ca="1">IF(NOT(OFFSET(Data!E626,0,MATCH('Delta Beta'!$C$5,Data!$B$4:$Q$4,0)-1)=""),OFFSET(Data!E626,0,MATCH('Delta Beta'!$C$5,Data!$B$4:$Q$4,0)-1),#N/A)-$C$8/250</f>
        <v>#N/A</v>
      </c>
      <c r="N623" s="395"/>
      <c r="R623" s="391"/>
    </row>
    <row r="624" spans="12:18">
      <c r="L624" s="394" t="e">
        <f ca="1">IF(NOT(OFFSET(Data!E627,0,MATCH('Delta Beta'!$C$5,Data!$B$4:$Q$4,0)-3)=""),OFFSET(Data!E627,0,MATCH('Delta Beta'!$C$5,Data!$B$4:$Q$4,0)-3),#N/A)-$C$8/250</f>
        <v>#N/A</v>
      </c>
      <c r="M624" s="394" t="e">
        <f ca="1">IF(NOT(OFFSET(Data!E627,0,MATCH('Delta Beta'!$C$5,Data!$B$4:$Q$4,0)-1)=""),OFFSET(Data!E627,0,MATCH('Delta Beta'!$C$5,Data!$B$4:$Q$4,0)-1),#N/A)-$C$8/250</f>
        <v>#N/A</v>
      </c>
      <c r="N624" s="395"/>
      <c r="R624" s="391"/>
    </row>
    <row r="625" spans="12:18">
      <c r="L625" s="394" t="e">
        <f ca="1">IF(NOT(OFFSET(Data!E628,0,MATCH('Delta Beta'!$C$5,Data!$B$4:$Q$4,0)-3)=""),OFFSET(Data!E628,0,MATCH('Delta Beta'!$C$5,Data!$B$4:$Q$4,0)-3),#N/A)-$C$8/250</f>
        <v>#N/A</v>
      </c>
      <c r="M625" s="394" t="e">
        <f ca="1">IF(NOT(OFFSET(Data!E628,0,MATCH('Delta Beta'!$C$5,Data!$B$4:$Q$4,0)-1)=""),OFFSET(Data!E628,0,MATCH('Delta Beta'!$C$5,Data!$B$4:$Q$4,0)-1),#N/A)-$C$8/250</f>
        <v>#N/A</v>
      </c>
      <c r="N625" s="395"/>
      <c r="R625" s="391"/>
    </row>
    <row r="626" spans="12:18">
      <c r="L626" s="394" t="e">
        <f ca="1">IF(NOT(OFFSET(Data!E629,0,MATCH('Delta Beta'!$C$5,Data!$B$4:$Q$4,0)-3)=""),OFFSET(Data!E629,0,MATCH('Delta Beta'!$C$5,Data!$B$4:$Q$4,0)-3),#N/A)-$C$8/250</f>
        <v>#N/A</v>
      </c>
      <c r="M626" s="394" t="e">
        <f ca="1">IF(NOT(OFFSET(Data!E629,0,MATCH('Delta Beta'!$C$5,Data!$B$4:$Q$4,0)-1)=""),OFFSET(Data!E629,0,MATCH('Delta Beta'!$C$5,Data!$B$4:$Q$4,0)-1),#N/A)-$C$8/250</f>
        <v>#N/A</v>
      </c>
      <c r="N626" s="395"/>
      <c r="R626" s="391"/>
    </row>
    <row r="627" spans="12:18">
      <c r="L627" s="394" t="e">
        <f ca="1">IF(NOT(OFFSET(Data!E630,0,MATCH('Delta Beta'!$C$5,Data!$B$4:$Q$4,0)-3)=""),OFFSET(Data!E630,0,MATCH('Delta Beta'!$C$5,Data!$B$4:$Q$4,0)-3),#N/A)-$C$8/250</f>
        <v>#N/A</v>
      </c>
      <c r="M627" s="394" t="e">
        <f ca="1">IF(NOT(OFFSET(Data!E630,0,MATCH('Delta Beta'!$C$5,Data!$B$4:$Q$4,0)-1)=""),OFFSET(Data!E630,0,MATCH('Delta Beta'!$C$5,Data!$B$4:$Q$4,0)-1),#N/A)-$C$8/250</f>
        <v>#N/A</v>
      </c>
      <c r="N627" s="395"/>
      <c r="R627" s="391"/>
    </row>
    <row r="628" spans="12:18">
      <c r="L628" s="394" t="e">
        <f ca="1">IF(NOT(OFFSET(Data!E631,0,MATCH('Delta Beta'!$C$5,Data!$B$4:$Q$4,0)-3)=""),OFFSET(Data!E631,0,MATCH('Delta Beta'!$C$5,Data!$B$4:$Q$4,0)-3),#N/A)-$C$8/250</f>
        <v>#N/A</v>
      </c>
      <c r="M628" s="394" t="e">
        <f ca="1">IF(NOT(OFFSET(Data!E631,0,MATCH('Delta Beta'!$C$5,Data!$B$4:$Q$4,0)-1)=""),OFFSET(Data!E631,0,MATCH('Delta Beta'!$C$5,Data!$B$4:$Q$4,0)-1),#N/A)-$C$8/250</f>
        <v>#N/A</v>
      </c>
      <c r="N628" s="395"/>
      <c r="R628" s="391"/>
    </row>
    <row r="629" spans="12:18">
      <c r="L629" s="394" t="e">
        <f ca="1">IF(NOT(OFFSET(Data!E632,0,MATCH('Delta Beta'!$C$5,Data!$B$4:$Q$4,0)-3)=""),OFFSET(Data!E632,0,MATCH('Delta Beta'!$C$5,Data!$B$4:$Q$4,0)-3),#N/A)-$C$8/250</f>
        <v>#N/A</v>
      </c>
      <c r="M629" s="394" t="e">
        <f ca="1">IF(NOT(OFFSET(Data!E632,0,MATCH('Delta Beta'!$C$5,Data!$B$4:$Q$4,0)-1)=""),OFFSET(Data!E632,0,MATCH('Delta Beta'!$C$5,Data!$B$4:$Q$4,0)-1),#N/A)-$C$8/250</f>
        <v>#N/A</v>
      </c>
      <c r="N629" s="395"/>
      <c r="R629" s="391"/>
    </row>
    <row r="630" spans="12:18">
      <c r="L630" s="394" t="e">
        <f ca="1">IF(NOT(OFFSET(Data!E633,0,MATCH('Delta Beta'!$C$5,Data!$B$4:$Q$4,0)-3)=""),OFFSET(Data!E633,0,MATCH('Delta Beta'!$C$5,Data!$B$4:$Q$4,0)-3),#N/A)-$C$8/250</f>
        <v>#N/A</v>
      </c>
      <c r="M630" s="394" t="e">
        <f ca="1">IF(NOT(OFFSET(Data!E633,0,MATCH('Delta Beta'!$C$5,Data!$B$4:$Q$4,0)-1)=""),OFFSET(Data!E633,0,MATCH('Delta Beta'!$C$5,Data!$B$4:$Q$4,0)-1),#N/A)-$C$8/250</f>
        <v>#N/A</v>
      </c>
      <c r="N630" s="395"/>
      <c r="R630" s="391"/>
    </row>
    <row r="631" spans="12:18">
      <c r="L631" s="394" t="e">
        <f ca="1">IF(NOT(OFFSET(Data!E634,0,MATCH('Delta Beta'!$C$5,Data!$B$4:$Q$4,0)-3)=""),OFFSET(Data!E634,0,MATCH('Delta Beta'!$C$5,Data!$B$4:$Q$4,0)-3),#N/A)-$C$8/250</f>
        <v>#N/A</v>
      </c>
      <c r="M631" s="394" t="e">
        <f ca="1">IF(NOT(OFFSET(Data!E634,0,MATCH('Delta Beta'!$C$5,Data!$B$4:$Q$4,0)-1)=""),OFFSET(Data!E634,0,MATCH('Delta Beta'!$C$5,Data!$B$4:$Q$4,0)-1),#N/A)-$C$8/250</f>
        <v>#N/A</v>
      </c>
      <c r="N631" s="395"/>
      <c r="R631" s="391"/>
    </row>
    <row r="632" spans="12:18">
      <c r="L632" s="394" t="e">
        <f ca="1">IF(NOT(OFFSET(Data!E635,0,MATCH('Delta Beta'!$C$5,Data!$B$4:$Q$4,0)-3)=""),OFFSET(Data!E635,0,MATCH('Delta Beta'!$C$5,Data!$B$4:$Q$4,0)-3),#N/A)-$C$8/250</f>
        <v>#N/A</v>
      </c>
      <c r="M632" s="394" t="e">
        <f ca="1">IF(NOT(OFFSET(Data!E635,0,MATCH('Delta Beta'!$C$5,Data!$B$4:$Q$4,0)-1)=""),OFFSET(Data!E635,0,MATCH('Delta Beta'!$C$5,Data!$B$4:$Q$4,0)-1),#N/A)-$C$8/250</f>
        <v>#N/A</v>
      </c>
      <c r="N632" s="395"/>
      <c r="R632" s="391"/>
    </row>
    <row r="633" spans="12:18">
      <c r="L633" s="394" t="e">
        <f ca="1">IF(NOT(OFFSET(Data!E636,0,MATCH('Delta Beta'!$C$5,Data!$B$4:$Q$4,0)-3)=""),OFFSET(Data!E636,0,MATCH('Delta Beta'!$C$5,Data!$B$4:$Q$4,0)-3),#N/A)-$C$8/250</f>
        <v>#N/A</v>
      </c>
      <c r="M633" s="394" t="e">
        <f ca="1">IF(NOT(OFFSET(Data!E636,0,MATCH('Delta Beta'!$C$5,Data!$B$4:$Q$4,0)-1)=""),OFFSET(Data!E636,0,MATCH('Delta Beta'!$C$5,Data!$B$4:$Q$4,0)-1),#N/A)-$C$8/250</f>
        <v>#N/A</v>
      </c>
      <c r="N633" s="395"/>
      <c r="R633" s="391"/>
    </row>
    <row r="634" spans="12:18">
      <c r="L634" s="394" t="e">
        <f ca="1">IF(NOT(OFFSET(Data!E637,0,MATCH('Delta Beta'!$C$5,Data!$B$4:$Q$4,0)-3)=""),OFFSET(Data!E637,0,MATCH('Delta Beta'!$C$5,Data!$B$4:$Q$4,0)-3),#N/A)-$C$8/250</f>
        <v>#N/A</v>
      </c>
      <c r="M634" s="394" t="e">
        <f ca="1">IF(NOT(OFFSET(Data!E637,0,MATCH('Delta Beta'!$C$5,Data!$B$4:$Q$4,0)-1)=""),OFFSET(Data!E637,0,MATCH('Delta Beta'!$C$5,Data!$B$4:$Q$4,0)-1),#N/A)-$C$8/250</f>
        <v>#N/A</v>
      </c>
      <c r="N634" s="395"/>
      <c r="R634" s="391"/>
    </row>
    <row r="635" spans="12:18">
      <c r="L635" s="394" t="e">
        <f ca="1">IF(NOT(OFFSET(Data!E638,0,MATCH('Delta Beta'!$C$5,Data!$B$4:$Q$4,0)-3)=""),OFFSET(Data!E638,0,MATCH('Delta Beta'!$C$5,Data!$B$4:$Q$4,0)-3),#N/A)-$C$8/250</f>
        <v>#N/A</v>
      </c>
      <c r="M635" s="394" t="e">
        <f ca="1">IF(NOT(OFFSET(Data!E638,0,MATCH('Delta Beta'!$C$5,Data!$B$4:$Q$4,0)-1)=""),OFFSET(Data!E638,0,MATCH('Delta Beta'!$C$5,Data!$B$4:$Q$4,0)-1),#N/A)-$C$8/250</f>
        <v>#N/A</v>
      </c>
      <c r="N635" s="395"/>
      <c r="R635" s="391"/>
    </row>
    <row r="636" spans="12:18">
      <c r="L636" s="394" t="e">
        <f ca="1">IF(NOT(OFFSET(Data!E639,0,MATCH('Delta Beta'!$C$5,Data!$B$4:$Q$4,0)-3)=""),OFFSET(Data!E639,0,MATCH('Delta Beta'!$C$5,Data!$B$4:$Q$4,0)-3),#N/A)-$C$8/250</f>
        <v>#N/A</v>
      </c>
      <c r="M636" s="394" t="e">
        <f ca="1">IF(NOT(OFFSET(Data!E639,0,MATCH('Delta Beta'!$C$5,Data!$B$4:$Q$4,0)-1)=""),OFFSET(Data!E639,0,MATCH('Delta Beta'!$C$5,Data!$B$4:$Q$4,0)-1),#N/A)-$C$8/250</f>
        <v>#N/A</v>
      </c>
      <c r="N636" s="395"/>
      <c r="R636" s="391"/>
    </row>
    <row r="637" spans="12:18">
      <c r="L637" s="394" t="e">
        <f ca="1">IF(NOT(OFFSET(Data!E640,0,MATCH('Delta Beta'!$C$5,Data!$B$4:$Q$4,0)-3)=""),OFFSET(Data!E640,0,MATCH('Delta Beta'!$C$5,Data!$B$4:$Q$4,0)-3),#N/A)-$C$8/250</f>
        <v>#N/A</v>
      </c>
      <c r="M637" s="394" t="e">
        <f ca="1">IF(NOT(OFFSET(Data!E640,0,MATCH('Delta Beta'!$C$5,Data!$B$4:$Q$4,0)-1)=""),OFFSET(Data!E640,0,MATCH('Delta Beta'!$C$5,Data!$B$4:$Q$4,0)-1),#N/A)-$C$8/250</f>
        <v>#N/A</v>
      </c>
      <c r="N637" s="395"/>
      <c r="R637" s="391"/>
    </row>
    <row r="638" spans="12:18">
      <c r="L638" s="394" t="e">
        <f ca="1">IF(NOT(OFFSET(Data!E641,0,MATCH('Delta Beta'!$C$5,Data!$B$4:$Q$4,0)-3)=""),OFFSET(Data!E641,0,MATCH('Delta Beta'!$C$5,Data!$B$4:$Q$4,0)-3),#N/A)-$C$8/250</f>
        <v>#N/A</v>
      </c>
      <c r="M638" s="394" t="e">
        <f ca="1">IF(NOT(OFFSET(Data!E641,0,MATCH('Delta Beta'!$C$5,Data!$B$4:$Q$4,0)-1)=""),OFFSET(Data!E641,0,MATCH('Delta Beta'!$C$5,Data!$B$4:$Q$4,0)-1),#N/A)-$C$8/250</f>
        <v>#N/A</v>
      </c>
      <c r="N638" s="395"/>
      <c r="R638" s="391"/>
    </row>
    <row r="639" spans="12:18">
      <c r="L639" s="394" t="e">
        <f ca="1">IF(NOT(OFFSET(Data!E642,0,MATCH('Delta Beta'!$C$5,Data!$B$4:$Q$4,0)-3)=""),OFFSET(Data!E642,0,MATCH('Delta Beta'!$C$5,Data!$B$4:$Q$4,0)-3),#N/A)-$C$8/250</f>
        <v>#N/A</v>
      </c>
      <c r="M639" s="394" t="e">
        <f ca="1">IF(NOT(OFFSET(Data!E642,0,MATCH('Delta Beta'!$C$5,Data!$B$4:$Q$4,0)-1)=""),OFFSET(Data!E642,0,MATCH('Delta Beta'!$C$5,Data!$B$4:$Q$4,0)-1),#N/A)-$C$8/250</f>
        <v>#N/A</v>
      </c>
      <c r="N639" s="395"/>
      <c r="R639" s="391"/>
    </row>
    <row r="640" spans="12:18">
      <c r="L640" s="394" t="e">
        <f ca="1">IF(NOT(OFFSET(Data!E643,0,MATCH('Delta Beta'!$C$5,Data!$B$4:$Q$4,0)-3)=""),OFFSET(Data!E643,0,MATCH('Delta Beta'!$C$5,Data!$B$4:$Q$4,0)-3),#N/A)-$C$8/250</f>
        <v>#N/A</v>
      </c>
      <c r="M640" s="394" t="e">
        <f ca="1">IF(NOT(OFFSET(Data!E643,0,MATCH('Delta Beta'!$C$5,Data!$B$4:$Q$4,0)-1)=""),OFFSET(Data!E643,0,MATCH('Delta Beta'!$C$5,Data!$B$4:$Q$4,0)-1),#N/A)-$C$8/250</f>
        <v>#N/A</v>
      </c>
      <c r="N640" s="395"/>
      <c r="R640" s="391"/>
    </row>
    <row r="641" spans="12:18">
      <c r="L641" s="394" t="e">
        <f ca="1">IF(NOT(OFFSET(Data!E644,0,MATCH('Delta Beta'!$C$5,Data!$B$4:$Q$4,0)-3)=""),OFFSET(Data!E644,0,MATCH('Delta Beta'!$C$5,Data!$B$4:$Q$4,0)-3),#N/A)-$C$8/250</f>
        <v>#N/A</v>
      </c>
      <c r="M641" s="394" t="e">
        <f ca="1">IF(NOT(OFFSET(Data!E644,0,MATCH('Delta Beta'!$C$5,Data!$B$4:$Q$4,0)-1)=""),OFFSET(Data!E644,0,MATCH('Delta Beta'!$C$5,Data!$B$4:$Q$4,0)-1),#N/A)-$C$8/250</f>
        <v>#N/A</v>
      </c>
      <c r="N641" s="395"/>
      <c r="R641" s="391"/>
    </row>
    <row r="642" spans="12:18">
      <c r="L642" s="394" t="e">
        <f ca="1">IF(NOT(OFFSET(Data!E645,0,MATCH('Delta Beta'!$C$5,Data!$B$4:$Q$4,0)-3)=""),OFFSET(Data!E645,0,MATCH('Delta Beta'!$C$5,Data!$B$4:$Q$4,0)-3),#N/A)-$C$8/250</f>
        <v>#N/A</v>
      </c>
      <c r="M642" s="394" t="e">
        <f ca="1">IF(NOT(OFFSET(Data!E645,0,MATCH('Delta Beta'!$C$5,Data!$B$4:$Q$4,0)-1)=""),OFFSET(Data!E645,0,MATCH('Delta Beta'!$C$5,Data!$B$4:$Q$4,0)-1),#N/A)-$C$8/250</f>
        <v>#N/A</v>
      </c>
      <c r="N642" s="395"/>
      <c r="R642" s="391"/>
    </row>
    <row r="643" spans="12:18">
      <c r="L643" s="394" t="e">
        <f ca="1">IF(NOT(OFFSET(Data!E646,0,MATCH('Delta Beta'!$C$5,Data!$B$4:$Q$4,0)-3)=""),OFFSET(Data!E646,0,MATCH('Delta Beta'!$C$5,Data!$B$4:$Q$4,0)-3),#N/A)-$C$8/250</f>
        <v>#N/A</v>
      </c>
      <c r="M643" s="394" t="e">
        <f ca="1">IF(NOT(OFFSET(Data!E646,0,MATCH('Delta Beta'!$C$5,Data!$B$4:$Q$4,0)-1)=""),OFFSET(Data!E646,0,MATCH('Delta Beta'!$C$5,Data!$B$4:$Q$4,0)-1),#N/A)-$C$8/250</f>
        <v>#N/A</v>
      </c>
      <c r="N643" s="395"/>
      <c r="R643" s="391"/>
    </row>
    <row r="644" spans="12:18">
      <c r="L644" s="394" t="e">
        <f ca="1">IF(NOT(OFFSET(Data!E647,0,MATCH('Delta Beta'!$C$5,Data!$B$4:$Q$4,0)-3)=""),OFFSET(Data!E647,0,MATCH('Delta Beta'!$C$5,Data!$B$4:$Q$4,0)-3),#N/A)-$C$8/250</f>
        <v>#N/A</v>
      </c>
      <c r="M644" s="394" t="e">
        <f ca="1">IF(NOT(OFFSET(Data!E647,0,MATCH('Delta Beta'!$C$5,Data!$B$4:$Q$4,0)-1)=""),OFFSET(Data!E647,0,MATCH('Delta Beta'!$C$5,Data!$B$4:$Q$4,0)-1),#N/A)-$C$8/250</f>
        <v>#N/A</v>
      </c>
      <c r="N644" s="395"/>
      <c r="R644" s="391"/>
    </row>
    <row r="645" spans="12:18">
      <c r="L645" s="394" t="e">
        <f ca="1">IF(NOT(OFFSET(Data!E648,0,MATCH('Delta Beta'!$C$5,Data!$B$4:$Q$4,0)-3)=""),OFFSET(Data!E648,0,MATCH('Delta Beta'!$C$5,Data!$B$4:$Q$4,0)-3),#N/A)-$C$8/250</f>
        <v>#N/A</v>
      </c>
      <c r="M645" s="394" t="e">
        <f ca="1">IF(NOT(OFFSET(Data!E648,0,MATCH('Delta Beta'!$C$5,Data!$B$4:$Q$4,0)-1)=""),OFFSET(Data!E648,0,MATCH('Delta Beta'!$C$5,Data!$B$4:$Q$4,0)-1),#N/A)-$C$8/250</f>
        <v>#N/A</v>
      </c>
      <c r="N645" s="395"/>
      <c r="R645" s="391"/>
    </row>
    <row r="646" spans="12:18">
      <c r="L646" s="394" t="e">
        <f ca="1">IF(NOT(OFFSET(Data!E649,0,MATCH('Delta Beta'!$C$5,Data!$B$4:$Q$4,0)-3)=""),OFFSET(Data!E649,0,MATCH('Delta Beta'!$C$5,Data!$B$4:$Q$4,0)-3),#N/A)-$C$8/250</f>
        <v>#N/A</v>
      </c>
      <c r="M646" s="394" t="e">
        <f ca="1">IF(NOT(OFFSET(Data!E649,0,MATCH('Delta Beta'!$C$5,Data!$B$4:$Q$4,0)-1)=""),OFFSET(Data!E649,0,MATCH('Delta Beta'!$C$5,Data!$B$4:$Q$4,0)-1),#N/A)-$C$8/250</f>
        <v>#N/A</v>
      </c>
      <c r="N646" s="395"/>
      <c r="R646" s="391"/>
    </row>
    <row r="647" spans="12:18">
      <c r="L647" s="394" t="e">
        <f ca="1">IF(NOT(OFFSET(Data!E650,0,MATCH('Delta Beta'!$C$5,Data!$B$4:$Q$4,0)-3)=""),OFFSET(Data!E650,0,MATCH('Delta Beta'!$C$5,Data!$B$4:$Q$4,0)-3),#N/A)-$C$8/250</f>
        <v>#N/A</v>
      </c>
      <c r="M647" s="394" t="e">
        <f ca="1">IF(NOT(OFFSET(Data!E650,0,MATCH('Delta Beta'!$C$5,Data!$B$4:$Q$4,0)-1)=""),OFFSET(Data!E650,0,MATCH('Delta Beta'!$C$5,Data!$B$4:$Q$4,0)-1),#N/A)-$C$8/250</f>
        <v>#N/A</v>
      </c>
      <c r="N647" s="395"/>
      <c r="R647" s="391"/>
    </row>
    <row r="648" spans="12:18">
      <c r="L648" s="394" t="e">
        <f ca="1">IF(NOT(OFFSET(Data!E651,0,MATCH('Delta Beta'!$C$5,Data!$B$4:$Q$4,0)-3)=""),OFFSET(Data!E651,0,MATCH('Delta Beta'!$C$5,Data!$B$4:$Q$4,0)-3),#N/A)-$C$8/250</f>
        <v>#N/A</v>
      </c>
      <c r="M648" s="394" t="e">
        <f ca="1">IF(NOT(OFFSET(Data!E651,0,MATCH('Delta Beta'!$C$5,Data!$B$4:$Q$4,0)-1)=""),OFFSET(Data!E651,0,MATCH('Delta Beta'!$C$5,Data!$B$4:$Q$4,0)-1),#N/A)-$C$8/250</f>
        <v>#N/A</v>
      </c>
      <c r="N648" s="395"/>
      <c r="R648" s="391"/>
    </row>
    <row r="649" spans="12:18">
      <c r="L649" s="394" t="e">
        <f ca="1">IF(NOT(OFFSET(Data!E652,0,MATCH('Delta Beta'!$C$5,Data!$B$4:$Q$4,0)-3)=""),OFFSET(Data!E652,0,MATCH('Delta Beta'!$C$5,Data!$B$4:$Q$4,0)-3),#N/A)-$C$8/250</f>
        <v>#N/A</v>
      </c>
      <c r="M649" s="394" t="e">
        <f ca="1">IF(NOT(OFFSET(Data!E652,0,MATCH('Delta Beta'!$C$5,Data!$B$4:$Q$4,0)-1)=""),OFFSET(Data!E652,0,MATCH('Delta Beta'!$C$5,Data!$B$4:$Q$4,0)-1),#N/A)-$C$8/250</f>
        <v>#N/A</v>
      </c>
      <c r="N649" s="395"/>
      <c r="R649" s="391"/>
    </row>
    <row r="650" spans="12:18">
      <c r="L650" s="394" t="e">
        <f ca="1">IF(NOT(OFFSET(Data!E653,0,MATCH('Delta Beta'!$C$5,Data!$B$4:$Q$4,0)-3)=""),OFFSET(Data!E653,0,MATCH('Delta Beta'!$C$5,Data!$B$4:$Q$4,0)-3),#N/A)-$C$8/250</f>
        <v>#N/A</v>
      </c>
      <c r="M650" s="394" t="e">
        <f ca="1">IF(NOT(OFFSET(Data!E653,0,MATCH('Delta Beta'!$C$5,Data!$B$4:$Q$4,0)-1)=""),OFFSET(Data!E653,0,MATCH('Delta Beta'!$C$5,Data!$B$4:$Q$4,0)-1),#N/A)-$C$8/250</f>
        <v>#N/A</v>
      </c>
      <c r="N650" s="395"/>
      <c r="R650" s="391"/>
    </row>
    <row r="651" spans="12:18">
      <c r="L651" s="394" t="e">
        <f ca="1">IF(NOT(OFFSET(Data!E654,0,MATCH('Delta Beta'!$C$5,Data!$B$4:$Q$4,0)-3)=""),OFFSET(Data!E654,0,MATCH('Delta Beta'!$C$5,Data!$B$4:$Q$4,0)-3),#N/A)-$C$8/250</f>
        <v>#N/A</v>
      </c>
      <c r="M651" s="394" t="e">
        <f ca="1">IF(NOT(OFFSET(Data!E654,0,MATCH('Delta Beta'!$C$5,Data!$B$4:$Q$4,0)-1)=""),OFFSET(Data!E654,0,MATCH('Delta Beta'!$C$5,Data!$B$4:$Q$4,0)-1),#N/A)-$C$8/250</f>
        <v>#N/A</v>
      </c>
      <c r="N651" s="395"/>
      <c r="R651" s="391"/>
    </row>
    <row r="652" spans="12:18">
      <c r="L652" s="394" t="e">
        <f ca="1">IF(NOT(OFFSET(Data!E655,0,MATCH('Delta Beta'!$C$5,Data!$B$4:$Q$4,0)-3)=""),OFFSET(Data!E655,0,MATCH('Delta Beta'!$C$5,Data!$B$4:$Q$4,0)-3),#N/A)-$C$8/250</f>
        <v>#N/A</v>
      </c>
      <c r="M652" s="394" t="e">
        <f ca="1">IF(NOT(OFFSET(Data!E655,0,MATCH('Delta Beta'!$C$5,Data!$B$4:$Q$4,0)-1)=""),OFFSET(Data!E655,0,MATCH('Delta Beta'!$C$5,Data!$B$4:$Q$4,0)-1),#N/A)-$C$8/250</f>
        <v>#N/A</v>
      </c>
      <c r="N652" s="395"/>
      <c r="R652" s="391"/>
    </row>
    <row r="653" spans="12:18">
      <c r="L653" s="394" t="e">
        <f ca="1">IF(NOT(OFFSET(Data!E656,0,MATCH('Delta Beta'!$C$5,Data!$B$4:$Q$4,0)-3)=""),OFFSET(Data!E656,0,MATCH('Delta Beta'!$C$5,Data!$B$4:$Q$4,0)-3),#N/A)-$C$8/250</f>
        <v>#N/A</v>
      </c>
      <c r="M653" s="394" t="e">
        <f ca="1">IF(NOT(OFFSET(Data!E656,0,MATCH('Delta Beta'!$C$5,Data!$B$4:$Q$4,0)-1)=""),OFFSET(Data!E656,0,MATCH('Delta Beta'!$C$5,Data!$B$4:$Q$4,0)-1),#N/A)-$C$8/250</f>
        <v>#N/A</v>
      </c>
      <c r="N653" s="395"/>
      <c r="R653" s="391"/>
    </row>
    <row r="654" spans="12:18">
      <c r="L654" s="394" t="e">
        <f ca="1">IF(NOT(OFFSET(Data!E657,0,MATCH('Delta Beta'!$C$5,Data!$B$4:$Q$4,0)-3)=""),OFFSET(Data!E657,0,MATCH('Delta Beta'!$C$5,Data!$B$4:$Q$4,0)-3),#N/A)-$C$8/250</f>
        <v>#N/A</v>
      </c>
      <c r="M654" s="394" t="e">
        <f ca="1">IF(NOT(OFFSET(Data!E657,0,MATCH('Delta Beta'!$C$5,Data!$B$4:$Q$4,0)-1)=""),OFFSET(Data!E657,0,MATCH('Delta Beta'!$C$5,Data!$B$4:$Q$4,0)-1),#N/A)-$C$8/250</f>
        <v>#N/A</v>
      </c>
      <c r="N654" s="395"/>
      <c r="R654" s="391"/>
    </row>
    <row r="655" spans="12:18">
      <c r="L655" s="394" t="e">
        <f ca="1">IF(NOT(OFFSET(Data!E658,0,MATCH('Delta Beta'!$C$5,Data!$B$4:$Q$4,0)-3)=""),OFFSET(Data!E658,0,MATCH('Delta Beta'!$C$5,Data!$B$4:$Q$4,0)-3),#N/A)-$C$8/250</f>
        <v>#N/A</v>
      </c>
      <c r="M655" s="394" t="e">
        <f ca="1">IF(NOT(OFFSET(Data!E658,0,MATCH('Delta Beta'!$C$5,Data!$B$4:$Q$4,0)-1)=""),OFFSET(Data!E658,0,MATCH('Delta Beta'!$C$5,Data!$B$4:$Q$4,0)-1),#N/A)-$C$8/250</f>
        <v>#N/A</v>
      </c>
      <c r="N655" s="395"/>
      <c r="R655" s="391"/>
    </row>
    <row r="656" spans="12:18">
      <c r="L656" s="394" t="e">
        <f ca="1">IF(NOT(OFFSET(Data!E659,0,MATCH('Delta Beta'!$C$5,Data!$B$4:$Q$4,0)-3)=""),OFFSET(Data!E659,0,MATCH('Delta Beta'!$C$5,Data!$B$4:$Q$4,0)-3),#N/A)-$C$8/250</f>
        <v>#N/A</v>
      </c>
      <c r="M656" s="394" t="e">
        <f ca="1">IF(NOT(OFFSET(Data!E659,0,MATCH('Delta Beta'!$C$5,Data!$B$4:$Q$4,0)-1)=""),OFFSET(Data!E659,0,MATCH('Delta Beta'!$C$5,Data!$B$4:$Q$4,0)-1),#N/A)-$C$8/250</f>
        <v>#N/A</v>
      </c>
      <c r="N656" s="395"/>
      <c r="R656" s="391"/>
    </row>
    <row r="657" spans="12:18">
      <c r="L657" s="394" t="e">
        <f ca="1">IF(NOT(OFFSET(Data!E660,0,MATCH('Delta Beta'!$C$5,Data!$B$4:$Q$4,0)-3)=""),OFFSET(Data!E660,0,MATCH('Delta Beta'!$C$5,Data!$B$4:$Q$4,0)-3),#N/A)-$C$8/250</f>
        <v>#N/A</v>
      </c>
      <c r="M657" s="394" t="e">
        <f ca="1">IF(NOT(OFFSET(Data!E660,0,MATCH('Delta Beta'!$C$5,Data!$B$4:$Q$4,0)-1)=""),OFFSET(Data!E660,0,MATCH('Delta Beta'!$C$5,Data!$B$4:$Q$4,0)-1),#N/A)-$C$8/250</f>
        <v>#N/A</v>
      </c>
      <c r="N657" s="395"/>
      <c r="R657" s="391"/>
    </row>
    <row r="658" spans="12:18">
      <c r="L658" s="394" t="e">
        <f ca="1">IF(NOT(OFFSET(Data!E661,0,MATCH('Delta Beta'!$C$5,Data!$B$4:$Q$4,0)-3)=""),OFFSET(Data!E661,0,MATCH('Delta Beta'!$C$5,Data!$B$4:$Q$4,0)-3),#N/A)-$C$8/250</f>
        <v>#N/A</v>
      </c>
      <c r="M658" s="394" t="e">
        <f ca="1">IF(NOT(OFFSET(Data!E661,0,MATCH('Delta Beta'!$C$5,Data!$B$4:$Q$4,0)-1)=""),OFFSET(Data!E661,0,MATCH('Delta Beta'!$C$5,Data!$B$4:$Q$4,0)-1),#N/A)-$C$8/250</f>
        <v>#N/A</v>
      </c>
      <c r="N658" s="395"/>
      <c r="R658" s="391"/>
    </row>
    <row r="659" spans="12:18">
      <c r="L659" s="394" t="e">
        <f ca="1">IF(NOT(OFFSET(Data!E662,0,MATCH('Delta Beta'!$C$5,Data!$B$4:$Q$4,0)-3)=""),OFFSET(Data!E662,0,MATCH('Delta Beta'!$C$5,Data!$B$4:$Q$4,0)-3),#N/A)-$C$8/250</f>
        <v>#N/A</v>
      </c>
      <c r="M659" s="394" t="e">
        <f ca="1">IF(NOT(OFFSET(Data!E662,0,MATCH('Delta Beta'!$C$5,Data!$B$4:$Q$4,0)-1)=""),OFFSET(Data!E662,0,MATCH('Delta Beta'!$C$5,Data!$B$4:$Q$4,0)-1),#N/A)-$C$8/250</f>
        <v>#N/A</v>
      </c>
      <c r="N659" s="395"/>
      <c r="R659" s="391"/>
    </row>
    <row r="660" spans="12:18">
      <c r="L660" s="394" t="e">
        <f ca="1">IF(NOT(OFFSET(Data!E663,0,MATCH('Delta Beta'!$C$5,Data!$B$4:$Q$4,0)-3)=""),OFFSET(Data!E663,0,MATCH('Delta Beta'!$C$5,Data!$B$4:$Q$4,0)-3),#N/A)-$C$8/250</f>
        <v>#N/A</v>
      </c>
      <c r="M660" s="394" t="e">
        <f ca="1">IF(NOT(OFFSET(Data!E663,0,MATCH('Delta Beta'!$C$5,Data!$B$4:$Q$4,0)-1)=""),OFFSET(Data!E663,0,MATCH('Delta Beta'!$C$5,Data!$B$4:$Q$4,0)-1),#N/A)-$C$8/250</f>
        <v>#N/A</v>
      </c>
      <c r="N660" s="395"/>
      <c r="R660" s="391"/>
    </row>
    <row r="661" spans="12:18">
      <c r="L661" s="394" t="e">
        <f ca="1">IF(NOT(OFFSET(Data!E664,0,MATCH('Delta Beta'!$C$5,Data!$B$4:$Q$4,0)-3)=""),OFFSET(Data!E664,0,MATCH('Delta Beta'!$C$5,Data!$B$4:$Q$4,0)-3),#N/A)-$C$8/250</f>
        <v>#N/A</v>
      </c>
      <c r="M661" s="394" t="e">
        <f ca="1">IF(NOT(OFFSET(Data!E664,0,MATCH('Delta Beta'!$C$5,Data!$B$4:$Q$4,0)-1)=""),OFFSET(Data!E664,0,MATCH('Delta Beta'!$C$5,Data!$B$4:$Q$4,0)-1),#N/A)-$C$8/250</f>
        <v>#N/A</v>
      </c>
      <c r="N661" s="395"/>
      <c r="R661" s="391"/>
    </row>
    <row r="662" spans="12:18">
      <c r="L662" s="394" t="e">
        <f ca="1">IF(NOT(OFFSET(Data!E665,0,MATCH('Delta Beta'!$C$5,Data!$B$4:$Q$4,0)-3)=""),OFFSET(Data!E665,0,MATCH('Delta Beta'!$C$5,Data!$B$4:$Q$4,0)-3),#N/A)-$C$8/250</f>
        <v>#N/A</v>
      </c>
      <c r="M662" s="394" t="e">
        <f ca="1">IF(NOT(OFFSET(Data!E665,0,MATCH('Delta Beta'!$C$5,Data!$B$4:$Q$4,0)-1)=""),OFFSET(Data!E665,0,MATCH('Delta Beta'!$C$5,Data!$B$4:$Q$4,0)-1),#N/A)-$C$8/250</f>
        <v>#N/A</v>
      </c>
      <c r="N662" s="395"/>
      <c r="R662" s="391"/>
    </row>
    <row r="663" spans="12:18">
      <c r="L663" s="394" t="e">
        <f ca="1">IF(NOT(OFFSET(Data!E666,0,MATCH('Delta Beta'!$C$5,Data!$B$4:$Q$4,0)-3)=""),OFFSET(Data!E666,0,MATCH('Delta Beta'!$C$5,Data!$B$4:$Q$4,0)-3),#N/A)-$C$8/250</f>
        <v>#N/A</v>
      </c>
      <c r="M663" s="394" t="e">
        <f ca="1">IF(NOT(OFFSET(Data!E666,0,MATCH('Delta Beta'!$C$5,Data!$B$4:$Q$4,0)-1)=""),OFFSET(Data!E666,0,MATCH('Delta Beta'!$C$5,Data!$B$4:$Q$4,0)-1),#N/A)-$C$8/250</f>
        <v>#N/A</v>
      </c>
      <c r="N663" s="395"/>
      <c r="R663" s="391"/>
    </row>
    <row r="664" spans="12:18">
      <c r="L664" s="394" t="e">
        <f ca="1">IF(NOT(OFFSET(Data!E667,0,MATCH('Delta Beta'!$C$5,Data!$B$4:$Q$4,0)-3)=""),OFFSET(Data!E667,0,MATCH('Delta Beta'!$C$5,Data!$B$4:$Q$4,0)-3),#N/A)-$C$8/250</f>
        <v>#N/A</v>
      </c>
      <c r="M664" s="394" t="e">
        <f ca="1">IF(NOT(OFFSET(Data!E667,0,MATCH('Delta Beta'!$C$5,Data!$B$4:$Q$4,0)-1)=""),OFFSET(Data!E667,0,MATCH('Delta Beta'!$C$5,Data!$B$4:$Q$4,0)-1),#N/A)-$C$8/250</f>
        <v>#N/A</v>
      </c>
      <c r="N664" s="395"/>
      <c r="R664" s="391"/>
    </row>
    <row r="665" spans="12:18">
      <c r="L665" s="394" t="e">
        <f ca="1">IF(NOT(OFFSET(Data!E668,0,MATCH('Delta Beta'!$C$5,Data!$B$4:$Q$4,0)-3)=""),OFFSET(Data!E668,0,MATCH('Delta Beta'!$C$5,Data!$B$4:$Q$4,0)-3),#N/A)-$C$8/250</f>
        <v>#N/A</v>
      </c>
      <c r="M665" s="394" t="e">
        <f ca="1">IF(NOT(OFFSET(Data!E668,0,MATCH('Delta Beta'!$C$5,Data!$B$4:$Q$4,0)-1)=""),OFFSET(Data!E668,0,MATCH('Delta Beta'!$C$5,Data!$B$4:$Q$4,0)-1),#N/A)-$C$8/250</f>
        <v>#N/A</v>
      </c>
      <c r="N665" s="395"/>
      <c r="R665" s="391"/>
    </row>
    <row r="666" spans="12:18">
      <c r="L666" s="394" t="e">
        <f ca="1">IF(NOT(OFFSET(Data!E669,0,MATCH('Delta Beta'!$C$5,Data!$B$4:$Q$4,0)-3)=""),OFFSET(Data!E669,0,MATCH('Delta Beta'!$C$5,Data!$B$4:$Q$4,0)-3),#N/A)-$C$8/250</f>
        <v>#N/A</v>
      </c>
      <c r="M666" s="394" t="e">
        <f ca="1">IF(NOT(OFFSET(Data!E669,0,MATCH('Delta Beta'!$C$5,Data!$B$4:$Q$4,0)-1)=""),OFFSET(Data!E669,0,MATCH('Delta Beta'!$C$5,Data!$B$4:$Q$4,0)-1),#N/A)-$C$8/250</f>
        <v>#N/A</v>
      </c>
      <c r="N666" s="395"/>
      <c r="R666" s="391"/>
    </row>
    <row r="667" spans="12:18">
      <c r="L667" s="394" t="e">
        <f ca="1">IF(NOT(OFFSET(Data!E670,0,MATCH('Delta Beta'!$C$5,Data!$B$4:$Q$4,0)-3)=""),OFFSET(Data!E670,0,MATCH('Delta Beta'!$C$5,Data!$B$4:$Q$4,0)-3),#N/A)-$C$8/250</f>
        <v>#N/A</v>
      </c>
      <c r="M667" s="394" t="e">
        <f ca="1">IF(NOT(OFFSET(Data!E670,0,MATCH('Delta Beta'!$C$5,Data!$B$4:$Q$4,0)-1)=""),OFFSET(Data!E670,0,MATCH('Delta Beta'!$C$5,Data!$B$4:$Q$4,0)-1),#N/A)-$C$8/250</f>
        <v>#N/A</v>
      </c>
      <c r="N667" s="395"/>
      <c r="R667" s="391"/>
    </row>
    <row r="668" spans="12:18">
      <c r="L668" s="394" t="e">
        <f ca="1">IF(NOT(OFFSET(Data!E671,0,MATCH('Delta Beta'!$C$5,Data!$B$4:$Q$4,0)-3)=""),OFFSET(Data!E671,0,MATCH('Delta Beta'!$C$5,Data!$B$4:$Q$4,0)-3),#N/A)-$C$8/250</f>
        <v>#N/A</v>
      </c>
      <c r="M668" s="394" t="e">
        <f ca="1">IF(NOT(OFFSET(Data!E671,0,MATCH('Delta Beta'!$C$5,Data!$B$4:$Q$4,0)-1)=""),OFFSET(Data!E671,0,MATCH('Delta Beta'!$C$5,Data!$B$4:$Q$4,0)-1),#N/A)-$C$8/250</f>
        <v>#N/A</v>
      </c>
      <c r="N668" s="395"/>
      <c r="R668" s="391"/>
    </row>
    <row r="669" spans="12:18">
      <c r="L669" s="394" t="e">
        <f ca="1">IF(NOT(OFFSET(Data!E672,0,MATCH('Delta Beta'!$C$5,Data!$B$4:$Q$4,0)-3)=""),OFFSET(Data!E672,0,MATCH('Delta Beta'!$C$5,Data!$B$4:$Q$4,0)-3),#N/A)-$C$8/250</f>
        <v>#N/A</v>
      </c>
      <c r="M669" s="394" t="e">
        <f ca="1">IF(NOT(OFFSET(Data!E672,0,MATCH('Delta Beta'!$C$5,Data!$B$4:$Q$4,0)-1)=""),OFFSET(Data!E672,0,MATCH('Delta Beta'!$C$5,Data!$B$4:$Q$4,0)-1),#N/A)-$C$8/250</f>
        <v>#N/A</v>
      </c>
      <c r="N669" s="395"/>
      <c r="R669" s="391"/>
    </row>
    <row r="670" spans="12:18">
      <c r="L670" s="394" t="e">
        <f ca="1">IF(NOT(OFFSET(Data!E673,0,MATCH('Delta Beta'!$C$5,Data!$B$4:$Q$4,0)-3)=""),OFFSET(Data!E673,0,MATCH('Delta Beta'!$C$5,Data!$B$4:$Q$4,0)-3),#N/A)-$C$8/250</f>
        <v>#N/A</v>
      </c>
      <c r="M670" s="394" t="e">
        <f ca="1">IF(NOT(OFFSET(Data!E673,0,MATCH('Delta Beta'!$C$5,Data!$B$4:$Q$4,0)-1)=""),OFFSET(Data!E673,0,MATCH('Delta Beta'!$C$5,Data!$B$4:$Q$4,0)-1),#N/A)-$C$8/250</f>
        <v>#N/A</v>
      </c>
      <c r="N670" s="395"/>
      <c r="R670" s="391"/>
    </row>
    <row r="671" spans="12:18">
      <c r="L671" s="394" t="e">
        <f ca="1">IF(NOT(OFFSET(Data!E674,0,MATCH('Delta Beta'!$C$5,Data!$B$4:$Q$4,0)-3)=""),OFFSET(Data!E674,0,MATCH('Delta Beta'!$C$5,Data!$B$4:$Q$4,0)-3),#N/A)-$C$8/250</f>
        <v>#N/A</v>
      </c>
      <c r="M671" s="394" t="e">
        <f ca="1">IF(NOT(OFFSET(Data!E674,0,MATCH('Delta Beta'!$C$5,Data!$B$4:$Q$4,0)-1)=""),OFFSET(Data!E674,0,MATCH('Delta Beta'!$C$5,Data!$B$4:$Q$4,0)-1),#N/A)-$C$8/250</f>
        <v>#N/A</v>
      </c>
      <c r="N671" s="395"/>
      <c r="R671" s="391"/>
    </row>
    <row r="672" spans="12:18">
      <c r="L672" s="394" t="e">
        <f ca="1">IF(NOT(OFFSET(Data!E675,0,MATCH('Delta Beta'!$C$5,Data!$B$4:$Q$4,0)-3)=""),OFFSET(Data!E675,0,MATCH('Delta Beta'!$C$5,Data!$B$4:$Q$4,0)-3),#N/A)-$C$8/250</f>
        <v>#N/A</v>
      </c>
      <c r="M672" s="394" t="e">
        <f ca="1">IF(NOT(OFFSET(Data!E675,0,MATCH('Delta Beta'!$C$5,Data!$B$4:$Q$4,0)-1)=""),OFFSET(Data!E675,0,MATCH('Delta Beta'!$C$5,Data!$B$4:$Q$4,0)-1),#N/A)-$C$8/250</f>
        <v>#N/A</v>
      </c>
      <c r="N672" s="395"/>
      <c r="R672" s="391"/>
    </row>
    <row r="673" spans="12:18">
      <c r="L673" s="394" t="e">
        <f ca="1">IF(NOT(OFFSET(Data!E676,0,MATCH('Delta Beta'!$C$5,Data!$B$4:$Q$4,0)-3)=""),OFFSET(Data!E676,0,MATCH('Delta Beta'!$C$5,Data!$B$4:$Q$4,0)-3),#N/A)-$C$8/250</f>
        <v>#N/A</v>
      </c>
      <c r="M673" s="394" t="e">
        <f ca="1">IF(NOT(OFFSET(Data!E676,0,MATCH('Delta Beta'!$C$5,Data!$B$4:$Q$4,0)-1)=""),OFFSET(Data!E676,0,MATCH('Delta Beta'!$C$5,Data!$B$4:$Q$4,0)-1),#N/A)-$C$8/250</f>
        <v>#N/A</v>
      </c>
      <c r="N673" s="395"/>
      <c r="R673" s="391"/>
    </row>
    <row r="674" spans="12:18">
      <c r="L674" s="394" t="e">
        <f ca="1">IF(NOT(OFFSET(Data!E677,0,MATCH('Delta Beta'!$C$5,Data!$B$4:$Q$4,0)-3)=""),OFFSET(Data!E677,0,MATCH('Delta Beta'!$C$5,Data!$B$4:$Q$4,0)-3),#N/A)-$C$8/250</f>
        <v>#N/A</v>
      </c>
      <c r="M674" s="394" t="e">
        <f ca="1">IF(NOT(OFFSET(Data!E677,0,MATCH('Delta Beta'!$C$5,Data!$B$4:$Q$4,0)-1)=""),OFFSET(Data!E677,0,MATCH('Delta Beta'!$C$5,Data!$B$4:$Q$4,0)-1),#N/A)-$C$8/250</f>
        <v>#N/A</v>
      </c>
      <c r="N674" s="395"/>
      <c r="R674" s="391"/>
    </row>
    <row r="675" spans="12:18">
      <c r="L675" s="394" t="e">
        <f ca="1">IF(NOT(OFFSET(Data!E678,0,MATCH('Delta Beta'!$C$5,Data!$B$4:$Q$4,0)-3)=""),OFFSET(Data!E678,0,MATCH('Delta Beta'!$C$5,Data!$B$4:$Q$4,0)-3),#N/A)-$C$8/250</f>
        <v>#N/A</v>
      </c>
      <c r="M675" s="394" t="e">
        <f ca="1">IF(NOT(OFFSET(Data!E678,0,MATCH('Delta Beta'!$C$5,Data!$B$4:$Q$4,0)-1)=""),OFFSET(Data!E678,0,MATCH('Delta Beta'!$C$5,Data!$B$4:$Q$4,0)-1),#N/A)-$C$8/250</f>
        <v>#N/A</v>
      </c>
      <c r="N675" s="395"/>
      <c r="R675" s="391"/>
    </row>
    <row r="676" spans="12:18">
      <c r="L676" s="394" t="e">
        <f ca="1">IF(NOT(OFFSET(Data!E679,0,MATCH('Delta Beta'!$C$5,Data!$B$4:$Q$4,0)-3)=""),OFFSET(Data!E679,0,MATCH('Delta Beta'!$C$5,Data!$B$4:$Q$4,0)-3),#N/A)-$C$8/250</f>
        <v>#N/A</v>
      </c>
      <c r="M676" s="394" t="e">
        <f ca="1">IF(NOT(OFFSET(Data!E679,0,MATCH('Delta Beta'!$C$5,Data!$B$4:$Q$4,0)-1)=""),OFFSET(Data!E679,0,MATCH('Delta Beta'!$C$5,Data!$B$4:$Q$4,0)-1),#N/A)-$C$8/250</f>
        <v>#N/A</v>
      </c>
      <c r="N676" s="395"/>
      <c r="R676" s="391"/>
    </row>
    <row r="677" spans="12:18">
      <c r="L677" s="394" t="e">
        <f ca="1">IF(NOT(OFFSET(Data!E680,0,MATCH('Delta Beta'!$C$5,Data!$B$4:$Q$4,0)-3)=""),OFFSET(Data!E680,0,MATCH('Delta Beta'!$C$5,Data!$B$4:$Q$4,0)-3),#N/A)-$C$8/250</f>
        <v>#N/A</v>
      </c>
      <c r="M677" s="394" t="e">
        <f ca="1">IF(NOT(OFFSET(Data!E680,0,MATCH('Delta Beta'!$C$5,Data!$B$4:$Q$4,0)-1)=""),OFFSET(Data!E680,0,MATCH('Delta Beta'!$C$5,Data!$B$4:$Q$4,0)-1),#N/A)-$C$8/250</f>
        <v>#N/A</v>
      </c>
      <c r="N677" s="395"/>
      <c r="R677" s="391"/>
    </row>
    <row r="678" spans="12:18">
      <c r="L678" s="394" t="e">
        <f ca="1">IF(NOT(OFFSET(Data!E681,0,MATCH('Delta Beta'!$C$5,Data!$B$4:$Q$4,0)-3)=""),OFFSET(Data!E681,0,MATCH('Delta Beta'!$C$5,Data!$B$4:$Q$4,0)-3),#N/A)-$C$8/250</f>
        <v>#N/A</v>
      </c>
      <c r="M678" s="394" t="e">
        <f ca="1">IF(NOT(OFFSET(Data!E681,0,MATCH('Delta Beta'!$C$5,Data!$B$4:$Q$4,0)-1)=""),OFFSET(Data!E681,0,MATCH('Delta Beta'!$C$5,Data!$B$4:$Q$4,0)-1),#N/A)-$C$8/250</f>
        <v>#N/A</v>
      </c>
      <c r="N678" s="395"/>
      <c r="R678" s="391"/>
    </row>
    <row r="679" spans="12:18">
      <c r="L679" s="394" t="e">
        <f ca="1">IF(NOT(OFFSET(Data!E682,0,MATCH('Delta Beta'!$C$5,Data!$B$4:$Q$4,0)-3)=""),OFFSET(Data!E682,0,MATCH('Delta Beta'!$C$5,Data!$B$4:$Q$4,0)-3),#N/A)-$C$8/250</f>
        <v>#N/A</v>
      </c>
      <c r="M679" s="394" t="e">
        <f ca="1">IF(NOT(OFFSET(Data!E682,0,MATCH('Delta Beta'!$C$5,Data!$B$4:$Q$4,0)-1)=""),OFFSET(Data!E682,0,MATCH('Delta Beta'!$C$5,Data!$B$4:$Q$4,0)-1),#N/A)-$C$8/250</f>
        <v>#N/A</v>
      </c>
      <c r="N679" s="395"/>
      <c r="R679" s="391"/>
    </row>
    <row r="680" spans="12:18">
      <c r="L680" s="394" t="e">
        <f ca="1">IF(NOT(OFFSET(Data!E683,0,MATCH('Delta Beta'!$C$5,Data!$B$4:$Q$4,0)-3)=""),OFFSET(Data!E683,0,MATCH('Delta Beta'!$C$5,Data!$B$4:$Q$4,0)-3),#N/A)-$C$8/250</f>
        <v>#N/A</v>
      </c>
      <c r="M680" s="394" t="e">
        <f ca="1">IF(NOT(OFFSET(Data!E683,0,MATCH('Delta Beta'!$C$5,Data!$B$4:$Q$4,0)-1)=""),OFFSET(Data!E683,0,MATCH('Delta Beta'!$C$5,Data!$B$4:$Q$4,0)-1),#N/A)-$C$8/250</f>
        <v>#N/A</v>
      </c>
      <c r="N680" s="395"/>
      <c r="R680" s="391"/>
    </row>
    <row r="681" spans="12:18">
      <c r="L681" s="394" t="e">
        <f ca="1">IF(NOT(OFFSET(Data!E684,0,MATCH('Delta Beta'!$C$5,Data!$B$4:$Q$4,0)-3)=""),OFFSET(Data!E684,0,MATCH('Delta Beta'!$C$5,Data!$B$4:$Q$4,0)-3),#N/A)-$C$8/250</f>
        <v>#N/A</v>
      </c>
      <c r="M681" s="394" t="e">
        <f ca="1">IF(NOT(OFFSET(Data!E684,0,MATCH('Delta Beta'!$C$5,Data!$B$4:$Q$4,0)-1)=""),OFFSET(Data!E684,0,MATCH('Delta Beta'!$C$5,Data!$B$4:$Q$4,0)-1),#N/A)-$C$8/250</f>
        <v>#N/A</v>
      </c>
      <c r="N681" s="395"/>
      <c r="R681" s="391"/>
    </row>
    <row r="682" spans="12:18">
      <c r="L682" s="394" t="e">
        <f ca="1">IF(NOT(OFFSET(Data!E685,0,MATCH('Delta Beta'!$C$5,Data!$B$4:$Q$4,0)-3)=""),OFFSET(Data!E685,0,MATCH('Delta Beta'!$C$5,Data!$B$4:$Q$4,0)-3),#N/A)-$C$8/250</f>
        <v>#N/A</v>
      </c>
      <c r="M682" s="394" t="e">
        <f ca="1">IF(NOT(OFFSET(Data!E685,0,MATCH('Delta Beta'!$C$5,Data!$B$4:$Q$4,0)-1)=""),OFFSET(Data!E685,0,MATCH('Delta Beta'!$C$5,Data!$B$4:$Q$4,0)-1),#N/A)-$C$8/250</f>
        <v>#N/A</v>
      </c>
      <c r="N682" s="395"/>
      <c r="R682" s="391"/>
    </row>
    <row r="683" spans="12:18">
      <c r="L683" s="394" t="e">
        <f ca="1">IF(NOT(OFFSET(Data!E686,0,MATCH('Delta Beta'!$C$5,Data!$B$4:$Q$4,0)-3)=""),OFFSET(Data!E686,0,MATCH('Delta Beta'!$C$5,Data!$B$4:$Q$4,0)-3),#N/A)-$C$8/250</f>
        <v>#N/A</v>
      </c>
      <c r="M683" s="394" t="e">
        <f ca="1">IF(NOT(OFFSET(Data!E686,0,MATCH('Delta Beta'!$C$5,Data!$B$4:$Q$4,0)-1)=""),OFFSET(Data!E686,0,MATCH('Delta Beta'!$C$5,Data!$B$4:$Q$4,0)-1),#N/A)-$C$8/250</f>
        <v>#N/A</v>
      </c>
      <c r="N683" s="395"/>
      <c r="R683" s="391"/>
    </row>
    <row r="684" spans="12:18">
      <c r="L684" s="394" t="e">
        <f ca="1">IF(NOT(OFFSET(Data!E687,0,MATCH('Delta Beta'!$C$5,Data!$B$4:$Q$4,0)-3)=""),OFFSET(Data!E687,0,MATCH('Delta Beta'!$C$5,Data!$B$4:$Q$4,0)-3),#N/A)-$C$8/250</f>
        <v>#N/A</v>
      </c>
      <c r="M684" s="394" t="e">
        <f ca="1">IF(NOT(OFFSET(Data!E687,0,MATCH('Delta Beta'!$C$5,Data!$B$4:$Q$4,0)-1)=""),OFFSET(Data!E687,0,MATCH('Delta Beta'!$C$5,Data!$B$4:$Q$4,0)-1),#N/A)-$C$8/250</f>
        <v>#N/A</v>
      </c>
      <c r="N684" s="395"/>
      <c r="R684" s="391"/>
    </row>
    <row r="685" spans="12:18">
      <c r="L685" s="394" t="e">
        <f ca="1">IF(NOT(OFFSET(Data!E688,0,MATCH('Delta Beta'!$C$5,Data!$B$4:$Q$4,0)-3)=""),OFFSET(Data!E688,0,MATCH('Delta Beta'!$C$5,Data!$B$4:$Q$4,0)-3),#N/A)-$C$8/250</f>
        <v>#N/A</v>
      </c>
      <c r="M685" s="394" t="e">
        <f ca="1">IF(NOT(OFFSET(Data!E688,0,MATCH('Delta Beta'!$C$5,Data!$B$4:$Q$4,0)-1)=""),OFFSET(Data!E688,0,MATCH('Delta Beta'!$C$5,Data!$B$4:$Q$4,0)-1),#N/A)-$C$8/250</f>
        <v>#N/A</v>
      </c>
      <c r="N685" s="395"/>
      <c r="R685" s="391"/>
    </row>
    <row r="686" spans="12:18">
      <c r="L686" s="394" t="e">
        <f ca="1">IF(NOT(OFFSET(Data!E689,0,MATCH('Delta Beta'!$C$5,Data!$B$4:$Q$4,0)-3)=""),OFFSET(Data!E689,0,MATCH('Delta Beta'!$C$5,Data!$B$4:$Q$4,0)-3),#N/A)-$C$8/250</f>
        <v>#N/A</v>
      </c>
      <c r="M686" s="394" t="e">
        <f ca="1">IF(NOT(OFFSET(Data!E689,0,MATCH('Delta Beta'!$C$5,Data!$B$4:$Q$4,0)-1)=""),OFFSET(Data!E689,0,MATCH('Delta Beta'!$C$5,Data!$B$4:$Q$4,0)-1),#N/A)-$C$8/250</f>
        <v>#N/A</v>
      </c>
      <c r="N686" s="395"/>
      <c r="R686" s="391"/>
    </row>
    <row r="687" spans="12:18">
      <c r="L687" s="394" t="e">
        <f ca="1">IF(NOT(OFFSET(Data!E690,0,MATCH('Delta Beta'!$C$5,Data!$B$4:$Q$4,0)-3)=""),OFFSET(Data!E690,0,MATCH('Delta Beta'!$C$5,Data!$B$4:$Q$4,0)-3),#N/A)-$C$8/250</f>
        <v>#N/A</v>
      </c>
      <c r="M687" s="394" t="e">
        <f ca="1">IF(NOT(OFFSET(Data!E690,0,MATCH('Delta Beta'!$C$5,Data!$B$4:$Q$4,0)-1)=""),OFFSET(Data!E690,0,MATCH('Delta Beta'!$C$5,Data!$B$4:$Q$4,0)-1),#N/A)-$C$8/250</f>
        <v>#N/A</v>
      </c>
      <c r="N687" s="395"/>
      <c r="R687" s="391"/>
    </row>
    <row r="688" spans="12:18">
      <c r="L688" s="394" t="e">
        <f ca="1">IF(NOT(OFFSET(Data!E691,0,MATCH('Delta Beta'!$C$5,Data!$B$4:$Q$4,0)-3)=""),OFFSET(Data!E691,0,MATCH('Delta Beta'!$C$5,Data!$B$4:$Q$4,0)-3),#N/A)-$C$8/250</f>
        <v>#N/A</v>
      </c>
      <c r="M688" s="394" t="e">
        <f ca="1">IF(NOT(OFFSET(Data!E691,0,MATCH('Delta Beta'!$C$5,Data!$B$4:$Q$4,0)-1)=""),OFFSET(Data!E691,0,MATCH('Delta Beta'!$C$5,Data!$B$4:$Q$4,0)-1),#N/A)-$C$8/250</f>
        <v>#N/A</v>
      </c>
      <c r="N688" s="395"/>
      <c r="R688" s="391"/>
    </row>
    <row r="689" spans="12:18">
      <c r="L689" s="394" t="e">
        <f ca="1">IF(NOT(OFFSET(Data!E692,0,MATCH('Delta Beta'!$C$5,Data!$B$4:$Q$4,0)-3)=""),OFFSET(Data!E692,0,MATCH('Delta Beta'!$C$5,Data!$B$4:$Q$4,0)-3),#N/A)-$C$8/250</f>
        <v>#N/A</v>
      </c>
      <c r="M689" s="394" t="e">
        <f ca="1">IF(NOT(OFFSET(Data!E692,0,MATCH('Delta Beta'!$C$5,Data!$B$4:$Q$4,0)-1)=""),OFFSET(Data!E692,0,MATCH('Delta Beta'!$C$5,Data!$B$4:$Q$4,0)-1),#N/A)-$C$8/250</f>
        <v>#N/A</v>
      </c>
      <c r="N689" s="395"/>
      <c r="R689" s="391"/>
    </row>
    <row r="690" spans="12:18">
      <c r="L690" s="394" t="e">
        <f ca="1">IF(NOT(OFFSET(Data!E693,0,MATCH('Delta Beta'!$C$5,Data!$B$4:$Q$4,0)-3)=""),OFFSET(Data!E693,0,MATCH('Delta Beta'!$C$5,Data!$B$4:$Q$4,0)-3),#N/A)-$C$8/250</f>
        <v>#N/A</v>
      </c>
      <c r="M690" s="394" t="e">
        <f ca="1">IF(NOT(OFFSET(Data!E693,0,MATCH('Delta Beta'!$C$5,Data!$B$4:$Q$4,0)-1)=""),OFFSET(Data!E693,0,MATCH('Delta Beta'!$C$5,Data!$B$4:$Q$4,0)-1),#N/A)-$C$8/250</f>
        <v>#N/A</v>
      </c>
      <c r="N690" s="395"/>
      <c r="R690" s="391"/>
    </row>
    <row r="691" spans="12:18">
      <c r="L691" s="394" t="e">
        <f ca="1">IF(NOT(OFFSET(Data!E694,0,MATCH('Delta Beta'!$C$5,Data!$B$4:$Q$4,0)-3)=""),OFFSET(Data!E694,0,MATCH('Delta Beta'!$C$5,Data!$B$4:$Q$4,0)-3),#N/A)-$C$8/250</f>
        <v>#N/A</v>
      </c>
      <c r="M691" s="394" t="e">
        <f ca="1">IF(NOT(OFFSET(Data!E694,0,MATCH('Delta Beta'!$C$5,Data!$B$4:$Q$4,0)-1)=""),OFFSET(Data!E694,0,MATCH('Delta Beta'!$C$5,Data!$B$4:$Q$4,0)-1),#N/A)-$C$8/250</f>
        <v>#N/A</v>
      </c>
      <c r="N691" s="395"/>
      <c r="R691" s="391"/>
    </row>
    <row r="692" spans="12:18">
      <c r="L692" s="394" t="e">
        <f ca="1">IF(NOT(OFFSET(Data!E695,0,MATCH('Delta Beta'!$C$5,Data!$B$4:$Q$4,0)-3)=""),OFFSET(Data!E695,0,MATCH('Delta Beta'!$C$5,Data!$B$4:$Q$4,0)-3),#N/A)-$C$8/250</f>
        <v>#N/A</v>
      </c>
      <c r="M692" s="394" t="e">
        <f ca="1">IF(NOT(OFFSET(Data!E695,0,MATCH('Delta Beta'!$C$5,Data!$B$4:$Q$4,0)-1)=""),OFFSET(Data!E695,0,MATCH('Delta Beta'!$C$5,Data!$B$4:$Q$4,0)-1),#N/A)-$C$8/250</f>
        <v>#N/A</v>
      </c>
      <c r="N692" s="395"/>
      <c r="R692" s="391"/>
    </row>
    <row r="693" spans="12:18">
      <c r="L693" s="394" t="e">
        <f ca="1">IF(NOT(OFFSET(Data!E696,0,MATCH('Delta Beta'!$C$5,Data!$B$4:$Q$4,0)-3)=""),OFFSET(Data!E696,0,MATCH('Delta Beta'!$C$5,Data!$B$4:$Q$4,0)-3),#N/A)-$C$8/250</f>
        <v>#N/A</v>
      </c>
      <c r="M693" s="394" t="e">
        <f ca="1">IF(NOT(OFFSET(Data!E696,0,MATCH('Delta Beta'!$C$5,Data!$B$4:$Q$4,0)-1)=""),OFFSET(Data!E696,0,MATCH('Delta Beta'!$C$5,Data!$B$4:$Q$4,0)-1),#N/A)-$C$8/250</f>
        <v>#N/A</v>
      </c>
      <c r="N693" s="395"/>
      <c r="R693" s="391"/>
    </row>
    <row r="694" spans="12:18">
      <c r="L694" s="394" t="e">
        <f ca="1">IF(NOT(OFFSET(Data!E697,0,MATCH('Delta Beta'!$C$5,Data!$B$4:$Q$4,0)-3)=""),OFFSET(Data!E697,0,MATCH('Delta Beta'!$C$5,Data!$B$4:$Q$4,0)-3),#N/A)-$C$8/250</f>
        <v>#N/A</v>
      </c>
      <c r="M694" s="394" t="e">
        <f ca="1">IF(NOT(OFFSET(Data!E697,0,MATCH('Delta Beta'!$C$5,Data!$B$4:$Q$4,0)-1)=""),OFFSET(Data!E697,0,MATCH('Delta Beta'!$C$5,Data!$B$4:$Q$4,0)-1),#N/A)-$C$8/250</f>
        <v>#N/A</v>
      </c>
      <c r="N694" s="395"/>
      <c r="R694" s="391"/>
    </row>
    <row r="695" spans="12:18">
      <c r="L695" s="394" t="e">
        <f ca="1">IF(NOT(OFFSET(Data!E698,0,MATCH('Delta Beta'!$C$5,Data!$B$4:$Q$4,0)-3)=""),OFFSET(Data!E698,0,MATCH('Delta Beta'!$C$5,Data!$B$4:$Q$4,0)-3),#N/A)-$C$8/250</f>
        <v>#N/A</v>
      </c>
      <c r="M695" s="394" t="e">
        <f ca="1">IF(NOT(OFFSET(Data!E698,0,MATCH('Delta Beta'!$C$5,Data!$B$4:$Q$4,0)-1)=""),OFFSET(Data!E698,0,MATCH('Delta Beta'!$C$5,Data!$B$4:$Q$4,0)-1),#N/A)-$C$8/250</f>
        <v>#N/A</v>
      </c>
      <c r="N695" s="395"/>
      <c r="R695" s="391"/>
    </row>
    <row r="696" spans="12:18">
      <c r="L696" s="394" t="e">
        <f ca="1">IF(NOT(OFFSET(Data!E699,0,MATCH('Delta Beta'!$C$5,Data!$B$4:$Q$4,0)-3)=""),OFFSET(Data!E699,0,MATCH('Delta Beta'!$C$5,Data!$B$4:$Q$4,0)-3),#N/A)-$C$8/250</f>
        <v>#N/A</v>
      </c>
      <c r="M696" s="394" t="e">
        <f ca="1">IF(NOT(OFFSET(Data!E699,0,MATCH('Delta Beta'!$C$5,Data!$B$4:$Q$4,0)-1)=""),OFFSET(Data!E699,0,MATCH('Delta Beta'!$C$5,Data!$B$4:$Q$4,0)-1),#N/A)-$C$8/250</f>
        <v>#N/A</v>
      </c>
      <c r="N696" s="395"/>
      <c r="R696" s="391"/>
    </row>
    <row r="697" spans="12:18">
      <c r="L697" s="394" t="e">
        <f ca="1">IF(NOT(OFFSET(Data!E700,0,MATCH('Delta Beta'!$C$5,Data!$B$4:$Q$4,0)-3)=""),OFFSET(Data!E700,0,MATCH('Delta Beta'!$C$5,Data!$B$4:$Q$4,0)-3),#N/A)-$C$8/250</f>
        <v>#N/A</v>
      </c>
      <c r="M697" s="394" t="e">
        <f ca="1">IF(NOT(OFFSET(Data!E700,0,MATCH('Delta Beta'!$C$5,Data!$B$4:$Q$4,0)-1)=""),OFFSET(Data!E700,0,MATCH('Delta Beta'!$C$5,Data!$B$4:$Q$4,0)-1),#N/A)-$C$8/250</f>
        <v>#N/A</v>
      </c>
      <c r="N697" s="395"/>
      <c r="R697" s="391"/>
    </row>
    <row r="698" spans="12:18">
      <c r="L698" s="394" t="e">
        <f ca="1">IF(NOT(OFFSET(Data!E701,0,MATCH('Delta Beta'!$C$5,Data!$B$4:$Q$4,0)-3)=""),OFFSET(Data!E701,0,MATCH('Delta Beta'!$C$5,Data!$B$4:$Q$4,0)-3),#N/A)-$C$8/250</f>
        <v>#N/A</v>
      </c>
      <c r="M698" s="394" t="e">
        <f ca="1">IF(NOT(OFFSET(Data!E701,0,MATCH('Delta Beta'!$C$5,Data!$B$4:$Q$4,0)-1)=""),OFFSET(Data!E701,0,MATCH('Delta Beta'!$C$5,Data!$B$4:$Q$4,0)-1),#N/A)-$C$8/250</f>
        <v>#N/A</v>
      </c>
      <c r="N698" s="395"/>
      <c r="R698" s="391"/>
    </row>
    <row r="699" spans="12:18">
      <c r="L699" s="394" t="e">
        <f ca="1">IF(NOT(OFFSET(Data!E702,0,MATCH('Delta Beta'!$C$5,Data!$B$4:$Q$4,0)-3)=""),OFFSET(Data!E702,0,MATCH('Delta Beta'!$C$5,Data!$B$4:$Q$4,0)-3),#N/A)-$C$8/250</f>
        <v>#N/A</v>
      </c>
      <c r="M699" s="394" t="e">
        <f ca="1">IF(NOT(OFFSET(Data!E702,0,MATCH('Delta Beta'!$C$5,Data!$B$4:$Q$4,0)-1)=""),OFFSET(Data!E702,0,MATCH('Delta Beta'!$C$5,Data!$B$4:$Q$4,0)-1),#N/A)-$C$8/250</f>
        <v>#N/A</v>
      </c>
      <c r="N699" s="395"/>
      <c r="R699" s="391"/>
    </row>
    <row r="700" spans="12:18">
      <c r="L700" s="394" t="e">
        <f ca="1">IF(NOT(OFFSET(Data!E703,0,MATCH('Delta Beta'!$C$5,Data!$B$4:$Q$4,0)-3)=""),OFFSET(Data!E703,0,MATCH('Delta Beta'!$C$5,Data!$B$4:$Q$4,0)-3),#N/A)-$C$8/250</f>
        <v>#N/A</v>
      </c>
      <c r="M700" s="394" t="e">
        <f ca="1">IF(NOT(OFFSET(Data!E703,0,MATCH('Delta Beta'!$C$5,Data!$B$4:$Q$4,0)-1)=""),OFFSET(Data!E703,0,MATCH('Delta Beta'!$C$5,Data!$B$4:$Q$4,0)-1),#N/A)-$C$8/250</f>
        <v>#N/A</v>
      </c>
      <c r="N700" s="395"/>
      <c r="R700" s="391"/>
    </row>
    <row r="701" spans="12:18">
      <c r="L701" s="394" t="e">
        <f ca="1">IF(NOT(OFFSET(Data!E704,0,MATCH('Delta Beta'!$C$5,Data!$B$4:$Q$4,0)-3)=""),OFFSET(Data!E704,0,MATCH('Delta Beta'!$C$5,Data!$B$4:$Q$4,0)-3),#N/A)-$C$8/250</f>
        <v>#N/A</v>
      </c>
      <c r="M701" s="394" t="e">
        <f ca="1">IF(NOT(OFFSET(Data!E704,0,MATCH('Delta Beta'!$C$5,Data!$B$4:$Q$4,0)-1)=""),OFFSET(Data!E704,0,MATCH('Delta Beta'!$C$5,Data!$B$4:$Q$4,0)-1),#N/A)-$C$8/250</f>
        <v>#N/A</v>
      </c>
      <c r="N701" s="395"/>
      <c r="R701" s="391"/>
    </row>
    <row r="702" spans="12:18">
      <c r="L702" s="394" t="e">
        <f ca="1">IF(NOT(OFFSET(Data!E705,0,MATCH('Delta Beta'!$C$5,Data!$B$4:$Q$4,0)-3)=""),OFFSET(Data!E705,0,MATCH('Delta Beta'!$C$5,Data!$B$4:$Q$4,0)-3),#N/A)-$C$8/250</f>
        <v>#N/A</v>
      </c>
      <c r="M702" s="394" t="e">
        <f ca="1">IF(NOT(OFFSET(Data!E705,0,MATCH('Delta Beta'!$C$5,Data!$B$4:$Q$4,0)-1)=""),OFFSET(Data!E705,0,MATCH('Delta Beta'!$C$5,Data!$B$4:$Q$4,0)-1),#N/A)-$C$8/250</f>
        <v>#N/A</v>
      </c>
      <c r="N702" s="395"/>
      <c r="R702" s="391"/>
    </row>
    <row r="703" spans="12:18">
      <c r="L703" s="394" t="e">
        <f ca="1">IF(NOT(OFFSET(Data!E706,0,MATCH('Delta Beta'!$C$5,Data!$B$4:$Q$4,0)-3)=""),OFFSET(Data!E706,0,MATCH('Delta Beta'!$C$5,Data!$B$4:$Q$4,0)-3),#N/A)-$C$8/250</f>
        <v>#N/A</v>
      </c>
      <c r="M703" s="394" t="e">
        <f ca="1">IF(NOT(OFFSET(Data!E706,0,MATCH('Delta Beta'!$C$5,Data!$B$4:$Q$4,0)-1)=""),OFFSET(Data!E706,0,MATCH('Delta Beta'!$C$5,Data!$B$4:$Q$4,0)-1),#N/A)-$C$8/250</f>
        <v>#N/A</v>
      </c>
      <c r="N703" s="395"/>
      <c r="R703" s="391"/>
    </row>
    <row r="704" spans="12:18">
      <c r="L704" s="394" t="e">
        <f ca="1">IF(NOT(OFFSET(Data!E707,0,MATCH('Delta Beta'!$C$5,Data!$B$4:$Q$4,0)-3)=""),OFFSET(Data!E707,0,MATCH('Delta Beta'!$C$5,Data!$B$4:$Q$4,0)-3),#N/A)-$C$8/250</f>
        <v>#N/A</v>
      </c>
      <c r="M704" s="394" t="e">
        <f ca="1">IF(NOT(OFFSET(Data!E707,0,MATCH('Delta Beta'!$C$5,Data!$B$4:$Q$4,0)-1)=""),OFFSET(Data!E707,0,MATCH('Delta Beta'!$C$5,Data!$B$4:$Q$4,0)-1),#N/A)-$C$8/250</f>
        <v>#N/A</v>
      </c>
      <c r="N704" s="395"/>
      <c r="R704" s="391"/>
    </row>
    <row r="705" spans="12:18">
      <c r="L705" s="394" t="e">
        <f ca="1">IF(NOT(OFFSET(Data!E708,0,MATCH('Delta Beta'!$C$5,Data!$B$4:$Q$4,0)-3)=""),OFFSET(Data!E708,0,MATCH('Delta Beta'!$C$5,Data!$B$4:$Q$4,0)-3),#N/A)-$C$8/250</f>
        <v>#N/A</v>
      </c>
      <c r="M705" s="394" t="e">
        <f ca="1">IF(NOT(OFFSET(Data!E708,0,MATCH('Delta Beta'!$C$5,Data!$B$4:$Q$4,0)-1)=""),OFFSET(Data!E708,0,MATCH('Delta Beta'!$C$5,Data!$B$4:$Q$4,0)-1),#N/A)-$C$8/250</f>
        <v>#N/A</v>
      </c>
      <c r="N705" s="395"/>
      <c r="R705" s="391"/>
    </row>
    <row r="706" spans="12:18">
      <c r="L706" s="394" t="e">
        <f ca="1">IF(NOT(OFFSET(Data!E709,0,MATCH('Delta Beta'!$C$5,Data!$B$4:$Q$4,0)-3)=""),OFFSET(Data!E709,0,MATCH('Delta Beta'!$C$5,Data!$B$4:$Q$4,0)-3),#N/A)-$C$8/250</f>
        <v>#N/A</v>
      </c>
      <c r="M706" s="394" t="e">
        <f ca="1">IF(NOT(OFFSET(Data!E709,0,MATCH('Delta Beta'!$C$5,Data!$B$4:$Q$4,0)-1)=""),OFFSET(Data!E709,0,MATCH('Delta Beta'!$C$5,Data!$B$4:$Q$4,0)-1),#N/A)-$C$8/250</f>
        <v>#N/A</v>
      </c>
      <c r="N706" s="395"/>
      <c r="R706" s="391"/>
    </row>
    <row r="707" spans="12:18">
      <c r="L707" s="394" t="e">
        <f ca="1">IF(NOT(OFFSET(Data!E710,0,MATCH('Delta Beta'!$C$5,Data!$B$4:$Q$4,0)-3)=""),OFFSET(Data!E710,0,MATCH('Delta Beta'!$C$5,Data!$B$4:$Q$4,0)-3),#N/A)-$C$8/250</f>
        <v>#N/A</v>
      </c>
      <c r="M707" s="394" t="e">
        <f ca="1">IF(NOT(OFFSET(Data!E710,0,MATCH('Delta Beta'!$C$5,Data!$B$4:$Q$4,0)-1)=""),OFFSET(Data!E710,0,MATCH('Delta Beta'!$C$5,Data!$B$4:$Q$4,0)-1),#N/A)-$C$8/250</f>
        <v>#N/A</v>
      </c>
      <c r="N707" s="395"/>
      <c r="R707" s="391"/>
    </row>
    <row r="708" spans="12:18">
      <c r="L708" s="394" t="e">
        <f ca="1">IF(NOT(OFFSET(Data!E711,0,MATCH('Delta Beta'!$C$5,Data!$B$4:$Q$4,0)-3)=""),OFFSET(Data!E711,0,MATCH('Delta Beta'!$C$5,Data!$B$4:$Q$4,0)-3),#N/A)-$C$8/250</f>
        <v>#N/A</v>
      </c>
      <c r="M708" s="394" t="e">
        <f ca="1">IF(NOT(OFFSET(Data!E711,0,MATCH('Delta Beta'!$C$5,Data!$B$4:$Q$4,0)-1)=""),OFFSET(Data!E711,0,MATCH('Delta Beta'!$C$5,Data!$B$4:$Q$4,0)-1),#N/A)-$C$8/250</f>
        <v>#N/A</v>
      </c>
      <c r="N708" s="395"/>
      <c r="R708" s="391"/>
    </row>
    <row r="709" spans="12:18">
      <c r="L709" s="394" t="e">
        <f ca="1">IF(NOT(OFFSET(Data!E712,0,MATCH('Delta Beta'!$C$5,Data!$B$4:$Q$4,0)-3)=""),OFFSET(Data!E712,0,MATCH('Delta Beta'!$C$5,Data!$B$4:$Q$4,0)-3),#N/A)-$C$8/250</f>
        <v>#N/A</v>
      </c>
      <c r="M709" s="394" t="e">
        <f ca="1">IF(NOT(OFFSET(Data!E712,0,MATCH('Delta Beta'!$C$5,Data!$B$4:$Q$4,0)-1)=""),OFFSET(Data!E712,0,MATCH('Delta Beta'!$C$5,Data!$B$4:$Q$4,0)-1),#N/A)-$C$8/250</f>
        <v>#N/A</v>
      </c>
      <c r="N709" s="395"/>
      <c r="R709" s="391"/>
    </row>
    <row r="710" spans="12:18">
      <c r="L710" s="394" t="e">
        <f ca="1">IF(NOT(OFFSET(Data!E713,0,MATCH('Delta Beta'!$C$5,Data!$B$4:$Q$4,0)-3)=""),OFFSET(Data!E713,0,MATCH('Delta Beta'!$C$5,Data!$B$4:$Q$4,0)-3),#N/A)-$C$8/250</f>
        <v>#N/A</v>
      </c>
      <c r="M710" s="394" t="e">
        <f ca="1">IF(NOT(OFFSET(Data!E713,0,MATCH('Delta Beta'!$C$5,Data!$B$4:$Q$4,0)-1)=""),OFFSET(Data!E713,0,MATCH('Delta Beta'!$C$5,Data!$B$4:$Q$4,0)-1),#N/A)-$C$8/250</f>
        <v>#N/A</v>
      </c>
      <c r="N710" s="395"/>
      <c r="R710" s="391"/>
    </row>
    <row r="711" spans="12:18">
      <c r="L711" s="394" t="e">
        <f ca="1">IF(NOT(OFFSET(Data!E714,0,MATCH('Delta Beta'!$C$5,Data!$B$4:$Q$4,0)-3)=""),OFFSET(Data!E714,0,MATCH('Delta Beta'!$C$5,Data!$B$4:$Q$4,0)-3),#N/A)-$C$8/250</f>
        <v>#N/A</v>
      </c>
      <c r="M711" s="394" t="e">
        <f ca="1">IF(NOT(OFFSET(Data!E714,0,MATCH('Delta Beta'!$C$5,Data!$B$4:$Q$4,0)-1)=""),OFFSET(Data!E714,0,MATCH('Delta Beta'!$C$5,Data!$B$4:$Q$4,0)-1),#N/A)-$C$8/250</f>
        <v>#N/A</v>
      </c>
      <c r="N711" s="395"/>
      <c r="R711" s="391"/>
    </row>
    <row r="712" spans="12:18">
      <c r="L712" s="394" t="e">
        <f ca="1">IF(NOT(OFFSET(Data!E715,0,MATCH('Delta Beta'!$C$5,Data!$B$4:$Q$4,0)-3)=""),OFFSET(Data!E715,0,MATCH('Delta Beta'!$C$5,Data!$B$4:$Q$4,0)-3),#N/A)-$C$8/250</f>
        <v>#N/A</v>
      </c>
      <c r="M712" s="394" t="e">
        <f ca="1">IF(NOT(OFFSET(Data!E715,0,MATCH('Delta Beta'!$C$5,Data!$B$4:$Q$4,0)-1)=""),OFFSET(Data!E715,0,MATCH('Delta Beta'!$C$5,Data!$B$4:$Q$4,0)-1),#N/A)-$C$8/250</f>
        <v>#N/A</v>
      </c>
      <c r="N712" s="395"/>
      <c r="R712" s="391"/>
    </row>
    <row r="713" spans="12:18">
      <c r="L713" s="394" t="e">
        <f ca="1">IF(NOT(OFFSET(Data!E716,0,MATCH('Delta Beta'!$C$5,Data!$B$4:$Q$4,0)-3)=""),OFFSET(Data!E716,0,MATCH('Delta Beta'!$C$5,Data!$B$4:$Q$4,0)-3),#N/A)-$C$8/250</f>
        <v>#N/A</v>
      </c>
      <c r="M713" s="394" t="e">
        <f ca="1">IF(NOT(OFFSET(Data!E716,0,MATCH('Delta Beta'!$C$5,Data!$B$4:$Q$4,0)-1)=""),OFFSET(Data!E716,0,MATCH('Delta Beta'!$C$5,Data!$B$4:$Q$4,0)-1),#N/A)-$C$8/250</f>
        <v>#N/A</v>
      </c>
      <c r="N713" s="395"/>
      <c r="R713" s="391"/>
    </row>
    <row r="714" spans="12:18">
      <c r="L714" s="394" t="e">
        <f ca="1">IF(NOT(OFFSET(Data!E717,0,MATCH('Delta Beta'!$C$5,Data!$B$4:$Q$4,0)-3)=""),OFFSET(Data!E717,0,MATCH('Delta Beta'!$C$5,Data!$B$4:$Q$4,0)-3),#N/A)-$C$8/250</f>
        <v>#N/A</v>
      </c>
      <c r="M714" s="394" t="e">
        <f ca="1">IF(NOT(OFFSET(Data!E717,0,MATCH('Delta Beta'!$C$5,Data!$B$4:$Q$4,0)-1)=""),OFFSET(Data!E717,0,MATCH('Delta Beta'!$C$5,Data!$B$4:$Q$4,0)-1),#N/A)-$C$8/250</f>
        <v>#N/A</v>
      </c>
      <c r="N714" s="395"/>
      <c r="R714" s="391"/>
    </row>
    <row r="715" spans="12:18">
      <c r="L715" s="394" t="e">
        <f ca="1">IF(NOT(OFFSET(Data!E718,0,MATCH('Delta Beta'!$C$5,Data!$B$4:$Q$4,0)-3)=""),OFFSET(Data!E718,0,MATCH('Delta Beta'!$C$5,Data!$B$4:$Q$4,0)-3),#N/A)-$C$8/250</f>
        <v>#N/A</v>
      </c>
      <c r="M715" s="394" t="e">
        <f ca="1">IF(NOT(OFFSET(Data!E718,0,MATCH('Delta Beta'!$C$5,Data!$B$4:$Q$4,0)-1)=""),OFFSET(Data!E718,0,MATCH('Delta Beta'!$C$5,Data!$B$4:$Q$4,0)-1),#N/A)-$C$8/250</f>
        <v>#N/A</v>
      </c>
      <c r="N715" s="395"/>
      <c r="R715" s="391"/>
    </row>
    <row r="716" spans="12:18">
      <c r="L716" s="394" t="e">
        <f ca="1">IF(NOT(OFFSET(Data!E719,0,MATCH('Delta Beta'!$C$5,Data!$B$4:$Q$4,0)-3)=""),OFFSET(Data!E719,0,MATCH('Delta Beta'!$C$5,Data!$B$4:$Q$4,0)-3),#N/A)-$C$8/250</f>
        <v>#N/A</v>
      </c>
      <c r="M716" s="394" t="e">
        <f ca="1">IF(NOT(OFFSET(Data!E719,0,MATCH('Delta Beta'!$C$5,Data!$B$4:$Q$4,0)-1)=""),OFFSET(Data!E719,0,MATCH('Delta Beta'!$C$5,Data!$B$4:$Q$4,0)-1),#N/A)-$C$8/250</f>
        <v>#N/A</v>
      </c>
      <c r="N716" s="395"/>
      <c r="R716" s="391"/>
    </row>
    <row r="717" spans="12:18">
      <c r="L717" s="394" t="e">
        <f ca="1">IF(NOT(OFFSET(Data!E720,0,MATCH('Delta Beta'!$C$5,Data!$B$4:$Q$4,0)-3)=""),OFFSET(Data!E720,0,MATCH('Delta Beta'!$C$5,Data!$B$4:$Q$4,0)-3),#N/A)-$C$8/250</f>
        <v>#N/A</v>
      </c>
      <c r="M717" s="394" t="e">
        <f ca="1">IF(NOT(OFFSET(Data!E720,0,MATCH('Delta Beta'!$C$5,Data!$B$4:$Q$4,0)-1)=""),OFFSET(Data!E720,0,MATCH('Delta Beta'!$C$5,Data!$B$4:$Q$4,0)-1),#N/A)-$C$8/250</f>
        <v>#N/A</v>
      </c>
      <c r="N717" s="395"/>
      <c r="R717" s="391"/>
    </row>
    <row r="718" spans="12:18">
      <c r="L718" s="394" t="e">
        <f ca="1">IF(NOT(OFFSET(Data!E721,0,MATCH('Delta Beta'!$C$5,Data!$B$4:$Q$4,0)-3)=""),OFFSET(Data!E721,0,MATCH('Delta Beta'!$C$5,Data!$B$4:$Q$4,0)-3),#N/A)-$C$8/250</f>
        <v>#N/A</v>
      </c>
      <c r="M718" s="394" t="e">
        <f ca="1">IF(NOT(OFFSET(Data!E721,0,MATCH('Delta Beta'!$C$5,Data!$B$4:$Q$4,0)-1)=""),OFFSET(Data!E721,0,MATCH('Delta Beta'!$C$5,Data!$B$4:$Q$4,0)-1),#N/A)-$C$8/250</f>
        <v>#N/A</v>
      </c>
      <c r="N718" s="395"/>
      <c r="R718" s="391"/>
    </row>
    <row r="719" spans="12:18">
      <c r="L719" s="394" t="e">
        <f ca="1">IF(NOT(OFFSET(Data!E722,0,MATCH('Delta Beta'!$C$5,Data!$B$4:$Q$4,0)-3)=""),OFFSET(Data!E722,0,MATCH('Delta Beta'!$C$5,Data!$B$4:$Q$4,0)-3),#N/A)-$C$8/250</f>
        <v>#N/A</v>
      </c>
      <c r="M719" s="394" t="e">
        <f ca="1">IF(NOT(OFFSET(Data!E722,0,MATCH('Delta Beta'!$C$5,Data!$B$4:$Q$4,0)-1)=""),OFFSET(Data!E722,0,MATCH('Delta Beta'!$C$5,Data!$B$4:$Q$4,0)-1),#N/A)-$C$8/250</f>
        <v>#N/A</v>
      </c>
      <c r="N719" s="395"/>
      <c r="R719" s="391"/>
    </row>
    <row r="720" spans="12:18">
      <c r="L720" s="394" t="e">
        <f ca="1">IF(NOT(OFFSET(Data!E723,0,MATCH('Delta Beta'!$C$5,Data!$B$4:$Q$4,0)-3)=""),OFFSET(Data!E723,0,MATCH('Delta Beta'!$C$5,Data!$B$4:$Q$4,0)-3),#N/A)-$C$8/250</f>
        <v>#N/A</v>
      </c>
      <c r="M720" s="394" t="e">
        <f ca="1">IF(NOT(OFFSET(Data!E723,0,MATCH('Delta Beta'!$C$5,Data!$B$4:$Q$4,0)-1)=""),OFFSET(Data!E723,0,MATCH('Delta Beta'!$C$5,Data!$B$4:$Q$4,0)-1),#N/A)-$C$8/250</f>
        <v>#N/A</v>
      </c>
      <c r="N720" s="395"/>
      <c r="R720" s="391"/>
    </row>
    <row r="721" spans="12:18">
      <c r="L721" s="394" t="e">
        <f ca="1">IF(NOT(OFFSET(Data!E724,0,MATCH('Delta Beta'!$C$5,Data!$B$4:$Q$4,0)-3)=""),OFFSET(Data!E724,0,MATCH('Delta Beta'!$C$5,Data!$B$4:$Q$4,0)-3),#N/A)-$C$8/250</f>
        <v>#N/A</v>
      </c>
      <c r="M721" s="394" t="e">
        <f ca="1">IF(NOT(OFFSET(Data!E724,0,MATCH('Delta Beta'!$C$5,Data!$B$4:$Q$4,0)-1)=""),OFFSET(Data!E724,0,MATCH('Delta Beta'!$C$5,Data!$B$4:$Q$4,0)-1),#N/A)-$C$8/250</f>
        <v>#N/A</v>
      </c>
      <c r="N721" s="395"/>
      <c r="R721" s="391"/>
    </row>
    <row r="722" spans="12:18">
      <c r="L722" s="394" t="e">
        <f ca="1">IF(NOT(OFFSET(Data!E725,0,MATCH('Delta Beta'!$C$5,Data!$B$4:$Q$4,0)-3)=""),OFFSET(Data!E725,0,MATCH('Delta Beta'!$C$5,Data!$B$4:$Q$4,0)-3),#N/A)-$C$8/250</f>
        <v>#N/A</v>
      </c>
      <c r="M722" s="394" t="e">
        <f ca="1">IF(NOT(OFFSET(Data!E725,0,MATCH('Delta Beta'!$C$5,Data!$B$4:$Q$4,0)-1)=""),OFFSET(Data!E725,0,MATCH('Delta Beta'!$C$5,Data!$B$4:$Q$4,0)-1),#N/A)-$C$8/250</f>
        <v>#N/A</v>
      </c>
      <c r="N722" s="395"/>
      <c r="R722" s="391"/>
    </row>
    <row r="723" spans="12:18">
      <c r="L723" s="394" t="e">
        <f ca="1">IF(NOT(OFFSET(Data!E726,0,MATCH('Delta Beta'!$C$5,Data!$B$4:$Q$4,0)-3)=""),OFFSET(Data!E726,0,MATCH('Delta Beta'!$C$5,Data!$B$4:$Q$4,0)-3),#N/A)-$C$8/250</f>
        <v>#N/A</v>
      </c>
      <c r="M723" s="394" t="e">
        <f ca="1">IF(NOT(OFFSET(Data!E726,0,MATCH('Delta Beta'!$C$5,Data!$B$4:$Q$4,0)-1)=""),OFFSET(Data!E726,0,MATCH('Delta Beta'!$C$5,Data!$B$4:$Q$4,0)-1),#N/A)-$C$8/250</f>
        <v>#N/A</v>
      </c>
      <c r="N723" s="395"/>
      <c r="R723" s="391"/>
    </row>
    <row r="724" spans="12:18">
      <c r="L724" s="394" t="e">
        <f ca="1">IF(NOT(OFFSET(Data!E727,0,MATCH('Delta Beta'!$C$5,Data!$B$4:$Q$4,0)-3)=""),OFFSET(Data!E727,0,MATCH('Delta Beta'!$C$5,Data!$B$4:$Q$4,0)-3),#N/A)-$C$8/250</f>
        <v>#N/A</v>
      </c>
      <c r="M724" s="394" t="e">
        <f ca="1">IF(NOT(OFFSET(Data!E727,0,MATCH('Delta Beta'!$C$5,Data!$B$4:$Q$4,0)-1)=""),OFFSET(Data!E727,0,MATCH('Delta Beta'!$C$5,Data!$B$4:$Q$4,0)-1),#N/A)-$C$8/250</f>
        <v>#N/A</v>
      </c>
      <c r="N724" s="395"/>
      <c r="R724" s="391"/>
    </row>
    <row r="725" spans="12:18">
      <c r="L725" s="394" t="e">
        <f ca="1">IF(NOT(OFFSET(Data!E728,0,MATCH('Delta Beta'!$C$5,Data!$B$4:$Q$4,0)-3)=""),OFFSET(Data!E728,0,MATCH('Delta Beta'!$C$5,Data!$B$4:$Q$4,0)-3),#N/A)-$C$8/250</f>
        <v>#N/A</v>
      </c>
      <c r="M725" s="394" t="e">
        <f ca="1">IF(NOT(OFFSET(Data!E728,0,MATCH('Delta Beta'!$C$5,Data!$B$4:$Q$4,0)-1)=""),OFFSET(Data!E728,0,MATCH('Delta Beta'!$C$5,Data!$B$4:$Q$4,0)-1),#N/A)-$C$8/250</f>
        <v>#N/A</v>
      </c>
      <c r="N725" s="395"/>
      <c r="R725" s="391"/>
    </row>
    <row r="726" spans="12:18">
      <c r="L726" s="394" t="e">
        <f ca="1">IF(NOT(OFFSET(Data!E729,0,MATCH('Delta Beta'!$C$5,Data!$B$4:$Q$4,0)-3)=""),OFFSET(Data!E729,0,MATCH('Delta Beta'!$C$5,Data!$B$4:$Q$4,0)-3),#N/A)-$C$8/250</f>
        <v>#N/A</v>
      </c>
      <c r="M726" s="394" t="e">
        <f ca="1">IF(NOT(OFFSET(Data!E729,0,MATCH('Delta Beta'!$C$5,Data!$B$4:$Q$4,0)-1)=""),OFFSET(Data!E729,0,MATCH('Delta Beta'!$C$5,Data!$B$4:$Q$4,0)-1),#N/A)-$C$8/250</f>
        <v>#N/A</v>
      </c>
      <c r="N726" s="395"/>
      <c r="R726" s="391"/>
    </row>
    <row r="727" spans="12:18">
      <c r="L727" s="394" t="e">
        <f ca="1">IF(NOT(OFFSET(Data!E730,0,MATCH('Delta Beta'!$C$5,Data!$B$4:$Q$4,0)-3)=""),OFFSET(Data!E730,0,MATCH('Delta Beta'!$C$5,Data!$B$4:$Q$4,0)-3),#N/A)-$C$8/250</f>
        <v>#N/A</v>
      </c>
      <c r="M727" s="394" t="e">
        <f ca="1">IF(NOT(OFFSET(Data!E730,0,MATCH('Delta Beta'!$C$5,Data!$B$4:$Q$4,0)-1)=""),OFFSET(Data!E730,0,MATCH('Delta Beta'!$C$5,Data!$B$4:$Q$4,0)-1),#N/A)-$C$8/250</f>
        <v>#N/A</v>
      </c>
      <c r="N727" s="395"/>
      <c r="R727" s="391"/>
    </row>
    <row r="728" spans="12:18">
      <c r="L728" s="394" t="e">
        <f ca="1">IF(NOT(OFFSET(Data!E731,0,MATCH('Delta Beta'!$C$5,Data!$B$4:$Q$4,0)-3)=""),OFFSET(Data!E731,0,MATCH('Delta Beta'!$C$5,Data!$B$4:$Q$4,0)-3),#N/A)-$C$8/250</f>
        <v>#N/A</v>
      </c>
      <c r="M728" s="394" t="e">
        <f ca="1">IF(NOT(OFFSET(Data!E731,0,MATCH('Delta Beta'!$C$5,Data!$B$4:$Q$4,0)-1)=""),OFFSET(Data!E731,0,MATCH('Delta Beta'!$C$5,Data!$B$4:$Q$4,0)-1),#N/A)-$C$8/250</f>
        <v>#N/A</v>
      </c>
      <c r="N728" s="395"/>
      <c r="R728" s="391"/>
    </row>
    <row r="729" spans="12:18">
      <c r="L729" s="394" t="e">
        <f ca="1">IF(NOT(OFFSET(Data!E732,0,MATCH('Delta Beta'!$C$5,Data!$B$4:$Q$4,0)-3)=""),OFFSET(Data!E732,0,MATCH('Delta Beta'!$C$5,Data!$B$4:$Q$4,0)-3),#N/A)-$C$8/250</f>
        <v>#N/A</v>
      </c>
      <c r="M729" s="394" t="e">
        <f ca="1">IF(NOT(OFFSET(Data!E732,0,MATCH('Delta Beta'!$C$5,Data!$B$4:$Q$4,0)-1)=""),OFFSET(Data!E732,0,MATCH('Delta Beta'!$C$5,Data!$B$4:$Q$4,0)-1),#N/A)-$C$8/250</f>
        <v>#N/A</v>
      </c>
      <c r="N729" s="395"/>
      <c r="R729" s="391"/>
    </row>
    <row r="730" spans="12:18">
      <c r="L730" s="394" t="e">
        <f ca="1">IF(NOT(OFFSET(Data!E733,0,MATCH('Delta Beta'!$C$5,Data!$B$4:$Q$4,0)-3)=""),OFFSET(Data!E733,0,MATCH('Delta Beta'!$C$5,Data!$B$4:$Q$4,0)-3),#N/A)-$C$8/250</f>
        <v>#N/A</v>
      </c>
      <c r="M730" s="394" t="e">
        <f ca="1">IF(NOT(OFFSET(Data!E733,0,MATCH('Delta Beta'!$C$5,Data!$B$4:$Q$4,0)-1)=""),OFFSET(Data!E733,0,MATCH('Delta Beta'!$C$5,Data!$B$4:$Q$4,0)-1),#N/A)-$C$8/250</f>
        <v>#N/A</v>
      </c>
      <c r="N730" s="395"/>
      <c r="R730" s="391"/>
    </row>
    <row r="731" spans="12:18">
      <c r="L731" s="394" t="e">
        <f ca="1">IF(NOT(OFFSET(Data!E734,0,MATCH('Delta Beta'!$C$5,Data!$B$4:$Q$4,0)-3)=""),OFFSET(Data!E734,0,MATCH('Delta Beta'!$C$5,Data!$B$4:$Q$4,0)-3),#N/A)-$C$8/250</f>
        <v>#N/A</v>
      </c>
      <c r="M731" s="394" t="e">
        <f ca="1">IF(NOT(OFFSET(Data!E734,0,MATCH('Delta Beta'!$C$5,Data!$B$4:$Q$4,0)-1)=""),OFFSET(Data!E734,0,MATCH('Delta Beta'!$C$5,Data!$B$4:$Q$4,0)-1),#N/A)-$C$8/250</f>
        <v>#N/A</v>
      </c>
      <c r="N731" s="395"/>
      <c r="R731" s="391"/>
    </row>
    <row r="732" spans="12:18">
      <c r="L732" s="394" t="e">
        <f ca="1">IF(NOT(OFFSET(Data!E735,0,MATCH('Delta Beta'!$C$5,Data!$B$4:$Q$4,0)-3)=""),OFFSET(Data!E735,0,MATCH('Delta Beta'!$C$5,Data!$B$4:$Q$4,0)-3),#N/A)-$C$8/250</f>
        <v>#N/A</v>
      </c>
      <c r="M732" s="394" t="e">
        <f ca="1">IF(NOT(OFFSET(Data!E735,0,MATCH('Delta Beta'!$C$5,Data!$B$4:$Q$4,0)-1)=""),OFFSET(Data!E735,0,MATCH('Delta Beta'!$C$5,Data!$B$4:$Q$4,0)-1),#N/A)-$C$8/250</f>
        <v>#N/A</v>
      </c>
      <c r="N732" s="395"/>
      <c r="R732" s="391"/>
    </row>
    <row r="733" spans="12:18">
      <c r="L733" s="394" t="e">
        <f ca="1">IF(NOT(OFFSET(Data!E736,0,MATCH('Delta Beta'!$C$5,Data!$B$4:$Q$4,0)-3)=""),OFFSET(Data!E736,0,MATCH('Delta Beta'!$C$5,Data!$B$4:$Q$4,0)-3),#N/A)-$C$8/250</f>
        <v>#N/A</v>
      </c>
      <c r="M733" s="394" t="e">
        <f ca="1">IF(NOT(OFFSET(Data!E736,0,MATCH('Delta Beta'!$C$5,Data!$B$4:$Q$4,0)-1)=""),OFFSET(Data!E736,0,MATCH('Delta Beta'!$C$5,Data!$B$4:$Q$4,0)-1),#N/A)-$C$8/250</f>
        <v>#N/A</v>
      </c>
      <c r="N733" s="395"/>
      <c r="R733" s="391"/>
    </row>
    <row r="734" spans="12:18">
      <c r="L734" s="394" t="e">
        <f ca="1">IF(NOT(OFFSET(Data!E737,0,MATCH('Delta Beta'!$C$5,Data!$B$4:$Q$4,0)-3)=""),OFFSET(Data!E737,0,MATCH('Delta Beta'!$C$5,Data!$B$4:$Q$4,0)-3),#N/A)-$C$8/250</f>
        <v>#N/A</v>
      </c>
      <c r="M734" s="394" t="e">
        <f ca="1">IF(NOT(OFFSET(Data!E737,0,MATCH('Delta Beta'!$C$5,Data!$B$4:$Q$4,0)-1)=""),OFFSET(Data!E737,0,MATCH('Delta Beta'!$C$5,Data!$B$4:$Q$4,0)-1),#N/A)-$C$8/250</f>
        <v>#N/A</v>
      </c>
      <c r="N734" s="395"/>
      <c r="R734" s="391"/>
    </row>
    <row r="735" spans="12:18">
      <c r="L735" s="394" t="e">
        <f ca="1">IF(NOT(OFFSET(Data!E738,0,MATCH('Delta Beta'!$C$5,Data!$B$4:$Q$4,0)-3)=""),OFFSET(Data!E738,0,MATCH('Delta Beta'!$C$5,Data!$B$4:$Q$4,0)-3),#N/A)-$C$8/250</f>
        <v>#N/A</v>
      </c>
      <c r="M735" s="394" t="e">
        <f ca="1">IF(NOT(OFFSET(Data!E738,0,MATCH('Delta Beta'!$C$5,Data!$B$4:$Q$4,0)-1)=""),OFFSET(Data!E738,0,MATCH('Delta Beta'!$C$5,Data!$B$4:$Q$4,0)-1),#N/A)-$C$8/250</f>
        <v>#N/A</v>
      </c>
      <c r="N735" s="395"/>
      <c r="R735" s="391"/>
    </row>
    <row r="736" spans="12:18">
      <c r="L736" s="394" t="e">
        <f ca="1">IF(NOT(OFFSET(Data!E739,0,MATCH('Delta Beta'!$C$5,Data!$B$4:$Q$4,0)-3)=""),OFFSET(Data!E739,0,MATCH('Delta Beta'!$C$5,Data!$B$4:$Q$4,0)-3),#N/A)-$C$8/250</f>
        <v>#N/A</v>
      </c>
      <c r="M736" s="394" t="e">
        <f ca="1">IF(NOT(OFFSET(Data!E739,0,MATCH('Delta Beta'!$C$5,Data!$B$4:$Q$4,0)-1)=""),OFFSET(Data!E739,0,MATCH('Delta Beta'!$C$5,Data!$B$4:$Q$4,0)-1),#N/A)-$C$8/250</f>
        <v>#N/A</v>
      </c>
      <c r="N736" s="395"/>
      <c r="R736" s="391"/>
    </row>
    <row r="737" spans="12:18">
      <c r="L737" s="394" t="e">
        <f ca="1">IF(NOT(OFFSET(Data!E740,0,MATCH('Delta Beta'!$C$5,Data!$B$4:$Q$4,0)-3)=""),OFFSET(Data!E740,0,MATCH('Delta Beta'!$C$5,Data!$B$4:$Q$4,0)-3),#N/A)-$C$8/250</f>
        <v>#N/A</v>
      </c>
      <c r="M737" s="394" t="e">
        <f ca="1">IF(NOT(OFFSET(Data!E740,0,MATCH('Delta Beta'!$C$5,Data!$B$4:$Q$4,0)-1)=""),OFFSET(Data!E740,0,MATCH('Delta Beta'!$C$5,Data!$B$4:$Q$4,0)-1),#N/A)-$C$8/250</f>
        <v>#N/A</v>
      </c>
      <c r="N737" s="395"/>
      <c r="R737" s="391"/>
    </row>
    <row r="738" spans="12:18">
      <c r="L738" s="394" t="e">
        <f ca="1">IF(NOT(OFFSET(Data!E741,0,MATCH('Delta Beta'!$C$5,Data!$B$4:$Q$4,0)-3)=""),OFFSET(Data!E741,0,MATCH('Delta Beta'!$C$5,Data!$B$4:$Q$4,0)-3),#N/A)-$C$8/250</f>
        <v>#N/A</v>
      </c>
      <c r="M738" s="394" t="e">
        <f ca="1">IF(NOT(OFFSET(Data!E741,0,MATCH('Delta Beta'!$C$5,Data!$B$4:$Q$4,0)-1)=""),OFFSET(Data!E741,0,MATCH('Delta Beta'!$C$5,Data!$B$4:$Q$4,0)-1),#N/A)-$C$8/250</f>
        <v>#N/A</v>
      </c>
      <c r="N738" s="395"/>
      <c r="R738" s="391"/>
    </row>
    <row r="739" spans="12:18">
      <c r="L739" s="394" t="e">
        <f ca="1">IF(NOT(OFFSET(Data!E742,0,MATCH('Delta Beta'!$C$5,Data!$B$4:$Q$4,0)-3)=""),OFFSET(Data!E742,0,MATCH('Delta Beta'!$C$5,Data!$B$4:$Q$4,0)-3),#N/A)-$C$8/250</f>
        <v>#N/A</v>
      </c>
      <c r="M739" s="394" t="e">
        <f ca="1">IF(NOT(OFFSET(Data!E742,0,MATCH('Delta Beta'!$C$5,Data!$B$4:$Q$4,0)-1)=""),OFFSET(Data!E742,0,MATCH('Delta Beta'!$C$5,Data!$B$4:$Q$4,0)-1),#N/A)-$C$8/250</f>
        <v>#N/A</v>
      </c>
      <c r="N739" s="395"/>
      <c r="R739" s="391"/>
    </row>
    <row r="740" spans="12:18">
      <c r="L740" s="394" t="e">
        <f ca="1">IF(NOT(OFFSET(Data!E743,0,MATCH('Delta Beta'!$C$5,Data!$B$4:$Q$4,0)-3)=""),OFFSET(Data!E743,0,MATCH('Delta Beta'!$C$5,Data!$B$4:$Q$4,0)-3),#N/A)-$C$8/250</f>
        <v>#N/A</v>
      </c>
      <c r="M740" s="394" t="e">
        <f ca="1">IF(NOT(OFFSET(Data!E743,0,MATCH('Delta Beta'!$C$5,Data!$B$4:$Q$4,0)-1)=""),OFFSET(Data!E743,0,MATCH('Delta Beta'!$C$5,Data!$B$4:$Q$4,0)-1),#N/A)-$C$8/250</f>
        <v>#N/A</v>
      </c>
      <c r="N740" s="395"/>
      <c r="R740" s="391"/>
    </row>
    <row r="741" spans="12:18">
      <c r="L741" s="394" t="e">
        <f ca="1">IF(NOT(OFFSET(Data!E744,0,MATCH('Delta Beta'!$C$5,Data!$B$4:$Q$4,0)-3)=""),OFFSET(Data!E744,0,MATCH('Delta Beta'!$C$5,Data!$B$4:$Q$4,0)-3),#N/A)-$C$8/250</f>
        <v>#N/A</v>
      </c>
      <c r="M741" s="394" t="e">
        <f ca="1">IF(NOT(OFFSET(Data!E744,0,MATCH('Delta Beta'!$C$5,Data!$B$4:$Q$4,0)-1)=""),OFFSET(Data!E744,0,MATCH('Delta Beta'!$C$5,Data!$B$4:$Q$4,0)-1),#N/A)-$C$8/250</f>
        <v>#N/A</v>
      </c>
      <c r="N741" s="395"/>
      <c r="R741" s="391"/>
    </row>
    <row r="742" spans="12:18">
      <c r="L742" s="394" t="e">
        <f ca="1">IF(NOT(OFFSET(Data!E745,0,MATCH('Delta Beta'!$C$5,Data!$B$4:$Q$4,0)-3)=""),OFFSET(Data!E745,0,MATCH('Delta Beta'!$C$5,Data!$B$4:$Q$4,0)-3),#N/A)-$C$8/250</f>
        <v>#N/A</v>
      </c>
      <c r="M742" s="394" t="e">
        <f ca="1">IF(NOT(OFFSET(Data!E745,0,MATCH('Delta Beta'!$C$5,Data!$B$4:$Q$4,0)-1)=""),OFFSET(Data!E745,0,MATCH('Delta Beta'!$C$5,Data!$B$4:$Q$4,0)-1),#N/A)-$C$8/250</f>
        <v>#N/A</v>
      </c>
      <c r="N742" s="395"/>
      <c r="R742" s="391"/>
    </row>
    <row r="743" spans="12:18">
      <c r="L743" s="394" t="e">
        <f ca="1">IF(NOT(OFFSET(Data!E746,0,MATCH('Delta Beta'!$C$5,Data!$B$4:$Q$4,0)-3)=""),OFFSET(Data!E746,0,MATCH('Delta Beta'!$C$5,Data!$B$4:$Q$4,0)-3),#N/A)-$C$8/250</f>
        <v>#N/A</v>
      </c>
      <c r="M743" s="394" t="e">
        <f ca="1">IF(NOT(OFFSET(Data!E746,0,MATCH('Delta Beta'!$C$5,Data!$B$4:$Q$4,0)-1)=""),OFFSET(Data!E746,0,MATCH('Delta Beta'!$C$5,Data!$B$4:$Q$4,0)-1),#N/A)-$C$8/250</f>
        <v>#N/A</v>
      </c>
      <c r="N743" s="395"/>
      <c r="R743" s="391"/>
    </row>
    <row r="744" spans="12:18">
      <c r="L744" s="394" t="e">
        <f ca="1">IF(NOT(OFFSET(Data!E747,0,MATCH('Delta Beta'!$C$5,Data!$B$4:$Q$4,0)-3)=""),OFFSET(Data!E747,0,MATCH('Delta Beta'!$C$5,Data!$B$4:$Q$4,0)-3),#N/A)-$C$8/250</f>
        <v>#N/A</v>
      </c>
      <c r="M744" s="394" t="e">
        <f ca="1">IF(NOT(OFFSET(Data!E747,0,MATCH('Delta Beta'!$C$5,Data!$B$4:$Q$4,0)-1)=""),OFFSET(Data!E747,0,MATCH('Delta Beta'!$C$5,Data!$B$4:$Q$4,0)-1),#N/A)-$C$8/250</f>
        <v>#N/A</v>
      </c>
      <c r="N744" s="395"/>
      <c r="R744" s="391"/>
    </row>
    <row r="745" spans="12:18">
      <c r="L745" s="394" t="e">
        <f ca="1">IF(NOT(OFFSET(Data!E748,0,MATCH('Delta Beta'!$C$5,Data!$B$4:$Q$4,0)-3)=""),OFFSET(Data!E748,0,MATCH('Delta Beta'!$C$5,Data!$B$4:$Q$4,0)-3),#N/A)-$C$8/250</f>
        <v>#N/A</v>
      </c>
      <c r="M745" s="394" t="e">
        <f ca="1">IF(NOT(OFFSET(Data!E748,0,MATCH('Delta Beta'!$C$5,Data!$B$4:$Q$4,0)-1)=""),OFFSET(Data!E748,0,MATCH('Delta Beta'!$C$5,Data!$B$4:$Q$4,0)-1),#N/A)-$C$8/250</f>
        <v>#N/A</v>
      </c>
      <c r="N745" s="395"/>
      <c r="R745" s="391"/>
    </row>
    <row r="746" spans="12:18">
      <c r="L746" s="394" t="e">
        <f ca="1">IF(NOT(OFFSET(Data!E749,0,MATCH('Delta Beta'!$C$5,Data!$B$4:$Q$4,0)-3)=""),OFFSET(Data!E749,0,MATCH('Delta Beta'!$C$5,Data!$B$4:$Q$4,0)-3),#N/A)-$C$8/250</f>
        <v>#N/A</v>
      </c>
      <c r="M746" s="394" t="e">
        <f ca="1">IF(NOT(OFFSET(Data!E749,0,MATCH('Delta Beta'!$C$5,Data!$B$4:$Q$4,0)-1)=""),OFFSET(Data!E749,0,MATCH('Delta Beta'!$C$5,Data!$B$4:$Q$4,0)-1),#N/A)-$C$8/250</f>
        <v>#N/A</v>
      </c>
      <c r="N746" s="395"/>
      <c r="R746" s="391"/>
    </row>
    <row r="747" spans="12:18">
      <c r="L747" s="394" t="e">
        <f ca="1">IF(NOT(OFFSET(Data!E750,0,MATCH('Delta Beta'!$C$5,Data!$B$4:$Q$4,0)-3)=""),OFFSET(Data!E750,0,MATCH('Delta Beta'!$C$5,Data!$B$4:$Q$4,0)-3),#N/A)-$C$8/250</f>
        <v>#N/A</v>
      </c>
      <c r="M747" s="394" t="e">
        <f ca="1">IF(NOT(OFFSET(Data!E750,0,MATCH('Delta Beta'!$C$5,Data!$B$4:$Q$4,0)-1)=""),OFFSET(Data!E750,0,MATCH('Delta Beta'!$C$5,Data!$B$4:$Q$4,0)-1),#N/A)-$C$8/250</f>
        <v>#N/A</v>
      </c>
      <c r="N747" s="395"/>
      <c r="R747" s="391"/>
    </row>
    <row r="748" spans="12:18">
      <c r="L748" s="394" t="e">
        <f ca="1">IF(NOT(OFFSET(Data!E751,0,MATCH('Delta Beta'!$C$5,Data!$B$4:$Q$4,0)-3)=""),OFFSET(Data!E751,0,MATCH('Delta Beta'!$C$5,Data!$B$4:$Q$4,0)-3),#N/A)-$C$8/250</f>
        <v>#N/A</v>
      </c>
      <c r="M748" s="394" t="e">
        <f ca="1">IF(NOT(OFFSET(Data!E751,0,MATCH('Delta Beta'!$C$5,Data!$B$4:$Q$4,0)-1)=""),OFFSET(Data!E751,0,MATCH('Delta Beta'!$C$5,Data!$B$4:$Q$4,0)-1),#N/A)-$C$8/250</f>
        <v>#N/A</v>
      </c>
      <c r="N748" s="395"/>
      <c r="R748" s="391"/>
    </row>
    <row r="749" spans="12:18">
      <c r="L749" s="394" t="e">
        <f ca="1">IF(NOT(OFFSET(Data!E752,0,MATCH('Delta Beta'!$C$5,Data!$B$4:$Q$4,0)-3)=""),OFFSET(Data!E752,0,MATCH('Delta Beta'!$C$5,Data!$B$4:$Q$4,0)-3),#N/A)-$C$8/250</f>
        <v>#N/A</v>
      </c>
      <c r="M749" s="394" t="e">
        <f ca="1">IF(NOT(OFFSET(Data!E752,0,MATCH('Delta Beta'!$C$5,Data!$B$4:$Q$4,0)-1)=""),OFFSET(Data!E752,0,MATCH('Delta Beta'!$C$5,Data!$B$4:$Q$4,0)-1),#N/A)-$C$8/250</f>
        <v>#N/A</v>
      </c>
      <c r="N749" s="395"/>
      <c r="R749" s="391"/>
    </row>
    <row r="750" spans="12:18">
      <c r="L750" s="394" t="e">
        <f ca="1">IF(NOT(OFFSET(Data!E753,0,MATCH('Delta Beta'!$C$5,Data!$B$4:$Q$4,0)-3)=""),OFFSET(Data!E753,0,MATCH('Delta Beta'!$C$5,Data!$B$4:$Q$4,0)-3),#N/A)-$C$8/250</f>
        <v>#N/A</v>
      </c>
      <c r="M750" s="394" t="e">
        <f ca="1">IF(NOT(OFFSET(Data!E753,0,MATCH('Delta Beta'!$C$5,Data!$B$4:$Q$4,0)-1)=""),OFFSET(Data!E753,0,MATCH('Delta Beta'!$C$5,Data!$B$4:$Q$4,0)-1),#N/A)-$C$8/250</f>
        <v>#N/A</v>
      </c>
      <c r="N750" s="395"/>
      <c r="R750" s="391"/>
    </row>
    <row r="751" spans="12:18">
      <c r="L751" s="394" t="e">
        <f ca="1">IF(NOT(OFFSET(Data!E754,0,MATCH('Delta Beta'!$C$5,Data!$B$4:$Q$4,0)-3)=""),OFFSET(Data!E754,0,MATCH('Delta Beta'!$C$5,Data!$B$4:$Q$4,0)-3),#N/A)-$C$8/250</f>
        <v>#N/A</v>
      </c>
      <c r="M751" s="394" t="e">
        <f ca="1">IF(NOT(OFFSET(Data!E754,0,MATCH('Delta Beta'!$C$5,Data!$B$4:$Q$4,0)-1)=""),OFFSET(Data!E754,0,MATCH('Delta Beta'!$C$5,Data!$B$4:$Q$4,0)-1),#N/A)-$C$8/250</f>
        <v>#N/A</v>
      </c>
      <c r="N751" s="395"/>
      <c r="R751" s="391"/>
    </row>
    <row r="752" spans="12:18">
      <c r="L752" s="394" t="e">
        <f ca="1">IF(NOT(OFFSET(Data!E755,0,MATCH('Delta Beta'!$C$5,Data!$B$4:$Q$4,0)-3)=""),OFFSET(Data!E755,0,MATCH('Delta Beta'!$C$5,Data!$B$4:$Q$4,0)-3),#N/A)-$C$8/250</f>
        <v>#N/A</v>
      </c>
      <c r="M752" s="394" t="e">
        <f ca="1">IF(NOT(OFFSET(Data!E755,0,MATCH('Delta Beta'!$C$5,Data!$B$4:$Q$4,0)-1)=""),OFFSET(Data!E755,0,MATCH('Delta Beta'!$C$5,Data!$B$4:$Q$4,0)-1),#N/A)-$C$8/250</f>
        <v>#N/A</v>
      </c>
      <c r="N752" s="395"/>
      <c r="R752" s="391"/>
    </row>
    <row r="753" spans="12:18">
      <c r="L753" s="394" t="e">
        <f ca="1">IF(NOT(OFFSET(Data!E756,0,MATCH('Delta Beta'!$C$5,Data!$B$4:$Q$4,0)-3)=""),OFFSET(Data!E756,0,MATCH('Delta Beta'!$C$5,Data!$B$4:$Q$4,0)-3),#N/A)-$C$8/250</f>
        <v>#N/A</v>
      </c>
      <c r="M753" s="394" t="e">
        <f ca="1">IF(NOT(OFFSET(Data!E756,0,MATCH('Delta Beta'!$C$5,Data!$B$4:$Q$4,0)-1)=""),OFFSET(Data!E756,0,MATCH('Delta Beta'!$C$5,Data!$B$4:$Q$4,0)-1),#N/A)-$C$8/250</f>
        <v>#N/A</v>
      </c>
      <c r="N753" s="395"/>
      <c r="R753" s="391"/>
    </row>
    <row r="754" spans="12:18">
      <c r="L754" s="394" t="e">
        <f ca="1">IF(NOT(OFFSET(Data!E757,0,MATCH('Delta Beta'!$C$5,Data!$B$4:$Q$4,0)-3)=""),OFFSET(Data!E757,0,MATCH('Delta Beta'!$C$5,Data!$B$4:$Q$4,0)-3),#N/A)-$C$8/250</f>
        <v>#N/A</v>
      </c>
      <c r="M754" s="394" t="e">
        <f ca="1">IF(NOT(OFFSET(Data!E757,0,MATCH('Delta Beta'!$C$5,Data!$B$4:$Q$4,0)-1)=""),OFFSET(Data!E757,0,MATCH('Delta Beta'!$C$5,Data!$B$4:$Q$4,0)-1),#N/A)-$C$8/250</f>
        <v>#N/A</v>
      </c>
      <c r="N754" s="395"/>
      <c r="R754" s="391"/>
    </row>
    <row r="755" spans="12:18">
      <c r="L755" s="394" t="e">
        <f ca="1">IF(NOT(OFFSET(Data!E758,0,MATCH('Delta Beta'!$C$5,Data!$B$4:$Q$4,0)-3)=""),OFFSET(Data!E758,0,MATCH('Delta Beta'!$C$5,Data!$B$4:$Q$4,0)-3),#N/A)-$C$8/250</f>
        <v>#N/A</v>
      </c>
      <c r="M755" s="394" t="e">
        <f ca="1">IF(NOT(OFFSET(Data!E758,0,MATCH('Delta Beta'!$C$5,Data!$B$4:$Q$4,0)-1)=""),OFFSET(Data!E758,0,MATCH('Delta Beta'!$C$5,Data!$B$4:$Q$4,0)-1),#N/A)-$C$8/250</f>
        <v>#N/A</v>
      </c>
      <c r="N755" s="395"/>
      <c r="R755" s="391"/>
    </row>
    <row r="756" spans="12:18">
      <c r="L756" s="394" t="e">
        <f ca="1">IF(NOT(OFFSET(Data!E759,0,MATCH('Delta Beta'!$C$5,Data!$B$4:$Q$4,0)-3)=""),OFFSET(Data!E759,0,MATCH('Delta Beta'!$C$5,Data!$B$4:$Q$4,0)-3),#N/A)-$C$8/250</f>
        <v>#N/A</v>
      </c>
      <c r="M756" s="394" t="e">
        <f ca="1">IF(NOT(OFFSET(Data!E759,0,MATCH('Delta Beta'!$C$5,Data!$B$4:$Q$4,0)-1)=""),OFFSET(Data!E759,0,MATCH('Delta Beta'!$C$5,Data!$B$4:$Q$4,0)-1),#N/A)-$C$8/250</f>
        <v>#N/A</v>
      </c>
      <c r="N756" s="395"/>
      <c r="R756" s="391"/>
    </row>
    <row r="757" spans="12:18">
      <c r="L757" s="394" t="e">
        <f ca="1">IF(NOT(OFFSET(Data!E760,0,MATCH('Delta Beta'!$C$5,Data!$B$4:$Q$4,0)-3)=""),OFFSET(Data!E760,0,MATCH('Delta Beta'!$C$5,Data!$B$4:$Q$4,0)-3),#N/A)-$C$8/250</f>
        <v>#N/A</v>
      </c>
      <c r="M757" s="394" t="e">
        <f ca="1">IF(NOT(OFFSET(Data!E760,0,MATCH('Delta Beta'!$C$5,Data!$B$4:$Q$4,0)-1)=""),OFFSET(Data!E760,0,MATCH('Delta Beta'!$C$5,Data!$B$4:$Q$4,0)-1),#N/A)-$C$8/250</f>
        <v>#N/A</v>
      </c>
      <c r="N757" s="395"/>
      <c r="R757" s="391"/>
    </row>
    <row r="758" spans="12:18">
      <c r="L758" s="394" t="e">
        <f ca="1">IF(NOT(OFFSET(Data!E761,0,MATCH('Delta Beta'!$C$5,Data!$B$4:$Q$4,0)-3)=""),OFFSET(Data!E761,0,MATCH('Delta Beta'!$C$5,Data!$B$4:$Q$4,0)-3),#N/A)-$C$8/250</f>
        <v>#N/A</v>
      </c>
      <c r="M758" s="394" t="e">
        <f ca="1">IF(NOT(OFFSET(Data!E761,0,MATCH('Delta Beta'!$C$5,Data!$B$4:$Q$4,0)-1)=""),OFFSET(Data!E761,0,MATCH('Delta Beta'!$C$5,Data!$B$4:$Q$4,0)-1),#N/A)-$C$8/250</f>
        <v>#N/A</v>
      </c>
      <c r="N758" s="395"/>
      <c r="R758" s="391"/>
    </row>
    <row r="759" spans="12:18">
      <c r="L759" s="394" t="e">
        <f ca="1">IF(NOT(OFFSET(Data!E762,0,MATCH('Delta Beta'!$C$5,Data!$B$4:$Q$4,0)-3)=""),OFFSET(Data!E762,0,MATCH('Delta Beta'!$C$5,Data!$B$4:$Q$4,0)-3),#N/A)-$C$8/250</f>
        <v>#N/A</v>
      </c>
      <c r="M759" s="394" t="e">
        <f ca="1">IF(NOT(OFFSET(Data!E762,0,MATCH('Delta Beta'!$C$5,Data!$B$4:$Q$4,0)-1)=""),OFFSET(Data!E762,0,MATCH('Delta Beta'!$C$5,Data!$B$4:$Q$4,0)-1),#N/A)-$C$8/250</f>
        <v>#N/A</v>
      </c>
      <c r="N759" s="395"/>
      <c r="R759" s="391"/>
    </row>
    <row r="760" spans="12:18">
      <c r="L760" s="394" t="e">
        <f ca="1">IF(NOT(OFFSET(Data!E763,0,MATCH('Delta Beta'!$C$5,Data!$B$4:$Q$4,0)-3)=""),OFFSET(Data!E763,0,MATCH('Delta Beta'!$C$5,Data!$B$4:$Q$4,0)-3),#N/A)-$C$8/250</f>
        <v>#N/A</v>
      </c>
      <c r="M760" s="394" t="e">
        <f ca="1">IF(NOT(OFFSET(Data!E763,0,MATCH('Delta Beta'!$C$5,Data!$B$4:$Q$4,0)-1)=""),OFFSET(Data!E763,0,MATCH('Delta Beta'!$C$5,Data!$B$4:$Q$4,0)-1),#N/A)-$C$8/250</f>
        <v>#N/A</v>
      </c>
      <c r="N760" s="395"/>
      <c r="R760" s="391"/>
    </row>
    <row r="761" spans="12:18">
      <c r="L761" s="394" t="e">
        <f ca="1">IF(NOT(OFFSET(Data!E764,0,MATCH('Delta Beta'!$C$5,Data!$B$4:$Q$4,0)-3)=""),OFFSET(Data!E764,0,MATCH('Delta Beta'!$C$5,Data!$B$4:$Q$4,0)-3),#N/A)-$C$8/250</f>
        <v>#N/A</v>
      </c>
      <c r="M761" s="394" t="e">
        <f ca="1">IF(NOT(OFFSET(Data!E764,0,MATCH('Delta Beta'!$C$5,Data!$B$4:$Q$4,0)-1)=""),OFFSET(Data!E764,0,MATCH('Delta Beta'!$C$5,Data!$B$4:$Q$4,0)-1),#N/A)-$C$8/250</f>
        <v>#N/A</v>
      </c>
      <c r="N761" s="395"/>
      <c r="R761" s="391"/>
    </row>
    <row r="762" spans="12:18">
      <c r="L762" s="394" t="e">
        <f ca="1">IF(NOT(OFFSET(Data!E765,0,MATCH('Delta Beta'!$C$5,Data!$B$4:$Q$4,0)-3)=""),OFFSET(Data!E765,0,MATCH('Delta Beta'!$C$5,Data!$B$4:$Q$4,0)-3),#N/A)-$C$8/250</f>
        <v>#N/A</v>
      </c>
      <c r="M762" s="394" t="e">
        <f ca="1">IF(NOT(OFFSET(Data!E765,0,MATCH('Delta Beta'!$C$5,Data!$B$4:$Q$4,0)-1)=""),OFFSET(Data!E765,0,MATCH('Delta Beta'!$C$5,Data!$B$4:$Q$4,0)-1),#N/A)-$C$8/250</f>
        <v>#N/A</v>
      </c>
      <c r="N762" s="395"/>
      <c r="R762" s="391"/>
    </row>
    <row r="763" spans="12:18">
      <c r="L763" s="394" t="e">
        <f ca="1">IF(NOT(OFFSET(Data!E766,0,MATCH('Delta Beta'!$C$5,Data!$B$4:$Q$4,0)-3)=""),OFFSET(Data!E766,0,MATCH('Delta Beta'!$C$5,Data!$B$4:$Q$4,0)-3),#N/A)-$C$8/250</f>
        <v>#N/A</v>
      </c>
      <c r="M763" s="394" t="e">
        <f ca="1">IF(NOT(OFFSET(Data!E766,0,MATCH('Delta Beta'!$C$5,Data!$B$4:$Q$4,0)-1)=""),OFFSET(Data!E766,0,MATCH('Delta Beta'!$C$5,Data!$B$4:$Q$4,0)-1),#N/A)-$C$8/250</f>
        <v>#N/A</v>
      </c>
      <c r="N763" s="395"/>
      <c r="R763" s="391"/>
    </row>
    <row r="764" spans="12:18">
      <c r="L764" s="394" t="e">
        <f ca="1">IF(NOT(OFFSET(Data!E767,0,MATCH('Delta Beta'!$C$5,Data!$B$4:$Q$4,0)-3)=""),OFFSET(Data!E767,0,MATCH('Delta Beta'!$C$5,Data!$B$4:$Q$4,0)-3),#N/A)-$C$8/250</f>
        <v>#N/A</v>
      </c>
      <c r="M764" s="394" t="e">
        <f ca="1">IF(NOT(OFFSET(Data!E767,0,MATCH('Delta Beta'!$C$5,Data!$B$4:$Q$4,0)-1)=""),OFFSET(Data!E767,0,MATCH('Delta Beta'!$C$5,Data!$B$4:$Q$4,0)-1),#N/A)-$C$8/250</f>
        <v>#N/A</v>
      </c>
      <c r="N764" s="395"/>
      <c r="R764" s="391"/>
    </row>
    <row r="765" spans="12:18">
      <c r="L765" s="394" t="e">
        <f ca="1">IF(NOT(OFFSET(Data!E768,0,MATCH('Delta Beta'!$C$5,Data!$B$4:$Q$4,0)-3)=""),OFFSET(Data!E768,0,MATCH('Delta Beta'!$C$5,Data!$B$4:$Q$4,0)-3),#N/A)-$C$8/250</f>
        <v>#N/A</v>
      </c>
      <c r="M765" s="394" t="e">
        <f ca="1">IF(NOT(OFFSET(Data!E768,0,MATCH('Delta Beta'!$C$5,Data!$B$4:$Q$4,0)-1)=""),OFFSET(Data!E768,0,MATCH('Delta Beta'!$C$5,Data!$B$4:$Q$4,0)-1),#N/A)-$C$8/250</f>
        <v>#N/A</v>
      </c>
      <c r="N765" s="395"/>
      <c r="R765" s="391"/>
    </row>
    <row r="766" spans="12:18">
      <c r="L766" s="394" t="e">
        <f ca="1">IF(NOT(OFFSET(Data!E769,0,MATCH('Delta Beta'!$C$5,Data!$B$4:$Q$4,0)-3)=""),OFFSET(Data!E769,0,MATCH('Delta Beta'!$C$5,Data!$B$4:$Q$4,0)-3),#N/A)-$C$8/250</f>
        <v>#N/A</v>
      </c>
      <c r="M766" s="394" t="e">
        <f ca="1">IF(NOT(OFFSET(Data!E769,0,MATCH('Delta Beta'!$C$5,Data!$B$4:$Q$4,0)-1)=""),OFFSET(Data!E769,0,MATCH('Delta Beta'!$C$5,Data!$B$4:$Q$4,0)-1),#N/A)-$C$8/250</f>
        <v>#N/A</v>
      </c>
      <c r="N766" s="395"/>
      <c r="R766" s="391"/>
    </row>
    <row r="767" spans="12:18">
      <c r="L767" s="394" t="e">
        <f ca="1">IF(NOT(OFFSET(Data!E770,0,MATCH('Delta Beta'!$C$5,Data!$B$4:$Q$4,0)-3)=""),OFFSET(Data!E770,0,MATCH('Delta Beta'!$C$5,Data!$B$4:$Q$4,0)-3),#N/A)-$C$8/250</f>
        <v>#N/A</v>
      </c>
      <c r="M767" s="394" t="e">
        <f ca="1">IF(NOT(OFFSET(Data!E770,0,MATCH('Delta Beta'!$C$5,Data!$B$4:$Q$4,0)-1)=""),OFFSET(Data!E770,0,MATCH('Delta Beta'!$C$5,Data!$B$4:$Q$4,0)-1),#N/A)-$C$8/250</f>
        <v>#N/A</v>
      </c>
      <c r="N767" s="395"/>
      <c r="R767" s="391"/>
    </row>
    <row r="768" spans="12:18">
      <c r="L768" s="394" t="e">
        <f ca="1">IF(NOT(OFFSET(Data!E771,0,MATCH('Delta Beta'!$C$5,Data!$B$4:$Q$4,0)-3)=""),OFFSET(Data!E771,0,MATCH('Delta Beta'!$C$5,Data!$B$4:$Q$4,0)-3),#N/A)-$C$8/250</f>
        <v>#N/A</v>
      </c>
      <c r="M768" s="394" t="e">
        <f ca="1">IF(NOT(OFFSET(Data!E771,0,MATCH('Delta Beta'!$C$5,Data!$B$4:$Q$4,0)-1)=""),OFFSET(Data!E771,0,MATCH('Delta Beta'!$C$5,Data!$B$4:$Q$4,0)-1),#N/A)-$C$8/250</f>
        <v>#N/A</v>
      </c>
      <c r="N768" s="395"/>
      <c r="R768" s="391"/>
    </row>
    <row r="769" spans="12:18">
      <c r="L769" s="394" t="e">
        <f ca="1">IF(NOT(OFFSET(Data!E772,0,MATCH('Delta Beta'!$C$5,Data!$B$4:$Q$4,0)-3)=""),OFFSET(Data!E772,0,MATCH('Delta Beta'!$C$5,Data!$B$4:$Q$4,0)-3),#N/A)-$C$8/250</f>
        <v>#N/A</v>
      </c>
      <c r="M769" s="394" t="e">
        <f ca="1">IF(NOT(OFFSET(Data!E772,0,MATCH('Delta Beta'!$C$5,Data!$B$4:$Q$4,0)-1)=""),OFFSET(Data!E772,0,MATCH('Delta Beta'!$C$5,Data!$B$4:$Q$4,0)-1),#N/A)-$C$8/250</f>
        <v>#N/A</v>
      </c>
      <c r="N769" s="395"/>
      <c r="R769" s="391"/>
    </row>
    <row r="770" spans="12:18">
      <c r="L770" s="394" t="e">
        <f ca="1">IF(NOT(OFFSET(Data!E773,0,MATCH('Delta Beta'!$C$5,Data!$B$4:$Q$4,0)-3)=""),OFFSET(Data!E773,0,MATCH('Delta Beta'!$C$5,Data!$B$4:$Q$4,0)-3),#N/A)-$C$8/250</f>
        <v>#N/A</v>
      </c>
      <c r="M770" s="394" t="e">
        <f ca="1">IF(NOT(OFFSET(Data!E773,0,MATCH('Delta Beta'!$C$5,Data!$B$4:$Q$4,0)-1)=""),OFFSET(Data!E773,0,MATCH('Delta Beta'!$C$5,Data!$B$4:$Q$4,0)-1),#N/A)-$C$8/250</f>
        <v>#N/A</v>
      </c>
      <c r="N770" s="395"/>
      <c r="R770" s="391"/>
    </row>
    <row r="771" spans="12:18">
      <c r="L771" s="394" t="e">
        <f ca="1">IF(NOT(OFFSET(Data!E774,0,MATCH('Delta Beta'!$C$5,Data!$B$4:$Q$4,0)-3)=""),OFFSET(Data!E774,0,MATCH('Delta Beta'!$C$5,Data!$B$4:$Q$4,0)-3),#N/A)-$C$8/250</f>
        <v>#N/A</v>
      </c>
      <c r="M771" s="394" t="e">
        <f ca="1">IF(NOT(OFFSET(Data!E774,0,MATCH('Delta Beta'!$C$5,Data!$B$4:$Q$4,0)-1)=""),OFFSET(Data!E774,0,MATCH('Delta Beta'!$C$5,Data!$B$4:$Q$4,0)-1),#N/A)-$C$8/250</f>
        <v>#N/A</v>
      </c>
      <c r="N771" s="395"/>
      <c r="R771" s="391"/>
    </row>
    <row r="772" spans="12:18">
      <c r="L772" s="394" t="e">
        <f ca="1">IF(NOT(OFFSET(Data!E775,0,MATCH('Delta Beta'!$C$5,Data!$B$4:$Q$4,0)-3)=""),OFFSET(Data!E775,0,MATCH('Delta Beta'!$C$5,Data!$B$4:$Q$4,0)-3),#N/A)-$C$8/250</f>
        <v>#N/A</v>
      </c>
      <c r="M772" s="394" t="e">
        <f ca="1">IF(NOT(OFFSET(Data!E775,0,MATCH('Delta Beta'!$C$5,Data!$B$4:$Q$4,0)-1)=""),OFFSET(Data!E775,0,MATCH('Delta Beta'!$C$5,Data!$B$4:$Q$4,0)-1),#N/A)-$C$8/250</f>
        <v>#N/A</v>
      </c>
      <c r="N772" s="395"/>
      <c r="R772" s="391"/>
    </row>
    <row r="773" spans="12:18">
      <c r="L773" s="394" t="e">
        <f ca="1">IF(NOT(OFFSET(Data!E776,0,MATCH('Delta Beta'!$C$5,Data!$B$4:$Q$4,0)-3)=""),OFFSET(Data!E776,0,MATCH('Delta Beta'!$C$5,Data!$B$4:$Q$4,0)-3),#N/A)-$C$8/250</f>
        <v>#N/A</v>
      </c>
      <c r="M773" s="394" t="e">
        <f ca="1">IF(NOT(OFFSET(Data!E776,0,MATCH('Delta Beta'!$C$5,Data!$B$4:$Q$4,0)-1)=""),OFFSET(Data!E776,0,MATCH('Delta Beta'!$C$5,Data!$B$4:$Q$4,0)-1),#N/A)-$C$8/250</f>
        <v>#N/A</v>
      </c>
      <c r="N773" s="395"/>
      <c r="R773" s="391"/>
    </row>
    <row r="774" spans="12:18">
      <c r="L774" s="394" t="e">
        <f ca="1">IF(NOT(OFFSET(Data!E777,0,MATCH('Delta Beta'!$C$5,Data!$B$4:$Q$4,0)-3)=""),OFFSET(Data!E777,0,MATCH('Delta Beta'!$C$5,Data!$B$4:$Q$4,0)-3),#N/A)-$C$8/250</f>
        <v>#N/A</v>
      </c>
      <c r="M774" s="394" t="e">
        <f ca="1">IF(NOT(OFFSET(Data!E777,0,MATCH('Delta Beta'!$C$5,Data!$B$4:$Q$4,0)-1)=""),OFFSET(Data!E777,0,MATCH('Delta Beta'!$C$5,Data!$B$4:$Q$4,0)-1),#N/A)-$C$8/250</f>
        <v>#N/A</v>
      </c>
      <c r="N774" s="395"/>
      <c r="R774" s="391"/>
    </row>
    <row r="775" spans="12:18">
      <c r="L775" s="394" t="e">
        <f ca="1">IF(NOT(OFFSET(Data!E778,0,MATCH('Delta Beta'!$C$5,Data!$B$4:$Q$4,0)-3)=""),OFFSET(Data!E778,0,MATCH('Delta Beta'!$C$5,Data!$B$4:$Q$4,0)-3),#N/A)-$C$8/250</f>
        <v>#N/A</v>
      </c>
      <c r="M775" s="394" t="e">
        <f ca="1">IF(NOT(OFFSET(Data!E778,0,MATCH('Delta Beta'!$C$5,Data!$B$4:$Q$4,0)-1)=""),OFFSET(Data!E778,0,MATCH('Delta Beta'!$C$5,Data!$B$4:$Q$4,0)-1),#N/A)-$C$8/250</f>
        <v>#N/A</v>
      </c>
      <c r="N775" s="395"/>
      <c r="R775" s="391"/>
    </row>
    <row r="776" spans="12:18">
      <c r="L776" s="394" t="e">
        <f ca="1">IF(NOT(OFFSET(Data!E779,0,MATCH('Delta Beta'!$C$5,Data!$B$4:$Q$4,0)-3)=""),OFFSET(Data!E779,0,MATCH('Delta Beta'!$C$5,Data!$B$4:$Q$4,0)-3),#N/A)-$C$8/250</f>
        <v>#N/A</v>
      </c>
      <c r="M776" s="394" t="e">
        <f ca="1">IF(NOT(OFFSET(Data!E779,0,MATCH('Delta Beta'!$C$5,Data!$B$4:$Q$4,0)-1)=""),OFFSET(Data!E779,0,MATCH('Delta Beta'!$C$5,Data!$B$4:$Q$4,0)-1),#N/A)-$C$8/250</f>
        <v>#N/A</v>
      </c>
      <c r="N776" s="395"/>
      <c r="R776" s="391"/>
    </row>
    <row r="777" spans="12:18">
      <c r="L777" s="394" t="e">
        <f ca="1">IF(NOT(OFFSET(Data!E780,0,MATCH('Delta Beta'!$C$5,Data!$B$4:$Q$4,0)-3)=""),OFFSET(Data!E780,0,MATCH('Delta Beta'!$C$5,Data!$B$4:$Q$4,0)-3),#N/A)-$C$8/250</f>
        <v>#N/A</v>
      </c>
      <c r="M777" s="394" t="e">
        <f ca="1">IF(NOT(OFFSET(Data!E780,0,MATCH('Delta Beta'!$C$5,Data!$B$4:$Q$4,0)-1)=""),OFFSET(Data!E780,0,MATCH('Delta Beta'!$C$5,Data!$B$4:$Q$4,0)-1),#N/A)-$C$8/250</f>
        <v>#N/A</v>
      </c>
      <c r="N777" s="395"/>
      <c r="R777" s="391"/>
    </row>
    <row r="778" spans="12:18">
      <c r="L778" s="394" t="e">
        <f ca="1">IF(NOT(OFFSET(Data!E781,0,MATCH('Delta Beta'!$C$5,Data!$B$4:$Q$4,0)-3)=""),OFFSET(Data!E781,0,MATCH('Delta Beta'!$C$5,Data!$B$4:$Q$4,0)-3),#N/A)-$C$8/250</f>
        <v>#N/A</v>
      </c>
      <c r="M778" s="394" t="e">
        <f ca="1">IF(NOT(OFFSET(Data!E781,0,MATCH('Delta Beta'!$C$5,Data!$B$4:$Q$4,0)-1)=""),OFFSET(Data!E781,0,MATCH('Delta Beta'!$C$5,Data!$B$4:$Q$4,0)-1),#N/A)-$C$8/250</f>
        <v>#N/A</v>
      </c>
      <c r="N778" s="395"/>
      <c r="R778" s="391"/>
    </row>
    <row r="779" spans="12:18">
      <c r="L779" s="394" t="e">
        <f ca="1">IF(NOT(OFFSET(Data!E782,0,MATCH('Delta Beta'!$C$5,Data!$B$4:$Q$4,0)-3)=""),OFFSET(Data!E782,0,MATCH('Delta Beta'!$C$5,Data!$B$4:$Q$4,0)-3),#N/A)-$C$8/250</f>
        <v>#N/A</v>
      </c>
      <c r="M779" s="394" t="e">
        <f ca="1">IF(NOT(OFFSET(Data!E782,0,MATCH('Delta Beta'!$C$5,Data!$B$4:$Q$4,0)-1)=""),OFFSET(Data!E782,0,MATCH('Delta Beta'!$C$5,Data!$B$4:$Q$4,0)-1),#N/A)-$C$8/250</f>
        <v>#N/A</v>
      </c>
      <c r="N779" s="395"/>
      <c r="R779" s="391"/>
    </row>
    <row r="780" spans="12:18">
      <c r="L780" s="394" t="e">
        <f ca="1">IF(NOT(OFFSET(Data!E783,0,MATCH('Delta Beta'!$C$5,Data!$B$4:$Q$4,0)-3)=""),OFFSET(Data!E783,0,MATCH('Delta Beta'!$C$5,Data!$B$4:$Q$4,0)-3),#N/A)-$C$8/250</f>
        <v>#N/A</v>
      </c>
      <c r="M780" s="394" t="e">
        <f ca="1">IF(NOT(OFFSET(Data!E783,0,MATCH('Delta Beta'!$C$5,Data!$B$4:$Q$4,0)-1)=""),OFFSET(Data!E783,0,MATCH('Delta Beta'!$C$5,Data!$B$4:$Q$4,0)-1),#N/A)-$C$8/250</f>
        <v>#N/A</v>
      </c>
      <c r="N780" s="395"/>
      <c r="R780" s="391"/>
    </row>
    <row r="781" spans="12:18">
      <c r="L781" s="394" t="e">
        <f ca="1">IF(NOT(OFFSET(Data!E784,0,MATCH('Delta Beta'!$C$5,Data!$B$4:$Q$4,0)-3)=""),OFFSET(Data!E784,0,MATCH('Delta Beta'!$C$5,Data!$B$4:$Q$4,0)-3),#N/A)-$C$8/250</f>
        <v>#N/A</v>
      </c>
      <c r="M781" s="394" t="e">
        <f ca="1">IF(NOT(OFFSET(Data!E784,0,MATCH('Delta Beta'!$C$5,Data!$B$4:$Q$4,0)-1)=""),OFFSET(Data!E784,0,MATCH('Delta Beta'!$C$5,Data!$B$4:$Q$4,0)-1),#N/A)-$C$8/250</f>
        <v>#N/A</v>
      </c>
      <c r="N781" s="395"/>
      <c r="R781" s="391"/>
    </row>
    <row r="782" spans="12:18">
      <c r="L782" s="394" t="e">
        <f ca="1">IF(NOT(OFFSET(Data!E785,0,MATCH('Delta Beta'!$C$5,Data!$B$4:$Q$4,0)-3)=""),OFFSET(Data!E785,0,MATCH('Delta Beta'!$C$5,Data!$B$4:$Q$4,0)-3),#N/A)-$C$8/250</f>
        <v>#N/A</v>
      </c>
      <c r="M782" s="394" t="e">
        <f ca="1">IF(NOT(OFFSET(Data!E785,0,MATCH('Delta Beta'!$C$5,Data!$B$4:$Q$4,0)-1)=""),OFFSET(Data!E785,0,MATCH('Delta Beta'!$C$5,Data!$B$4:$Q$4,0)-1),#N/A)-$C$8/250</f>
        <v>#N/A</v>
      </c>
      <c r="N782" s="395"/>
      <c r="R782" s="391"/>
    </row>
    <row r="783" spans="12:18">
      <c r="L783" s="394" t="e">
        <f ca="1">IF(NOT(OFFSET(Data!E786,0,MATCH('Delta Beta'!$C$5,Data!$B$4:$Q$4,0)-3)=""),OFFSET(Data!E786,0,MATCH('Delta Beta'!$C$5,Data!$B$4:$Q$4,0)-3),#N/A)-$C$8/250</f>
        <v>#N/A</v>
      </c>
      <c r="M783" s="394" t="e">
        <f ca="1">IF(NOT(OFFSET(Data!E786,0,MATCH('Delta Beta'!$C$5,Data!$B$4:$Q$4,0)-1)=""),OFFSET(Data!E786,0,MATCH('Delta Beta'!$C$5,Data!$B$4:$Q$4,0)-1),#N/A)-$C$8/250</f>
        <v>#N/A</v>
      </c>
      <c r="N783" s="395"/>
      <c r="R783" s="391"/>
    </row>
    <row r="784" spans="12:18">
      <c r="L784" s="394" t="e">
        <f ca="1">IF(NOT(OFFSET(Data!E787,0,MATCH('Delta Beta'!$C$5,Data!$B$4:$Q$4,0)-3)=""),OFFSET(Data!E787,0,MATCH('Delta Beta'!$C$5,Data!$B$4:$Q$4,0)-3),#N/A)-$C$8/250</f>
        <v>#N/A</v>
      </c>
      <c r="M784" s="394" t="e">
        <f ca="1">IF(NOT(OFFSET(Data!E787,0,MATCH('Delta Beta'!$C$5,Data!$B$4:$Q$4,0)-1)=""),OFFSET(Data!E787,0,MATCH('Delta Beta'!$C$5,Data!$B$4:$Q$4,0)-1),#N/A)-$C$8/250</f>
        <v>#N/A</v>
      </c>
      <c r="N784" s="395"/>
      <c r="R784" s="391"/>
    </row>
    <row r="785" spans="12:18">
      <c r="L785" s="394" t="e">
        <f ca="1">IF(NOT(OFFSET(Data!E788,0,MATCH('Delta Beta'!$C$5,Data!$B$4:$Q$4,0)-3)=""),OFFSET(Data!E788,0,MATCH('Delta Beta'!$C$5,Data!$B$4:$Q$4,0)-3),#N/A)-$C$8/250</f>
        <v>#N/A</v>
      </c>
      <c r="M785" s="394" t="e">
        <f ca="1">IF(NOT(OFFSET(Data!E788,0,MATCH('Delta Beta'!$C$5,Data!$B$4:$Q$4,0)-1)=""),OFFSET(Data!E788,0,MATCH('Delta Beta'!$C$5,Data!$B$4:$Q$4,0)-1),#N/A)-$C$8/250</f>
        <v>#N/A</v>
      </c>
      <c r="N785" s="395"/>
      <c r="R785" s="391"/>
    </row>
    <row r="786" spans="12:18">
      <c r="L786" s="394" t="e">
        <f ca="1">IF(NOT(OFFSET(Data!E789,0,MATCH('Delta Beta'!$C$5,Data!$B$4:$Q$4,0)-3)=""),OFFSET(Data!E789,0,MATCH('Delta Beta'!$C$5,Data!$B$4:$Q$4,0)-3),#N/A)-$C$8/250</f>
        <v>#N/A</v>
      </c>
      <c r="M786" s="394" t="e">
        <f ca="1">IF(NOT(OFFSET(Data!E789,0,MATCH('Delta Beta'!$C$5,Data!$B$4:$Q$4,0)-1)=""),OFFSET(Data!E789,0,MATCH('Delta Beta'!$C$5,Data!$B$4:$Q$4,0)-1),#N/A)-$C$8/250</f>
        <v>#N/A</v>
      </c>
      <c r="N786" s="395"/>
      <c r="R786" s="391"/>
    </row>
    <row r="787" spans="12:18">
      <c r="L787" s="394" t="e">
        <f ca="1">IF(NOT(OFFSET(Data!E790,0,MATCH('Delta Beta'!$C$5,Data!$B$4:$Q$4,0)-3)=""),OFFSET(Data!E790,0,MATCH('Delta Beta'!$C$5,Data!$B$4:$Q$4,0)-3),#N/A)-$C$8/250</f>
        <v>#N/A</v>
      </c>
      <c r="M787" s="394" t="e">
        <f ca="1">IF(NOT(OFFSET(Data!E790,0,MATCH('Delta Beta'!$C$5,Data!$B$4:$Q$4,0)-1)=""),OFFSET(Data!E790,0,MATCH('Delta Beta'!$C$5,Data!$B$4:$Q$4,0)-1),#N/A)-$C$8/250</f>
        <v>#N/A</v>
      </c>
      <c r="N787" s="395"/>
      <c r="R787" s="391"/>
    </row>
    <row r="788" spans="12:18">
      <c r="L788" s="394" t="e">
        <f ca="1">IF(NOT(OFFSET(Data!E791,0,MATCH('Delta Beta'!$C$5,Data!$B$4:$Q$4,0)-3)=""),OFFSET(Data!E791,0,MATCH('Delta Beta'!$C$5,Data!$B$4:$Q$4,0)-3),#N/A)-$C$8/250</f>
        <v>#N/A</v>
      </c>
      <c r="M788" s="394" t="e">
        <f ca="1">IF(NOT(OFFSET(Data!E791,0,MATCH('Delta Beta'!$C$5,Data!$B$4:$Q$4,0)-1)=""),OFFSET(Data!E791,0,MATCH('Delta Beta'!$C$5,Data!$B$4:$Q$4,0)-1),#N/A)-$C$8/250</f>
        <v>#N/A</v>
      </c>
      <c r="N788" s="395"/>
      <c r="R788" s="391"/>
    </row>
    <row r="789" spans="12:18">
      <c r="L789" s="394" t="e">
        <f ca="1">IF(NOT(OFFSET(Data!E792,0,MATCH('Delta Beta'!$C$5,Data!$B$4:$Q$4,0)-3)=""),OFFSET(Data!E792,0,MATCH('Delta Beta'!$C$5,Data!$B$4:$Q$4,0)-3),#N/A)-$C$8/250</f>
        <v>#N/A</v>
      </c>
      <c r="M789" s="394" t="e">
        <f ca="1">IF(NOT(OFFSET(Data!E792,0,MATCH('Delta Beta'!$C$5,Data!$B$4:$Q$4,0)-1)=""),OFFSET(Data!E792,0,MATCH('Delta Beta'!$C$5,Data!$B$4:$Q$4,0)-1),#N/A)-$C$8/250</f>
        <v>#N/A</v>
      </c>
      <c r="N789" s="395"/>
      <c r="R789" s="391"/>
    </row>
    <row r="790" spans="12:18">
      <c r="L790" s="394" t="e">
        <f ca="1">IF(NOT(OFFSET(Data!E793,0,MATCH('Delta Beta'!$C$5,Data!$B$4:$Q$4,0)-3)=""),OFFSET(Data!E793,0,MATCH('Delta Beta'!$C$5,Data!$B$4:$Q$4,0)-3),#N/A)-$C$8/250</f>
        <v>#N/A</v>
      </c>
      <c r="M790" s="394" t="e">
        <f ca="1">IF(NOT(OFFSET(Data!E793,0,MATCH('Delta Beta'!$C$5,Data!$B$4:$Q$4,0)-1)=""),OFFSET(Data!E793,0,MATCH('Delta Beta'!$C$5,Data!$B$4:$Q$4,0)-1),#N/A)-$C$8/250</f>
        <v>#N/A</v>
      </c>
      <c r="N790" s="395"/>
      <c r="R790" s="391"/>
    </row>
    <row r="791" spans="12:18">
      <c r="L791" s="394" t="e">
        <f ca="1">IF(NOT(OFFSET(Data!E794,0,MATCH('Delta Beta'!$C$5,Data!$B$4:$Q$4,0)-3)=""),OFFSET(Data!E794,0,MATCH('Delta Beta'!$C$5,Data!$B$4:$Q$4,0)-3),#N/A)-$C$8/250</f>
        <v>#N/A</v>
      </c>
      <c r="M791" s="394" t="e">
        <f ca="1">IF(NOT(OFFSET(Data!E794,0,MATCH('Delta Beta'!$C$5,Data!$B$4:$Q$4,0)-1)=""),OFFSET(Data!E794,0,MATCH('Delta Beta'!$C$5,Data!$B$4:$Q$4,0)-1),#N/A)-$C$8/250</f>
        <v>#N/A</v>
      </c>
      <c r="N791" s="395"/>
      <c r="R791" s="391"/>
    </row>
    <row r="792" spans="12:18">
      <c r="L792" s="394" t="e">
        <f ca="1">IF(NOT(OFFSET(Data!E795,0,MATCH('Delta Beta'!$C$5,Data!$B$4:$Q$4,0)-3)=""),OFFSET(Data!E795,0,MATCH('Delta Beta'!$C$5,Data!$B$4:$Q$4,0)-3),#N/A)-$C$8/250</f>
        <v>#N/A</v>
      </c>
      <c r="M792" s="394" t="e">
        <f ca="1">IF(NOT(OFFSET(Data!E795,0,MATCH('Delta Beta'!$C$5,Data!$B$4:$Q$4,0)-1)=""),OFFSET(Data!E795,0,MATCH('Delta Beta'!$C$5,Data!$B$4:$Q$4,0)-1),#N/A)-$C$8/250</f>
        <v>#N/A</v>
      </c>
      <c r="N792" s="395"/>
      <c r="R792" s="391"/>
    </row>
    <row r="793" spans="12:18">
      <c r="L793" s="394" t="e">
        <f ca="1">IF(NOT(OFFSET(Data!E796,0,MATCH('Delta Beta'!$C$5,Data!$B$4:$Q$4,0)-3)=""),OFFSET(Data!E796,0,MATCH('Delta Beta'!$C$5,Data!$B$4:$Q$4,0)-3),#N/A)-$C$8/250</f>
        <v>#N/A</v>
      </c>
      <c r="M793" s="394" t="e">
        <f ca="1">IF(NOT(OFFSET(Data!E796,0,MATCH('Delta Beta'!$C$5,Data!$B$4:$Q$4,0)-1)=""),OFFSET(Data!E796,0,MATCH('Delta Beta'!$C$5,Data!$B$4:$Q$4,0)-1),#N/A)-$C$8/250</f>
        <v>#N/A</v>
      </c>
      <c r="N793" s="395"/>
      <c r="R793" s="391"/>
    </row>
    <row r="794" spans="12:18">
      <c r="L794" s="394" t="e">
        <f ca="1">IF(NOT(OFFSET(Data!E797,0,MATCH('Delta Beta'!$C$5,Data!$B$4:$Q$4,0)-3)=""),OFFSET(Data!E797,0,MATCH('Delta Beta'!$C$5,Data!$B$4:$Q$4,0)-3),#N/A)-$C$8/250</f>
        <v>#N/A</v>
      </c>
      <c r="M794" s="394" t="e">
        <f ca="1">IF(NOT(OFFSET(Data!E797,0,MATCH('Delta Beta'!$C$5,Data!$B$4:$Q$4,0)-1)=""),OFFSET(Data!E797,0,MATCH('Delta Beta'!$C$5,Data!$B$4:$Q$4,0)-1),#N/A)-$C$8/250</f>
        <v>#N/A</v>
      </c>
      <c r="N794" s="395"/>
      <c r="R794" s="391"/>
    </row>
    <row r="795" spans="12:18">
      <c r="L795" s="394" t="e">
        <f ca="1">IF(NOT(OFFSET(Data!E798,0,MATCH('Delta Beta'!$C$5,Data!$B$4:$Q$4,0)-3)=""),OFFSET(Data!E798,0,MATCH('Delta Beta'!$C$5,Data!$B$4:$Q$4,0)-3),#N/A)-$C$8/250</f>
        <v>#N/A</v>
      </c>
      <c r="M795" s="394" t="e">
        <f ca="1">IF(NOT(OFFSET(Data!E798,0,MATCH('Delta Beta'!$C$5,Data!$B$4:$Q$4,0)-1)=""),OFFSET(Data!E798,0,MATCH('Delta Beta'!$C$5,Data!$B$4:$Q$4,0)-1),#N/A)-$C$8/250</f>
        <v>#N/A</v>
      </c>
      <c r="N795" s="395"/>
      <c r="R795" s="391"/>
    </row>
    <row r="796" spans="12:18">
      <c r="L796" s="394" t="e">
        <f ca="1">IF(NOT(OFFSET(Data!E799,0,MATCH('Delta Beta'!$C$5,Data!$B$4:$Q$4,0)-3)=""),OFFSET(Data!E799,0,MATCH('Delta Beta'!$C$5,Data!$B$4:$Q$4,0)-3),#N/A)-$C$8/250</f>
        <v>#N/A</v>
      </c>
      <c r="M796" s="394" t="e">
        <f ca="1">IF(NOT(OFFSET(Data!E799,0,MATCH('Delta Beta'!$C$5,Data!$B$4:$Q$4,0)-1)=""),OFFSET(Data!E799,0,MATCH('Delta Beta'!$C$5,Data!$B$4:$Q$4,0)-1),#N/A)-$C$8/250</f>
        <v>#N/A</v>
      </c>
      <c r="N796" s="395"/>
      <c r="R796" s="391"/>
    </row>
    <row r="797" spans="12:18">
      <c r="L797" s="394" t="e">
        <f ca="1">IF(NOT(OFFSET(Data!E800,0,MATCH('Delta Beta'!$C$5,Data!$B$4:$Q$4,0)-3)=""),OFFSET(Data!E800,0,MATCH('Delta Beta'!$C$5,Data!$B$4:$Q$4,0)-3),#N/A)-$C$8/250</f>
        <v>#N/A</v>
      </c>
      <c r="M797" s="394" t="e">
        <f ca="1">IF(NOT(OFFSET(Data!E800,0,MATCH('Delta Beta'!$C$5,Data!$B$4:$Q$4,0)-1)=""),OFFSET(Data!E800,0,MATCH('Delta Beta'!$C$5,Data!$B$4:$Q$4,0)-1),#N/A)-$C$8/250</f>
        <v>#N/A</v>
      </c>
      <c r="N797" s="395"/>
      <c r="R797" s="391"/>
    </row>
    <row r="798" spans="12:18">
      <c r="L798" s="394" t="e">
        <f ca="1">IF(NOT(OFFSET(Data!E801,0,MATCH('Delta Beta'!$C$5,Data!$B$4:$Q$4,0)-3)=""),OFFSET(Data!E801,0,MATCH('Delta Beta'!$C$5,Data!$B$4:$Q$4,0)-3),#N/A)-$C$8/250</f>
        <v>#N/A</v>
      </c>
      <c r="M798" s="394" t="e">
        <f ca="1">IF(NOT(OFFSET(Data!E801,0,MATCH('Delta Beta'!$C$5,Data!$B$4:$Q$4,0)-1)=""),OFFSET(Data!E801,0,MATCH('Delta Beta'!$C$5,Data!$B$4:$Q$4,0)-1),#N/A)-$C$8/250</f>
        <v>#N/A</v>
      </c>
      <c r="N798" s="395"/>
      <c r="R798" s="391"/>
    </row>
    <row r="799" spans="12:18">
      <c r="L799" s="394" t="e">
        <f ca="1">IF(NOT(OFFSET(Data!E802,0,MATCH('Delta Beta'!$C$5,Data!$B$4:$Q$4,0)-3)=""),OFFSET(Data!E802,0,MATCH('Delta Beta'!$C$5,Data!$B$4:$Q$4,0)-3),#N/A)-$C$8/250</f>
        <v>#N/A</v>
      </c>
      <c r="M799" s="394" t="e">
        <f ca="1">IF(NOT(OFFSET(Data!E802,0,MATCH('Delta Beta'!$C$5,Data!$B$4:$Q$4,0)-1)=""),OFFSET(Data!E802,0,MATCH('Delta Beta'!$C$5,Data!$B$4:$Q$4,0)-1),#N/A)-$C$8/250</f>
        <v>#N/A</v>
      </c>
      <c r="N799" s="395"/>
      <c r="R799" s="391"/>
    </row>
    <row r="800" spans="12:18">
      <c r="L800" s="394" t="e">
        <f ca="1">IF(NOT(OFFSET(Data!E803,0,MATCH('Delta Beta'!$C$5,Data!$B$4:$Q$4,0)-3)=""),OFFSET(Data!E803,0,MATCH('Delta Beta'!$C$5,Data!$B$4:$Q$4,0)-3),#N/A)-$C$8/250</f>
        <v>#N/A</v>
      </c>
      <c r="M800" s="394" t="e">
        <f ca="1">IF(NOT(OFFSET(Data!E803,0,MATCH('Delta Beta'!$C$5,Data!$B$4:$Q$4,0)-1)=""),OFFSET(Data!E803,0,MATCH('Delta Beta'!$C$5,Data!$B$4:$Q$4,0)-1),#N/A)-$C$8/250</f>
        <v>#N/A</v>
      </c>
      <c r="N800" s="395"/>
      <c r="R800" s="391"/>
    </row>
    <row r="801" spans="12:18">
      <c r="L801" s="394" t="e">
        <f ca="1">IF(NOT(OFFSET(Data!E804,0,MATCH('Delta Beta'!$C$5,Data!$B$4:$Q$4,0)-3)=""),OFFSET(Data!E804,0,MATCH('Delta Beta'!$C$5,Data!$B$4:$Q$4,0)-3),#N/A)-$C$8/250</f>
        <v>#N/A</v>
      </c>
      <c r="M801" s="394" t="e">
        <f ca="1">IF(NOT(OFFSET(Data!E804,0,MATCH('Delta Beta'!$C$5,Data!$B$4:$Q$4,0)-1)=""),OFFSET(Data!E804,0,MATCH('Delta Beta'!$C$5,Data!$B$4:$Q$4,0)-1),#N/A)-$C$8/250</f>
        <v>#N/A</v>
      </c>
      <c r="N801" s="395"/>
      <c r="R801" s="391"/>
    </row>
    <row r="802" spans="12:18">
      <c r="L802" s="394" t="e">
        <f ca="1">IF(NOT(OFFSET(Data!E805,0,MATCH('Delta Beta'!$C$5,Data!$B$4:$Q$4,0)-3)=""),OFFSET(Data!E805,0,MATCH('Delta Beta'!$C$5,Data!$B$4:$Q$4,0)-3),#N/A)-$C$8/250</f>
        <v>#N/A</v>
      </c>
      <c r="M802" s="394" t="e">
        <f ca="1">IF(NOT(OFFSET(Data!E805,0,MATCH('Delta Beta'!$C$5,Data!$B$4:$Q$4,0)-1)=""),OFFSET(Data!E805,0,MATCH('Delta Beta'!$C$5,Data!$B$4:$Q$4,0)-1),#N/A)-$C$8/250</f>
        <v>#N/A</v>
      </c>
      <c r="N802" s="395"/>
      <c r="R802" s="391"/>
    </row>
    <row r="803" spans="12:18">
      <c r="L803" s="394" t="e">
        <f ca="1">IF(NOT(OFFSET(Data!E806,0,MATCH('Delta Beta'!$C$5,Data!$B$4:$Q$4,0)-3)=""),OFFSET(Data!E806,0,MATCH('Delta Beta'!$C$5,Data!$B$4:$Q$4,0)-3),#N/A)-$C$8/250</f>
        <v>#N/A</v>
      </c>
      <c r="M803" s="394" t="e">
        <f ca="1">IF(NOT(OFFSET(Data!E806,0,MATCH('Delta Beta'!$C$5,Data!$B$4:$Q$4,0)-1)=""),OFFSET(Data!E806,0,MATCH('Delta Beta'!$C$5,Data!$B$4:$Q$4,0)-1),#N/A)-$C$8/250</f>
        <v>#N/A</v>
      </c>
      <c r="N803" s="395"/>
      <c r="R803" s="391"/>
    </row>
    <row r="804" spans="12:18">
      <c r="L804" s="394" t="e">
        <f ca="1">IF(NOT(OFFSET(Data!E807,0,MATCH('Delta Beta'!$C$5,Data!$B$4:$Q$4,0)-3)=""),OFFSET(Data!E807,0,MATCH('Delta Beta'!$C$5,Data!$B$4:$Q$4,0)-3),#N/A)-$C$8/250</f>
        <v>#N/A</v>
      </c>
      <c r="M804" s="394" t="e">
        <f ca="1">IF(NOT(OFFSET(Data!E807,0,MATCH('Delta Beta'!$C$5,Data!$B$4:$Q$4,0)-1)=""),OFFSET(Data!E807,0,MATCH('Delta Beta'!$C$5,Data!$B$4:$Q$4,0)-1),#N/A)-$C$8/250</f>
        <v>#N/A</v>
      </c>
      <c r="N804" s="395"/>
      <c r="R804" s="391"/>
    </row>
    <row r="805" spans="12:18">
      <c r="L805" s="394" t="e">
        <f ca="1">IF(NOT(OFFSET(Data!E808,0,MATCH('Delta Beta'!$C$5,Data!$B$4:$Q$4,0)-3)=""),OFFSET(Data!E808,0,MATCH('Delta Beta'!$C$5,Data!$B$4:$Q$4,0)-3),#N/A)-$C$8/250</f>
        <v>#N/A</v>
      </c>
      <c r="M805" s="394" t="e">
        <f ca="1">IF(NOT(OFFSET(Data!E808,0,MATCH('Delta Beta'!$C$5,Data!$B$4:$Q$4,0)-1)=""),OFFSET(Data!E808,0,MATCH('Delta Beta'!$C$5,Data!$B$4:$Q$4,0)-1),#N/A)-$C$8/250</f>
        <v>#N/A</v>
      </c>
      <c r="N805" s="395"/>
      <c r="R805" s="391"/>
    </row>
    <row r="806" spans="12:18">
      <c r="L806" s="394" t="e">
        <f ca="1">IF(NOT(OFFSET(Data!E809,0,MATCH('Delta Beta'!$C$5,Data!$B$4:$Q$4,0)-3)=""),OFFSET(Data!E809,0,MATCH('Delta Beta'!$C$5,Data!$B$4:$Q$4,0)-3),#N/A)-$C$8/250</f>
        <v>#N/A</v>
      </c>
      <c r="M806" s="394" t="e">
        <f ca="1">IF(NOT(OFFSET(Data!E809,0,MATCH('Delta Beta'!$C$5,Data!$B$4:$Q$4,0)-1)=""),OFFSET(Data!E809,0,MATCH('Delta Beta'!$C$5,Data!$B$4:$Q$4,0)-1),#N/A)-$C$8/250</f>
        <v>#N/A</v>
      </c>
      <c r="N806" s="395"/>
      <c r="R806" s="391"/>
    </row>
    <row r="807" spans="12:18">
      <c r="L807" s="394" t="e">
        <f ca="1">IF(NOT(OFFSET(Data!E810,0,MATCH('Delta Beta'!$C$5,Data!$B$4:$Q$4,0)-3)=""),OFFSET(Data!E810,0,MATCH('Delta Beta'!$C$5,Data!$B$4:$Q$4,0)-3),#N/A)-$C$8/250</f>
        <v>#N/A</v>
      </c>
      <c r="M807" s="394" t="e">
        <f ca="1">IF(NOT(OFFSET(Data!E810,0,MATCH('Delta Beta'!$C$5,Data!$B$4:$Q$4,0)-1)=""),OFFSET(Data!E810,0,MATCH('Delta Beta'!$C$5,Data!$B$4:$Q$4,0)-1),#N/A)-$C$8/250</f>
        <v>#N/A</v>
      </c>
      <c r="N807" s="395"/>
      <c r="R807" s="391"/>
    </row>
    <row r="808" spans="12:18">
      <c r="L808" s="394" t="e">
        <f ca="1">IF(NOT(OFFSET(Data!E811,0,MATCH('Delta Beta'!$C$5,Data!$B$4:$Q$4,0)-3)=""),OFFSET(Data!E811,0,MATCH('Delta Beta'!$C$5,Data!$B$4:$Q$4,0)-3),#N/A)-$C$8/250</f>
        <v>#N/A</v>
      </c>
      <c r="M808" s="394" t="e">
        <f ca="1">IF(NOT(OFFSET(Data!E811,0,MATCH('Delta Beta'!$C$5,Data!$B$4:$Q$4,0)-1)=""),OFFSET(Data!E811,0,MATCH('Delta Beta'!$C$5,Data!$B$4:$Q$4,0)-1),#N/A)-$C$8/250</f>
        <v>#N/A</v>
      </c>
      <c r="N808" s="395"/>
      <c r="R808" s="391"/>
    </row>
    <row r="809" spans="12:18">
      <c r="L809" s="394" t="e">
        <f ca="1">IF(NOT(OFFSET(Data!E812,0,MATCH('Delta Beta'!$C$5,Data!$B$4:$Q$4,0)-3)=""),OFFSET(Data!E812,0,MATCH('Delta Beta'!$C$5,Data!$B$4:$Q$4,0)-3),#N/A)-$C$8/250</f>
        <v>#N/A</v>
      </c>
      <c r="M809" s="394" t="e">
        <f ca="1">IF(NOT(OFFSET(Data!E812,0,MATCH('Delta Beta'!$C$5,Data!$B$4:$Q$4,0)-1)=""),OFFSET(Data!E812,0,MATCH('Delta Beta'!$C$5,Data!$B$4:$Q$4,0)-1),#N/A)-$C$8/250</f>
        <v>#N/A</v>
      </c>
      <c r="N809" s="395"/>
      <c r="R809" s="391"/>
    </row>
    <row r="810" spans="12:18">
      <c r="L810" s="394" t="e">
        <f ca="1">IF(NOT(OFFSET(Data!E813,0,MATCH('Delta Beta'!$C$5,Data!$B$4:$Q$4,0)-3)=""),OFFSET(Data!E813,0,MATCH('Delta Beta'!$C$5,Data!$B$4:$Q$4,0)-3),#N/A)-$C$8/250</f>
        <v>#N/A</v>
      </c>
      <c r="M810" s="394" t="e">
        <f ca="1">IF(NOT(OFFSET(Data!E813,0,MATCH('Delta Beta'!$C$5,Data!$B$4:$Q$4,0)-1)=""),OFFSET(Data!E813,0,MATCH('Delta Beta'!$C$5,Data!$B$4:$Q$4,0)-1),#N/A)-$C$8/250</f>
        <v>#N/A</v>
      </c>
      <c r="N810" s="395"/>
      <c r="R810" s="391"/>
    </row>
    <row r="811" spans="12:18">
      <c r="L811" s="394" t="e">
        <f ca="1">IF(NOT(OFFSET(Data!E814,0,MATCH('Delta Beta'!$C$5,Data!$B$4:$Q$4,0)-3)=""),OFFSET(Data!E814,0,MATCH('Delta Beta'!$C$5,Data!$B$4:$Q$4,0)-3),#N/A)-$C$8/250</f>
        <v>#N/A</v>
      </c>
      <c r="M811" s="394" t="e">
        <f ca="1">IF(NOT(OFFSET(Data!E814,0,MATCH('Delta Beta'!$C$5,Data!$B$4:$Q$4,0)-1)=""),OFFSET(Data!E814,0,MATCH('Delta Beta'!$C$5,Data!$B$4:$Q$4,0)-1),#N/A)-$C$8/250</f>
        <v>#N/A</v>
      </c>
      <c r="N811" s="395"/>
      <c r="R811" s="391"/>
    </row>
    <row r="812" spans="12:18">
      <c r="L812" s="394" t="e">
        <f ca="1">IF(NOT(OFFSET(Data!E815,0,MATCH('Delta Beta'!$C$5,Data!$B$4:$Q$4,0)-3)=""),OFFSET(Data!E815,0,MATCH('Delta Beta'!$C$5,Data!$B$4:$Q$4,0)-3),#N/A)-$C$8/250</f>
        <v>#N/A</v>
      </c>
      <c r="M812" s="394" t="e">
        <f ca="1">IF(NOT(OFFSET(Data!E815,0,MATCH('Delta Beta'!$C$5,Data!$B$4:$Q$4,0)-1)=""),OFFSET(Data!E815,0,MATCH('Delta Beta'!$C$5,Data!$B$4:$Q$4,0)-1),#N/A)-$C$8/250</f>
        <v>#N/A</v>
      </c>
      <c r="N812" s="395"/>
      <c r="R812" s="391"/>
    </row>
    <row r="813" spans="12:18">
      <c r="L813" s="394" t="e">
        <f ca="1">IF(NOT(OFFSET(Data!E816,0,MATCH('Delta Beta'!$C$5,Data!$B$4:$Q$4,0)-3)=""),OFFSET(Data!E816,0,MATCH('Delta Beta'!$C$5,Data!$B$4:$Q$4,0)-3),#N/A)-$C$8/250</f>
        <v>#N/A</v>
      </c>
      <c r="M813" s="394" t="e">
        <f ca="1">IF(NOT(OFFSET(Data!E816,0,MATCH('Delta Beta'!$C$5,Data!$B$4:$Q$4,0)-1)=""),OFFSET(Data!E816,0,MATCH('Delta Beta'!$C$5,Data!$B$4:$Q$4,0)-1),#N/A)-$C$8/250</f>
        <v>#N/A</v>
      </c>
      <c r="N813" s="395"/>
      <c r="R813" s="391"/>
    </row>
    <row r="814" spans="12:18">
      <c r="L814" s="394" t="e">
        <f ca="1">IF(NOT(OFFSET(Data!E817,0,MATCH('Delta Beta'!$C$5,Data!$B$4:$Q$4,0)-3)=""),OFFSET(Data!E817,0,MATCH('Delta Beta'!$C$5,Data!$B$4:$Q$4,0)-3),#N/A)-$C$8/250</f>
        <v>#N/A</v>
      </c>
      <c r="M814" s="394" t="e">
        <f ca="1">IF(NOT(OFFSET(Data!E817,0,MATCH('Delta Beta'!$C$5,Data!$B$4:$Q$4,0)-1)=""),OFFSET(Data!E817,0,MATCH('Delta Beta'!$C$5,Data!$B$4:$Q$4,0)-1),#N/A)-$C$8/250</f>
        <v>#N/A</v>
      </c>
      <c r="N814" s="395"/>
      <c r="R814" s="391"/>
    </row>
    <row r="815" spans="12:18">
      <c r="L815" s="394" t="e">
        <f ca="1">IF(NOT(OFFSET(Data!E818,0,MATCH('Delta Beta'!$C$5,Data!$B$4:$Q$4,0)-3)=""),OFFSET(Data!E818,0,MATCH('Delta Beta'!$C$5,Data!$B$4:$Q$4,0)-3),#N/A)-$C$8/250</f>
        <v>#N/A</v>
      </c>
      <c r="M815" s="394" t="e">
        <f ca="1">IF(NOT(OFFSET(Data!E818,0,MATCH('Delta Beta'!$C$5,Data!$B$4:$Q$4,0)-1)=""),OFFSET(Data!E818,0,MATCH('Delta Beta'!$C$5,Data!$B$4:$Q$4,0)-1),#N/A)-$C$8/250</f>
        <v>#N/A</v>
      </c>
      <c r="N815" s="395"/>
      <c r="R815" s="391"/>
    </row>
    <row r="816" spans="12:18">
      <c r="L816" s="394" t="e">
        <f ca="1">IF(NOT(OFFSET(Data!E819,0,MATCH('Delta Beta'!$C$5,Data!$B$4:$Q$4,0)-3)=""),OFFSET(Data!E819,0,MATCH('Delta Beta'!$C$5,Data!$B$4:$Q$4,0)-3),#N/A)-$C$8/250</f>
        <v>#N/A</v>
      </c>
      <c r="M816" s="394" t="e">
        <f ca="1">IF(NOT(OFFSET(Data!E819,0,MATCH('Delta Beta'!$C$5,Data!$B$4:$Q$4,0)-1)=""),OFFSET(Data!E819,0,MATCH('Delta Beta'!$C$5,Data!$B$4:$Q$4,0)-1),#N/A)-$C$8/250</f>
        <v>#N/A</v>
      </c>
      <c r="N816" s="395"/>
      <c r="R816" s="391"/>
    </row>
    <row r="817" spans="12:18">
      <c r="L817" s="394" t="e">
        <f ca="1">IF(NOT(OFFSET(Data!E820,0,MATCH('Delta Beta'!$C$5,Data!$B$4:$Q$4,0)-3)=""),OFFSET(Data!E820,0,MATCH('Delta Beta'!$C$5,Data!$B$4:$Q$4,0)-3),#N/A)-$C$8/250</f>
        <v>#N/A</v>
      </c>
      <c r="M817" s="394" t="e">
        <f ca="1">IF(NOT(OFFSET(Data!E820,0,MATCH('Delta Beta'!$C$5,Data!$B$4:$Q$4,0)-1)=""),OFFSET(Data!E820,0,MATCH('Delta Beta'!$C$5,Data!$B$4:$Q$4,0)-1),#N/A)-$C$8/250</f>
        <v>#N/A</v>
      </c>
      <c r="N817" s="395"/>
      <c r="R817" s="391"/>
    </row>
    <row r="818" spans="12:18">
      <c r="L818" s="394" t="e">
        <f ca="1">IF(NOT(OFFSET(Data!E821,0,MATCH('Delta Beta'!$C$5,Data!$B$4:$Q$4,0)-3)=""),OFFSET(Data!E821,0,MATCH('Delta Beta'!$C$5,Data!$B$4:$Q$4,0)-3),#N/A)-$C$8/250</f>
        <v>#N/A</v>
      </c>
      <c r="M818" s="394" t="e">
        <f ca="1">IF(NOT(OFFSET(Data!E821,0,MATCH('Delta Beta'!$C$5,Data!$B$4:$Q$4,0)-1)=""),OFFSET(Data!E821,0,MATCH('Delta Beta'!$C$5,Data!$B$4:$Q$4,0)-1),#N/A)-$C$8/250</f>
        <v>#N/A</v>
      </c>
      <c r="N818" s="395"/>
      <c r="R818" s="391"/>
    </row>
    <row r="819" spans="12:18">
      <c r="L819" s="394" t="e">
        <f ca="1">IF(NOT(OFFSET(Data!E822,0,MATCH('Delta Beta'!$C$5,Data!$B$4:$Q$4,0)-3)=""),OFFSET(Data!E822,0,MATCH('Delta Beta'!$C$5,Data!$B$4:$Q$4,0)-3),#N/A)-$C$8/250</f>
        <v>#N/A</v>
      </c>
      <c r="M819" s="394" t="e">
        <f ca="1">IF(NOT(OFFSET(Data!E822,0,MATCH('Delta Beta'!$C$5,Data!$B$4:$Q$4,0)-1)=""),OFFSET(Data!E822,0,MATCH('Delta Beta'!$C$5,Data!$B$4:$Q$4,0)-1),#N/A)-$C$8/250</f>
        <v>#N/A</v>
      </c>
      <c r="N819" s="395"/>
      <c r="R819" s="391"/>
    </row>
    <row r="820" spans="12:18">
      <c r="L820" s="394" t="e">
        <f ca="1">IF(NOT(OFFSET(Data!E823,0,MATCH('Delta Beta'!$C$5,Data!$B$4:$Q$4,0)-3)=""),OFFSET(Data!E823,0,MATCH('Delta Beta'!$C$5,Data!$B$4:$Q$4,0)-3),#N/A)-$C$8/250</f>
        <v>#N/A</v>
      </c>
      <c r="M820" s="394" t="e">
        <f ca="1">IF(NOT(OFFSET(Data!E823,0,MATCH('Delta Beta'!$C$5,Data!$B$4:$Q$4,0)-1)=""),OFFSET(Data!E823,0,MATCH('Delta Beta'!$C$5,Data!$B$4:$Q$4,0)-1),#N/A)-$C$8/250</f>
        <v>#N/A</v>
      </c>
      <c r="N820" s="395"/>
      <c r="R820" s="391"/>
    </row>
    <row r="821" spans="12:18">
      <c r="L821" s="394" t="e">
        <f ca="1">IF(NOT(OFFSET(Data!E824,0,MATCH('Delta Beta'!$C$5,Data!$B$4:$Q$4,0)-3)=""),OFFSET(Data!E824,0,MATCH('Delta Beta'!$C$5,Data!$B$4:$Q$4,0)-3),#N/A)-$C$8/250</f>
        <v>#N/A</v>
      </c>
      <c r="M821" s="394" t="e">
        <f ca="1">IF(NOT(OFFSET(Data!E824,0,MATCH('Delta Beta'!$C$5,Data!$B$4:$Q$4,0)-1)=""),OFFSET(Data!E824,0,MATCH('Delta Beta'!$C$5,Data!$B$4:$Q$4,0)-1),#N/A)-$C$8/250</f>
        <v>#N/A</v>
      </c>
      <c r="N821" s="395"/>
      <c r="R821" s="391"/>
    </row>
    <row r="822" spans="12:18">
      <c r="L822" s="394" t="e">
        <f ca="1">IF(NOT(OFFSET(Data!E825,0,MATCH('Delta Beta'!$C$5,Data!$B$4:$Q$4,0)-3)=""),OFFSET(Data!E825,0,MATCH('Delta Beta'!$C$5,Data!$B$4:$Q$4,0)-3),#N/A)-$C$8/250</f>
        <v>#N/A</v>
      </c>
      <c r="M822" s="394" t="e">
        <f ca="1">IF(NOT(OFFSET(Data!E825,0,MATCH('Delta Beta'!$C$5,Data!$B$4:$Q$4,0)-1)=""),OFFSET(Data!E825,0,MATCH('Delta Beta'!$C$5,Data!$B$4:$Q$4,0)-1),#N/A)-$C$8/250</f>
        <v>#N/A</v>
      </c>
      <c r="N822" s="395"/>
      <c r="R822" s="391"/>
    </row>
    <row r="823" spans="12:18">
      <c r="L823" s="394" t="e">
        <f ca="1">IF(NOT(OFFSET(Data!E826,0,MATCH('Delta Beta'!$C$5,Data!$B$4:$Q$4,0)-3)=""),OFFSET(Data!E826,0,MATCH('Delta Beta'!$C$5,Data!$B$4:$Q$4,0)-3),#N/A)-$C$8/250</f>
        <v>#N/A</v>
      </c>
      <c r="M823" s="394" t="e">
        <f ca="1">IF(NOT(OFFSET(Data!E826,0,MATCH('Delta Beta'!$C$5,Data!$B$4:$Q$4,0)-1)=""),OFFSET(Data!E826,0,MATCH('Delta Beta'!$C$5,Data!$B$4:$Q$4,0)-1),#N/A)-$C$8/250</f>
        <v>#N/A</v>
      </c>
      <c r="N823" s="395"/>
      <c r="R823" s="391"/>
    </row>
    <row r="824" spans="12:18">
      <c r="L824" s="394" t="e">
        <f ca="1">IF(NOT(OFFSET(Data!E827,0,MATCH('Delta Beta'!$C$5,Data!$B$4:$Q$4,0)-3)=""),OFFSET(Data!E827,0,MATCH('Delta Beta'!$C$5,Data!$B$4:$Q$4,0)-3),#N/A)-$C$8/250</f>
        <v>#N/A</v>
      </c>
      <c r="M824" s="394" t="e">
        <f ca="1">IF(NOT(OFFSET(Data!E827,0,MATCH('Delta Beta'!$C$5,Data!$B$4:$Q$4,0)-1)=""),OFFSET(Data!E827,0,MATCH('Delta Beta'!$C$5,Data!$B$4:$Q$4,0)-1),#N/A)-$C$8/250</f>
        <v>#N/A</v>
      </c>
      <c r="N824" s="395"/>
      <c r="R824" s="391"/>
    </row>
    <row r="825" spans="12:18">
      <c r="L825" s="394" t="e">
        <f ca="1">IF(NOT(OFFSET(Data!E828,0,MATCH('Delta Beta'!$C$5,Data!$B$4:$Q$4,0)-3)=""),OFFSET(Data!E828,0,MATCH('Delta Beta'!$C$5,Data!$B$4:$Q$4,0)-3),#N/A)-$C$8/250</f>
        <v>#N/A</v>
      </c>
      <c r="M825" s="394" t="e">
        <f ca="1">IF(NOT(OFFSET(Data!E828,0,MATCH('Delta Beta'!$C$5,Data!$B$4:$Q$4,0)-1)=""),OFFSET(Data!E828,0,MATCH('Delta Beta'!$C$5,Data!$B$4:$Q$4,0)-1),#N/A)-$C$8/250</f>
        <v>#N/A</v>
      </c>
      <c r="N825" s="395"/>
      <c r="R825" s="391"/>
    </row>
    <row r="826" spans="12:18">
      <c r="L826" s="394" t="e">
        <f ca="1">IF(NOT(OFFSET(Data!E829,0,MATCH('Delta Beta'!$C$5,Data!$B$4:$Q$4,0)-3)=""),OFFSET(Data!E829,0,MATCH('Delta Beta'!$C$5,Data!$B$4:$Q$4,0)-3),#N/A)-$C$8/250</f>
        <v>#N/A</v>
      </c>
      <c r="M826" s="394" t="e">
        <f ca="1">IF(NOT(OFFSET(Data!E829,0,MATCH('Delta Beta'!$C$5,Data!$B$4:$Q$4,0)-1)=""),OFFSET(Data!E829,0,MATCH('Delta Beta'!$C$5,Data!$B$4:$Q$4,0)-1),#N/A)-$C$8/250</f>
        <v>#N/A</v>
      </c>
      <c r="N826" s="395"/>
      <c r="R826" s="391"/>
    </row>
    <row r="827" spans="12:18">
      <c r="L827" s="394" t="e">
        <f ca="1">IF(NOT(OFFSET(Data!E830,0,MATCH('Delta Beta'!$C$5,Data!$B$4:$Q$4,0)-3)=""),OFFSET(Data!E830,0,MATCH('Delta Beta'!$C$5,Data!$B$4:$Q$4,0)-3),#N/A)-$C$8/250</f>
        <v>#N/A</v>
      </c>
      <c r="M827" s="394" t="e">
        <f ca="1">IF(NOT(OFFSET(Data!E830,0,MATCH('Delta Beta'!$C$5,Data!$B$4:$Q$4,0)-1)=""),OFFSET(Data!E830,0,MATCH('Delta Beta'!$C$5,Data!$B$4:$Q$4,0)-1),#N/A)-$C$8/250</f>
        <v>#N/A</v>
      </c>
      <c r="N827" s="395"/>
      <c r="R827" s="391"/>
    </row>
    <row r="828" spans="12:18">
      <c r="L828" s="394" t="e">
        <f ca="1">IF(NOT(OFFSET(Data!E831,0,MATCH('Delta Beta'!$C$5,Data!$B$4:$Q$4,0)-3)=""),OFFSET(Data!E831,0,MATCH('Delta Beta'!$C$5,Data!$B$4:$Q$4,0)-3),#N/A)-$C$8/250</f>
        <v>#N/A</v>
      </c>
      <c r="M828" s="394" t="e">
        <f ca="1">IF(NOT(OFFSET(Data!E831,0,MATCH('Delta Beta'!$C$5,Data!$B$4:$Q$4,0)-1)=""),OFFSET(Data!E831,0,MATCH('Delta Beta'!$C$5,Data!$B$4:$Q$4,0)-1),#N/A)-$C$8/250</f>
        <v>#N/A</v>
      </c>
      <c r="N828" s="395"/>
      <c r="R828" s="391"/>
    </row>
    <row r="829" spans="12:18">
      <c r="L829" s="394" t="e">
        <f ca="1">IF(NOT(OFFSET(Data!E832,0,MATCH('Delta Beta'!$C$5,Data!$B$4:$Q$4,0)-3)=""),OFFSET(Data!E832,0,MATCH('Delta Beta'!$C$5,Data!$B$4:$Q$4,0)-3),#N/A)-$C$8/250</f>
        <v>#N/A</v>
      </c>
      <c r="M829" s="394" t="e">
        <f ca="1">IF(NOT(OFFSET(Data!E832,0,MATCH('Delta Beta'!$C$5,Data!$B$4:$Q$4,0)-1)=""),OFFSET(Data!E832,0,MATCH('Delta Beta'!$C$5,Data!$B$4:$Q$4,0)-1),#N/A)-$C$8/250</f>
        <v>#N/A</v>
      </c>
      <c r="N829" s="395"/>
      <c r="R829" s="391"/>
    </row>
    <row r="830" spans="12:18">
      <c r="L830" s="394" t="e">
        <f ca="1">IF(NOT(OFFSET(Data!E833,0,MATCH('Delta Beta'!$C$5,Data!$B$4:$Q$4,0)-3)=""),OFFSET(Data!E833,0,MATCH('Delta Beta'!$C$5,Data!$B$4:$Q$4,0)-3),#N/A)-$C$8/250</f>
        <v>#N/A</v>
      </c>
      <c r="M830" s="394" t="e">
        <f ca="1">IF(NOT(OFFSET(Data!E833,0,MATCH('Delta Beta'!$C$5,Data!$B$4:$Q$4,0)-1)=""),OFFSET(Data!E833,0,MATCH('Delta Beta'!$C$5,Data!$B$4:$Q$4,0)-1),#N/A)-$C$8/250</f>
        <v>#N/A</v>
      </c>
      <c r="N830" s="395"/>
      <c r="R830" s="391"/>
    </row>
    <row r="831" spans="12:18">
      <c r="L831" s="394" t="e">
        <f ca="1">IF(NOT(OFFSET(Data!E834,0,MATCH('Delta Beta'!$C$5,Data!$B$4:$Q$4,0)-3)=""),OFFSET(Data!E834,0,MATCH('Delta Beta'!$C$5,Data!$B$4:$Q$4,0)-3),#N/A)-$C$8/250</f>
        <v>#N/A</v>
      </c>
      <c r="M831" s="394" t="e">
        <f ca="1">IF(NOT(OFFSET(Data!E834,0,MATCH('Delta Beta'!$C$5,Data!$B$4:$Q$4,0)-1)=""),OFFSET(Data!E834,0,MATCH('Delta Beta'!$C$5,Data!$B$4:$Q$4,0)-1),#N/A)-$C$8/250</f>
        <v>#N/A</v>
      </c>
      <c r="N831" s="395"/>
      <c r="R831" s="391"/>
    </row>
    <row r="832" spans="12:18">
      <c r="L832" s="394" t="e">
        <f ca="1">IF(NOT(OFFSET(Data!E835,0,MATCH('Delta Beta'!$C$5,Data!$B$4:$Q$4,0)-3)=""),OFFSET(Data!E835,0,MATCH('Delta Beta'!$C$5,Data!$B$4:$Q$4,0)-3),#N/A)-$C$8/250</f>
        <v>#N/A</v>
      </c>
      <c r="M832" s="394" t="e">
        <f ca="1">IF(NOT(OFFSET(Data!E835,0,MATCH('Delta Beta'!$C$5,Data!$B$4:$Q$4,0)-1)=""),OFFSET(Data!E835,0,MATCH('Delta Beta'!$C$5,Data!$B$4:$Q$4,0)-1),#N/A)-$C$8/250</f>
        <v>#N/A</v>
      </c>
      <c r="N832" s="395"/>
      <c r="R832" s="391"/>
    </row>
    <row r="833" spans="12:18">
      <c r="L833" s="394" t="e">
        <f ca="1">IF(NOT(OFFSET(Data!E836,0,MATCH('Delta Beta'!$C$5,Data!$B$4:$Q$4,0)-3)=""),OFFSET(Data!E836,0,MATCH('Delta Beta'!$C$5,Data!$B$4:$Q$4,0)-3),#N/A)-$C$8/250</f>
        <v>#N/A</v>
      </c>
      <c r="M833" s="394" t="e">
        <f ca="1">IF(NOT(OFFSET(Data!E836,0,MATCH('Delta Beta'!$C$5,Data!$B$4:$Q$4,0)-1)=""),OFFSET(Data!E836,0,MATCH('Delta Beta'!$C$5,Data!$B$4:$Q$4,0)-1),#N/A)-$C$8/250</f>
        <v>#N/A</v>
      </c>
      <c r="N833" s="395"/>
      <c r="R833" s="391"/>
    </row>
    <row r="834" spans="12:18">
      <c r="L834" s="394" t="e">
        <f ca="1">IF(NOT(OFFSET(Data!E837,0,MATCH('Delta Beta'!$C$5,Data!$B$4:$Q$4,0)-3)=""),OFFSET(Data!E837,0,MATCH('Delta Beta'!$C$5,Data!$B$4:$Q$4,0)-3),#N/A)-$C$8/250</f>
        <v>#N/A</v>
      </c>
      <c r="M834" s="394" t="e">
        <f ca="1">IF(NOT(OFFSET(Data!E837,0,MATCH('Delta Beta'!$C$5,Data!$B$4:$Q$4,0)-1)=""),OFFSET(Data!E837,0,MATCH('Delta Beta'!$C$5,Data!$B$4:$Q$4,0)-1),#N/A)-$C$8/250</f>
        <v>#N/A</v>
      </c>
      <c r="N834" s="395"/>
      <c r="R834" s="391"/>
    </row>
    <row r="835" spans="12:18">
      <c r="L835" s="394" t="e">
        <f ca="1">IF(NOT(OFFSET(Data!E838,0,MATCH('Delta Beta'!$C$5,Data!$B$4:$Q$4,0)-3)=""),OFFSET(Data!E838,0,MATCH('Delta Beta'!$C$5,Data!$B$4:$Q$4,0)-3),#N/A)-$C$8/250</f>
        <v>#N/A</v>
      </c>
      <c r="M835" s="394" t="e">
        <f ca="1">IF(NOT(OFFSET(Data!E838,0,MATCH('Delta Beta'!$C$5,Data!$B$4:$Q$4,0)-1)=""),OFFSET(Data!E838,0,MATCH('Delta Beta'!$C$5,Data!$B$4:$Q$4,0)-1),#N/A)-$C$8/250</f>
        <v>#N/A</v>
      </c>
      <c r="N835" s="395"/>
      <c r="R835" s="391"/>
    </row>
    <row r="836" spans="12:18">
      <c r="L836" s="394" t="e">
        <f ca="1">IF(NOT(OFFSET(Data!E839,0,MATCH('Delta Beta'!$C$5,Data!$B$4:$Q$4,0)-3)=""),OFFSET(Data!E839,0,MATCH('Delta Beta'!$C$5,Data!$B$4:$Q$4,0)-3),#N/A)-$C$8/250</f>
        <v>#N/A</v>
      </c>
      <c r="M836" s="394" t="e">
        <f ca="1">IF(NOT(OFFSET(Data!E839,0,MATCH('Delta Beta'!$C$5,Data!$B$4:$Q$4,0)-1)=""),OFFSET(Data!E839,0,MATCH('Delta Beta'!$C$5,Data!$B$4:$Q$4,0)-1),#N/A)-$C$8/250</f>
        <v>#N/A</v>
      </c>
      <c r="N836" s="395"/>
      <c r="R836" s="391"/>
    </row>
    <row r="837" spans="12:18">
      <c r="L837" s="394" t="e">
        <f ca="1">IF(NOT(OFFSET(Data!E840,0,MATCH('Delta Beta'!$C$5,Data!$B$4:$Q$4,0)-3)=""),OFFSET(Data!E840,0,MATCH('Delta Beta'!$C$5,Data!$B$4:$Q$4,0)-3),#N/A)-$C$8/250</f>
        <v>#N/A</v>
      </c>
      <c r="M837" s="394" t="e">
        <f ca="1">IF(NOT(OFFSET(Data!E840,0,MATCH('Delta Beta'!$C$5,Data!$B$4:$Q$4,0)-1)=""),OFFSET(Data!E840,0,MATCH('Delta Beta'!$C$5,Data!$B$4:$Q$4,0)-1),#N/A)-$C$8/250</f>
        <v>#N/A</v>
      </c>
      <c r="N837" s="395"/>
      <c r="R837" s="391"/>
    </row>
    <row r="838" spans="12:18">
      <c r="L838" s="394" t="e">
        <f ca="1">IF(NOT(OFFSET(Data!E841,0,MATCH('Delta Beta'!$C$5,Data!$B$4:$Q$4,0)-3)=""),OFFSET(Data!E841,0,MATCH('Delta Beta'!$C$5,Data!$B$4:$Q$4,0)-3),#N/A)-$C$8/250</f>
        <v>#N/A</v>
      </c>
      <c r="M838" s="394" t="e">
        <f ca="1">IF(NOT(OFFSET(Data!E841,0,MATCH('Delta Beta'!$C$5,Data!$B$4:$Q$4,0)-1)=""),OFFSET(Data!E841,0,MATCH('Delta Beta'!$C$5,Data!$B$4:$Q$4,0)-1),#N/A)-$C$8/250</f>
        <v>#N/A</v>
      </c>
      <c r="N838" s="395"/>
      <c r="R838" s="391"/>
    </row>
    <row r="839" spans="12:18">
      <c r="L839" s="394" t="e">
        <f ca="1">IF(NOT(OFFSET(Data!E842,0,MATCH('Delta Beta'!$C$5,Data!$B$4:$Q$4,0)-3)=""),OFFSET(Data!E842,0,MATCH('Delta Beta'!$C$5,Data!$B$4:$Q$4,0)-3),#N/A)-$C$8/250</f>
        <v>#N/A</v>
      </c>
      <c r="M839" s="394" t="e">
        <f ca="1">IF(NOT(OFFSET(Data!E842,0,MATCH('Delta Beta'!$C$5,Data!$B$4:$Q$4,0)-1)=""),OFFSET(Data!E842,0,MATCH('Delta Beta'!$C$5,Data!$B$4:$Q$4,0)-1),#N/A)-$C$8/250</f>
        <v>#N/A</v>
      </c>
      <c r="N839" s="395"/>
      <c r="R839" s="391"/>
    </row>
    <row r="840" spans="12:18">
      <c r="L840" s="394" t="e">
        <f ca="1">IF(NOT(OFFSET(Data!E843,0,MATCH('Delta Beta'!$C$5,Data!$B$4:$Q$4,0)-3)=""),OFFSET(Data!E843,0,MATCH('Delta Beta'!$C$5,Data!$B$4:$Q$4,0)-3),#N/A)-$C$8/250</f>
        <v>#N/A</v>
      </c>
      <c r="M840" s="394" t="e">
        <f ca="1">IF(NOT(OFFSET(Data!E843,0,MATCH('Delta Beta'!$C$5,Data!$B$4:$Q$4,0)-1)=""),OFFSET(Data!E843,0,MATCH('Delta Beta'!$C$5,Data!$B$4:$Q$4,0)-1),#N/A)-$C$8/250</f>
        <v>#N/A</v>
      </c>
      <c r="N840" s="395"/>
      <c r="R840" s="391"/>
    </row>
    <row r="841" spans="12:18">
      <c r="L841" s="394" t="e">
        <f ca="1">IF(NOT(OFFSET(Data!E844,0,MATCH('Delta Beta'!$C$5,Data!$B$4:$Q$4,0)-3)=""),OFFSET(Data!E844,0,MATCH('Delta Beta'!$C$5,Data!$B$4:$Q$4,0)-3),#N/A)-$C$8/250</f>
        <v>#N/A</v>
      </c>
      <c r="M841" s="394" t="e">
        <f ca="1">IF(NOT(OFFSET(Data!E844,0,MATCH('Delta Beta'!$C$5,Data!$B$4:$Q$4,0)-1)=""),OFFSET(Data!E844,0,MATCH('Delta Beta'!$C$5,Data!$B$4:$Q$4,0)-1),#N/A)-$C$8/250</f>
        <v>#N/A</v>
      </c>
      <c r="N841" s="395"/>
      <c r="R841" s="391"/>
    </row>
    <row r="842" spans="12:18">
      <c r="L842" s="394" t="e">
        <f ca="1">IF(NOT(OFFSET(Data!E845,0,MATCH('Delta Beta'!$C$5,Data!$B$4:$Q$4,0)-3)=""),OFFSET(Data!E845,0,MATCH('Delta Beta'!$C$5,Data!$B$4:$Q$4,0)-3),#N/A)-$C$8/250</f>
        <v>#N/A</v>
      </c>
      <c r="M842" s="394" t="e">
        <f ca="1">IF(NOT(OFFSET(Data!E845,0,MATCH('Delta Beta'!$C$5,Data!$B$4:$Q$4,0)-1)=""),OFFSET(Data!E845,0,MATCH('Delta Beta'!$C$5,Data!$B$4:$Q$4,0)-1),#N/A)-$C$8/250</f>
        <v>#N/A</v>
      </c>
      <c r="N842" s="395"/>
      <c r="R842" s="391"/>
    </row>
    <row r="843" spans="12:18">
      <c r="L843" s="394" t="e">
        <f ca="1">IF(NOT(OFFSET(Data!E846,0,MATCH('Delta Beta'!$C$5,Data!$B$4:$Q$4,0)-3)=""),OFFSET(Data!E846,0,MATCH('Delta Beta'!$C$5,Data!$B$4:$Q$4,0)-3),#N/A)-$C$8/250</f>
        <v>#N/A</v>
      </c>
      <c r="M843" s="394" t="e">
        <f ca="1">IF(NOT(OFFSET(Data!E846,0,MATCH('Delta Beta'!$C$5,Data!$B$4:$Q$4,0)-1)=""),OFFSET(Data!E846,0,MATCH('Delta Beta'!$C$5,Data!$B$4:$Q$4,0)-1),#N/A)-$C$8/250</f>
        <v>#N/A</v>
      </c>
      <c r="N843" s="395"/>
      <c r="R843" s="391"/>
    </row>
    <row r="844" spans="12:18">
      <c r="L844" s="394" t="e">
        <f ca="1">IF(NOT(OFFSET(Data!E847,0,MATCH('Delta Beta'!$C$5,Data!$B$4:$Q$4,0)-3)=""),OFFSET(Data!E847,0,MATCH('Delta Beta'!$C$5,Data!$B$4:$Q$4,0)-3),#N/A)-$C$8/250</f>
        <v>#N/A</v>
      </c>
      <c r="M844" s="394" t="e">
        <f ca="1">IF(NOT(OFFSET(Data!E847,0,MATCH('Delta Beta'!$C$5,Data!$B$4:$Q$4,0)-1)=""),OFFSET(Data!E847,0,MATCH('Delta Beta'!$C$5,Data!$B$4:$Q$4,0)-1),#N/A)-$C$8/250</f>
        <v>#N/A</v>
      </c>
      <c r="N844" s="395"/>
      <c r="R844" s="391"/>
    </row>
    <row r="845" spans="12:18">
      <c r="L845" s="394" t="e">
        <f ca="1">IF(NOT(OFFSET(Data!E848,0,MATCH('Delta Beta'!$C$5,Data!$B$4:$Q$4,0)-3)=""),OFFSET(Data!E848,0,MATCH('Delta Beta'!$C$5,Data!$B$4:$Q$4,0)-3),#N/A)-$C$8/250</f>
        <v>#N/A</v>
      </c>
      <c r="M845" s="394" t="e">
        <f ca="1">IF(NOT(OFFSET(Data!E848,0,MATCH('Delta Beta'!$C$5,Data!$B$4:$Q$4,0)-1)=""),OFFSET(Data!E848,0,MATCH('Delta Beta'!$C$5,Data!$B$4:$Q$4,0)-1),#N/A)-$C$8/250</f>
        <v>#N/A</v>
      </c>
      <c r="N845" s="395"/>
      <c r="R845" s="391"/>
    </row>
    <row r="846" spans="12:18">
      <c r="L846" s="394" t="e">
        <f ca="1">IF(NOT(OFFSET(Data!E849,0,MATCH('Delta Beta'!$C$5,Data!$B$4:$Q$4,0)-3)=""),OFFSET(Data!E849,0,MATCH('Delta Beta'!$C$5,Data!$B$4:$Q$4,0)-3),#N/A)-$C$8/250</f>
        <v>#N/A</v>
      </c>
      <c r="M846" s="394" t="e">
        <f ca="1">IF(NOT(OFFSET(Data!E849,0,MATCH('Delta Beta'!$C$5,Data!$B$4:$Q$4,0)-1)=""),OFFSET(Data!E849,0,MATCH('Delta Beta'!$C$5,Data!$B$4:$Q$4,0)-1),#N/A)-$C$8/250</f>
        <v>#N/A</v>
      </c>
      <c r="N846" s="395"/>
      <c r="R846" s="391"/>
    </row>
    <row r="847" spans="12:18">
      <c r="L847" s="394" t="e">
        <f ca="1">IF(NOT(OFFSET(Data!E850,0,MATCH('Delta Beta'!$C$5,Data!$B$4:$Q$4,0)-3)=""),OFFSET(Data!E850,0,MATCH('Delta Beta'!$C$5,Data!$B$4:$Q$4,0)-3),#N/A)-$C$8/250</f>
        <v>#N/A</v>
      </c>
      <c r="M847" s="394" t="e">
        <f ca="1">IF(NOT(OFFSET(Data!E850,0,MATCH('Delta Beta'!$C$5,Data!$B$4:$Q$4,0)-1)=""),OFFSET(Data!E850,0,MATCH('Delta Beta'!$C$5,Data!$B$4:$Q$4,0)-1),#N/A)-$C$8/250</f>
        <v>#N/A</v>
      </c>
      <c r="N847" s="395"/>
      <c r="R847" s="391"/>
    </row>
    <row r="848" spans="12:18">
      <c r="L848" s="394" t="e">
        <f ca="1">IF(NOT(OFFSET(Data!E851,0,MATCH('Delta Beta'!$C$5,Data!$B$4:$Q$4,0)-3)=""),OFFSET(Data!E851,0,MATCH('Delta Beta'!$C$5,Data!$B$4:$Q$4,0)-3),#N/A)-$C$8/250</f>
        <v>#N/A</v>
      </c>
      <c r="M848" s="394" t="e">
        <f ca="1">IF(NOT(OFFSET(Data!E851,0,MATCH('Delta Beta'!$C$5,Data!$B$4:$Q$4,0)-1)=""),OFFSET(Data!E851,0,MATCH('Delta Beta'!$C$5,Data!$B$4:$Q$4,0)-1),#N/A)-$C$8/250</f>
        <v>#N/A</v>
      </c>
      <c r="N848" s="395"/>
      <c r="R848" s="391"/>
    </row>
    <row r="849" spans="12:18">
      <c r="L849" s="394" t="e">
        <f ca="1">IF(NOT(OFFSET(Data!E852,0,MATCH('Delta Beta'!$C$5,Data!$B$4:$Q$4,0)-3)=""),OFFSET(Data!E852,0,MATCH('Delta Beta'!$C$5,Data!$B$4:$Q$4,0)-3),#N/A)-$C$8/250</f>
        <v>#N/A</v>
      </c>
      <c r="M849" s="394" t="e">
        <f ca="1">IF(NOT(OFFSET(Data!E852,0,MATCH('Delta Beta'!$C$5,Data!$B$4:$Q$4,0)-1)=""),OFFSET(Data!E852,0,MATCH('Delta Beta'!$C$5,Data!$B$4:$Q$4,0)-1),#N/A)-$C$8/250</f>
        <v>#N/A</v>
      </c>
      <c r="N849" s="395"/>
      <c r="R849" s="391"/>
    </row>
    <row r="850" spans="12:18">
      <c r="L850" s="394" t="e">
        <f ca="1">IF(NOT(OFFSET(Data!E853,0,MATCH('Delta Beta'!$C$5,Data!$B$4:$Q$4,0)-3)=""),OFFSET(Data!E853,0,MATCH('Delta Beta'!$C$5,Data!$B$4:$Q$4,0)-3),#N/A)-$C$8/250</f>
        <v>#N/A</v>
      </c>
      <c r="M850" s="394" t="e">
        <f ca="1">IF(NOT(OFFSET(Data!E853,0,MATCH('Delta Beta'!$C$5,Data!$B$4:$Q$4,0)-1)=""),OFFSET(Data!E853,0,MATCH('Delta Beta'!$C$5,Data!$B$4:$Q$4,0)-1),#N/A)-$C$8/250</f>
        <v>#N/A</v>
      </c>
      <c r="N850" s="395"/>
      <c r="R850" s="391"/>
    </row>
    <row r="851" spans="12:18">
      <c r="L851" s="394" t="e">
        <f ca="1">IF(NOT(OFFSET(Data!E854,0,MATCH('Delta Beta'!$C$5,Data!$B$4:$Q$4,0)-3)=""),OFFSET(Data!E854,0,MATCH('Delta Beta'!$C$5,Data!$B$4:$Q$4,0)-3),#N/A)-$C$8/250</f>
        <v>#N/A</v>
      </c>
      <c r="M851" s="394" t="e">
        <f ca="1">IF(NOT(OFFSET(Data!E854,0,MATCH('Delta Beta'!$C$5,Data!$B$4:$Q$4,0)-1)=""),OFFSET(Data!E854,0,MATCH('Delta Beta'!$C$5,Data!$B$4:$Q$4,0)-1),#N/A)-$C$8/250</f>
        <v>#N/A</v>
      </c>
      <c r="N851" s="395"/>
      <c r="R851" s="391"/>
    </row>
    <row r="852" spans="12:18">
      <c r="L852" s="394" t="e">
        <f ca="1">IF(NOT(OFFSET(Data!E855,0,MATCH('Delta Beta'!$C$5,Data!$B$4:$Q$4,0)-3)=""),OFFSET(Data!E855,0,MATCH('Delta Beta'!$C$5,Data!$B$4:$Q$4,0)-3),#N/A)-$C$8/250</f>
        <v>#N/A</v>
      </c>
      <c r="M852" s="394" t="e">
        <f ca="1">IF(NOT(OFFSET(Data!E855,0,MATCH('Delta Beta'!$C$5,Data!$B$4:$Q$4,0)-1)=""),OFFSET(Data!E855,0,MATCH('Delta Beta'!$C$5,Data!$B$4:$Q$4,0)-1),#N/A)-$C$8/250</f>
        <v>#N/A</v>
      </c>
      <c r="N852" s="395"/>
      <c r="R852" s="391"/>
    </row>
    <row r="853" spans="12:18">
      <c r="L853" s="394" t="e">
        <f ca="1">IF(NOT(OFFSET(Data!E856,0,MATCH('Delta Beta'!$C$5,Data!$B$4:$Q$4,0)-3)=""),OFFSET(Data!E856,0,MATCH('Delta Beta'!$C$5,Data!$B$4:$Q$4,0)-3),#N/A)-$C$8/250</f>
        <v>#N/A</v>
      </c>
      <c r="M853" s="394" t="e">
        <f ca="1">IF(NOT(OFFSET(Data!E856,0,MATCH('Delta Beta'!$C$5,Data!$B$4:$Q$4,0)-1)=""),OFFSET(Data!E856,0,MATCH('Delta Beta'!$C$5,Data!$B$4:$Q$4,0)-1),#N/A)-$C$8/250</f>
        <v>#N/A</v>
      </c>
      <c r="N853" s="395"/>
      <c r="R853" s="391"/>
    </row>
    <row r="854" spans="12:18">
      <c r="L854" s="394" t="e">
        <f ca="1">IF(NOT(OFFSET(Data!E857,0,MATCH('Delta Beta'!$C$5,Data!$B$4:$Q$4,0)-3)=""),OFFSET(Data!E857,0,MATCH('Delta Beta'!$C$5,Data!$B$4:$Q$4,0)-3),#N/A)-$C$8/250</f>
        <v>#N/A</v>
      </c>
      <c r="M854" s="394" t="e">
        <f ca="1">IF(NOT(OFFSET(Data!E857,0,MATCH('Delta Beta'!$C$5,Data!$B$4:$Q$4,0)-1)=""),OFFSET(Data!E857,0,MATCH('Delta Beta'!$C$5,Data!$B$4:$Q$4,0)-1),#N/A)-$C$8/250</f>
        <v>#N/A</v>
      </c>
      <c r="N854" s="395"/>
      <c r="R854" s="391"/>
    </row>
    <row r="855" spans="12:18">
      <c r="L855" s="394" t="e">
        <f ca="1">IF(NOT(OFFSET(Data!E858,0,MATCH('Delta Beta'!$C$5,Data!$B$4:$Q$4,0)-3)=""),OFFSET(Data!E858,0,MATCH('Delta Beta'!$C$5,Data!$B$4:$Q$4,0)-3),#N/A)-$C$8/250</f>
        <v>#N/A</v>
      </c>
      <c r="M855" s="394" t="e">
        <f ca="1">IF(NOT(OFFSET(Data!E858,0,MATCH('Delta Beta'!$C$5,Data!$B$4:$Q$4,0)-1)=""),OFFSET(Data!E858,0,MATCH('Delta Beta'!$C$5,Data!$B$4:$Q$4,0)-1),#N/A)-$C$8/250</f>
        <v>#N/A</v>
      </c>
      <c r="N855" s="395"/>
      <c r="R855" s="391"/>
    </row>
    <row r="856" spans="12:18">
      <c r="L856" s="394" t="e">
        <f ca="1">IF(NOT(OFFSET(Data!E859,0,MATCH('Delta Beta'!$C$5,Data!$B$4:$Q$4,0)-3)=""),OFFSET(Data!E859,0,MATCH('Delta Beta'!$C$5,Data!$B$4:$Q$4,0)-3),#N/A)-$C$8/250</f>
        <v>#N/A</v>
      </c>
      <c r="M856" s="394" t="e">
        <f ca="1">IF(NOT(OFFSET(Data!E859,0,MATCH('Delta Beta'!$C$5,Data!$B$4:$Q$4,0)-1)=""),OFFSET(Data!E859,0,MATCH('Delta Beta'!$C$5,Data!$B$4:$Q$4,0)-1),#N/A)-$C$8/250</f>
        <v>#N/A</v>
      </c>
      <c r="N856" s="395"/>
      <c r="R856" s="391"/>
    </row>
    <row r="857" spans="12:18">
      <c r="L857" s="394" t="e">
        <f ca="1">IF(NOT(OFFSET(Data!E860,0,MATCH('Delta Beta'!$C$5,Data!$B$4:$Q$4,0)-3)=""),OFFSET(Data!E860,0,MATCH('Delta Beta'!$C$5,Data!$B$4:$Q$4,0)-3),#N/A)-$C$8/250</f>
        <v>#N/A</v>
      </c>
      <c r="M857" s="394" t="e">
        <f ca="1">IF(NOT(OFFSET(Data!E860,0,MATCH('Delta Beta'!$C$5,Data!$B$4:$Q$4,0)-1)=""),OFFSET(Data!E860,0,MATCH('Delta Beta'!$C$5,Data!$B$4:$Q$4,0)-1),#N/A)-$C$8/250</f>
        <v>#N/A</v>
      </c>
      <c r="N857" s="395"/>
      <c r="R857" s="391"/>
    </row>
    <row r="858" spans="12:18">
      <c r="L858" s="394" t="e">
        <f ca="1">IF(NOT(OFFSET(Data!E861,0,MATCH('Delta Beta'!$C$5,Data!$B$4:$Q$4,0)-3)=""),OFFSET(Data!E861,0,MATCH('Delta Beta'!$C$5,Data!$B$4:$Q$4,0)-3),#N/A)-$C$8/250</f>
        <v>#N/A</v>
      </c>
      <c r="M858" s="394" t="e">
        <f ca="1">IF(NOT(OFFSET(Data!E861,0,MATCH('Delta Beta'!$C$5,Data!$B$4:$Q$4,0)-1)=""),OFFSET(Data!E861,0,MATCH('Delta Beta'!$C$5,Data!$B$4:$Q$4,0)-1),#N/A)-$C$8/250</f>
        <v>#N/A</v>
      </c>
      <c r="N858" s="395"/>
      <c r="R858" s="391"/>
    </row>
    <row r="859" spans="12:18">
      <c r="L859" s="394" t="e">
        <f ca="1">IF(NOT(OFFSET(Data!E862,0,MATCH('Delta Beta'!$C$5,Data!$B$4:$Q$4,0)-3)=""),OFFSET(Data!E862,0,MATCH('Delta Beta'!$C$5,Data!$B$4:$Q$4,0)-3),#N/A)-$C$8/250</f>
        <v>#N/A</v>
      </c>
      <c r="M859" s="394" t="e">
        <f ca="1">IF(NOT(OFFSET(Data!E862,0,MATCH('Delta Beta'!$C$5,Data!$B$4:$Q$4,0)-1)=""),OFFSET(Data!E862,0,MATCH('Delta Beta'!$C$5,Data!$B$4:$Q$4,0)-1),#N/A)-$C$8/250</f>
        <v>#N/A</v>
      </c>
      <c r="N859" s="395"/>
      <c r="R859" s="391"/>
    </row>
    <row r="860" spans="12:18">
      <c r="L860" s="394" t="e">
        <f ca="1">IF(NOT(OFFSET(Data!E863,0,MATCH('Delta Beta'!$C$5,Data!$B$4:$Q$4,0)-3)=""),OFFSET(Data!E863,0,MATCH('Delta Beta'!$C$5,Data!$B$4:$Q$4,0)-3),#N/A)-$C$8/250</f>
        <v>#N/A</v>
      </c>
      <c r="M860" s="394" t="e">
        <f ca="1">IF(NOT(OFFSET(Data!E863,0,MATCH('Delta Beta'!$C$5,Data!$B$4:$Q$4,0)-1)=""),OFFSET(Data!E863,0,MATCH('Delta Beta'!$C$5,Data!$B$4:$Q$4,0)-1),#N/A)-$C$8/250</f>
        <v>#N/A</v>
      </c>
      <c r="N860" s="395"/>
      <c r="R860" s="391"/>
    </row>
    <row r="861" spans="12:18">
      <c r="L861" s="394" t="e">
        <f ca="1">IF(NOT(OFFSET(Data!E864,0,MATCH('Delta Beta'!$C$5,Data!$B$4:$Q$4,0)-3)=""),OFFSET(Data!E864,0,MATCH('Delta Beta'!$C$5,Data!$B$4:$Q$4,0)-3),#N/A)-$C$8/250</f>
        <v>#N/A</v>
      </c>
      <c r="M861" s="394" t="e">
        <f ca="1">IF(NOT(OFFSET(Data!E864,0,MATCH('Delta Beta'!$C$5,Data!$B$4:$Q$4,0)-1)=""),OFFSET(Data!E864,0,MATCH('Delta Beta'!$C$5,Data!$B$4:$Q$4,0)-1),#N/A)-$C$8/250</f>
        <v>#N/A</v>
      </c>
      <c r="N861" s="395"/>
      <c r="R861" s="391"/>
    </row>
    <row r="862" spans="12:18">
      <c r="L862" s="394" t="e">
        <f ca="1">IF(NOT(OFFSET(Data!E865,0,MATCH('Delta Beta'!$C$5,Data!$B$4:$Q$4,0)-3)=""),OFFSET(Data!E865,0,MATCH('Delta Beta'!$C$5,Data!$B$4:$Q$4,0)-3),#N/A)-$C$8/250</f>
        <v>#N/A</v>
      </c>
      <c r="M862" s="394" t="e">
        <f ca="1">IF(NOT(OFFSET(Data!E865,0,MATCH('Delta Beta'!$C$5,Data!$B$4:$Q$4,0)-1)=""),OFFSET(Data!E865,0,MATCH('Delta Beta'!$C$5,Data!$B$4:$Q$4,0)-1),#N/A)-$C$8/250</f>
        <v>#N/A</v>
      </c>
      <c r="N862" s="395"/>
      <c r="R862" s="391"/>
    </row>
    <row r="863" spans="12:18">
      <c r="L863" s="394" t="e">
        <f ca="1">IF(NOT(OFFSET(Data!E866,0,MATCH('Delta Beta'!$C$5,Data!$B$4:$Q$4,0)-3)=""),OFFSET(Data!E866,0,MATCH('Delta Beta'!$C$5,Data!$B$4:$Q$4,0)-3),#N/A)-$C$8/250</f>
        <v>#N/A</v>
      </c>
      <c r="M863" s="394" t="e">
        <f ca="1">IF(NOT(OFFSET(Data!E866,0,MATCH('Delta Beta'!$C$5,Data!$B$4:$Q$4,0)-1)=""),OFFSET(Data!E866,0,MATCH('Delta Beta'!$C$5,Data!$B$4:$Q$4,0)-1),#N/A)-$C$8/250</f>
        <v>#N/A</v>
      </c>
      <c r="N863" s="395"/>
      <c r="R863" s="391"/>
    </row>
    <row r="864" spans="12:18">
      <c r="L864" s="394" t="e">
        <f ca="1">IF(NOT(OFFSET(Data!E867,0,MATCH('Delta Beta'!$C$5,Data!$B$4:$Q$4,0)-3)=""),OFFSET(Data!E867,0,MATCH('Delta Beta'!$C$5,Data!$B$4:$Q$4,0)-3),#N/A)-$C$8/250</f>
        <v>#N/A</v>
      </c>
      <c r="M864" s="394" t="e">
        <f ca="1">IF(NOT(OFFSET(Data!E867,0,MATCH('Delta Beta'!$C$5,Data!$B$4:$Q$4,0)-1)=""),OFFSET(Data!E867,0,MATCH('Delta Beta'!$C$5,Data!$B$4:$Q$4,0)-1),#N/A)-$C$8/250</f>
        <v>#N/A</v>
      </c>
      <c r="N864" s="395"/>
      <c r="R864" s="391"/>
    </row>
    <row r="865" spans="12:18">
      <c r="L865" s="394" t="e">
        <f ca="1">IF(NOT(OFFSET(Data!E868,0,MATCH('Delta Beta'!$C$5,Data!$B$4:$Q$4,0)-3)=""),OFFSET(Data!E868,0,MATCH('Delta Beta'!$C$5,Data!$B$4:$Q$4,0)-3),#N/A)-$C$8/250</f>
        <v>#N/A</v>
      </c>
      <c r="M865" s="394" t="e">
        <f ca="1">IF(NOT(OFFSET(Data!E868,0,MATCH('Delta Beta'!$C$5,Data!$B$4:$Q$4,0)-1)=""),OFFSET(Data!E868,0,MATCH('Delta Beta'!$C$5,Data!$B$4:$Q$4,0)-1),#N/A)-$C$8/250</f>
        <v>#N/A</v>
      </c>
      <c r="N865" s="395"/>
      <c r="R865" s="391"/>
    </row>
    <row r="866" spans="12:18">
      <c r="L866" s="394" t="e">
        <f ca="1">IF(NOT(OFFSET(Data!E869,0,MATCH('Delta Beta'!$C$5,Data!$B$4:$Q$4,0)-3)=""),OFFSET(Data!E869,0,MATCH('Delta Beta'!$C$5,Data!$B$4:$Q$4,0)-3),#N/A)-$C$8/250</f>
        <v>#N/A</v>
      </c>
      <c r="M866" s="394" t="e">
        <f ca="1">IF(NOT(OFFSET(Data!E869,0,MATCH('Delta Beta'!$C$5,Data!$B$4:$Q$4,0)-1)=""),OFFSET(Data!E869,0,MATCH('Delta Beta'!$C$5,Data!$B$4:$Q$4,0)-1),#N/A)-$C$8/250</f>
        <v>#N/A</v>
      </c>
      <c r="N866" s="395"/>
      <c r="R866" s="391"/>
    </row>
    <row r="867" spans="12:18">
      <c r="L867" s="394" t="e">
        <f ca="1">IF(NOT(OFFSET(Data!E870,0,MATCH('Delta Beta'!$C$5,Data!$B$4:$Q$4,0)-3)=""),OFFSET(Data!E870,0,MATCH('Delta Beta'!$C$5,Data!$B$4:$Q$4,0)-3),#N/A)-$C$8/250</f>
        <v>#N/A</v>
      </c>
      <c r="M867" s="394" t="e">
        <f ca="1">IF(NOT(OFFSET(Data!E870,0,MATCH('Delta Beta'!$C$5,Data!$B$4:$Q$4,0)-1)=""),OFFSET(Data!E870,0,MATCH('Delta Beta'!$C$5,Data!$B$4:$Q$4,0)-1),#N/A)-$C$8/250</f>
        <v>#N/A</v>
      </c>
      <c r="N867" s="395"/>
      <c r="R867" s="391"/>
    </row>
    <row r="868" spans="12:18">
      <c r="L868" s="394" t="e">
        <f ca="1">IF(NOT(OFFSET(Data!E871,0,MATCH('Delta Beta'!$C$5,Data!$B$4:$Q$4,0)-3)=""),OFFSET(Data!E871,0,MATCH('Delta Beta'!$C$5,Data!$B$4:$Q$4,0)-3),#N/A)-$C$8/250</f>
        <v>#N/A</v>
      </c>
      <c r="M868" s="394" t="e">
        <f ca="1">IF(NOT(OFFSET(Data!E871,0,MATCH('Delta Beta'!$C$5,Data!$B$4:$Q$4,0)-1)=""),OFFSET(Data!E871,0,MATCH('Delta Beta'!$C$5,Data!$B$4:$Q$4,0)-1),#N/A)-$C$8/250</f>
        <v>#N/A</v>
      </c>
      <c r="N868" s="395"/>
      <c r="R868" s="391"/>
    </row>
    <row r="869" spans="12:18">
      <c r="L869" s="394" t="e">
        <f ca="1">IF(NOT(OFFSET(Data!E872,0,MATCH('Delta Beta'!$C$5,Data!$B$4:$Q$4,0)-3)=""),OFFSET(Data!E872,0,MATCH('Delta Beta'!$C$5,Data!$B$4:$Q$4,0)-3),#N/A)-$C$8/250</f>
        <v>#N/A</v>
      </c>
      <c r="M869" s="394" t="e">
        <f ca="1">IF(NOT(OFFSET(Data!E872,0,MATCH('Delta Beta'!$C$5,Data!$B$4:$Q$4,0)-1)=""),OFFSET(Data!E872,0,MATCH('Delta Beta'!$C$5,Data!$B$4:$Q$4,0)-1),#N/A)-$C$8/250</f>
        <v>#N/A</v>
      </c>
      <c r="N869" s="395"/>
      <c r="R869" s="391"/>
    </row>
    <row r="870" spans="12:18">
      <c r="L870" s="394" t="e">
        <f ca="1">IF(NOT(OFFSET(Data!E873,0,MATCH('Delta Beta'!$C$5,Data!$B$4:$Q$4,0)-3)=""),OFFSET(Data!E873,0,MATCH('Delta Beta'!$C$5,Data!$B$4:$Q$4,0)-3),#N/A)-$C$8/250</f>
        <v>#N/A</v>
      </c>
      <c r="M870" s="394" t="e">
        <f ca="1">IF(NOT(OFFSET(Data!E873,0,MATCH('Delta Beta'!$C$5,Data!$B$4:$Q$4,0)-1)=""),OFFSET(Data!E873,0,MATCH('Delta Beta'!$C$5,Data!$B$4:$Q$4,0)-1),#N/A)-$C$8/250</f>
        <v>#N/A</v>
      </c>
      <c r="N870" s="395"/>
      <c r="R870" s="391"/>
    </row>
    <row r="871" spans="12:18">
      <c r="L871" s="394" t="e">
        <f ca="1">IF(NOT(OFFSET(Data!E874,0,MATCH('Delta Beta'!$C$5,Data!$B$4:$Q$4,0)-3)=""),OFFSET(Data!E874,0,MATCH('Delta Beta'!$C$5,Data!$B$4:$Q$4,0)-3),#N/A)-$C$8/250</f>
        <v>#N/A</v>
      </c>
      <c r="M871" s="394" t="e">
        <f ca="1">IF(NOT(OFFSET(Data!E874,0,MATCH('Delta Beta'!$C$5,Data!$B$4:$Q$4,0)-1)=""),OFFSET(Data!E874,0,MATCH('Delta Beta'!$C$5,Data!$B$4:$Q$4,0)-1),#N/A)-$C$8/250</f>
        <v>#N/A</v>
      </c>
      <c r="N871" s="395"/>
      <c r="R871" s="391"/>
    </row>
    <row r="872" spans="12:18">
      <c r="L872" s="394" t="e">
        <f ca="1">IF(NOT(OFFSET(Data!E875,0,MATCH('Delta Beta'!$C$5,Data!$B$4:$Q$4,0)-3)=""),OFFSET(Data!E875,0,MATCH('Delta Beta'!$C$5,Data!$B$4:$Q$4,0)-3),#N/A)-$C$8/250</f>
        <v>#N/A</v>
      </c>
      <c r="M872" s="394" t="e">
        <f ca="1">IF(NOT(OFFSET(Data!E875,0,MATCH('Delta Beta'!$C$5,Data!$B$4:$Q$4,0)-1)=""),OFFSET(Data!E875,0,MATCH('Delta Beta'!$C$5,Data!$B$4:$Q$4,0)-1),#N/A)-$C$8/250</f>
        <v>#N/A</v>
      </c>
      <c r="N872" s="395"/>
      <c r="R872" s="391"/>
    </row>
    <row r="873" spans="12:18">
      <c r="L873" s="394" t="e">
        <f ca="1">IF(NOT(OFFSET(Data!E876,0,MATCH('Delta Beta'!$C$5,Data!$B$4:$Q$4,0)-3)=""),OFFSET(Data!E876,0,MATCH('Delta Beta'!$C$5,Data!$B$4:$Q$4,0)-3),#N/A)-$C$8/250</f>
        <v>#N/A</v>
      </c>
      <c r="M873" s="394" t="e">
        <f ca="1">IF(NOT(OFFSET(Data!E876,0,MATCH('Delta Beta'!$C$5,Data!$B$4:$Q$4,0)-1)=""),OFFSET(Data!E876,0,MATCH('Delta Beta'!$C$5,Data!$B$4:$Q$4,0)-1),#N/A)-$C$8/250</f>
        <v>#N/A</v>
      </c>
      <c r="N873" s="395"/>
      <c r="R873" s="391"/>
    </row>
    <row r="874" spans="12:18">
      <c r="L874" s="394" t="e">
        <f ca="1">IF(NOT(OFFSET(Data!E877,0,MATCH('Delta Beta'!$C$5,Data!$B$4:$Q$4,0)-3)=""),OFFSET(Data!E877,0,MATCH('Delta Beta'!$C$5,Data!$B$4:$Q$4,0)-3),#N/A)-$C$8/250</f>
        <v>#N/A</v>
      </c>
      <c r="M874" s="394" t="e">
        <f ca="1">IF(NOT(OFFSET(Data!E877,0,MATCH('Delta Beta'!$C$5,Data!$B$4:$Q$4,0)-1)=""),OFFSET(Data!E877,0,MATCH('Delta Beta'!$C$5,Data!$B$4:$Q$4,0)-1),#N/A)-$C$8/250</f>
        <v>#N/A</v>
      </c>
      <c r="N874" s="395"/>
      <c r="R874" s="391"/>
    </row>
    <row r="875" spans="12:18">
      <c r="L875" s="394" t="e">
        <f ca="1">IF(NOT(OFFSET(Data!E878,0,MATCH('Delta Beta'!$C$5,Data!$B$4:$Q$4,0)-3)=""),OFFSET(Data!E878,0,MATCH('Delta Beta'!$C$5,Data!$B$4:$Q$4,0)-3),#N/A)-$C$8/250</f>
        <v>#N/A</v>
      </c>
      <c r="M875" s="394" t="e">
        <f ca="1">IF(NOT(OFFSET(Data!E878,0,MATCH('Delta Beta'!$C$5,Data!$B$4:$Q$4,0)-1)=""),OFFSET(Data!E878,0,MATCH('Delta Beta'!$C$5,Data!$B$4:$Q$4,0)-1),#N/A)-$C$8/250</f>
        <v>#N/A</v>
      </c>
      <c r="N875" s="395"/>
      <c r="R875" s="391"/>
    </row>
    <row r="876" spans="12:18">
      <c r="L876" s="394" t="e">
        <f ca="1">IF(NOT(OFFSET(Data!E879,0,MATCH('Delta Beta'!$C$5,Data!$B$4:$Q$4,0)-3)=""),OFFSET(Data!E879,0,MATCH('Delta Beta'!$C$5,Data!$B$4:$Q$4,0)-3),#N/A)-$C$8/250</f>
        <v>#N/A</v>
      </c>
      <c r="M876" s="394" t="e">
        <f ca="1">IF(NOT(OFFSET(Data!E879,0,MATCH('Delta Beta'!$C$5,Data!$B$4:$Q$4,0)-1)=""),OFFSET(Data!E879,0,MATCH('Delta Beta'!$C$5,Data!$B$4:$Q$4,0)-1),#N/A)-$C$8/250</f>
        <v>#N/A</v>
      </c>
      <c r="N876" s="395"/>
      <c r="R876" s="391"/>
    </row>
    <row r="877" spans="12:18">
      <c r="L877" s="394" t="e">
        <f ca="1">IF(NOT(OFFSET(Data!E880,0,MATCH('Delta Beta'!$C$5,Data!$B$4:$Q$4,0)-3)=""),OFFSET(Data!E880,0,MATCH('Delta Beta'!$C$5,Data!$B$4:$Q$4,0)-3),#N/A)-$C$8/250</f>
        <v>#N/A</v>
      </c>
      <c r="M877" s="394" t="e">
        <f ca="1">IF(NOT(OFFSET(Data!E880,0,MATCH('Delta Beta'!$C$5,Data!$B$4:$Q$4,0)-1)=""),OFFSET(Data!E880,0,MATCH('Delta Beta'!$C$5,Data!$B$4:$Q$4,0)-1),#N/A)-$C$8/250</f>
        <v>#N/A</v>
      </c>
      <c r="N877" s="395"/>
      <c r="R877" s="391"/>
    </row>
    <row r="878" spans="12:18">
      <c r="L878" s="394" t="e">
        <f ca="1">IF(NOT(OFFSET(Data!E881,0,MATCH('Delta Beta'!$C$5,Data!$B$4:$Q$4,0)-3)=""),OFFSET(Data!E881,0,MATCH('Delta Beta'!$C$5,Data!$B$4:$Q$4,0)-3),#N/A)-$C$8/250</f>
        <v>#N/A</v>
      </c>
      <c r="M878" s="394" t="e">
        <f ca="1">IF(NOT(OFFSET(Data!E881,0,MATCH('Delta Beta'!$C$5,Data!$B$4:$Q$4,0)-1)=""),OFFSET(Data!E881,0,MATCH('Delta Beta'!$C$5,Data!$B$4:$Q$4,0)-1),#N/A)-$C$8/250</f>
        <v>#N/A</v>
      </c>
      <c r="N878" s="395"/>
      <c r="R878" s="391"/>
    </row>
    <row r="879" spans="12:18">
      <c r="L879" s="394" t="e">
        <f ca="1">IF(NOT(OFFSET(Data!E882,0,MATCH('Delta Beta'!$C$5,Data!$B$4:$Q$4,0)-3)=""),OFFSET(Data!E882,0,MATCH('Delta Beta'!$C$5,Data!$B$4:$Q$4,0)-3),#N/A)-$C$8/250</f>
        <v>#N/A</v>
      </c>
      <c r="M879" s="394" t="e">
        <f ca="1">IF(NOT(OFFSET(Data!E882,0,MATCH('Delta Beta'!$C$5,Data!$B$4:$Q$4,0)-1)=""),OFFSET(Data!E882,0,MATCH('Delta Beta'!$C$5,Data!$B$4:$Q$4,0)-1),#N/A)-$C$8/250</f>
        <v>#N/A</v>
      </c>
      <c r="N879" s="395"/>
      <c r="R879" s="391"/>
    </row>
    <row r="880" spans="12:18">
      <c r="L880" s="394" t="e">
        <f ca="1">IF(NOT(OFFSET(Data!E883,0,MATCH('Delta Beta'!$C$5,Data!$B$4:$Q$4,0)-3)=""),OFFSET(Data!E883,0,MATCH('Delta Beta'!$C$5,Data!$B$4:$Q$4,0)-3),#N/A)-$C$8/250</f>
        <v>#N/A</v>
      </c>
      <c r="M880" s="394" t="e">
        <f ca="1">IF(NOT(OFFSET(Data!E883,0,MATCH('Delta Beta'!$C$5,Data!$B$4:$Q$4,0)-1)=""),OFFSET(Data!E883,0,MATCH('Delta Beta'!$C$5,Data!$B$4:$Q$4,0)-1),#N/A)-$C$8/250</f>
        <v>#N/A</v>
      </c>
      <c r="N880" s="395"/>
      <c r="R880" s="391"/>
    </row>
    <row r="881" spans="12:18">
      <c r="L881" s="394" t="e">
        <f ca="1">IF(NOT(OFFSET(Data!E884,0,MATCH('Delta Beta'!$C$5,Data!$B$4:$Q$4,0)-3)=""),OFFSET(Data!E884,0,MATCH('Delta Beta'!$C$5,Data!$B$4:$Q$4,0)-3),#N/A)-$C$8/250</f>
        <v>#N/A</v>
      </c>
      <c r="M881" s="394" t="e">
        <f ca="1">IF(NOT(OFFSET(Data!E884,0,MATCH('Delta Beta'!$C$5,Data!$B$4:$Q$4,0)-1)=""),OFFSET(Data!E884,0,MATCH('Delta Beta'!$C$5,Data!$B$4:$Q$4,0)-1),#N/A)-$C$8/250</f>
        <v>#N/A</v>
      </c>
      <c r="N881" s="395"/>
      <c r="R881" s="391"/>
    </row>
    <row r="882" spans="12:18">
      <c r="L882" s="394" t="e">
        <f ca="1">IF(NOT(OFFSET(Data!E885,0,MATCH('Delta Beta'!$C$5,Data!$B$4:$Q$4,0)-3)=""),OFFSET(Data!E885,0,MATCH('Delta Beta'!$C$5,Data!$B$4:$Q$4,0)-3),#N/A)-$C$8/250</f>
        <v>#N/A</v>
      </c>
      <c r="M882" s="394" t="e">
        <f ca="1">IF(NOT(OFFSET(Data!E885,0,MATCH('Delta Beta'!$C$5,Data!$B$4:$Q$4,0)-1)=""),OFFSET(Data!E885,0,MATCH('Delta Beta'!$C$5,Data!$B$4:$Q$4,0)-1),#N/A)-$C$8/250</f>
        <v>#N/A</v>
      </c>
      <c r="N882" s="395"/>
      <c r="R882" s="391"/>
    </row>
    <row r="883" spans="12:18">
      <c r="L883" s="394" t="e">
        <f ca="1">IF(NOT(OFFSET(Data!E886,0,MATCH('Delta Beta'!$C$5,Data!$B$4:$Q$4,0)-3)=""),OFFSET(Data!E886,0,MATCH('Delta Beta'!$C$5,Data!$B$4:$Q$4,0)-3),#N/A)-$C$8/250</f>
        <v>#N/A</v>
      </c>
      <c r="M883" s="394" t="e">
        <f ca="1">IF(NOT(OFFSET(Data!E886,0,MATCH('Delta Beta'!$C$5,Data!$B$4:$Q$4,0)-1)=""),OFFSET(Data!E886,0,MATCH('Delta Beta'!$C$5,Data!$B$4:$Q$4,0)-1),#N/A)-$C$8/250</f>
        <v>#N/A</v>
      </c>
      <c r="N883" s="395"/>
      <c r="R883" s="391"/>
    </row>
    <row r="884" spans="12:18">
      <c r="L884" s="394" t="e">
        <f ca="1">IF(NOT(OFFSET(Data!E887,0,MATCH('Delta Beta'!$C$5,Data!$B$4:$Q$4,0)-3)=""),OFFSET(Data!E887,0,MATCH('Delta Beta'!$C$5,Data!$B$4:$Q$4,0)-3),#N/A)-$C$8/250</f>
        <v>#N/A</v>
      </c>
      <c r="M884" s="394" t="e">
        <f ca="1">IF(NOT(OFFSET(Data!E887,0,MATCH('Delta Beta'!$C$5,Data!$B$4:$Q$4,0)-1)=""),OFFSET(Data!E887,0,MATCH('Delta Beta'!$C$5,Data!$B$4:$Q$4,0)-1),#N/A)-$C$8/250</f>
        <v>#N/A</v>
      </c>
      <c r="N884" s="395"/>
      <c r="R884" s="391"/>
    </row>
    <row r="885" spans="12:18">
      <c r="L885" s="394" t="e">
        <f ca="1">IF(NOT(OFFSET(Data!E888,0,MATCH('Delta Beta'!$C$5,Data!$B$4:$Q$4,0)-3)=""),OFFSET(Data!E888,0,MATCH('Delta Beta'!$C$5,Data!$B$4:$Q$4,0)-3),#N/A)-$C$8/250</f>
        <v>#N/A</v>
      </c>
      <c r="M885" s="394" t="e">
        <f ca="1">IF(NOT(OFFSET(Data!E888,0,MATCH('Delta Beta'!$C$5,Data!$B$4:$Q$4,0)-1)=""),OFFSET(Data!E888,0,MATCH('Delta Beta'!$C$5,Data!$B$4:$Q$4,0)-1),#N/A)-$C$8/250</f>
        <v>#N/A</v>
      </c>
      <c r="N885" s="395"/>
      <c r="R885" s="391"/>
    </row>
    <row r="886" spans="12:18">
      <c r="L886" s="394" t="e">
        <f ca="1">IF(NOT(OFFSET(Data!E889,0,MATCH('Delta Beta'!$C$5,Data!$B$4:$Q$4,0)-3)=""),OFFSET(Data!E889,0,MATCH('Delta Beta'!$C$5,Data!$B$4:$Q$4,0)-3),#N/A)-$C$8/250</f>
        <v>#N/A</v>
      </c>
      <c r="M886" s="394" t="e">
        <f ca="1">IF(NOT(OFFSET(Data!E889,0,MATCH('Delta Beta'!$C$5,Data!$B$4:$Q$4,0)-1)=""),OFFSET(Data!E889,0,MATCH('Delta Beta'!$C$5,Data!$B$4:$Q$4,0)-1),#N/A)-$C$8/250</f>
        <v>#N/A</v>
      </c>
      <c r="N886" s="395"/>
      <c r="R886" s="391"/>
    </row>
    <row r="887" spans="12:18">
      <c r="L887" s="394" t="e">
        <f ca="1">IF(NOT(OFFSET(Data!E890,0,MATCH('Delta Beta'!$C$5,Data!$B$4:$Q$4,0)-3)=""),OFFSET(Data!E890,0,MATCH('Delta Beta'!$C$5,Data!$B$4:$Q$4,0)-3),#N/A)-$C$8/250</f>
        <v>#N/A</v>
      </c>
      <c r="M887" s="394" t="e">
        <f ca="1">IF(NOT(OFFSET(Data!E890,0,MATCH('Delta Beta'!$C$5,Data!$B$4:$Q$4,0)-1)=""),OFFSET(Data!E890,0,MATCH('Delta Beta'!$C$5,Data!$B$4:$Q$4,0)-1),#N/A)-$C$8/250</f>
        <v>#N/A</v>
      </c>
      <c r="N887" s="395"/>
      <c r="R887" s="391"/>
    </row>
    <row r="888" spans="12:18">
      <c r="L888" s="394" t="e">
        <f ca="1">IF(NOT(OFFSET(Data!E891,0,MATCH('Delta Beta'!$C$5,Data!$B$4:$Q$4,0)-3)=""),OFFSET(Data!E891,0,MATCH('Delta Beta'!$C$5,Data!$B$4:$Q$4,0)-3),#N/A)-$C$8/250</f>
        <v>#N/A</v>
      </c>
      <c r="M888" s="394" t="e">
        <f ca="1">IF(NOT(OFFSET(Data!E891,0,MATCH('Delta Beta'!$C$5,Data!$B$4:$Q$4,0)-1)=""),OFFSET(Data!E891,0,MATCH('Delta Beta'!$C$5,Data!$B$4:$Q$4,0)-1),#N/A)-$C$8/250</f>
        <v>#N/A</v>
      </c>
      <c r="N888" s="395"/>
      <c r="R888" s="391"/>
    </row>
    <row r="889" spans="12:18">
      <c r="L889" s="394" t="e">
        <f ca="1">IF(NOT(OFFSET(Data!E892,0,MATCH('Delta Beta'!$C$5,Data!$B$4:$Q$4,0)-3)=""),OFFSET(Data!E892,0,MATCH('Delta Beta'!$C$5,Data!$B$4:$Q$4,0)-3),#N/A)-$C$8/250</f>
        <v>#N/A</v>
      </c>
      <c r="M889" s="394" t="e">
        <f ca="1">IF(NOT(OFFSET(Data!E892,0,MATCH('Delta Beta'!$C$5,Data!$B$4:$Q$4,0)-1)=""),OFFSET(Data!E892,0,MATCH('Delta Beta'!$C$5,Data!$B$4:$Q$4,0)-1),#N/A)-$C$8/250</f>
        <v>#N/A</v>
      </c>
      <c r="N889" s="395"/>
      <c r="R889" s="391"/>
    </row>
    <row r="890" spans="12:18">
      <c r="L890" s="394" t="e">
        <f ca="1">IF(NOT(OFFSET(Data!E893,0,MATCH('Delta Beta'!$C$5,Data!$B$4:$Q$4,0)-3)=""),OFFSET(Data!E893,0,MATCH('Delta Beta'!$C$5,Data!$B$4:$Q$4,0)-3),#N/A)-$C$8/250</f>
        <v>#N/A</v>
      </c>
      <c r="M890" s="394" t="e">
        <f ca="1">IF(NOT(OFFSET(Data!E893,0,MATCH('Delta Beta'!$C$5,Data!$B$4:$Q$4,0)-1)=""),OFFSET(Data!E893,0,MATCH('Delta Beta'!$C$5,Data!$B$4:$Q$4,0)-1),#N/A)-$C$8/250</f>
        <v>#N/A</v>
      </c>
      <c r="N890" s="395"/>
      <c r="R890" s="391"/>
    </row>
    <row r="891" spans="12:18">
      <c r="L891" s="394" t="e">
        <f ca="1">IF(NOT(OFFSET(Data!E894,0,MATCH('Delta Beta'!$C$5,Data!$B$4:$Q$4,0)-3)=""),OFFSET(Data!E894,0,MATCH('Delta Beta'!$C$5,Data!$B$4:$Q$4,0)-3),#N/A)-$C$8/250</f>
        <v>#N/A</v>
      </c>
      <c r="M891" s="394" t="e">
        <f ca="1">IF(NOT(OFFSET(Data!E894,0,MATCH('Delta Beta'!$C$5,Data!$B$4:$Q$4,0)-1)=""),OFFSET(Data!E894,0,MATCH('Delta Beta'!$C$5,Data!$B$4:$Q$4,0)-1),#N/A)-$C$8/250</f>
        <v>#N/A</v>
      </c>
      <c r="N891" s="395"/>
      <c r="R891" s="391"/>
    </row>
    <row r="892" spans="12:18">
      <c r="L892" s="394" t="e">
        <f ca="1">IF(NOT(OFFSET(Data!E895,0,MATCH('Delta Beta'!$C$5,Data!$B$4:$Q$4,0)-3)=""),OFFSET(Data!E895,0,MATCH('Delta Beta'!$C$5,Data!$B$4:$Q$4,0)-3),#N/A)-$C$8/250</f>
        <v>#N/A</v>
      </c>
      <c r="M892" s="394" t="e">
        <f ca="1">IF(NOT(OFFSET(Data!E895,0,MATCH('Delta Beta'!$C$5,Data!$B$4:$Q$4,0)-1)=""),OFFSET(Data!E895,0,MATCH('Delta Beta'!$C$5,Data!$B$4:$Q$4,0)-1),#N/A)-$C$8/250</f>
        <v>#N/A</v>
      </c>
      <c r="N892" s="395"/>
      <c r="R892" s="391"/>
    </row>
    <row r="893" spans="12:18">
      <c r="L893" s="394" t="e">
        <f ca="1">IF(NOT(OFFSET(Data!E896,0,MATCH('Delta Beta'!$C$5,Data!$B$4:$Q$4,0)-3)=""),OFFSET(Data!E896,0,MATCH('Delta Beta'!$C$5,Data!$B$4:$Q$4,0)-3),#N/A)-$C$8/250</f>
        <v>#N/A</v>
      </c>
      <c r="M893" s="394" t="e">
        <f ca="1">IF(NOT(OFFSET(Data!E896,0,MATCH('Delta Beta'!$C$5,Data!$B$4:$Q$4,0)-1)=""),OFFSET(Data!E896,0,MATCH('Delta Beta'!$C$5,Data!$B$4:$Q$4,0)-1),#N/A)-$C$8/250</f>
        <v>#N/A</v>
      </c>
      <c r="N893" s="395"/>
      <c r="R893" s="391"/>
    </row>
    <row r="894" spans="12:18">
      <c r="L894" s="394" t="e">
        <f ca="1">IF(NOT(OFFSET(Data!E897,0,MATCH('Delta Beta'!$C$5,Data!$B$4:$Q$4,0)-3)=""),OFFSET(Data!E897,0,MATCH('Delta Beta'!$C$5,Data!$B$4:$Q$4,0)-3),#N/A)-$C$8/250</f>
        <v>#N/A</v>
      </c>
      <c r="M894" s="394" t="e">
        <f ca="1">IF(NOT(OFFSET(Data!E897,0,MATCH('Delta Beta'!$C$5,Data!$B$4:$Q$4,0)-1)=""),OFFSET(Data!E897,0,MATCH('Delta Beta'!$C$5,Data!$B$4:$Q$4,0)-1),#N/A)-$C$8/250</f>
        <v>#N/A</v>
      </c>
      <c r="N894" s="395"/>
      <c r="R894" s="391"/>
    </row>
    <row r="895" spans="12:18">
      <c r="L895" s="394" t="e">
        <f ca="1">IF(NOT(OFFSET(Data!E898,0,MATCH('Delta Beta'!$C$5,Data!$B$4:$Q$4,0)-3)=""),OFFSET(Data!E898,0,MATCH('Delta Beta'!$C$5,Data!$B$4:$Q$4,0)-3),#N/A)-$C$8/250</f>
        <v>#N/A</v>
      </c>
      <c r="M895" s="394" t="e">
        <f ca="1">IF(NOT(OFFSET(Data!E898,0,MATCH('Delta Beta'!$C$5,Data!$B$4:$Q$4,0)-1)=""),OFFSET(Data!E898,0,MATCH('Delta Beta'!$C$5,Data!$B$4:$Q$4,0)-1),#N/A)-$C$8/250</f>
        <v>#N/A</v>
      </c>
      <c r="N895" s="395"/>
      <c r="R895" s="391"/>
    </row>
    <row r="896" spans="12:18">
      <c r="L896" s="394" t="e">
        <f ca="1">IF(NOT(OFFSET(Data!E899,0,MATCH('Delta Beta'!$C$5,Data!$B$4:$Q$4,0)-3)=""),OFFSET(Data!E899,0,MATCH('Delta Beta'!$C$5,Data!$B$4:$Q$4,0)-3),#N/A)-$C$8/250</f>
        <v>#N/A</v>
      </c>
      <c r="M896" s="394" t="e">
        <f ca="1">IF(NOT(OFFSET(Data!E899,0,MATCH('Delta Beta'!$C$5,Data!$B$4:$Q$4,0)-1)=""),OFFSET(Data!E899,0,MATCH('Delta Beta'!$C$5,Data!$B$4:$Q$4,0)-1),#N/A)-$C$8/250</f>
        <v>#N/A</v>
      </c>
      <c r="N896" s="395"/>
      <c r="R896" s="391"/>
    </row>
    <row r="897" spans="12:18">
      <c r="L897" s="394" t="e">
        <f ca="1">IF(NOT(OFFSET(Data!E900,0,MATCH('Delta Beta'!$C$5,Data!$B$4:$Q$4,0)-3)=""),OFFSET(Data!E900,0,MATCH('Delta Beta'!$C$5,Data!$B$4:$Q$4,0)-3),#N/A)-$C$8/250</f>
        <v>#N/A</v>
      </c>
      <c r="M897" s="394" t="e">
        <f ca="1">IF(NOT(OFFSET(Data!E900,0,MATCH('Delta Beta'!$C$5,Data!$B$4:$Q$4,0)-1)=""),OFFSET(Data!E900,0,MATCH('Delta Beta'!$C$5,Data!$B$4:$Q$4,0)-1),#N/A)-$C$8/250</f>
        <v>#N/A</v>
      </c>
      <c r="N897" s="395"/>
      <c r="R897" s="391"/>
    </row>
    <row r="898" spans="12:18">
      <c r="L898" s="394" t="e">
        <f ca="1">IF(NOT(OFFSET(Data!E901,0,MATCH('Delta Beta'!$C$5,Data!$B$4:$Q$4,0)-3)=""),OFFSET(Data!E901,0,MATCH('Delta Beta'!$C$5,Data!$B$4:$Q$4,0)-3),#N/A)-$C$8/250</f>
        <v>#N/A</v>
      </c>
      <c r="M898" s="394" t="e">
        <f ca="1">IF(NOT(OFFSET(Data!E901,0,MATCH('Delta Beta'!$C$5,Data!$B$4:$Q$4,0)-1)=""),OFFSET(Data!E901,0,MATCH('Delta Beta'!$C$5,Data!$B$4:$Q$4,0)-1),#N/A)-$C$8/250</f>
        <v>#N/A</v>
      </c>
      <c r="N898" s="395"/>
      <c r="R898" s="391"/>
    </row>
    <row r="899" spans="12:18">
      <c r="L899" s="394" t="e">
        <f ca="1">IF(NOT(OFFSET(Data!E902,0,MATCH('Delta Beta'!$C$5,Data!$B$4:$Q$4,0)-3)=""),OFFSET(Data!E902,0,MATCH('Delta Beta'!$C$5,Data!$B$4:$Q$4,0)-3),#N/A)-$C$8/250</f>
        <v>#N/A</v>
      </c>
      <c r="M899" s="394" t="e">
        <f ca="1">IF(NOT(OFFSET(Data!E902,0,MATCH('Delta Beta'!$C$5,Data!$B$4:$Q$4,0)-1)=""),OFFSET(Data!E902,0,MATCH('Delta Beta'!$C$5,Data!$B$4:$Q$4,0)-1),#N/A)-$C$8/250</f>
        <v>#N/A</v>
      </c>
      <c r="N899" s="395"/>
      <c r="R899" s="391"/>
    </row>
    <row r="900" spans="12:18">
      <c r="L900" s="394" t="e">
        <f ca="1">IF(NOT(OFFSET(Data!E903,0,MATCH('Delta Beta'!$C$5,Data!$B$4:$Q$4,0)-3)=""),OFFSET(Data!E903,0,MATCH('Delta Beta'!$C$5,Data!$B$4:$Q$4,0)-3),#N/A)-$C$8/250</f>
        <v>#N/A</v>
      </c>
      <c r="M900" s="394" t="e">
        <f ca="1">IF(NOT(OFFSET(Data!E903,0,MATCH('Delta Beta'!$C$5,Data!$B$4:$Q$4,0)-1)=""),OFFSET(Data!E903,0,MATCH('Delta Beta'!$C$5,Data!$B$4:$Q$4,0)-1),#N/A)-$C$8/250</f>
        <v>#N/A</v>
      </c>
      <c r="N900" s="395"/>
      <c r="R900" s="391"/>
    </row>
    <row r="901" spans="12:18">
      <c r="L901" s="394" t="e">
        <f ca="1">IF(NOT(OFFSET(Data!E904,0,MATCH('Delta Beta'!$C$5,Data!$B$4:$Q$4,0)-3)=""),OFFSET(Data!E904,0,MATCH('Delta Beta'!$C$5,Data!$B$4:$Q$4,0)-3),#N/A)-$C$8/250</f>
        <v>#N/A</v>
      </c>
      <c r="M901" s="394" t="e">
        <f ca="1">IF(NOT(OFFSET(Data!E904,0,MATCH('Delta Beta'!$C$5,Data!$B$4:$Q$4,0)-1)=""),OFFSET(Data!E904,0,MATCH('Delta Beta'!$C$5,Data!$B$4:$Q$4,0)-1),#N/A)-$C$8/250</f>
        <v>#N/A</v>
      </c>
      <c r="N901" s="395"/>
      <c r="R901" s="391"/>
    </row>
    <row r="902" spans="12:18">
      <c r="L902" s="394" t="e">
        <f ca="1">IF(NOT(OFFSET(Data!E905,0,MATCH('Delta Beta'!$C$5,Data!$B$4:$Q$4,0)-3)=""),OFFSET(Data!E905,0,MATCH('Delta Beta'!$C$5,Data!$B$4:$Q$4,0)-3),#N/A)-$C$8/250</f>
        <v>#N/A</v>
      </c>
      <c r="M902" s="394" t="e">
        <f ca="1">IF(NOT(OFFSET(Data!E905,0,MATCH('Delta Beta'!$C$5,Data!$B$4:$Q$4,0)-1)=""),OFFSET(Data!E905,0,MATCH('Delta Beta'!$C$5,Data!$B$4:$Q$4,0)-1),#N/A)-$C$8/250</f>
        <v>#N/A</v>
      </c>
      <c r="N902" s="395"/>
      <c r="R902" s="391"/>
    </row>
    <row r="903" spans="12:18">
      <c r="L903" s="394" t="e">
        <f ca="1">IF(NOT(OFFSET(Data!E906,0,MATCH('Delta Beta'!$C$5,Data!$B$4:$Q$4,0)-3)=""),OFFSET(Data!E906,0,MATCH('Delta Beta'!$C$5,Data!$B$4:$Q$4,0)-3),#N/A)-$C$8/250</f>
        <v>#N/A</v>
      </c>
      <c r="M903" s="394" t="e">
        <f ca="1">IF(NOT(OFFSET(Data!E906,0,MATCH('Delta Beta'!$C$5,Data!$B$4:$Q$4,0)-1)=""),OFFSET(Data!E906,0,MATCH('Delta Beta'!$C$5,Data!$B$4:$Q$4,0)-1),#N/A)-$C$8/250</f>
        <v>#N/A</v>
      </c>
      <c r="N903" s="395"/>
      <c r="R903" s="391"/>
    </row>
    <row r="904" spans="12:18">
      <c r="L904" s="394" t="e">
        <f ca="1">IF(NOT(OFFSET(Data!E907,0,MATCH('Delta Beta'!$C$5,Data!$B$4:$Q$4,0)-3)=""),OFFSET(Data!E907,0,MATCH('Delta Beta'!$C$5,Data!$B$4:$Q$4,0)-3),#N/A)-$C$8/250</f>
        <v>#N/A</v>
      </c>
      <c r="M904" s="394" t="e">
        <f ca="1">IF(NOT(OFFSET(Data!E907,0,MATCH('Delta Beta'!$C$5,Data!$B$4:$Q$4,0)-1)=""),OFFSET(Data!E907,0,MATCH('Delta Beta'!$C$5,Data!$B$4:$Q$4,0)-1),#N/A)-$C$8/250</f>
        <v>#N/A</v>
      </c>
      <c r="N904" s="395"/>
      <c r="R904" s="391"/>
    </row>
    <row r="905" spans="12:18">
      <c r="L905" s="394" t="e">
        <f ca="1">IF(NOT(OFFSET(Data!E908,0,MATCH('Delta Beta'!$C$5,Data!$B$4:$Q$4,0)-3)=""),OFFSET(Data!E908,0,MATCH('Delta Beta'!$C$5,Data!$B$4:$Q$4,0)-3),#N/A)-$C$8/250</f>
        <v>#N/A</v>
      </c>
      <c r="M905" s="394" t="e">
        <f ca="1">IF(NOT(OFFSET(Data!E908,0,MATCH('Delta Beta'!$C$5,Data!$B$4:$Q$4,0)-1)=""),OFFSET(Data!E908,0,MATCH('Delta Beta'!$C$5,Data!$B$4:$Q$4,0)-1),#N/A)-$C$8/250</f>
        <v>#N/A</v>
      </c>
      <c r="N905" s="395"/>
      <c r="R905" s="391"/>
    </row>
    <row r="906" spans="12:18">
      <c r="L906" s="394" t="e">
        <f ca="1">IF(NOT(OFFSET(Data!E909,0,MATCH('Delta Beta'!$C$5,Data!$B$4:$Q$4,0)-3)=""),OFFSET(Data!E909,0,MATCH('Delta Beta'!$C$5,Data!$B$4:$Q$4,0)-3),#N/A)-$C$8/250</f>
        <v>#N/A</v>
      </c>
      <c r="M906" s="394" t="e">
        <f ca="1">IF(NOT(OFFSET(Data!E909,0,MATCH('Delta Beta'!$C$5,Data!$B$4:$Q$4,0)-1)=""),OFFSET(Data!E909,0,MATCH('Delta Beta'!$C$5,Data!$B$4:$Q$4,0)-1),#N/A)-$C$8/250</f>
        <v>#N/A</v>
      </c>
      <c r="N906" s="395"/>
      <c r="R906" s="391"/>
    </row>
    <row r="907" spans="12:18">
      <c r="L907" s="394" t="e">
        <f ca="1">IF(NOT(OFFSET(Data!E910,0,MATCH('Delta Beta'!$C$5,Data!$B$4:$Q$4,0)-3)=""),OFFSET(Data!E910,0,MATCH('Delta Beta'!$C$5,Data!$B$4:$Q$4,0)-3),#N/A)-$C$8/250</f>
        <v>#N/A</v>
      </c>
      <c r="M907" s="394" t="e">
        <f ca="1">IF(NOT(OFFSET(Data!E910,0,MATCH('Delta Beta'!$C$5,Data!$B$4:$Q$4,0)-1)=""),OFFSET(Data!E910,0,MATCH('Delta Beta'!$C$5,Data!$B$4:$Q$4,0)-1),#N/A)-$C$8/250</f>
        <v>#N/A</v>
      </c>
      <c r="N907" s="395"/>
      <c r="R907" s="391"/>
    </row>
    <row r="908" spans="12:18">
      <c r="L908" s="394" t="e">
        <f ca="1">IF(NOT(OFFSET(Data!E911,0,MATCH('Delta Beta'!$C$5,Data!$B$4:$Q$4,0)-3)=""),OFFSET(Data!E911,0,MATCH('Delta Beta'!$C$5,Data!$B$4:$Q$4,0)-3),#N/A)-$C$8/250</f>
        <v>#N/A</v>
      </c>
      <c r="M908" s="394" t="e">
        <f ca="1">IF(NOT(OFFSET(Data!E911,0,MATCH('Delta Beta'!$C$5,Data!$B$4:$Q$4,0)-1)=""),OFFSET(Data!E911,0,MATCH('Delta Beta'!$C$5,Data!$B$4:$Q$4,0)-1),#N/A)-$C$8/250</f>
        <v>#N/A</v>
      </c>
      <c r="N908" s="395"/>
      <c r="R908" s="391"/>
    </row>
    <row r="909" spans="12:18">
      <c r="L909" s="394" t="e">
        <f ca="1">IF(NOT(OFFSET(Data!E912,0,MATCH('Delta Beta'!$C$5,Data!$B$4:$Q$4,0)-3)=""),OFFSET(Data!E912,0,MATCH('Delta Beta'!$C$5,Data!$B$4:$Q$4,0)-3),#N/A)-$C$8/250</f>
        <v>#N/A</v>
      </c>
      <c r="M909" s="394" t="e">
        <f ca="1">IF(NOT(OFFSET(Data!E912,0,MATCH('Delta Beta'!$C$5,Data!$B$4:$Q$4,0)-1)=""),OFFSET(Data!E912,0,MATCH('Delta Beta'!$C$5,Data!$B$4:$Q$4,0)-1),#N/A)-$C$8/250</f>
        <v>#N/A</v>
      </c>
      <c r="N909" s="395"/>
      <c r="R909" s="391"/>
    </row>
    <row r="910" spans="12:18">
      <c r="L910" s="394" t="e">
        <f ca="1">IF(NOT(OFFSET(Data!E913,0,MATCH('Delta Beta'!$C$5,Data!$B$4:$Q$4,0)-3)=""),OFFSET(Data!E913,0,MATCH('Delta Beta'!$C$5,Data!$B$4:$Q$4,0)-3),#N/A)-$C$8/250</f>
        <v>#N/A</v>
      </c>
      <c r="M910" s="394" t="e">
        <f ca="1">IF(NOT(OFFSET(Data!E913,0,MATCH('Delta Beta'!$C$5,Data!$B$4:$Q$4,0)-1)=""),OFFSET(Data!E913,0,MATCH('Delta Beta'!$C$5,Data!$B$4:$Q$4,0)-1),#N/A)-$C$8/250</f>
        <v>#N/A</v>
      </c>
      <c r="N910" s="395"/>
      <c r="R910" s="391"/>
    </row>
    <row r="911" spans="12:18">
      <c r="L911" s="394" t="e">
        <f ca="1">IF(NOT(OFFSET(Data!E914,0,MATCH('Delta Beta'!$C$5,Data!$B$4:$Q$4,0)-3)=""),OFFSET(Data!E914,0,MATCH('Delta Beta'!$C$5,Data!$B$4:$Q$4,0)-3),#N/A)-$C$8/250</f>
        <v>#N/A</v>
      </c>
      <c r="M911" s="394" t="e">
        <f ca="1">IF(NOT(OFFSET(Data!E914,0,MATCH('Delta Beta'!$C$5,Data!$B$4:$Q$4,0)-1)=""),OFFSET(Data!E914,0,MATCH('Delta Beta'!$C$5,Data!$B$4:$Q$4,0)-1),#N/A)-$C$8/250</f>
        <v>#N/A</v>
      </c>
      <c r="N911" s="395"/>
      <c r="R911" s="391"/>
    </row>
    <row r="912" spans="12:18">
      <c r="L912" s="394" t="e">
        <f ca="1">IF(NOT(OFFSET(Data!E915,0,MATCH('Delta Beta'!$C$5,Data!$B$4:$Q$4,0)-3)=""),OFFSET(Data!E915,0,MATCH('Delta Beta'!$C$5,Data!$B$4:$Q$4,0)-3),#N/A)-$C$8/250</f>
        <v>#N/A</v>
      </c>
      <c r="M912" s="394" t="e">
        <f ca="1">IF(NOT(OFFSET(Data!E915,0,MATCH('Delta Beta'!$C$5,Data!$B$4:$Q$4,0)-1)=""),OFFSET(Data!E915,0,MATCH('Delta Beta'!$C$5,Data!$B$4:$Q$4,0)-1),#N/A)-$C$8/250</f>
        <v>#N/A</v>
      </c>
      <c r="N912" s="395"/>
      <c r="R912" s="391"/>
    </row>
    <row r="913" spans="12:18">
      <c r="L913" s="394" t="e">
        <f ca="1">IF(NOT(OFFSET(Data!E916,0,MATCH('Delta Beta'!$C$5,Data!$B$4:$Q$4,0)-3)=""),OFFSET(Data!E916,0,MATCH('Delta Beta'!$C$5,Data!$B$4:$Q$4,0)-3),#N/A)-$C$8/250</f>
        <v>#N/A</v>
      </c>
      <c r="M913" s="394" t="e">
        <f ca="1">IF(NOT(OFFSET(Data!E916,0,MATCH('Delta Beta'!$C$5,Data!$B$4:$Q$4,0)-1)=""),OFFSET(Data!E916,0,MATCH('Delta Beta'!$C$5,Data!$B$4:$Q$4,0)-1),#N/A)-$C$8/250</f>
        <v>#N/A</v>
      </c>
      <c r="N913" s="395"/>
      <c r="R913" s="391"/>
    </row>
    <row r="914" spans="12:18">
      <c r="L914" s="394" t="e">
        <f ca="1">IF(NOT(OFFSET(Data!E917,0,MATCH('Delta Beta'!$C$5,Data!$B$4:$Q$4,0)-3)=""),OFFSET(Data!E917,0,MATCH('Delta Beta'!$C$5,Data!$B$4:$Q$4,0)-3),#N/A)-$C$8/250</f>
        <v>#N/A</v>
      </c>
      <c r="M914" s="394" t="e">
        <f ca="1">IF(NOT(OFFSET(Data!E917,0,MATCH('Delta Beta'!$C$5,Data!$B$4:$Q$4,0)-1)=""),OFFSET(Data!E917,0,MATCH('Delta Beta'!$C$5,Data!$B$4:$Q$4,0)-1),#N/A)-$C$8/250</f>
        <v>#N/A</v>
      </c>
      <c r="N914" s="395"/>
      <c r="R914" s="391"/>
    </row>
    <row r="915" spans="12:18">
      <c r="L915" s="394" t="e">
        <f ca="1">IF(NOT(OFFSET(Data!E918,0,MATCH('Delta Beta'!$C$5,Data!$B$4:$Q$4,0)-3)=""),OFFSET(Data!E918,0,MATCH('Delta Beta'!$C$5,Data!$B$4:$Q$4,0)-3),#N/A)-$C$8/250</f>
        <v>#N/A</v>
      </c>
      <c r="M915" s="394" t="e">
        <f ca="1">IF(NOT(OFFSET(Data!E918,0,MATCH('Delta Beta'!$C$5,Data!$B$4:$Q$4,0)-1)=""),OFFSET(Data!E918,0,MATCH('Delta Beta'!$C$5,Data!$B$4:$Q$4,0)-1),#N/A)-$C$8/250</f>
        <v>#N/A</v>
      </c>
      <c r="N915" s="395"/>
      <c r="R915" s="391"/>
    </row>
    <row r="916" spans="12:18">
      <c r="L916" s="394" t="e">
        <f ca="1">IF(NOT(OFFSET(Data!E919,0,MATCH('Delta Beta'!$C$5,Data!$B$4:$Q$4,0)-3)=""),OFFSET(Data!E919,0,MATCH('Delta Beta'!$C$5,Data!$B$4:$Q$4,0)-3),#N/A)-$C$8/250</f>
        <v>#N/A</v>
      </c>
      <c r="M916" s="394" t="e">
        <f ca="1">IF(NOT(OFFSET(Data!E919,0,MATCH('Delta Beta'!$C$5,Data!$B$4:$Q$4,0)-1)=""),OFFSET(Data!E919,0,MATCH('Delta Beta'!$C$5,Data!$B$4:$Q$4,0)-1),#N/A)-$C$8/250</f>
        <v>#N/A</v>
      </c>
      <c r="N916" s="395"/>
      <c r="R916" s="391"/>
    </row>
    <row r="917" spans="12:18">
      <c r="L917" s="394" t="e">
        <f ca="1">IF(NOT(OFFSET(Data!E920,0,MATCH('Delta Beta'!$C$5,Data!$B$4:$Q$4,0)-3)=""),OFFSET(Data!E920,0,MATCH('Delta Beta'!$C$5,Data!$B$4:$Q$4,0)-3),#N/A)-$C$8/250</f>
        <v>#N/A</v>
      </c>
      <c r="M917" s="394" t="e">
        <f ca="1">IF(NOT(OFFSET(Data!E920,0,MATCH('Delta Beta'!$C$5,Data!$B$4:$Q$4,0)-1)=""),OFFSET(Data!E920,0,MATCH('Delta Beta'!$C$5,Data!$B$4:$Q$4,0)-1),#N/A)-$C$8/250</f>
        <v>#N/A</v>
      </c>
      <c r="N917" s="395"/>
      <c r="R917" s="391"/>
    </row>
    <row r="918" spans="12:18">
      <c r="L918" s="394" t="e">
        <f ca="1">IF(NOT(OFFSET(Data!E921,0,MATCH('Delta Beta'!$C$5,Data!$B$4:$Q$4,0)-3)=""),OFFSET(Data!E921,0,MATCH('Delta Beta'!$C$5,Data!$B$4:$Q$4,0)-3),#N/A)-$C$8/250</f>
        <v>#N/A</v>
      </c>
      <c r="M918" s="394" t="e">
        <f ca="1">IF(NOT(OFFSET(Data!E921,0,MATCH('Delta Beta'!$C$5,Data!$B$4:$Q$4,0)-1)=""),OFFSET(Data!E921,0,MATCH('Delta Beta'!$C$5,Data!$B$4:$Q$4,0)-1),#N/A)-$C$8/250</f>
        <v>#N/A</v>
      </c>
      <c r="N918" s="395"/>
      <c r="R918" s="391"/>
    </row>
    <row r="919" spans="12:18">
      <c r="L919" s="394" t="e">
        <f ca="1">IF(NOT(OFFSET(Data!E922,0,MATCH('Delta Beta'!$C$5,Data!$B$4:$Q$4,0)-3)=""),OFFSET(Data!E922,0,MATCH('Delta Beta'!$C$5,Data!$B$4:$Q$4,0)-3),#N/A)-$C$8/250</f>
        <v>#N/A</v>
      </c>
      <c r="M919" s="394" t="e">
        <f ca="1">IF(NOT(OFFSET(Data!E922,0,MATCH('Delta Beta'!$C$5,Data!$B$4:$Q$4,0)-1)=""),OFFSET(Data!E922,0,MATCH('Delta Beta'!$C$5,Data!$B$4:$Q$4,0)-1),#N/A)-$C$8/250</f>
        <v>#N/A</v>
      </c>
      <c r="N919" s="395"/>
      <c r="R919" s="391"/>
    </row>
    <row r="920" spans="12:18">
      <c r="L920" s="394" t="e">
        <f ca="1">IF(NOT(OFFSET(Data!E923,0,MATCH('Delta Beta'!$C$5,Data!$B$4:$Q$4,0)-3)=""),OFFSET(Data!E923,0,MATCH('Delta Beta'!$C$5,Data!$B$4:$Q$4,0)-3),#N/A)-$C$8/250</f>
        <v>#N/A</v>
      </c>
      <c r="M920" s="394" t="e">
        <f ca="1">IF(NOT(OFFSET(Data!E923,0,MATCH('Delta Beta'!$C$5,Data!$B$4:$Q$4,0)-1)=""),OFFSET(Data!E923,0,MATCH('Delta Beta'!$C$5,Data!$B$4:$Q$4,0)-1),#N/A)-$C$8/250</f>
        <v>#N/A</v>
      </c>
      <c r="N920" s="395"/>
      <c r="R920" s="391"/>
    </row>
    <row r="921" spans="12:18">
      <c r="L921" s="394" t="e">
        <f ca="1">IF(NOT(OFFSET(Data!E924,0,MATCH('Delta Beta'!$C$5,Data!$B$4:$Q$4,0)-3)=""),OFFSET(Data!E924,0,MATCH('Delta Beta'!$C$5,Data!$B$4:$Q$4,0)-3),#N/A)-$C$8/250</f>
        <v>#N/A</v>
      </c>
      <c r="M921" s="394" t="e">
        <f ca="1">IF(NOT(OFFSET(Data!E924,0,MATCH('Delta Beta'!$C$5,Data!$B$4:$Q$4,0)-1)=""),OFFSET(Data!E924,0,MATCH('Delta Beta'!$C$5,Data!$B$4:$Q$4,0)-1),#N/A)-$C$8/250</f>
        <v>#N/A</v>
      </c>
      <c r="N921" s="395"/>
      <c r="R921" s="391"/>
    </row>
    <row r="922" spans="12:18">
      <c r="L922" s="394" t="e">
        <f ca="1">IF(NOT(OFFSET(Data!E925,0,MATCH('Delta Beta'!$C$5,Data!$B$4:$Q$4,0)-3)=""),OFFSET(Data!E925,0,MATCH('Delta Beta'!$C$5,Data!$B$4:$Q$4,0)-3),#N/A)-$C$8/250</f>
        <v>#N/A</v>
      </c>
      <c r="M922" s="394" t="e">
        <f ca="1">IF(NOT(OFFSET(Data!E925,0,MATCH('Delta Beta'!$C$5,Data!$B$4:$Q$4,0)-1)=""),OFFSET(Data!E925,0,MATCH('Delta Beta'!$C$5,Data!$B$4:$Q$4,0)-1),#N/A)-$C$8/250</f>
        <v>#N/A</v>
      </c>
      <c r="N922" s="395"/>
      <c r="R922" s="391"/>
    </row>
    <row r="923" spans="12:18">
      <c r="L923" s="394" t="e">
        <f ca="1">IF(NOT(OFFSET(Data!E926,0,MATCH('Delta Beta'!$C$5,Data!$B$4:$Q$4,0)-3)=""),OFFSET(Data!E926,0,MATCH('Delta Beta'!$C$5,Data!$B$4:$Q$4,0)-3),#N/A)-$C$8/250</f>
        <v>#N/A</v>
      </c>
      <c r="M923" s="394" t="e">
        <f ca="1">IF(NOT(OFFSET(Data!E926,0,MATCH('Delta Beta'!$C$5,Data!$B$4:$Q$4,0)-1)=""),OFFSET(Data!E926,0,MATCH('Delta Beta'!$C$5,Data!$B$4:$Q$4,0)-1),#N/A)-$C$8/250</f>
        <v>#N/A</v>
      </c>
      <c r="N923" s="395"/>
      <c r="R923" s="391"/>
    </row>
    <row r="924" spans="12:18">
      <c r="L924" s="394" t="e">
        <f ca="1">IF(NOT(OFFSET(Data!E927,0,MATCH('Delta Beta'!$C$5,Data!$B$4:$Q$4,0)-3)=""),OFFSET(Data!E927,0,MATCH('Delta Beta'!$C$5,Data!$B$4:$Q$4,0)-3),#N/A)-$C$8/250</f>
        <v>#N/A</v>
      </c>
      <c r="M924" s="394" t="e">
        <f ca="1">IF(NOT(OFFSET(Data!E927,0,MATCH('Delta Beta'!$C$5,Data!$B$4:$Q$4,0)-1)=""),OFFSET(Data!E927,0,MATCH('Delta Beta'!$C$5,Data!$B$4:$Q$4,0)-1),#N/A)-$C$8/250</f>
        <v>#N/A</v>
      </c>
      <c r="N924" s="395"/>
      <c r="R924" s="391"/>
    </row>
    <row r="925" spans="12:18">
      <c r="L925" s="394" t="e">
        <f ca="1">IF(NOT(OFFSET(Data!E928,0,MATCH('Delta Beta'!$C$5,Data!$B$4:$Q$4,0)-3)=""),OFFSET(Data!E928,0,MATCH('Delta Beta'!$C$5,Data!$B$4:$Q$4,0)-3),#N/A)-$C$8/250</f>
        <v>#N/A</v>
      </c>
      <c r="M925" s="394" t="e">
        <f ca="1">IF(NOT(OFFSET(Data!E928,0,MATCH('Delta Beta'!$C$5,Data!$B$4:$Q$4,0)-1)=""),OFFSET(Data!E928,0,MATCH('Delta Beta'!$C$5,Data!$B$4:$Q$4,0)-1),#N/A)-$C$8/250</f>
        <v>#N/A</v>
      </c>
      <c r="N925" s="395"/>
      <c r="R925" s="391"/>
    </row>
    <row r="926" spans="12:18">
      <c r="L926" s="394" t="e">
        <f ca="1">IF(NOT(OFFSET(Data!E929,0,MATCH('Delta Beta'!$C$5,Data!$B$4:$Q$4,0)-3)=""),OFFSET(Data!E929,0,MATCH('Delta Beta'!$C$5,Data!$B$4:$Q$4,0)-3),#N/A)-$C$8/250</f>
        <v>#N/A</v>
      </c>
      <c r="M926" s="394" t="e">
        <f ca="1">IF(NOT(OFFSET(Data!E929,0,MATCH('Delta Beta'!$C$5,Data!$B$4:$Q$4,0)-1)=""),OFFSET(Data!E929,0,MATCH('Delta Beta'!$C$5,Data!$B$4:$Q$4,0)-1),#N/A)-$C$8/250</f>
        <v>#N/A</v>
      </c>
      <c r="N926" s="395"/>
      <c r="R926" s="391"/>
    </row>
    <row r="927" spans="12:18">
      <c r="L927" s="394" t="e">
        <f ca="1">IF(NOT(OFFSET(Data!E930,0,MATCH('Delta Beta'!$C$5,Data!$B$4:$Q$4,0)-3)=""),OFFSET(Data!E930,0,MATCH('Delta Beta'!$C$5,Data!$B$4:$Q$4,0)-3),#N/A)-$C$8/250</f>
        <v>#N/A</v>
      </c>
      <c r="M927" s="394" t="e">
        <f ca="1">IF(NOT(OFFSET(Data!E930,0,MATCH('Delta Beta'!$C$5,Data!$B$4:$Q$4,0)-1)=""),OFFSET(Data!E930,0,MATCH('Delta Beta'!$C$5,Data!$B$4:$Q$4,0)-1),#N/A)-$C$8/250</f>
        <v>#N/A</v>
      </c>
      <c r="N927" s="395"/>
      <c r="R927" s="391"/>
    </row>
    <row r="928" spans="12:18">
      <c r="L928" s="394" t="e">
        <f ca="1">IF(NOT(OFFSET(Data!E931,0,MATCH('Delta Beta'!$C$5,Data!$B$4:$Q$4,0)-3)=""),OFFSET(Data!E931,0,MATCH('Delta Beta'!$C$5,Data!$B$4:$Q$4,0)-3),#N/A)-$C$8/250</f>
        <v>#N/A</v>
      </c>
      <c r="M928" s="394" t="e">
        <f ca="1">IF(NOT(OFFSET(Data!E931,0,MATCH('Delta Beta'!$C$5,Data!$B$4:$Q$4,0)-1)=""),OFFSET(Data!E931,0,MATCH('Delta Beta'!$C$5,Data!$B$4:$Q$4,0)-1),#N/A)-$C$8/250</f>
        <v>#N/A</v>
      </c>
      <c r="N928" s="395"/>
      <c r="R928" s="391"/>
    </row>
    <row r="929" spans="12:18">
      <c r="L929" s="394" t="e">
        <f ca="1">IF(NOT(OFFSET(Data!E932,0,MATCH('Delta Beta'!$C$5,Data!$B$4:$Q$4,0)-3)=""),OFFSET(Data!E932,0,MATCH('Delta Beta'!$C$5,Data!$B$4:$Q$4,0)-3),#N/A)-$C$8/250</f>
        <v>#N/A</v>
      </c>
      <c r="M929" s="394" t="e">
        <f ca="1">IF(NOT(OFFSET(Data!E932,0,MATCH('Delta Beta'!$C$5,Data!$B$4:$Q$4,0)-1)=""),OFFSET(Data!E932,0,MATCH('Delta Beta'!$C$5,Data!$B$4:$Q$4,0)-1),#N/A)-$C$8/250</f>
        <v>#N/A</v>
      </c>
      <c r="N929" s="395"/>
      <c r="R929" s="391"/>
    </row>
    <row r="930" spans="12:18">
      <c r="L930" s="394" t="e">
        <f ca="1">IF(NOT(OFFSET(Data!E933,0,MATCH('Delta Beta'!$C$5,Data!$B$4:$Q$4,0)-3)=""),OFFSET(Data!E933,0,MATCH('Delta Beta'!$C$5,Data!$B$4:$Q$4,0)-3),#N/A)-$C$8/250</f>
        <v>#N/A</v>
      </c>
      <c r="M930" s="394" t="e">
        <f ca="1">IF(NOT(OFFSET(Data!E933,0,MATCH('Delta Beta'!$C$5,Data!$B$4:$Q$4,0)-1)=""),OFFSET(Data!E933,0,MATCH('Delta Beta'!$C$5,Data!$B$4:$Q$4,0)-1),#N/A)-$C$8/250</f>
        <v>#N/A</v>
      </c>
      <c r="N930" s="395"/>
      <c r="R930" s="391"/>
    </row>
    <row r="931" spans="12:18">
      <c r="L931" s="394" t="e">
        <f ca="1">IF(NOT(OFFSET(Data!E934,0,MATCH('Delta Beta'!$C$5,Data!$B$4:$Q$4,0)-3)=""),OFFSET(Data!E934,0,MATCH('Delta Beta'!$C$5,Data!$B$4:$Q$4,0)-3),#N/A)-$C$8/250</f>
        <v>#N/A</v>
      </c>
      <c r="M931" s="394" t="e">
        <f ca="1">IF(NOT(OFFSET(Data!E934,0,MATCH('Delta Beta'!$C$5,Data!$B$4:$Q$4,0)-1)=""),OFFSET(Data!E934,0,MATCH('Delta Beta'!$C$5,Data!$B$4:$Q$4,0)-1),#N/A)-$C$8/250</f>
        <v>#N/A</v>
      </c>
      <c r="N931" s="395"/>
      <c r="R931" s="391"/>
    </row>
    <row r="932" spans="12:18">
      <c r="L932" s="394" t="e">
        <f ca="1">IF(NOT(OFFSET(Data!E935,0,MATCH('Delta Beta'!$C$5,Data!$B$4:$Q$4,0)-3)=""),OFFSET(Data!E935,0,MATCH('Delta Beta'!$C$5,Data!$B$4:$Q$4,0)-3),#N/A)-$C$8/250</f>
        <v>#N/A</v>
      </c>
      <c r="M932" s="394" t="e">
        <f ca="1">IF(NOT(OFFSET(Data!E935,0,MATCH('Delta Beta'!$C$5,Data!$B$4:$Q$4,0)-1)=""),OFFSET(Data!E935,0,MATCH('Delta Beta'!$C$5,Data!$B$4:$Q$4,0)-1),#N/A)-$C$8/250</f>
        <v>#N/A</v>
      </c>
      <c r="N932" s="395"/>
      <c r="R932" s="391"/>
    </row>
    <row r="933" spans="12:18">
      <c r="L933" s="394" t="e">
        <f ca="1">IF(NOT(OFFSET(Data!E936,0,MATCH('Delta Beta'!$C$5,Data!$B$4:$Q$4,0)-3)=""),OFFSET(Data!E936,0,MATCH('Delta Beta'!$C$5,Data!$B$4:$Q$4,0)-3),#N/A)-$C$8/250</f>
        <v>#N/A</v>
      </c>
      <c r="M933" s="394" t="e">
        <f ca="1">IF(NOT(OFFSET(Data!E936,0,MATCH('Delta Beta'!$C$5,Data!$B$4:$Q$4,0)-1)=""),OFFSET(Data!E936,0,MATCH('Delta Beta'!$C$5,Data!$B$4:$Q$4,0)-1),#N/A)-$C$8/250</f>
        <v>#N/A</v>
      </c>
      <c r="N933" s="395"/>
      <c r="R933" s="391"/>
    </row>
    <row r="934" spans="12:18">
      <c r="L934" s="394" t="e">
        <f ca="1">IF(NOT(OFFSET(Data!E937,0,MATCH('Delta Beta'!$C$5,Data!$B$4:$Q$4,0)-3)=""),OFFSET(Data!E937,0,MATCH('Delta Beta'!$C$5,Data!$B$4:$Q$4,0)-3),#N/A)-$C$8/250</f>
        <v>#N/A</v>
      </c>
      <c r="M934" s="394" t="e">
        <f ca="1">IF(NOT(OFFSET(Data!E937,0,MATCH('Delta Beta'!$C$5,Data!$B$4:$Q$4,0)-1)=""),OFFSET(Data!E937,0,MATCH('Delta Beta'!$C$5,Data!$B$4:$Q$4,0)-1),#N/A)-$C$8/250</f>
        <v>#N/A</v>
      </c>
      <c r="N934" s="395"/>
      <c r="R934" s="391"/>
    </row>
    <row r="935" spans="12:18">
      <c r="L935" s="394" t="e">
        <f ca="1">IF(NOT(OFFSET(Data!E938,0,MATCH('Delta Beta'!$C$5,Data!$B$4:$Q$4,0)-3)=""),OFFSET(Data!E938,0,MATCH('Delta Beta'!$C$5,Data!$B$4:$Q$4,0)-3),#N/A)-$C$8/250</f>
        <v>#N/A</v>
      </c>
      <c r="M935" s="394" t="e">
        <f ca="1">IF(NOT(OFFSET(Data!E938,0,MATCH('Delta Beta'!$C$5,Data!$B$4:$Q$4,0)-1)=""),OFFSET(Data!E938,0,MATCH('Delta Beta'!$C$5,Data!$B$4:$Q$4,0)-1),#N/A)-$C$8/250</f>
        <v>#N/A</v>
      </c>
      <c r="N935" s="395"/>
      <c r="R935" s="391"/>
    </row>
    <row r="936" spans="12:18">
      <c r="L936" s="394" t="e">
        <f ca="1">IF(NOT(OFFSET(Data!E939,0,MATCH('Delta Beta'!$C$5,Data!$B$4:$Q$4,0)-3)=""),OFFSET(Data!E939,0,MATCH('Delta Beta'!$C$5,Data!$B$4:$Q$4,0)-3),#N/A)-$C$8/250</f>
        <v>#N/A</v>
      </c>
      <c r="M936" s="394" t="e">
        <f ca="1">IF(NOT(OFFSET(Data!E939,0,MATCH('Delta Beta'!$C$5,Data!$B$4:$Q$4,0)-1)=""),OFFSET(Data!E939,0,MATCH('Delta Beta'!$C$5,Data!$B$4:$Q$4,0)-1),#N/A)-$C$8/250</f>
        <v>#N/A</v>
      </c>
      <c r="N936" s="395"/>
      <c r="R936" s="391"/>
    </row>
    <row r="937" spans="12:18">
      <c r="L937" s="394" t="e">
        <f ca="1">IF(NOT(OFFSET(Data!E940,0,MATCH('Delta Beta'!$C$5,Data!$B$4:$Q$4,0)-3)=""),OFFSET(Data!E940,0,MATCH('Delta Beta'!$C$5,Data!$B$4:$Q$4,0)-3),#N/A)-$C$8/250</f>
        <v>#N/A</v>
      </c>
      <c r="M937" s="394" t="e">
        <f ca="1">IF(NOT(OFFSET(Data!E940,0,MATCH('Delta Beta'!$C$5,Data!$B$4:$Q$4,0)-1)=""),OFFSET(Data!E940,0,MATCH('Delta Beta'!$C$5,Data!$B$4:$Q$4,0)-1),#N/A)-$C$8/250</f>
        <v>#N/A</v>
      </c>
      <c r="N937" s="395"/>
      <c r="R937" s="391"/>
    </row>
    <row r="938" spans="12:18">
      <c r="L938" s="394" t="e">
        <f ca="1">IF(NOT(OFFSET(Data!E941,0,MATCH('Delta Beta'!$C$5,Data!$B$4:$Q$4,0)-3)=""),OFFSET(Data!E941,0,MATCH('Delta Beta'!$C$5,Data!$B$4:$Q$4,0)-3),#N/A)-$C$8/250</f>
        <v>#N/A</v>
      </c>
      <c r="M938" s="394" t="e">
        <f ca="1">IF(NOT(OFFSET(Data!E941,0,MATCH('Delta Beta'!$C$5,Data!$B$4:$Q$4,0)-1)=""),OFFSET(Data!E941,0,MATCH('Delta Beta'!$C$5,Data!$B$4:$Q$4,0)-1),#N/A)-$C$8/250</f>
        <v>#N/A</v>
      </c>
      <c r="N938" s="395"/>
      <c r="R938" s="391"/>
    </row>
    <row r="939" spans="12:18">
      <c r="L939" s="394" t="e">
        <f ca="1">IF(NOT(OFFSET(Data!E942,0,MATCH('Delta Beta'!$C$5,Data!$B$4:$Q$4,0)-3)=""),OFFSET(Data!E942,0,MATCH('Delta Beta'!$C$5,Data!$B$4:$Q$4,0)-3),#N/A)-$C$8/250</f>
        <v>#N/A</v>
      </c>
      <c r="M939" s="394" t="e">
        <f ca="1">IF(NOT(OFFSET(Data!E942,0,MATCH('Delta Beta'!$C$5,Data!$B$4:$Q$4,0)-1)=""),OFFSET(Data!E942,0,MATCH('Delta Beta'!$C$5,Data!$B$4:$Q$4,0)-1),#N/A)-$C$8/250</f>
        <v>#N/A</v>
      </c>
      <c r="N939" s="395"/>
      <c r="R939" s="391"/>
    </row>
    <row r="940" spans="12:18">
      <c r="L940" s="394" t="e">
        <f ca="1">IF(NOT(OFFSET(Data!E943,0,MATCH('Delta Beta'!$C$5,Data!$B$4:$Q$4,0)-3)=""),OFFSET(Data!E943,0,MATCH('Delta Beta'!$C$5,Data!$B$4:$Q$4,0)-3),#N/A)-$C$8/250</f>
        <v>#N/A</v>
      </c>
      <c r="M940" s="394" t="e">
        <f ca="1">IF(NOT(OFFSET(Data!E943,0,MATCH('Delta Beta'!$C$5,Data!$B$4:$Q$4,0)-1)=""),OFFSET(Data!E943,0,MATCH('Delta Beta'!$C$5,Data!$B$4:$Q$4,0)-1),#N/A)-$C$8/250</f>
        <v>#N/A</v>
      </c>
      <c r="N940" s="395"/>
      <c r="R940" s="391"/>
    </row>
    <row r="941" spans="12:18">
      <c r="L941" s="394" t="e">
        <f ca="1">IF(NOT(OFFSET(Data!E944,0,MATCH('Delta Beta'!$C$5,Data!$B$4:$Q$4,0)-3)=""),OFFSET(Data!E944,0,MATCH('Delta Beta'!$C$5,Data!$B$4:$Q$4,0)-3),#N/A)-$C$8/250</f>
        <v>#N/A</v>
      </c>
      <c r="M941" s="394" t="e">
        <f ca="1">IF(NOT(OFFSET(Data!E944,0,MATCH('Delta Beta'!$C$5,Data!$B$4:$Q$4,0)-1)=""),OFFSET(Data!E944,0,MATCH('Delta Beta'!$C$5,Data!$B$4:$Q$4,0)-1),#N/A)-$C$8/250</f>
        <v>#N/A</v>
      </c>
      <c r="N941" s="395"/>
      <c r="R941" s="391"/>
    </row>
    <row r="942" spans="12:18">
      <c r="L942" s="394" t="e">
        <f ca="1">IF(NOT(OFFSET(Data!E945,0,MATCH('Delta Beta'!$C$5,Data!$B$4:$Q$4,0)-3)=""),OFFSET(Data!E945,0,MATCH('Delta Beta'!$C$5,Data!$B$4:$Q$4,0)-3),#N/A)-$C$8/250</f>
        <v>#N/A</v>
      </c>
      <c r="M942" s="394" t="e">
        <f ca="1">IF(NOT(OFFSET(Data!E945,0,MATCH('Delta Beta'!$C$5,Data!$B$4:$Q$4,0)-1)=""),OFFSET(Data!E945,0,MATCH('Delta Beta'!$C$5,Data!$B$4:$Q$4,0)-1),#N/A)-$C$8/250</f>
        <v>#N/A</v>
      </c>
      <c r="N942" s="395"/>
      <c r="R942" s="391"/>
    </row>
    <row r="943" spans="12:18">
      <c r="L943" s="394" t="e">
        <f ca="1">IF(NOT(OFFSET(Data!E946,0,MATCH('Delta Beta'!$C$5,Data!$B$4:$Q$4,0)-3)=""),OFFSET(Data!E946,0,MATCH('Delta Beta'!$C$5,Data!$B$4:$Q$4,0)-3),#N/A)-$C$8/250</f>
        <v>#N/A</v>
      </c>
      <c r="M943" s="394" t="e">
        <f ca="1">IF(NOT(OFFSET(Data!E946,0,MATCH('Delta Beta'!$C$5,Data!$B$4:$Q$4,0)-1)=""),OFFSET(Data!E946,0,MATCH('Delta Beta'!$C$5,Data!$B$4:$Q$4,0)-1),#N/A)-$C$8/250</f>
        <v>#N/A</v>
      </c>
      <c r="N943" s="395"/>
      <c r="R943" s="391"/>
    </row>
    <row r="944" spans="12:18">
      <c r="L944" s="394" t="e">
        <f ca="1">IF(NOT(OFFSET(Data!E947,0,MATCH('Delta Beta'!$C$5,Data!$B$4:$Q$4,0)-3)=""),OFFSET(Data!E947,0,MATCH('Delta Beta'!$C$5,Data!$B$4:$Q$4,0)-3),#N/A)-$C$8/250</f>
        <v>#N/A</v>
      </c>
      <c r="M944" s="394" t="e">
        <f ca="1">IF(NOT(OFFSET(Data!E947,0,MATCH('Delta Beta'!$C$5,Data!$B$4:$Q$4,0)-1)=""),OFFSET(Data!E947,0,MATCH('Delta Beta'!$C$5,Data!$B$4:$Q$4,0)-1),#N/A)-$C$8/250</f>
        <v>#N/A</v>
      </c>
      <c r="N944" s="395"/>
      <c r="R944" s="391"/>
    </row>
    <row r="945" spans="12:18">
      <c r="L945" s="394" t="e">
        <f ca="1">IF(NOT(OFFSET(Data!E948,0,MATCH('Delta Beta'!$C$5,Data!$B$4:$Q$4,0)-3)=""),OFFSET(Data!E948,0,MATCH('Delta Beta'!$C$5,Data!$B$4:$Q$4,0)-3),#N/A)-$C$8/250</f>
        <v>#N/A</v>
      </c>
      <c r="M945" s="394" t="e">
        <f ca="1">IF(NOT(OFFSET(Data!E948,0,MATCH('Delta Beta'!$C$5,Data!$B$4:$Q$4,0)-1)=""),OFFSET(Data!E948,0,MATCH('Delta Beta'!$C$5,Data!$B$4:$Q$4,0)-1),#N/A)-$C$8/250</f>
        <v>#N/A</v>
      </c>
      <c r="N945" s="395"/>
      <c r="R945" s="391"/>
    </row>
    <row r="946" spans="12:18">
      <c r="L946" s="394" t="e">
        <f ca="1">IF(NOT(OFFSET(Data!E949,0,MATCH('Delta Beta'!$C$5,Data!$B$4:$Q$4,0)-3)=""),OFFSET(Data!E949,0,MATCH('Delta Beta'!$C$5,Data!$B$4:$Q$4,0)-3),#N/A)-$C$8/250</f>
        <v>#N/A</v>
      </c>
      <c r="M946" s="394" t="e">
        <f ca="1">IF(NOT(OFFSET(Data!E949,0,MATCH('Delta Beta'!$C$5,Data!$B$4:$Q$4,0)-1)=""),OFFSET(Data!E949,0,MATCH('Delta Beta'!$C$5,Data!$B$4:$Q$4,0)-1),#N/A)-$C$8/250</f>
        <v>#N/A</v>
      </c>
      <c r="N946" s="395"/>
      <c r="R946" s="391"/>
    </row>
    <row r="947" spans="12:18">
      <c r="L947" s="394" t="e">
        <f ca="1">IF(NOT(OFFSET(Data!E950,0,MATCH('Delta Beta'!$C$5,Data!$B$4:$Q$4,0)-3)=""),OFFSET(Data!E950,0,MATCH('Delta Beta'!$C$5,Data!$B$4:$Q$4,0)-3),#N/A)-$C$8/250</f>
        <v>#N/A</v>
      </c>
      <c r="M947" s="394" t="e">
        <f ca="1">IF(NOT(OFFSET(Data!E950,0,MATCH('Delta Beta'!$C$5,Data!$B$4:$Q$4,0)-1)=""),OFFSET(Data!E950,0,MATCH('Delta Beta'!$C$5,Data!$B$4:$Q$4,0)-1),#N/A)-$C$8/250</f>
        <v>#N/A</v>
      </c>
      <c r="N947" s="395"/>
      <c r="R947" s="391"/>
    </row>
    <row r="948" spans="12:18">
      <c r="L948" s="394" t="e">
        <f ca="1">IF(NOT(OFFSET(Data!E951,0,MATCH('Delta Beta'!$C$5,Data!$B$4:$Q$4,0)-3)=""),OFFSET(Data!E951,0,MATCH('Delta Beta'!$C$5,Data!$B$4:$Q$4,0)-3),#N/A)-$C$8/250</f>
        <v>#N/A</v>
      </c>
      <c r="M948" s="394" t="e">
        <f ca="1">IF(NOT(OFFSET(Data!E951,0,MATCH('Delta Beta'!$C$5,Data!$B$4:$Q$4,0)-1)=""),OFFSET(Data!E951,0,MATCH('Delta Beta'!$C$5,Data!$B$4:$Q$4,0)-1),#N/A)-$C$8/250</f>
        <v>#N/A</v>
      </c>
      <c r="N948" s="395"/>
      <c r="R948" s="391"/>
    </row>
    <row r="949" spans="12:18">
      <c r="L949" s="394" t="e">
        <f ca="1">IF(NOT(OFFSET(Data!E952,0,MATCH('Delta Beta'!$C$5,Data!$B$4:$Q$4,0)-3)=""),OFFSET(Data!E952,0,MATCH('Delta Beta'!$C$5,Data!$B$4:$Q$4,0)-3),#N/A)-$C$8/250</f>
        <v>#N/A</v>
      </c>
      <c r="M949" s="394" t="e">
        <f ca="1">IF(NOT(OFFSET(Data!E952,0,MATCH('Delta Beta'!$C$5,Data!$B$4:$Q$4,0)-1)=""),OFFSET(Data!E952,0,MATCH('Delta Beta'!$C$5,Data!$B$4:$Q$4,0)-1),#N/A)-$C$8/250</f>
        <v>#N/A</v>
      </c>
      <c r="N949" s="395"/>
      <c r="R949" s="391"/>
    </row>
    <row r="950" spans="12:18">
      <c r="L950" s="394" t="e">
        <f ca="1">IF(NOT(OFFSET(Data!E953,0,MATCH('Delta Beta'!$C$5,Data!$B$4:$Q$4,0)-3)=""),OFFSET(Data!E953,0,MATCH('Delta Beta'!$C$5,Data!$B$4:$Q$4,0)-3),#N/A)-$C$8/250</f>
        <v>#N/A</v>
      </c>
      <c r="M950" s="394" t="e">
        <f ca="1">IF(NOT(OFFSET(Data!E953,0,MATCH('Delta Beta'!$C$5,Data!$B$4:$Q$4,0)-1)=""),OFFSET(Data!E953,0,MATCH('Delta Beta'!$C$5,Data!$B$4:$Q$4,0)-1),#N/A)-$C$8/250</f>
        <v>#N/A</v>
      </c>
      <c r="N950" s="395"/>
      <c r="R950" s="391"/>
    </row>
    <row r="951" spans="12:18">
      <c r="L951" s="394" t="e">
        <f ca="1">IF(NOT(OFFSET(Data!E954,0,MATCH('Delta Beta'!$C$5,Data!$B$4:$Q$4,0)-3)=""),OFFSET(Data!E954,0,MATCH('Delta Beta'!$C$5,Data!$B$4:$Q$4,0)-3),#N/A)-$C$8/250</f>
        <v>#N/A</v>
      </c>
      <c r="M951" s="394" t="e">
        <f ca="1">IF(NOT(OFFSET(Data!E954,0,MATCH('Delta Beta'!$C$5,Data!$B$4:$Q$4,0)-1)=""),OFFSET(Data!E954,0,MATCH('Delta Beta'!$C$5,Data!$B$4:$Q$4,0)-1),#N/A)-$C$8/250</f>
        <v>#N/A</v>
      </c>
      <c r="N951" s="395"/>
      <c r="R951" s="391"/>
    </row>
    <row r="952" spans="12:18">
      <c r="L952" s="394" t="e">
        <f ca="1">IF(NOT(OFFSET(Data!E955,0,MATCH('Delta Beta'!$C$5,Data!$B$4:$Q$4,0)-3)=""),OFFSET(Data!E955,0,MATCH('Delta Beta'!$C$5,Data!$B$4:$Q$4,0)-3),#N/A)-$C$8/250</f>
        <v>#N/A</v>
      </c>
      <c r="M952" s="394" t="e">
        <f ca="1">IF(NOT(OFFSET(Data!E955,0,MATCH('Delta Beta'!$C$5,Data!$B$4:$Q$4,0)-1)=""),OFFSET(Data!E955,0,MATCH('Delta Beta'!$C$5,Data!$B$4:$Q$4,0)-1),#N/A)-$C$8/250</f>
        <v>#N/A</v>
      </c>
      <c r="N952" s="395"/>
      <c r="R952" s="391"/>
    </row>
    <row r="953" spans="12:18">
      <c r="L953" s="394" t="e">
        <f ca="1">IF(NOT(OFFSET(Data!E956,0,MATCH('Delta Beta'!$C$5,Data!$B$4:$Q$4,0)-3)=""),OFFSET(Data!E956,0,MATCH('Delta Beta'!$C$5,Data!$B$4:$Q$4,0)-3),#N/A)-$C$8/250</f>
        <v>#N/A</v>
      </c>
      <c r="M953" s="394" t="e">
        <f ca="1">IF(NOT(OFFSET(Data!E956,0,MATCH('Delta Beta'!$C$5,Data!$B$4:$Q$4,0)-1)=""),OFFSET(Data!E956,0,MATCH('Delta Beta'!$C$5,Data!$B$4:$Q$4,0)-1),#N/A)-$C$8/250</f>
        <v>#N/A</v>
      </c>
      <c r="N953" s="395"/>
      <c r="R953" s="391"/>
    </row>
    <row r="954" spans="12:18">
      <c r="L954" s="394" t="e">
        <f ca="1">IF(NOT(OFFSET(Data!E957,0,MATCH('Delta Beta'!$C$5,Data!$B$4:$Q$4,0)-3)=""),OFFSET(Data!E957,0,MATCH('Delta Beta'!$C$5,Data!$B$4:$Q$4,0)-3),#N/A)-$C$8/250</f>
        <v>#N/A</v>
      </c>
      <c r="M954" s="394" t="e">
        <f ca="1">IF(NOT(OFFSET(Data!E957,0,MATCH('Delta Beta'!$C$5,Data!$B$4:$Q$4,0)-1)=""),OFFSET(Data!E957,0,MATCH('Delta Beta'!$C$5,Data!$B$4:$Q$4,0)-1),#N/A)-$C$8/250</f>
        <v>#N/A</v>
      </c>
      <c r="N954" s="395"/>
      <c r="R954" s="391"/>
    </row>
    <row r="955" spans="12:18">
      <c r="L955" s="394" t="e">
        <f ca="1">IF(NOT(OFFSET(Data!E958,0,MATCH('Delta Beta'!$C$5,Data!$B$4:$Q$4,0)-3)=""),OFFSET(Data!E958,0,MATCH('Delta Beta'!$C$5,Data!$B$4:$Q$4,0)-3),#N/A)-$C$8/250</f>
        <v>#N/A</v>
      </c>
      <c r="M955" s="394" t="e">
        <f ca="1">IF(NOT(OFFSET(Data!E958,0,MATCH('Delta Beta'!$C$5,Data!$B$4:$Q$4,0)-1)=""),OFFSET(Data!E958,0,MATCH('Delta Beta'!$C$5,Data!$B$4:$Q$4,0)-1),#N/A)-$C$8/250</f>
        <v>#N/A</v>
      </c>
      <c r="N955" s="395"/>
      <c r="R955" s="391"/>
    </row>
    <row r="956" spans="12:18">
      <c r="L956" s="394" t="e">
        <f ca="1">IF(NOT(OFFSET(Data!E959,0,MATCH('Delta Beta'!$C$5,Data!$B$4:$Q$4,0)-3)=""),OFFSET(Data!E959,0,MATCH('Delta Beta'!$C$5,Data!$B$4:$Q$4,0)-3),#N/A)-$C$8/250</f>
        <v>#N/A</v>
      </c>
      <c r="M956" s="394" t="e">
        <f ca="1">IF(NOT(OFFSET(Data!E959,0,MATCH('Delta Beta'!$C$5,Data!$B$4:$Q$4,0)-1)=""),OFFSET(Data!E959,0,MATCH('Delta Beta'!$C$5,Data!$B$4:$Q$4,0)-1),#N/A)-$C$8/250</f>
        <v>#N/A</v>
      </c>
      <c r="N956" s="395"/>
      <c r="R956" s="391"/>
    </row>
    <row r="957" spans="12:18">
      <c r="L957" s="394" t="e">
        <f ca="1">IF(NOT(OFFSET(Data!E960,0,MATCH('Delta Beta'!$C$5,Data!$B$4:$Q$4,0)-3)=""),OFFSET(Data!E960,0,MATCH('Delta Beta'!$C$5,Data!$B$4:$Q$4,0)-3),#N/A)-$C$8/250</f>
        <v>#N/A</v>
      </c>
      <c r="M957" s="394" t="e">
        <f ca="1">IF(NOT(OFFSET(Data!E960,0,MATCH('Delta Beta'!$C$5,Data!$B$4:$Q$4,0)-1)=""),OFFSET(Data!E960,0,MATCH('Delta Beta'!$C$5,Data!$B$4:$Q$4,0)-1),#N/A)-$C$8/250</f>
        <v>#N/A</v>
      </c>
      <c r="N957" s="395"/>
      <c r="R957" s="391"/>
    </row>
    <row r="958" spans="12:18">
      <c r="L958" s="394" t="e">
        <f ca="1">IF(NOT(OFFSET(Data!E961,0,MATCH('Delta Beta'!$C$5,Data!$B$4:$Q$4,0)-3)=""),OFFSET(Data!E961,0,MATCH('Delta Beta'!$C$5,Data!$B$4:$Q$4,0)-3),#N/A)-$C$8/250</f>
        <v>#N/A</v>
      </c>
      <c r="M958" s="394" t="e">
        <f ca="1">IF(NOT(OFFSET(Data!E961,0,MATCH('Delta Beta'!$C$5,Data!$B$4:$Q$4,0)-1)=""),OFFSET(Data!E961,0,MATCH('Delta Beta'!$C$5,Data!$B$4:$Q$4,0)-1),#N/A)-$C$8/250</f>
        <v>#N/A</v>
      </c>
      <c r="N958" s="395"/>
      <c r="R958" s="391"/>
    </row>
    <row r="959" spans="12:18">
      <c r="L959" s="394" t="e">
        <f ca="1">IF(NOT(OFFSET(Data!E962,0,MATCH('Delta Beta'!$C$5,Data!$B$4:$Q$4,0)-3)=""),OFFSET(Data!E962,0,MATCH('Delta Beta'!$C$5,Data!$B$4:$Q$4,0)-3),#N/A)-$C$8/250</f>
        <v>#N/A</v>
      </c>
      <c r="M959" s="394" t="e">
        <f ca="1">IF(NOT(OFFSET(Data!E962,0,MATCH('Delta Beta'!$C$5,Data!$B$4:$Q$4,0)-1)=""),OFFSET(Data!E962,0,MATCH('Delta Beta'!$C$5,Data!$B$4:$Q$4,0)-1),#N/A)-$C$8/250</f>
        <v>#N/A</v>
      </c>
      <c r="N959" s="395"/>
      <c r="R959" s="391"/>
    </row>
    <row r="960" spans="12:18">
      <c r="L960" s="394" t="e">
        <f ca="1">IF(NOT(OFFSET(Data!E963,0,MATCH('Delta Beta'!$C$5,Data!$B$4:$Q$4,0)-3)=""),OFFSET(Data!E963,0,MATCH('Delta Beta'!$C$5,Data!$B$4:$Q$4,0)-3),#N/A)-$C$8/250</f>
        <v>#N/A</v>
      </c>
      <c r="M960" s="394" t="e">
        <f ca="1">IF(NOT(OFFSET(Data!E963,0,MATCH('Delta Beta'!$C$5,Data!$B$4:$Q$4,0)-1)=""),OFFSET(Data!E963,0,MATCH('Delta Beta'!$C$5,Data!$B$4:$Q$4,0)-1),#N/A)-$C$8/250</f>
        <v>#N/A</v>
      </c>
      <c r="N960" s="395"/>
      <c r="R960" s="391"/>
    </row>
    <row r="961" spans="12:18">
      <c r="L961" s="394" t="e">
        <f ca="1">IF(NOT(OFFSET(Data!E964,0,MATCH('Delta Beta'!$C$5,Data!$B$4:$Q$4,0)-3)=""),OFFSET(Data!E964,0,MATCH('Delta Beta'!$C$5,Data!$B$4:$Q$4,0)-3),#N/A)-$C$8/250</f>
        <v>#N/A</v>
      </c>
      <c r="M961" s="394" t="e">
        <f ca="1">IF(NOT(OFFSET(Data!E964,0,MATCH('Delta Beta'!$C$5,Data!$B$4:$Q$4,0)-1)=""),OFFSET(Data!E964,0,MATCH('Delta Beta'!$C$5,Data!$B$4:$Q$4,0)-1),#N/A)-$C$8/250</f>
        <v>#N/A</v>
      </c>
      <c r="N961" s="395"/>
      <c r="R961" s="391"/>
    </row>
    <row r="962" spans="12:18">
      <c r="L962" s="394" t="e">
        <f ca="1">IF(NOT(OFFSET(Data!E965,0,MATCH('Delta Beta'!$C$5,Data!$B$4:$Q$4,0)-3)=""),OFFSET(Data!E965,0,MATCH('Delta Beta'!$C$5,Data!$B$4:$Q$4,0)-3),#N/A)-$C$8/250</f>
        <v>#N/A</v>
      </c>
      <c r="M962" s="394" t="e">
        <f ca="1">IF(NOT(OFFSET(Data!E965,0,MATCH('Delta Beta'!$C$5,Data!$B$4:$Q$4,0)-1)=""),OFFSET(Data!E965,0,MATCH('Delta Beta'!$C$5,Data!$B$4:$Q$4,0)-1),#N/A)-$C$8/250</f>
        <v>#N/A</v>
      </c>
      <c r="N962" s="395"/>
      <c r="R962" s="391"/>
    </row>
    <row r="963" spans="12:18">
      <c r="L963" s="394" t="e">
        <f ca="1">IF(NOT(OFFSET(Data!E966,0,MATCH('Delta Beta'!$C$5,Data!$B$4:$Q$4,0)-3)=""),OFFSET(Data!E966,0,MATCH('Delta Beta'!$C$5,Data!$B$4:$Q$4,0)-3),#N/A)-$C$8/250</f>
        <v>#N/A</v>
      </c>
      <c r="M963" s="394" t="e">
        <f ca="1">IF(NOT(OFFSET(Data!E966,0,MATCH('Delta Beta'!$C$5,Data!$B$4:$Q$4,0)-1)=""),OFFSET(Data!E966,0,MATCH('Delta Beta'!$C$5,Data!$B$4:$Q$4,0)-1),#N/A)-$C$8/250</f>
        <v>#N/A</v>
      </c>
      <c r="N963" s="395"/>
      <c r="R963" s="391"/>
    </row>
    <row r="964" spans="12:18">
      <c r="L964" s="394" t="e">
        <f ca="1">IF(NOT(OFFSET(Data!E967,0,MATCH('Delta Beta'!$C$5,Data!$B$4:$Q$4,0)-3)=""),OFFSET(Data!E967,0,MATCH('Delta Beta'!$C$5,Data!$B$4:$Q$4,0)-3),#N/A)-$C$8/250</f>
        <v>#N/A</v>
      </c>
      <c r="M964" s="394" t="e">
        <f ca="1">IF(NOT(OFFSET(Data!E967,0,MATCH('Delta Beta'!$C$5,Data!$B$4:$Q$4,0)-1)=""),OFFSET(Data!E967,0,MATCH('Delta Beta'!$C$5,Data!$B$4:$Q$4,0)-1),#N/A)-$C$8/250</f>
        <v>#N/A</v>
      </c>
      <c r="N964" s="395"/>
      <c r="R964" s="391"/>
    </row>
    <row r="965" spans="12:18">
      <c r="L965" s="394" t="e">
        <f ca="1">IF(NOT(OFFSET(Data!E968,0,MATCH('Delta Beta'!$C$5,Data!$B$4:$Q$4,0)-3)=""),OFFSET(Data!E968,0,MATCH('Delta Beta'!$C$5,Data!$B$4:$Q$4,0)-3),#N/A)-$C$8/250</f>
        <v>#N/A</v>
      </c>
      <c r="M965" s="394" t="e">
        <f ca="1">IF(NOT(OFFSET(Data!E968,0,MATCH('Delta Beta'!$C$5,Data!$B$4:$Q$4,0)-1)=""),OFFSET(Data!E968,0,MATCH('Delta Beta'!$C$5,Data!$B$4:$Q$4,0)-1),#N/A)-$C$8/250</f>
        <v>#N/A</v>
      </c>
      <c r="N965" s="395"/>
      <c r="R965" s="391"/>
    </row>
    <row r="966" spans="12:18">
      <c r="L966" s="394" t="e">
        <f ca="1">IF(NOT(OFFSET(Data!E969,0,MATCH('Delta Beta'!$C$5,Data!$B$4:$Q$4,0)-3)=""),OFFSET(Data!E969,0,MATCH('Delta Beta'!$C$5,Data!$B$4:$Q$4,0)-3),#N/A)-$C$8/250</f>
        <v>#N/A</v>
      </c>
      <c r="M966" s="394" t="e">
        <f ca="1">IF(NOT(OFFSET(Data!E969,0,MATCH('Delta Beta'!$C$5,Data!$B$4:$Q$4,0)-1)=""),OFFSET(Data!E969,0,MATCH('Delta Beta'!$C$5,Data!$B$4:$Q$4,0)-1),#N/A)-$C$8/250</f>
        <v>#N/A</v>
      </c>
      <c r="N966" s="395"/>
      <c r="R966" s="391"/>
    </row>
    <row r="967" spans="12:18">
      <c r="L967" s="394" t="e">
        <f ca="1">IF(NOT(OFFSET(Data!E970,0,MATCH('Delta Beta'!$C$5,Data!$B$4:$Q$4,0)-3)=""),OFFSET(Data!E970,0,MATCH('Delta Beta'!$C$5,Data!$B$4:$Q$4,0)-3),#N/A)-$C$8/250</f>
        <v>#N/A</v>
      </c>
      <c r="M967" s="394" t="e">
        <f ca="1">IF(NOT(OFFSET(Data!E970,0,MATCH('Delta Beta'!$C$5,Data!$B$4:$Q$4,0)-1)=""),OFFSET(Data!E970,0,MATCH('Delta Beta'!$C$5,Data!$B$4:$Q$4,0)-1),#N/A)-$C$8/250</f>
        <v>#N/A</v>
      </c>
      <c r="N967" s="395"/>
      <c r="R967" s="391"/>
    </row>
    <row r="968" spans="12:18">
      <c r="L968" s="394" t="e">
        <f ca="1">IF(NOT(OFFSET(Data!E971,0,MATCH('Delta Beta'!$C$5,Data!$B$4:$Q$4,0)-3)=""),OFFSET(Data!E971,0,MATCH('Delta Beta'!$C$5,Data!$B$4:$Q$4,0)-3),#N/A)-$C$8/250</f>
        <v>#N/A</v>
      </c>
      <c r="M968" s="394" t="e">
        <f ca="1">IF(NOT(OFFSET(Data!E971,0,MATCH('Delta Beta'!$C$5,Data!$B$4:$Q$4,0)-1)=""),OFFSET(Data!E971,0,MATCH('Delta Beta'!$C$5,Data!$B$4:$Q$4,0)-1),#N/A)-$C$8/250</f>
        <v>#N/A</v>
      </c>
      <c r="N968" s="395"/>
      <c r="R968" s="391"/>
    </row>
    <row r="969" spans="12:18">
      <c r="L969" s="394" t="e">
        <f ca="1">IF(NOT(OFFSET(Data!E972,0,MATCH('Delta Beta'!$C$5,Data!$B$4:$Q$4,0)-3)=""),OFFSET(Data!E972,0,MATCH('Delta Beta'!$C$5,Data!$B$4:$Q$4,0)-3),#N/A)-$C$8/250</f>
        <v>#N/A</v>
      </c>
      <c r="M969" s="394" t="e">
        <f ca="1">IF(NOT(OFFSET(Data!E972,0,MATCH('Delta Beta'!$C$5,Data!$B$4:$Q$4,0)-1)=""),OFFSET(Data!E972,0,MATCH('Delta Beta'!$C$5,Data!$B$4:$Q$4,0)-1),#N/A)-$C$8/250</f>
        <v>#N/A</v>
      </c>
      <c r="N969" s="395"/>
      <c r="R969" s="391"/>
    </row>
    <row r="970" spans="12:18">
      <c r="L970" s="394" t="e">
        <f ca="1">IF(NOT(OFFSET(Data!E973,0,MATCH('Delta Beta'!$C$5,Data!$B$4:$Q$4,0)-3)=""),OFFSET(Data!E973,0,MATCH('Delta Beta'!$C$5,Data!$B$4:$Q$4,0)-3),#N/A)-$C$8/250</f>
        <v>#N/A</v>
      </c>
      <c r="M970" s="394" t="e">
        <f ca="1">IF(NOT(OFFSET(Data!E973,0,MATCH('Delta Beta'!$C$5,Data!$B$4:$Q$4,0)-1)=""),OFFSET(Data!E973,0,MATCH('Delta Beta'!$C$5,Data!$B$4:$Q$4,0)-1),#N/A)-$C$8/250</f>
        <v>#N/A</v>
      </c>
      <c r="N970" s="395"/>
      <c r="R970" s="391"/>
    </row>
    <row r="971" spans="12:18">
      <c r="L971" s="394" t="e">
        <f ca="1">IF(NOT(OFFSET(Data!E974,0,MATCH('Delta Beta'!$C$5,Data!$B$4:$Q$4,0)-3)=""),OFFSET(Data!E974,0,MATCH('Delta Beta'!$C$5,Data!$B$4:$Q$4,0)-3),#N/A)-$C$8/250</f>
        <v>#N/A</v>
      </c>
      <c r="M971" s="394" t="e">
        <f ca="1">IF(NOT(OFFSET(Data!E974,0,MATCH('Delta Beta'!$C$5,Data!$B$4:$Q$4,0)-1)=""),OFFSET(Data!E974,0,MATCH('Delta Beta'!$C$5,Data!$B$4:$Q$4,0)-1),#N/A)-$C$8/250</f>
        <v>#N/A</v>
      </c>
      <c r="N971" s="395"/>
      <c r="R971" s="391"/>
    </row>
    <row r="972" spans="12:18">
      <c r="L972" s="394" t="e">
        <f ca="1">IF(NOT(OFFSET(Data!E975,0,MATCH('Delta Beta'!$C$5,Data!$B$4:$Q$4,0)-3)=""),OFFSET(Data!E975,0,MATCH('Delta Beta'!$C$5,Data!$B$4:$Q$4,0)-3),#N/A)-$C$8/250</f>
        <v>#N/A</v>
      </c>
      <c r="M972" s="394" t="e">
        <f ca="1">IF(NOT(OFFSET(Data!E975,0,MATCH('Delta Beta'!$C$5,Data!$B$4:$Q$4,0)-1)=""),OFFSET(Data!E975,0,MATCH('Delta Beta'!$C$5,Data!$B$4:$Q$4,0)-1),#N/A)-$C$8/250</f>
        <v>#N/A</v>
      </c>
      <c r="N972" s="395"/>
      <c r="R972" s="391"/>
    </row>
    <row r="973" spans="12:18">
      <c r="L973" s="394" t="e">
        <f ca="1">IF(NOT(OFFSET(Data!E976,0,MATCH('Delta Beta'!$C$5,Data!$B$4:$Q$4,0)-3)=""),OFFSET(Data!E976,0,MATCH('Delta Beta'!$C$5,Data!$B$4:$Q$4,0)-3),#N/A)-$C$8/250</f>
        <v>#N/A</v>
      </c>
      <c r="M973" s="394" t="e">
        <f ca="1">IF(NOT(OFFSET(Data!E976,0,MATCH('Delta Beta'!$C$5,Data!$B$4:$Q$4,0)-1)=""),OFFSET(Data!E976,0,MATCH('Delta Beta'!$C$5,Data!$B$4:$Q$4,0)-1),#N/A)-$C$8/250</f>
        <v>#N/A</v>
      </c>
      <c r="N973" s="395"/>
      <c r="R973" s="391"/>
    </row>
    <row r="974" spans="12:18">
      <c r="L974" s="394" t="e">
        <f ca="1">IF(NOT(OFFSET(Data!E977,0,MATCH('Delta Beta'!$C$5,Data!$B$4:$Q$4,0)-3)=""),OFFSET(Data!E977,0,MATCH('Delta Beta'!$C$5,Data!$B$4:$Q$4,0)-3),#N/A)-$C$8/250</f>
        <v>#N/A</v>
      </c>
      <c r="M974" s="394" t="e">
        <f ca="1">IF(NOT(OFFSET(Data!E977,0,MATCH('Delta Beta'!$C$5,Data!$B$4:$Q$4,0)-1)=""),OFFSET(Data!E977,0,MATCH('Delta Beta'!$C$5,Data!$B$4:$Q$4,0)-1),#N/A)-$C$8/250</f>
        <v>#N/A</v>
      </c>
      <c r="N974" s="395"/>
      <c r="R974" s="391"/>
    </row>
    <row r="975" spans="12:18">
      <c r="L975" s="394" t="e">
        <f ca="1">IF(NOT(OFFSET(Data!E978,0,MATCH('Delta Beta'!$C$5,Data!$B$4:$Q$4,0)-3)=""),OFFSET(Data!E978,0,MATCH('Delta Beta'!$C$5,Data!$B$4:$Q$4,0)-3),#N/A)-$C$8/250</f>
        <v>#N/A</v>
      </c>
      <c r="M975" s="394" t="e">
        <f ca="1">IF(NOT(OFFSET(Data!E978,0,MATCH('Delta Beta'!$C$5,Data!$B$4:$Q$4,0)-1)=""),OFFSET(Data!E978,0,MATCH('Delta Beta'!$C$5,Data!$B$4:$Q$4,0)-1),#N/A)-$C$8/250</f>
        <v>#N/A</v>
      </c>
      <c r="N975" s="395"/>
      <c r="R975" s="391"/>
    </row>
    <row r="976" spans="12:18">
      <c r="L976" s="394" t="e">
        <f ca="1">IF(NOT(OFFSET(Data!E979,0,MATCH('Delta Beta'!$C$5,Data!$B$4:$Q$4,0)-3)=""),OFFSET(Data!E979,0,MATCH('Delta Beta'!$C$5,Data!$B$4:$Q$4,0)-3),#N/A)-$C$8/250</f>
        <v>#N/A</v>
      </c>
      <c r="M976" s="394" t="e">
        <f ca="1">IF(NOT(OFFSET(Data!E979,0,MATCH('Delta Beta'!$C$5,Data!$B$4:$Q$4,0)-1)=""),OFFSET(Data!E979,0,MATCH('Delta Beta'!$C$5,Data!$B$4:$Q$4,0)-1),#N/A)-$C$8/250</f>
        <v>#N/A</v>
      </c>
      <c r="N976" s="395"/>
      <c r="R976" s="391"/>
    </row>
    <row r="977" spans="12:18">
      <c r="L977" s="394" t="e">
        <f ca="1">IF(NOT(OFFSET(Data!E980,0,MATCH('Delta Beta'!$C$5,Data!$B$4:$Q$4,0)-3)=""),OFFSET(Data!E980,0,MATCH('Delta Beta'!$C$5,Data!$B$4:$Q$4,0)-3),#N/A)-$C$8/250</f>
        <v>#N/A</v>
      </c>
      <c r="M977" s="394" t="e">
        <f ca="1">IF(NOT(OFFSET(Data!E980,0,MATCH('Delta Beta'!$C$5,Data!$B$4:$Q$4,0)-1)=""),OFFSET(Data!E980,0,MATCH('Delta Beta'!$C$5,Data!$B$4:$Q$4,0)-1),#N/A)-$C$8/250</f>
        <v>#N/A</v>
      </c>
      <c r="N977" s="395"/>
      <c r="R977" s="391"/>
    </row>
    <row r="978" spans="12:18">
      <c r="L978" s="394" t="e">
        <f ca="1">IF(NOT(OFFSET(Data!E981,0,MATCH('Delta Beta'!$C$5,Data!$B$4:$Q$4,0)-3)=""),OFFSET(Data!E981,0,MATCH('Delta Beta'!$C$5,Data!$B$4:$Q$4,0)-3),#N/A)-$C$8/250</f>
        <v>#N/A</v>
      </c>
      <c r="M978" s="394" t="e">
        <f ca="1">IF(NOT(OFFSET(Data!E981,0,MATCH('Delta Beta'!$C$5,Data!$B$4:$Q$4,0)-1)=""),OFFSET(Data!E981,0,MATCH('Delta Beta'!$C$5,Data!$B$4:$Q$4,0)-1),#N/A)-$C$8/250</f>
        <v>#N/A</v>
      </c>
      <c r="N978" s="395"/>
      <c r="R978" s="391"/>
    </row>
    <row r="979" spans="12:18">
      <c r="L979" s="394" t="e">
        <f ca="1">IF(NOT(OFFSET(Data!E982,0,MATCH('Delta Beta'!$C$5,Data!$B$4:$Q$4,0)-3)=""),OFFSET(Data!E982,0,MATCH('Delta Beta'!$C$5,Data!$B$4:$Q$4,0)-3),#N/A)-$C$8/250</f>
        <v>#N/A</v>
      </c>
      <c r="M979" s="394" t="e">
        <f ca="1">IF(NOT(OFFSET(Data!E982,0,MATCH('Delta Beta'!$C$5,Data!$B$4:$Q$4,0)-1)=""),OFFSET(Data!E982,0,MATCH('Delta Beta'!$C$5,Data!$B$4:$Q$4,0)-1),#N/A)-$C$8/250</f>
        <v>#N/A</v>
      </c>
      <c r="N979" s="395"/>
      <c r="R979" s="391"/>
    </row>
    <row r="980" spans="12:18">
      <c r="L980" s="394" t="e">
        <f ca="1">IF(NOT(OFFSET(Data!E983,0,MATCH('Delta Beta'!$C$5,Data!$B$4:$Q$4,0)-3)=""),OFFSET(Data!E983,0,MATCH('Delta Beta'!$C$5,Data!$B$4:$Q$4,0)-3),#N/A)-$C$8/250</f>
        <v>#N/A</v>
      </c>
      <c r="M980" s="394" t="e">
        <f ca="1">IF(NOT(OFFSET(Data!E983,0,MATCH('Delta Beta'!$C$5,Data!$B$4:$Q$4,0)-1)=""),OFFSET(Data!E983,0,MATCH('Delta Beta'!$C$5,Data!$B$4:$Q$4,0)-1),#N/A)-$C$8/250</f>
        <v>#N/A</v>
      </c>
      <c r="N980" s="395"/>
      <c r="R980" s="391"/>
    </row>
    <row r="981" spans="12:18">
      <c r="L981" s="394" t="e">
        <f ca="1">IF(NOT(OFFSET(Data!E984,0,MATCH('Delta Beta'!$C$5,Data!$B$4:$Q$4,0)-3)=""),OFFSET(Data!E984,0,MATCH('Delta Beta'!$C$5,Data!$B$4:$Q$4,0)-3),#N/A)-$C$8/250</f>
        <v>#N/A</v>
      </c>
      <c r="M981" s="394" t="e">
        <f ca="1">IF(NOT(OFFSET(Data!E984,0,MATCH('Delta Beta'!$C$5,Data!$B$4:$Q$4,0)-1)=""),OFFSET(Data!E984,0,MATCH('Delta Beta'!$C$5,Data!$B$4:$Q$4,0)-1),#N/A)-$C$8/250</f>
        <v>#N/A</v>
      </c>
      <c r="N981" s="395"/>
      <c r="R981" s="391"/>
    </row>
    <row r="982" spans="12:18">
      <c r="L982" s="394" t="e">
        <f ca="1">IF(NOT(OFFSET(Data!E985,0,MATCH('Delta Beta'!$C$5,Data!$B$4:$Q$4,0)-3)=""),OFFSET(Data!E985,0,MATCH('Delta Beta'!$C$5,Data!$B$4:$Q$4,0)-3),#N/A)-$C$8/250</f>
        <v>#N/A</v>
      </c>
      <c r="M982" s="394" t="e">
        <f ca="1">IF(NOT(OFFSET(Data!E985,0,MATCH('Delta Beta'!$C$5,Data!$B$4:$Q$4,0)-1)=""),OFFSET(Data!E985,0,MATCH('Delta Beta'!$C$5,Data!$B$4:$Q$4,0)-1),#N/A)-$C$8/250</f>
        <v>#N/A</v>
      </c>
      <c r="N982" s="395"/>
      <c r="R982" s="391"/>
    </row>
    <row r="983" spans="12:18">
      <c r="L983" s="394" t="e">
        <f ca="1">IF(NOT(OFFSET(Data!E986,0,MATCH('Delta Beta'!$C$5,Data!$B$4:$Q$4,0)-3)=""),OFFSET(Data!E986,0,MATCH('Delta Beta'!$C$5,Data!$B$4:$Q$4,0)-3),#N/A)-$C$8/250</f>
        <v>#N/A</v>
      </c>
      <c r="M983" s="394" t="e">
        <f ca="1">IF(NOT(OFFSET(Data!E986,0,MATCH('Delta Beta'!$C$5,Data!$B$4:$Q$4,0)-1)=""),OFFSET(Data!E986,0,MATCH('Delta Beta'!$C$5,Data!$B$4:$Q$4,0)-1),#N/A)-$C$8/250</f>
        <v>#N/A</v>
      </c>
      <c r="N983" s="395"/>
      <c r="R983" s="391"/>
    </row>
    <row r="984" spans="12:18">
      <c r="L984" s="394" t="e">
        <f ca="1">IF(NOT(OFFSET(Data!E987,0,MATCH('Delta Beta'!$C$5,Data!$B$4:$Q$4,0)-3)=""),OFFSET(Data!E987,0,MATCH('Delta Beta'!$C$5,Data!$B$4:$Q$4,0)-3),#N/A)-$C$8/250</f>
        <v>#N/A</v>
      </c>
      <c r="M984" s="394" t="e">
        <f ca="1">IF(NOT(OFFSET(Data!E987,0,MATCH('Delta Beta'!$C$5,Data!$B$4:$Q$4,0)-1)=""),OFFSET(Data!E987,0,MATCH('Delta Beta'!$C$5,Data!$B$4:$Q$4,0)-1),#N/A)-$C$8/250</f>
        <v>#N/A</v>
      </c>
      <c r="N984" s="395"/>
      <c r="R984" s="391"/>
    </row>
    <row r="985" spans="12:18">
      <c r="L985" s="394" t="e">
        <f ca="1">IF(NOT(OFFSET(Data!E988,0,MATCH('Delta Beta'!$C$5,Data!$B$4:$Q$4,0)-3)=""),OFFSET(Data!E988,0,MATCH('Delta Beta'!$C$5,Data!$B$4:$Q$4,0)-3),#N/A)-$C$8/250</f>
        <v>#N/A</v>
      </c>
      <c r="M985" s="394" t="e">
        <f ca="1">IF(NOT(OFFSET(Data!E988,0,MATCH('Delta Beta'!$C$5,Data!$B$4:$Q$4,0)-1)=""),OFFSET(Data!E988,0,MATCH('Delta Beta'!$C$5,Data!$B$4:$Q$4,0)-1),#N/A)-$C$8/250</f>
        <v>#N/A</v>
      </c>
      <c r="N985" s="395"/>
      <c r="R985" s="391"/>
    </row>
    <row r="986" spans="12:18">
      <c r="L986" s="394" t="e">
        <f ca="1">IF(NOT(OFFSET(Data!E989,0,MATCH('Delta Beta'!$C$5,Data!$B$4:$Q$4,0)-3)=""),OFFSET(Data!E989,0,MATCH('Delta Beta'!$C$5,Data!$B$4:$Q$4,0)-3),#N/A)-$C$8/250</f>
        <v>#N/A</v>
      </c>
      <c r="M986" s="394" t="e">
        <f ca="1">IF(NOT(OFFSET(Data!E989,0,MATCH('Delta Beta'!$C$5,Data!$B$4:$Q$4,0)-1)=""),OFFSET(Data!E989,0,MATCH('Delta Beta'!$C$5,Data!$B$4:$Q$4,0)-1),#N/A)-$C$8/250</f>
        <v>#N/A</v>
      </c>
      <c r="N986" s="395"/>
      <c r="R986" s="391"/>
    </row>
    <row r="987" spans="12:18">
      <c r="L987" s="394" t="e">
        <f ca="1">IF(NOT(OFFSET(Data!E990,0,MATCH('Delta Beta'!$C$5,Data!$B$4:$Q$4,0)-3)=""),OFFSET(Data!E990,0,MATCH('Delta Beta'!$C$5,Data!$B$4:$Q$4,0)-3),#N/A)-$C$8/250</f>
        <v>#N/A</v>
      </c>
      <c r="M987" s="394" t="e">
        <f ca="1">IF(NOT(OFFSET(Data!E990,0,MATCH('Delta Beta'!$C$5,Data!$B$4:$Q$4,0)-1)=""),OFFSET(Data!E990,0,MATCH('Delta Beta'!$C$5,Data!$B$4:$Q$4,0)-1),#N/A)-$C$8/250</f>
        <v>#N/A</v>
      </c>
      <c r="N987" s="395"/>
      <c r="R987" s="391"/>
    </row>
    <row r="988" spans="12:18">
      <c r="L988" s="394" t="e">
        <f ca="1">IF(NOT(OFFSET(Data!E991,0,MATCH('Delta Beta'!$C$5,Data!$B$4:$Q$4,0)-3)=""),OFFSET(Data!E991,0,MATCH('Delta Beta'!$C$5,Data!$B$4:$Q$4,0)-3),#N/A)-$C$8/250</f>
        <v>#N/A</v>
      </c>
      <c r="M988" s="394" t="e">
        <f ca="1">IF(NOT(OFFSET(Data!E991,0,MATCH('Delta Beta'!$C$5,Data!$B$4:$Q$4,0)-1)=""),OFFSET(Data!E991,0,MATCH('Delta Beta'!$C$5,Data!$B$4:$Q$4,0)-1),#N/A)-$C$8/250</f>
        <v>#N/A</v>
      </c>
      <c r="N988" s="395"/>
      <c r="R988" s="391"/>
    </row>
    <row r="989" spans="12:18">
      <c r="L989" s="394" t="e">
        <f ca="1">IF(NOT(OFFSET(Data!E992,0,MATCH('Delta Beta'!$C$5,Data!$B$4:$Q$4,0)-3)=""),OFFSET(Data!E992,0,MATCH('Delta Beta'!$C$5,Data!$B$4:$Q$4,0)-3),#N/A)-$C$8/250</f>
        <v>#N/A</v>
      </c>
      <c r="M989" s="394" t="e">
        <f ca="1">IF(NOT(OFFSET(Data!E992,0,MATCH('Delta Beta'!$C$5,Data!$B$4:$Q$4,0)-1)=""),OFFSET(Data!E992,0,MATCH('Delta Beta'!$C$5,Data!$B$4:$Q$4,0)-1),#N/A)-$C$8/250</f>
        <v>#N/A</v>
      </c>
      <c r="N989" s="395"/>
      <c r="R989" s="391"/>
    </row>
    <row r="990" spans="12:18">
      <c r="L990" s="394" t="e">
        <f ca="1">IF(NOT(OFFSET(Data!E993,0,MATCH('Delta Beta'!$C$5,Data!$B$4:$Q$4,0)-3)=""),OFFSET(Data!E993,0,MATCH('Delta Beta'!$C$5,Data!$B$4:$Q$4,0)-3),#N/A)-$C$8/250</f>
        <v>#N/A</v>
      </c>
      <c r="M990" s="394" t="e">
        <f ca="1">IF(NOT(OFFSET(Data!E993,0,MATCH('Delta Beta'!$C$5,Data!$B$4:$Q$4,0)-1)=""),OFFSET(Data!E993,0,MATCH('Delta Beta'!$C$5,Data!$B$4:$Q$4,0)-1),#N/A)-$C$8/250</f>
        <v>#N/A</v>
      </c>
      <c r="N990" s="395"/>
      <c r="R990" s="391"/>
    </row>
    <row r="991" spans="12:18">
      <c r="L991" s="394" t="e">
        <f ca="1">IF(NOT(OFFSET(Data!E994,0,MATCH('Delta Beta'!$C$5,Data!$B$4:$Q$4,0)-3)=""),OFFSET(Data!E994,0,MATCH('Delta Beta'!$C$5,Data!$B$4:$Q$4,0)-3),#N/A)-$C$8/250</f>
        <v>#N/A</v>
      </c>
      <c r="M991" s="394" t="e">
        <f ca="1">IF(NOT(OFFSET(Data!E994,0,MATCH('Delta Beta'!$C$5,Data!$B$4:$Q$4,0)-1)=""),OFFSET(Data!E994,0,MATCH('Delta Beta'!$C$5,Data!$B$4:$Q$4,0)-1),#N/A)-$C$8/250</f>
        <v>#N/A</v>
      </c>
      <c r="N991" s="395"/>
      <c r="R991" s="391"/>
    </row>
    <row r="992" spans="12:18">
      <c r="L992" s="394" t="e">
        <f ca="1">IF(NOT(OFFSET(Data!E995,0,MATCH('Delta Beta'!$C$5,Data!$B$4:$Q$4,0)-3)=""),OFFSET(Data!E995,0,MATCH('Delta Beta'!$C$5,Data!$B$4:$Q$4,0)-3),#N/A)-$C$8/250</f>
        <v>#N/A</v>
      </c>
      <c r="M992" s="394" t="e">
        <f ca="1">IF(NOT(OFFSET(Data!E995,0,MATCH('Delta Beta'!$C$5,Data!$B$4:$Q$4,0)-1)=""),OFFSET(Data!E995,0,MATCH('Delta Beta'!$C$5,Data!$B$4:$Q$4,0)-1),#N/A)-$C$8/250</f>
        <v>#N/A</v>
      </c>
      <c r="N992" s="395"/>
      <c r="R992" s="391"/>
    </row>
    <row r="993" spans="12:18">
      <c r="L993" s="394" t="e">
        <f ca="1">IF(NOT(OFFSET(Data!E996,0,MATCH('Delta Beta'!$C$5,Data!$B$4:$Q$4,0)-3)=""),OFFSET(Data!E996,0,MATCH('Delta Beta'!$C$5,Data!$B$4:$Q$4,0)-3),#N/A)-$C$8/250</f>
        <v>#N/A</v>
      </c>
      <c r="M993" s="394" t="e">
        <f ca="1">IF(NOT(OFFSET(Data!E996,0,MATCH('Delta Beta'!$C$5,Data!$B$4:$Q$4,0)-1)=""),OFFSET(Data!E996,0,MATCH('Delta Beta'!$C$5,Data!$B$4:$Q$4,0)-1),#N/A)-$C$8/250</f>
        <v>#N/A</v>
      </c>
      <c r="N993" s="395"/>
      <c r="R993" s="391"/>
    </row>
    <row r="994" spans="12:18">
      <c r="L994" s="394" t="e">
        <f ca="1">IF(NOT(OFFSET(Data!E997,0,MATCH('Delta Beta'!$C$5,Data!$B$4:$Q$4,0)-3)=""),OFFSET(Data!E997,0,MATCH('Delta Beta'!$C$5,Data!$B$4:$Q$4,0)-3),#N/A)-$C$8/250</f>
        <v>#N/A</v>
      </c>
      <c r="M994" s="394" t="e">
        <f ca="1">IF(NOT(OFFSET(Data!E997,0,MATCH('Delta Beta'!$C$5,Data!$B$4:$Q$4,0)-1)=""),OFFSET(Data!E997,0,MATCH('Delta Beta'!$C$5,Data!$B$4:$Q$4,0)-1),#N/A)-$C$8/250</f>
        <v>#N/A</v>
      </c>
      <c r="N994" s="395"/>
      <c r="R994" s="391"/>
    </row>
    <row r="995" spans="12:18">
      <c r="L995" s="394" t="e">
        <f ca="1">IF(NOT(OFFSET(Data!E998,0,MATCH('Delta Beta'!$C$5,Data!$B$4:$Q$4,0)-3)=""),OFFSET(Data!E998,0,MATCH('Delta Beta'!$C$5,Data!$B$4:$Q$4,0)-3),#N/A)-$C$8/250</f>
        <v>#N/A</v>
      </c>
      <c r="M995" s="394" t="e">
        <f ca="1">IF(NOT(OFFSET(Data!E998,0,MATCH('Delta Beta'!$C$5,Data!$B$4:$Q$4,0)-1)=""),OFFSET(Data!E998,0,MATCH('Delta Beta'!$C$5,Data!$B$4:$Q$4,0)-1),#N/A)-$C$8/250</f>
        <v>#N/A</v>
      </c>
      <c r="N995" s="395"/>
      <c r="R995" s="391"/>
    </row>
    <row r="996" spans="12:18">
      <c r="L996" s="394" t="e">
        <f ca="1">IF(NOT(OFFSET(Data!E999,0,MATCH('Delta Beta'!$C$5,Data!$B$4:$Q$4,0)-3)=""),OFFSET(Data!E999,0,MATCH('Delta Beta'!$C$5,Data!$B$4:$Q$4,0)-3),#N/A)-$C$8/250</f>
        <v>#N/A</v>
      </c>
      <c r="M996" s="394" t="e">
        <f ca="1">IF(NOT(OFFSET(Data!E999,0,MATCH('Delta Beta'!$C$5,Data!$B$4:$Q$4,0)-1)=""),OFFSET(Data!E999,0,MATCH('Delta Beta'!$C$5,Data!$B$4:$Q$4,0)-1),#N/A)-$C$8/250</f>
        <v>#N/A</v>
      </c>
      <c r="N996" s="395"/>
      <c r="R996" s="391"/>
    </row>
    <row r="997" spans="12:18">
      <c r="L997" s="394" t="e">
        <f ca="1">IF(NOT(OFFSET(Data!E1000,0,MATCH('Delta Beta'!$C$5,Data!$B$4:$Q$4,0)-3)=""),OFFSET(Data!E1000,0,MATCH('Delta Beta'!$C$5,Data!$B$4:$Q$4,0)-3),#N/A)-$C$8/250</f>
        <v>#N/A</v>
      </c>
      <c r="M997" s="394" t="e">
        <f ca="1">IF(NOT(OFFSET(Data!E1000,0,MATCH('Delta Beta'!$C$5,Data!$B$4:$Q$4,0)-1)=""),OFFSET(Data!E1000,0,MATCH('Delta Beta'!$C$5,Data!$B$4:$Q$4,0)-1),#N/A)-$C$8/250</f>
        <v>#N/A</v>
      </c>
      <c r="N997" s="395"/>
      <c r="R997" s="391"/>
    </row>
    <row r="998" spans="12:18">
      <c r="L998" s="394" t="e">
        <f ca="1">IF(NOT(OFFSET(Data!E1001,0,MATCH('Delta Beta'!$C$5,Data!$B$4:$Q$4,0)-3)=""),OFFSET(Data!E1001,0,MATCH('Delta Beta'!$C$5,Data!$B$4:$Q$4,0)-3),#N/A)-$C$8/250</f>
        <v>#N/A</v>
      </c>
      <c r="M998" s="394" t="e">
        <f ca="1">IF(NOT(OFFSET(Data!E1001,0,MATCH('Delta Beta'!$C$5,Data!$B$4:$Q$4,0)-1)=""),OFFSET(Data!E1001,0,MATCH('Delta Beta'!$C$5,Data!$B$4:$Q$4,0)-1),#N/A)-$C$8/250</f>
        <v>#N/A</v>
      </c>
      <c r="N998" s="395"/>
      <c r="R998" s="391"/>
    </row>
    <row r="999" spans="12:18">
      <c r="L999" s="394" t="e">
        <f ca="1">IF(NOT(OFFSET(Data!E1002,0,MATCH('Delta Beta'!$C$5,Data!$B$4:$Q$4,0)-3)=""),OFFSET(Data!E1002,0,MATCH('Delta Beta'!$C$5,Data!$B$4:$Q$4,0)-3),#N/A)-$C$8/250</f>
        <v>#N/A</v>
      </c>
      <c r="M999" s="394" t="e">
        <f ca="1">IF(NOT(OFFSET(Data!E1002,0,MATCH('Delta Beta'!$C$5,Data!$B$4:$Q$4,0)-1)=""),OFFSET(Data!E1002,0,MATCH('Delta Beta'!$C$5,Data!$B$4:$Q$4,0)-1),#N/A)-$C$8/250</f>
        <v>#N/A</v>
      </c>
      <c r="N999" s="395"/>
      <c r="R999" s="391"/>
    </row>
    <row r="1000" spans="12:18">
      <c r="L1000" s="394" t="e">
        <f ca="1">IF(NOT(OFFSET(Data!E1003,0,MATCH('Delta Beta'!$C$5,Data!$B$4:$Q$4,0)-3)=""),OFFSET(Data!E1003,0,MATCH('Delta Beta'!$C$5,Data!$B$4:$Q$4,0)-3),#N/A)-$C$8/250</f>
        <v>#N/A</v>
      </c>
      <c r="M1000" s="394" t="e">
        <f ca="1">IF(NOT(OFFSET(Data!E1003,0,MATCH('Delta Beta'!$C$5,Data!$B$4:$Q$4,0)-1)=""),OFFSET(Data!E1003,0,MATCH('Delta Beta'!$C$5,Data!$B$4:$Q$4,0)-1),#N/A)-$C$8/250</f>
        <v>#N/A</v>
      </c>
      <c r="N1000" s="395"/>
      <c r="R1000" s="391"/>
    </row>
    <row r="1001" spans="12:18">
      <c r="L1001" s="394" t="e">
        <f ca="1">IF(NOT(OFFSET(Data!E1004,0,MATCH('Delta Beta'!$C$5,Data!$B$4:$Q$4,0)-3)=""),OFFSET(Data!E1004,0,MATCH('Delta Beta'!$C$5,Data!$B$4:$Q$4,0)-3),#N/A)-$C$8/250</f>
        <v>#N/A</v>
      </c>
      <c r="M1001" s="394" t="e">
        <f ca="1">IF(NOT(OFFSET(Data!E1004,0,MATCH('Delta Beta'!$C$5,Data!$B$4:$Q$4,0)-1)=""),OFFSET(Data!E1004,0,MATCH('Delta Beta'!$C$5,Data!$B$4:$Q$4,0)-1),#N/A)-$C$8/250</f>
        <v>#N/A</v>
      </c>
      <c r="N1001" s="395"/>
      <c r="R1001" s="391"/>
    </row>
    <row r="1002" spans="12:18">
      <c r="L1002" s="394" t="e">
        <f ca="1">IF(NOT(OFFSET(Data!E1005,0,MATCH('Delta Beta'!$C$5,Data!$B$4:$Q$4,0)-3)=""),OFFSET(Data!E1005,0,MATCH('Delta Beta'!$C$5,Data!$B$4:$Q$4,0)-3),#N/A)-$C$8/250</f>
        <v>#N/A</v>
      </c>
      <c r="M1002" s="394" t="e">
        <f ca="1">IF(NOT(OFFSET(Data!E1005,0,MATCH('Delta Beta'!$C$5,Data!$B$4:$Q$4,0)-1)=""),OFFSET(Data!E1005,0,MATCH('Delta Beta'!$C$5,Data!$B$4:$Q$4,0)-1),#N/A)-$C$8/250</f>
        <v>#N/A</v>
      </c>
      <c r="N1002" s="395"/>
      <c r="R1002" s="391"/>
    </row>
    <row r="1003" spans="12:18">
      <c r="L1003" s="394" t="e">
        <f ca="1">IF(NOT(OFFSET(Data!E1006,0,MATCH('Delta Beta'!$C$5,Data!$B$4:$Q$4,0)-3)=""),OFFSET(Data!E1006,0,MATCH('Delta Beta'!$C$5,Data!$B$4:$Q$4,0)-3),#N/A)-$C$8/250</f>
        <v>#N/A</v>
      </c>
      <c r="M1003" s="394" t="e">
        <f ca="1">IF(NOT(OFFSET(Data!E1006,0,MATCH('Delta Beta'!$C$5,Data!$B$4:$Q$4,0)-1)=""),OFFSET(Data!E1006,0,MATCH('Delta Beta'!$C$5,Data!$B$4:$Q$4,0)-1),#N/A)-$C$8/250</f>
        <v>#N/A</v>
      </c>
      <c r="N1003" s="395"/>
      <c r="R1003" s="391"/>
    </row>
    <row r="1004" spans="12:18">
      <c r="L1004" s="394" t="e">
        <f ca="1">IF(NOT(OFFSET(Data!E1007,0,MATCH('Delta Beta'!$C$5,Data!$B$4:$Q$4,0)-3)=""),OFFSET(Data!E1007,0,MATCH('Delta Beta'!$C$5,Data!$B$4:$Q$4,0)-3),#N/A)-$C$8/250</f>
        <v>#N/A</v>
      </c>
      <c r="M1004" s="394" t="e">
        <f ca="1">IF(NOT(OFFSET(Data!E1007,0,MATCH('Delta Beta'!$C$5,Data!$B$4:$Q$4,0)-1)=""),OFFSET(Data!E1007,0,MATCH('Delta Beta'!$C$5,Data!$B$4:$Q$4,0)-1),#N/A)-$C$8/250</f>
        <v>#N/A</v>
      </c>
      <c r="N1004" s="395"/>
      <c r="R1004" s="391"/>
    </row>
    <row r="1005" spans="12:18">
      <c r="L1005" s="394" t="e">
        <f ca="1">IF(NOT(OFFSET(Data!E1008,0,MATCH('Delta Beta'!$C$5,Data!$B$4:$Q$4,0)-3)=""),OFFSET(Data!E1008,0,MATCH('Delta Beta'!$C$5,Data!$B$4:$Q$4,0)-3),#N/A)-$C$8/250</f>
        <v>#N/A</v>
      </c>
      <c r="M1005" s="394" t="e">
        <f ca="1">IF(NOT(OFFSET(Data!E1008,0,MATCH('Delta Beta'!$C$5,Data!$B$4:$Q$4,0)-1)=""),OFFSET(Data!E1008,0,MATCH('Delta Beta'!$C$5,Data!$B$4:$Q$4,0)-1),#N/A)-$C$8/250</f>
        <v>#N/A</v>
      </c>
      <c r="N1005" s="395"/>
      <c r="R1005" s="391"/>
    </row>
    <row r="1006" spans="12:18">
      <c r="L1006" s="394" t="e">
        <f ca="1">IF(NOT(OFFSET(Data!E1009,0,MATCH('Delta Beta'!$C$5,Data!$B$4:$Q$4,0)-3)=""),OFFSET(Data!E1009,0,MATCH('Delta Beta'!$C$5,Data!$B$4:$Q$4,0)-3),#N/A)-$C$8/250</f>
        <v>#N/A</v>
      </c>
      <c r="M1006" s="394" t="e">
        <f ca="1">IF(NOT(OFFSET(Data!E1009,0,MATCH('Delta Beta'!$C$5,Data!$B$4:$Q$4,0)-1)=""),OFFSET(Data!E1009,0,MATCH('Delta Beta'!$C$5,Data!$B$4:$Q$4,0)-1),#N/A)-$C$8/250</f>
        <v>#N/A</v>
      </c>
      <c r="N1006" s="395"/>
      <c r="R1006" s="391"/>
    </row>
    <row r="1007" spans="12:18">
      <c r="L1007" s="394" t="e">
        <f ca="1">IF(NOT(OFFSET(Data!E1010,0,MATCH('Delta Beta'!$C$5,Data!$B$4:$Q$4,0)-3)=""),OFFSET(Data!E1010,0,MATCH('Delta Beta'!$C$5,Data!$B$4:$Q$4,0)-3),#N/A)-$C$8/250</f>
        <v>#N/A</v>
      </c>
      <c r="M1007" s="394" t="e">
        <f ca="1">IF(NOT(OFFSET(Data!E1010,0,MATCH('Delta Beta'!$C$5,Data!$B$4:$Q$4,0)-1)=""),OFFSET(Data!E1010,0,MATCH('Delta Beta'!$C$5,Data!$B$4:$Q$4,0)-1),#N/A)-$C$8/250</f>
        <v>#N/A</v>
      </c>
      <c r="N1007" s="395"/>
      <c r="R1007" s="391"/>
    </row>
    <row r="1008" spans="12:18">
      <c r="L1008" s="394" t="e">
        <f ca="1">IF(NOT(OFFSET(Data!E1011,0,MATCH('Delta Beta'!$C$5,Data!$B$4:$Q$4,0)-3)=""),OFFSET(Data!E1011,0,MATCH('Delta Beta'!$C$5,Data!$B$4:$Q$4,0)-3),#N/A)-$C$8/250</f>
        <v>#N/A</v>
      </c>
      <c r="M1008" s="394" t="e">
        <f ca="1">IF(NOT(OFFSET(Data!E1011,0,MATCH('Delta Beta'!$C$5,Data!$B$4:$Q$4,0)-1)=""),OFFSET(Data!E1011,0,MATCH('Delta Beta'!$C$5,Data!$B$4:$Q$4,0)-1),#N/A)-$C$8/250</f>
        <v>#N/A</v>
      </c>
      <c r="N1008" s="395"/>
      <c r="R1008" s="391"/>
    </row>
    <row r="1009" spans="12:18">
      <c r="L1009" s="394" t="e">
        <f ca="1">IF(NOT(OFFSET(Data!E1012,0,MATCH('Delta Beta'!$C$5,Data!$B$4:$Q$4,0)-3)=""),OFFSET(Data!E1012,0,MATCH('Delta Beta'!$C$5,Data!$B$4:$Q$4,0)-3),#N/A)-$C$8/250</f>
        <v>#N/A</v>
      </c>
      <c r="M1009" s="394" t="e">
        <f ca="1">IF(NOT(OFFSET(Data!E1012,0,MATCH('Delta Beta'!$C$5,Data!$B$4:$Q$4,0)-1)=""),OFFSET(Data!E1012,0,MATCH('Delta Beta'!$C$5,Data!$B$4:$Q$4,0)-1),#N/A)-$C$8/250</f>
        <v>#N/A</v>
      </c>
      <c r="N1009" s="395"/>
      <c r="R1009" s="391"/>
    </row>
    <row r="1010" spans="12:18">
      <c r="L1010" s="394" t="e">
        <f ca="1">IF(NOT(OFFSET(Data!E1013,0,MATCH('Delta Beta'!$C$5,Data!$B$4:$Q$4,0)-3)=""),OFFSET(Data!E1013,0,MATCH('Delta Beta'!$C$5,Data!$B$4:$Q$4,0)-3),#N/A)-$C$8/250</f>
        <v>#N/A</v>
      </c>
      <c r="M1010" s="394" t="e">
        <f ca="1">IF(NOT(OFFSET(Data!E1013,0,MATCH('Delta Beta'!$C$5,Data!$B$4:$Q$4,0)-1)=""),OFFSET(Data!E1013,0,MATCH('Delta Beta'!$C$5,Data!$B$4:$Q$4,0)-1),#N/A)-$C$8/250</f>
        <v>#N/A</v>
      </c>
      <c r="N1010" s="395"/>
      <c r="R1010" s="391"/>
    </row>
    <row r="1011" spans="12:18">
      <c r="L1011" s="394" t="e">
        <f ca="1">IF(NOT(OFFSET(Data!E1014,0,MATCH('Delta Beta'!$C$5,Data!$B$4:$Q$4,0)-3)=""),OFFSET(Data!E1014,0,MATCH('Delta Beta'!$C$5,Data!$B$4:$Q$4,0)-3),#N/A)-$C$8/250</f>
        <v>#N/A</v>
      </c>
      <c r="M1011" s="394" t="e">
        <f ca="1">IF(NOT(OFFSET(Data!E1014,0,MATCH('Delta Beta'!$C$5,Data!$B$4:$Q$4,0)-1)=""),OFFSET(Data!E1014,0,MATCH('Delta Beta'!$C$5,Data!$B$4:$Q$4,0)-1),#N/A)-$C$8/250</f>
        <v>#N/A</v>
      </c>
      <c r="N1011" s="395"/>
      <c r="R1011" s="391"/>
    </row>
    <row r="1012" spans="12:18">
      <c r="L1012" s="394" t="e">
        <f ca="1">IF(NOT(OFFSET(Data!E1015,0,MATCH('Delta Beta'!$C$5,Data!$B$4:$Q$4,0)-3)=""),OFFSET(Data!E1015,0,MATCH('Delta Beta'!$C$5,Data!$B$4:$Q$4,0)-3),#N/A)-$C$8/250</f>
        <v>#N/A</v>
      </c>
      <c r="M1012" s="394" t="e">
        <f ca="1">IF(NOT(OFFSET(Data!E1015,0,MATCH('Delta Beta'!$C$5,Data!$B$4:$Q$4,0)-1)=""),OFFSET(Data!E1015,0,MATCH('Delta Beta'!$C$5,Data!$B$4:$Q$4,0)-1),#N/A)-$C$8/250</f>
        <v>#N/A</v>
      </c>
      <c r="N1012" s="395"/>
      <c r="R1012" s="391"/>
    </row>
    <row r="1013" spans="12:18">
      <c r="L1013" s="394" t="e">
        <f ca="1">IF(NOT(OFFSET(Data!E1016,0,MATCH('Delta Beta'!$C$5,Data!$B$4:$Q$4,0)-3)=""),OFFSET(Data!E1016,0,MATCH('Delta Beta'!$C$5,Data!$B$4:$Q$4,0)-3),#N/A)-$C$8/250</f>
        <v>#N/A</v>
      </c>
      <c r="M1013" s="394" t="e">
        <f ca="1">IF(NOT(OFFSET(Data!E1016,0,MATCH('Delta Beta'!$C$5,Data!$B$4:$Q$4,0)-1)=""),OFFSET(Data!E1016,0,MATCH('Delta Beta'!$C$5,Data!$B$4:$Q$4,0)-1),#N/A)-$C$8/250</f>
        <v>#N/A</v>
      </c>
      <c r="N1013" s="395"/>
      <c r="R1013" s="391"/>
    </row>
    <row r="1014" spans="12:18">
      <c r="L1014" s="394" t="e">
        <f ca="1">IF(NOT(OFFSET(Data!E1017,0,MATCH('Delta Beta'!$C$5,Data!$B$4:$Q$4,0)-3)=""),OFFSET(Data!E1017,0,MATCH('Delta Beta'!$C$5,Data!$B$4:$Q$4,0)-3),#N/A)-$C$8/250</f>
        <v>#N/A</v>
      </c>
      <c r="M1014" s="394" t="e">
        <f ca="1">IF(NOT(OFFSET(Data!E1017,0,MATCH('Delta Beta'!$C$5,Data!$B$4:$Q$4,0)-1)=""),OFFSET(Data!E1017,0,MATCH('Delta Beta'!$C$5,Data!$B$4:$Q$4,0)-1),#N/A)-$C$8/250</f>
        <v>#N/A</v>
      </c>
      <c r="N1014" s="395"/>
      <c r="R1014" s="391"/>
    </row>
    <row r="1015" spans="12:18">
      <c r="L1015" s="394" t="e">
        <f ca="1">IF(NOT(OFFSET(Data!E1018,0,MATCH('Delta Beta'!$C$5,Data!$B$4:$Q$4,0)-3)=""),OFFSET(Data!E1018,0,MATCH('Delta Beta'!$C$5,Data!$B$4:$Q$4,0)-3),#N/A)-$C$8/250</f>
        <v>#N/A</v>
      </c>
      <c r="M1015" s="394" t="e">
        <f ca="1">IF(NOT(OFFSET(Data!E1018,0,MATCH('Delta Beta'!$C$5,Data!$B$4:$Q$4,0)-1)=""),OFFSET(Data!E1018,0,MATCH('Delta Beta'!$C$5,Data!$B$4:$Q$4,0)-1),#N/A)-$C$8/250</f>
        <v>#N/A</v>
      </c>
      <c r="N1015" s="395"/>
      <c r="R1015" s="391"/>
    </row>
    <row r="1016" spans="12:18">
      <c r="L1016" s="394" t="e">
        <f ca="1">IF(NOT(OFFSET(Data!E1019,0,MATCH('Delta Beta'!$C$5,Data!$B$4:$Q$4,0)-3)=""),OFFSET(Data!E1019,0,MATCH('Delta Beta'!$C$5,Data!$B$4:$Q$4,0)-3),#N/A)-$C$8/250</f>
        <v>#N/A</v>
      </c>
      <c r="M1016" s="394" t="e">
        <f ca="1">IF(NOT(OFFSET(Data!E1019,0,MATCH('Delta Beta'!$C$5,Data!$B$4:$Q$4,0)-1)=""),OFFSET(Data!E1019,0,MATCH('Delta Beta'!$C$5,Data!$B$4:$Q$4,0)-1),#N/A)-$C$8/250</f>
        <v>#N/A</v>
      </c>
      <c r="N1016" s="395"/>
      <c r="R1016" s="391"/>
    </row>
    <row r="1017" spans="12:18">
      <c r="L1017" s="394" t="e">
        <f ca="1">IF(NOT(OFFSET(Data!E1020,0,MATCH('Delta Beta'!$C$5,Data!$B$4:$Q$4,0)-3)=""),OFFSET(Data!E1020,0,MATCH('Delta Beta'!$C$5,Data!$B$4:$Q$4,0)-3),#N/A)-$C$8/250</f>
        <v>#N/A</v>
      </c>
      <c r="M1017" s="394" t="e">
        <f ca="1">IF(NOT(OFFSET(Data!E1020,0,MATCH('Delta Beta'!$C$5,Data!$B$4:$Q$4,0)-1)=""),OFFSET(Data!E1020,0,MATCH('Delta Beta'!$C$5,Data!$B$4:$Q$4,0)-1),#N/A)-$C$8/250</f>
        <v>#N/A</v>
      </c>
      <c r="N1017" s="395"/>
      <c r="R1017" s="391"/>
    </row>
    <row r="1018" spans="12:18">
      <c r="L1018" s="394" t="e">
        <f ca="1">IF(NOT(OFFSET(Data!E1021,0,MATCH('Delta Beta'!$C$5,Data!$B$4:$Q$4,0)-3)=""),OFFSET(Data!E1021,0,MATCH('Delta Beta'!$C$5,Data!$B$4:$Q$4,0)-3),#N/A)-$C$8/250</f>
        <v>#N/A</v>
      </c>
      <c r="M1018" s="394" t="e">
        <f ca="1">IF(NOT(OFFSET(Data!E1021,0,MATCH('Delta Beta'!$C$5,Data!$B$4:$Q$4,0)-1)=""),OFFSET(Data!E1021,0,MATCH('Delta Beta'!$C$5,Data!$B$4:$Q$4,0)-1),#N/A)-$C$8/250</f>
        <v>#N/A</v>
      </c>
      <c r="N1018" s="395"/>
      <c r="R1018" s="391"/>
    </row>
    <row r="1019" spans="12:18">
      <c r="L1019" s="394" t="e">
        <f ca="1">IF(NOT(OFFSET(Data!E1022,0,MATCH('Delta Beta'!$C$5,Data!$B$4:$Q$4,0)-3)=""),OFFSET(Data!E1022,0,MATCH('Delta Beta'!$C$5,Data!$B$4:$Q$4,0)-3),#N/A)-$C$8/250</f>
        <v>#N/A</v>
      </c>
      <c r="M1019" s="394" t="e">
        <f ca="1">IF(NOT(OFFSET(Data!E1022,0,MATCH('Delta Beta'!$C$5,Data!$B$4:$Q$4,0)-1)=""),OFFSET(Data!E1022,0,MATCH('Delta Beta'!$C$5,Data!$B$4:$Q$4,0)-1),#N/A)-$C$8/250</f>
        <v>#N/A</v>
      </c>
      <c r="N1019" s="395"/>
      <c r="R1019" s="391"/>
    </row>
    <row r="1020" spans="12:18">
      <c r="L1020" s="394" t="e">
        <f ca="1">IF(NOT(OFFSET(Data!E1023,0,MATCH('Delta Beta'!$C$5,Data!$B$4:$Q$4,0)-3)=""),OFFSET(Data!E1023,0,MATCH('Delta Beta'!$C$5,Data!$B$4:$Q$4,0)-3),#N/A)-$C$8/250</f>
        <v>#N/A</v>
      </c>
      <c r="M1020" s="394" t="e">
        <f ca="1">IF(NOT(OFFSET(Data!E1023,0,MATCH('Delta Beta'!$C$5,Data!$B$4:$Q$4,0)-1)=""),OFFSET(Data!E1023,0,MATCH('Delta Beta'!$C$5,Data!$B$4:$Q$4,0)-1),#N/A)-$C$8/250</f>
        <v>#N/A</v>
      </c>
      <c r="N1020" s="395"/>
      <c r="R1020" s="391"/>
    </row>
    <row r="1021" spans="12:18">
      <c r="L1021" s="394" t="e">
        <f ca="1">IF(NOT(OFFSET(Data!E1024,0,MATCH('Delta Beta'!$C$5,Data!$B$4:$Q$4,0)-3)=""),OFFSET(Data!E1024,0,MATCH('Delta Beta'!$C$5,Data!$B$4:$Q$4,0)-3),#N/A)-$C$8/250</f>
        <v>#N/A</v>
      </c>
      <c r="M1021" s="394" t="e">
        <f ca="1">IF(NOT(OFFSET(Data!E1024,0,MATCH('Delta Beta'!$C$5,Data!$B$4:$Q$4,0)-1)=""),OFFSET(Data!E1024,0,MATCH('Delta Beta'!$C$5,Data!$B$4:$Q$4,0)-1),#N/A)-$C$8/250</f>
        <v>#N/A</v>
      </c>
      <c r="N1021" s="395"/>
      <c r="R1021" s="391"/>
    </row>
    <row r="1022" spans="12:18">
      <c r="L1022" s="394" t="e">
        <f ca="1">IF(NOT(OFFSET(Data!E1025,0,MATCH('Delta Beta'!$C$5,Data!$B$4:$Q$4,0)-3)=""),OFFSET(Data!E1025,0,MATCH('Delta Beta'!$C$5,Data!$B$4:$Q$4,0)-3),#N/A)-$C$8/250</f>
        <v>#N/A</v>
      </c>
      <c r="M1022" s="394" t="e">
        <f ca="1">IF(NOT(OFFSET(Data!E1025,0,MATCH('Delta Beta'!$C$5,Data!$B$4:$Q$4,0)-1)=""),OFFSET(Data!E1025,0,MATCH('Delta Beta'!$C$5,Data!$B$4:$Q$4,0)-1),#N/A)-$C$8/250</f>
        <v>#N/A</v>
      </c>
      <c r="N1022" s="395"/>
      <c r="R1022" s="391"/>
    </row>
    <row r="1023" spans="12:18">
      <c r="L1023" s="394" t="e">
        <f ca="1">IF(NOT(OFFSET(Data!E1026,0,MATCH('Delta Beta'!$C$5,Data!$B$4:$Q$4,0)-3)=""),OFFSET(Data!E1026,0,MATCH('Delta Beta'!$C$5,Data!$B$4:$Q$4,0)-3),#N/A)-$C$8/250</f>
        <v>#N/A</v>
      </c>
      <c r="M1023" s="394" t="e">
        <f ca="1">IF(NOT(OFFSET(Data!E1026,0,MATCH('Delta Beta'!$C$5,Data!$B$4:$Q$4,0)-1)=""),OFFSET(Data!E1026,0,MATCH('Delta Beta'!$C$5,Data!$B$4:$Q$4,0)-1),#N/A)-$C$8/250</f>
        <v>#N/A</v>
      </c>
      <c r="N1023" s="395"/>
      <c r="R1023" s="391"/>
    </row>
    <row r="1024" spans="12:18">
      <c r="L1024" s="394" t="e">
        <f ca="1">IF(NOT(OFFSET(Data!E1027,0,MATCH('Delta Beta'!$C$5,Data!$B$4:$Q$4,0)-3)=""),OFFSET(Data!E1027,0,MATCH('Delta Beta'!$C$5,Data!$B$4:$Q$4,0)-3),#N/A)-$C$8/250</f>
        <v>#N/A</v>
      </c>
      <c r="M1024" s="394" t="e">
        <f ca="1">IF(NOT(OFFSET(Data!E1027,0,MATCH('Delta Beta'!$C$5,Data!$B$4:$Q$4,0)-1)=""),OFFSET(Data!E1027,0,MATCH('Delta Beta'!$C$5,Data!$B$4:$Q$4,0)-1),#N/A)-$C$8/250</f>
        <v>#N/A</v>
      </c>
      <c r="N1024" s="395"/>
      <c r="R1024" s="391"/>
    </row>
    <row r="1025" spans="12:18">
      <c r="L1025" s="394" t="e">
        <f ca="1">IF(NOT(OFFSET(Data!E1028,0,MATCH('Delta Beta'!$C$5,Data!$B$4:$Q$4,0)-3)=""),OFFSET(Data!E1028,0,MATCH('Delta Beta'!$C$5,Data!$B$4:$Q$4,0)-3),#N/A)-$C$8/250</f>
        <v>#N/A</v>
      </c>
      <c r="M1025" s="394" t="e">
        <f ca="1">IF(NOT(OFFSET(Data!E1028,0,MATCH('Delta Beta'!$C$5,Data!$B$4:$Q$4,0)-1)=""),OFFSET(Data!E1028,0,MATCH('Delta Beta'!$C$5,Data!$B$4:$Q$4,0)-1),#N/A)-$C$8/250</f>
        <v>#N/A</v>
      </c>
      <c r="N1025" s="395"/>
      <c r="R1025" s="391"/>
    </row>
    <row r="1026" spans="12:18">
      <c r="L1026" s="394" t="e">
        <f ca="1">IF(NOT(OFFSET(Data!E1029,0,MATCH('Delta Beta'!$C$5,Data!$B$4:$Q$4,0)-3)=""),OFFSET(Data!E1029,0,MATCH('Delta Beta'!$C$5,Data!$B$4:$Q$4,0)-3),#N/A)-$C$8/250</f>
        <v>#N/A</v>
      </c>
      <c r="M1026" s="394" t="e">
        <f ca="1">IF(NOT(OFFSET(Data!E1029,0,MATCH('Delta Beta'!$C$5,Data!$B$4:$Q$4,0)-1)=""),OFFSET(Data!E1029,0,MATCH('Delta Beta'!$C$5,Data!$B$4:$Q$4,0)-1),#N/A)-$C$8/250</f>
        <v>#N/A</v>
      </c>
      <c r="N1026" s="395"/>
      <c r="R1026" s="391"/>
    </row>
    <row r="1027" spans="12:18">
      <c r="L1027" s="394" t="e">
        <f ca="1">IF(NOT(OFFSET(Data!E1030,0,MATCH('Delta Beta'!$C$5,Data!$B$4:$Q$4,0)-3)=""),OFFSET(Data!E1030,0,MATCH('Delta Beta'!$C$5,Data!$B$4:$Q$4,0)-3),#N/A)-$C$8/250</f>
        <v>#N/A</v>
      </c>
      <c r="M1027" s="394" t="e">
        <f ca="1">IF(NOT(OFFSET(Data!E1030,0,MATCH('Delta Beta'!$C$5,Data!$B$4:$Q$4,0)-1)=""),OFFSET(Data!E1030,0,MATCH('Delta Beta'!$C$5,Data!$B$4:$Q$4,0)-1),#N/A)-$C$8/250</f>
        <v>#N/A</v>
      </c>
      <c r="N1027" s="395"/>
      <c r="R1027" s="391"/>
    </row>
    <row r="1028" spans="12:18">
      <c r="L1028" s="394" t="e">
        <f ca="1">IF(NOT(OFFSET(Data!E1031,0,MATCH('Delta Beta'!$C$5,Data!$B$4:$Q$4,0)-3)=""),OFFSET(Data!E1031,0,MATCH('Delta Beta'!$C$5,Data!$B$4:$Q$4,0)-3),#N/A)-$C$8/250</f>
        <v>#N/A</v>
      </c>
      <c r="M1028" s="394" t="e">
        <f ca="1">IF(NOT(OFFSET(Data!E1031,0,MATCH('Delta Beta'!$C$5,Data!$B$4:$Q$4,0)-1)=""),OFFSET(Data!E1031,0,MATCH('Delta Beta'!$C$5,Data!$B$4:$Q$4,0)-1),#N/A)-$C$8/250</f>
        <v>#N/A</v>
      </c>
      <c r="N1028" s="395"/>
      <c r="R1028" s="391"/>
    </row>
    <row r="1029" spans="12:18">
      <c r="L1029" s="394" t="e">
        <f ca="1">IF(NOT(OFFSET(Data!E1032,0,MATCH('Delta Beta'!$C$5,Data!$B$4:$Q$4,0)-3)=""),OFFSET(Data!E1032,0,MATCH('Delta Beta'!$C$5,Data!$B$4:$Q$4,0)-3),#N/A)-$C$8/250</f>
        <v>#N/A</v>
      </c>
      <c r="M1029" s="394" t="e">
        <f ca="1">IF(NOT(OFFSET(Data!E1032,0,MATCH('Delta Beta'!$C$5,Data!$B$4:$Q$4,0)-1)=""),OFFSET(Data!E1032,0,MATCH('Delta Beta'!$C$5,Data!$B$4:$Q$4,0)-1),#N/A)-$C$8/250</f>
        <v>#N/A</v>
      </c>
      <c r="N1029" s="395"/>
      <c r="R1029" s="391"/>
    </row>
    <row r="1030" spans="12:18">
      <c r="L1030" s="394" t="e">
        <f ca="1">IF(NOT(OFFSET(Data!E1033,0,MATCH('Delta Beta'!$C$5,Data!$B$4:$Q$4,0)-3)=""),OFFSET(Data!E1033,0,MATCH('Delta Beta'!$C$5,Data!$B$4:$Q$4,0)-3),#N/A)-$C$8/250</f>
        <v>#N/A</v>
      </c>
      <c r="M1030" s="394" t="e">
        <f ca="1">IF(NOT(OFFSET(Data!E1033,0,MATCH('Delta Beta'!$C$5,Data!$B$4:$Q$4,0)-1)=""),OFFSET(Data!E1033,0,MATCH('Delta Beta'!$C$5,Data!$B$4:$Q$4,0)-1),#N/A)-$C$8/250</f>
        <v>#N/A</v>
      </c>
      <c r="N1030" s="395"/>
      <c r="R1030" s="391"/>
    </row>
    <row r="1031" spans="12:18">
      <c r="L1031" s="394" t="e">
        <f ca="1">IF(NOT(OFFSET(Data!E1034,0,MATCH('Delta Beta'!$C$5,Data!$B$4:$Q$4,0)-3)=""),OFFSET(Data!E1034,0,MATCH('Delta Beta'!$C$5,Data!$B$4:$Q$4,0)-3),#N/A)-$C$8/250</f>
        <v>#N/A</v>
      </c>
      <c r="M1031" s="394" t="e">
        <f ca="1">IF(NOT(OFFSET(Data!E1034,0,MATCH('Delta Beta'!$C$5,Data!$B$4:$Q$4,0)-1)=""),OFFSET(Data!E1034,0,MATCH('Delta Beta'!$C$5,Data!$B$4:$Q$4,0)-1),#N/A)-$C$8/250</f>
        <v>#N/A</v>
      </c>
      <c r="N1031" s="395"/>
      <c r="R1031" s="391"/>
    </row>
    <row r="1032" spans="12:18">
      <c r="L1032" s="394" t="e">
        <f ca="1">IF(NOT(OFFSET(Data!E1035,0,MATCH('Delta Beta'!$C$5,Data!$B$4:$Q$4,0)-3)=""),OFFSET(Data!E1035,0,MATCH('Delta Beta'!$C$5,Data!$B$4:$Q$4,0)-3),#N/A)-$C$8/250</f>
        <v>#N/A</v>
      </c>
      <c r="M1032" s="394" t="e">
        <f ca="1">IF(NOT(OFFSET(Data!E1035,0,MATCH('Delta Beta'!$C$5,Data!$B$4:$Q$4,0)-1)=""),OFFSET(Data!E1035,0,MATCH('Delta Beta'!$C$5,Data!$B$4:$Q$4,0)-1),#N/A)-$C$8/250</f>
        <v>#N/A</v>
      </c>
      <c r="N1032" s="395"/>
      <c r="R1032" s="391"/>
    </row>
    <row r="1033" spans="12:18">
      <c r="L1033" s="394" t="e">
        <f ca="1">IF(NOT(OFFSET(Data!E1036,0,MATCH('Delta Beta'!$C$5,Data!$B$4:$Q$4,0)-3)=""),OFFSET(Data!E1036,0,MATCH('Delta Beta'!$C$5,Data!$B$4:$Q$4,0)-3),#N/A)-$C$8/250</f>
        <v>#N/A</v>
      </c>
      <c r="M1033" s="394" t="e">
        <f ca="1">IF(NOT(OFFSET(Data!E1036,0,MATCH('Delta Beta'!$C$5,Data!$B$4:$Q$4,0)-1)=""),OFFSET(Data!E1036,0,MATCH('Delta Beta'!$C$5,Data!$B$4:$Q$4,0)-1),#N/A)-$C$8/250</f>
        <v>#N/A</v>
      </c>
      <c r="N1033" s="395"/>
      <c r="R1033" s="391"/>
    </row>
    <row r="1034" spans="12:18">
      <c r="L1034" s="394" t="e">
        <f ca="1">IF(NOT(OFFSET(Data!E1037,0,MATCH('Delta Beta'!$C$5,Data!$B$4:$Q$4,0)-3)=""),OFFSET(Data!E1037,0,MATCH('Delta Beta'!$C$5,Data!$B$4:$Q$4,0)-3),#N/A)-$C$8/250</f>
        <v>#N/A</v>
      </c>
      <c r="M1034" s="394" t="e">
        <f ca="1">IF(NOT(OFFSET(Data!E1037,0,MATCH('Delta Beta'!$C$5,Data!$B$4:$Q$4,0)-1)=""),OFFSET(Data!E1037,0,MATCH('Delta Beta'!$C$5,Data!$B$4:$Q$4,0)-1),#N/A)-$C$8/250</f>
        <v>#N/A</v>
      </c>
      <c r="N1034" s="395"/>
      <c r="R1034" s="391"/>
    </row>
    <row r="1035" spans="12:18">
      <c r="L1035" s="394" t="e">
        <f ca="1">IF(NOT(OFFSET(Data!E1038,0,MATCH('Delta Beta'!$C$5,Data!$B$4:$Q$4,0)-3)=""),OFFSET(Data!E1038,0,MATCH('Delta Beta'!$C$5,Data!$B$4:$Q$4,0)-3),#N/A)-$C$8/250</f>
        <v>#N/A</v>
      </c>
      <c r="M1035" s="394" t="e">
        <f ca="1">IF(NOT(OFFSET(Data!E1038,0,MATCH('Delta Beta'!$C$5,Data!$B$4:$Q$4,0)-1)=""),OFFSET(Data!E1038,0,MATCH('Delta Beta'!$C$5,Data!$B$4:$Q$4,0)-1),#N/A)-$C$8/250</f>
        <v>#N/A</v>
      </c>
      <c r="N1035" s="395"/>
      <c r="R1035" s="391"/>
    </row>
    <row r="1036" spans="12:18">
      <c r="L1036" s="394" t="e">
        <f ca="1">IF(NOT(OFFSET(Data!E1039,0,MATCH('Delta Beta'!$C$5,Data!$B$4:$Q$4,0)-3)=""),OFFSET(Data!E1039,0,MATCH('Delta Beta'!$C$5,Data!$B$4:$Q$4,0)-3),#N/A)-$C$8/250</f>
        <v>#N/A</v>
      </c>
      <c r="M1036" s="394" t="e">
        <f ca="1">IF(NOT(OFFSET(Data!E1039,0,MATCH('Delta Beta'!$C$5,Data!$B$4:$Q$4,0)-1)=""),OFFSET(Data!E1039,0,MATCH('Delta Beta'!$C$5,Data!$B$4:$Q$4,0)-1),#N/A)-$C$8/250</f>
        <v>#N/A</v>
      </c>
      <c r="N1036" s="395"/>
      <c r="R1036" s="391"/>
    </row>
    <row r="1037" spans="12:18">
      <c r="L1037" s="394" t="e">
        <f ca="1">IF(NOT(OFFSET(Data!E1040,0,MATCH('Delta Beta'!$C$5,Data!$B$4:$Q$4,0)-3)=""),OFFSET(Data!E1040,0,MATCH('Delta Beta'!$C$5,Data!$B$4:$Q$4,0)-3),#N/A)-$C$8/250</f>
        <v>#N/A</v>
      </c>
      <c r="M1037" s="394" t="e">
        <f ca="1">IF(NOT(OFFSET(Data!E1040,0,MATCH('Delta Beta'!$C$5,Data!$B$4:$Q$4,0)-1)=""),OFFSET(Data!E1040,0,MATCH('Delta Beta'!$C$5,Data!$B$4:$Q$4,0)-1),#N/A)-$C$8/250</f>
        <v>#N/A</v>
      </c>
      <c r="N1037" s="395"/>
      <c r="R1037" s="391"/>
    </row>
    <row r="1038" spans="12:18">
      <c r="L1038" s="394" t="e">
        <f ca="1">IF(NOT(OFFSET(Data!E1041,0,MATCH('Delta Beta'!$C$5,Data!$B$4:$Q$4,0)-3)=""),OFFSET(Data!E1041,0,MATCH('Delta Beta'!$C$5,Data!$B$4:$Q$4,0)-3),#N/A)-$C$8/250</f>
        <v>#N/A</v>
      </c>
      <c r="M1038" s="394" t="e">
        <f ca="1">IF(NOT(OFFSET(Data!E1041,0,MATCH('Delta Beta'!$C$5,Data!$B$4:$Q$4,0)-1)=""),OFFSET(Data!E1041,0,MATCH('Delta Beta'!$C$5,Data!$B$4:$Q$4,0)-1),#N/A)-$C$8/250</f>
        <v>#N/A</v>
      </c>
      <c r="N1038" s="395"/>
      <c r="R1038" s="391"/>
    </row>
    <row r="1039" spans="12:18">
      <c r="L1039" s="394" t="e">
        <f ca="1">IF(NOT(OFFSET(Data!E1042,0,MATCH('Delta Beta'!$C$5,Data!$B$4:$Q$4,0)-3)=""),OFFSET(Data!E1042,0,MATCH('Delta Beta'!$C$5,Data!$B$4:$Q$4,0)-3),#N/A)-$C$8/250</f>
        <v>#N/A</v>
      </c>
      <c r="M1039" s="394" t="e">
        <f ca="1">IF(NOT(OFFSET(Data!E1042,0,MATCH('Delta Beta'!$C$5,Data!$B$4:$Q$4,0)-1)=""),OFFSET(Data!E1042,0,MATCH('Delta Beta'!$C$5,Data!$B$4:$Q$4,0)-1),#N/A)-$C$8/250</f>
        <v>#N/A</v>
      </c>
      <c r="N1039" s="395"/>
      <c r="R1039" s="391"/>
    </row>
    <row r="1040" spans="12:18">
      <c r="L1040" s="394" t="e">
        <f ca="1">IF(NOT(OFFSET(Data!E1043,0,MATCH('Delta Beta'!$C$5,Data!$B$4:$Q$4,0)-3)=""),OFFSET(Data!E1043,0,MATCH('Delta Beta'!$C$5,Data!$B$4:$Q$4,0)-3),#N/A)-$C$8/250</f>
        <v>#N/A</v>
      </c>
      <c r="M1040" s="394" t="e">
        <f ca="1">IF(NOT(OFFSET(Data!E1043,0,MATCH('Delta Beta'!$C$5,Data!$B$4:$Q$4,0)-1)=""),OFFSET(Data!E1043,0,MATCH('Delta Beta'!$C$5,Data!$B$4:$Q$4,0)-1),#N/A)-$C$8/250</f>
        <v>#N/A</v>
      </c>
      <c r="N1040" s="395"/>
      <c r="R1040" s="391"/>
    </row>
    <row r="1041" spans="12:18">
      <c r="L1041" s="394" t="e">
        <f ca="1">IF(NOT(OFFSET(Data!E1044,0,MATCH('Delta Beta'!$C$5,Data!$B$4:$Q$4,0)-3)=""),OFFSET(Data!E1044,0,MATCH('Delta Beta'!$C$5,Data!$B$4:$Q$4,0)-3),#N/A)-$C$8/250</f>
        <v>#N/A</v>
      </c>
      <c r="M1041" s="394" t="e">
        <f ca="1">IF(NOT(OFFSET(Data!E1044,0,MATCH('Delta Beta'!$C$5,Data!$B$4:$Q$4,0)-1)=""),OFFSET(Data!E1044,0,MATCH('Delta Beta'!$C$5,Data!$B$4:$Q$4,0)-1),#N/A)-$C$8/250</f>
        <v>#N/A</v>
      </c>
      <c r="N1041" s="395"/>
      <c r="R1041" s="391"/>
    </row>
    <row r="1042" spans="12:18">
      <c r="L1042" s="394" t="e">
        <f ca="1">IF(NOT(OFFSET(Data!E1045,0,MATCH('Delta Beta'!$C$5,Data!$B$4:$Q$4,0)-3)=""),OFFSET(Data!E1045,0,MATCH('Delta Beta'!$C$5,Data!$B$4:$Q$4,0)-3),#N/A)-$C$8/250</f>
        <v>#N/A</v>
      </c>
      <c r="M1042" s="394" t="e">
        <f ca="1">IF(NOT(OFFSET(Data!E1045,0,MATCH('Delta Beta'!$C$5,Data!$B$4:$Q$4,0)-1)=""),OFFSET(Data!E1045,0,MATCH('Delta Beta'!$C$5,Data!$B$4:$Q$4,0)-1),#N/A)-$C$8/250</f>
        <v>#N/A</v>
      </c>
      <c r="N1042" s="395"/>
      <c r="R1042" s="391"/>
    </row>
    <row r="1043" spans="12:18">
      <c r="L1043" s="394" t="e">
        <f ca="1">IF(NOT(OFFSET(Data!E1046,0,MATCH('Delta Beta'!$C$5,Data!$B$4:$Q$4,0)-3)=""),OFFSET(Data!E1046,0,MATCH('Delta Beta'!$C$5,Data!$B$4:$Q$4,0)-3),#N/A)-$C$8/250</f>
        <v>#N/A</v>
      </c>
      <c r="M1043" s="394" t="e">
        <f ca="1">IF(NOT(OFFSET(Data!E1046,0,MATCH('Delta Beta'!$C$5,Data!$B$4:$Q$4,0)-1)=""),OFFSET(Data!E1046,0,MATCH('Delta Beta'!$C$5,Data!$B$4:$Q$4,0)-1),#N/A)-$C$8/250</f>
        <v>#N/A</v>
      </c>
      <c r="N1043" s="395"/>
      <c r="R1043" s="391"/>
    </row>
    <row r="1044" spans="12:18">
      <c r="L1044" s="394" t="e">
        <f ca="1">IF(NOT(OFFSET(Data!E1047,0,MATCH('Delta Beta'!$C$5,Data!$B$4:$Q$4,0)-3)=""),OFFSET(Data!E1047,0,MATCH('Delta Beta'!$C$5,Data!$B$4:$Q$4,0)-3),#N/A)-$C$8/250</f>
        <v>#N/A</v>
      </c>
      <c r="M1044" s="394" t="e">
        <f ca="1">IF(NOT(OFFSET(Data!E1047,0,MATCH('Delta Beta'!$C$5,Data!$B$4:$Q$4,0)-1)=""),OFFSET(Data!E1047,0,MATCH('Delta Beta'!$C$5,Data!$B$4:$Q$4,0)-1),#N/A)-$C$8/250</f>
        <v>#N/A</v>
      </c>
      <c r="N1044" s="395"/>
      <c r="R1044" s="391"/>
    </row>
    <row r="1045" spans="12:18">
      <c r="L1045" s="394" t="e">
        <f ca="1">IF(NOT(OFFSET(Data!E1048,0,MATCH('Delta Beta'!$C$5,Data!$B$4:$Q$4,0)-3)=""),OFFSET(Data!E1048,0,MATCH('Delta Beta'!$C$5,Data!$B$4:$Q$4,0)-3),#N/A)-$C$8/250</f>
        <v>#N/A</v>
      </c>
      <c r="M1045" s="394" t="e">
        <f ca="1">IF(NOT(OFFSET(Data!E1048,0,MATCH('Delta Beta'!$C$5,Data!$B$4:$Q$4,0)-1)=""),OFFSET(Data!E1048,0,MATCH('Delta Beta'!$C$5,Data!$B$4:$Q$4,0)-1),#N/A)-$C$8/250</f>
        <v>#N/A</v>
      </c>
      <c r="N1045" s="395"/>
      <c r="R1045" s="391"/>
    </row>
    <row r="1046" spans="12:18">
      <c r="L1046" s="394" t="e">
        <f ca="1">IF(NOT(OFFSET(Data!E1049,0,MATCH('Delta Beta'!$C$5,Data!$B$4:$Q$4,0)-3)=""),OFFSET(Data!E1049,0,MATCH('Delta Beta'!$C$5,Data!$B$4:$Q$4,0)-3),#N/A)-$C$8/250</f>
        <v>#N/A</v>
      </c>
      <c r="M1046" s="394" t="e">
        <f ca="1">IF(NOT(OFFSET(Data!E1049,0,MATCH('Delta Beta'!$C$5,Data!$B$4:$Q$4,0)-1)=""),OFFSET(Data!E1049,0,MATCH('Delta Beta'!$C$5,Data!$B$4:$Q$4,0)-1),#N/A)-$C$8/250</f>
        <v>#N/A</v>
      </c>
      <c r="N1046" s="395"/>
      <c r="R1046" s="391"/>
    </row>
    <row r="1047" spans="12:18">
      <c r="L1047" s="394" t="e">
        <f ca="1">IF(NOT(OFFSET(Data!E1050,0,MATCH('Delta Beta'!$C$5,Data!$B$4:$Q$4,0)-3)=""),OFFSET(Data!E1050,0,MATCH('Delta Beta'!$C$5,Data!$B$4:$Q$4,0)-3),#N/A)-$C$8/250</f>
        <v>#N/A</v>
      </c>
      <c r="M1047" s="394" t="e">
        <f ca="1">IF(NOT(OFFSET(Data!E1050,0,MATCH('Delta Beta'!$C$5,Data!$B$4:$Q$4,0)-1)=""),OFFSET(Data!E1050,0,MATCH('Delta Beta'!$C$5,Data!$B$4:$Q$4,0)-1),#N/A)-$C$8/250</f>
        <v>#N/A</v>
      </c>
      <c r="N1047" s="395"/>
      <c r="R1047" s="391"/>
    </row>
    <row r="1048" spans="12:18">
      <c r="L1048" s="394" t="e">
        <f ca="1">IF(NOT(OFFSET(Data!E1051,0,MATCH('Delta Beta'!$C$5,Data!$B$4:$Q$4,0)-3)=""),OFFSET(Data!E1051,0,MATCH('Delta Beta'!$C$5,Data!$B$4:$Q$4,0)-3),#N/A)-$C$8/250</f>
        <v>#N/A</v>
      </c>
      <c r="M1048" s="394" t="e">
        <f ca="1">IF(NOT(OFFSET(Data!E1051,0,MATCH('Delta Beta'!$C$5,Data!$B$4:$Q$4,0)-1)=""),OFFSET(Data!E1051,0,MATCH('Delta Beta'!$C$5,Data!$B$4:$Q$4,0)-1),#N/A)-$C$8/250</f>
        <v>#N/A</v>
      </c>
      <c r="N1048" s="395"/>
      <c r="R1048" s="391"/>
    </row>
    <row r="1049" spans="12:18">
      <c r="L1049" s="394" t="e">
        <f ca="1">IF(NOT(OFFSET(Data!E1052,0,MATCH('Delta Beta'!$C$5,Data!$B$4:$Q$4,0)-3)=""),OFFSET(Data!E1052,0,MATCH('Delta Beta'!$C$5,Data!$B$4:$Q$4,0)-3),#N/A)-$C$8/250</f>
        <v>#N/A</v>
      </c>
      <c r="M1049" s="394" t="e">
        <f ca="1">IF(NOT(OFFSET(Data!E1052,0,MATCH('Delta Beta'!$C$5,Data!$B$4:$Q$4,0)-1)=""),OFFSET(Data!E1052,0,MATCH('Delta Beta'!$C$5,Data!$B$4:$Q$4,0)-1),#N/A)-$C$8/250</f>
        <v>#N/A</v>
      </c>
      <c r="N1049" s="395"/>
      <c r="R1049" s="391"/>
    </row>
    <row r="1050" spans="12:18">
      <c r="L1050" s="394" t="e">
        <f ca="1">IF(NOT(OFFSET(Data!E1053,0,MATCH('Delta Beta'!$C$5,Data!$B$4:$Q$4,0)-3)=""),OFFSET(Data!E1053,0,MATCH('Delta Beta'!$C$5,Data!$B$4:$Q$4,0)-3),#N/A)-$C$8/250</f>
        <v>#N/A</v>
      </c>
      <c r="M1050" s="394" t="e">
        <f ca="1">IF(NOT(OFFSET(Data!E1053,0,MATCH('Delta Beta'!$C$5,Data!$B$4:$Q$4,0)-1)=""),OFFSET(Data!E1053,0,MATCH('Delta Beta'!$C$5,Data!$B$4:$Q$4,0)-1),#N/A)-$C$8/250</f>
        <v>#N/A</v>
      </c>
      <c r="N1050" s="395"/>
      <c r="R1050" s="391"/>
    </row>
    <row r="1051" spans="12:18">
      <c r="L1051" s="394" t="e">
        <f ca="1">IF(NOT(OFFSET(Data!E1054,0,MATCH('Delta Beta'!$C$5,Data!$B$4:$Q$4,0)-3)=""),OFFSET(Data!E1054,0,MATCH('Delta Beta'!$C$5,Data!$B$4:$Q$4,0)-3),#N/A)-$C$8/250</f>
        <v>#N/A</v>
      </c>
      <c r="M1051" s="394" t="e">
        <f ca="1">IF(NOT(OFFSET(Data!E1054,0,MATCH('Delta Beta'!$C$5,Data!$B$4:$Q$4,0)-1)=""),OFFSET(Data!E1054,0,MATCH('Delta Beta'!$C$5,Data!$B$4:$Q$4,0)-1),#N/A)-$C$8/250</f>
        <v>#N/A</v>
      </c>
      <c r="N1051" s="395"/>
      <c r="R1051" s="391"/>
    </row>
    <row r="1052" spans="12:18">
      <c r="L1052" s="394" t="e">
        <f ca="1">IF(NOT(OFFSET(Data!E1055,0,MATCH('Delta Beta'!$C$5,Data!$B$4:$Q$4,0)-3)=""),OFFSET(Data!E1055,0,MATCH('Delta Beta'!$C$5,Data!$B$4:$Q$4,0)-3),#N/A)-$C$8/250</f>
        <v>#N/A</v>
      </c>
      <c r="M1052" s="394" t="e">
        <f ca="1">IF(NOT(OFFSET(Data!E1055,0,MATCH('Delta Beta'!$C$5,Data!$B$4:$Q$4,0)-1)=""),OFFSET(Data!E1055,0,MATCH('Delta Beta'!$C$5,Data!$B$4:$Q$4,0)-1),#N/A)-$C$8/250</f>
        <v>#N/A</v>
      </c>
      <c r="N1052" s="395"/>
      <c r="R1052" s="391"/>
    </row>
    <row r="1053" spans="12:18">
      <c r="L1053" s="394" t="e">
        <f ca="1">IF(NOT(OFFSET(Data!E1056,0,MATCH('Delta Beta'!$C$5,Data!$B$4:$Q$4,0)-3)=""),OFFSET(Data!E1056,0,MATCH('Delta Beta'!$C$5,Data!$B$4:$Q$4,0)-3),#N/A)-$C$8/250</f>
        <v>#N/A</v>
      </c>
      <c r="M1053" s="394" t="e">
        <f ca="1">IF(NOT(OFFSET(Data!E1056,0,MATCH('Delta Beta'!$C$5,Data!$B$4:$Q$4,0)-1)=""),OFFSET(Data!E1056,0,MATCH('Delta Beta'!$C$5,Data!$B$4:$Q$4,0)-1),#N/A)-$C$8/250</f>
        <v>#N/A</v>
      </c>
      <c r="N1053" s="395"/>
      <c r="R1053" s="391"/>
    </row>
    <row r="1054" spans="12:18">
      <c r="L1054" s="394" t="e">
        <f ca="1">IF(NOT(OFFSET(Data!E1057,0,MATCH('Delta Beta'!$C$5,Data!$B$4:$Q$4,0)-3)=""),OFFSET(Data!E1057,0,MATCH('Delta Beta'!$C$5,Data!$B$4:$Q$4,0)-3),#N/A)-$C$8/250</f>
        <v>#N/A</v>
      </c>
      <c r="M1054" s="394" t="e">
        <f ca="1">IF(NOT(OFFSET(Data!E1057,0,MATCH('Delta Beta'!$C$5,Data!$B$4:$Q$4,0)-1)=""),OFFSET(Data!E1057,0,MATCH('Delta Beta'!$C$5,Data!$B$4:$Q$4,0)-1),#N/A)-$C$8/250</f>
        <v>#N/A</v>
      </c>
      <c r="N1054" s="395"/>
      <c r="R1054" s="391"/>
    </row>
    <row r="1055" spans="12:18">
      <c r="L1055" s="394" t="e">
        <f ca="1">IF(NOT(OFFSET(Data!E1058,0,MATCH('Delta Beta'!$C$5,Data!$B$4:$Q$4,0)-3)=""),OFFSET(Data!E1058,0,MATCH('Delta Beta'!$C$5,Data!$B$4:$Q$4,0)-3),#N/A)-$C$8/250</f>
        <v>#N/A</v>
      </c>
      <c r="M1055" s="394" t="e">
        <f ca="1">IF(NOT(OFFSET(Data!E1058,0,MATCH('Delta Beta'!$C$5,Data!$B$4:$Q$4,0)-1)=""),OFFSET(Data!E1058,0,MATCH('Delta Beta'!$C$5,Data!$B$4:$Q$4,0)-1),#N/A)-$C$8/250</f>
        <v>#N/A</v>
      </c>
      <c r="N1055" s="395"/>
      <c r="R1055" s="391"/>
    </row>
    <row r="1056" spans="12:18">
      <c r="L1056" s="394" t="e">
        <f ca="1">IF(NOT(OFFSET(Data!E1059,0,MATCH('Delta Beta'!$C$5,Data!$B$4:$Q$4,0)-3)=""),OFFSET(Data!E1059,0,MATCH('Delta Beta'!$C$5,Data!$B$4:$Q$4,0)-3),#N/A)-$C$8/250</f>
        <v>#N/A</v>
      </c>
      <c r="M1056" s="394" t="e">
        <f ca="1">IF(NOT(OFFSET(Data!E1059,0,MATCH('Delta Beta'!$C$5,Data!$B$4:$Q$4,0)-1)=""),OFFSET(Data!E1059,0,MATCH('Delta Beta'!$C$5,Data!$B$4:$Q$4,0)-1),#N/A)-$C$8/250</f>
        <v>#N/A</v>
      </c>
      <c r="N1056" s="395"/>
      <c r="R1056" s="391"/>
    </row>
    <row r="1057" spans="12:18">
      <c r="L1057" s="394" t="e">
        <f ca="1">IF(NOT(OFFSET(Data!E1060,0,MATCH('Delta Beta'!$C$5,Data!$B$4:$Q$4,0)-3)=""),OFFSET(Data!E1060,0,MATCH('Delta Beta'!$C$5,Data!$B$4:$Q$4,0)-3),#N/A)-$C$8/250</f>
        <v>#N/A</v>
      </c>
      <c r="M1057" s="394" t="e">
        <f ca="1">IF(NOT(OFFSET(Data!E1060,0,MATCH('Delta Beta'!$C$5,Data!$B$4:$Q$4,0)-1)=""),OFFSET(Data!E1060,0,MATCH('Delta Beta'!$C$5,Data!$B$4:$Q$4,0)-1),#N/A)-$C$8/250</f>
        <v>#N/A</v>
      </c>
      <c r="N1057" s="395"/>
      <c r="R1057" s="391"/>
    </row>
    <row r="1058" spans="12:18">
      <c r="L1058" s="394" t="e">
        <f ca="1">IF(NOT(OFFSET(Data!E1061,0,MATCH('Delta Beta'!$C$5,Data!$B$4:$Q$4,0)-3)=""),OFFSET(Data!E1061,0,MATCH('Delta Beta'!$C$5,Data!$B$4:$Q$4,0)-3),#N/A)-$C$8/250</f>
        <v>#N/A</v>
      </c>
      <c r="M1058" s="394" t="e">
        <f ca="1">IF(NOT(OFFSET(Data!E1061,0,MATCH('Delta Beta'!$C$5,Data!$B$4:$Q$4,0)-1)=""),OFFSET(Data!E1061,0,MATCH('Delta Beta'!$C$5,Data!$B$4:$Q$4,0)-1),#N/A)-$C$8/250</f>
        <v>#N/A</v>
      </c>
      <c r="N1058" s="395"/>
      <c r="R1058" s="391"/>
    </row>
    <row r="1059" spans="12:18">
      <c r="L1059" s="394" t="e">
        <f ca="1">IF(NOT(OFFSET(Data!E1062,0,MATCH('Delta Beta'!$C$5,Data!$B$4:$Q$4,0)-3)=""),OFFSET(Data!E1062,0,MATCH('Delta Beta'!$C$5,Data!$B$4:$Q$4,0)-3),#N/A)-$C$8/250</f>
        <v>#N/A</v>
      </c>
      <c r="M1059" s="394" t="e">
        <f ca="1">IF(NOT(OFFSET(Data!E1062,0,MATCH('Delta Beta'!$C$5,Data!$B$4:$Q$4,0)-1)=""),OFFSET(Data!E1062,0,MATCH('Delta Beta'!$C$5,Data!$B$4:$Q$4,0)-1),#N/A)-$C$8/250</f>
        <v>#N/A</v>
      </c>
      <c r="N1059" s="395"/>
      <c r="R1059" s="391"/>
    </row>
    <row r="1060" spans="12:18">
      <c r="L1060" s="394" t="e">
        <f ca="1">IF(NOT(OFFSET(Data!E1063,0,MATCH('Delta Beta'!$C$5,Data!$B$4:$Q$4,0)-3)=""),OFFSET(Data!E1063,0,MATCH('Delta Beta'!$C$5,Data!$B$4:$Q$4,0)-3),#N/A)-$C$8/250</f>
        <v>#N/A</v>
      </c>
      <c r="M1060" s="394" t="e">
        <f ca="1">IF(NOT(OFFSET(Data!E1063,0,MATCH('Delta Beta'!$C$5,Data!$B$4:$Q$4,0)-1)=""),OFFSET(Data!E1063,0,MATCH('Delta Beta'!$C$5,Data!$B$4:$Q$4,0)-1),#N/A)-$C$8/250</f>
        <v>#N/A</v>
      </c>
      <c r="N1060" s="395"/>
      <c r="R1060" s="391"/>
    </row>
    <row r="1061" spans="12:18">
      <c r="L1061" s="394" t="e">
        <f ca="1">IF(NOT(OFFSET(Data!E1064,0,MATCH('Delta Beta'!$C$5,Data!$B$4:$Q$4,0)-3)=""),OFFSET(Data!E1064,0,MATCH('Delta Beta'!$C$5,Data!$B$4:$Q$4,0)-3),#N/A)-$C$8/250</f>
        <v>#N/A</v>
      </c>
      <c r="M1061" s="394" t="e">
        <f ca="1">IF(NOT(OFFSET(Data!E1064,0,MATCH('Delta Beta'!$C$5,Data!$B$4:$Q$4,0)-1)=""),OFFSET(Data!E1064,0,MATCH('Delta Beta'!$C$5,Data!$B$4:$Q$4,0)-1),#N/A)-$C$8/250</f>
        <v>#N/A</v>
      </c>
      <c r="N1061" s="395"/>
      <c r="R1061" s="391"/>
    </row>
    <row r="1062" spans="12:18">
      <c r="L1062" s="394" t="e">
        <f ca="1">IF(NOT(OFFSET(Data!E1065,0,MATCH('Delta Beta'!$C$5,Data!$B$4:$Q$4,0)-3)=""),OFFSET(Data!E1065,0,MATCH('Delta Beta'!$C$5,Data!$B$4:$Q$4,0)-3),#N/A)-$C$8/250</f>
        <v>#N/A</v>
      </c>
      <c r="M1062" s="394" t="e">
        <f ca="1">IF(NOT(OFFSET(Data!E1065,0,MATCH('Delta Beta'!$C$5,Data!$B$4:$Q$4,0)-1)=""),OFFSET(Data!E1065,0,MATCH('Delta Beta'!$C$5,Data!$B$4:$Q$4,0)-1),#N/A)-$C$8/250</f>
        <v>#N/A</v>
      </c>
      <c r="N1062" s="395"/>
      <c r="R1062" s="391"/>
    </row>
    <row r="1063" spans="12:18">
      <c r="L1063" s="394" t="e">
        <f ca="1">IF(NOT(OFFSET(Data!E1066,0,MATCH('Delta Beta'!$C$5,Data!$B$4:$Q$4,0)-3)=""),OFFSET(Data!E1066,0,MATCH('Delta Beta'!$C$5,Data!$B$4:$Q$4,0)-3),#N/A)-$C$8/250</f>
        <v>#N/A</v>
      </c>
      <c r="M1063" s="394" t="e">
        <f ca="1">IF(NOT(OFFSET(Data!E1066,0,MATCH('Delta Beta'!$C$5,Data!$B$4:$Q$4,0)-1)=""),OFFSET(Data!E1066,0,MATCH('Delta Beta'!$C$5,Data!$B$4:$Q$4,0)-1),#N/A)-$C$8/250</f>
        <v>#N/A</v>
      </c>
      <c r="N1063" s="395"/>
      <c r="R1063" s="391"/>
    </row>
    <row r="1064" spans="12:18">
      <c r="L1064" s="394" t="e">
        <f ca="1">IF(NOT(OFFSET(Data!E1067,0,MATCH('Delta Beta'!$C$5,Data!$B$4:$Q$4,0)-3)=""),OFFSET(Data!E1067,0,MATCH('Delta Beta'!$C$5,Data!$B$4:$Q$4,0)-3),#N/A)-$C$8/250</f>
        <v>#N/A</v>
      </c>
      <c r="M1064" s="394" t="e">
        <f ca="1">IF(NOT(OFFSET(Data!E1067,0,MATCH('Delta Beta'!$C$5,Data!$B$4:$Q$4,0)-1)=""),OFFSET(Data!E1067,0,MATCH('Delta Beta'!$C$5,Data!$B$4:$Q$4,0)-1),#N/A)-$C$8/250</f>
        <v>#N/A</v>
      </c>
      <c r="N1064" s="395"/>
      <c r="R1064" s="391"/>
    </row>
    <row r="1065" spans="12:18">
      <c r="L1065" s="394" t="e">
        <f ca="1">IF(NOT(OFFSET(Data!E1068,0,MATCH('Delta Beta'!$C$5,Data!$B$4:$Q$4,0)-3)=""),OFFSET(Data!E1068,0,MATCH('Delta Beta'!$C$5,Data!$B$4:$Q$4,0)-3),#N/A)-$C$8/250</f>
        <v>#N/A</v>
      </c>
      <c r="M1065" s="394" t="e">
        <f ca="1">IF(NOT(OFFSET(Data!E1068,0,MATCH('Delta Beta'!$C$5,Data!$B$4:$Q$4,0)-1)=""),OFFSET(Data!E1068,0,MATCH('Delta Beta'!$C$5,Data!$B$4:$Q$4,0)-1),#N/A)-$C$8/250</f>
        <v>#N/A</v>
      </c>
      <c r="N1065" s="395"/>
      <c r="R1065" s="391"/>
    </row>
    <row r="1066" spans="12:18">
      <c r="L1066" s="394" t="e">
        <f ca="1">IF(NOT(OFFSET(Data!E1069,0,MATCH('Delta Beta'!$C$5,Data!$B$4:$Q$4,0)-3)=""),OFFSET(Data!E1069,0,MATCH('Delta Beta'!$C$5,Data!$B$4:$Q$4,0)-3),#N/A)-$C$8/250</f>
        <v>#N/A</v>
      </c>
      <c r="M1066" s="394" t="e">
        <f ca="1">IF(NOT(OFFSET(Data!E1069,0,MATCH('Delta Beta'!$C$5,Data!$B$4:$Q$4,0)-1)=""),OFFSET(Data!E1069,0,MATCH('Delta Beta'!$C$5,Data!$B$4:$Q$4,0)-1),#N/A)-$C$8/250</f>
        <v>#N/A</v>
      </c>
      <c r="N1066" s="395"/>
      <c r="R1066" s="391"/>
    </row>
    <row r="1067" spans="12:18">
      <c r="L1067" s="394" t="e">
        <f ca="1">IF(NOT(OFFSET(Data!E1070,0,MATCH('Delta Beta'!$C$5,Data!$B$4:$Q$4,0)-3)=""),OFFSET(Data!E1070,0,MATCH('Delta Beta'!$C$5,Data!$B$4:$Q$4,0)-3),#N/A)-$C$8/250</f>
        <v>#N/A</v>
      </c>
      <c r="M1067" s="394" t="e">
        <f ca="1">IF(NOT(OFFSET(Data!E1070,0,MATCH('Delta Beta'!$C$5,Data!$B$4:$Q$4,0)-1)=""),OFFSET(Data!E1070,0,MATCH('Delta Beta'!$C$5,Data!$B$4:$Q$4,0)-1),#N/A)-$C$8/250</f>
        <v>#N/A</v>
      </c>
      <c r="N1067" s="395"/>
      <c r="R1067" s="391"/>
    </row>
    <row r="1068" spans="12:18">
      <c r="L1068" s="394" t="e">
        <f ca="1">IF(NOT(OFFSET(Data!E1071,0,MATCH('Delta Beta'!$C$5,Data!$B$4:$Q$4,0)-3)=""),OFFSET(Data!E1071,0,MATCH('Delta Beta'!$C$5,Data!$B$4:$Q$4,0)-3),#N/A)-$C$8/250</f>
        <v>#N/A</v>
      </c>
      <c r="M1068" s="394" t="e">
        <f ca="1">IF(NOT(OFFSET(Data!E1071,0,MATCH('Delta Beta'!$C$5,Data!$B$4:$Q$4,0)-1)=""),OFFSET(Data!E1071,0,MATCH('Delta Beta'!$C$5,Data!$B$4:$Q$4,0)-1),#N/A)-$C$8/250</f>
        <v>#N/A</v>
      </c>
      <c r="N1068" s="395"/>
      <c r="R1068" s="391"/>
    </row>
    <row r="1069" spans="12:18">
      <c r="L1069" s="394" t="e">
        <f ca="1">IF(NOT(OFFSET(Data!E1072,0,MATCH('Delta Beta'!$C$5,Data!$B$4:$Q$4,0)-3)=""),OFFSET(Data!E1072,0,MATCH('Delta Beta'!$C$5,Data!$B$4:$Q$4,0)-3),#N/A)-$C$8/250</f>
        <v>#N/A</v>
      </c>
      <c r="M1069" s="394" t="e">
        <f ca="1">IF(NOT(OFFSET(Data!E1072,0,MATCH('Delta Beta'!$C$5,Data!$B$4:$Q$4,0)-1)=""),OFFSET(Data!E1072,0,MATCH('Delta Beta'!$C$5,Data!$B$4:$Q$4,0)-1),#N/A)-$C$8/250</f>
        <v>#N/A</v>
      </c>
      <c r="N1069" s="395"/>
      <c r="R1069" s="391"/>
    </row>
    <row r="1070" spans="12:18">
      <c r="L1070" s="394" t="e">
        <f ca="1">IF(NOT(OFFSET(Data!E1073,0,MATCH('Delta Beta'!$C$5,Data!$B$4:$Q$4,0)-3)=""),OFFSET(Data!E1073,0,MATCH('Delta Beta'!$C$5,Data!$B$4:$Q$4,0)-3),#N/A)-$C$8/250</f>
        <v>#N/A</v>
      </c>
      <c r="M1070" s="394" t="e">
        <f ca="1">IF(NOT(OFFSET(Data!E1073,0,MATCH('Delta Beta'!$C$5,Data!$B$4:$Q$4,0)-1)=""),OFFSET(Data!E1073,0,MATCH('Delta Beta'!$C$5,Data!$B$4:$Q$4,0)-1),#N/A)-$C$8/250</f>
        <v>#N/A</v>
      </c>
      <c r="N1070" s="395"/>
      <c r="R1070" s="391"/>
    </row>
    <row r="1071" spans="12:18">
      <c r="L1071" s="394" t="e">
        <f ca="1">IF(NOT(OFFSET(Data!E1074,0,MATCH('Delta Beta'!$C$5,Data!$B$4:$Q$4,0)-3)=""),OFFSET(Data!E1074,0,MATCH('Delta Beta'!$C$5,Data!$B$4:$Q$4,0)-3),#N/A)-$C$8/250</f>
        <v>#N/A</v>
      </c>
      <c r="M1071" s="394" t="e">
        <f ca="1">IF(NOT(OFFSET(Data!E1074,0,MATCH('Delta Beta'!$C$5,Data!$B$4:$Q$4,0)-1)=""),OFFSET(Data!E1074,0,MATCH('Delta Beta'!$C$5,Data!$B$4:$Q$4,0)-1),#N/A)-$C$8/250</f>
        <v>#N/A</v>
      </c>
      <c r="N1071" s="395"/>
      <c r="R1071" s="391"/>
    </row>
    <row r="1072" spans="12:18">
      <c r="L1072" s="394" t="e">
        <f ca="1">IF(NOT(OFFSET(Data!E1075,0,MATCH('Delta Beta'!$C$5,Data!$B$4:$Q$4,0)-3)=""),OFFSET(Data!E1075,0,MATCH('Delta Beta'!$C$5,Data!$B$4:$Q$4,0)-3),#N/A)-$C$8/250</f>
        <v>#N/A</v>
      </c>
      <c r="M1072" s="394" t="e">
        <f ca="1">IF(NOT(OFFSET(Data!E1075,0,MATCH('Delta Beta'!$C$5,Data!$B$4:$Q$4,0)-1)=""),OFFSET(Data!E1075,0,MATCH('Delta Beta'!$C$5,Data!$B$4:$Q$4,0)-1),#N/A)-$C$8/250</f>
        <v>#N/A</v>
      </c>
      <c r="N1072" s="395"/>
      <c r="R1072" s="391"/>
    </row>
    <row r="1073" spans="12:18">
      <c r="L1073" s="394" t="e">
        <f ca="1">IF(NOT(OFFSET(Data!E1076,0,MATCH('Delta Beta'!$C$5,Data!$B$4:$Q$4,0)-3)=""),OFFSET(Data!E1076,0,MATCH('Delta Beta'!$C$5,Data!$B$4:$Q$4,0)-3),#N/A)-$C$8/250</f>
        <v>#N/A</v>
      </c>
      <c r="M1073" s="394" t="e">
        <f ca="1">IF(NOT(OFFSET(Data!E1076,0,MATCH('Delta Beta'!$C$5,Data!$B$4:$Q$4,0)-1)=""),OFFSET(Data!E1076,0,MATCH('Delta Beta'!$C$5,Data!$B$4:$Q$4,0)-1),#N/A)-$C$8/250</f>
        <v>#N/A</v>
      </c>
      <c r="N1073" s="395"/>
      <c r="R1073" s="391"/>
    </row>
    <row r="1074" spans="12:18">
      <c r="L1074" s="394" t="e">
        <f ca="1">IF(NOT(OFFSET(Data!E1077,0,MATCH('Delta Beta'!$C$5,Data!$B$4:$Q$4,0)-3)=""),OFFSET(Data!E1077,0,MATCH('Delta Beta'!$C$5,Data!$B$4:$Q$4,0)-3),#N/A)-$C$8/250</f>
        <v>#N/A</v>
      </c>
      <c r="M1074" s="394" t="e">
        <f ca="1">IF(NOT(OFFSET(Data!E1077,0,MATCH('Delta Beta'!$C$5,Data!$B$4:$Q$4,0)-1)=""),OFFSET(Data!E1077,0,MATCH('Delta Beta'!$C$5,Data!$B$4:$Q$4,0)-1),#N/A)-$C$8/250</f>
        <v>#N/A</v>
      </c>
      <c r="N1074" s="395"/>
      <c r="R1074" s="391"/>
    </row>
    <row r="1075" spans="12:18">
      <c r="L1075" s="394" t="e">
        <f ca="1">IF(NOT(OFFSET(Data!E1078,0,MATCH('Delta Beta'!$C$5,Data!$B$4:$Q$4,0)-3)=""),OFFSET(Data!E1078,0,MATCH('Delta Beta'!$C$5,Data!$B$4:$Q$4,0)-3),#N/A)-$C$8/250</f>
        <v>#N/A</v>
      </c>
      <c r="M1075" s="394" t="e">
        <f ca="1">IF(NOT(OFFSET(Data!E1078,0,MATCH('Delta Beta'!$C$5,Data!$B$4:$Q$4,0)-1)=""),OFFSET(Data!E1078,0,MATCH('Delta Beta'!$C$5,Data!$B$4:$Q$4,0)-1),#N/A)-$C$8/250</f>
        <v>#N/A</v>
      </c>
      <c r="N1075" s="395"/>
      <c r="R1075" s="391"/>
    </row>
    <row r="1076" spans="12:18">
      <c r="L1076" s="394" t="e">
        <f ca="1">IF(NOT(OFFSET(Data!E1079,0,MATCH('Delta Beta'!$C$5,Data!$B$4:$Q$4,0)-3)=""),OFFSET(Data!E1079,0,MATCH('Delta Beta'!$C$5,Data!$B$4:$Q$4,0)-3),#N/A)-$C$8/250</f>
        <v>#N/A</v>
      </c>
      <c r="M1076" s="394" t="e">
        <f ca="1">IF(NOT(OFFSET(Data!E1079,0,MATCH('Delta Beta'!$C$5,Data!$B$4:$Q$4,0)-1)=""),OFFSET(Data!E1079,0,MATCH('Delta Beta'!$C$5,Data!$B$4:$Q$4,0)-1),#N/A)-$C$8/250</f>
        <v>#N/A</v>
      </c>
      <c r="N1076" s="395"/>
      <c r="R1076" s="391"/>
    </row>
    <row r="1077" spans="12:18">
      <c r="L1077" s="394" t="e">
        <f ca="1">IF(NOT(OFFSET(Data!E1080,0,MATCH('Delta Beta'!$C$5,Data!$B$4:$Q$4,0)-3)=""),OFFSET(Data!E1080,0,MATCH('Delta Beta'!$C$5,Data!$B$4:$Q$4,0)-3),#N/A)-$C$8/250</f>
        <v>#N/A</v>
      </c>
      <c r="M1077" s="394" t="e">
        <f ca="1">IF(NOT(OFFSET(Data!E1080,0,MATCH('Delta Beta'!$C$5,Data!$B$4:$Q$4,0)-1)=""),OFFSET(Data!E1080,0,MATCH('Delta Beta'!$C$5,Data!$B$4:$Q$4,0)-1),#N/A)-$C$8/250</f>
        <v>#N/A</v>
      </c>
      <c r="N1077" s="395"/>
      <c r="R1077" s="391"/>
    </row>
    <row r="1078" spans="12:18">
      <c r="L1078" s="394" t="e">
        <f ca="1">IF(NOT(OFFSET(Data!E1081,0,MATCH('Delta Beta'!$C$5,Data!$B$4:$Q$4,0)-3)=""),OFFSET(Data!E1081,0,MATCH('Delta Beta'!$C$5,Data!$B$4:$Q$4,0)-3),#N/A)-$C$8/250</f>
        <v>#N/A</v>
      </c>
      <c r="M1078" s="394" t="e">
        <f ca="1">IF(NOT(OFFSET(Data!E1081,0,MATCH('Delta Beta'!$C$5,Data!$B$4:$Q$4,0)-1)=""),OFFSET(Data!E1081,0,MATCH('Delta Beta'!$C$5,Data!$B$4:$Q$4,0)-1),#N/A)-$C$8/250</f>
        <v>#N/A</v>
      </c>
      <c r="N1078" s="395"/>
      <c r="R1078" s="391"/>
    </row>
    <row r="1079" spans="12:18">
      <c r="L1079" s="394" t="e">
        <f ca="1">IF(NOT(OFFSET(Data!E1082,0,MATCH('Delta Beta'!$C$5,Data!$B$4:$Q$4,0)-3)=""),OFFSET(Data!E1082,0,MATCH('Delta Beta'!$C$5,Data!$B$4:$Q$4,0)-3),#N/A)-$C$8/250</f>
        <v>#N/A</v>
      </c>
      <c r="M1079" s="394" t="e">
        <f ca="1">IF(NOT(OFFSET(Data!E1082,0,MATCH('Delta Beta'!$C$5,Data!$B$4:$Q$4,0)-1)=""),OFFSET(Data!E1082,0,MATCH('Delta Beta'!$C$5,Data!$B$4:$Q$4,0)-1),#N/A)-$C$8/250</f>
        <v>#N/A</v>
      </c>
      <c r="N1079" s="395"/>
      <c r="R1079" s="391"/>
    </row>
    <row r="1080" spans="12:18">
      <c r="L1080" s="394" t="e">
        <f ca="1">IF(NOT(OFFSET(Data!E1083,0,MATCH('Delta Beta'!$C$5,Data!$B$4:$Q$4,0)-3)=""),OFFSET(Data!E1083,0,MATCH('Delta Beta'!$C$5,Data!$B$4:$Q$4,0)-3),#N/A)-$C$8/250</f>
        <v>#N/A</v>
      </c>
      <c r="M1080" s="394" t="e">
        <f ca="1">IF(NOT(OFFSET(Data!E1083,0,MATCH('Delta Beta'!$C$5,Data!$B$4:$Q$4,0)-1)=""),OFFSET(Data!E1083,0,MATCH('Delta Beta'!$C$5,Data!$B$4:$Q$4,0)-1),#N/A)-$C$8/250</f>
        <v>#N/A</v>
      </c>
      <c r="N1080" s="395"/>
      <c r="R1080" s="391"/>
    </row>
    <row r="1081" spans="12:18">
      <c r="L1081" s="394" t="e">
        <f ca="1">IF(NOT(OFFSET(Data!E1084,0,MATCH('Delta Beta'!$C$5,Data!$B$4:$Q$4,0)-3)=""),OFFSET(Data!E1084,0,MATCH('Delta Beta'!$C$5,Data!$B$4:$Q$4,0)-3),#N/A)-$C$8/250</f>
        <v>#N/A</v>
      </c>
      <c r="M1081" s="394" t="e">
        <f ca="1">IF(NOT(OFFSET(Data!E1084,0,MATCH('Delta Beta'!$C$5,Data!$B$4:$Q$4,0)-1)=""),OFFSET(Data!E1084,0,MATCH('Delta Beta'!$C$5,Data!$B$4:$Q$4,0)-1),#N/A)-$C$8/250</f>
        <v>#N/A</v>
      </c>
      <c r="N1081" s="395"/>
      <c r="R1081" s="391"/>
    </row>
    <row r="1082" spans="12:18">
      <c r="L1082" s="394" t="e">
        <f ca="1">IF(NOT(OFFSET(Data!E1085,0,MATCH('Delta Beta'!$C$5,Data!$B$4:$Q$4,0)-3)=""),OFFSET(Data!E1085,0,MATCH('Delta Beta'!$C$5,Data!$B$4:$Q$4,0)-3),#N/A)-$C$8/250</f>
        <v>#N/A</v>
      </c>
      <c r="M1082" s="394" t="e">
        <f ca="1">IF(NOT(OFFSET(Data!E1085,0,MATCH('Delta Beta'!$C$5,Data!$B$4:$Q$4,0)-1)=""),OFFSET(Data!E1085,0,MATCH('Delta Beta'!$C$5,Data!$B$4:$Q$4,0)-1),#N/A)-$C$8/250</f>
        <v>#N/A</v>
      </c>
      <c r="N1082" s="395"/>
      <c r="R1082" s="391"/>
    </row>
    <row r="1083" spans="12:18">
      <c r="L1083" s="394" t="e">
        <f ca="1">IF(NOT(OFFSET(Data!E1086,0,MATCH('Delta Beta'!$C$5,Data!$B$4:$Q$4,0)-3)=""),OFFSET(Data!E1086,0,MATCH('Delta Beta'!$C$5,Data!$B$4:$Q$4,0)-3),#N/A)-$C$8/250</f>
        <v>#N/A</v>
      </c>
      <c r="M1083" s="394" t="e">
        <f ca="1">IF(NOT(OFFSET(Data!E1086,0,MATCH('Delta Beta'!$C$5,Data!$B$4:$Q$4,0)-1)=""),OFFSET(Data!E1086,0,MATCH('Delta Beta'!$C$5,Data!$B$4:$Q$4,0)-1),#N/A)-$C$8/250</f>
        <v>#N/A</v>
      </c>
      <c r="N1083" s="395"/>
      <c r="R1083" s="391"/>
    </row>
    <row r="1084" spans="12:18">
      <c r="L1084" s="394" t="e">
        <f ca="1">IF(NOT(OFFSET(Data!E1087,0,MATCH('Delta Beta'!$C$5,Data!$B$4:$Q$4,0)-3)=""),OFFSET(Data!E1087,0,MATCH('Delta Beta'!$C$5,Data!$B$4:$Q$4,0)-3),#N/A)-$C$8/250</f>
        <v>#N/A</v>
      </c>
      <c r="M1084" s="394" t="e">
        <f ca="1">IF(NOT(OFFSET(Data!E1087,0,MATCH('Delta Beta'!$C$5,Data!$B$4:$Q$4,0)-1)=""),OFFSET(Data!E1087,0,MATCH('Delta Beta'!$C$5,Data!$B$4:$Q$4,0)-1),#N/A)-$C$8/250</f>
        <v>#N/A</v>
      </c>
      <c r="N1084" s="395"/>
      <c r="R1084" s="391"/>
    </row>
    <row r="1085" spans="12:18">
      <c r="L1085" s="394" t="e">
        <f ca="1">IF(NOT(OFFSET(Data!E1088,0,MATCH('Delta Beta'!$C$5,Data!$B$4:$Q$4,0)-3)=""),OFFSET(Data!E1088,0,MATCH('Delta Beta'!$C$5,Data!$B$4:$Q$4,0)-3),#N/A)-$C$8/250</f>
        <v>#N/A</v>
      </c>
      <c r="M1085" s="394" t="e">
        <f ca="1">IF(NOT(OFFSET(Data!E1088,0,MATCH('Delta Beta'!$C$5,Data!$B$4:$Q$4,0)-1)=""),OFFSET(Data!E1088,0,MATCH('Delta Beta'!$C$5,Data!$B$4:$Q$4,0)-1),#N/A)-$C$8/250</f>
        <v>#N/A</v>
      </c>
      <c r="N1085" s="395"/>
      <c r="R1085" s="391"/>
    </row>
    <row r="1086" spans="12:18">
      <c r="L1086" s="394" t="e">
        <f ca="1">IF(NOT(OFFSET(Data!E1089,0,MATCH('Delta Beta'!$C$5,Data!$B$4:$Q$4,0)-3)=""),OFFSET(Data!E1089,0,MATCH('Delta Beta'!$C$5,Data!$B$4:$Q$4,0)-3),#N/A)-$C$8/250</f>
        <v>#N/A</v>
      </c>
      <c r="M1086" s="394" t="e">
        <f ca="1">IF(NOT(OFFSET(Data!E1089,0,MATCH('Delta Beta'!$C$5,Data!$B$4:$Q$4,0)-1)=""),OFFSET(Data!E1089,0,MATCH('Delta Beta'!$C$5,Data!$B$4:$Q$4,0)-1),#N/A)-$C$8/250</f>
        <v>#N/A</v>
      </c>
      <c r="N1086" s="395"/>
      <c r="R1086" s="391"/>
    </row>
    <row r="1087" spans="12:18">
      <c r="L1087" s="394" t="e">
        <f ca="1">IF(NOT(OFFSET(Data!E1090,0,MATCH('Delta Beta'!$C$5,Data!$B$4:$Q$4,0)-3)=""),OFFSET(Data!E1090,0,MATCH('Delta Beta'!$C$5,Data!$B$4:$Q$4,0)-3),#N/A)-$C$8/250</f>
        <v>#N/A</v>
      </c>
      <c r="M1087" s="394" t="e">
        <f ca="1">IF(NOT(OFFSET(Data!E1090,0,MATCH('Delta Beta'!$C$5,Data!$B$4:$Q$4,0)-1)=""),OFFSET(Data!E1090,0,MATCH('Delta Beta'!$C$5,Data!$B$4:$Q$4,0)-1),#N/A)-$C$8/250</f>
        <v>#N/A</v>
      </c>
      <c r="N1087" s="395"/>
      <c r="R1087" s="391"/>
    </row>
    <row r="1088" spans="12:18">
      <c r="L1088" s="394" t="e">
        <f ca="1">IF(NOT(OFFSET(Data!E1091,0,MATCH('Delta Beta'!$C$5,Data!$B$4:$Q$4,0)-3)=""),OFFSET(Data!E1091,0,MATCH('Delta Beta'!$C$5,Data!$B$4:$Q$4,0)-3),#N/A)-$C$8/250</f>
        <v>#N/A</v>
      </c>
      <c r="M1088" s="394" t="e">
        <f ca="1">IF(NOT(OFFSET(Data!E1091,0,MATCH('Delta Beta'!$C$5,Data!$B$4:$Q$4,0)-1)=""),OFFSET(Data!E1091,0,MATCH('Delta Beta'!$C$5,Data!$B$4:$Q$4,0)-1),#N/A)-$C$8/250</f>
        <v>#N/A</v>
      </c>
      <c r="N1088" s="395"/>
      <c r="R1088" s="391"/>
    </row>
    <row r="1089" spans="12:18">
      <c r="L1089" s="394" t="e">
        <f ca="1">IF(NOT(OFFSET(Data!E1092,0,MATCH('Delta Beta'!$C$5,Data!$B$4:$Q$4,0)-3)=""),OFFSET(Data!E1092,0,MATCH('Delta Beta'!$C$5,Data!$B$4:$Q$4,0)-3),#N/A)-$C$8/250</f>
        <v>#N/A</v>
      </c>
      <c r="M1089" s="394" t="e">
        <f ca="1">IF(NOT(OFFSET(Data!E1092,0,MATCH('Delta Beta'!$C$5,Data!$B$4:$Q$4,0)-1)=""),OFFSET(Data!E1092,0,MATCH('Delta Beta'!$C$5,Data!$B$4:$Q$4,0)-1),#N/A)-$C$8/250</f>
        <v>#N/A</v>
      </c>
      <c r="N1089" s="395"/>
      <c r="R1089" s="391"/>
    </row>
    <row r="1090" spans="12:18">
      <c r="L1090" s="394" t="e">
        <f ca="1">IF(NOT(OFFSET(Data!E1093,0,MATCH('Delta Beta'!$C$5,Data!$B$4:$Q$4,0)-3)=""),OFFSET(Data!E1093,0,MATCH('Delta Beta'!$C$5,Data!$B$4:$Q$4,0)-3),#N/A)-$C$8/250</f>
        <v>#N/A</v>
      </c>
      <c r="M1090" s="394" t="e">
        <f ca="1">IF(NOT(OFFSET(Data!E1093,0,MATCH('Delta Beta'!$C$5,Data!$B$4:$Q$4,0)-1)=""),OFFSET(Data!E1093,0,MATCH('Delta Beta'!$C$5,Data!$B$4:$Q$4,0)-1),#N/A)-$C$8/250</f>
        <v>#N/A</v>
      </c>
      <c r="N1090" s="395"/>
      <c r="R1090" s="391"/>
    </row>
    <row r="1091" spans="12:18">
      <c r="L1091" s="394" t="e">
        <f ca="1">IF(NOT(OFFSET(Data!E1094,0,MATCH('Delta Beta'!$C$5,Data!$B$4:$Q$4,0)-3)=""),OFFSET(Data!E1094,0,MATCH('Delta Beta'!$C$5,Data!$B$4:$Q$4,0)-3),#N/A)-$C$8/250</f>
        <v>#N/A</v>
      </c>
      <c r="M1091" s="394" t="e">
        <f ca="1">IF(NOT(OFFSET(Data!E1094,0,MATCH('Delta Beta'!$C$5,Data!$B$4:$Q$4,0)-1)=""),OFFSET(Data!E1094,0,MATCH('Delta Beta'!$C$5,Data!$B$4:$Q$4,0)-1),#N/A)-$C$8/250</f>
        <v>#N/A</v>
      </c>
      <c r="N1091" s="395"/>
      <c r="R1091" s="391"/>
    </row>
    <row r="1092" spans="12:18">
      <c r="L1092" s="394" t="e">
        <f ca="1">IF(NOT(OFFSET(Data!E1095,0,MATCH('Delta Beta'!$C$5,Data!$B$4:$Q$4,0)-3)=""),OFFSET(Data!E1095,0,MATCH('Delta Beta'!$C$5,Data!$B$4:$Q$4,0)-3),#N/A)-$C$8/250</f>
        <v>#N/A</v>
      </c>
      <c r="M1092" s="394" t="e">
        <f ca="1">IF(NOT(OFFSET(Data!E1095,0,MATCH('Delta Beta'!$C$5,Data!$B$4:$Q$4,0)-1)=""),OFFSET(Data!E1095,0,MATCH('Delta Beta'!$C$5,Data!$B$4:$Q$4,0)-1),#N/A)-$C$8/250</f>
        <v>#N/A</v>
      </c>
      <c r="N1092" s="395"/>
      <c r="R1092" s="391"/>
    </row>
    <row r="1093" spans="12:18">
      <c r="L1093" s="394" t="e">
        <f ca="1">IF(NOT(OFFSET(Data!E1096,0,MATCH('Delta Beta'!$C$5,Data!$B$4:$Q$4,0)-3)=""),OFFSET(Data!E1096,0,MATCH('Delta Beta'!$C$5,Data!$B$4:$Q$4,0)-3),#N/A)-$C$8/250</f>
        <v>#N/A</v>
      </c>
      <c r="M1093" s="394" t="e">
        <f ca="1">IF(NOT(OFFSET(Data!E1096,0,MATCH('Delta Beta'!$C$5,Data!$B$4:$Q$4,0)-1)=""),OFFSET(Data!E1096,0,MATCH('Delta Beta'!$C$5,Data!$B$4:$Q$4,0)-1),#N/A)-$C$8/250</f>
        <v>#N/A</v>
      </c>
      <c r="N1093" s="395"/>
      <c r="R1093" s="391"/>
    </row>
    <row r="1094" spans="12:18">
      <c r="L1094" s="394" t="e">
        <f ca="1">IF(NOT(OFFSET(Data!E1097,0,MATCH('Delta Beta'!$C$5,Data!$B$4:$Q$4,0)-3)=""),OFFSET(Data!E1097,0,MATCH('Delta Beta'!$C$5,Data!$B$4:$Q$4,0)-3),#N/A)-$C$8/250</f>
        <v>#N/A</v>
      </c>
      <c r="M1094" s="394" t="e">
        <f ca="1">IF(NOT(OFFSET(Data!E1097,0,MATCH('Delta Beta'!$C$5,Data!$B$4:$Q$4,0)-1)=""),OFFSET(Data!E1097,0,MATCH('Delta Beta'!$C$5,Data!$B$4:$Q$4,0)-1),#N/A)-$C$8/250</f>
        <v>#N/A</v>
      </c>
      <c r="N1094" s="395"/>
      <c r="R1094" s="391"/>
    </row>
    <row r="1095" spans="12:18">
      <c r="L1095" s="394" t="e">
        <f ca="1">IF(NOT(OFFSET(Data!E1098,0,MATCH('Delta Beta'!$C$5,Data!$B$4:$Q$4,0)-3)=""),OFFSET(Data!E1098,0,MATCH('Delta Beta'!$C$5,Data!$B$4:$Q$4,0)-3),#N/A)-$C$8/250</f>
        <v>#N/A</v>
      </c>
      <c r="M1095" s="394" t="e">
        <f ca="1">IF(NOT(OFFSET(Data!E1098,0,MATCH('Delta Beta'!$C$5,Data!$B$4:$Q$4,0)-1)=""),OFFSET(Data!E1098,0,MATCH('Delta Beta'!$C$5,Data!$B$4:$Q$4,0)-1),#N/A)-$C$8/250</f>
        <v>#N/A</v>
      </c>
      <c r="N1095" s="395"/>
      <c r="R1095" s="391"/>
    </row>
    <row r="1096" spans="12:18">
      <c r="L1096" s="394" t="e">
        <f ca="1">IF(NOT(OFFSET(Data!E1099,0,MATCH('Delta Beta'!$C$5,Data!$B$4:$Q$4,0)-3)=""),OFFSET(Data!E1099,0,MATCH('Delta Beta'!$C$5,Data!$B$4:$Q$4,0)-3),#N/A)-$C$8/250</f>
        <v>#N/A</v>
      </c>
      <c r="M1096" s="394" t="e">
        <f ca="1">IF(NOT(OFFSET(Data!E1099,0,MATCH('Delta Beta'!$C$5,Data!$B$4:$Q$4,0)-1)=""),OFFSET(Data!E1099,0,MATCH('Delta Beta'!$C$5,Data!$B$4:$Q$4,0)-1),#N/A)-$C$8/250</f>
        <v>#N/A</v>
      </c>
      <c r="N1096" s="395"/>
      <c r="R1096" s="391"/>
    </row>
    <row r="1097" spans="12:18">
      <c r="L1097" s="394" t="e">
        <f ca="1">IF(NOT(OFFSET(Data!E1100,0,MATCH('Delta Beta'!$C$5,Data!$B$4:$Q$4,0)-3)=""),OFFSET(Data!E1100,0,MATCH('Delta Beta'!$C$5,Data!$B$4:$Q$4,0)-3),#N/A)-$C$8/250</f>
        <v>#N/A</v>
      </c>
      <c r="M1097" s="394" t="e">
        <f ca="1">IF(NOT(OFFSET(Data!E1100,0,MATCH('Delta Beta'!$C$5,Data!$B$4:$Q$4,0)-1)=""),OFFSET(Data!E1100,0,MATCH('Delta Beta'!$C$5,Data!$B$4:$Q$4,0)-1),#N/A)-$C$8/250</f>
        <v>#N/A</v>
      </c>
      <c r="N1097" s="395"/>
      <c r="R1097" s="391"/>
    </row>
    <row r="1098" spans="12:18">
      <c r="L1098" s="394" t="e">
        <f ca="1">IF(NOT(OFFSET(Data!E1101,0,MATCH('Delta Beta'!$C$5,Data!$B$4:$Q$4,0)-3)=""),OFFSET(Data!E1101,0,MATCH('Delta Beta'!$C$5,Data!$B$4:$Q$4,0)-3),#N/A)-$C$8/250</f>
        <v>#N/A</v>
      </c>
      <c r="M1098" s="394" t="e">
        <f ca="1">IF(NOT(OFFSET(Data!E1101,0,MATCH('Delta Beta'!$C$5,Data!$B$4:$Q$4,0)-1)=""),OFFSET(Data!E1101,0,MATCH('Delta Beta'!$C$5,Data!$B$4:$Q$4,0)-1),#N/A)-$C$8/250</f>
        <v>#N/A</v>
      </c>
      <c r="N1098" s="395"/>
      <c r="R1098" s="391"/>
    </row>
    <row r="1099" spans="12:18">
      <c r="L1099" s="394" t="e">
        <f ca="1">IF(NOT(OFFSET(Data!E1102,0,MATCH('Delta Beta'!$C$5,Data!$B$4:$Q$4,0)-3)=""),OFFSET(Data!E1102,0,MATCH('Delta Beta'!$C$5,Data!$B$4:$Q$4,0)-3),#N/A)-$C$8/250</f>
        <v>#N/A</v>
      </c>
      <c r="M1099" s="394" t="e">
        <f ca="1">IF(NOT(OFFSET(Data!E1102,0,MATCH('Delta Beta'!$C$5,Data!$B$4:$Q$4,0)-1)=""),OFFSET(Data!E1102,0,MATCH('Delta Beta'!$C$5,Data!$B$4:$Q$4,0)-1),#N/A)-$C$8/250</f>
        <v>#N/A</v>
      </c>
      <c r="N1099" s="395"/>
      <c r="R1099" s="391"/>
    </row>
    <row r="1100" spans="12:18">
      <c r="L1100" s="394" t="e">
        <f ca="1">IF(NOT(OFFSET(Data!E1103,0,MATCH('Delta Beta'!$C$5,Data!$B$4:$Q$4,0)-3)=""),OFFSET(Data!E1103,0,MATCH('Delta Beta'!$C$5,Data!$B$4:$Q$4,0)-3),#N/A)-$C$8/250</f>
        <v>#N/A</v>
      </c>
      <c r="M1100" s="394" t="e">
        <f ca="1">IF(NOT(OFFSET(Data!E1103,0,MATCH('Delta Beta'!$C$5,Data!$B$4:$Q$4,0)-1)=""),OFFSET(Data!E1103,0,MATCH('Delta Beta'!$C$5,Data!$B$4:$Q$4,0)-1),#N/A)-$C$8/250</f>
        <v>#N/A</v>
      </c>
      <c r="N1100" s="395"/>
      <c r="R1100" s="391"/>
    </row>
    <row r="1101" spans="12:18">
      <c r="L1101" s="394" t="e">
        <f ca="1">IF(NOT(OFFSET(Data!E1104,0,MATCH('Delta Beta'!$C$5,Data!$B$4:$Q$4,0)-3)=""),OFFSET(Data!E1104,0,MATCH('Delta Beta'!$C$5,Data!$B$4:$Q$4,0)-3),#N/A)-$C$8/250</f>
        <v>#N/A</v>
      </c>
      <c r="M1101" s="394" t="e">
        <f ca="1">IF(NOT(OFFSET(Data!E1104,0,MATCH('Delta Beta'!$C$5,Data!$B$4:$Q$4,0)-1)=""),OFFSET(Data!E1104,0,MATCH('Delta Beta'!$C$5,Data!$B$4:$Q$4,0)-1),#N/A)-$C$8/250</f>
        <v>#N/A</v>
      </c>
      <c r="N1101" s="395"/>
      <c r="R1101" s="391"/>
    </row>
    <row r="1102" spans="12:18">
      <c r="L1102" s="394" t="e">
        <f ca="1">IF(NOT(OFFSET(Data!E1105,0,MATCH('Delta Beta'!$C$5,Data!$B$4:$Q$4,0)-3)=""),OFFSET(Data!E1105,0,MATCH('Delta Beta'!$C$5,Data!$B$4:$Q$4,0)-3),#N/A)-$C$8/250</f>
        <v>#N/A</v>
      </c>
      <c r="M1102" s="394" t="e">
        <f ca="1">IF(NOT(OFFSET(Data!E1105,0,MATCH('Delta Beta'!$C$5,Data!$B$4:$Q$4,0)-1)=""),OFFSET(Data!E1105,0,MATCH('Delta Beta'!$C$5,Data!$B$4:$Q$4,0)-1),#N/A)-$C$8/250</f>
        <v>#N/A</v>
      </c>
      <c r="N1102" s="395"/>
      <c r="R1102" s="391"/>
    </row>
    <row r="1103" spans="12:18">
      <c r="L1103" s="394" t="e">
        <f ca="1">IF(NOT(OFFSET(Data!E1106,0,MATCH('Delta Beta'!$C$5,Data!$B$4:$Q$4,0)-3)=""),OFFSET(Data!E1106,0,MATCH('Delta Beta'!$C$5,Data!$B$4:$Q$4,0)-3),#N/A)-$C$8/250</f>
        <v>#N/A</v>
      </c>
      <c r="M1103" s="394" t="e">
        <f ca="1">IF(NOT(OFFSET(Data!E1106,0,MATCH('Delta Beta'!$C$5,Data!$B$4:$Q$4,0)-1)=""),OFFSET(Data!E1106,0,MATCH('Delta Beta'!$C$5,Data!$B$4:$Q$4,0)-1),#N/A)-$C$8/250</f>
        <v>#N/A</v>
      </c>
      <c r="N1103" s="395"/>
      <c r="R1103" s="391"/>
    </row>
    <row r="1104" spans="12:18">
      <c r="L1104" s="394" t="e">
        <f ca="1">IF(NOT(OFFSET(Data!E1107,0,MATCH('Delta Beta'!$C$5,Data!$B$4:$Q$4,0)-3)=""),OFFSET(Data!E1107,0,MATCH('Delta Beta'!$C$5,Data!$B$4:$Q$4,0)-3),#N/A)-$C$8/250</f>
        <v>#N/A</v>
      </c>
      <c r="M1104" s="394" t="e">
        <f ca="1">IF(NOT(OFFSET(Data!E1107,0,MATCH('Delta Beta'!$C$5,Data!$B$4:$Q$4,0)-1)=""),OFFSET(Data!E1107,0,MATCH('Delta Beta'!$C$5,Data!$B$4:$Q$4,0)-1),#N/A)-$C$8/250</f>
        <v>#N/A</v>
      </c>
      <c r="N1104" s="395"/>
      <c r="R1104" s="391"/>
    </row>
    <row r="1105" spans="12:18">
      <c r="L1105" s="394" t="e">
        <f ca="1">IF(NOT(OFFSET(Data!E1108,0,MATCH('Delta Beta'!$C$5,Data!$B$4:$Q$4,0)-3)=""),OFFSET(Data!E1108,0,MATCH('Delta Beta'!$C$5,Data!$B$4:$Q$4,0)-3),#N/A)-$C$8/250</f>
        <v>#N/A</v>
      </c>
      <c r="M1105" s="394" t="e">
        <f ca="1">IF(NOT(OFFSET(Data!E1108,0,MATCH('Delta Beta'!$C$5,Data!$B$4:$Q$4,0)-1)=""),OFFSET(Data!E1108,0,MATCH('Delta Beta'!$C$5,Data!$B$4:$Q$4,0)-1),#N/A)-$C$8/250</f>
        <v>#N/A</v>
      </c>
      <c r="N1105" s="395"/>
      <c r="R1105" s="391"/>
    </row>
    <row r="1106" spans="12:18">
      <c r="L1106" s="394" t="e">
        <f ca="1">IF(NOT(OFFSET(Data!E1109,0,MATCH('Delta Beta'!$C$5,Data!$B$4:$Q$4,0)-3)=""),OFFSET(Data!E1109,0,MATCH('Delta Beta'!$C$5,Data!$B$4:$Q$4,0)-3),#N/A)-$C$8/250</f>
        <v>#N/A</v>
      </c>
      <c r="M1106" s="394" t="e">
        <f ca="1">IF(NOT(OFFSET(Data!E1109,0,MATCH('Delta Beta'!$C$5,Data!$B$4:$Q$4,0)-1)=""),OFFSET(Data!E1109,0,MATCH('Delta Beta'!$C$5,Data!$B$4:$Q$4,0)-1),#N/A)-$C$8/250</f>
        <v>#N/A</v>
      </c>
      <c r="N1106" s="395"/>
      <c r="R1106" s="391"/>
    </row>
    <row r="1107" spans="12:18">
      <c r="L1107" s="394" t="e">
        <f ca="1">IF(NOT(OFFSET(Data!E1110,0,MATCH('Delta Beta'!$C$5,Data!$B$4:$Q$4,0)-3)=""),OFFSET(Data!E1110,0,MATCH('Delta Beta'!$C$5,Data!$B$4:$Q$4,0)-3),#N/A)-$C$8/250</f>
        <v>#N/A</v>
      </c>
      <c r="M1107" s="394" t="e">
        <f ca="1">IF(NOT(OFFSET(Data!E1110,0,MATCH('Delta Beta'!$C$5,Data!$B$4:$Q$4,0)-1)=""),OFFSET(Data!E1110,0,MATCH('Delta Beta'!$C$5,Data!$B$4:$Q$4,0)-1),#N/A)-$C$8/250</f>
        <v>#N/A</v>
      </c>
      <c r="N1107" s="395"/>
      <c r="R1107" s="391"/>
    </row>
    <row r="1108" spans="12:18">
      <c r="L1108" s="394" t="e">
        <f ca="1">IF(NOT(OFFSET(Data!E1111,0,MATCH('Delta Beta'!$C$5,Data!$B$4:$Q$4,0)-3)=""),OFFSET(Data!E1111,0,MATCH('Delta Beta'!$C$5,Data!$B$4:$Q$4,0)-3),#N/A)-$C$8/250</f>
        <v>#N/A</v>
      </c>
      <c r="M1108" s="394" t="e">
        <f ca="1">IF(NOT(OFFSET(Data!E1111,0,MATCH('Delta Beta'!$C$5,Data!$B$4:$Q$4,0)-1)=""),OFFSET(Data!E1111,0,MATCH('Delta Beta'!$C$5,Data!$B$4:$Q$4,0)-1),#N/A)-$C$8/250</f>
        <v>#N/A</v>
      </c>
      <c r="N1108" s="395"/>
      <c r="R1108" s="391"/>
    </row>
    <row r="1109" spans="12:18">
      <c r="L1109" s="394" t="e">
        <f ca="1">IF(NOT(OFFSET(Data!E1112,0,MATCH('Delta Beta'!$C$5,Data!$B$4:$Q$4,0)-3)=""),OFFSET(Data!E1112,0,MATCH('Delta Beta'!$C$5,Data!$B$4:$Q$4,0)-3),#N/A)-$C$8/250</f>
        <v>#N/A</v>
      </c>
      <c r="M1109" s="394" t="e">
        <f ca="1">IF(NOT(OFFSET(Data!E1112,0,MATCH('Delta Beta'!$C$5,Data!$B$4:$Q$4,0)-1)=""),OFFSET(Data!E1112,0,MATCH('Delta Beta'!$C$5,Data!$B$4:$Q$4,0)-1),#N/A)-$C$8/250</f>
        <v>#N/A</v>
      </c>
      <c r="N1109" s="395"/>
      <c r="R1109" s="391"/>
    </row>
    <row r="1110" spans="12:18">
      <c r="L1110" s="394" t="e">
        <f ca="1">IF(NOT(OFFSET(Data!E1113,0,MATCH('Delta Beta'!$C$5,Data!$B$4:$Q$4,0)-3)=""),OFFSET(Data!E1113,0,MATCH('Delta Beta'!$C$5,Data!$B$4:$Q$4,0)-3),#N/A)-$C$8/250</f>
        <v>#N/A</v>
      </c>
      <c r="M1110" s="394" t="e">
        <f ca="1">IF(NOT(OFFSET(Data!E1113,0,MATCH('Delta Beta'!$C$5,Data!$B$4:$Q$4,0)-1)=""),OFFSET(Data!E1113,0,MATCH('Delta Beta'!$C$5,Data!$B$4:$Q$4,0)-1),#N/A)-$C$8/250</f>
        <v>#N/A</v>
      </c>
      <c r="N1110" s="395"/>
      <c r="R1110" s="391"/>
    </row>
    <row r="1111" spans="12:18">
      <c r="L1111" s="394" t="e">
        <f ca="1">IF(NOT(OFFSET(Data!E1114,0,MATCH('Delta Beta'!$C$5,Data!$B$4:$Q$4,0)-3)=""),OFFSET(Data!E1114,0,MATCH('Delta Beta'!$C$5,Data!$B$4:$Q$4,0)-3),#N/A)-$C$8/250</f>
        <v>#N/A</v>
      </c>
      <c r="M1111" s="394" t="e">
        <f ca="1">IF(NOT(OFFSET(Data!E1114,0,MATCH('Delta Beta'!$C$5,Data!$B$4:$Q$4,0)-1)=""),OFFSET(Data!E1114,0,MATCH('Delta Beta'!$C$5,Data!$B$4:$Q$4,0)-1),#N/A)-$C$8/250</f>
        <v>#N/A</v>
      </c>
      <c r="N1111" s="395"/>
      <c r="R1111" s="391"/>
    </row>
    <row r="1112" spans="12:18">
      <c r="L1112" s="394" t="e">
        <f ca="1">IF(NOT(OFFSET(Data!E1115,0,MATCH('Delta Beta'!$C$5,Data!$B$4:$Q$4,0)-3)=""),OFFSET(Data!E1115,0,MATCH('Delta Beta'!$C$5,Data!$B$4:$Q$4,0)-3),#N/A)-$C$8/250</f>
        <v>#N/A</v>
      </c>
      <c r="M1112" s="394" t="e">
        <f ca="1">IF(NOT(OFFSET(Data!E1115,0,MATCH('Delta Beta'!$C$5,Data!$B$4:$Q$4,0)-1)=""),OFFSET(Data!E1115,0,MATCH('Delta Beta'!$C$5,Data!$B$4:$Q$4,0)-1),#N/A)-$C$8/250</f>
        <v>#N/A</v>
      </c>
      <c r="N1112" s="395"/>
      <c r="R1112" s="391"/>
    </row>
    <row r="1113" spans="12:18">
      <c r="L1113" s="394" t="e">
        <f ca="1">IF(NOT(OFFSET(Data!E1116,0,MATCH('Delta Beta'!$C$5,Data!$B$4:$Q$4,0)-3)=""),OFFSET(Data!E1116,0,MATCH('Delta Beta'!$C$5,Data!$B$4:$Q$4,0)-3),#N/A)-$C$8/250</f>
        <v>#N/A</v>
      </c>
      <c r="M1113" s="394" t="e">
        <f ca="1">IF(NOT(OFFSET(Data!E1116,0,MATCH('Delta Beta'!$C$5,Data!$B$4:$Q$4,0)-1)=""),OFFSET(Data!E1116,0,MATCH('Delta Beta'!$C$5,Data!$B$4:$Q$4,0)-1),#N/A)-$C$8/250</f>
        <v>#N/A</v>
      </c>
      <c r="N1113" s="395"/>
      <c r="R1113" s="391"/>
    </row>
    <row r="1114" spans="12:18">
      <c r="L1114" s="394" t="e">
        <f ca="1">IF(NOT(OFFSET(Data!E1117,0,MATCH('Delta Beta'!$C$5,Data!$B$4:$Q$4,0)-3)=""),OFFSET(Data!E1117,0,MATCH('Delta Beta'!$C$5,Data!$B$4:$Q$4,0)-3),#N/A)-$C$8/250</f>
        <v>#N/A</v>
      </c>
      <c r="M1114" s="394" t="e">
        <f ca="1">IF(NOT(OFFSET(Data!E1117,0,MATCH('Delta Beta'!$C$5,Data!$B$4:$Q$4,0)-1)=""),OFFSET(Data!E1117,0,MATCH('Delta Beta'!$C$5,Data!$B$4:$Q$4,0)-1),#N/A)-$C$8/250</f>
        <v>#N/A</v>
      </c>
      <c r="N1114" s="395"/>
      <c r="R1114" s="391"/>
    </row>
    <row r="1115" spans="12:18">
      <c r="L1115" s="394" t="e">
        <f ca="1">IF(NOT(OFFSET(Data!E1118,0,MATCH('Delta Beta'!$C$5,Data!$B$4:$Q$4,0)-3)=""),OFFSET(Data!E1118,0,MATCH('Delta Beta'!$C$5,Data!$B$4:$Q$4,0)-3),#N/A)-$C$8/250</f>
        <v>#N/A</v>
      </c>
      <c r="M1115" s="394" t="e">
        <f ca="1">IF(NOT(OFFSET(Data!E1118,0,MATCH('Delta Beta'!$C$5,Data!$B$4:$Q$4,0)-1)=""),OFFSET(Data!E1118,0,MATCH('Delta Beta'!$C$5,Data!$B$4:$Q$4,0)-1),#N/A)-$C$8/250</f>
        <v>#N/A</v>
      </c>
      <c r="N1115" s="395"/>
      <c r="R1115" s="391"/>
    </row>
    <row r="1116" spans="12:18">
      <c r="L1116" s="394" t="e">
        <f ca="1">IF(NOT(OFFSET(Data!E1119,0,MATCH('Delta Beta'!$C$5,Data!$B$4:$Q$4,0)-3)=""),OFFSET(Data!E1119,0,MATCH('Delta Beta'!$C$5,Data!$B$4:$Q$4,0)-3),#N/A)-$C$8/250</f>
        <v>#N/A</v>
      </c>
      <c r="M1116" s="394" t="e">
        <f ca="1">IF(NOT(OFFSET(Data!E1119,0,MATCH('Delta Beta'!$C$5,Data!$B$4:$Q$4,0)-1)=""),OFFSET(Data!E1119,0,MATCH('Delta Beta'!$C$5,Data!$B$4:$Q$4,0)-1),#N/A)-$C$8/250</f>
        <v>#N/A</v>
      </c>
      <c r="N1116" s="395"/>
      <c r="R1116" s="391"/>
    </row>
    <row r="1117" spans="12:18">
      <c r="L1117" s="394" t="e">
        <f ca="1">IF(NOT(OFFSET(Data!E1120,0,MATCH('Delta Beta'!$C$5,Data!$B$4:$Q$4,0)-3)=""),OFFSET(Data!E1120,0,MATCH('Delta Beta'!$C$5,Data!$B$4:$Q$4,0)-3),#N/A)-$C$8/250</f>
        <v>#N/A</v>
      </c>
      <c r="M1117" s="394" t="e">
        <f ca="1">IF(NOT(OFFSET(Data!E1120,0,MATCH('Delta Beta'!$C$5,Data!$B$4:$Q$4,0)-1)=""),OFFSET(Data!E1120,0,MATCH('Delta Beta'!$C$5,Data!$B$4:$Q$4,0)-1),#N/A)-$C$8/250</f>
        <v>#N/A</v>
      </c>
      <c r="N1117" s="395"/>
      <c r="R1117" s="391"/>
    </row>
    <row r="1118" spans="12:18">
      <c r="L1118" s="394" t="e">
        <f ca="1">IF(NOT(OFFSET(Data!E1121,0,MATCH('Delta Beta'!$C$5,Data!$B$4:$Q$4,0)-3)=""),OFFSET(Data!E1121,0,MATCH('Delta Beta'!$C$5,Data!$B$4:$Q$4,0)-3),#N/A)-$C$8/250</f>
        <v>#N/A</v>
      </c>
      <c r="M1118" s="394" t="e">
        <f ca="1">IF(NOT(OFFSET(Data!E1121,0,MATCH('Delta Beta'!$C$5,Data!$B$4:$Q$4,0)-1)=""),OFFSET(Data!E1121,0,MATCH('Delta Beta'!$C$5,Data!$B$4:$Q$4,0)-1),#N/A)-$C$8/250</f>
        <v>#N/A</v>
      </c>
      <c r="N1118" s="395"/>
      <c r="R1118" s="391"/>
    </row>
    <row r="1119" spans="12:18">
      <c r="L1119" s="394" t="e">
        <f ca="1">IF(NOT(OFFSET(Data!E1122,0,MATCH('Delta Beta'!$C$5,Data!$B$4:$Q$4,0)-3)=""),OFFSET(Data!E1122,0,MATCH('Delta Beta'!$C$5,Data!$B$4:$Q$4,0)-3),#N/A)-$C$8/250</f>
        <v>#N/A</v>
      </c>
      <c r="M1119" s="394" t="e">
        <f ca="1">IF(NOT(OFFSET(Data!E1122,0,MATCH('Delta Beta'!$C$5,Data!$B$4:$Q$4,0)-1)=""),OFFSET(Data!E1122,0,MATCH('Delta Beta'!$C$5,Data!$B$4:$Q$4,0)-1),#N/A)-$C$8/250</f>
        <v>#N/A</v>
      </c>
      <c r="N1119" s="395"/>
      <c r="R1119" s="391"/>
    </row>
    <row r="1120" spans="12:18">
      <c r="L1120" s="394" t="e">
        <f ca="1">IF(NOT(OFFSET(Data!E1123,0,MATCH('Delta Beta'!$C$5,Data!$B$4:$Q$4,0)-3)=""),OFFSET(Data!E1123,0,MATCH('Delta Beta'!$C$5,Data!$B$4:$Q$4,0)-3),#N/A)-$C$8/250</f>
        <v>#N/A</v>
      </c>
      <c r="M1120" s="394" t="e">
        <f ca="1">IF(NOT(OFFSET(Data!E1123,0,MATCH('Delta Beta'!$C$5,Data!$B$4:$Q$4,0)-1)=""),OFFSET(Data!E1123,0,MATCH('Delta Beta'!$C$5,Data!$B$4:$Q$4,0)-1),#N/A)-$C$8/250</f>
        <v>#N/A</v>
      </c>
      <c r="N1120" s="395"/>
      <c r="R1120" s="391"/>
    </row>
    <row r="1121" spans="12:18">
      <c r="L1121" s="394" t="e">
        <f ca="1">IF(NOT(OFFSET(Data!E1124,0,MATCH('Delta Beta'!$C$5,Data!$B$4:$Q$4,0)-3)=""),OFFSET(Data!E1124,0,MATCH('Delta Beta'!$C$5,Data!$B$4:$Q$4,0)-3),#N/A)-$C$8/250</f>
        <v>#N/A</v>
      </c>
      <c r="M1121" s="394" t="e">
        <f ca="1">IF(NOT(OFFSET(Data!E1124,0,MATCH('Delta Beta'!$C$5,Data!$B$4:$Q$4,0)-1)=""),OFFSET(Data!E1124,0,MATCH('Delta Beta'!$C$5,Data!$B$4:$Q$4,0)-1),#N/A)-$C$8/250</f>
        <v>#N/A</v>
      </c>
      <c r="N1121" s="395"/>
      <c r="R1121" s="391"/>
    </row>
    <row r="1122" spans="12:18">
      <c r="L1122" s="394" t="e">
        <f ca="1">IF(NOT(OFFSET(Data!E1125,0,MATCH('Delta Beta'!$C$5,Data!$B$4:$Q$4,0)-3)=""),OFFSET(Data!E1125,0,MATCH('Delta Beta'!$C$5,Data!$B$4:$Q$4,0)-3),#N/A)-$C$8/250</f>
        <v>#N/A</v>
      </c>
      <c r="M1122" s="394" t="e">
        <f ca="1">IF(NOT(OFFSET(Data!E1125,0,MATCH('Delta Beta'!$C$5,Data!$B$4:$Q$4,0)-1)=""),OFFSET(Data!E1125,0,MATCH('Delta Beta'!$C$5,Data!$B$4:$Q$4,0)-1),#N/A)-$C$8/250</f>
        <v>#N/A</v>
      </c>
      <c r="N1122" s="395"/>
      <c r="R1122" s="391"/>
    </row>
    <row r="1123" spans="12:18">
      <c r="L1123" s="394" t="e">
        <f ca="1">IF(NOT(OFFSET(Data!E1126,0,MATCH('Delta Beta'!$C$5,Data!$B$4:$Q$4,0)-3)=""),OFFSET(Data!E1126,0,MATCH('Delta Beta'!$C$5,Data!$B$4:$Q$4,0)-3),#N/A)-$C$8/250</f>
        <v>#N/A</v>
      </c>
      <c r="M1123" s="394" t="e">
        <f ca="1">IF(NOT(OFFSET(Data!E1126,0,MATCH('Delta Beta'!$C$5,Data!$B$4:$Q$4,0)-1)=""),OFFSET(Data!E1126,0,MATCH('Delta Beta'!$C$5,Data!$B$4:$Q$4,0)-1),#N/A)-$C$8/250</f>
        <v>#N/A</v>
      </c>
      <c r="N1123" s="395"/>
      <c r="R1123" s="391"/>
    </row>
    <row r="1124" spans="12:18">
      <c r="L1124" s="394" t="e">
        <f ca="1">IF(NOT(OFFSET(Data!E1127,0,MATCH('Delta Beta'!$C$5,Data!$B$4:$Q$4,0)-3)=""),OFFSET(Data!E1127,0,MATCH('Delta Beta'!$C$5,Data!$B$4:$Q$4,0)-3),#N/A)-$C$8/250</f>
        <v>#N/A</v>
      </c>
      <c r="M1124" s="394" t="e">
        <f ca="1">IF(NOT(OFFSET(Data!E1127,0,MATCH('Delta Beta'!$C$5,Data!$B$4:$Q$4,0)-1)=""),OFFSET(Data!E1127,0,MATCH('Delta Beta'!$C$5,Data!$B$4:$Q$4,0)-1),#N/A)-$C$8/250</f>
        <v>#N/A</v>
      </c>
      <c r="N1124" s="395"/>
      <c r="R1124" s="391"/>
    </row>
    <row r="1125" spans="12:18">
      <c r="L1125" s="394" t="e">
        <f ca="1">IF(NOT(OFFSET(Data!E1128,0,MATCH('Delta Beta'!$C$5,Data!$B$4:$Q$4,0)-3)=""),OFFSET(Data!E1128,0,MATCH('Delta Beta'!$C$5,Data!$B$4:$Q$4,0)-3),#N/A)-$C$8/250</f>
        <v>#N/A</v>
      </c>
      <c r="M1125" s="394" t="e">
        <f ca="1">IF(NOT(OFFSET(Data!E1128,0,MATCH('Delta Beta'!$C$5,Data!$B$4:$Q$4,0)-1)=""),OFFSET(Data!E1128,0,MATCH('Delta Beta'!$C$5,Data!$B$4:$Q$4,0)-1),#N/A)-$C$8/250</f>
        <v>#N/A</v>
      </c>
      <c r="N1125" s="395"/>
      <c r="R1125" s="391"/>
    </row>
    <row r="1126" spans="12:18">
      <c r="L1126" s="394" t="e">
        <f ca="1">IF(NOT(OFFSET(Data!E1129,0,MATCH('Delta Beta'!$C$5,Data!$B$4:$Q$4,0)-3)=""),OFFSET(Data!E1129,0,MATCH('Delta Beta'!$C$5,Data!$B$4:$Q$4,0)-3),#N/A)-$C$8/250</f>
        <v>#N/A</v>
      </c>
      <c r="M1126" s="394" t="e">
        <f ca="1">IF(NOT(OFFSET(Data!E1129,0,MATCH('Delta Beta'!$C$5,Data!$B$4:$Q$4,0)-1)=""),OFFSET(Data!E1129,0,MATCH('Delta Beta'!$C$5,Data!$B$4:$Q$4,0)-1),#N/A)-$C$8/250</f>
        <v>#N/A</v>
      </c>
      <c r="N1126" s="395"/>
      <c r="R1126" s="391"/>
    </row>
    <row r="1127" spans="12:18">
      <c r="L1127" s="394" t="e">
        <f ca="1">IF(NOT(OFFSET(Data!E1130,0,MATCH('Delta Beta'!$C$5,Data!$B$4:$Q$4,0)-3)=""),OFFSET(Data!E1130,0,MATCH('Delta Beta'!$C$5,Data!$B$4:$Q$4,0)-3),#N/A)-$C$8/250</f>
        <v>#N/A</v>
      </c>
      <c r="M1127" s="394" t="e">
        <f ca="1">IF(NOT(OFFSET(Data!E1130,0,MATCH('Delta Beta'!$C$5,Data!$B$4:$Q$4,0)-1)=""),OFFSET(Data!E1130,0,MATCH('Delta Beta'!$C$5,Data!$B$4:$Q$4,0)-1),#N/A)-$C$8/250</f>
        <v>#N/A</v>
      </c>
      <c r="N1127" s="395"/>
      <c r="R1127" s="391"/>
    </row>
    <row r="1128" spans="12:18">
      <c r="L1128" s="394" t="e">
        <f ca="1">IF(NOT(OFFSET(Data!E1131,0,MATCH('Delta Beta'!$C$5,Data!$B$4:$Q$4,0)-3)=""),OFFSET(Data!E1131,0,MATCH('Delta Beta'!$C$5,Data!$B$4:$Q$4,0)-3),#N/A)-$C$8/250</f>
        <v>#N/A</v>
      </c>
      <c r="M1128" s="394" t="e">
        <f ca="1">IF(NOT(OFFSET(Data!E1131,0,MATCH('Delta Beta'!$C$5,Data!$B$4:$Q$4,0)-1)=""),OFFSET(Data!E1131,0,MATCH('Delta Beta'!$C$5,Data!$B$4:$Q$4,0)-1),#N/A)-$C$8/250</f>
        <v>#N/A</v>
      </c>
      <c r="N1128" s="395"/>
      <c r="R1128" s="391"/>
    </row>
    <row r="1129" spans="12:18">
      <c r="L1129" s="394" t="e">
        <f ca="1">IF(NOT(OFFSET(Data!E1132,0,MATCH('Delta Beta'!$C$5,Data!$B$4:$Q$4,0)-3)=""),OFFSET(Data!E1132,0,MATCH('Delta Beta'!$C$5,Data!$B$4:$Q$4,0)-3),#N/A)-$C$8/250</f>
        <v>#N/A</v>
      </c>
      <c r="M1129" s="394" t="e">
        <f ca="1">IF(NOT(OFFSET(Data!E1132,0,MATCH('Delta Beta'!$C$5,Data!$B$4:$Q$4,0)-1)=""),OFFSET(Data!E1132,0,MATCH('Delta Beta'!$C$5,Data!$B$4:$Q$4,0)-1),#N/A)-$C$8/250</f>
        <v>#N/A</v>
      </c>
      <c r="N1129" s="395"/>
      <c r="R1129" s="391"/>
    </row>
    <row r="1130" spans="12:18">
      <c r="L1130" s="394" t="e">
        <f ca="1">IF(NOT(OFFSET(Data!E1133,0,MATCH('Delta Beta'!$C$5,Data!$B$4:$Q$4,0)-3)=""),OFFSET(Data!E1133,0,MATCH('Delta Beta'!$C$5,Data!$B$4:$Q$4,0)-3),#N/A)-$C$8/250</f>
        <v>#N/A</v>
      </c>
      <c r="M1130" s="394" t="e">
        <f ca="1">IF(NOT(OFFSET(Data!E1133,0,MATCH('Delta Beta'!$C$5,Data!$B$4:$Q$4,0)-1)=""),OFFSET(Data!E1133,0,MATCH('Delta Beta'!$C$5,Data!$B$4:$Q$4,0)-1),#N/A)-$C$8/250</f>
        <v>#N/A</v>
      </c>
      <c r="N1130" s="395"/>
      <c r="R1130" s="391"/>
    </row>
    <row r="1131" spans="12:18">
      <c r="L1131" s="394" t="e">
        <f ca="1">IF(NOT(OFFSET(Data!E1134,0,MATCH('Delta Beta'!$C$5,Data!$B$4:$Q$4,0)-3)=""),OFFSET(Data!E1134,0,MATCH('Delta Beta'!$C$5,Data!$B$4:$Q$4,0)-3),#N/A)-$C$8/250</f>
        <v>#N/A</v>
      </c>
      <c r="M1131" s="394" t="e">
        <f ca="1">IF(NOT(OFFSET(Data!E1134,0,MATCH('Delta Beta'!$C$5,Data!$B$4:$Q$4,0)-1)=""),OFFSET(Data!E1134,0,MATCH('Delta Beta'!$C$5,Data!$B$4:$Q$4,0)-1),#N/A)-$C$8/250</f>
        <v>#N/A</v>
      </c>
      <c r="N1131" s="395"/>
      <c r="R1131" s="391"/>
    </row>
    <row r="1132" spans="12:18">
      <c r="L1132" s="394" t="e">
        <f ca="1">IF(NOT(OFFSET(Data!E1135,0,MATCH('Delta Beta'!$C$5,Data!$B$4:$Q$4,0)-3)=""),OFFSET(Data!E1135,0,MATCH('Delta Beta'!$C$5,Data!$B$4:$Q$4,0)-3),#N/A)-$C$8/250</f>
        <v>#N/A</v>
      </c>
      <c r="M1132" s="394" t="e">
        <f ca="1">IF(NOT(OFFSET(Data!E1135,0,MATCH('Delta Beta'!$C$5,Data!$B$4:$Q$4,0)-1)=""),OFFSET(Data!E1135,0,MATCH('Delta Beta'!$C$5,Data!$B$4:$Q$4,0)-1),#N/A)-$C$8/250</f>
        <v>#N/A</v>
      </c>
      <c r="N1132" s="395"/>
      <c r="R1132" s="391"/>
    </row>
    <row r="1133" spans="12:18">
      <c r="L1133" s="394" t="e">
        <f ca="1">IF(NOT(OFFSET(Data!E1136,0,MATCH('Delta Beta'!$C$5,Data!$B$4:$Q$4,0)-3)=""),OFFSET(Data!E1136,0,MATCH('Delta Beta'!$C$5,Data!$B$4:$Q$4,0)-3),#N/A)-$C$8/250</f>
        <v>#N/A</v>
      </c>
      <c r="M1133" s="394" t="e">
        <f ca="1">IF(NOT(OFFSET(Data!E1136,0,MATCH('Delta Beta'!$C$5,Data!$B$4:$Q$4,0)-1)=""),OFFSET(Data!E1136,0,MATCH('Delta Beta'!$C$5,Data!$B$4:$Q$4,0)-1),#N/A)-$C$8/250</f>
        <v>#N/A</v>
      </c>
      <c r="N1133" s="395"/>
      <c r="R1133" s="391"/>
    </row>
    <row r="1134" spans="12:18">
      <c r="L1134" s="394" t="e">
        <f ca="1">IF(NOT(OFFSET(Data!E1137,0,MATCH('Delta Beta'!$C$5,Data!$B$4:$Q$4,0)-3)=""),OFFSET(Data!E1137,0,MATCH('Delta Beta'!$C$5,Data!$B$4:$Q$4,0)-3),#N/A)-$C$8/250</f>
        <v>#N/A</v>
      </c>
      <c r="M1134" s="394" t="e">
        <f ca="1">IF(NOT(OFFSET(Data!E1137,0,MATCH('Delta Beta'!$C$5,Data!$B$4:$Q$4,0)-1)=""),OFFSET(Data!E1137,0,MATCH('Delta Beta'!$C$5,Data!$B$4:$Q$4,0)-1),#N/A)-$C$8/250</f>
        <v>#N/A</v>
      </c>
      <c r="N1134" s="395"/>
      <c r="R1134" s="391"/>
    </row>
    <row r="1135" spans="12:18">
      <c r="L1135" s="394" t="e">
        <f ca="1">IF(NOT(OFFSET(Data!E1138,0,MATCH('Delta Beta'!$C$5,Data!$B$4:$Q$4,0)-3)=""),OFFSET(Data!E1138,0,MATCH('Delta Beta'!$C$5,Data!$B$4:$Q$4,0)-3),#N/A)-$C$8/250</f>
        <v>#N/A</v>
      </c>
      <c r="M1135" s="394" t="e">
        <f ca="1">IF(NOT(OFFSET(Data!E1138,0,MATCH('Delta Beta'!$C$5,Data!$B$4:$Q$4,0)-1)=""),OFFSET(Data!E1138,0,MATCH('Delta Beta'!$C$5,Data!$B$4:$Q$4,0)-1),#N/A)-$C$8/250</f>
        <v>#N/A</v>
      </c>
      <c r="N1135" s="395"/>
      <c r="R1135" s="391"/>
    </row>
    <row r="1136" spans="12:18">
      <c r="L1136" s="394" t="e">
        <f ca="1">IF(NOT(OFFSET(Data!E1139,0,MATCH('Delta Beta'!$C$5,Data!$B$4:$Q$4,0)-3)=""),OFFSET(Data!E1139,0,MATCH('Delta Beta'!$C$5,Data!$B$4:$Q$4,0)-3),#N/A)-$C$8/250</f>
        <v>#N/A</v>
      </c>
      <c r="M1136" s="394" t="e">
        <f ca="1">IF(NOT(OFFSET(Data!E1139,0,MATCH('Delta Beta'!$C$5,Data!$B$4:$Q$4,0)-1)=""),OFFSET(Data!E1139,0,MATCH('Delta Beta'!$C$5,Data!$B$4:$Q$4,0)-1),#N/A)-$C$8/250</f>
        <v>#N/A</v>
      </c>
      <c r="N1136" s="395"/>
      <c r="R1136" s="391"/>
    </row>
    <row r="1137" spans="12:18">
      <c r="L1137" s="394" t="e">
        <f ca="1">IF(NOT(OFFSET(Data!E1140,0,MATCH('Delta Beta'!$C$5,Data!$B$4:$Q$4,0)-3)=""),OFFSET(Data!E1140,0,MATCH('Delta Beta'!$C$5,Data!$B$4:$Q$4,0)-3),#N/A)-$C$8/250</f>
        <v>#N/A</v>
      </c>
      <c r="M1137" s="394" t="e">
        <f ca="1">IF(NOT(OFFSET(Data!E1140,0,MATCH('Delta Beta'!$C$5,Data!$B$4:$Q$4,0)-1)=""),OFFSET(Data!E1140,0,MATCH('Delta Beta'!$C$5,Data!$B$4:$Q$4,0)-1),#N/A)-$C$8/250</f>
        <v>#N/A</v>
      </c>
      <c r="N1137" s="395"/>
      <c r="R1137" s="391"/>
    </row>
    <row r="1138" spans="12:18">
      <c r="L1138" s="394" t="e">
        <f ca="1">IF(NOT(OFFSET(Data!E1141,0,MATCH('Delta Beta'!$C$5,Data!$B$4:$Q$4,0)-3)=""),OFFSET(Data!E1141,0,MATCH('Delta Beta'!$C$5,Data!$B$4:$Q$4,0)-3),#N/A)-$C$8/250</f>
        <v>#N/A</v>
      </c>
      <c r="M1138" s="394" t="e">
        <f ca="1">IF(NOT(OFFSET(Data!E1141,0,MATCH('Delta Beta'!$C$5,Data!$B$4:$Q$4,0)-1)=""),OFFSET(Data!E1141,0,MATCH('Delta Beta'!$C$5,Data!$B$4:$Q$4,0)-1),#N/A)-$C$8/250</f>
        <v>#N/A</v>
      </c>
      <c r="N1138" s="395"/>
      <c r="R1138" s="391"/>
    </row>
    <row r="1139" spans="12:18">
      <c r="L1139" s="394" t="e">
        <f ca="1">IF(NOT(OFFSET(Data!E1142,0,MATCH('Delta Beta'!$C$5,Data!$B$4:$Q$4,0)-3)=""),OFFSET(Data!E1142,0,MATCH('Delta Beta'!$C$5,Data!$B$4:$Q$4,0)-3),#N/A)-$C$8/250</f>
        <v>#N/A</v>
      </c>
      <c r="M1139" s="394" t="e">
        <f ca="1">IF(NOT(OFFSET(Data!E1142,0,MATCH('Delta Beta'!$C$5,Data!$B$4:$Q$4,0)-1)=""),OFFSET(Data!E1142,0,MATCH('Delta Beta'!$C$5,Data!$B$4:$Q$4,0)-1),#N/A)-$C$8/250</f>
        <v>#N/A</v>
      </c>
      <c r="N1139" s="395"/>
      <c r="R1139" s="391"/>
    </row>
    <row r="1140" spans="12:18">
      <c r="L1140" s="394" t="e">
        <f ca="1">IF(NOT(OFFSET(Data!E1143,0,MATCH('Delta Beta'!$C$5,Data!$B$4:$Q$4,0)-3)=""),OFFSET(Data!E1143,0,MATCH('Delta Beta'!$C$5,Data!$B$4:$Q$4,0)-3),#N/A)-$C$8/250</f>
        <v>#N/A</v>
      </c>
      <c r="M1140" s="394" t="e">
        <f ca="1">IF(NOT(OFFSET(Data!E1143,0,MATCH('Delta Beta'!$C$5,Data!$B$4:$Q$4,0)-1)=""),OFFSET(Data!E1143,0,MATCH('Delta Beta'!$C$5,Data!$B$4:$Q$4,0)-1),#N/A)-$C$8/250</f>
        <v>#N/A</v>
      </c>
      <c r="N1140" s="395"/>
      <c r="R1140" s="391"/>
    </row>
    <row r="1141" spans="12:18">
      <c r="L1141" s="394" t="e">
        <f ca="1">IF(NOT(OFFSET(Data!E1144,0,MATCH('Delta Beta'!$C$5,Data!$B$4:$Q$4,0)-3)=""),OFFSET(Data!E1144,0,MATCH('Delta Beta'!$C$5,Data!$B$4:$Q$4,0)-3),#N/A)-$C$8/250</f>
        <v>#N/A</v>
      </c>
      <c r="M1141" s="394" t="e">
        <f ca="1">IF(NOT(OFFSET(Data!E1144,0,MATCH('Delta Beta'!$C$5,Data!$B$4:$Q$4,0)-1)=""),OFFSET(Data!E1144,0,MATCH('Delta Beta'!$C$5,Data!$B$4:$Q$4,0)-1),#N/A)-$C$8/250</f>
        <v>#N/A</v>
      </c>
      <c r="N1141" s="395"/>
      <c r="R1141" s="391"/>
    </row>
    <row r="1142" spans="12:18">
      <c r="L1142" s="394" t="e">
        <f ca="1">IF(NOT(OFFSET(Data!E1145,0,MATCH('Delta Beta'!$C$5,Data!$B$4:$Q$4,0)-3)=""),OFFSET(Data!E1145,0,MATCH('Delta Beta'!$C$5,Data!$B$4:$Q$4,0)-3),#N/A)-$C$8/250</f>
        <v>#N/A</v>
      </c>
      <c r="M1142" s="394" t="e">
        <f ca="1">IF(NOT(OFFSET(Data!E1145,0,MATCH('Delta Beta'!$C$5,Data!$B$4:$Q$4,0)-1)=""),OFFSET(Data!E1145,0,MATCH('Delta Beta'!$C$5,Data!$B$4:$Q$4,0)-1),#N/A)-$C$8/250</f>
        <v>#N/A</v>
      </c>
      <c r="N1142" s="395"/>
      <c r="R1142" s="391"/>
    </row>
    <row r="1143" spans="12:18">
      <c r="L1143" s="394" t="e">
        <f ca="1">IF(NOT(OFFSET(Data!E1146,0,MATCH('Delta Beta'!$C$5,Data!$B$4:$Q$4,0)-3)=""),OFFSET(Data!E1146,0,MATCH('Delta Beta'!$C$5,Data!$B$4:$Q$4,0)-3),#N/A)-$C$8/250</f>
        <v>#N/A</v>
      </c>
      <c r="M1143" s="394" t="e">
        <f ca="1">IF(NOT(OFFSET(Data!E1146,0,MATCH('Delta Beta'!$C$5,Data!$B$4:$Q$4,0)-1)=""),OFFSET(Data!E1146,0,MATCH('Delta Beta'!$C$5,Data!$B$4:$Q$4,0)-1),#N/A)-$C$8/250</f>
        <v>#N/A</v>
      </c>
      <c r="N1143" s="395"/>
      <c r="R1143" s="391"/>
    </row>
    <row r="1144" spans="12:18">
      <c r="L1144" s="394" t="e">
        <f ca="1">IF(NOT(OFFSET(Data!E1147,0,MATCH('Delta Beta'!$C$5,Data!$B$4:$Q$4,0)-3)=""),OFFSET(Data!E1147,0,MATCH('Delta Beta'!$C$5,Data!$B$4:$Q$4,0)-3),#N/A)-$C$8/250</f>
        <v>#N/A</v>
      </c>
      <c r="M1144" s="394" t="e">
        <f ca="1">IF(NOT(OFFSET(Data!E1147,0,MATCH('Delta Beta'!$C$5,Data!$B$4:$Q$4,0)-1)=""),OFFSET(Data!E1147,0,MATCH('Delta Beta'!$C$5,Data!$B$4:$Q$4,0)-1),#N/A)-$C$8/250</f>
        <v>#N/A</v>
      </c>
      <c r="N1144" s="395"/>
      <c r="R1144" s="391"/>
    </row>
    <row r="1145" spans="12:18">
      <c r="L1145" s="394" t="e">
        <f ca="1">IF(NOT(OFFSET(Data!E1148,0,MATCH('Delta Beta'!$C$5,Data!$B$4:$Q$4,0)-3)=""),OFFSET(Data!E1148,0,MATCH('Delta Beta'!$C$5,Data!$B$4:$Q$4,0)-3),#N/A)-$C$8/250</f>
        <v>#N/A</v>
      </c>
      <c r="M1145" s="394" t="e">
        <f ca="1">IF(NOT(OFFSET(Data!E1148,0,MATCH('Delta Beta'!$C$5,Data!$B$4:$Q$4,0)-1)=""),OFFSET(Data!E1148,0,MATCH('Delta Beta'!$C$5,Data!$B$4:$Q$4,0)-1),#N/A)-$C$8/250</f>
        <v>#N/A</v>
      </c>
      <c r="N1145" s="395"/>
      <c r="R1145" s="391"/>
    </row>
    <row r="1146" spans="12:18">
      <c r="L1146" s="394" t="e">
        <f ca="1">IF(NOT(OFFSET(Data!E1149,0,MATCH('Delta Beta'!$C$5,Data!$B$4:$Q$4,0)-3)=""),OFFSET(Data!E1149,0,MATCH('Delta Beta'!$C$5,Data!$B$4:$Q$4,0)-3),#N/A)-$C$8/250</f>
        <v>#N/A</v>
      </c>
      <c r="M1146" s="394" t="e">
        <f ca="1">IF(NOT(OFFSET(Data!E1149,0,MATCH('Delta Beta'!$C$5,Data!$B$4:$Q$4,0)-1)=""),OFFSET(Data!E1149,0,MATCH('Delta Beta'!$C$5,Data!$B$4:$Q$4,0)-1),#N/A)-$C$8/250</f>
        <v>#N/A</v>
      </c>
      <c r="N1146" s="395"/>
      <c r="R1146" s="391"/>
    </row>
    <row r="1147" spans="12:18">
      <c r="L1147" s="394" t="e">
        <f ca="1">IF(NOT(OFFSET(Data!E1150,0,MATCH('Delta Beta'!$C$5,Data!$B$4:$Q$4,0)-3)=""),OFFSET(Data!E1150,0,MATCH('Delta Beta'!$C$5,Data!$B$4:$Q$4,0)-3),#N/A)-$C$8/250</f>
        <v>#N/A</v>
      </c>
      <c r="M1147" s="394" t="e">
        <f ca="1">IF(NOT(OFFSET(Data!E1150,0,MATCH('Delta Beta'!$C$5,Data!$B$4:$Q$4,0)-1)=""),OFFSET(Data!E1150,0,MATCH('Delta Beta'!$C$5,Data!$B$4:$Q$4,0)-1),#N/A)-$C$8/250</f>
        <v>#N/A</v>
      </c>
      <c r="N1147" s="395"/>
      <c r="R1147" s="391"/>
    </row>
    <row r="1148" spans="12:18">
      <c r="L1148" s="394" t="e">
        <f ca="1">IF(NOT(OFFSET(Data!E1151,0,MATCH('Delta Beta'!$C$5,Data!$B$4:$Q$4,0)-3)=""),OFFSET(Data!E1151,0,MATCH('Delta Beta'!$C$5,Data!$B$4:$Q$4,0)-3),#N/A)-$C$8/250</f>
        <v>#N/A</v>
      </c>
      <c r="M1148" s="394" t="e">
        <f ca="1">IF(NOT(OFFSET(Data!E1151,0,MATCH('Delta Beta'!$C$5,Data!$B$4:$Q$4,0)-1)=""),OFFSET(Data!E1151,0,MATCH('Delta Beta'!$C$5,Data!$B$4:$Q$4,0)-1),#N/A)-$C$8/250</f>
        <v>#N/A</v>
      </c>
      <c r="N1148" s="395"/>
      <c r="R1148" s="391"/>
    </row>
    <row r="1149" spans="12:18">
      <c r="L1149" s="394" t="e">
        <f ca="1">IF(NOT(OFFSET(Data!E1152,0,MATCH('Delta Beta'!$C$5,Data!$B$4:$Q$4,0)-3)=""),OFFSET(Data!E1152,0,MATCH('Delta Beta'!$C$5,Data!$B$4:$Q$4,0)-3),#N/A)-$C$8/250</f>
        <v>#N/A</v>
      </c>
      <c r="M1149" s="394" t="e">
        <f ca="1">IF(NOT(OFFSET(Data!E1152,0,MATCH('Delta Beta'!$C$5,Data!$B$4:$Q$4,0)-1)=""),OFFSET(Data!E1152,0,MATCH('Delta Beta'!$C$5,Data!$B$4:$Q$4,0)-1),#N/A)-$C$8/250</f>
        <v>#N/A</v>
      </c>
      <c r="N1149" s="395"/>
      <c r="R1149" s="391"/>
    </row>
    <row r="1150" spans="12:18">
      <c r="L1150" s="394" t="e">
        <f ca="1">IF(NOT(OFFSET(Data!E1153,0,MATCH('Delta Beta'!$C$5,Data!$B$4:$Q$4,0)-3)=""),OFFSET(Data!E1153,0,MATCH('Delta Beta'!$C$5,Data!$B$4:$Q$4,0)-3),#N/A)-$C$8/250</f>
        <v>#N/A</v>
      </c>
      <c r="M1150" s="394" t="e">
        <f ca="1">IF(NOT(OFFSET(Data!E1153,0,MATCH('Delta Beta'!$C$5,Data!$B$4:$Q$4,0)-1)=""),OFFSET(Data!E1153,0,MATCH('Delta Beta'!$C$5,Data!$B$4:$Q$4,0)-1),#N/A)-$C$8/250</f>
        <v>#N/A</v>
      </c>
      <c r="N1150" s="395"/>
      <c r="R1150" s="391"/>
    </row>
    <row r="1151" spans="12:18">
      <c r="L1151" s="394" t="e">
        <f ca="1">IF(NOT(OFFSET(Data!E1154,0,MATCH('Delta Beta'!$C$5,Data!$B$4:$Q$4,0)-3)=""),OFFSET(Data!E1154,0,MATCH('Delta Beta'!$C$5,Data!$B$4:$Q$4,0)-3),#N/A)-$C$8/250</f>
        <v>#N/A</v>
      </c>
      <c r="M1151" s="394" t="e">
        <f ca="1">IF(NOT(OFFSET(Data!E1154,0,MATCH('Delta Beta'!$C$5,Data!$B$4:$Q$4,0)-1)=""),OFFSET(Data!E1154,0,MATCH('Delta Beta'!$C$5,Data!$B$4:$Q$4,0)-1),#N/A)-$C$8/250</f>
        <v>#N/A</v>
      </c>
      <c r="N1151" s="395"/>
      <c r="R1151" s="391"/>
    </row>
    <row r="1152" spans="12:18">
      <c r="L1152" s="394" t="e">
        <f ca="1">IF(NOT(OFFSET(Data!E1155,0,MATCH('Delta Beta'!$C$5,Data!$B$4:$Q$4,0)-3)=""),OFFSET(Data!E1155,0,MATCH('Delta Beta'!$C$5,Data!$B$4:$Q$4,0)-3),#N/A)-$C$8/250</f>
        <v>#N/A</v>
      </c>
      <c r="M1152" s="394" t="e">
        <f ca="1">IF(NOT(OFFSET(Data!E1155,0,MATCH('Delta Beta'!$C$5,Data!$B$4:$Q$4,0)-1)=""),OFFSET(Data!E1155,0,MATCH('Delta Beta'!$C$5,Data!$B$4:$Q$4,0)-1),#N/A)-$C$8/250</f>
        <v>#N/A</v>
      </c>
      <c r="N1152" s="395"/>
      <c r="R1152" s="391"/>
    </row>
    <row r="1153" spans="12:18">
      <c r="L1153" s="394" t="e">
        <f ca="1">IF(NOT(OFFSET(Data!E1156,0,MATCH('Delta Beta'!$C$5,Data!$B$4:$Q$4,0)-3)=""),OFFSET(Data!E1156,0,MATCH('Delta Beta'!$C$5,Data!$B$4:$Q$4,0)-3),#N/A)-$C$8/250</f>
        <v>#N/A</v>
      </c>
      <c r="M1153" s="394" t="e">
        <f ca="1">IF(NOT(OFFSET(Data!E1156,0,MATCH('Delta Beta'!$C$5,Data!$B$4:$Q$4,0)-1)=""),OFFSET(Data!E1156,0,MATCH('Delta Beta'!$C$5,Data!$B$4:$Q$4,0)-1),#N/A)-$C$8/250</f>
        <v>#N/A</v>
      </c>
      <c r="N1153" s="395"/>
      <c r="R1153" s="391"/>
    </row>
    <row r="1154" spans="12:18">
      <c r="L1154" s="394" t="e">
        <f ca="1">IF(NOT(OFFSET(Data!E1157,0,MATCH('Delta Beta'!$C$5,Data!$B$4:$Q$4,0)-3)=""),OFFSET(Data!E1157,0,MATCH('Delta Beta'!$C$5,Data!$B$4:$Q$4,0)-3),#N/A)-$C$8/250</f>
        <v>#N/A</v>
      </c>
      <c r="M1154" s="394" t="e">
        <f ca="1">IF(NOT(OFFSET(Data!E1157,0,MATCH('Delta Beta'!$C$5,Data!$B$4:$Q$4,0)-1)=""),OFFSET(Data!E1157,0,MATCH('Delta Beta'!$C$5,Data!$B$4:$Q$4,0)-1),#N/A)-$C$8/250</f>
        <v>#N/A</v>
      </c>
      <c r="N1154" s="395"/>
      <c r="R1154" s="391"/>
    </row>
    <row r="1155" spans="12:18">
      <c r="L1155" s="394" t="e">
        <f ca="1">IF(NOT(OFFSET(Data!E1158,0,MATCH('Delta Beta'!$C$5,Data!$B$4:$Q$4,0)-3)=""),OFFSET(Data!E1158,0,MATCH('Delta Beta'!$C$5,Data!$B$4:$Q$4,0)-3),#N/A)-$C$8/250</f>
        <v>#N/A</v>
      </c>
      <c r="M1155" s="394" t="e">
        <f ca="1">IF(NOT(OFFSET(Data!E1158,0,MATCH('Delta Beta'!$C$5,Data!$B$4:$Q$4,0)-1)=""),OFFSET(Data!E1158,0,MATCH('Delta Beta'!$C$5,Data!$B$4:$Q$4,0)-1),#N/A)-$C$8/250</f>
        <v>#N/A</v>
      </c>
      <c r="N1155" s="395"/>
      <c r="R1155" s="391"/>
    </row>
    <row r="1156" spans="12:18">
      <c r="L1156" s="394" t="e">
        <f ca="1">IF(NOT(OFFSET(Data!E1159,0,MATCH('Delta Beta'!$C$5,Data!$B$4:$Q$4,0)-3)=""),OFFSET(Data!E1159,0,MATCH('Delta Beta'!$C$5,Data!$B$4:$Q$4,0)-3),#N/A)-$C$8/250</f>
        <v>#N/A</v>
      </c>
      <c r="M1156" s="394" t="e">
        <f ca="1">IF(NOT(OFFSET(Data!E1159,0,MATCH('Delta Beta'!$C$5,Data!$B$4:$Q$4,0)-1)=""),OFFSET(Data!E1159,0,MATCH('Delta Beta'!$C$5,Data!$B$4:$Q$4,0)-1),#N/A)-$C$8/250</f>
        <v>#N/A</v>
      </c>
      <c r="N1156" s="395"/>
      <c r="R1156" s="391"/>
    </row>
    <row r="1157" spans="12:18">
      <c r="L1157" s="394" t="e">
        <f ca="1">IF(NOT(OFFSET(Data!E1160,0,MATCH('Delta Beta'!$C$5,Data!$B$4:$Q$4,0)-3)=""),OFFSET(Data!E1160,0,MATCH('Delta Beta'!$C$5,Data!$B$4:$Q$4,0)-3),#N/A)-$C$8/250</f>
        <v>#N/A</v>
      </c>
      <c r="M1157" s="394" t="e">
        <f ca="1">IF(NOT(OFFSET(Data!E1160,0,MATCH('Delta Beta'!$C$5,Data!$B$4:$Q$4,0)-1)=""),OFFSET(Data!E1160,0,MATCH('Delta Beta'!$C$5,Data!$B$4:$Q$4,0)-1),#N/A)-$C$8/250</f>
        <v>#N/A</v>
      </c>
      <c r="N1157" s="395"/>
      <c r="R1157" s="391"/>
    </row>
    <row r="1158" spans="12:18">
      <c r="L1158" s="394" t="e">
        <f ca="1">IF(NOT(OFFSET(Data!E1161,0,MATCH('Delta Beta'!$C$5,Data!$B$4:$Q$4,0)-3)=""),OFFSET(Data!E1161,0,MATCH('Delta Beta'!$C$5,Data!$B$4:$Q$4,0)-3),#N/A)-$C$8/250</f>
        <v>#N/A</v>
      </c>
      <c r="M1158" s="394" t="e">
        <f ca="1">IF(NOT(OFFSET(Data!E1161,0,MATCH('Delta Beta'!$C$5,Data!$B$4:$Q$4,0)-1)=""),OFFSET(Data!E1161,0,MATCH('Delta Beta'!$C$5,Data!$B$4:$Q$4,0)-1),#N/A)-$C$8/250</f>
        <v>#N/A</v>
      </c>
      <c r="N1158" s="395"/>
      <c r="R1158" s="391"/>
    </row>
    <row r="1159" spans="12:18">
      <c r="L1159" s="394" t="e">
        <f ca="1">IF(NOT(OFFSET(Data!E1162,0,MATCH('Delta Beta'!$C$5,Data!$B$4:$Q$4,0)-3)=""),OFFSET(Data!E1162,0,MATCH('Delta Beta'!$C$5,Data!$B$4:$Q$4,0)-3),#N/A)-$C$8/250</f>
        <v>#N/A</v>
      </c>
      <c r="M1159" s="394" t="e">
        <f ca="1">IF(NOT(OFFSET(Data!E1162,0,MATCH('Delta Beta'!$C$5,Data!$B$4:$Q$4,0)-1)=""),OFFSET(Data!E1162,0,MATCH('Delta Beta'!$C$5,Data!$B$4:$Q$4,0)-1),#N/A)-$C$8/250</f>
        <v>#N/A</v>
      </c>
      <c r="N1159" s="395"/>
      <c r="R1159" s="391"/>
    </row>
    <row r="1160" spans="12:18">
      <c r="L1160" s="394" t="e">
        <f ca="1">IF(NOT(OFFSET(Data!E1163,0,MATCH('Delta Beta'!$C$5,Data!$B$4:$Q$4,0)-3)=""),OFFSET(Data!E1163,0,MATCH('Delta Beta'!$C$5,Data!$B$4:$Q$4,0)-3),#N/A)-$C$8/250</f>
        <v>#N/A</v>
      </c>
      <c r="M1160" s="394" t="e">
        <f ca="1">IF(NOT(OFFSET(Data!E1163,0,MATCH('Delta Beta'!$C$5,Data!$B$4:$Q$4,0)-1)=""),OFFSET(Data!E1163,0,MATCH('Delta Beta'!$C$5,Data!$B$4:$Q$4,0)-1),#N/A)-$C$8/250</f>
        <v>#N/A</v>
      </c>
      <c r="N1160" s="395"/>
      <c r="R1160" s="391"/>
    </row>
    <row r="1161" spans="12:18">
      <c r="L1161" s="394" t="e">
        <f ca="1">IF(NOT(OFFSET(Data!E1164,0,MATCH('Delta Beta'!$C$5,Data!$B$4:$Q$4,0)-3)=""),OFFSET(Data!E1164,0,MATCH('Delta Beta'!$C$5,Data!$B$4:$Q$4,0)-3),#N/A)-$C$8/250</f>
        <v>#N/A</v>
      </c>
      <c r="M1161" s="394" t="e">
        <f ca="1">IF(NOT(OFFSET(Data!E1164,0,MATCH('Delta Beta'!$C$5,Data!$B$4:$Q$4,0)-1)=""),OFFSET(Data!E1164,0,MATCH('Delta Beta'!$C$5,Data!$B$4:$Q$4,0)-1),#N/A)-$C$8/250</f>
        <v>#N/A</v>
      </c>
      <c r="N1161" s="395"/>
      <c r="R1161" s="391"/>
    </row>
    <row r="1162" spans="12:18">
      <c r="L1162" s="394" t="e">
        <f ca="1">IF(NOT(OFFSET(Data!E1165,0,MATCH('Delta Beta'!$C$5,Data!$B$4:$Q$4,0)-3)=""),OFFSET(Data!E1165,0,MATCH('Delta Beta'!$C$5,Data!$B$4:$Q$4,0)-3),#N/A)-$C$8/250</f>
        <v>#N/A</v>
      </c>
      <c r="M1162" s="394" t="e">
        <f ca="1">IF(NOT(OFFSET(Data!E1165,0,MATCH('Delta Beta'!$C$5,Data!$B$4:$Q$4,0)-1)=""),OFFSET(Data!E1165,0,MATCH('Delta Beta'!$C$5,Data!$B$4:$Q$4,0)-1),#N/A)-$C$8/250</f>
        <v>#N/A</v>
      </c>
      <c r="N1162" s="395"/>
      <c r="R1162" s="391"/>
    </row>
    <row r="1163" spans="12:18">
      <c r="L1163" s="394" t="e">
        <f ca="1">IF(NOT(OFFSET(Data!E1166,0,MATCH('Delta Beta'!$C$5,Data!$B$4:$Q$4,0)-3)=""),OFFSET(Data!E1166,0,MATCH('Delta Beta'!$C$5,Data!$B$4:$Q$4,0)-3),#N/A)-$C$8/250</f>
        <v>#N/A</v>
      </c>
      <c r="M1163" s="394" t="e">
        <f ca="1">IF(NOT(OFFSET(Data!E1166,0,MATCH('Delta Beta'!$C$5,Data!$B$4:$Q$4,0)-1)=""),OFFSET(Data!E1166,0,MATCH('Delta Beta'!$C$5,Data!$B$4:$Q$4,0)-1),#N/A)-$C$8/250</f>
        <v>#N/A</v>
      </c>
      <c r="N1163" s="395"/>
      <c r="R1163" s="391"/>
    </row>
    <row r="1164" spans="12:18">
      <c r="L1164" s="394" t="e">
        <f ca="1">IF(NOT(OFFSET(Data!E1167,0,MATCH('Delta Beta'!$C$5,Data!$B$4:$Q$4,0)-3)=""),OFFSET(Data!E1167,0,MATCH('Delta Beta'!$C$5,Data!$B$4:$Q$4,0)-3),#N/A)-$C$8/250</f>
        <v>#N/A</v>
      </c>
      <c r="M1164" s="394" t="e">
        <f ca="1">IF(NOT(OFFSET(Data!E1167,0,MATCH('Delta Beta'!$C$5,Data!$B$4:$Q$4,0)-1)=""),OFFSET(Data!E1167,0,MATCH('Delta Beta'!$C$5,Data!$B$4:$Q$4,0)-1),#N/A)-$C$8/250</f>
        <v>#N/A</v>
      </c>
      <c r="N1164" s="395"/>
      <c r="R1164" s="391"/>
    </row>
    <row r="1165" spans="12:18">
      <c r="L1165" s="394" t="e">
        <f ca="1">IF(NOT(OFFSET(Data!E1168,0,MATCH('Delta Beta'!$C$5,Data!$B$4:$Q$4,0)-3)=""),OFFSET(Data!E1168,0,MATCH('Delta Beta'!$C$5,Data!$B$4:$Q$4,0)-3),#N/A)-$C$8/250</f>
        <v>#N/A</v>
      </c>
      <c r="M1165" s="394" t="e">
        <f ca="1">IF(NOT(OFFSET(Data!E1168,0,MATCH('Delta Beta'!$C$5,Data!$B$4:$Q$4,0)-1)=""),OFFSET(Data!E1168,0,MATCH('Delta Beta'!$C$5,Data!$B$4:$Q$4,0)-1),#N/A)-$C$8/250</f>
        <v>#N/A</v>
      </c>
      <c r="N1165" s="395"/>
      <c r="R1165" s="391"/>
    </row>
    <row r="1166" spans="12:18">
      <c r="L1166" s="394" t="e">
        <f ca="1">IF(NOT(OFFSET(Data!E1169,0,MATCH('Delta Beta'!$C$5,Data!$B$4:$Q$4,0)-3)=""),OFFSET(Data!E1169,0,MATCH('Delta Beta'!$C$5,Data!$B$4:$Q$4,0)-3),#N/A)-$C$8/250</f>
        <v>#N/A</v>
      </c>
      <c r="M1166" s="394" t="e">
        <f ca="1">IF(NOT(OFFSET(Data!E1169,0,MATCH('Delta Beta'!$C$5,Data!$B$4:$Q$4,0)-1)=""),OFFSET(Data!E1169,0,MATCH('Delta Beta'!$C$5,Data!$B$4:$Q$4,0)-1),#N/A)-$C$8/250</f>
        <v>#N/A</v>
      </c>
      <c r="N1166" s="395"/>
      <c r="R1166" s="391"/>
    </row>
    <row r="1167" spans="12:18">
      <c r="L1167" s="394" t="e">
        <f ca="1">IF(NOT(OFFSET(Data!E1170,0,MATCH('Delta Beta'!$C$5,Data!$B$4:$Q$4,0)-3)=""),OFFSET(Data!E1170,0,MATCH('Delta Beta'!$C$5,Data!$B$4:$Q$4,0)-3),#N/A)-$C$8/250</f>
        <v>#N/A</v>
      </c>
      <c r="M1167" s="394" t="e">
        <f ca="1">IF(NOT(OFFSET(Data!E1170,0,MATCH('Delta Beta'!$C$5,Data!$B$4:$Q$4,0)-1)=""),OFFSET(Data!E1170,0,MATCH('Delta Beta'!$C$5,Data!$B$4:$Q$4,0)-1),#N/A)-$C$8/250</f>
        <v>#N/A</v>
      </c>
      <c r="N1167" s="395"/>
      <c r="R1167" s="391"/>
    </row>
    <row r="1168" spans="12:18">
      <c r="L1168" s="394" t="e">
        <f ca="1">IF(NOT(OFFSET(Data!E1171,0,MATCH('Delta Beta'!$C$5,Data!$B$4:$Q$4,0)-3)=""),OFFSET(Data!E1171,0,MATCH('Delta Beta'!$C$5,Data!$B$4:$Q$4,0)-3),#N/A)-$C$8/250</f>
        <v>#N/A</v>
      </c>
      <c r="M1168" s="394" t="e">
        <f ca="1">IF(NOT(OFFSET(Data!E1171,0,MATCH('Delta Beta'!$C$5,Data!$B$4:$Q$4,0)-1)=""),OFFSET(Data!E1171,0,MATCH('Delta Beta'!$C$5,Data!$B$4:$Q$4,0)-1),#N/A)-$C$8/250</f>
        <v>#N/A</v>
      </c>
      <c r="N1168" s="395"/>
      <c r="R1168" s="391"/>
    </row>
    <row r="1169" spans="12:18">
      <c r="L1169" s="394" t="e">
        <f ca="1">IF(NOT(OFFSET(Data!E1172,0,MATCH('Delta Beta'!$C$5,Data!$B$4:$Q$4,0)-3)=""),OFFSET(Data!E1172,0,MATCH('Delta Beta'!$C$5,Data!$B$4:$Q$4,0)-3),#N/A)-$C$8/250</f>
        <v>#N/A</v>
      </c>
      <c r="M1169" s="394" t="e">
        <f ca="1">IF(NOT(OFFSET(Data!E1172,0,MATCH('Delta Beta'!$C$5,Data!$B$4:$Q$4,0)-1)=""),OFFSET(Data!E1172,0,MATCH('Delta Beta'!$C$5,Data!$B$4:$Q$4,0)-1),#N/A)-$C$8/250</f>
        <v>#N/A</v>
      </c>
      <c r="N1169" s="395"/>
      <c r="R1169" s="391"/>
    </row>
    <row r="1170" spans="12:18">
      <c r="L1170" s="394" t="e">
        <f ca="1">IF(NOT(OFFSET(Data!E1173,0,MATCH('Delta Beta'!$C$5,Data!$B$4:$Q$4,0)-3)=""),OFFSET(Data!E1173,0,MATCH('Delta Beta'!$C$5,Data!$B$4:$Q$4,0)-3),#N/A)-$C$8/250</f>
        <v>#N/A</v>
      </c>
      <c r="M1170" s="394" t="e">
        <f ca="1">IF(NOT(OFFSET(Data!E1173,0,MATCH('Delta Beta'!$C$5,Data!$B$4:$Q$4,0)-1)=""),OFFSET(Data!E1173,0,MATCH('Delta Beta'!$C$5,Data!$B$4:$Q$4,0)-1),#N/A)-$C$8/250</f>
        <v>#N/A</v>
      </c>
      <c r="N1170" s="395"/>
      <c r="R1170" s="391"/>
    </row>
    <row r="1171" spans="12:18">
      <c r="L1171" s="394" t="e">
        <f ca="1">IF(NOT(OFFSET(Data!E1174,0,MATCH('Delta Beta'!$C$5,Data!$B$4:$Q$4,0)-3)=""),OFFSET(Data!E1174,0,MATCH('Delta Beta'!$C$5,Data!$B$4:$Q$4,0)-3),#N/A)-$C$8/250</f>
        <v>#N/A</v>
      </c>
      <c r="M1171" s="394" t="e">
        <f ca="1">IF(NOT(OFFSET(Data!E1174,0,MATCH('Delta Beta'!$C$5,Data!$B$4:$Q$4,0)-1)=""),OFFSET(Data!E1174,0,MATCH('Delta Beta'!$C$5,Data!$B$4:$Q$4,0)-1),#N/A)-$C$8/250</f>
        <v>#N/A</v>
      </c>
      <c r="N1171" s="395"/>
      <c r="R1171" s="391"/>
    </row>
    <row r="1172" spans="12:18">
      <c r="L1172" s="394" t="e">
        <f ca="1">IF(NOT(OFFSET(Data!E1175,0,MATCH('Delta Beta'!$C$5,Data!$B$4:$Q$4,0)-3)=""),OFFSET(Data!E1175,0,MATCH('Delta Beta'!$C$5,Data!$B$4:$Q$4,0)-3),#N/A)-$C$8/250</f>
        <v>#N/A</v>
      </c>
      <c r="M1172" s="394" t="e">
        <f ca="1">IF(NOT(OFFSET(Data!E1175,0,MATCH('Delta Beta'!$C$5,Data!$B$4:$Q$4,0)-1)=""),OFFSET(Data!E1175,0,MATCH('Delta Beta'!$C$5,Data!$B$4:$Q$4,0)-1),#N/A)-$C$8/250</f>
        <v>#N/A</v>
      </c>
      <c r="N1172" s="395"/>
      <c r="R1172" s="391"/>
    </row>
    <row r="1173" spans="12:18">
      <c r="L1173" s="394" t="e">
        <f ca="1">IF(NOT(OFFSET(Data!E1176,0,MATCH('Delta Beta'!$C$5,Data!$B$4:$Q$4,0)-3)=""),OFFSET(Data!E1176,0,MATCH('Delta Beta'!$C$5,Data!$B$4:$Q$4,0)-3),#N/A)-$C$8/250</f>
        <v>#N/A</v>
      </c>
      <c r="M1173" s="394" t="e">
        <f ca="1">IF(NOT(OFFSET(Data!E1176,0,MATCH('Delta Beta'!$C$5,Data!$B$4:$Q$4,0)-1)=""),OFFSET(Data!E1176,0,MATCH('Delta Beta'!$C$5,Data!$B$4:$Q$4,0)-1),#N/A)-$C$8/250</f>
        <v>#N/A</v>
      </c>
      <c r="N1173" s="395"/>
      <c r="R1173" s="391"/>
    </row>
    <row r="1174" spans="12:18">
      <c r="L1174" s="394" t="e">
        <f ca="1">IF(NOT(OFFSET(Data!E1177,0,MATCH('Delta Beta'!$C$5,Data!$B$4:$Q$4,0)-3)=""),OFFSET(Data!E1177,0,MATCH('Delta Beta'!$C$5,Data!$B$4:$Q$4,0)-3),#N/A)-$C$8/250</f>
        <v>#N/A</v>
      </c>
      <c r="M1174" s="394" t="e">
        <f ca="1">IF(NOT(OFFSET(Data!E1177,0,MATCH('Delta Beta'!$C$5,Data!$B$4:$Q$4,0)-1)=""),OFFSET(Data!E1177,0,MATCH('Delta Beta'!$C$5,Data!$B$4:$Q$4,0)-1),#N/A)-$C$8/250</f>
        <v>#N/A</v>
      </c>
      <c r="N1174" s="395"/>
      <c r="R1174" s="391"/>
    </row>
    <row r="1175" spans="12:18">
      <c r="L1175" s="394" t="e">
        <f ca="1">IF(NOT(OFFSET(Data!E1178,0,MATCH('Delta Beta'!$C$5,Data!$B$4:$Q$4,0)-3)=""),OFFSET(Data!E1178,0,MATCH('Delta Beta'!$C$5,Data!$B$4:$Q$4,0)-3),#N/A)-$C$8/250</f>
        <v>#N/A</v>
      </c>
      <c r="M1175" s="394" t="e">
        <f ca="1">IF(NOT(OFFSET(Data!E1178,0,MATCH('Delta Beta'!$C$5,Data!$B$4:$Q$4,0)-1)=""),OFFSET(Data!E1178,0,MATCH('Delta Beta'!$C$5,Data!$B$4:$Q$4,0)-1),#N/A)-$C$8/250</f>
        <v>#N/A</v>
      </c>
      <c r="N1175" s="395"/>
      <c r="R1175" s="391"/>
    </row>
    <row r="1176" spans="12:18">
      <c r="L1176" s="394" t="e">
        <f ca="1">IF(NOT(OFFSET(Data!E1179,0,MATCH('Delta Beta'!$C$5,Data!$B$4:$Q$4,0)-3)=""),OFFSET(Data!E1179,0,MATCH('Delta Beta'!$C$5,Data!$B$4:$Q$4,0)-3),#N/A)-$C$8/250</f>
        <v>#N/A</v>
      </c>
      <c r="M1176" s="394" t="e">
        <f ca="1">IF(NOT(OFFSET(Data!E1179,0,MATCH('Delta Beta'!$C$5,Data!$B$4:$Q$4,0)-1)=""),OFFSET(Data!E1179,0,MATCH('Delta Beta'!$C$5,Data!$B$4:$Q$4,0)-1),#N/A)-$C$8/250</f>
        <v>#N/A</v>
      </c>
      <c r="N1176" s="395"/>
      <c r="R1176" s="391"/>
    </row>
    <row r="1177" spans="12:18">
      <c r="L1177" s="394" t="e">
        <f ca="1">IF(NOT(OFFSET(Data!E1180,0,MATCH('Delta Beta'!$C$5,Data!$B$4:$Q$4,0)-3)=""),OFFSET(Data!E1180,0,MATCH('Delta Beta'!$C$5,Data!$B$4:$Q$4,0)-3),#N/A)-$C$8/250</f>
        <v>#N/A</v>
      </c>
      <c r="M1177" s="394" t="e">
        <f ca="1">IF(NOT(OFFSET(Data!E1180,0,MATCH('Delta Beta'!$C$5,Data!$B$4:$Q$4,0)-1)=""),OFFSET(Data!E1180,0,MATCH('Delta Beta'!$C$5,Data!$B$4:$Q$4,0)-1),#N/A)-$C$8/250</f>
        <v>#N/A</v>
      </c>
      <c r="N1177" s="395"/>
      <c r="R1177" s="391"/>
    </row>
    <row r="1178" spans="12:18">
      <c r="L1178" s="394" t="e">
        <f ca="1">IF(NOT(OFFSET(Data!E1181,0,MATCH('Delta Beta'!$C$5,Data!$B$4:$Q$4,0)-3)=""),OFFSET(Data!E1181,0,MATCH('Delta Beta'!$C$5,Data!$B$4:$Q$4,0)-3),#N/A)-$C$8/250</f>
        <v>#N/A</v>
      </c>
      <c r="M1178" s="394" t="e">
        <f ca="1">IF(NOT(OFFSET(Data!E1181,0,MATCH('Delta Beta'!$C$5,Data!$B$4:$Q$4,0)-1)=""),OFFSET(Data!E1181,0,MATCH('Delta Beta'!$C$5,Data!$B$4:$Q$4,0)-1),#N/A)-$C$8/250</f>
        <v>#N/A</v>
      </c>
      <c r="N1178" s="395"/>
      <c r="R1178" s="391"/>
    </row>
    <row r="1179" spans="12:18">
      <c r="L1179" s="394" t="e">
        <f ca="1">IF(NOT(OFFSET(Data!E1182,0,MATCH('Delta Beta'!$C$5,Data!$B$4:$Q$4,0)-3)=""),OFFSET(Data!E1182,0,MATCH('Delta Beta'!$C$5,Data!$B$4:$Q$4,0)-3),#N/A)-$C$8/250</f>
        <v>#N/A</v>
      </c>
      <c r="M1179" s="394" t="e">
        <f ca="1">IF(NOT(OFFSET(Data!E1182,0,MATCH('Delta Beta'!$C$5,Data!$B$4:$Q$4,0)-1)=""),OFFSET(Data!E1182,0,MATCH('Delta Beta'!$C$5,Data!$B$4:$Q$4,0)-1),#N/A)-$C$8/250</f>
        <v>#N/A</v>
      </c>
      <c r="N1179" s="395"/>
      <c r="R1179" s="391"/>
    </row>
    <row r="1180" spans="12:18">
      <c r="L1180" s="394" t="e">
        <f ca="1">IF(NOT(OFFSET(Data!E1183,0,MATCH('Delta Beta'!$C$5,Data!$B$4:$Q$4,0)-3)=""),OFFSET(Data!E1183,0,MATCH('Delta Beta'!$C$5,Data!$B$4:$Q$4,0)-3),#N/A)-$C$8/250</f>
        <v>#N/A</v>
      </c>
      <c r="M1180" s="394" t="e">
        <f ca="1">IF(NOT(OFFSET(Data!E1183,0,MATCH('Delta Beta'!$C$5,Data!$B$4:$Q$4,0)-1)=""),OFFSET(Data!E1183,0,MATCH('Delta Beta'!$C$5,Data!$B$4:$Q$4,0)-1),#N/A)-$C$8/250</f>
        <v>#N/A</v>
      </c>
      <c r="N1180" s="395"/>
      <c r="R1180" s="391"/>
    </row>
    <row r="1181" spans="12:18">
      <c r="L1181" s="394" t="e">
        <f ca="1">IF(NOT(OFFSET(Data!E1184,0,MATCH('Delta Beta'!$C$5,Data!$B$4:$Q$4,0)-3)=""),OFFSET(Data!E1184,0,MATCH('Delta Beta'!$C$5,Data!$B$4:$Q$4,0)-3),#N/A)-$C$8/250</f>
        <v>#N/A</v>
      </c>
      <c r="M1181" s="394" t="e">
        <f ca="1">IF(NOT(OFFSET(Data!E1184,0,MATCH('Delta Beta'!$C$5,Data!$B$4:$Q$4,0)-1)=""),OFFSET(Data!E1184,0,MATCH('Delta Beta'!$C$5,Data!$B$4:$Q$4,0)-1),#N/A)-$C$8/250</f>
        <v>#N/A</v>
      </c>
      <c r="N1181" s="395"/>
      <c r="R1181" s="391"/>
    </row>
    <row r="1182" spans="12:18">
      <c r="L1182" s="394" t="e">
        <f ca="1">IF(NOT(OFFSET(Data!E1185,0,MATCH('Delta Beta'!$C$5,Data!$B$4:$Q$4,0)-3)=""),OFFSET(Data!E1185,0,MATCH('Delta Beta'!$C$5,Data!$B$4:$Q$4,0)-3),#N/A)-$C$8/250</f>
        <v>#N/A</v>
      </c>
      <c r="M1182" s="394" t="e">
        <f ca="1">IF(NOT(OFFSET(Data!E1185,0,MATCH('Delta Beta'!$C$5,Data!$B$4:$Q$4,0)-1)=""),OFFSET(Data!E1185,0,MATCH('Delta Beta'!$C$5,Data!$B$4:$Q$4,0)-1),#N/A)-$C$8/250</f>
        <v>#N/A</v>
      </c>
      <c r="N1182" s="395"/>
      <c r="R1182" s="391"/>
    </row>
    <row r="1183" spans="12:18">
      <c r="L1183" s="394" t="e">
        <f ca="1">IF(NOT(OFFSET(Data!E1186,0,MATCH('Delta Beta'!$C$5,Data!$B$4:$Q$4,0)-3)=""),OFFSET(Data!E1186,0,MATCH('Delta Beta'!$C$5,Data!$B$4:$Q$4,0)-3),#N/A)-$C$8/250</f>
        <v>#N/A</v>
      </c>
      <c r="M1183" s="394" t="e">
        <f ca="1">IF(NOT(OFFSET(Data!E1186,0,MATCH('Delta Beta'!$C$5,Data!$B$4:$Q$4,0)-1)=""),OFFSET(Data!E1186,0,MATCH('Delta Beta'!$C$5,Data!$B$4:$Q$4,0)-1),#N/A)-$C$8/250</f>
        <v>#N/A</v>
      </c>
      <c r="N1183" s="395"/>
      <c r="R1183" s="391"/>
    </row>
    <row r="1184" spans="12:18">
      <c r="L1184" s="394" t="e">
        <f ca="1">IF(NOT(OFFSET(Data!E1187,0,MATCH('Delta Beta'!$C$5,Data!$B$4:$Q$4,0)-3)=""),OFFSET(Data!E1187,0,MATCH('Delta Beta'!$C$5,Data!$B$4:$Q$4,0)-3),#N/A)-$C$8/250</f>
        <v>#N/A</v>
      </c>
      <c r="M1184" s="394" t="e">
        <f ca="1">IF(NOT(OFFSET(Data!E1187,0,MATCH('Delta Beta'!$C$5,Data!$B$4:$Q$4,0)-1)=""),OFFSET(Data!E1187,0,MATCH('Delta Beta'!$C$5,Data!$B$4:$Q$4,0)-1),#N/A)-$C$8/250</f>
        <v>#N/A</v>
      </c>
      <c r="N1184" s="395"/>
      <c r="R1184" s="391"/>
    </row>
    <row r="1185" spans="12:18">
      <c r="L1185" s="394" t="e">
        <f ca="1">IF(NOT(OFFSET(Data!E1188,0,MATCH('Delta Beta'!$C$5,Data!$B$4:$Q$4,0)-3)=""),OFFSET(Data!E1188,0,MATCH('Delta Beta'!$C$5,Data!$B$4:$Q$4,0)-3),#N/A)-$C$8/250</f>
        <v>#N/A</v>
      </c>
      <c r="M1185" s="394" t="e">
        <f ca="1">IF(NOT(OFFSET(Data!E1188,0,MATCH('Delta Beta'!$C$5,Data!$B$4:$Q$4,0)-1)=""),OFFSET(Data!E1188,0,MATCH('Delta Beta'!$C$5,Data!$B$4:$Q$4,0)-1),#N/A)-$C$8/250</f>
        <v>#N/A</v>
      </c>
      <c r="N1185" s="395"/>
      <c r="R1185" s="391"/>
    </row>
    <row r="1186" spans="12:18">
      <c r="L1186" s="394" t="e">
        <f ca="1">IF(NOT(OFFSET(Data!E1189,0,MATCH('Delta Beta'!$C$5,Data!$B$4:$Q$4,0)-3)=""),OFFSET(Data!E1189,0,MATCH('Delta Beta'!$C$5,Data!$B$4:$Q$4,0)-3),#N/A)-$C$8/250</f>
        <v>#N/A</v>
      </c>
      <c r="M1186" s="394" t="e">
        <f ca="1">IF(NOT(OFFSET(Data!E1189,0,MATCH('Delta Beta'!$C$5,Data!$B$4:$Q$4,0)-1)=""),OFFSET(Data!E1189,0,MATCH('Delta Beta'!$C$5,Data!$B$4:$Q$4,0)-1),#N/A)-$C$8/250</f>
        <v>#N/A</v>
      </c>
      <c r="N1186" s="395"/>
      <c r="R1186" s="391"/>
    </row>
    <row r="1187" spans="12:18">
      <c r="L1187" s="394" t="e">
        <f ca="1">IF(NOT(OFFSET(Data!E1190,0,MATCH('Delta Beta'!$C$5,Data!$B$4:$Q$4,0)-3)=""),OFFSET(Data!E1190,0,MATCH('Delta Beta'!$C$5,Data!$B$4:$Q$4,0)-3),#N/A)-$C$8/250</f>
        <v>#N/A</v>
      </c>
      <c r="M1187" s="394" t="e">
        <f ca="1">IF(NOT(OFFSET(Data!E1190,0,MATCH('Delta Beta'!$C$5,Data!$B$4:$Q$4,0)-1)=""),OFFSET(Data!E1190,0,MATCH('Delta Beta'!$C$5,Data!$B$4:$Q$4,0)-1),#N/A)-$C$8/250</f>
        <v>#N/A</v>
      </c>
      <c r="N1187" s="395"/>
      <c r="R1187" s="391"/>
    </row>
    <row r="1188" spans="12:18">
      <c r="L1188" s="394" t="e">
        <f ca="1">IF(NOT(OFFSET(Data!E1191,0,MATCH('Delta Beta'!$C$5,Data!$B$4:$Q$4,0)-3)=""),OFFSET(Data!E1191,0,MATCH('Delta Beta'!$C$5,Data!$B$4:$Q$4,0)-3),#N/A)-$C$8/250</f>
        <v>#N/A</v>
      </c>
      <c r="M1188" s="394" t="e">
        <f ca="1">IF(NOT(OFFSET(Data!E1191,0,MATCH('Delta Beta'!$C$5,Data!$B$4:$Q$4,0)-1)=""),OFFSET(Data!E1191,0,MATCH('Delta Beta'!$C$5,Data!$B$4:$Q$4,0)-1),#N/A)-$C$8/250</f>
        <v>#N/A</v>
      </c>
      <c r="N1188" s="395"/>
      <c r="R1188" s="391"/>
    </row>
    <row r="1189" spans="12:18">
      <c r="L1189" s="394" t="e">
        <f ca="1">IF(NOT(OFFSET(Data!E1192,0,MATCH('Delta Beta'!$C$5,Data!$B$4:$Q$4,0)-3)=""),OFFSET(Data!E1192,0,MATCH('Delta Beta'!$C$5,Data!$B$4:$Q$4,0)-3),#N/A)-$C$8/250</f>
        <v>#N/A</v>
      </c>
      <c r="M1189" s="394" t="e">
        <f ca="1">IF(NOT(OFFSET(Data!E1192,0,MATCH('Delta Beta'!$C$5,Data!$B$4:$Q$4,0)-1)=""),OFFSET(Data!E1192,0,MATCH('Delta Beta'!$C$5,Data!$B$4:$Q$4,0)-1),#N/A)-$C$8/250</f>
        <v>#N/A</v>
      </c>
      <c r="N1189" s="395"/>
      <c r="R1189" s="391"/>
    </row>
    <row r="1190" spans="12:18">
      <c r="L1190" s="394" t="e">
        <f ca="1">IF(NOT(OFFSET(Data!E1193,0,MATCH('Delta Beta'!$C$5,Data!$B$4:$Q$4,0)-3)=""),OFFSET(Data!E1193,0,MATCH('Delta Beta'!$C$5,Data!$B$4:$Q$4,0)-3),#N/A)-$C$8/250</f>
        <v>#N/A</v>
      </c>
      <c r="M1190" s="394" t="e">
        <f ca="1">IF(NOT(OFFSET(Data!E1193,0,MATCH('Delta Beta'!$C$5,Data!$B$4:$Q$4,0)-1)=""),OFFSET(Data!E1193,0,MATCH('Delta Beta'!$C$5,Data!$B$4:$Q$4,0)-1),#N/A)-$C$8/250</f>
        <v>#N/A</v>
      </c>
      <c r="N1190" s="395"/>
      <c r="R1190" s="391"/>
    </row>
    <row r="1191" spans="12:18">
      <c r="L1191" s="394" t="e">
        <f ca="1">IF(NOT(OFFSET(Data!E1194,0,MATCH('Delta Beta'!$C$5,Data!$B$4:$Q$4,0)-3)=""),OFFSET(Data!E1194,0,MATCH('Delta Beta'!$C$5,Data!$B$4:$Q$4,0)-3),#N/A)-$C$8/250</f>
        <v>#N/A</v>
      </c>
      <c r="M1191" s="394" t="e">
        <f ca="1">IF(NOT(OFFSET(Data!E1194,0,MATCH('Delta Beta'!$C$5,Data!$B$4:$Q$4,0)-1)=""),OFFSET(Data!E1194,0,MATCH('Delta Beta'!$C$5,Data!$B$4:$Q$4,0)-1),#N/A)-$C$8/250</f>
        <v>#N/A</v>
      </c>
      <c r="N1191" s="395"/>
      <c r="R1191" s="391"/>
    </row>
    <row r="1192" spans="12:18">
      <c r="L1192" s="394" t="e">
        <f ca="1">IF(NOT(OFFSET(Data!E1195,0,MATCH('Delta Beta'!$C$5,Data!$B$4:$Q$4,0)-3)=""),OFFSET(Data!E1195,0,MATCH('Delta Beta'!$C$5,Data!$B$4:$Q$4,0)-3),#N/A)-$C$8/250</f>
        <v>#N/A</v>
      </c>
      <c r="M1192" s="394" t="e">
        <f ca="1">IF(NOT(OFFSET(Data!E1195,0,MATCH('Delta Beta'!$C$5,Data!$B$4:$Q$4,0)-1)=""),OFFSET(Data!E1195,0,MATCH('Delta Beta'!$C$5,Data!$B$4:$Q$4,0)-1),#N/A)-$C$8/250</f>
        <v>#N/A</v>
      </c>
      <c r="N1192" s="395"/>
      <c r="R1192" s="391"/>
    </row>
    <row r="1193" spans="12:18">
      <c r="L1193" s="394" t="e">
        <f ca="1">IF(NOT(OFFSET(Data!E1196,0,MATCH('Delta Beta'!$C$5,Data!$B$4:$Q$4,0)-3)=""),OFFSET(Data!E1196,0,MATCH('Delta Beta'!$C$5,Data!$B$4:$Q$4,0)-3),#N/A)-$C$8/250</f>
        <v>#N/A</v>
      </c>
      <c r="M1193" s="394" t="e">
        <f ca="1">IF(NOT(OFFSET(Data!E1196,0,MATCH('Delta Beta'!$C$5,Data!$B$4:$Q$4,0)-1)=""),OFFSET(Data!E1196,0,MATCH('Delta Beta'!$C$5,Data!$B$4:$Q$4,0)-1),#N/A)-$C$8/250</f>
        <v>#N/A</v>
      </c>
      <c r="N1193" s="395"/>
      <c r="R1193" s="391"/>
    </row>
    <row r="1194" spans="12:18">
      <c r="L1194" s="394" t="e">
        <f ca="1">IF(NOT(OFFSET(Data!E1197,0,MATCH('Delta Beta'!$C$5,Data!$B$4:$Q$4,0)-3)=""),OFFSET(Data!E1197,0,MATCH('Delta Beta'!$C$5,Data!$B$4:$Q$4,0)-3),#N/A)-$C$8/250</f>
        <v>#N/A</v>
      </c>
      <c r="M1194" s="394" t="e">
        <f ca="1">IF(NOT(OFFSET(Data!E1197,0,MATCH('Delta Beta'!$C$5,Data!$B$4:$Q$4,0)-1)=""),OFFSET(Data!E1197,0,MATCH('Delta Beta'!$C$5,Data!$B$4:$Q$4,0)-1),#N/A)-$C$8/250</f>
        <v>#N/A</v>
      </c>
      <c r="N1194" s="395"/>
      <c r="R1194" s="391"/>
    </row>
    <row r="1195" spans="12:18">
      <c r="L1195" s="394" t="e">
        <f ca="1">IF(NOT(OFFSET(Data!E1198,0,MATCH('Delta Beta'!$C$5,Data!$B$4:$Q$4,0)-3)=""),OFFSET(Data!E1198,0,MATCH('Delta Beta'!$C$5,Data!$B$4:$Q$4,0)-3),#N/A)-$C$8/250</f>
        <v>#N/A</v>
      </c>
      <c r="M1195" s="394" t="e">
        <f ca="1">IF(NOT(OFFSET(Data!E1198,0,MATCH('Delta Beta'!$C$5,Data!$B$4:$Q$4,0)-1)=""),OFFSET(Data!E1198,0,MATCH('Delta Beta'!$C$5,Data!$B$4:$Q$4,0)-1),#N/A)-$C$8/250</f>
        <v>#N/A</v>
      </c>
      <c r="N1195" s="395"/>
      <c r="R1195" s="391"/>
    </row>
    <row r="1196" spans="12:18">
      <c r="L1196" s="394" t="e">
        <f ca="1">IF(NOT(OFFSET(Data!E1199,0,MATCH('Delta Beta'!$C$5,Data!$B$4:$Q$4,0)-3)=""),OFFSET(Data!E1199,0,MATCH('Delta Beta'!$C$5,Data!$B$4:$Q$4,0)-3),#N/A)-$C$8/250</f>
        <v>#N/A</v>
      </c>
      <c r="M1196" s="394" t="e">
        <f ca="1">IF(NOT(OFFSET(Data!E1199,0,MATCH('Delta Beta'!$C$5,Data!$B$4:$Q$4,0)-1)=""),OFFSET(Data!E1199,0,MATCH('Delta Beta'!$C$5,Data!$B$4:$Q$4,0)-1),#N/A)-$C$8/250</f>
        <v>#N/A</v>
      </c>
      <c r="N1196" s="395"/>
      <c r="R1196" s="391"/>
    </row>
    <row r="1197" spans="12:18">
      <c r="L1197" s="394" t="e">
        <f ca="1">IF(NOT(OFFSET(Data!E1200,0,MATCH('Delta Beta'!$C$5,Data!$B$4:$Q$4,0)-3)=""),OFFSET(Data!E1200,0,MATCH('Delta Beta'!$C$5,Data!$B$4:$Q$4,0)-3),#N/A)-$C$8/250</f>
        <v>#N/A</v>
      </c>
      <c r="M1197" s="394" t="e">
        <f ca="1">IF(NOT(OFFSET(Data!E1200,0,MATCH('Delta Beta'!$C$5,Data!$B$4:$Q$4,0)-1)=""),OFFSET(Data!E1200,0,MATCH('Delta Beta'!$C$5,Data!$B$4:$Q$4,0)-1),#N/A)-$C$8/250</f>
        <v>#N/A</v>
      </c>
      <c r="N1197" s="395"/>
      <c r="R1197" s="391"/>
    </row>
    <row r="1198" spans="12:18">
      <c r="L1198" s="394" t="e">
        <f ca="1">IF(NOT(OFFSET(Data!E1201,0,MATCH('Delta Beta'!$C$5,Data!$B$4:$Q$4,0)-3)=""),OFFSET(Data!E1201,0,MATCH('Delta Beta'!$C$5,Data!$B$4:$Q$4,0)-3),#N/A)-$C$8/250</f>
        <v>#N/A</v>
      </c>
      <c r="M1198" s="394" t="e">
        <f ca="1">IF(NOT(OFFSET(Data!E1201,0,MATCH('Delta Beta'!$C$5,Data!$B$4:$Q$4,0)-1)=""),OFFSET(Data!E1201,0,MATCH('Delta Beta'!$C$5,Data!$B$4:$Q$4,0)-1),#N/A)-$C$8/250</f>
        <v>#N/A</v>
      </c>
      <c r="N1198" s="395"/>
      <c r="R1198" s="391"/>
    </row>
    <row r="1199" spans="12:18">
      <c r="L1199" s="394" t="e">
        <f ca="1">IF(NOT(OFFSET(Data!E1202,0,MATCH('Delta Beta'!$C$5,Data!$B$4:$Q$4,0)-3)=""),OFFSET(Data!E1202,0,MATCH('Delta Beta'!$C$5,Data!$B$4:$Q$4,0)-3),#N/A)-$C$8/250</f>
        <v>#N/A</v>
      </c>
      <c r="M1199" s="394" t="e">
        <f ca="1">IF(NOT(OFFSET(Data!E1202,0,MATCH('Delta Beta'!$C$5,Data!$B$4:$Q$4,0)-1)=""),OFFSET(Data!E1202,0,MATCH('Delta Beta'!$C$5,Data!$B$4:$Q$4,0)-1),#N/A)-$C$8/250</f>
        <v>#N/A</v>
      </c>
      <c r="N1199" s="395"/>
      <c r="R1199" s="391"/>
    </row>
    <row r="1200" spans="12:18">
      <c r="L1200" s="394" t="e">
        <f ca="1">IF(NOT(OFFSET(Data!E1203,0,MATCH('Delta Beta'!$C$5,Data!$B$4:$Q$4,0)-3)=""),OFFSET(Data!E1203,0,MATCH('Delta Beta'!$C$5,Data!$B$4:$Q$4,0)-3),#N/A)-$C$8/250</f>
        <v>#N/A</v>
      </c>
      <c r="M1200" s="394" t="e">
        <f ca="1">IF(NOT(OFFSET(Data!E1203,0,MATCH('Delta Beta'!$C$5,Data!$B$4:$Q$4,0)-1)=""),OFFSET(Data!E1203,0,MATCH('Delta Beta'!$C$5,Data!$B$4:$Q$4,0)-1),#N/A)-$C$8/250</f>
        <v>#N/A</v>
      </c>
      <c r="N1200" s="395"/>
      <c r="R1200" s="391"/>
    </row>
    <row r="1201" spans="12:18">
      <c r="L1201" s="394" t="e">
        <f ca="1">IF(NOT(OFFSET(Data!E1204,0,MATCH('Delta Beta'!$C$5,Data!$B$4:$Q$4,0)-3)=""),OFFSET(Data!E1204,0,MATCH('Delta Beta'!$C$5,Data!$B$4:$Q$4,0)-3),#N/A)-$C$8/250</f>
        <v>#N/A</v>
      </c>
      <c r="M1201" s="394" t="e">
        <f ca="1">IF(NOT(OFFSET(Data!E1204,0,MATCH('Delta Beta'!$C$5,Data!$B$4:$Q$4,0)-1)=""),OFFSET(Data!E1204,0,MATCH('Delta Beta'!$C$5,Data!$B$4:$Q$4,0)-1),#N/A)-$C$8/250</f>
        <v>#N/A</v>
      </c>
      <c r="N1201" s="395"/>
      <c r="R1201" s="391"/>
    </row>
    <row r="1202" spans="12:18">
      <c r="L1202" s="394" t="e">
        <f ca="1">IF(NOT(OFFSET(Data!E1205,0,MATCH('Delta Beta'!$C$5,Data!$B$4:$Q$4,0)-3)=""),OFFSET(Data!E1205,0,MATCH('Delta Beta'!$C$5,Data!$B$4:$Q$4,0)-3),#N/A)-$C$8/250</f>
        <v>#N/A</v>
      </c>
      <c r="M1202" s="394" t="e">
        <f ca="1">IF(NOT(OFFSET(Data!E1205,0,MATCH('Delta Beta'!$C$5,Data!$B$4:$Q$4,0)-1)=""),OFFSET(Data!E1205,0,MATCH('Delta Beta'!$C$5,Data!$B$4:$Q$4,0)-1),#N/A)-$C$8/250</f>
        <v>#N/A</v>
      </c>
      <c r="N1202" s="395"/>
      <c r="R1202" s="391"/>
    </row>
    <row r="1203" spans="12:18">
      <c r="L1203" s="394" t="e">
        <f ca="1">IF(NOT(OFFSET(Data!E1206,0,MATCH('Delta Beta'!$C$5,Data!$B$4:$Q$4,0)-3)=""),OFFSET(Data!E1206,0,MATCH('Delta Beta'!$C$5,Data!$B$4:$Q$4,0)-3),#N/A)-$C$8/250</f>
        <v>#N/A</v>
      </c>
      <c r="M1203" s="394" t="e">
        <f ca="1">IF(NOT(OFFSET(Data!E1206,0,MATCH('Delta Beta'!$C$5,Data!$B$4:$Q$4,0)-1)=""),OFFSET(Data!E1206,0,MATCH('Delta Beta'!$C$5,Data!$B$4:$Q$4,0)-1),#N/A)-$C$8/250</f>
        <v>#N/A</v>
      </c>
      <c r="N1203" s="395"/>
      <c r="R1203" s="391"/>
    </row>
    <row r="1204" spans="12:18">
      <c r="L1204" s="394" t="e">
        <f ca="1">IF(NOT(OFFSET(Data!E1207,0,MATCH('Delta Beta'!$C$5,Data!$B$4:$Q$4,0)-3)=""),OFFSET(Data!E1207,0,MATCH('Delta Beta'!$C$5,Data!$B$4:$Q$4,0)-3),#N/A)-$C$8/250</f>
        <v>#N/A</v>
      </c>
      <c r="M1204" s="394" t="e">
        <f ca="1">IF(NOT(OFFSET(Data!E1207,0,MATCH('Delta Beta'!$C$5,Data!$B$4:$Q$4,0)-1)=""),OFFSET(Data!E1207,0,MATCH('Delta Beta'!$C$5,Data!$B$4:$Q$4,0)-1),#N/A)-$C$8/250</f>
        <v>#N/A</v>
      </c>
      <c r="N1204" s="395"/>
      <c r="R1204" s="391"/>
    </row>
    <row r="1205" spans="12:18">
      <c r="L1205" s="394" t="e">
        <f ca="1">IF(NOT(OFFSET(Data!E1208,0,MATCH('Delta Beta'!$C$5,Data!$B$4:$Q$4,0)-3)=""),OFFSET(Data!E1208,0,MATCH('Delta Beta'!$C$5,Data!$B$4:$Q$4,0)-3),#N/A)-$C$8/250</f>
        <v>#N/A</v>
      </c>
      <c r="M1205" s="394" t="e">
        <f ca="1">IF(NOT(OFFSET(Data!E1208,0,MATCH('Delta Beta'!$C$5,Data!$B$4:$Q$4,0)-1)=""),OFFSET(Data!E1208,0,MATCH('Delta Beta'!$C$5,Data!$B$4:$Q$4,0)-1),#N/A)-$C$8/250</f>
        <v>#N/A</v>
      </c>
      <c r="N1205" s="395"/>
      <c r="R1205" s="391"/>
    </row>
    <row r="1206" spans="12:18">
      <c r="L1206" s="394" t="e">
        <f ca="1">IF(NOT(OFFSET(Data!E1209,0,MATCH('Delta Beta'!$C$5,Data!$B$4:$Q$4,0)-3)=""),OFFSET(Data!E1209,0,MATCH('Delta Beta'!$C$5,Data!$B$4:$Q$4,0)-3),#N/A)-$C$8/250</f>
        <v>#N/A</v>
      </c>
      <c r="M1206" s="394" t="e">
        <f ca="1">IF(NOT(OFFSET(Data!E1209,0,MATCH('Delta Beta'!$C$5,Data!$B$4:$Q$4,0)-1)=""),OFFSET(Data!E1209,0,MATCH('Delta Beta'!$C$5,Data!$B$4:$Q$4,0)-1),#N/A)-$C$8/250</f>
        <v>#N/A</v>
      </c>
      <c r="N1206" s="395"/>
      <c r="R1206" s="391"/>
    </row>
    <row r="1207" spans="12:18">
      <c r="L1207" s="394" t="e">
        <f ca="1">IF(NOT(OFFSET(Data!E1210,0,MATCH('Delta Beta'!$C$5,Data!$B$4:$Q$4,0)-3)=""),OFFSET(Data!E1210,0,MATCH('Delta Beta'!$C$5,Data!$B$4:$Q$4,0)-3),#N/A)-$C$8/250</f>
        <v>#N/A</v>
      </c>
      <c r="M1207" s="394" t="e">
        <f ca="1">IF(NOT(OFFSET(Data!E1210,0,MATCH('Delta Beta'!$C$5,Data!$B$4:$Q$4,0)-1)=""),OFFSET(Data!E1210,0,MATCH('Delta Beta'!$C$5,Data!$B$4:$Q$4,0)-1),#N/A)-$C$8/250</f>
        <v>#N/A</v>
      </c>
      <c r="N1207" s="395"/>
      <c r="R1207" s="391"/>
    </row>
    <row r="1208" spans="12:18">
      <c r="L1208" s="394" t="e">
        <f ca="1">IF(NOT(OFFSET(Data!E1211,0,MATCH('Delta Beta'!$C$5,Data!$B$4:$Q$4,0)-3)=""),OFFSET(Data!E1211,0,MATCH('Delta Beta'!$C$5,Data!$B$4:$Q$4,0)-3),#N/A)-$C$8/250</f>
        <v>#N/A</v>
      </c>
      <c r="M1208" s="394" t="e">
        <f ca="1">IF(NOT(OFFSET(Data!E1211,0,MATCH('Delta Beta'!$C$5,Data!$B$4:$Q$4,0)-1)=""),OFFSET(Data!E1211,0,MATCH('Delta Beta'!$C$5,Data!$B$4:$Q$4,0)-1),#N/A)-$C$8/250</f>
        <v>#N/A</v>
      </c>
      <c r="N1208" s="395"/>
      <c r="R1208" s="391"/>
    </row>
    <row r="1209" spans="12:18">
      <c r="L1209" s="394" t="e">
        <f ca="1">IF(NOT(OFFSET(Data!E1212,0,MATCH('Delta Beta'!$C$5,Data!$B$4:$Q$4,0)-3)=""),OFFSET(Data!E1212,0,MATCH('Delta Beta'!$C$5,Data!$B$4:$Q$4,0)-3),#N/A)-$C$8/250</f>
        <v>#N/A</v>
      </c>
      <c r="M1209" s="394" t="e">
        <f ca="1">IF(NOT(OFFSET(Data!E1212,0,MATCH('Delta Beta'!$C$5,Data!$B$4:$Q$4,0)-1)=""),OFFSET(Data!E1212,0,MATCH('Delta Beta'!$C$5,Data!$B$4:$Q$4,0)-1),#N/A)-$C$8/250</f>
        <v>#N/A</v>
      </c>
      <c r="N1209" s="395"/>
      <c r="R1209" s="391"/>
    </row>
    <row r="1210" spans="12:18">
      <c r="L1210" s="394" t="e">
        <f ca="1">IF(NOT(OFFSET(Data!E1213,0,MATCH('Delta Beta'!$C$5,Data!$B$4:$Q$4,0)-3)=""),OFFSET(Data!E1213,0,MATCH('Delta Beta'!$C$5,Data!$B$4:$Q$4,0)-3),#N/A)-$C$8/250</f>
        <v>#N/A</v>
      </c>
      <c r="M1210" s="394" t="e">
        <f ca="1">IF(NOT(OFFSET(Data!E1213,0,MATCH('Delta Beta'!$C$5,Data!$B$4:$Q$4,0)-1)=""),OFFSET(Data!E1213,0,MATCH('Delta Beta'!$C$5,Data!$B$4:$Q$4,0)-1),#N/A)-$C$8/250</f>
        <v>#N/A</v>
      </c>
      <c r="N1210" s="395"/>
      <c r="R1210" s="391"/>
    </row>
    <row r="1211" spans="12:18">
      <c r="L1211" s="394" t="e">
        <f ca="1">IF(NOT(OFFSET(Data!E1214,0,MATCH('Delta Beta'!$C$5,Data!$B$4:$Q$4,0)-3)=""),OFFSET(Data!E1214,0,MATCH('Delta Beta'!$C$5,Data!$B$4:$Q$4,0)-3),#N/A)-$C$8/250</f>
        <v>#N/A</v>
      </c>
      <c r="M1211" s="394" t="e">
        <f ca="1">IF(NOT(OFFSET(Data!E1214,0,MATCH('Delta Beta'!$C$5,Data!$B$4:$Q$4,0)-1)=""),OFFSET(Data!E1214,0,MATCH('Delta Beta'!$C$5,Data!$B$4:$Q$4,0)-1),#N/A)-$C$8/250</f>
        <v>#N/A</v>
      </c>
      <c r="N1211" s="395"/>
      <c r="R1211" s="391"/>
    </row>
    <row r="1212" spans="12:18">
      <c r="L1212" s="394" t="e">
        <f ca="1">IF(NOT(OFFSET(Data!E1215,0,MATCH('Delta Beta'!$C$5,Data!$B$4:$Q$4,0)-3)=""),OFFSET(Data!E1215,0,MATCH('Delta Beta'!$C$5,Data!$B$4:$Q$4,0)-3),#N/A)-$C$8/250</f>
        <v>#N/A</v>
      </c>
      <c r="M1212" s="394" t="e">
        <f ca="1">IF(NOT(OFFSET(Data!E1215,0,MATCH('Delta Beta'!$C$5,Data!$B$4:$Q$4,0)-1)=""),OFFSET(Data!E1215,0,MATCH('Delta Beta'!$C$5,Data!$B$4:$Q$4,0)-1),#N/A)-$C$8/250</f>
        <v>#N/A</v>
      </c>
      <c r="N1212" s="395"/>
      <c r="R1212" s="391"/>
    </row>
    <row r="1213" spans="12:18">
      <c r="L1213" s="394" t="e">
        <f ca="1">IF(NOT(OFFSET(Data!E1216,0,MATCH('Delta Beta'!$C$5,Data!$B$4:$Q$4,0)-3)=""),OFFSET(Data!E1216,0,MATCH('Delta Beta'!$C$5,Data!$B$4:$Q$4,0)-3),#N/A)-$C$8/250</f>
        <v>#N/A</v>
      </c>
      <c r="M1213" s="394" t="e">
        <f ca="1">IF(NOT(OFFSET(Data!E1216,0,MATCH('Delta Beta'!$C$5,Data!$B$4:$Q$4,0)-1)=""),OFFSET(Data!E1216,0,MATCH('Delta Beta'!$C$5,Data!$B$4:$Q$4,0)-1),#N/A)-$C$8/250</f>
        <v>#N/A</v>
      </c>
      <c r="N1213" s="395"/>
      <c r="R1213" s="391"/>
    </row>
    <row r="1214" spans="12:18">
      <c r="L1214" s="394" t="e">
        <f ca="1">IF(NOT(OFFSET(Data!E1217,0,MATCH('Delta Beta'!$C$5,Data!$B$4:$Q$4,0)-3)=""),OFFSET(Data!E1217,0,MATCH('Delta Beta'!$C$5,Data!$B$4:$Q$4,0)-3),#N/A)-$C$8/250</f>
        <v>#N/A</v>
      </c>
      <c r="M1214" s="394" t="e">
        <f ca="1">IF(NOT(OFFSET(Data!E1217,0,MATCH('Delta Beta'!$C$5,Data!$B$4:$Q$4,0)-1)=""),OFFSET(Data!E1217,0,MATCH('Delta Beta'!$C$5,Data!$B$4:$Q$4,0)-1),#N/A)-$C$8/250</f>
        <v>#N/A</v>
      </c>
      <c r="N1214" s="395"/>
      <c r="R1214" s="391"/>
    </row>
    <row r="1215" spans="12:18">
      <c r="L1215" s="394" t="e">
        <f ca="1">IF(NOT(OFFSET(Data!E1218,0,MATCH('Delta Beta'!$C$5,Data!$B$4:$Q$4,0)-3)=""),OFFSET(Data!E1218,0,MATCH('Delta Beta'!$C$5,Data!$B$4:$Q$4,0)-3),#N/A)-$C$8/250</f>
        <v>#N/A</v>
      </c>
      <c r="M1215" s="394" t="e">
        <f ca="1">IF(NOT(OFFSET(Data!E1218,0,MATCH('Delta Beta'!$C$5,Data!$B$4:$Q$4,0)-1)=""),OFFSET(Data!E1218,0,MATCH('Delta Beta'!$C$5,Data!$B$4:$Q$4,0)-1),#N/A)-$C$8/250</f>
        <v>#N/A</v>
      </c>
      <c r="N1215" s="395"/>
      <c r="R1215" s="391"/>
    </row>
    <row r="1216" spans="12:18">
      <c r="L1216" s="394" t="e">
        <f ca="1">IF(NOT(OFFSET(Data!E1219,0,MATCH('Delta Beta'!$C$5,Data!$B$4:$Q$4,0)-3)=""),OFFSET(Data!E1219,0,MATCH('Delta Beta'!$C$5,Data!$B$4:$Q$4,0)-3),#N/A)-$C$8/250</f>
        <v>#N/A</v>
      </c>
      <c r="M1216" s="394" t="e">
        <f ca="1">IF(NOT(OFFSET(Data!E1219,0,MATCH('Delta Beta'!$C$5,Data!$B$4:$Q$4,0)-1)=""),OFFSET(Data!E1219,0,MATCH('Delta Beta'!$C$5,Data!$B$4:$Q$4,0)-1),#N/A)-$C$8/250</f>
        <v>#N/A</v>
      </c>
      <c r="N1216" s="395"/>
      <c r="R1216" s="391"/>
    </row>
    <row r="1217" spans="12:18">
      <c r="L1217" s="394" t="e">
        <f ca="1">IF(NOT(OFFSET(Data!E1220,0,MATCH('Delta Beta'!$C$5,Data!$B$4:$Q$4,0)-3)=""),OFFSET(Data!E1220,0,MATCH('Delta Beta'!$C$5,Data!$B$4:$Q$4,0)-3),#N/A)-$C$8/250</f>
        <v>#N/A</v>
      </c>
      <c r="M1217" s="394" t="e">
        <f ca="1">IF(NOT(OFFSET(Data!E1220,0,MATCH('Delta Beta'!$C$5,Data!$B$4:$Q$4,0)-1)=""),OFFSET(Data!E1220,0,MATCH('Delta Beta'!$C$5,Data!$B$4:$Q$4,0)-1),#N/A)-$C$8/250</f>
        <v>#N/A</v>
      </c>
      <c r="N1217" s="395"/>
      <c r="R1217" s="391"/>
    </row>
    <row r="1218" spans="12:18">
      <c r="L1218" s="394" t="e">
        <f ca="1">IF(NOT(OFFSET(Data!E1221,0,MATCH('Delta Beta'!$C$5,Data!$B$4:$Q$4,0)-3)=""),OFFSET(Data!E1221,0,MATCH('Delta Beta'!$C$5,Data!$B$4:$Q$4,0)-3),#N/A)-$C$8/250</f>
        <v>#N/A</v>
      </c>
      <c r="M1218" s="394" t="e">
        <f ca="1">IF(NOT(OFFSET(Data!E1221,0,MATCH('Delta Beta'!$C$5,Data!$B$4:$Q$4,0)-1)=""),OFFSET(Data!E1221,0,MATCH('Delta Beta'!$C$5,Data!$B$4:$Q$4,0)-1),#N/A)-$C$8/250</f>
        <v>#N/A</v>
      </c>
      <c r="N1218" s="395"/>
      <c r="R1218" s="391"/>
    </row>
    <row r="1219" spans="12:18">
      <c r="L1219" s="394" t="e">
        <f ca="1">IF(NOT(OFFSET(Data!E1222,0,MATCH('Delta Beta'!$C$5,Data!$B$4:$Q$4,0)-3)=""),OFFSET(Data!E1222,0,MATCH('Delta Beta'!$C$5,Data!$B$4:$Q$4,0)-3),#N/A)-$C$8/250</f>
        <v>#N/A</v>
      </c>
      <c r="M1219" s="394" t="e">
        <f ca="1">IF(NOT(OFFSET(Data!E1222,0,MATCH('Delta Beta'!$C$5,Data!$B$4:$Q$4,0)-1)=""),OFFSET(Data!E1222,0,MATCH('Delta Beta'!$C$5,Data!$B$4:$Q$4,0)-1),#N/A)-$C$8/250</f>
        <v>#N/A</v>
      </c>
      <c r="N1219" s="395"/>
      <c r="R1219" s="391"/>
    </row>
    <row r="1220" spans="12:18">
      <c r="L1220" s="394" t="e">
        <f ca="1">IF(NOT(OFFSET(Data!E1223,0,MATCH('Delta Beta'!$C$5,Data!$B$4:$Q$4,0)-3)=""),OFFSET(Data!E1223,0,MATCH('Delta Beta'!$C$5,Data!$B$4:$Q$4,0)-3),#N/A)-$C$8/250</f>
        <v>#N/A</v>
      </c>
      <c r="M1220" s="394" t="e">
        <f ca="1">IF(NOT(OFFSET(Data!E1223,0,MATCH('Delta Beta'!$C$5,Data!$B$4:$Q$4,0)-1)=""),OFFSET(Data!E1223,0,MATCH('Delta Beta'!$C$5,Data!$B$4:$Q$4,0)-1),#N/A)-$C$8/250</f>
        <v>#N/A</v>
      </c>
      <c r="N1220" s="395"/>
      <c r="R1220" s="391"/>
    </row>
    <row r="1221" spans="12:18">
      <c r="L1221" s="394" t="e">
        <f ca="1">IF(NOT(OFFSET(Data!E1224,0,MATCH('Delta Beta'!$C$5,Data!$B$4:$Q$4,0)-3)=""),OFFSET(Data!E1224,0,MATCH('Delta Beta'!$C$5,Data!$B$4:$Q$4,0)-3),#N/A)-$C$8/250</f>
        <v>#N/A</v>
      </c>
      <c r="M1221" s="394" t="e">
        <f ca="1">IF(NOT(OFFSET(Data!E1224,0,MATCH('Delta Beta'!$C$5,Data!$B$4:$Q$4,0)-1)=""),OFFSET(Data!E1224,0,MATCH('Delta Beta'!$C$5,Data!$B$4:$Q$4,0)-1),#N/A)-$C$8/250</f>
        <v>#N/A</v>
      </c>
      <c r="N1221" s="395"/>
      <c r="R1221" s="391"/>
    </row>
    <row r="1222" spans="12:18">
      <c r="L1222" s="394" t="e">
        <f ca="1">IF(NOT(OFFSET(Data!E1225,0,MATCH('Delta Beta'!$C$5,Data!$B$4:$Q$4,0)-3)=""),OFFSET(Data!E1225,0,MATCH('Delta Beta'!$C$5,Data!$B$4:$Q$4,0)-3),#N/A)-$C$8/250</f>
        <v>#N/A</v>
      </c>
      <c r="M1222" s="394" t="e">
        <f ca="1">IF(NOT(OFFSET(Data!E1225,0,MATCH('Delta Beta'!$C$5,Data!$B$4:$Q$4,0)-1)=""),OFFSET(Data!E1225,0,MATCH('Delta Beta'!$C$5,Data!$B$4:$Q$4,0)-1),#N/A)-$C$8/250</f>
        <v>#N/A</v>
      </c>
      <c r="N1222" s="395"/>
      <c r="R1222" s="391"/>
    </row>
    <row r="1223" spans="12:18">
      <c r="L1223" s="394" t="e">
        <f ca="1">IF(NOT(OFFSET(Data!E1226,0,MATCH('Delta Beta'!$C$5,Data!$B$4:$Q$4,0)-3)=""),OFFSET(Data!E1226,0,MATCH('Delta Beta'!$C$5,Data!$B$4:$Q$4,0)-3),#N/A)-$C$8/250</f>
        <v>#N/A</v>
      </c>
      <c r="M1223" s="394" t="e">
        <f ca="1">IF(NOT(OFFSET(Data!E1226,0,MATCH('Delta Beta'!$C$5,Data!$B$4:$Q$4,0)-1)=""),OFFSET(Data!E1226,0,MATCH('Delta Beta'!$C$5,Data!$B$4:$Q$4,0)-1),#N/A)-$C$8/250</f>
        <v>#N/A</v>
      </c>
      <c r="N1223" s="395"/>
      <c r="R1223" s="391"/>
    </row>
    <row r="1224" spans="12:18">
      <c r="L1224" s="394" t="e">
        <f ca="1">IF(NOT(OFFSET(Data!E1227,0,MATCH('Delta Beta'!$C$5,Data!$B$4:$Q$4,0)-3)=""),OFFSET(Data!E1227,0,MATCH('Delta Beta'!$C$5,Data!$B$4:$Q$4,0)-3),#N/A)-$C$8/250</f>
        <v>#N/A</v>
      </c>
      <c r="M1224" s="394" t="e">
        <f ca="1">IF(NOT(OFFSET(Data!E1227,0,MATCH('Delta Beta'!$C$5,Data!$B$4:$Q$4,0)-1)=""),OFFSET(Data!E1227,0,MATCH('Delta Beta'!$C$5,Data!$B$4:$Q$4,0)-1),#N/A)-$C$8/250</f>
        <v>#N/A</v>
      </c>
      <c r="N1224" s="395"/>
      <c r="R1224" s="391"/>
    </row>
    <row r="1225" spans="12:18">
      <c r="L1225" s="394" t="e">
        <f ca="1">IF(NOT(OFFSET(Data!E1228,0,MATCH('Delta Beta'!$C$5,Data!$B$4:$Q$4,0)-3)=""),OFFSET(Data!E1228,0,MATCH('Delta Beta'!$C$5,Data!$B$4:$Q$4,0)-3),#N/A)-$C$8/250</f>
        <v>#N/A</v>
      </c>
      <c r="M1225" s="394" t="e">
        <f ca="1">IF(NOT(OFFSET(Data!E1228,0,MATCH('Delta Beta'!$C$5,Data!$B$4:$Q$4,0)-1)=""),OFFSET(Data!E1228,0,MATCH('Delta Beta'!$C$5,Data!$B$4:$Q$4,0)-1),#N/A)-$C$8/250</f>
        <v>#N/A</v>
      </c>
      <c r="N1225" s="395"/>
      <c r="R1225" s="391"/>
    </row>
    <row r="1226" spans="12:18">
      <c r="L1226" s="394" t="e">
        <f ca="1">IF(NOT(OFFSET(Data!E1229,0,MATCH('Delta Beta'!$C$5,Data!$B$4:$Q$4,0)-3)=""),OFFSET(Data!E1229,0,MATCH('Delta Beta'!$C$5,Data!$B$4:$Q$4,0)-3),#N/A)-$C$8/250</f>
        <v>#N/A</v>
      </c>
      <c r="M1226" s="394" t="e">
        <f ca="1">IF(NOT(OFFSET(Data!E1229,0,MATCH('Delta Beta'!$C$5,Data!$B$4:$Q$4,0)-1)=""),OFFSET(Data!E1229,0,MATCH('Delta Beta'!$C$5,Data!$B$4:$Q$4,0)-1),#N/A)-$C$8/250</f>
        <v>#N/A</v>
      </c>
      <c r="N1226" s="395"/>
      <c r="R1226" s="391"/>
    </row>
    <row r="1227" spans="12:18">
      <c r="L1227" s="394" t="e">
        <f ca="1">IF(NOT(OFFSET(Data!E1230,0,MATCH('Delta Beta'!$C$5,Data!$B$4:$Q$4,0)-3)=""),OFFSET(Data!E1230,0,MATCH('Delta Beta'!$C$5,Data!$B$4:$Q$4,0)-3),#N/A)-$C$8/250</f>
        <v>#N/A</v>
      </c>
      <c r="M1227" s="394" t="e">
        <f ca="1">IF(NOT(OFFSET(Data!E1230,0,MATCH('Delta Beta'!$C$5,Data!$B$4:$Q$4,0)-1)=""),OFFSET(Data!E1230,0,MATCH('Delta Beta'!$C$5,Data!$B$4:$Q$4,0)-1),#N/A)-$C$8/250</f>
        <v>#N/A</v>
      </c>
      <c r="N1227" s="395"/>
      <c r="R1227" s="391"/>
    </row>
    <row r="1228" spans="12:18">
      <c r="L1228" s="394" t="e">
        <f ca="1">IF(NOT(OFFSET(Data!E1231,0,MATCH('Delta Beta'!$C$5,Data!$B$4:$Q$4,0)-3)=""),OFFSET(Data!E1231,0,MATCH('Delta Beta'!$C$5,Data!$B$4:$Q$4,0)-3),#N/A)-$C$8/250</f>
        <v>#N/A</v>
      </c>
      <c r="M1228" s="394" t="e">
        <f ca="1">IF(NOT(OFFSET(Data!E1231,0,MATCH('Delta Beta'!$C$5,Data!$B$4:$Q$4,0)-1)=""),OFFSET(Data!E1231,0,MATCH('Delta Beta'!$C$5,Data!$B$4:$Q$4,0)-1),#N/A)-$C$8/250</f>
        <v>#N/A</v>
      </c>
      <c r="N1228" s="395"/>
      <c r="R1228" s="391"/>
    </row>
    <row r="1229" spans="12:18">
      <c r="L1229" s="394" t="e">
        <f ca="1">IF(NOT(OFFSET(Data!E1232,0,MATCH('Delta Beta'!$C$5,Data!$B$4:$Q$4,0)-3)=""),OFFSET(Data!E1232,0,MATCH('Delta Beta'!$C$5,Data!$B$4:$Q$4,0)-3),#N/A)-$C$8/250</f>
        <v>#N/A</v>
      </c>
      <c r="M1229" s="394" t="e">
        <f ca="1">IF(NOT(OFFSET(Data!E1232,0,MATCH('Delta Beta'!$C$5,Data!$B$4:$Q$4,0)-1)=""),OFFSET(Data!E1232,0,MATCH('Delta Beta'!$C$5,Data!$B$4:$Q$4,0)-1),#N/A)-$C$8/250</f>
        <v>#N/A</v>
      </c>
      <c r="N1229" s="395"/>
      <c r="R1229" s="391"/>
    </row>
    <row r="1230" spans="12:18">
      <c r="L1230" s="394" t="e">
        <f ca="1">IF(NOT(OFFSET(Data!E1233,0,MATCH('Delta Beta'!$C$5,Data!$B$4:$Q$4,0)-3)=""),OFFSET(Data!E1233,0,MATCH('Delta Beta'!$C$5,Data!$B$4:$Q$4,0)-3),#N/A)-$C$8/250</f>
        <v>#N/A</v>
      </c>
      <c r="M1230" s="394" t="e">
        <f ca="1">IF(NOT(OFFSET(Data!E1233,0,MATCH('Delta Beta'!$C$5,Data!$B$4:$Q$4,0)-1)=""),OFFSET(Data!E1233,0,MATCH('Delta Beta'!$C$5,Data!$B$4:$Q$4,0)-1),#N/A)-$C$8/250</f>
        <v>#N/A</v>
      </c>
      <c r="N1230" s="395"/>
      <c r="R1230" s="391"/>
    </row>
    <row r="1231" spans="12:18">
      <c r="L1231" s="394" t="e">
        <f ca="1">IF(NOT(OFFSET(Data!E1234,0,MATCH('Delta Beta'!$C$5,Data!$B$4:$Q$4,0)-3)=""),OFFSET(Data!E1234,0,MATCH('Delta Beta'!$C$5,Data!$B$4:$Q$4,0)-3),#N/A)-$C$8/250</f>
        <v>#N/A</v>
      </c>
      <c r="M1231" s="394" t="e">
        <f ca="1">IF(NOT(OFFSET(Data!E1234,0,MATCH('Delta Beta'!$C$5,Data!$B$4:$Q$4,0)-1)=""),OFFSET(Data!E1234,0,MATCH('Delta Beta'!$C$5,Data!$B$4:$Q$4,0)-1),#N/A)-$C$8/250</f>
        <v>#N/A</v>
      </c>
      <c r="N1231" s="395"/>
      <c r="R1231" s="391"/>
    </row>
    <row r="1232" spans="12:18">
      <c r="L1232" s="394" t="e">
        <f ca="1">IF(NOT(OFFSET(Data!E1235,0,MATCH('Delta Beta'!$C$5,Data!$B$4:$Q$4,0)-3)=""),OFFSET(Data!E1235,0,MATCH('Delta Beta'!$C$5,Data!$B$4:$Q$4,0)-3),#N/A)-$C$8/250</f>
        <v>#N/A</v>
      </c>
      <c r="M1232" s="394" t="e">
        <f ca="1">IF(NOT(OFFSET(Data!E1235,0,MATCH('Delta Beta'!$C$5,Data!$B$4:$Q$4,0)-1)=""),OFFSET(Data!E1235,0,MATCH('Delta Beta'!$C$5,Data!$B$4:$Q$4,0)-1),#N/A)-$C$8/250</f>
        <v>#N/A</v>
      </c>
      <c r="N1232" s="395"/>
      <c r="R1232" s="391"/>
    </row>
    <row r="1233" spans="12:18">
      <c r="L1233" s="394" t="e">
        <f ca="1">IF(NOT(OFFSET(Data!E1236,0,MATCH('Delta Beta'!$C$5,Data!$B$4:$Q$4,0)-3)=""),OFFSET(Data!E1236,0,MATCH('Delta Beta'!$C$5,Data!$B$4:$Q$4,0)-3),#N/A)-$C$8/250</f>
        <v>#N/A</v>
      </c>
      <c r="M1233" s="394" t="e">
        <f ca="1">IF(NOT(OFFSET(Data!E1236,0,MATCH('Delta Beta'!$C$5,Data!$B$4:$Q$4,0)-1)=""),OFFSET(Data!E1236,0,MATCH('Delta Beta'!$C$5,Data!$B$4:$Q$4,0)-1),#N/A)-$C$8/250</f>
        <v>#N/A</v>
      </c>
      <c r="N1233" s="395"/>
      <c r="R1233" s="391"/>
    </row>
    <row r="1234" spans="12:18">
      <c r="L1234" s="394" t="e">
        <f ca="1">IF(NOT(OFFSET(Data!E1237,0,MATCH('Delta Beta'!$C$5,Data!$B$4:$Q$4,0)-3)=""),OFFSET(Data!E1237,0,MATCH('Delta Beta'!$C$5,Data!$B$4:$Q$4,0)-3),#N/A)-$C$8/250</f>
        <v>#N/A</v>
      </c>
      <c r="M1234" s="394" t="e">
        <f ca="1">IF(NOT(OFFSET(Data!E1237,0,MATCH('Delta Beta'!$C$5,Data!$B$4:$Q$4,0)-1)=""),OFFSET(Data!E1237,0,MATCH('Delta Beta'!$C$5,Data!$B$4:$Q$4,0)-1),#N/A)-$C$8/250</f>
        <v>#N/A</v>
      </c>
      <c r="N1234" s="395"/>
      <c r="R1234" s="391"/>
    </row>
    <row r="1235" spans="12:18">
      <c r="L1235" s="394" t="e">
        <f ca="1">IF(NOT(OFFSET(Data!E1238,0,MATCH('Delta Beta'!$C$5,Data!$B$4:$Q$4,0)-3)=""),OFFSET(Data!E1238,0,MATCH('Delta Beta'!$C$5,Data!$B$4:$Q$4,0)-3),#N/A)-$C$8/250</f>
        <v>#N/A</v>
      </c>
      <c r="M1235" s="394" t="e">
        <f ca="1">IF(NOT(OFFSET(Data!E1238,0,MATCH('Delta Beta'!$C$5,Data!$B$4:$Q$4,0)-1)=""),OFFSET(Data!E1238,0,MATCH('Delta Beta'!$C$5,Data!$B$4:$Q$4,0)-1),#N/A)-$C$8/250</f>
        <v>#N/A</v>
      </c>
      <c r="N1235" s="395"/>
      <c r="R1235" s="391"/>
    </row>
    <row r="1236" spans="12:18">
      <c r="L1236" s="394" t="e">
        <f ca="1">IF(NOT(OFFSET(Data!E1239,0,MATCH('Delta Beta'!$C$5,Data!$B$4:$Q$4,0)-3)=""),OFFSET(Data!E1239,0,MATCH('Delta Beta'!$C$5,Data!$B$4:$Q$4,0)-3),#N/A)-$C$8/250</f>
        <v>#N/A</v>
      </c>
      <c r="M1236" s="394" t="e">
        <f ca="1">IF(NOT(OFFSET(Data!E1239,0,MATCH('Delta Beta'!$C$5,Data!$B$4:$Q$4,0)-1)=""),OFFSET(Data!E1239,0,MATCH('Delta Beta'!$C$5,Data!$B$4:$Q$4,0)-1),#N/A)-$C$8/250</f>
        <v>#N/A</v>
      </c>
      <c r="N1236" s="395"/>
      <c r="R1236" s="391"/>
    </row>
    <row r="1237" spans="12:18">
      <c r="L1237" s="394" t="e">
        <f ca="1">IF(NOT(OFFSET(Data!E1240,0,MATCH('Delta Beta'!$C$5,Data!$B$4:$Q$4,0)-3)=""),OFFSET(Data!E1240,0,MATCH('Delta Beta'!$C$5,Data!$B$4:$Q$4,0)-3),#N/A)-$C$8/250</f>
        <v>#N/A</v>
      </c>
      <c r="M1237" s="394" t="e">
        <f ca="1">IF(NOT(OFFSET(Data!E1240,0,MATCH('Delta Beta'!$C$5,Data!$B$4:$Q$4,0)-1)=""),OFFSET(Data!E1240,0,MATCH('Delta Beta'!$C$5,Data!$B$4:$Q$4,0)-1),#N/A)-$C$8/250</f>
        <v>#N/A</v>
      </c>
      <c r="N1237" s="395"/>
      <c r="R1237" s="391"/>
    </row>
    <row r="1238" spans="12:18">
      <c r="L1238" s="394" t="e">
        <f ca="1">IF(NOT(OFFSET(Data!E1241,0,MATCH('Delta Beta'!$C$5,Data!$B$4:$Q$4,0)-3)=""),OFFSET(Data!E1241,0,MATCH('Delta Beta'!$C$5,Data!$B$4:$Q$4,0)-3),#N/A)-$C$8/250</f>
        <v>#N/A</v>
      </c>
      <c r="M1238" s="394" t="e">
        <f ca="1">IF(NOT(OFFSET(Data!E1241,0,MATCH('Delta Beta'!$C$5,Data!$B$4:$Q$4,0)-1)=""),OFFSET(Data!E1241,0,MATCH('Delta Beta'!$C$5,Data!$B$4:$Q$4,0)-1),#N/A)-$C$8/250</f>
        <v>#N/A</v>
      </c>
      <c r="N1238" s="395"/>
      <c r="R1238" s="391"/>
    </row>
    <row r="1239" spans="12:18">
      <c r="L1239" s="394" t="e">
        <f ca="1">IF(NOT(OFFSET(Data!E1242,0,MATCH('Delta Beta'!$C$5,Data!$B$4:$Q$4,0)-3)=""),OFFSET(Data!E1242,0,MATCH('Delta Beta'!$C$5,Data!$B$4:$Q$4,0)-3),#N/A)-$C$8/250</f>
        <v>#N/A</v>
      </c>
      <c r="M1239" s="394" t="e">
        <f ca="1">IF(NOT(OFFSET(Data!E1242,0,MATCH('Delta Beta'!$C$5,Data!$B$4:$Q$4,0)-1)=""),OFFSET(Data!E1242,0,MATCH('Delta Beta'!$C$5,Data!$B$4:$Q$4,0)-1),#N/A)-$C$8/250</f>
        <v>#N/A</v>
      </c>
      <c r="N1239" s="395"/>
      <c r="R1239" s="391"/>
    </row>
    <row r="1240" spans="12:18">
      <c r="L1240" s="394" t="e">
        <f ca="1">IF(NOT(OFFSET(Data!E1243,0,MATCH('Delta Beta'!$C$5,Data!$B$4:$Q$4,0)-3)=""),OFFSET(Data!E1243,0,MATCH('Delta Beta'!$C$5,Data!$B$4:$Q$4,0)-3),#N/A)-$C$8/250</f>
        <v>#N/A</v>
      </c>
      <c r="M1240" s="394" t="e">
        <f ca="1">IF(NOT(OFFSET(Data!E1243,0,MATCH('Delta Beta'!$C$5,Data!$B$4:$Q$4,0)-1)=""),OFFSET(Data!E1243,0,MATCH('Delta Beta'!$C$5,Data!$B$4:$Q$4,0)-1),#N/A)-$C$8/250</f>
        <v>#N/A</v>
      </c>
      <c r="N1240" s="395"/>
      <c r="R1240" s="391"/>
    </row>
    <row r="1241" spans="12:18">
      <c r="L1241" s="394" t="e">
        <f ca="1">IF(NOT(OFFSET(Data!E1244,0,MATCH('Delta Beta'!$C$5,Data!$B$4:$Q$4,0)-3)=""),OFFSET(Data!E1244,0,MATCH('Delta Beta'!$C$5,Data!$B$4:$Q$4,0)-3),#N/A)-$C$8/250</f>
        <v>#N/A</v>
      </c>
      <c r="M1241" s="394" t="e">
        <f ca="1">IF(NOT(OFFSET(Data!E1244,0,MATCH('Delta Beta'!$C$5,Data!$B$4:$Q$4,0)-1)=""),OFFSET(Data!E1244,0,MATCH('Delta Beta'!$C$5,Data!$B$4:$Q$4,0)-1),#N/A)-$C$8/250</f>
        <v>#N/A</v>
      </c>
      <c r="N1241" s="395"/>
      <c r="R1241" s="391"/>
    </row>
    <row r="1242" spans="12:18">
      <c r="L1242" s="394" t="e">
        <f ca="1">IF(NOT(OFFSET(Data!E1245,0,MATCH('Delta Beta'!$C$5,Data!$B$4:$Q$4,0)-3)=""),OFFSET(Data!E1245,0,MATCH('Delta Beta'!$C$5,Data!$B$4:$Q$4,0)-3),#N/A)-$C$8/250</f>
        <v>#N/A</v>
      </c>
      <c r="M1242" s="394" t="e">
        <f ca="1">IF(NOT(OFFSET(Data!E1245,0,MATCH('Delta Beta'!$C$5,Data!$B$4:$Q$4,0)-1)=""),OFFSET(Data!E1245,0,MATCH('Delta Beta'!$C$5,Data!$B$4:$Q$4,0)-1),#N/A)-$C$8/250</f>
        <v>#N/A</v>
      </c>
      <c r="N1242" s="395"/>
      <c r="R1242" s="391"/>
    </row>
    <row r="1243" spans="12:18">
      <c r="L1243" s="394" t="e">
        <f ca="1">IF(NOT(OFFSET(Data!E1246,0,MATCH('Delta Beta'!$C$5,Data!$B$4:$Q$4,0)-3)=""),OFFSET(Data!E1246,0,MATCH('Delta Beta'!$C$5,Data!$B$4:$Q$4,0)-3),#N/A)-$C$8/250</f>
        <v>#N/A</v>
      </c>
      <c r="M1243" s="394" t="e">
        <f ca="1">IF(NOT(OFFSET(Data!E1246,0,MATCH('Delta Beta'!$C$5,Data!$B$4:$Q$4,0)-1)=""),OFFSET(Data!E1246,0,MATCH('Delta Beta'!$C$5,Data!$B$4:$Q$4,0)-1),#N/A)-$C$8/250</f>
        <v>#N/A</v>
      </c>
      <c r="N1243" s="395"/>
      <c r="R1243" s="391"/>
    </row>
    <row r="1244" spans="12:18">
      <c r="L1244" s="394" t="e">
        <f ca="1">IF(NOT(OFFSET(Data!E1247,0,MATCH('Delta Beta'!$C$5,Data!$B$4:$Q$4,0)-3)=""),OFFSET(Data!E1247,0,MATCH('Delta Beta'!$C$5,Data!$B$4:$Q$4,0)-3),#N/A)-$C$8/250</f>
        <v>#N/A</v>
      </c>
      <c r="M1244" s="394" t="e">
        <f ca="1">IF(NOT(OFFSET(Data!E1247,0,MATCH('Delta Beta'!$C$5,Data!$B$4:$Q$4,0)-1)=""),OFFSET(Data!E1247,0,MATCH('Delta Beta'!$C$5,Data!$B$4:$Q$4,0)-1),#N/A)-$C$8/250</f>
        <v>#N/A</v>
      </c>
      <c r="N1244" s="395"/>
      <c r="R1244" s="391"/>
    </row>
    <row r="1245" spans="12:18">
      <c r="L1245" s="394" t="e">
        <f ca="1">IF(NOT(OFFSET(Data!E1248,0,MATCH('Delta Beta'!$C$5,Data!$B$4:$Q$4,0)-3)=""),OFFSET(Data!E1248,0,MATCH('Delta Beta'!$C$5,Data!$B$4:$Q$4,0)-3),#N/A)-$C$8/250</f>
        <v>#N/A</v>
      </c>
      <c r="M1245" s="394" t="e">
        <f ca="1">IF(NOT(OFFSET(Data!E1248,0,MATCH('Delta Beta'!$C$5,Data!$B$4:$Q$4,0)-1)=""),OFFSET(Data!E1248,0,MATCH('Delta Beta'!$C$5,Data!$B$4:$Q$4,0)-1),#N/A)-$C$8/250</f>
        <v>#N/A</v>
      </c>
      <c r="N1245" s="395"/>
      <c r="R1245" s="391"/>
    </row>
    <row r="1246" spans="12:18">
      <c r="L1246" s="394" t="e">
        <f ca="1">IF(NOT(OFFSET(Data!E1249,0,MATCH('Delta Beta'!$C$5,Data!$B$4:$Q$4,0)-3)=""),OFFSET(Data!E1249,0,MATCH('Delta Beta'!$C$5,Data!$B$4:$Q$4,0)-3),#N/A)-$C$8/250</f>
        <v>#N/A</v>
      </c>
      <c r="M1246" s="394" t="e">
        <f ca="1">IF(NOT(OFFSET(Data!E1249,0,MATCH('Delta Beta'!$C$5,Data!$B$4:$Q$4,0)-1)=""),OFFSET(Data!E1249,0,MATCH('Delta Beta'!$C$5,Data!$B$4:$Q$4,0)-1),#N/A)-$C$8/250</f>
        <v>#N/A</v>
      </c>
      <c r="N1246" s="395"/>
      <c r="R1246" s="391"/>
    </row>
    <row r="1247" spans="12:18">
      <c r="L1247" s="394" t="e">
        <f ca="1">IF(NOT(OFFSET(Data!E1250,0,MATCH('Delta Beta'!$C$5,Data!$B$4:$Q$4,0)-3)=""),OFFSET(Data!E1250,0,MATCH('Delta Beta'!$C$5,Data!$B$4:$Q$4,0)-3),#N/A)-$C$8/250</f>
        <v>#N/A</v>
      </c>
      <c r="M1247" s="394" t="e">
        <f ca="1">IF(NOT(OFFSET(Data!E1250,0,MATCH('Delta Beta'!$C$5,Data!$B$4:$Q$4,0)-1)=""),OFFSET(Data!E1250,0,MATCH('Delta Beta'!$C$5,Data!$B$4:$Q$4,0)-1),#N/A)-$C$8/250</f>
        <v>#N/A</v>
      </c>
      <c r="N1247" s="395"/>
      <c r="R1247" s="391"/>
    </row>
    <row r="1248" spans="12:18">
      <c r="L1248" s="394" t="e">
        <f ca="1">IF(NOT(OFFSET(Data!E1251,0,MATCH('Delta Beta'!$C$5,Data!$B$4:$Q$4,0)-3)=""),OFFSET(Data!E1251,0,MATCH('Delta Beta'!$C$5,Data!$B$4:$Q$4,0)-3),#N/A)-$C$8/250</f>
        <v>#N/A</v>
      </c>
      <c r="M1248" s="394" t="e">
        <f ca="1">IF(NOT(OFFSET(Data!E1251,0,MATCH('Delta Beta'!$C$5,Data!$B$4:$Q$4,0)-1)=""),OFFSET(Data!E1251,0,MATCH('Delta Beta'!$C$5,Data!$B$4:$Q$4,0)-1),#N/A)-$C$8/250</f>
        <v>#N/A</v>
      </c>
      <c r="N1248" s="395"/>
      <c r="R1248" s="391"/>
    </row>
    <row r="1249" spans="12:18">
      <c r="L1249" s="394" t="e">
        <f ca="1">IF(NOT(OFFSET(Data!E1252,0,MATCH('Delta Beta'!$C$5,Data!$B$4:$Q$4,0)-3)=""),OFFSET(Data!E1252,0,MATCH('Delta Beta'!$C$5,Data!$B$4:$Q$4,0)-3),#N/A)-$C$8/250</f>
        <v>#N/A</v>
      </c>
      <c r="M1249" s="394" t="e">
        <f ca="1">IF(NOT(OFFSET(Data!E1252,0,MATCH('Delta Beta'!$C$5,Data!$B$4:$Q$4,0)-1)=""),OFFSET(Data!E1252,0,MATCH('Delta Beta'!$C$5,Data!$B$4:$Q$4,0)-1),#N/A)-$C$8/250</f>
        <v>#N/A</v>
      </c>
      <c r="N1249" s="395"/>
      <c r="R1249" s="391"/>
    </row>
    <row r="1250" spans="12:18">
      <c r="L1250" s="394" t="e">
        <f ca="1">IF(NOT(OFFSET(Data!E1253,0,MATCH('Delta Beta'!$C$5,Data!$B$4:$Q$4,0)-3)=""),OFFSET(Data!E1253,0,MATCH('Delta Beta'!$C$5,Data!$B$4:$Q$4,0)-3),#N/A)-$C$8/250</f>
        <v>#N/A</v>
      </c>
      <c r="M1250" s="394" t="e">
        <f ca="1">IF(NOT(OFFSET(Data!E1253,0,MATCH('Delta Beta'!$C$5,Data!$B$4:$Q$4,0)-1)=""),OFFSET(Data!E1253,0,MATCH('Delta Beta'!$C$5,Data!$B$4:$Q$4,0)-1),#N/A)-$C$8/250</f>
        <v>#N/A</v>
      </c>
      <c r="N1250" s="395"/>
      <c r="R1250" s="391"/>
    </row>
    <row r="1251" spans="12:18">
      <c r="L1251" s="394" t="e">
        <f ca="1">IF(NOT(OFFSET(Data!E1254,0,MATCH('Delta Beta'!$C$5,Data!$B$4:$Q$4,0)-3)=""),OFFSET(Data!E1254,0,MATCH('Delta Beta'!$C$5,Data!$B$4:$Q$4,0)-3),#N/A)-$C$8/250</f>
        <v>#N/A</v>
      </c>
      <c r="M1251" s="394" t="e">
        <f ca="1">IF(NOT(OFFSET(Data!E1254,0,MATCH('Delta Beta'!$C$5,Data!$B$4:$Q$4,0)-1)=""),OFFSET(Data!E1254,0,MATCH('Delta Beta'!$C$5,Data!$B$4:$Q$4,0)-1),#N/A)-$C$8/250</f>
        <v>#N/A</v>
      </c>
      <c r="N1251" s="395"/>
      <c r="R1251" s="391"/>
    </row>
    <row r="1252" spans="12:18">
      <c r="L1252" s="394" t="e">
        <f ca="1">IF(NOT(OFFSET(Data!E1255,0,MATCH('Delta Beta'!$C$5,Data!$B$4:$Q$4,0)-3)=""),OFFSET(Data!E1255,0,MATCH('Delta Beta'!$C$5,Data!$B$4:$Q$4,0)-3),#N/A)-$C$8/250</f>
        <v>#N/A</v>
      </c>
      <c r="M1252" s="394" t="e">
        <f ca="1">IF(NOT(OFFSET(Data!E1255,0,MATCH('Delta Beta'!$C$5,Data!$B$4:$Q$4,0)-1)=""),OFFSET(Data!E1255,0,MATCH('Delta Beta'!$C$5,Data!$B$4:$Q$4,0)-1),#N/A)-$C$8/250</f>
        <v>#N/A</v>
      </c>
      <c r="N1252" s="395"/>
      <c r="R1252" s="391"/>
    </row>
    <row r="1253" spans="12:18">
      <c r="L1253" s="394" t="e">
        <f ca="1">IF(NOT(OFFSET(Data!E1256,0,MATCH('Delta Beta'!$C$5,Data!$B$4:$Q$4,0)-3)=""),OFFSET(Data!E1256,0,MATCH('Delta Beta'!$C$5,Data!$B$4:$Q$4,0)-3),#N/A)-$C$8/250</f>
        <v>#N/A</v>
      </c>
      <c r="M1253" s="394" t="e">
        <f ca="1">IF(NOT(OFFSET(Data!E1256,0,MATCH('Delta Beta'!$C$5,Data!$B$4:$Q$4,0)-1)=""),OFFSET(Data!E1256,0,MATCH('Delta Beta'!$C$5,Data!$B$4:$Q$4,0)-1),#N/A)-$C$8/250</f>
        <v>#N/A</v>
      </c>
      <c r="N1253" s="395"/>
      <c r="R1253" s="391"/>
    </row>
    <row r="1254" spans="12:18">
      <c r="L1254" s="394" t="e">
        <f ca="1">IF(NOT(OFFSET(Data!E1257,0,MATCH('Delta Beta'!$C$5,Data!$B$4:$Q$4,0)-3)=""),OFFSET(Data!E1257,0,MATCH('Delta Beta'!$C$5,Data!$B$4:$Q$4,0)-3),#N/A)-$C$8/250</f>
        <v>#N/A</v>
      </c>
      <c r="M1254" s="394" t="e">
        <f ca="1">IF(NOT(OFFSET(Data!E1257,0,MATCH('Delta Beta'!$C$5,Data!$B$4:$Q$4,0)-1)=""),OFFSET(Data!E1257,0,MATCH('Delta Beta'!$C$5,Data!$B$4:$Q$4,0)-1),#N/A)-$C$8/250</f>
        <v>#N/A</v>
      </c>
      <c r="N1254" s="395"/>
      <c r="R1254" s="391"/>
    </row>
    <row r="1255" spans="12:18">
      <c r="L1255" s="394" t="e">
        <f ca="1">IF(NOT(OFFSET(Data!E1258,0,MATCH('Delta Beta'!$C$5,Data!$B$4:$Q$4,0)-3)=""),OFFSET(Data!E1258,0,MATCH('Delta Beta'!$C$5,Data!$B$4:$Q$4,0)-3),#N/A)-$C$8/250</f>
        <v>#N/A</v>
      </c>
      <c r="M1255" s="394" t="e">
        <f ca="1">IF(NOT(OFFSET(Data!E1258,0,MATCH('Delta Beta'!$C$5,Data!$B$4:$Q$4,0)-1)=""),OFFSET(Data!E1258,0,MATCH('Delta Beta'!$C$5,Data!$B$4:$Q$4,0)-1),#N/A)-$C$8/250</f>
        <v>#N/A</v>
      </c>
      <c r="N1255" s="395"/>
      <c r="R1255" s="391"/>
    </row>
    <row r="1256" spans="12:18">
      <c r="L1256" s="394" t="e">
        <f ca="1">IF(NOT(OFFSET(Data!E1259,0,MATCH('Delta Beta'!$C$5,Data!$B$4:$Q$4,0)-3)=""),OFFSET(Data!E1259,0,MATCH('Delta Beta'!$C$5,Data!$B$4:$Q$4,0)-3),#N/A)-$C$8/250</f>
        <v>#N/A</v>
      </c>
      <c r="M1256" s="394" t="e">
        <f ca="1">IF(NOT(OFFSET(Data!E1259,0,MATCH('Delta Beta'!$C$5,Data!$B$4:$Q$4,0)-1)=""),OFFSET(Data!E1259,0,MATCH('Delta Beta'!$C$5,Data!$B$4:$Q$4,0)-1),#N/A)-$C$8/250</f>
        <v>#N/A</v>
      </c>
      <c r="N1256" s="395"/>
      <c r="R1256" s="391"/>
    </row>
    <row r="1257" spans="12:18">
      <c r="L1257" s="394" t="e">
        <f ca="1">IF(NOT(OFFSET(Data!E1260,0,MATCH('Delta Beta'!$C$5,Data!$B$4:$Q$4,0)-3)=""),OFFSET(Data!E1260,0,MATCH('Delta Beta'!$C$5,Data!$B$4:$Q$4,0)-3),#N/A)-$C$8/250</f>
        <v>#N/A</v>
      </c>
      <c r="M1257" s="394" t="e">
        <f ca="1">IF(NOT(OFFSET(Data!E1260,0,MATCH('Delta Beta'!$C$5,Data!$B$4:$Q$4,0)-1)=""),OFFSET(Data!E1260,0,MATCH('Delta Beta'!$C$5,Data!$B$4:$Q$4,0)-1),#N/A)-$C$8/250</f>
        <v>#N/A</v>
      </c>
      <c r="N1257" s="395"/>
      <c r="R1257" s="391"/>
    </row>
    <row r="1258" spans="12:18">
      <c r="L1258" s="394" t="e">
        <f ca="1">IF(NOT(OFFSET(Data!E1261,0,MATCH('Delta Beta'!$C$5,Data!$B$4:$Q$4,0)-3)=""),OFFSET(Data!E1261,0,MATCH('Delta Beta'!$C$5,Data!$B$4:$Q$4,0)-3),#N/A)-$C$8/250</f>
        <v>#N/A</v>
      </c>
      <c r="M1258" s="394" t="e">
        <f ca="1">IF(NOT(OFFSET(Data!E1261,0,MATCH('Delta Beta'!$C$5,Data!$B$4:$Q$4,0)-1)=""),OFFSET(Data!E1261,0,MATCH('Delta Beta'!$C$5,Data!$B$4:$Q$4,0)-1),#N/A)-$C$8/250</f>
        <v>#N/A</v>
      </c>
      <c r="N1258" s="395"/>
      <c r="R1258" s="391"/>
    </row>
    <row r="1259" spans="12:18">
      <c r="L1259" s="394" t="e">
        <f ca="1">IF(NOT(OFFSET(Data!E1262,0,MATCH('Delta Beta'!$C$5,Data!$B$4:$Q$4,0)-3)=""),OFFSET(Data!E1262,0,MATCH('Delta Beta'!$C$5,Data!$B$4:$Q$4,0)-3),#N/A)-$C$8/250</f>
        <v>#N/A</v>
      </c>
      <c r="M1259" s="394" t="e">
        <f ca="1">IF(NOT(OFFSET(Data!E1262,0,MATCH('Delta Beta'!$C$5,Data!$B$4:$Q$4,0)-1)=""),OFFSET(Data!E1262,0,MATCH('Delta Beta'!$C$5,Data!$B$4:$Q$4,0)-1),#N/A)-$C$8/250</f>
        <v>#N/A</v>
      </c>
      <c r="N1259" s="395"/>
      <c r="R1259" s="391"/>
    </row>
    <row r="1260" spans="12:18">
      <c r="L1260" s="394" t="e">
        <f ca="1">IF(NOT(OFFSET(Data!E1263,0,MATCH('Delta Beta'!$C$5,Data!$B$4:$Q$4,0)-3)=""),OFFSET(Data!E1263,0,MATCH('Delta Beta'!$C$5,Data!$B$4:$Q$4,0)-3),#N/A)-$C$8/250</f>
        <v>#N/A</v>
      </c>
      <c r="M1260" s="394" t="e">
        <f ca="1">IF(NOT(OFFSET(Data!E1263,0,MATCH('Delta Beta'!$C$5,Data!$B$4:$Q$4,0)-1)=""),OFFSET(Data!E1263,0,MATCH('Delta Beta'!$C$5,Data!$B$4:$Q$4,0)-1),#N/A)-$C$8/250</f>
        <v>#N/A</v>
      </c>
      <c r="N1260" s="395"/>
      <c r="R1260" s="391"/>
    </row>
    <row r="1261" spans="12:18">
      <c r="L1261" s="394" t="e">
        <f ca="1">IF(NOT(OFFSET(Data!E1264,0,MATCH('Delta Beta'!$C$5,Data!$B$4:$Q$4,0)-3)=""),OFFSET(Data!E1264,0,MATCH('Delta Beta'!$C$5,Data!$B$4:$Q$4,0)-3),#N/A)-$C$8/250</f>
        <v>#N/A</v>
      </c>
      <c r="M1261" s="394" t="e">
        <f ca="1">IF(NOT(OFFSET(Data!E1264,0,MATCH('Delta Beta'!$C$5,Data!$B$4:$Q$4,0)-1)=""),OFFSET(Data!E1264,0,MATCH('Delta Beta'!$C$5,Data!$B$4:$Q$4,0)-1),#N/A)-$C$8/250</f>
        <v>#N/A</v>
      </c>
      <c r="N1261" s="395"/>
      <c r="R1261" s="391"/>
    </row>
    <row r="1262" spans="12:18">
      <c r="L1262" s="394" t="e">
        <f ca="1">IF(NOT(OFFSET(Data!E1265,0,MATCH('Delta Beta'!$C$5,Data!$B$4:$Q$4,0)-3)=""),OFFSET(Data!E1265,0,MATCH('Delta Beta'!$C$5,Data!$B$4:$Q$4,0)-3),#N/A)-$C$8/250</f>
        <v>#N/A</v>
      </c>
      <c r="M1262" s="394" t="e">
        <f ca="1">IF(NOT(OFFSET(Data!E1265,0,MATCH('Delta Beta'!$C$5,Data!$B$4:$Q$4,0)-1)=""),OFFSET(Data!E1265,0,MATCH('Delta Beta'!$C$5,Data!$B$4:$Q$4,0)-1),#N/A)-$C$8/250</f>
        <v>#N/A</v>
      </c>
      <c r="N1262" s="395"/>
      <c r="R1262" s="391"/>
    </row>
    <row r="1263" spans="12:18">
      <c r="L1263" s="394" t="e">
        <f ca="1">IF(NOT(OFFSET(Data!E1266,0,MATCH('Delta Beta'!$C$5,Data!$B$4:$Q$4,0)-3)=""),OFFSET(Data!E1266,0,MATCH('Delta Beta'!$C$5,Data!$B$4:$Q$4,0)-3),#N/A)-$C$8/250</f>
        <v>#N/A</v>
      </c>
      <c r="M1263" s="394" t="e">
        <f ca="1">IF(NOT(OFFSET(Data!E1266,0,MATCH('Delta Beta'!$C$5,Data!$B$4:$Q$4,0)-1)=""),OFFSET(Data!E1266,0,MATCH('Delta Beta'!$C$5,Data!$B$4:$Q$4,0)-1),#N/A)-$C$8/250</f>
        <v>#N/A</v>
      </c>
      <c r="N1263" s="395"/>
      <c r="R1263" s="391"/>
    </row>
    <row r="1264" spans="12:18">
      <c r="L1264" s="394" t="e">
        <f ca="1">IF(NOT(OFFSET(Data!E1267,0,MATCH('Delta Beta'!$C$5,Data!$B$4:$Q$4,0)-3)=""),OFFSET(Data!E1267,0,MATCH('Delta Beta'!$C$5,Data!$B$4:$Q$4,0)-3),#N/A)-$C$8/250</f>
        <v>#N/A</v>
      </c>
      <c r="M1264" s="394" t="e">
        <f ca="1">IF(NOT(OFFSET(Data!E1267,0,MATCH('Delta Beta'!$C$5,Data!$B$4:$Q$4,0)-1)=""),OFFSET(Data!E1267,0,MATCH('Delta Beta'!$C$5,Data!$B$4:$Q$4,0)-1),#N/A)-$C$8/250</f>
        <v>#N/A</v>
      </c>
      <c r="N1264" s="395"/>
      <c r="R1264" s="391"/>
    </row>
    <row r="1265" spans="12:18">
      <c r="L1265" s="394" t="e">
        <f ca="1">IF(NOT(OFFSET(Data!E1268,0,MATCH('Delta Beta'!$C$5,Data!$B$4:$Q$4,0)-3)=""),OFFSET(Data!E1268,0,MATCH('Delta Beta'!$C$5,Data!$B$4:$Q$4,0)-3),#N/A)-$C$8/250</f>
        <v>#N/A</v>
      </c>
      <c r="M1265" s="394" t="e">
        <f ca="1">IF(NOT(OFFSET(Data!E1268,0,MATCH('Delta Beta'!$C$5,Data!$B$4:$Q$4,0)-1)=""),OFFSET(Data!E1268,0,MATCH('Delta Beta'!$C$5,Data!$B$4:$Q$4,0)-1),#N/A)-$C$8/250</f>
        <v>#N/A</v>
      </c>
      <c r="N1265" s="395"/>
      <c r="R1265" s="391"/>
    </row>
    <row r="1266" spans="12:18">
      <c r="L1266" s="394" t="e">
        <f ca="1">IF(NOT(OFFSET(Data!E1269,0,MATCH('Delta Beta'!$C$5,Data!$B$4:$Q$4,0)-3)=""),OFFSET(Data!E1269,0,MATCH('Delta Beta'!$C$5,Data!$B$4:$Q$4,0)-3),#N/A)-$C$8/250</f>
        <v>#N/A</v>
      </c>
      <c r="M1266" s="394" t="e">
        <f ca="1">IF(NOT(OFFSET(Data!E1269,0,MATCH('Delta Beta'!$C$5,Data!$B$4:$Q$4,0)-1)=""),OFFSET(Data!E1269,0,MATCH('Delta Beta'!$C$5,Data!$B$4:$Q$4,0)-1),#N/A)-$C$8/250</f>
        <v>#N/A</v>
      </c>
      <c r="N1266" s="395"/>
      <c r="R1266" s="391"/>
    </row>
    <row r="1267" spans="12:18">
      <c r="L1267" s="394" t="e">
        <f ca="1">IF(NOT(OFFSET(Data!E1270,0,MATCH('Delta Beta'!$C$5,Data!$B$4:$Q$4,0)-3)=""),OFFSET(Data!E1270,0,MATCH('Delta Beta'!$C$5,Data!$B$4:$Q$4,0)-3),#N/A)-$C$8/250</f>
        <v>#N/A</v>
      </c>
      <c r="M1267" s="394" t="e">
        <f ca="1">IF(NOT(OFFSET(Data!E1270,0,MATCH('Delta Beta'!$C$5,Data!$B$4:$Q$4,0)-1)=""),OFFSET(Data!E1270,0,MATCH('Delta Beta'!$C$5,Data!$B$4:$Q$4,0)-1),#N/A)-$C$8/250</f>
        <v>#N/A</v>
      </c>
      <c r="N1267" s="395"/>
      <c r="R1267" s="391"/>
    </row>
    <row r="1268" spans="12:18">
      <c r="L1268" s="394" t="e">
        <f ca="1">IF(NOT(OFFSET(Data!E1271,0,MATCH('Delta Beta'!$C$5,Data!$B$4:$Q$4,0)-3)=""),OFFSET(Data!E1271,0,MATCH('Delta Beta'!$C$5,Data!$B$4:$Q$4,0)-3),#N/A)-$C$8/250</f>
        <v>#N/A</v>
      </c>
      <c r="M1268" s="394" t="e">
        <f ca="1">IF(NOT(OFFSET(Data!E1271,0,MATCH('Delta Beta'!$C$5,Data!$B$4:$Q$4,0)-1)=""),OFFSET(Data!E1271,0,MATCH('Delta Beta'!$C$5,Data!$B$4:$Q$4,0)-1),#N/A)-$C$8/250</f>
        <v>#N/A</v>
      </c>
      <c r="N1268" s="395"/>
      <c r="R1268" s="391"/>
    </row>
    <row r="1269" spans="12:18">
      <c r="L1269" s="394" t="e">
        <f ca="1">IF(NOT(OFFSET(Data!E1272,0,MATCH('Delta Beta'!$C$5,Data!$B$4:$Q$4,0)-3)=""),OFFSET(Data!E1272,0,MATCH('Delta Beta'!$C$5,Data!$B$4:$Q$4,0)-3),#N/A)-$C$8/250</f>
        <v>#N/A</v>
      </c>
      <c r="M1269" s="394" t="e">
        <f ca="1">IF(NOT(OFFSET(Data!E1272,0,MATCH('Delta Beta'!$C$5,Data!$B$4:$Q$4,0)-1)=""),OFFSET(Data!E1272,0,MATCH('Delta Beta'!$C$5,Data!$B$4:$Q$4,0)-1),#N/A)-$C$8/250</f>
        <v>#N/A</v>
      </c>
      <c r="N1269" s="395"/>
      <c r="R1269" s="391"/>
    </row>
    <row r="1270" spans="12:18">
      <c r="L1270" s="394" t="e">
        <f ca="1">IF(NOT(OFFSET(Data!E1273,0,MATCH('Delta Beta'!$C$5,Data!$B$4:$Q$4,0)-3)=""),OFFSET(Data!E1273,0,MATCH('Delta Beta'!$C$5,Data!$B$4:$Q$4,0)-3),#N/A)-$C$8/250</f>
        <v>#N/A</v>
      </c>
      <c r="M1270" s="394" t="e">
        <f ca="1">IF(NOT(OFFSET(Data!E1273,0,MATCH('Delta Beta'!$C$5,Data!$B$4:$Q$4,0)-1)=""),OFFSET(Data!E1273,0,MATCH('Delta Beta'!$C$5,Data!$B$4:$Q$4,0)-1),#N/A)-$C$8/250</f>
        <v>#N/A</v>
      </c>
      <c r="N1270" s="395"/>
      <c r="R1270" s="391"/>
    </row>
    <row r="1271" spans="12:18">
      <c r="L1271" s="394" t="e">
        <f ca="1">IF(NOT(OFFSET(Data!E1274,0,MATCH('Delta Beta'!$C$5,Data!$B$4:$Q$4,0)-3)=""),OFFSET(Data!E1274,0,MATCH('Delta Beta'!$C$5,Data!$B$4:$Q$4,0)-3),#N/A)-$C$8/250</f>
        <v>#N/A</v>
      </c>
      <c r="M1271" s="394" t="e">
        <f ca="1">IF(NOT(OFFSET(Data!E1274,0,MATCH('Delta Beta'!$C$5,Data!$B$4:$Q$4,0)-1)=""),OFFSET(Data!E1274,0,MATCH('Delta Beta'!$C$5,Data!$B$4:$Q$4,0)-1),#N/A)-$C$8/250</f>
        <v>#N/A</v>
      </c>
      <c r="N1271" s="395"/>
      <c r="R1271" s="391"/>
    </row>
    <row r="1272" spans="12:18">
      <c r="L1272" s="394" t="e">
        <f ca="1">IF(NOT(OFFSET(Data!E1275,0,MATCH('Delta Beta'!$C$5,Data!$B$4:$Q$4,0)-3)=""),OFFSET(Data!E1275,0,MATCH('Delta Beta'!$C$5,Data!$B$4:$Q$4,0)-3),#N/A)-$C$8/250</f>
        <v>#N/A</v>
      </c>
      <c r="M1272" s="394" t="e">
        <f ca="1">IF(NOT(OFFSET(Data!E1275,0,MATCH('Delta Beta'!$C$5,Data!$B$4:$Q$4,0)-1)=""),OFFSET(Data!E1275,0,MATCH('Delta Beta'!$C$5,Data!$B$4:$Q$4,0)-1),#N/A)-$C$8/250</f>
        <v>#N/A</v>
      </c>
      <c r="N1272" s="395"/>
      <c r="R1272" s="391"/>
    </row>
    <row r="1273" spans="12:18">
      <c r="L1273" s="394" t="e">
        <f ca="1">IF(NOT(OFFSET(Data!E1276,0,MATCH('Delta Beta'!$C$5,Data!$B$4:$Q$4,0)-3)=""),OFFSET(Data!E1276,0,MATCH('Delta Beta'!$C$5,Data!$B$4:$Q$4,0)-3),#N/A)-$C$8/250</f>
        <v>#N/A</v>
      </c>
      <c r="M1273" s="394" t="e">
        <f ca="1">IF(NOT(OFFSET(Data!E1276,0,MATCH('Delta Beta'!$C$5,Data!$B$4:$Q$4,0)-1)=""),OFFSET(Data!E1276,0,MATCH('Delta Beta'!$C$5,Data!$B$4:$Q$4,0)-1),#N/A)-$C$8/250</f>
        <v>#N/A</v>
      </c>
      <c r="N1273" s="395"/>
      <c r="R1273" s="391"/>
    </row>
    <row r="1274" spans="12:18">
      <c r="L1274" s="394" t="e">
        <f ca="1">IF(NOT(OFFSET(Data!E1277,0,MATCH('Delta Beta'!$C$5,Data!$B$4:$Q$4,0)-3)=""),OFFSET(Data!E1277,0,MATCH('Delta Beta'!$C$5,Data!$B$4:$Q$4,0)-3),#N/A)-$C$8/250</f>
        <v>#N/A</v>
      </c>
      <c r="M1274" s="394" t="e">
        <f ca="1">IF(NOT(OFFSET(Data!E1277,0,MATCH('Delta Beta'!$C$5,Data!$B$4:$Q$4,0)-1)=""),OFFSET(Data!E1277,0,MATCH('Delta Beta'!$C$5,Data!$B$4:$Q$4,0)-1),#N/A)-$C$8/250</f>
        <v>#N/A</v>
      </c>
      <c r="N1274" s="395"/>
      <c r="R1274" s="391"/>
    </row>
    <row r="1275" spans="12:18">
      <c r="L1275" s="394" t="e">
        <f ca="1">IF(NOT(OFFSET(Data!E1278,0,MATCH('Delta Beta'!$C$5,Data!$B$4:$Q$4,0)-3)=""),OFFSET(Data!E1278,0,MATCH('Delta Beta'!$C$5,Data!$B$4:$Q$4,0)-3),#N/A)-$C$8/250</f>
        <v>#N/A</v>
      </c>
      <c r="M1275" s="394" t="e">
        <f ca="1">IF(NOT(OFFSET(Data!E1278,0,MATCH('Delta Beta'!$C$5,Data!$B$4:$Q$4,0)-1)=""),OFFSET(Data!E1278,0,MATCH('Delta Beta'!$C$5,Data!$B$4:$Q$4,0)-1),#N/A)-$C$8/250</f>
        <v>#N/A</v>
      </c>
      <c r="N1275" s="395"/>
      <c r="R1275" s="391"/>
    </row>
    <row r="1276" spans="12:18">
      <c r="L1276" s="394" t="e">
        <f ca="1">IF(NOT(OFFSET(Data!E1279,0,MATCH('Delta Beta'!$C$5,Data!$B$4:$Q$4,0)-3)=""),OFFSET(Data!E1279,0,MATCH('Delta Beta'!$C$5,Data!$B$4:$Q$4,0)-3),#N/A)-$C$8/250</f>
        <v>#N/A</v>
      </c>
      <c r="M1276" s="394" t="e">
        <f ca="1">IF(NOT(OFFSET(Data!E1279,0,MATCH('Delta Beta'!$C$5,Data!$B$4:$Q$4,0)-1)=""),OFFSET(Data!E1279,0,MATCH('Delta Beta'!$C$5,Data!$B$4:$Q$4,0)-1),#N/A)-$C$8/250</f>
        <v>#N/A</v>
      </c>
      <c r="N1276" s="395"/>
      <c r="R1276" s="391"/>
    </row>
    <row r="1277" spans="12:18">
      <c r="L1277" s="394" t="e">
        <f ca="1">IF(NOT(OFFSET(Data!E1280,0,MATCH('Delta Beta'!$C$5,Data!$B$4:$Q$4,0)-3)=""),OFFSET(Data!E1280,0,MATCH('Delta Beta'!$C$5,Data!$B$4:$Q$4,0)-3),#N/A)-$C$8/250</f>
        <v>#N/A</v>
      </c>
      <c r="M1277" s="394" t="e">
        <f ca="1">IF(NOT(OFFSET(Data!E1280,0,MATCH('Delta Beta'!$C$5,Data!$B$4:$Q$4,0)-1)=""),OFFSET(Data!E1280,0,MATCH('Delta Beta'!$C$5,Data!$B$4:$Q$4,0)-1),#N/A)-$C$8/250</f>
        <v>#N/A</v>
      </c>
      <c r="N1277" s="395"/>
      <c r="R1277" s="391"/>
    </row>
    <row r="1278" spans="12:18">
      <c r="L1278" s="394" t="e">
        <f ca="1">IF(NOT(OFFSET(Data!E1281,0,MATCH('Delta Beta'!$C$5,Data!$B$4:$Q$4,0)-3)=""),OFFSET(Data!E1281,0,MATCH('Delta Beta'!$C$5,Data!$B$4:$Q$4,0)-3),#N/A)-$C$8/250</f>
        <v>#N/A</v>
      </c>
      <c r="M1278" s="394" t="e">
        <f ca="1">IF(NOT(OFFSET(Data!E1281,0,MATCH('Delta Beta'!$C$5,Data!$B$4:$Q$4,0)-1)=""),OFFSET(Data!E1281,0,MATCH('Delta Beta'!$C$5,Data!$B$4:$Q$4,0)-1),#N/A)-$C$8/250</f>
        <v>#N/A</v>
      </c>
      <c r="N1278" s="395"/>
      <c r="R1278" s="391"/>
    </row>
    <row r="1279" spans="12:18">
      <c r="L1279" s="394" t="e">
        <f ca="1">IF(NOT(OFFSET(Data!E1282,0,MATCH('Delta Beta'!$C$5,Data!$B$4:$Q$4,0)-3)=""),OFFSET(Data!E1282,0,MATCH('Delta Beta'!$C$5,Data!$B$4:$Q$4,0)-3),#N/A)-$C$8/250</f>
        <v>#N/A</v>
      </c>
      <c r="M1279" s="394" t="e">
        <f ca="1">IF(NOT(OFFSET(Data!E1282,0,MATCH('Delta Beta'!$C$5,Data!$B$4:$Q$4,0)-1)=""),OFFSET(Data!E1282,0,MATCH('Delta Beta'!$C$5,Data!$B$4:$Q$4,0)-1),#N/A)-$C$8/250</f>
        <v>#N/A</v>
      </c>
      <c r="N1279" s="395"/>
      <c r="R1279" s="391"/>
    </row>
    <row r="1280" spans="12:18">
      <c r="L1280" s="394" t="e">
        <f ca="1">IF(NOT(OFFSET(Data!E1283,0,MATCH('Delta Beta'!$C$5,Data!$B$4:$Q$4,0)-3)=""),OFFSET(Data!E1283,0,MATCH('Delta Beta'!$C$5,Data!$B$4:$Q$4,0)-3),#N/A)-$C$8/250</f>
        <v>#N/A</v>
      </c>
      <c r="M1280" s="394" t="e">
        <f ca="1">IF(NOT(OFFSET(Data!E1283,0,MATCH('Delta Beta'!$C$5,Data!$B$4:$Q$4,0)-1)=""),OFFSET(Data!E1283,0,MATCH('Delta Beta'!$C$5,Data!$B$4:$Q$4,0)-1),#N/A)-$C$8/250</f>
        <v>#N/A</v>
      </c>
      <c r="N1280" s="395"/>
      <c r="R1280" s="391"/>
    </row>
    <row r="1281" spans="12:18">
      <c r="L1281" s="394" t="e">
        <f ca="1">IF(NOT(OFFSET(Data!E1284,0,MATCH('Delta Beta'!$C$5,Data!$B$4:$Q$4,0)-3)=""),OFFSET(Data!E1284,0,MATCH('Delta Beta'!$C$5,Data!$B$4:$Q$4,0)-3),#N/A)-$C$8/250</f>
        <v>#N/A</v>
      </c>
      <c r="M1281" s="394" t="e">
        <f ca="1">IF(NOT(OFFSET(Data!E1284,0,MATCH('Delta Beta'!$C$5,Data!$B$4:$Q$4,0)-1)=""),OFFSET(Data!E1284,0,MATCH('Delta Beta'!$C$5,Data!$B$4:$Q$4,0)-1),#N/A)-$C$8/250</f>
        <v>#N/A</v>
      </c>
      <c r="N1281" s="395"/>
      <c r="R1281" s="391"/>
    </row>
    <row r="1282" spans="12:18">
      <c r="L1282" s="394" t="e">
        <f ca="1">IF(NOT(OFFSET(Data!E1285,0,MATCH('Delta Beta'!$C$5,Data!$B$4:$Q$4,0)-3)=""),OFFSET(Data!E1285,0,MATCH('Delta Beta'!$C$5,Data!$B$4:$Q$4,0)-3),#N/A)-$C$8/250</f>
        <v>#N/A</v>
      </c>
      <c r="M1282" s="394" t="e">
        <f ca="1">IF(NOT(OFFSET(Data!E1285,0,MATCH('Delta Beta'!$C$5,Data!$B$4:$Q$4,0)-1)=""),OFFSET(Data!E1285,0,MATCH('Delta Beta'!$C$5,Data!$B$4:$Q$4,0)-1),#N/A)-$C$8/250</f>
        <v>#N/A</v>
      </c>
      <c r="N1282" s="395"/>
      <c r="R1282" s="391"/>
    </row>
    <row r="1283" spans="12:18">
      <c r="L1283" s="394" t="e">
        <f ca="1">IF(NOT(OFFSET(Data!E1286,0,MATCH('Delta Beta'!$C$5,Data!$B$4:$Q$4,0)-3)=""),OFFSET(Data!E1286,0,MATCH('Delta Beta'!$C$5,Data!$B$4:$Q$4,0)-3),#N/A)-$C$8/250</f>
        <v>#N/A</v>
      </c>
      <c r="M1283" s="394" t="e">
        <f ca="1">IF(NOT(OFFSET(Data!E1286,0,MATCH('Delta Beta'!$C$5,Data!$B$4:$Q$4,0)-1)=""),OFFSET(Data!E1286,0,MATCH('Delta Beta'!$C$5,Data!$B$4:$Q$4,0)-1),#N/A)-$C$8/250</f>
        <v>#N/A</v>
      </c>
      <c r="N1283" s="395"/>
      <c r="R1283" s="391"/>
    </row>
    <row r="1284" spans="12:18">
      <c r="L1284" s="394" t="e">
        <f ca="1">IF(NOT(OFFSET(Data!E1287,0,MATCH('Delta Beta'!$C$5,Data!$B$4:$Q$4,0)-3)=""),OFFSET(Data!E1287,0,MATCH('Delta Beta'!$C$5,Data!$B$4:$Q$4,0)-3),#N/A)-$C$8/250</f>
        <v>#N/A</v>
      </c>
      <c r="M1284" s="394" t="e">
        <f ca="1">IF(NOT(OFFSET(Data!E1287,0,MATCH('Delta Beta'!$C$5,Data!$B$4:$Q$4,0)-1)=""),OFFSET(Data!E1287,0,MATCH('Delta Beta'!$C$5,Data!$B$4:$Q$4,0)-1),#N/A)-$C$8/250</f>
        <v>#N/A</v>
      </c>
      <c r="N1284" s="395"/>
      <c r="R1284" s="391"/>
    </row>
    <row r="1285" spans="12:18">
      <c r="L1285" s="394" t="e">
        <f ca="1">IF(NOT(OFFSET(Data!E1288,0,MATCH('Delta Beta'!$C$5,Data!$B$4:$Q$4,0)-3)=""),OFFSET(Data!E1288,0,MATCH('Delta Beta'!$C$5,Data!$B$4:$Q$4,0)-3),#N/A)-$C$8/250</f>
        <v>#N/A</v>
      </c>
      <c r="M1285" s="394" t="e">
        <f ca="1">IF(NOT(OFFSET(Data!E1288,0,MATCH('Delta Beta'!$C$5,Data!$B$4:$Q$4,0)-1)=""),OFFSET(Data!E1288,0,MATCH('Delta Beta'!$C$5,Data!$B$4:$Q$4,0)-1),#N/A)-$C$8/250</f>
        <v>#N/A</v>
      </c>
      <c r="N1285" s="395"/>
      <c r="R1285" s="391"/>
    </row>
    <row r="1286" spans="12:18">
      <c r="L1286" s="394" t="e">
        <f ca="1">IF(NOT(OFFSET(Data!E1289,0,MATCH('Delta Beta'!$C$5,Data!$B$4:$Q$4,0)-3)=""),OFFSET(Data!E1289,0,MATCH('Delta Beta'!$C$5,Data!$B$4:$Q$4,0)-3),#N/A)-$C$8/250</f>
        <v>#N/A</v>
      </c>
      <c r="M1286" s="394" t="e">
        <f ca="1">IF(NOT(OFFSET(Data!E1289,0,MATCH('Delta Beta'!$C$5,Data!$B$4:$Q$4,0)-1)=""),OFFSET(Data!E1289,0,MATCH('Delta Beta'!$C$5,Data!$B$4:$Q$4,0)-1),#N/A)-$C$8/250</f>
        <v>#N/A</v>
      </c>
      <c r="N1286" s="395"/>
      <c r="R1286" s="391"/>
    </row>
    <row r="1287" spans="12:18">
      <c r="L1287" s="394" t="e">
        <f ca="1">IF(NOT(OFFSET(Data!E1290,0,MATCH('Delta Beta'!$C$5,Data!$B$4:$Q$4,0)-3)=""),OFFSET(Data!E1290,0,MATCH('Delta Beta'!$C$5,Data!$B$4:$Q$4,0)-3),#N/A)-$C$8/250</f>
        <v>#N/A</v>
      </c>
      <c r="M1287" s="394" t="e">
        <f ca="1">IF(NOT(OFFSET(Data!E1290,0,MATCH('Delta Beta'!$C$5,Data!$B$4:$Q$4,0)-1)=""),OFFSET(Data!E1290,0,MATCH('Delta Beta'!$C$5,Data!$B$4:$Q$4,0)-1),#N/A)-$C$8/250</f>
        <v>#N/A</v>
      </c>
      <c r="N1287" s="395"/>
      <c r="R1287" s="391"/>
    </row>
    <row r="1288" spans="12:18">
      <c r="L1288" s="394" t="e">
        <f ca="1">IF(NOT(OFFSET(Data!E1291,0,MATCH('Delta Beta'!$C$5,Data!$B$4:$Q$4,0)-3)=""),OFFSET(Data!E1291,0,MATCH('Delta Beta'!$C$5,Data!$B$4:$Q$4,0)-3),#N/A)-$C$8/250</f>
        <v>#N/A</v>
      </c>
      <c r="M1288" s="394" t="e">
        <f ca="1">IF(NOT(OFFSET(Data!E1291,0,MATCH('Delta Beta'!$C$5,Data!$B$4:$Q$4,0)-1)=""),OFFSET(Data!E1291,0,MATCH('Delta Beta'!$C$5,Data!$B$4:$Q$4,0)-1),#N/A)-$C$8/250</f>
        <v>#N/A</v>
      </c>
      <c r="N1288" s="395"/>
      <c r="R1288" s="391"/>
    </row>
    <row r="1289" spans="12:18">
      <c r="L1289" s="394" t="e">
        <f ca="1">IF(NOT(OFFSET(Data!E1292,0,MATCH('Delta Beta'!$C$5,Data!$B$4:$Q$4,0)-3)=""),OFFSET(Data!E1292,0,MATCH('Delta Beta'!$C$5,Data!$B$4:$Q$4,0)-3),#N/A)-$C$8/250</f>
        <v>#N/A</v>
      </c>
      <c r="M1289" s="394" t="e">
        <f ca="1">IF(NOT(OFFSET(Data!E1292,0,MATCH('Delta Beta'!$C$5,Data!$B$4:$Q$4,0)-1)=""),OFFSET(Data!E1292,0,MATCH('Delta Beta'!$C$5,Data!$B$4:$Q$4,0)-1),#N/A)-$C$8/250</f>
        <v>#N/A</v>
      </c>
      <c r="N1289" s="395"/>
      <c r="R1289" s="391"/>
    </row>
    <row r="1290" spans="12:18">
      <c r="L1290" s="394" t="e">
        <f ca="1">IF(NOT(OFFSET(Data!E1293,0,MATCH('Delta Beta'!$C$5,Data!$B$4:$Q$4,0)-3)=""),OFFSET(Data!E1293,0,MATCH('Delta Beta'!$C$5,Data!$B$4:$Q$4,0)-3),#N/A)-$C$8/250</f>
        <v>#N/A</v>
      </c>
      <c r="M1290" s="394" t="e">
        <f ca="1">IF(NOT(OFFSET(Data!E1293,0,MATCH('Delta Beta'!$C$5,Data!$B$4:$Q$4,0)-1)=""),OFFSET(Data!E1293,0,MATCH('Delta Beta'!$C$5,Data!$B$4:$Q$4,0)-1),#N/A)-$C$8/250</f>
        <v>#N/A</v>
      </c>
      <c r="N1290" s="395"/>
      <c r="R1290" s="391"/>
    </row>
    <row r="1291" spans="12:18">
      <c r="L1291" s="394" t="e">
        <f ca="1">IF(NOT(OFFSET(Data!E1294,0,MATCH('Delta Beta'!$C$5,Data!$B$4:$Q$4,0)-3)=""),OFFSET(Data!E1294,0,MATCH('Delta Beta'!$C$5,Data!$B$4:$Q$4,0)-3),#N/A)-$C$8/250</f>
        <v>#N/A</v>
      </c>
      <c r="M1291" s="394" t="e">
        <f ca="1">IF(NOT(OFFSET(Data!E1294,0,MATCH('Delta Beta'!$C$5,Data!$B$4:$Q$4,0)-1)=""),OFFSET(Data!E1294,0,MATCH('Delta Beta'!$C$5,Data!$B$4:$Q$4,0)-1),#N/A)-$C$8/250</f>
        <v>#N/A</v>
      </c>
      <c r="N1291" s="395"/>
      <c r="R1291" s="391"/>
    </row>
    <row r="1292" spans="12:18">
      <c r="L1292" s="394" t="e">
        <f ca="1">IF(NOT(OFFSET(Data!E1295,0,MATCH('Delta Beta'!$C$5,Data!$B$4:$Q$4,0)-3)=""),OFFSET(Data!E1295,0,MATCH('Delta Beta'!$C$5,Data!$B$4:$Q$4,0)-3),#N/A)-$C$8/250</f>
        <v>#N/A</v>
      </c>
      <c r="M1292" s="394" t="e">
        <f ca="1">IF(NOT(OFFSET(Data!E1295,0,MATCH('Delta Beta'!$C$5,Data!$B$4:$Q$4,0)-1)=""),OFFSET(Data!E1295,0,MATCH('Delta Beta'!$C$5,Data!$B$4:$Q$4,0)-1),#N/A)-$C$8/250</f>
        <v>#N/A</v>
      </c>
      <c r="N1292" s="395"/>
      <c r="R1292" s="391"/>
    </row>
    <row r="1293" spans="12:18">
      <c r="L1293" s="394" t="e">
        <f ca="1">IF(NOT(OFFSET(Data!E1296,0,MATCH('Delta Beta'!$C$5,Data!$B$4:$Q$4,0)-3)=""),OFFSET(Data!E1296,0,MATCH('Delta Beta'!$C$5,Data!$B$4:$Q$4,0)-3),#N/A)-$C$8/250</f>
        <v>#N/A</v>
      </c>
      <c r="M1293" s="394" t="e">
        <f ca="1">IF(NOT(OFFSET(Data!E1296,0,MATCH('Delta Beta'!$C$5,Data!$B$4:$Q$4,0)-1)=""),OFFSET(Data!E1296,0,MATCH('Delta Beta'!$C$5,Data!$B$4:$Q$4,0)-1),#N/A)-$C$8/250</f>
        <v>#N/A</v>
      </c>
      <c r="N1293" s="395"/>
      <c r="R1293" s="391"/>
    </row>
    <row r="1294" spans="12:18">
      <c r="L1294" s="394" t="e">
        <f ca="1">IF(NOT(OFFSET(Data!E1297,0,MATCH('Delta Beta'!$C$5,Data!$B$4:$Q$4,0)-3)=""),OFFSET(Data!E1297,0,MATCH('Delta Beta'!$C$5,Data!$B$4:$Q$4,0)-3),#N/A)-$C$8/250</f>
        <v>#N/A</v>
      </c>
      <c r="M1294" s="394" t="e">
        <f ca="1">IF(NOT(OFFSET(Data!E1297,0,MATCH('Delta Beta'!$C$5,Data!$B$4:$Q$4,0)-1)=""),OFFSET(Data!E1297,0,MATCH('Delta Beta'!$C$5,Data!$B$4:$Q$4,0)-1),#N/A)-$C$8/250</f>
        <v>#N/A</v>
      </c>
      <c r="N1294" s="395"/>
      <c r="R1294" s="391"/>
    </row>
    <row r="1295" spans="12:18">
      <c r="L1295" s="394" t="e">
        <f ca="1">IF(NOT(OFFSET(Data!E1298,0,MATCH('Delta Beta'!$C$5,Data!$B$4:$Q$4,0)-3)=""),OFFSET(Data!E1298,0,MATCH('Delta Beta'!$C$5,Data!$B$4:$Q$4,0)-3),#N/A)-$C$8/250</f>
        <v>#N/A</v>
      </c>
      <c r="M1295" s="394" t="e">
        <f ca="1">IF(NOT(OFFSET(Data!E1298,0,MATCH('Delta Beta'!$C$5,Data!$B$4:$Q$4,0)-1)=""),OFFSET(Data!E1298,0,MATCH('Delta Beta'!$C$5,Data!$B$4:$Q$4,0)-1),#N/A)-$C$8/250</f>
        <v>#N/A</v>
      </c>
      <c r="N1295" s="395"/>
      <c r="R1295" s="391"/>
    </row>
    <row r="1296" spans="12:18">
      <c r="L1296" s="394" t="e">
        <f ca="1">IF(NOT(OFFSET(Data!E1299,0,MATCH('Delta Beta'!$C$5,Data!$B$4:$Q$4,0)-3)=""),OFFSET(Data!E1299,0,MATCH('Delta Beta'!$C$5,Data!$B$4:$Q$4,0)-3),#N/A)-$C$8/250</f>
        <v>#N/A</v>
      </c>
      <c r="M1296" s="394" t="e">
        <f ca="1">IF(NOT(OFFSET(Data!E1299,0,MATCH('Delta Beta'!$C$5,Data!$B$4:$Q$4,0)-1)=""),OFFSET(Data!E1299,0,MATCH('Delta Beta'!$C$5,Data!$B$4:$Q$4,0)-1),#N/A)-$C$8/250</f>
        <v>#N/A</v>
      </c>
      <c r="N1296" s="395"/>
      <c r="R1296" s="391"/>
    </row>
    <row r="1297" spans="12:18">
      <c r="L1297" s="394" t="e">
        <f ca="1">IF(NOT(OFFSET(Data!E1300,0,MATCH('Delta Beta'!$C$5,Data!$B$4:$Q$4,0)-3)=""),OFFSET(Data!E1300,0,MATCH('Delta Beta'!$C$5,Data!$B$4:$Q$4,0)-3),#N/A)-$C$8/250</f>
        <v>#N/A</v>
      </c>
      <c r="M1297" s="394" t="e">
        <f ca="1">IF(NOT(OFFSET(Data!E1300,0,MATCH('Delta Beta'!$C$5,Data!$B$4:$Q$4,0)-1)=""),OFFSET(Data!E1300,0,MATCH('Delta Beta'!$C$5,Data!$B$4:$Q$4,0)-1),#N/A)-$C$8/250</f>
        <v>#N/A</v>
      </c>
      <c r="N1297" s="395"/>
      <c r="R1297" s="391"/>
    </row>
    <row r="1298" spans="12:18">
      <c r="L1298" s="394" t="e">
        <f ca="1">IF(NOT(OFFSET(Data!E1301,0,MATCH('Delta Beta'!$C$5,Data!$B$4:$Q$4,0)-3)=""),OFFSET(Data!E1301,0,MATCH('Delta Beta'!$C$5,Data!$B$4:$Q$4,0)-3),#N/A)-$C$8/250</f>
        <v>#N/A</v>
      </c>
      <c r="M1298" s="394" t="e">
        <f ca="1">IF(NOT(OFFSET(Data!E1301,0,MATCH('Delta Beta'!$C$5,Data!$B$4:$Q$4,0)-1)=""),OFFSET(Data!E1301,0,MATCH('Delta Beta'!$C$5,Data!$B$4:$Q$4,0)-1),#N/A)-$C$8/250</f>
        <v>#N/A</v>
      </c>
      <c r="N1298" s="395"/>
      <c r="R1298" s="391"/>
    </row>
    <row r="1299" spans="12:18">
      <c r="L1299" s="394" t="e">
        <f ca="1">IF(NOT(OFFSET(Data!E1302,0,MATCH('Delta Beta'!$C$5,Data!$B$4:$Q$4,0)-3)=""),OFFSET(Data!E1302,0,MATCH('Delta Beta'!$C$5,Data!$B$4:$Q$4,0)-3),#N/A)-$C$8/250</f>
        <v>#N/A</v>
      </c>
      <c r="M1299" s="394" t="e">
        <f ca="1">IF(NOT(OFFSET(Data!E1302,0,MATCH('Delta Beta'!$C$5,Data!$B$4:$Q$4,0)-1)=""),OFFSET(Data!E1302,0,MATCH('Delta Beta'!$C$5,Data!$B$4:$Q$4,0)-1),#N/A)-$C$8/250</f>
        <v>#N/A</v>
      </c>
      <c r="N1299" s="395"/>
      <c r="R1299" s="391"/>
    </row>
    <row r="1300" spans="12:18">
      <c r="L1300" s="394" t="e">
        <f ca="1">IF(NOT(OFFSET(Data!E1303,0,MATCH('Delta Beta'!$C$5,Data!$B$4:$Q$4,0)-3)=""),OFFSET(Data!E1303,0,MATCH('Delta Beta'!$C$5,Data!$B$4:$Q$4,0)-3),#N/A)-$C$8/250</f>
        <v>#N/A</v>
      </c>
      <c r="M1300" s="394" t="e">
        <f ca="1">IF(NOT(OFFSET(Data!E1303,0,MATCH('Delta Beta'!$C$5,Data!$B$4:$Q$4,0)-1)=""),OFFSET(Data!E1303,0,MATCH('Delta Beta'!$C$5,Data!$B$4:$Q$4,0)-1),#N/A)-$C$8/250</f>
        <v>#N/A</v>
      </c>
      <c r="N1300" s="395"/>
      <c r="R1300" s="391"/>
    </row>
    <row r="1301" spans="12:18">
      <c r="L1301" s="394" t="e">
        <f ca="1">IF(NOT(OFFSET(Data!E1304,0,MATCH('Delta Beta'!$C$5,Data!$B$4:$Q$4,0)-3)=""),OFFSET(Data!E1304,0,MATCH('Delta Beta'!$C$5,Data!$B$4:$Q$4,0)-3),#N/A)-$C$8/250</f>
        <v>#N/A</v>
      </c>
      <c r="M1301" s="394" t="e">
        <f ca="1">IF(NOT(OFFSET(Data!E1304,0,MATCH('Delta Beta'!$C$5,Data!$B$4:$Q$4,0)-1)=""),OFFSET(Data!E1304,0,MATCH('Delta Beta'!$C$5,Data!$B$4:$Q$4,0)-1),#N/A)-$C$8/250</f>
        <v>#N/A</v>
      </c>
      <c r="N1301" s="395"/>
      <c r="R1301" s="391"/>
    </row>
    <row r="1302" spans="12:18">
      <c r="L1302" s="394" t="e">
        <f ca="1">IF(NOT(OFFSET(Data!E1305,0,MATCH('Delta Beta'!$C$5,Data!$B$4:$Q$4,0)-3)=""),OFFSET(Data!E1305,0,MATCH('Delta Beta'!$C$5,Data!$B$4:$Q$4,0)-3),#N/A)-$C$8/250</f>
        <v>#N/A</v>
      </c>
      <c r="M1302" s="394" t="e">
        <f ca="1">IF(NOT(OFFSET(Data!E1305,0,MATCH('Delta Beta'!$C$5,Data!$B$4:$Q$4,0)-1)=""),OFFSET(Data!E1305,0,MATCH('Delta Beta'!$C$5,Data!$B$4:$Q$4,0)-1),#N/A)-$C$8/250</f>
        <v>#N/A</v>
      </c>
      <c r="N1302" s="395"/>
      <c r="R1302" s="391"/>
    </row>
    <row r="1303" spans="12:18">
      <c r="L1303" s="394" t="e">
        <f ca="1">IF(NOT(OFFSET(Data!E1306,0,MATCH('Delta Beta'!$C$5,Data!$B$4:$Q$4,0)-3)=""),OFFSET(Data!E1306,0,MATCH('Delta Beta'!$C$5,Data!$B$4:$Q$4,0)-3),#N/A)-$C$8/250</f>
        <v>#N/A</v>
      </c>
      <c r="M1303" s="394" t="e">
        <f ca="1">IF(NOT(OFFSET(Data!E1306,0,MATCH('Delta Beta'!$C$5,Data!$B$4:$Q$4,0)-1)=""),OFFSET(Data!E1306,0,MATCH('Delta Beta'!$C$5,Data!$B$4:$Q$4,0)-1),#N/A)-$C$8/250</f>
        <v>#N/A</v>
      </c>
      <c r="N1303" s="395"/>
      <c r="R1303" s="391"/>
    </row>
    <row r="1304" spans="12:18">
      <c r="L1304" s="394" t="e">
        <f ca="1">IF(NOT(OFFSET(Data!E1307,0,MATCH('Delta Beta'!$C$5,Data!$B$4:$Q$4,0)-3)=""),OFFSET(Data!E1307,0,MATCH('Delta Beta'!$C$5,Data!$B$4:$Q$4,0)-3),#N/A)-$C$8/250</f>
        <v>#N/A</v>
      </c>
      <c r="M1304" s="394" t="e">
        <f ca="1">IF(NOT(OFFSET(Data!E1307,0,MATCH('Delta Beta'!$C$5,Data!$B$4:$Q$4,0)-1)=""),OFFSET(Data!E1307,0,MATCH('Delta Beta'!$C$5,Data!$B$4:$Q$4,0)-1),#N/A)-$C$8/250</f>
        <v>#N/A</v>
      </c>
      <c r="N1304" s="395"/>
      <c r="R1304" s="391"/>
    </row>
    <row r="1305" spans="12:18">
      <c r="L1305" s="394" t="e">
        <f ca="1">IF(NOT(OFFSET(Data!E1308,0,MATCH('Delta Beta'!$C$5,Data!$B$4:$Q$4,0)-3)=""),OFFSET(Data!E1308,0,MATCH('Delta Beta'!$C$5,Data!$B$4:$Q$4,0)-3),#N/A)-$C$8/250</f>
        <v>#N/A</v>
      </c>
      <c r="M1305" s="394" t="e">
        <f ca="1">IF(NOT(OFFSET(Data!E1308,0,MATCH('Delta Beta'!$C$5,Data!$B$4:$Q$4,0)-1)=""),OFFSET(Data!E1308,0,MATCH('Delta Beta'!$C$5,Data!$B$4:$Q$4,0)-1),#N/A)-$C$8/250</f>
        <v>#N/A</v>
      </c>
      <c r="N1305" s="395"/>
      <c r="R1305" s="391"/>
    </row>
    <row r="1306" spans="12:18">
      <c r="L1306" s="394" t="e">
        <f ca="1">IF(NOT(OFFSET(Data!E1309,0,MATCH('Delta Beta'!$C$5,Data!$B$4:$Q$4,0)-3)=""),OFFSET(Data!E1309,0,MATCH('Delta Beta'!$C$5,Data!$B$4:$Q$4,0)-3),#N/A)-$C$8/250</f>
        <v>#N/A</v>
      </c>
      <c r="M1306" s="394" t="e">
        <f ca="1">IF(NOT(OFFSET(Data!E1309,0,MATCH('Delta Beta'!$C$5,Data!$B$4:$Q$4,0)-1)=""),OFFSET(Data!E1309,0,MATCH('Delta Beta'!$C$5,Data!$B$4:$Q$4,0)-1),#N/A)-$C$8/250</f>
        <v>#N/A</v>
      </c>
      <c r="N1306" s="395"/>
      <c r="R1306" s="391"/>
    </row>
    <row r="1307" spans="12:18">
      <c r="L1307" s="394" t="e">
        <f ca="1">IF(NOT(OFFSET(Data!E1310,0,MATCH('Delta Beta'!$C$5,Data!$B$4:$Q$4,0)-3)=""),OFFSET(Data!E1310,0,MATCH('Delta Beta'!$C$5,Data!$B$4:$Q$4,0)-3),#N/A)-$C$8/250</f>
        <v>#N/A</v>
      </c>
      <c r="M1307" s="394" t="e">
        <f ca="1">IF(NOT(OFFSET(Data!E1310,0,MATCH('Delta Beta'!$C$5,Data!$B$4:$Q$4,0)-1)=""),OFFSET(Data!E1310,0,MATCH('Delta Beta'!$C$5,Data!$B$4:$Q$4,0)-1),#N/A)-$C$8/250</f>
        <v>#N/A</v>
      </c>
      <c r="N1307" s="395"/>
      <c r="R1307" s="391"/>
    </row>
    <row r="1308" spans="12:18">
      <c r="L1308" s="394" t="e">
        <f ca="1">IF(NOT(OFFSET(Data!E1311,0,MATCH('Delta Beta'!$C$5,Data!$B$4:$Q$4,0)-3)=""),OFFSET(Data!E1311,0,MATCH('Delta Beta'!$C$5,Data!$B$4:$Q$4,0)-3),#N/A)-$C$8/250</f>
        <v>#N/A</v>
      </c>
      <c r="M1308" s="394" t="e">
        <f ca="1">IF(NOT(OFFSET(Data!E1311,0,MATCH('Delta Beta'!$C$5,Data!$B$4:$Q$4,0)-1)=""),OFFSET(Data!E1311,0,MATCH('Delta Beta'!$C$5,Data!$B$4:$Q$4,0)-1),#N/A)-$C$8/250</f>
        <v>#N/A</v>
      </c>
      <c r="N1308" s="395"/>
      <c r="R1308" s="391"/>
    </row>
    <row r="1309" spans="12:18">
      <c r="L1309" s="394" t="e">
        <f ca="1">IF(NOT(OFFSET(Data!E1312,0,MATCH('Delta Beta'!$C$5,Data!$B$4:$Q$4,0)-3)=""),OFFSET(Data!E1312,0,MATCH('Delta Beta'!$C$5,Data!$B$4:$Q$4,0)-3),#N/A)-$C$8/250</f>
        <v>#N/A</v>
      </c>
      <c r="M1309" s="394" t="e">
        <f ca="1">IF(NOT(OFFSET(Data!E1312,0,MATCH('Delta Beta'!$C$5,Data!$B$4:$Q$4,0)-1)=""),OFFSET(Data!E1312,0,MATCH('Delta Beta'!$C$5,Data!$B$4:$Q$4,0)-1),#N/A)-$C$8/250</f>
        <v>#N/A</v>
      </c>
      <c r="N1309" s="395"/>
      <c r="R1309" s="391"/>
    </row>
    <row r="1310" spans="12:18">
      <c r="L1310" s="394" t="e">
        <f ca="1">IF(NOT(OFFSET(Data!E1313,0,MATCH('Delta Beta'!$C$5,Data!$B$4:$Q$4,0)-3)=""),OFFSET(Data!E1313,0,MATCH('Delta Beta'!$C$5,Data!$B$4:$Q$4,0)-3),#N/A)-$C$8/250</f>
        <v>#N/A</v>
      </c>
      <c r="M1310" s="394" t="e">
        <f ca="1">IF(NOT(OFFSET(Data!E1313,0,MATCH('Delta Beta'!$C$5,Data!$B$4:$Q$4,0)-1)=""),OFFSET(Data!E1313,0,MATCH('Delta Beta'!$C$5,Data!$B$4:$Q$4,0)-1),#N/A)-$C$8/250</f>
        <v>#N/A</v>
      </c>
      <c r="N1310" s="395"/>
      <c r="R1310" s="391"/>
    </row>
    <row r="1311" spans="12:18">
      <c r="L1311" s="394" t="e">
        <f ca="1">IF(NOT(OFFSET(Data!E1314,0,MATCH('Delta Beta'!$C$5,Data!$B$4:$Q$4,0)-3)=""),OFFSET(Data!E1314,0,MATCH('Delta Beta'!$C$5,Data!$B$4:$Q$4,0)-3),#N/A)-$C$8/250</f>
        <v>#N/A</v>
      </c>
      <c r="M1311" s="394" t="e">
        <f ca="1">IF(NOT(OFFSET(Data!E1314,0,MATCH('Delta Beta'!$C$5,Data!$B$4:$Q$4,0)-1)=""),OFFSET(Data!E1314,0,MATCH('Delta Beta'!$C$5,Data!$B$4:$Q$4,0)-1),#N/A)-$C$8/250</f>
        <v>#N/A</v>
      </c>
      <c r="N1311" s="395"/>
      <c r="R1311" s="391"/>
    </row>
    <row r="1312" spans="12:18">
      <c r="L1312" s="394" t="e">
        <f ca="1">IF(NOT(OFFSET(Data!E1315,0,MATCH('Delta Beta'!$C$5,Data!$B$4:$Q$4,0)-3)=""),OFFSET(Data!E1315,0,MATCH('Delta Beta'!$C$5,Data!$B$4:$Q$4,0)-3),#N/A)-$C$8/250</f>
        <v>#N/A</v>
      </c>
      <c r="M1312" s="394" t="e">
        <f ca="1">IF(NOT(OFFSET(Data!E1315,0,MATCH('Delta Beta'!$C$5,Data!$B$4:$Q$4,0)-1)=""),OFFSET(Data!E1315,0,MATCH('Delta Beta'!$C$5,Data!$B$4:$Q$4,0)-1),#N/A)-$C$8/250</f>
        <v>#N/A</v>
      </c>
      <c r="N1312" s="395"/>
      <c r="R1312" s="391"/>
    </row>
    <row r="1313" spans="12:18">
      <c r="L1313" s="394" t="e">
        <f ca="1">IF(NOT(OFFSET(Data!E1316,0,MATCH('Delta Beta'!$C$5,Data!$B$4:$Q$4,0)-3)=""),OFFSET(Data!E1316,0,MATCH('Delta Beta'!$C$5,Data!$B$4:$Q$4,0)-3),#N/A)-$C$8/250</f>
        <v>#N/A</v>
      </c>
      <c r="M1313" s="394" t="e">
        <f ca="1">IF(NOT(OFFSET(Data!E1316,0,MATCH('Delta Beta'!$C$5,Data!$B$4:$Q$4,0)-1)=""),OFFSET(Data!E1316,0,MATCH('Delta Beta'!$C$5,Data!$B$4:$Q$4,0)-1),#N/A)-$C$8/250</f>
        <v>#N/A</v>
      </c>
      <c r="N1313" s="395"/>
      <c r="R1313" s="391"/>
    </row>
    <row r="1314" spans="12:18">
      <c r="L1314" s="394" t="e">
        <f ca="1">IF(NOT(OFFSET(Data!E1317,0,MATCH('Delta Beta'!$C$5,Data!$B$4:$Q$4,0)-3)=""),OFFSET(Data!E1317,0,MATCH('Delta Beta'!$C$5,Data!$B$4:$Q$4,0)-3),#N/A)-$C$8/250</f>
        <v>#N/A</v>
      </c>
      <c r="M1314" s="394" t="e">
        <f ca="1">IF(NOT(OFFSET(Data!E1317,0,MATCH('Delta Beta'!$C$5,Data!$B$4:$Q$4,0)-1)=""),OFFSET(Data!E1317,0,MATCH('Delta Beta'!$C$5,Data!$B$4:$Q$4,0)-1),#N/A)-$C$8/250</f>
        <v>#N/A</v>
      </c>
      <c r="N1314" s="395"/>
      <c r="R1314" s="391"/>
    </row>
    <row r="1315" spans="12:18">
      <c r="L1315" s="394" t="e">
        <f ca="1">IF(NOT(OFFSET(Data!E1318,0,MATCH('Delta Beta'!$C$5,Data!$B$4:$Q$4,0)-3)=""),OFFSET(Data!E1318,0,MATCH('Delta Beta'!$C$5,Data!$B$4:$Q$4,0)-3),#N/A)-$C$8/250</f>
        <v>#N/A</v>
      </c>
      <c r="M1315" s="394" t="e">
        <f ca="1">IF(NOT(OFFSET(Data!E1318,0,MATCH('Delta Beta'!$C$5,Data!$B$4:$Q$4,0)-1)=""),OFFSET(Data!E1318,0,MATCH('Delta Beta'!$C$5,Data!$B$4:$Q$4,0)-1),#N/A)-$C$8/250</f>
        <v>#N/A</v>
      </c>
      <c r="N1315" s="395"/>
      <c r="R1315" s="391"/>
    </row>
    <row r="1316" spans="12:18">
      <c r="L1316" s="394" t="e">
        <f ca="1">IF(NOT(OFFSET(Data!E1319,0,MATCH('Delta Beta'!$C$5,Data!$B$4:$Q$4,0)-3)=""),OFFSET(Data!E1319,0,MATCH('Delta Beta'!$C$5,Data!$B$4:$Q$4,0)-3),#N/A)-$C$8/250</f>
        <v>#N/A</v>
      </c>
      <c r="M1316" s="394" t="e">
        <f ca="1">IF(NOT(OFFSET(Data!E1319,0,MATCH('Delta Beta'!$C$5,Data!$B$4:$Q$4,0)-1)=""),OFFSET(Data!E1319,0,MATCH('Delta Beta'!$C$5,Data!$B$4:$Q$4,0)-1),#N/A)-$C$8/250</f>
        <v>#N/A</v>
      </c>
      <c r="N1316" s="395"/>
      <c r="R1316" s="391"/>
    </row>
    <row r="1317" spans="12:18">
      <c r="L1317" s="394" t="e">
        <f ca="1">IF(NOT(OFFSET(Data!E1320,0,MATCH('Delta Beta'!$C$5,Data!$B$4:$Q$4,0)-3)=""),OFFSET(Data!E1320,0,MATCH('Delta Beta'!$C$5,Data!$B$4:$Q$4,0)-3),#N/A)-$C$8/250</f>
        <v>#N/A</v>
      </c>
      <c r="M1317" s="394" t="e">
        <f ca="1">IF(NOT(OFFSET(Data!E1320,0,MATCH('Delta Beta'!$C$5,Data!$B$4:$Q$4,0)-1)=""),OFFSET(Data!E1320,0,MATCH('Delta Beta'!$C$5,Data!$B$4:$Q$4,0)-1),#N/A)-$C$8/250</f>
        <v>#N/A</v>
      </c>
      <c r="N1317" s="395"/>
      <c r="R1317" s="391"/>
    </row>
    <row r="1318" spans="12:18">
      <c r="L1318" s="394" t="e">
        <f ca="1">IF(NOT(OFFSET(Data!E1321,0,MATCH('Delta Beta'!$C$5,Data!$B$4:$Q$4,0)-3)=""),OFFSET(Data!E1321,0,MATCH('Delta Beta'!$C$5,Data!$B$4:$Q$4,0)-3),#N/A)-$C$8/250</f>
        <v>#N/A</v>
      </c>
      <c r="M1318" s="394" t="e">
        <f ca="1">IF(NOT(OFFSET(Data!E1321,0,MATCH('Delta Beta'!$C$5,Data!$B$4:$Q$4,0)-1)=""),OFFSET(Data!E1321,0,MATCH('Delta Beta'!$C$5,Data!$B$4:$Q$4,0)-1),#N/A)-$C$8/250</f>
        <v>#N/A</v>
      </c>
      <c r="N1318" s="395"/>
      <c r="R1318" s="391"/>
    </row>
    <row r="1319" spans="12:18">
      <c r="L1319" s="394" t="e">
        <f ca="1">IF(NOT(OFFSET(Data!E1322,0,MATCH('Delta Beta'!$C$5,Data!$B$4:$Q$4,0)-3)=""),OFFSET(Data!E1322,0,MATCH('Delta Beta'!$C$5,Data!$B$4:$Q$4,0)-3),#N/A)-$C$8/250</f>
        <v>#N/A</v>
      </c>
      <c r="M1319" s="394" t="e">
        <f ca="1">IF(NOT(OFFSET(Data!E1322,0,MATCH('Delta Beta'!$C$5,Data!$B$4:$Q$4,0)-1)=""),OFFSET(Data!E1322,0,MATCH('Delta Beta'!$C$5,Data!$B$4:$Q$4,0)-1),#N/A)-$C$8/250</f>
        <v>#N/A</v>
      </c>
      <c r="N1319" s="395"/>
      <c r="R1319" s="391"/>
    </row>
    <row r="1320" spans="12:18">
      <c r="L1320" s="394" t="e">
        <f ca="1">IF(NOT(OFFSET(Data!E1323,0,MATCH('Delta Beta'!$C$5,Data!$B$4:$Q$4,0)-3)=""),OFFSET(Data!E1323,0,MATCH('Delta Beta'!$C$5,Data!$B$4:$Q$4,0)-3),#N/A)-$C$8/250</f>
        <v>#N/A</v>
      </c>
      <c r="M1320" s="394" t="e">
        <f ca="1">IF(NOT(OFFSET(Data!E1323,0,MATCH('Delta Beta'!$C$5,Data!$B$4:$Q$4,0)-1)=""),OFFSET(Data!E1323,0,MATCH('Delta Beta'!$C$5,Data!$B$4:$Q$4,0)-1),#N/A)-$C$8/250</f>
        <v>#N/A</v>
      </c>
      <c r="N1320" s="395"/>
      <c r="R1320" s="391"/>
    </row>
    <row r="1321" spans="12:18">
      <c r="L1321" s="394" t="e">
        <f ca="1">IF(NOT(OFFSET(Data!E1324,0,MATCH('Delta Beta'!$C$5,Data!$B$4:$Q$4,0)-3)=""),OFFSET(Data!E1324,0,MATCH('Delta Beta'!$C$5,Data!$B$4:$Q$4,0)-3),#N/A)-$C$8/250</f>
        <v>#N/A</v>
      </c>
      <c r="M1321" s="394" t="e">
        <f ca="1">IF(NOT(OFFSET(Data!E1324,0,MATCH('Delta Beta'!$C$5,Data!$B$4:$Q$4,0)-1)=""),OFFSET(Data!E1324,0,MATCH('Delta Beta'!$C$5,Data!$B$4:$Q$4,0)-1),#N/A)-$C$8/250</f>
        <v>#N/A</v>
      </c>
      <c r="N1321" s="395"/>
      <c r="R1321" s="391"/>
    </row>
    <row r="1322" spans="12:18">
      <c r="L1322" s="394" t="e">
        <f ca="1">IF(NOT(OFFSET(Data!E1325,0,MATCH('Delta Beta'!$C$5,Data!$B$4:$Q$4,0)-3)=""),OFFSET(Data!E1325,0,MATCH('Delta Beta'!$C$5,Data!$B$4:$Q$4,0)-3),#N/A)-$C$8/250</f>
        <v>#N/A</v>
      </c>
      <c r="M1322" s="394" t="e">
        <f ca="1">IF(NOT(OFFSET(Data!E1325,0,MATCH('Delta Beta'!$C$5,Data!$B$4:$Q$4,0)-1)=""),OFFSET(Data!E1325,0,MATCH('Delta Beta'!$C$5,Data!$B$4:$Q$4,0)-1),#N/A)-$C$8/250</f>
        <v>#N/A</v>
      </c>
      <c r="N1322" s="395"/>
      <c r="R1322" s="391"/>
    </row>
    <row r="1323" spans="12:18">
      <c r="L1323" s="394" t="e">
        <f ca="1">IF(NOT(OFFSET(Data!E1326,0,MATCH('Delta Beta'!$C$5,Data!$B$4:$Q$4,0)-3)=""),OFFSET(Data!E1326,0,MATCH('Delta Beta'!$C$5,Data!$B$4:$Q$4,0)-3),#N/A)-$C$8/250</f>
        <v>#N/A</v>
      </c>
      <c r="M1323" s="394" t="e">
        <f ca="1">IF(NOT(OFFSET(Data!E1326,0,MATCH('Delta Beta'!$C$5,Data!$B$4:$Q$4,0)-1)=""),OFFSET(Data!E1326,0,MATCH('Delta Beta'!$C$5,Data!$B$4:$Q$4,0)-1),#N/A)-$C$8/250</f>
        <v>#N/A</v>
      </c>
      <c r="N1323" s="395"/>
      <c r="R1323" s="391"/>
    </row>
    <row r="1324" spans="12:18">
      <c r="L1324" s="394" t="e">
        <f ca="1">IF(NOT(OFFSET(Data!E1327,0,MATCH('Delta Beta'!$C$5,Data!$B$4:$Q$4,0)-3)=""),OFFSET(Data!E1327,0,MATCH('Delta Beta'!$C$5,Data!$B$4:$Q$4,0)-3),#N/A)-$C$8/250</f>
        <v>#N/A</v>
      </c>
      <c r="M1324" s="394" t="e">
        <f ca="1">IF(NOT(OFFSET(Data!E1327,0,MATCH('Delta Beta'!$C$5,Data!$B$4:$Q$4,0)-1)=""),OFFSET(Data!E1327,0,MATCH('Delta Beta'!$C$5,Data!$B$4:$Q$4,0)-1),#N/A)-$C$8/250</f>
        <v>#N/A</v>
      </c>
      <c r="N1324" s="395"/>
      <c r="R1324" s="391"/>
    </row>
    <row r="1325" spans="12:18">
      <c r="L1325" s="394" t="e">
        <f ca="1">IF(NOT(OFFSET(Data!E1328,0,MATCH('Delta Beta'!$C$5,Data!$B$4:$Q$4,0)-3)=""),OFFSET(Data!E1328,0,MATCH('Delta Beta'!$C$5,Data!$B$4:$Q$4,0)-3),#N/A)-$C$8/250</f>
        <v>#N/A</v>
      </c>
      <c r="M1325" s="394" t="e">
        <f ca="1">IF(NOT(OFFSET(Data!E1328,0,MATCH('Delta Beta'!$C$5,Data!$B$4:$Q$4,0)-1)=""),OFFSET(Data!E1328,0,MATCH('Delta Beta'!$C$5,Data!$B$4:$Q$4,0)-1),#N/A)-$C$8/250</f>
        <v>#N/A</v>
      </c>
      <c r="N1325" s="395"/>
      <c r="R1325" s="391"/>
    </row>
    <row r="1326" spans="12:18">
      <c r="L1326" s="394" t="e">
        <f ca="1">IF(NOT(OFFSET(Data!E1329,0,MATCH('Delta Beta'!$C$5,Data!$B$4:$Q$4,0)-3)=""),OFFSET(Data!E1329,0,MATCH('Delta Beta'!$C$5,Data!$B$4:$Q$4,0)-3),#N/A)-$C$8/250</f>
        <v>#N/A</v>
      </c>
      <c r="M1326" s="394" t="e">
        <f ca="1">IF(NOT(OFFSET(Data!E1329,0,MATCH('Delta Beta'!$C$5,Data!$B$4:$Q$4,0)-1)=""),OFFSET(Data!E1329,0,MATCH('Delta Beta'!$C$5,Data!$B$4:$Q$4,0)-1),#N/A)-$C$8/250</f>
        <v>#N/A</v>
      </c>
      <c r="N1326" s="395"/>
      <c r="R1326" s="391"/>
    </row>
    <row r="1327" spans="12:18">
      <c r="L1327" s="394" t="e">
        <f ca="1">IF(NOT(OFFSET(Data!E1330,0,MATCH('Delta Beta'!$C$5,Data!$B$4:$Q$4,0)-3)=""),OFFSET(Data!E1330,0,MATCH('Delta Beta'!$C$5,Data!$B$4:$Q$4,0)-3),#N/A)-$C$8/250</f>
        <v>#N/A</v>
      </c>
      <c r="M1327" s="394" t="e">
        <f ca="1">IF(NOT(OFFSET(Data!E1330,0,MATCH('Delta Beta'!$C$5,Data!$B$4:$Q$4,0)-1)=""),OFFSET(Data!E1330,0,MATCH('Delta Beta'!$C$5,Data!$B$4:$Q$4,0)-1),#N/A)-$C$8/250</f>
        <v>#N/A</v>
      </c>
      <c r="N1327" s="395"/>
      <c r="R1327" s="391"/>
    </row>
    <row r="1328" spans="12:18">
      <c r="L1328" s="394" t="e">
        <f ca="1">IF(NOT(OFFSET(Data!E1331,0,MATCH('Delta Beta'!$C$5,Data!$B$4:$Q$4,0)-3)=""),OFFSET(Data!E1331,0,MATCH('Delta Beta'!$C$5,Data!$B$4:$Q$4,0)-3),#N/A)-$C$8/250</f>
        <v>#N/A</v>
      </c>
      <c r="M1328" s="394" t="e">
        <f ca="1">IF(NOT(OFFSET(Data!E1331,0,MATCH('Delta Beta'!$C$5,Data!$B$4:$Q$4,0)-1)=""),OFFSET(Data!E1331,0,MATCH('Delta Beta'!$C$5,Data!$B$4:$Q$4,0)-1),#N/A)-$C$8/250</f>
        <v>#N/A</v>
      </c>
      <c r="N1328" s="395"/>
      <c r="R1328" s="391"/>
    </row>
    <row r="1329" spans="12:18">
      <c r="L1329" s="394" t="e">
        <f ca="1">IF(NOT(OFFSET(Data!E1332,0,MATCH('Delta Beta'!$C$5,Data!$B$4:$Q$4,0)-3)=""),OFFSET(Data!E1332,0,MATCH('Delta Beta'!$C$5,Data!$B$4:$Q$4,0)-3),#N/A)-$C$8/250</f>
        <v>#N/A</v>
      </c>
      <c r="M1329" s="394" t="e">
        <f ca="1">IF(NOT(OFFSET(Data!E1332,0,MATCH('Delta Beta'!$C$5,Data!$B$4:$Q$4,0)-1)=""),OFFSET(Data!E1332,0,MATCH('Delta Beta'!$C$5,Data!$B$4:$Q$4,0)-1),#N/A)-$C$8/250</f>
        <v>#N/A</v>
      </c>
      <c r="N1329" s="395"/>
      <c r="R1329" s="391"/>
    </row>
    <row r="1330" spans="12:18">
      <c r="L1330" s="394" t="e">
        <f ca="1">IF(NOT(OFFSET(Data!E1333,0,MATCH('Delta Beta'!$C$5,Data!$B$4:$Q$4,0)-3)=""),OFFSET(Data!E1333,0,MATCH('Delta Beta'!$C$5,Data!$B$4:$Q$4,0)-3),#N/A)-$C$8/250</f>
        <v>#N/A</v>
      </c>
      <c r="M1330" s="394" t="e">
        <f ca="1">IF(NOT(OFFSET(Data!E1333,0,MATCH('Delta Beta'!$C$5,Data!$B$4:$Q$4,0)-1)=""),OFFSET(Data!E1333,0,MATCH('Delta Beta'!$C$5,Data!$B$4:$Q$4,0)-1),#N/A)-$C$8/250</f>
        <v>#N/A</v>
      </c>
      <c r="N1330" s="395"/>
      <c r="R1330" s="391"/>
    </row>
    <row r="1331" spans="12:18">
      <c r="L1331" s="394" t="e">
        <f ca="1">IF(NOT(OFFSET(Data!E1334,0,MATCH('Delta Beta'!$C$5,Data!$B$4:$Q$4,0)-3)=""),OFFSET(Data!E1334,0,MATCH('Delta Beta'!$C$5,Data!$B$4:$Q$4,0)-3),#N/A)-$C$8/250</f>
        <v>#N/A</v>
      </c>
      <c r="M1331" s="394" t="e">
        <f ca="1">IF(NOT(OFFSET(Data!E1334,0,MATCH('Delta Beta'!$C$5,Data!$B$4:$Q$4,0)-1)=""),OFFSET(Data!E1334,0,MATCH('Delta Beta'!$C$5,Data!$B$4:$Q$4,0)-1),#N/A)-$C$8/250</f>
        <v>#N/A</v>
      </c>
      <c r="N1331" s="395"/>
      <c r="R1331" s="391"/>
    </row>
    <row r="1332" spans="12:18">
      <c r="L1332" s="394" t="e">
        <f ca="1">IF(NOT(OFFSET(Data!E1335,0,MATCH('Delta Beta'!$C$5,Data!$B$4:$Q$4,0)-3)=""),OFFSET(Data!E1335,0,MATCH('Delta Beta'!$C$5,Data!$B$4:$Q$4,0)-3),#N/A)-$C$8/250</f>
        <v>#N/A</v>
      </c>
      <c r="M1332" s="394" t="e">
        <f ca="1">IF(NOT(OFFSET(Data!E1335,0,MATCH('Delta Beta'!$C$5,Data!$B$4:$Q$4,0)-1)=""),OFFSET(Data!E1335,0,MATCH('Delta Beta'!$C$5,Data!$B$4:$Q$4,0)-1),#N/A)-$C$8/250</f>
        <v>#N/A</v>
      </c>
      <c r="N1332" s="395"/>
      <c r="R1332" s="391"/>
    </row>
    <row r="1333" spans="12:18">
      <c r="L1333" s="394" t="e">
        <f ca="1">IF(NOT(OFFSET(Data!E1336,0,MATCH('Delta Beta'!$C$5,Data!$B$4:$Q$4,0)-3)=""),OFFSET(Data!E1336,0,MATCH('Delta Beta'!$C$5,Data!$B$4:$Q$4,0)-3),#N/A)-$C$8/250</f>
        <v>#N/A</v>
      </c>
      <c r="M1333" s="394" t="e">
        <f ca="1">IF(NOT(OFFSET(Data!E1336,0,MATCH('Delta Beta'!$C$5,Data!$B$4:$Q$4,0)-1)=""),OFFSET(Data!E1336,0,MATCH('Delta Beta'!$C$5,Data!$B$4:$Q$4,0)-1),#N/A)-$C$8/250</f>
        <v>#N/A</v>
      </c>
      <c r="N1333" s="395"/>
      <c r="R1333" s="391"/>
    </row>
    <row r="1334" spans="12:18">
      <c r="L1334" s="394" t="e">
        <f ca="1">IF(NOT(OFFSET(Data!E1337,0,MATCH('Delta Beta'!$C$5,Data!$B$4:$Q$4,0)-3)=""),OFFSET(Data!E1337,0,MATCH('Delta Beta'!$C$5,Data!$B$4:$Q$4,0)-3),#N/A)-$C$8/250</f>
        <v>#N/A</v>
      </c>
      <c r="M1334" s="394" t="e">
        <f ca="1">IF(NOT(OFFSET(Data!E1337,0,MATCH('Delta Beta'!$C$5,Data!$B$4:$Q$4,0)-1)=""),OFFSET(Data!E1337,0,MATCH('Delta Beta'!$C$5,Data!$B$4:$Q$4,0)-1),#N/A)-$C$8/250</f>
        <v>#N/A</v>
      </c>
      <c r="N1334" s="395"/>
      <c r="R1334" s="391"/>
    </row>
    <row r="1335" spans="12:18">
      <c r="L1335" s="394" t="e">
        <f ca="1">IF(NOT(OFFSET(Data!E1338,0,MATCH('Delta Beta'!$C$5,Data!$B$4:$Q$4,0)-3)=""),OFFSET(Data!E1338,0,MATCH('Delta Beta'!$C$5,Data!$B$4:$Q$4,0)-3),#N/A)-$C$8/250</f>
        <v>#N/A</v>
      </c>
      <c r="M1335" s="394" t="e">
        <f ca="1">IF(NOT(OFFSET(Data!E1338,0,MATCH('Delta Beta'!$C$5,Data!$B$4:$Q$4,0)-1)=""),OFFSET(Data!E1338,0,MATCH('Delta Beta'!$C$5,Data!$B$4:$Q$4,0)-1),#N/A)-$C$8/250</f>
        <v>#N/A</v>
      </c>
      <c r="N1335" s="395"/>
      <c r="R1335" s="391"/>
    </row>
    <row r="1336" spans="12:18">
      <c r="L1336" s="394" t="e">
        <f ca="1">IF(NOT(OFFSET(Data!E1339,0,MATCH('Delta Beta'!$C$5,Data!$B$4:$Q$4,0)-3)=""),OFFSET(Data!E1339,0,MATCH('Delta Beta'!$C$5,Data!$B$4:$Q$4,0)-3),#N/A)-$C$8/250</f>
        <v>#N/A</v>
      </c>
      <c r="M1336" s="394" t="e">
        <f ca="1">IF(NOT(OFFSET(Data!E1339,0,MATCH('Delta Beta'!$C$5,Data!$B$4:$Q$4,0)-1)=""),OFFSET(Data!E1339,0,MATCH('Delta Beta'!$C$5,Data!$B$4:$Q$4,0)-1),#N/A)-$C$8/250</f>
        <v>#N/A</v>
      </c>
      <c r="N1336" s="395"/>
      <c r="R1336" s="391"/>
    </row>
    <row r="1337" spans="12:18">
      <c r="L1337" s="394" t="e">
        <f ca="1">IF(NOT(OFFSET(Data!E1340,0,MATCH('Delta Beta'!$C$5,Data!$B$4:$Q$4,0)-3)=""),OFFSET(Data!E1340,0,MATCH('Delta Beta'!$C$5,Data!$B$4:$Q$4,0)-3),#N/A)-$C$8/250</f>
        <v>#N/A</v>
      </c>
      <c r="M1337" s="394" t="e">
        <f ca="1">IF(NOT(OFFSET(Data!E1340,0,MATCH('Delta Beta'!$C$5,Data!$B$4:$Q$4,0)-1)=""),OFFSET(Data!E1340,0,MATCH('Delta Beta'!$C$5,Data!$B$4:$Q$4,0)-1),#N/A)-$C$8/250</f>
        <v>#N/A</v>
      </c>
      <c r="N1337" s="395"/>
      <c r="R1337" s="391"/>
    </row>
    <row r="1338" spans="12:18">
      <c r="L1338" s="394" t="e">
        <f ca="1">IF(NOT(OFFSET(Data!E1341,0,MATCH('Delta Beta'!$C$5,Data!$B$4:$Q$4,0)-3)=""),OFFSET(Data!E1341,0,MATCH('Delta Beta'!$C$5,Data!$B$4:$Q$4,0)-3),#N/A)-$C$8/250</f>
        <v>#N/A</v>
      </c>
      <c r="M1338" s="394" t="e">
        <f ca="1">IF(NOT(OFFSET(Data!E1341,0,MATCH('Delta Beta'!$C$5,Data!$B$4:$Q$4,0)-1)=""),OFFSET(Data!E1341,0,MATCH('Delta Beta'!$C$5,Data!$B$4:$Q$4,0)-1),#N/A)-$C$8/250</f>
        <v>#N/A</v>
      </c>
      <c r="N1338" s="395"/>
      <c r="R1338" s="391"/>
    </row>
    <row r="1339" spans="12:18">
      <c r="L1339" s="394" t="e">
        <f ca="1">IF(NOT(OFFSET(Data!E1342,0,MATCH('Delta Beta'!$C$5,Data!$B$4:$Q$4,0)-3)=""),OFFSET(Data!E1342,0,MATCH('Delta Beta'!$C$5,Data!$B$4:$Q$4,0)-3),#N/A)-$C$8/250</f>
        <v>#N/A</v>
      </c>
      <c r="M1339" s="394" t="e">
        <f ca="1">IF(NOT(OFFSET(Data!E1342,0,MATCH('Delta Beta'!$C$5,Data!$B$4:$Q$4,0)-1)=""),OFFSET(Data!E1342,0,MATCH('Delta Beta'!$C$5,Data!$B$4:$Q$4,0)-1),#N/A)-$C$8/250</f>
        <v>#N/A</v>
      </c>
      <c r="N1339" s="395"/>
      <c r="R1339" s="391"/>
    </row>
    <row r="1340" spans="12:18">
      <c r="L1340" s="394" t="e">
        <f ca="1">IF(NOT(OFFSET(Data!E1343,0,MATCH('Delta Beta'!$C$5,Data!$B$4:$Q$4,0)-3)=""),OFFSET(Data!E1343,0,MATCH('Delta Beta'!$C$5,Data!$B$4:$Q$4,0)-3),#N/A)-$C$8/250</f>
        <v>#N/A</v>
      </c>
      <c r="M1340" s="394" t="e">
        <f ca="1">IF(NOT(OFFSET(Data!E1343,0,MATCH('Delta Beta'!$C$5,Data!$B$4:$Q$4,0)-1)=""),OFFSET(Data!E1343,0,MATCH('Delta Beta'!$C$5,Data!$B$4:$Q$4,0)-1),#N/A)-$C$8/250</f>
        <v>#N/A</v>
      </c>
      <c r="N1340" s="395"/>
      <c r="R1340" s="391"/>
    </row>
    <row r="1341" spans="12:18">
      <c r="L1341" s="394" t="e">
        <f ca="1">IF(NOT(OFFSET(Data!E1344,0,MATCH('Delta Beta'!$C$5,Data!$B$4:$Q$4,0)-3)=""),OFFSET(Data!E1344,0,MATCH('Delta Beta'!$C$5,Data!$B$4:$Q$4,0)-3),#N/A)-$C$8/250</f>
        <v>#N/A</v>
      </c>
      <c r="M1341" s="394" t="e">
        <f ca="1">IF(NOT(OFFSET(Data!E1344,0,MATCH('Delta Beta'!$C$5,Data!$B$4:$Q$4,0)-1)=""),OFFSET(Data!E1344,0,MATCH('Delta Beta'!$C$5,Data!$B$4:$Q$4,0)-1),#N/A)-$C$8/250</f>
        <v>#N/A</v>
      </c>
      <c r="N1341" s="395"/>
      <c r="R1341" s="391"/>
    </row>
    <row r="1342" spans="12:18">
      <c r="L1342" s="394" t="e">
        <f ca="1">IF(NOT(OFFSET(Data!E1345,0,MATCH('Delta Beta'!$C$5,Data!$B$4:$Q$4,0)-3)=""),OFFSET(Data!E1345,0,MATCH('Delta Beta'!$C$5,Data!$B$4:$Q$4,0)-3),#N/A)-$C$8/250</f>
        <v>#N/A</v>
      </c>
      <c r="M1342" s="394" t="e">
        <f ca="1">IF(NOT(OFFSET(Data!E1345,0,MATCH('Delta Beta'!$C$5,Data!$B$4:$Q$4,0)-1)=""),OFFSET(Data!E1345,0,MATCH('Delta Beta'!$C$5,Data!$B$4:$Q$4,0)-1),#N/A)-$C$8/250</f>
        <v>#N/A</v>
      </c>
      <c r="N1342" s="395"/>
      <c r="R1342" s="391"/>
    </row>
    <row r="1343" spans="12:18">
      <c r="L1343" s="394" t="e">
        <f ca="1">IF(NOT(OFFSET(Data!E1346,0,MATCH('Delta Beta'!$C$5,Data!$B$4:$Q$4,0)-3)=""),OFFSET(Data!E1346,0,MATCH('Delta Beta'!$C$5,Data!$B$4:$Q$4,0)-3),#N/A)-$C$8/250</f>
        <v>#N/A</v>
      </c>
      <c r="M1343" s="394" t="e">
        <f ca="1">IF(NOT(OFFSET(Data!E1346,0,MATCH('Delta Beta'!$C$5,Data!$B$4:$Q$4,0)-1)=""),OFFSET(Data!E1346,0,MATCH('Delta Beta'!$C$5,Data!$B$4:$Q$4,0)-1),#N/A)-$C$8/250</f>
        <v>#N/A</v>
      </c>
      <c r="N1343" s="395"/>
      <c r="R1343" s="391"/>
    </row>
    <row r="1344" spans="12:18">
      <c r="L1344" s="394" t="e">
        <f ca="1">IF(NOT(OFFSET(Data!E1347,0,MATCH('Delta Beta'!$C$5,Data!$B$4:$Q$4,0)-3)=""),OFFSET(Data!E1347,0,MATCH('Delta Beta'!$C$5,Data!$B$4:$Q$4,0)-3),#N/A)-$C$8/250</f>
        <v>#N/A</v>
      </c>
      <c r="M1344" s="394" t="e">
        <f ca="1">IF(NOT(OFFSET(Data!E1347,0,MATCH('Delta Beta'!$C$5,Data!$B$4:$Q$4,0)-1)=""),OFFSET(Data!E1347,0,MATCH('Delta Beta'!$C$5,Data!$B$4:$Q$4,0)-1),#N/A)-$C$8/250</f>
        <v>#N/A</v>
      </c>
      <c r="N1344" s="395"/>
      <c r="R1344" s="391"/>
    </row>
    <row r="1345" spans="12:18">
      <c r="L1345" s="394" t="e">
        <f ca="1">IF(NOT(OFFSET(Data!E1348,0,MATCH('Delta Beta'!$C$5,Data!$B$4:$Q$4,0)-3)=""),OFFSET(Data!E1348,0,MATCH('Delta Beta'!$C$5,Data!$B$4:$Q$4,0)-3),#N/A)-$C$8/250</f>
        <v>#N/A</v>
      </c>
      <c r="M1345" s="394" t="e">
        <f ca="1">IF(NOT(OFFSET(Data!E1348,0,MATCH('Delta Beta'!$C$5,Data!$B$4:$Q$4,0)-1)=""),OFFSET(Data!E1348,0,MATCH('Delta Beta'!$C$5,Data!$B$4:$Q$4,0)-1),#N/A)-$C$8/250</f>
        <v>#N/A</v>
      </c>
      <c r="N1345" s="395"/>
      <c r="R1345" s="391"/>
    </row>
    <row r="1346" spans="12:18">
      <c r="L1346" s="394" t="e">
        <f ca="1">IF(NOT(OFFSET(Data!E1349,0,MATCH('Delta Beta'!$C$5,Data!$B$4:$Q$4,0)-3)=""),OFFSET(Data!E1349,0,MATCH('Delta Beta'!$C$5,Data!$B$4:$Q$4,0)-3),#N/A)-$C$8/250</f>
        <v>#N/A</v>
      </c>
      <c r="M1346" s="394" t="e">
        <f ca="1">IF(NOT(OFFSET(Data!E1349,0,MATCH('Delta Beta'!$C$5,Data!$B$4:$Q$4,0)-1)=""),OFFSET(Data!E1349,0,MATCH('Delta Beta'!$C$5,Data!$B$4:$Q$4,0)-1),#N/A)-$C$8/250</f>
        <v>#N/A</v>
      </c>
      <c r="N1346" s="395"/>
      <c r="R1346" s="391"/>
    </row>
    <row r="1347" spans="12:18">
      <c r="L1347" s="394" t="e">
        <f ca="1">IF(NOT(OFFSET(Data!E1350,0,MATCH('Delta Beta'!$C$5,Data!$B$4:$Q$4,0)-3)=""),OFFSET(Data!E1350,0,MATCH('Delta Beta'!$C$5,Data!$B$4:$Q$4,0)-3),#N/A)-$C$8/250</f>
        <v>#N/A</v>
      </c>
      <c r="M1347" s="394" t="e">
        <f ca="1">IF(NOT(OFFSET(Data!E1350,0,MATCH('Delta Beta'!$C$5,Data!$B$4:$Q$4,0)-1)=""),OFFSET(Data!E1350,0,MATCH('Delta Beta'!$C$5,Data!$B$4:$Q$4,0)-1),#N/A)-$C$8/250</f>
        <v>#N/A</v>
      </c>
      <c r="N1347" s="395"/>
      <c r="R1347" s="391"/>
    </row>
    <row r="1348" spans="12:18">
      <c r="L1348" s="394" t="e">
        <f ca="1">IF(NOT(OFFSET(Data!E1351,0,MATCH('Delta Beta'!$C$5,Data!$B$4:$Q$4,0)-3)=""),OFFSET(Data!E1351,0,MATCH('Delta Beta'!$C$5,Data!$B$4:$Q$4,0)-3),#N/A)-$C$8/250</f>
        <v>#N/A</v>
      </c>
      <c r="M1348" s="394" t="e">
        <f ca="1">IF(NOT(OFFSET(Data!E1351,0,MATCH('Delta Beta'!$C$5,Data!$B$4:$Q$4,0)-1)=""),OFFSET(Data!E1351,0,MATCH('Delta Beta'!$C$5,Data!$B$4:$Q$4,0)-1),#N/A)-$C$8/250</f>
        <v>#N/A</v>
      </c>
      <c r="N1348" s="395"/>
      <c r="R1348" s="391"/>
    </row>
    <row r="1349" spans="12:18">
      <c r="L1349" s="394" t="e">
        <f ca="1">IF(NOT(OFFSET(Data!E1352,0,MATCH('Delta Beta'!$C$5,Data!$B$4:$Q$4,0)-3)=""),OFFSET(Data!E1352,0,MATCH('Delta Beta'!$C$5,Data!$B$4:$Q$4,0)-3),#N/A)-$C$8/250</f>
        <v>#N/A</v>
      </c>
      <c r="M1349" s="394" t="e">
        <f ca="1">IF(NOT(OFFSET(Data!E1352,0,MATCH('Delta Beta'!$C$5,Data!$B$4:$Q$4,0)-1)=""),OFFSET(Data!E1352,0,MATCH('Delta Beta'!$C$5,Data!$B$4:$Q$4,0)-1),#N/A)-$C$8/250</f>
        <v>#N/A</v>
      </c>
      <c r="N1349" s="395"/>
      <c r="R1349" s="391"/>
    </row>
    <row r="1350" spans="12:18">
      <c r="L1350" s="394" t="e">
        <f ca="1">IF(NOT(OFFSET(Data!E1353,0,MATCH('Delta Beta'!$C$5,Data!$B$4:$Q$4,0)-3)=""),OFFSET(Data!E1353,0,MATCH('Delta Beta'!$C$5,Data!$B$4:$Q$4,0)-3),#N/A)-$C$8/250</f>
        <v>#N/A</v>
      </c>
      <c r="M1350" s="394" t="e">
        <f ca="1">IF(NOT(OFFSET(Data!E1353,0,MATCH('Delta Beta'!$C$5,Data!$B$4:$Q$4,0)-1)=""),OFFSET(Data!E1353,0,MATCH('Delta Beta'!$C$5,Data!$B$4:$Q$4,0)-1),#N/A)-$C$8/250</f>
        <v>#N/A</v>
      </c>
      <c r="N1350" s="395"/>
      <c r="R1350" s="391"/>
    </row>
    <row r="1351" spans="12:18">
      <c r="L1351" s="394" t="e">
        <f ca="1">IF(NOT(OFFSET(Data!E1354,0,MATCH('Delta Beta'!$C$5,Data!$B$4:$Q$4,0)-3)=""),OFFSET(Data!E1354,0,MATCH('Delta Beta'!$C$5,Data!$B$4:$Q$4,0)-3),#N/A)-$C$8/250</f>
        <v>#N/A</v>
      </c>
      <c r="M1351" s="394" t="e">
        <f ca="1">IF(NOT(OFFSET(Data!E1354,0,MATCH('Delta Beta'!$C$5,Data!$B$4:$Q$4,0)-1)=""),OFFSET(Data!E1354,0,MATCH('Delta Beta'!$C$5,Data!$B$4:$Q$4,0)-1),#N/A)-$C$8/250</f>
        <v>#N/A</v>
      </c>
      <c r="N1351" s="395"/>
      <c r="R1351" s="391"/>
    </row>
    <row r="1352" spans="12:18">
      <c r="L1352" s="394" t="e">
        <f ca="1">IF(NOT(OFFSET(Data!E1355,0,MATCH('Delta Beta'!$C$5,Data!$B$4:$Q$4,0)-3)=""),OFFSET(Data!E1355,0,MATCH('Delta Beta'!$C$5,Data!$B$4:$Q$4,0)-3),#N/A)-$C$8/250</f>
        <v>#N/A</v>
      </c>
      <c r="M1352" s="394" t="e">
        <f ca="1">IF(NOT(OFFSET(Data!E1355,0,MATCH('Delta Beta'!$C$5,Data!$B$4:$Q$4,0)-1)=""),OFFSET(Data!E1355,0,MATCH('Delta Beta'!$C$5,Data!$B$4:$Q$4,0)-1),#N/A)-$C$8/250</f>
        <v>#N/A</v>
      </c>
      <c r="N1352" s="395"/>
      <c r="R1352" s="391"/>
    </row>
    <row r="1353" spans="12:18">
      <c r="L1353" s="394" t="e">
        <f ca="1">IF(NOT(OFFSET(Data!E1356,0,MATCH('Delta Beta'!$C$5,Data!$B$4:$Q$4,0)-3)=""),OFFSET(Data!E1356,0,MATCH('Delta Beta'!$C$5,Data!$B$4:$Q$4,0)-3),#N/A)-$C$8/250</f>
        <v>#N/A</v>
      </c>
      <c r="M1353" s="394" t="e">
        <f ca="1">IF(NOT(OFFSET(Data!E1356,0,MATCH('Delta Beta'!$C$5,Data!$B$4:$Q$4,0)-1)=""),OFFSET(Data!E1356,0,MATCH('Delta Beta'!$C$5,Data!$B$4:$Q$4,0)-1),#N/A)-$C$8/250</f>
        <v>#N/A</v>
      </c>
      <c r="N1353" s="395"/>
      <c r="R1353" s="391"/>
    </row>
    <row r="1354" spans="12:18">
      <c r="L1354" s="394" t="e">
        <f ca="1">IF(NOT(OFFSET(Data!E1357,0,MATCH('Delta Beta'!$C$5,Data!$B$4:$Q$4,0)-3)=""),OFFSET(Data!E1357,0,MATCH('Delta Beta'!$C$5,Data!$B$4:$Q$4,0)-3),#N/A)-$C$8/250</f>
        <v>#N/A</v>
      </c>
      <c r="M1354" s="394" t="e">
        <f ca="1">IF(NOT(OFFSET(Data!E1357,0,MATCH('Delta Beta'!$C$5,Data!$B$4:$Q$4,0)-1)=""),OFFSET(Data!E1357,0,MATCH('Delta Beta'!$C$5,Data!$B$4:$Q$4,0)-1),#N/A)-$C$8/250</f>
        <v>#N/A</v>
      </c>
      <c r="N1354" s="395"/>
      <c r="R1354" s="391"/>
    </row>
    <row r="1355" spans="12:18">
      <c r="L1355" s="394" t="e">
        <f ca="1">IF(NOT(OFFSET(Data!E1358,0,MATCH('Delta Beta'!$C$5,Data!$B$4:$Q$4,0)-3)=""),OFFSET(Data!E1358,0,MATCH('Delta Beta'!$C$5,Data!$B$4:$Q$4,0)-3),#N/A)-$C$8/250</f>
        <v>#N/A</v>
      </c>
      <c r="M1355" s="394" t="e">
        <f ca="1">IF(NOT(OFFSET(Data!E1358,0,MATCH('Delta Beta'!$C$5,Data!$B$4:$Q$4,0)-1)=""),OFFSET(Data!E1358,0,MATCH('Delta Beta'!$C$5,Data!$B$4:$Q$4,0)-1),#N/A)-$C$8/250</f>
        <v>#N/A</v>
      </c>
      <c r="N1355" s="395"/>
      <c r="R1355" s="391"/>
    </row>
    <row r="1356" spans="12:18">
      <c r="L1356" s="394" t="e">
        <f ca="1">IF(NOT(OFFSET(Data!E1359,0,MATCH('Delta Beta'!$C$5,Data!$B$4:$Q$4,0)-3)=""),OFFSET(Data!E1359,0,MATCH('Delta Beta'!$C$5,Data!$B$4:$Q$4,0)-3),#N/A)-$C$8/250</f>
        <v>#N/A</v>
      </c>
      <c r="M1356" s="394" t="e">
        <f ca="1">IF(NOT(OFFSET(Data!E1359,0,MATCH('Delta Beta'!$C$5,Data!$B$4:$Q$4,0)-1)=""),OFFSET(Data!E1359,0,MATCH('Delta Beta'!$C$5,Data!$B$4:$Q$4,0)-1),#N/A)-$C$8/250</f>
        <v>#N/A</v>
      </c>
      <c r="N1356" s="395"/>
      <c r="R1356" s="391"/>
    </row>
    <row r="1357" spans="12:18">
      <c r="L1357" s="394" t="e">
        <f ca="1">IF(NOT(OFFSET(Data!E1360,0,MATCH('Delta Beta'!$C$5,Data!$B$4:$Q$4,0)-3)=""),OFFSET(Data!E1360,0,MATCH('Delta Beta'!$C$5,Data!$B$4:$Q$4,0)-3),#N/A)-$C$8/250</f>
        <v>#N/A</v>
      </c>
      <c r="M1357" s="394" t="e">
        <f ca="1">IF(NOT(OFFSET(Data!E1360,0,MATCH('Delta Beta'!$C$5,Data!$B$4:$Q$4,0)-1)=""),OFFSET(Data!E1360,0,MATCH('Delta Beta'!$C$5,Data!$B$4:$Q$4,0)-1),#N/A)-$C$8/250</f>
        <v>#N/A</v>
      </c>
      <c r="N1357" s="395"/>
      <c r="R1357" s="391"/>
    </row>
    <row r="1358" spans="12:18">
      <c r="L1358" s="394" t="e">
        <f ca="1">IF(NOT(OFFSET(Data!E1361,0,MATCH('Delta Beta'!$C$5,Data!$B$4:$Q$4,0)-3)=""),OFFSET(Data!E1361,0,MATCH('Delta Beta'!$C$5,Data!$B$4:$Q$4,0)-3),#N/A)-$C$8/250</f>
        <v>#N/A</v>
      </c>
      <c r="M1358" s="394" t="e">
        <f ca="1">IF(NOT(OFFSET(Data!E1361,0,MATCH('Delta Beta'!$C$5,Data!$B$4:$Q$4,0)-1)=""),OFFSET(Data!E1361,0,MATCH('Delta Beta'!$C$5,Data!$B$4:$Q$4,0)-1),#N/A)-$C$8/250</f>
        <v>#N/A</v>
      </c>
      <c r="N1358" s="395"/>
      <c r="R1358" s="391"/>
    </row>
    <row r="1359" spans="12:18">
      <c r="L1359" s="394" t="e">
        <f ca="1">IF(NOT(OFFSET(Data!E1362,0,MATCH('Delta Beta'!$C$5,Data!$B$4:$Q$4,0)-3)=""),OFFSET(Data!E1362,0,MATCH('Delta Beta'!$C$5,Data!$B$4:$Q$4,0)-3),#N/A)-$C$8/250</f>
        <v>#N/A</v>
      </c>
      <c r="M1359" s="394" t="e">
        <f ca="1">IF(NOT(OFFSET(Data!E1362,0,MATCH('Delta Beta'!$C$5,Data!$B$4:$Q$4,0)-1)=""),OFFSET(Data!E1362,0,MATCH('Delta Beta'!$C$5,Data!$B$4:$Q$4,0)-1),#N/A)-$C$8/250</f>
        <v>#N/A</v>
      </c>
      <c r="N1359" s="395"/>
      <c r="R1359" s="391"/>
    </row>
    <row r="1360" spans="12:18">
      <c r="L1360" s="394" t="e">
        <f ca="1">IF(NOT(OFFSET(Data!E1363,0,MATCH('Delta Beta'!$C$5,Data!$B$4:$Q$4,0)-3)=""),OFFSET(Data!E1363,0,MATCH('Delta Beta'!$C$5,Data!$B$4:$Q$4,0)-3),#N/A)-$C$8/250</f>
        <v>#N/A</v>
      </c>
      <c r="M1360" s="394" t="e">
        <f ca="1">IF(NOT(OFFSET(Data!E1363,0,MATCH('Delta Beta'!$C$5,Data!$B$4:$Q$4,0)-1)=""),OFFSET(Data!E1363,0,MATCH('Delta Beta'!$C$5,Data!$B$4:$Q$4,0)-1),#N/A)-$C$8/250</f>
        <v>#N/A</v>
      </c>
      <c r="N1360" s="395"/>
      <c r="R1360" s="391"/>
    </row>
    <row r="1361" spans="12:18">
      <c r="L1361" s="394" t="e">
        <f ca="1">IF(NOT(OFFSET(Data!E1364,0,MATCH('Delta Beta'!$C$5,Data!$B$4:$Q$4,0)-3)=""),OFFSET(Data!E1364,0,MATCH('Delta Beta'!$C$5,Data!$B$4:$Q$4,0)-3),#N/A)-$C$8/250</f>
        <v>#N/A</v>
      </c>
      <c r="M1361" s="394" t="e">
        <f ca="1">IF(NOT(OFFSET(Data!E1364,0,MATCH('Delta Beta'!$C$5,Data!$B$4:$Q$4,0)-1)=""),OFFSET(Data!E1364,0,MATCH('Delta Beta'!$C$5,Data!$B$4:$Q$4,0)-1),#N/A)-$C$8/250</f>
        <v>#N/A</v>
      </c>
      <c r="N1361" s="395"/>
      <c r="R1361" s="391"/>
    </row>
    <row r="1362" spans="12:18">
      <c r="L1362" s="394" t="e">
        <f ca="1">IF(NOT(OFFSET(Data!E1365,0,MATCH('Delta Beta'!$C$5,Data!$B$4:$Q$4,0)-3)=""),OFFSET(Data!E1365,0,MATCH('Delta Beta'!$C$5,Data!$B$4:$Q$4,0)-3),#N/A)-$C$8/250</f>
        <v>#N/A</v>
      </c>
      <c r="M1362" s="394" t="e">
        <f ca="1">IF(NOT(OFFSET(Data!E1365,0,MATCH('Delta Beta'!$C$5,Data!$B$4:$Q$4,0)-1)=""),OFFSET(Data!E1365,0,MATCH('Delta Beta'!$C$5,Data!$B$4:$Q$4,0)-1),#N/A)-$C$8/250</f>
        <v>#N/A</v>
      </c>
      <c r="N1362" s="395"/>
      <c r="R1362" s="391"/>
    </row>
    <row r="1363" spans="12:18">
      <c r="L1363" s="394" t="e">
        <f ca="1">IF(NOT(OFFSET(Data!E1366,0,MATCH('Delta Beta'!$C$5,Data!$B$4:$Q$4,0)-3)=""),OFFSET(Data!E1366,0,MATCH('Delta Beta'!$C$5,Data!$B$4:$Q$4,0)-3),#N/A)-$C$8/250</f>
        <v>#N/A</v>
      </c>
      <c r="M1363" s="394" t="e">
        <f ca="1">IF(NOT(OFFSET(Data!E1366,0,MATCH('Delta Beta'!$C$5,Data!$B$4:$Q$4,0)-1)=""),OFFSET(Data!E1366,0,MATCH('Delta Beta'!$C$5,Data!$B$4:$Q$4,0)-1),#N/A)-$C$8/250</f>
        <v>#N/A</v>
      </c>
      <c r="N1363" s="395"/>
      <c r="R1363" s="391"/>
    </row>
    <row r="1364" spans="12:18">
      <c r="L1364" s="394" t="e">
        <f ca="1">IF(NOT(OFFSET(Data!E1367,0,MATCH('Delta Beta'!$C$5,Data!$B$4:$Q$4,0)-3)=""),OFFSET(Data!E1367,0,MATCH('Delta Beta'!$C$5,Data!$B$4:$Q$4,0)-3),#N/A)-$C$8/250</f>
        <v>#N/A</v>
      </c>
      <c r="M1364" s="394" t="e">
        <f ca="1">IF(NOT(OFFSET(Data!E1367,0,MATCH('Delta Beta'!$C$5,Data!$B$4:$Q$4,0)-1)=""),OFFSET(Data!E1367,0,MATCH('Delta Beta'!$C$5,Data!$B$4:$Q$4,0)-1),#N/A)-$C$8/250</f>
        <v>#N/A</v>
      </c>
      <c r="N1364" s="395"/>
      <c r="R1364" s="391"/>
    </row>
    <row r="1365" spans="12:18">
      <c r="L1365" s="394" t="e">
        <f ca="1">IF(NOT(OFFSET(Data!E1368,0,MATCH('Delta Beta'!$C$5,Data!$B$4:$Q$4,0)-3)=""),OFFSET(Data!E1368,0,MATCH('Delta Beta'!$C$5,Data!$B$4:$Q$4,0)-3),#N/A)-$C$8/250</f>
        <v>#N/A</v>
      </c>
      <c r="M1365" s="394" t="e">
        <f ca="1">IF(NOT(OFFSET(Data!E1368,0,MATCH('Delta Beta'!$C$5,Data!$B$4:$Q$4,0)-1)=""),OFFSET(Data!E1368,0,MATCH('Delta Beta'!$C$5,Data!$B$4:$Q$4,0)-1),#N/A)-$C$8/250</f>
        <v>#N/A</v>
      </c>
      <c r="N1365" s="395"/>
      <c r="R1365" s="391"/>
    </row>
    <row r="1366" spans="12:18">
      <c r="L1366" s="394" t="e">
        <f ca="1">IF(NOT(OFFSET(Data!E1369,0,MATCH('Delta Beta'!$C$5,Data!$B$4:$Q$4,0)-3)=""),OFFSET(Data!E1369,0,MATCH('Delta Beta'!$C$5,Data!$B$4:$Q$4,0)-3),#N/A)-$C$8/250</f>
        <v>#N/A</v>
      </c>
      <c r="M1366" s="394" t="e">
        <f ca="1">IF(NOT(OFFSET(Data!E1369,0,MATCH('Delta Beta'!$C$5,Data!$B$4:$Q$4,0)-1)=""),OFFSET(Data!E1369,0,MATCH('Delta Beta'!$C$5,Data!$B$4:$Q$4,0)-1),#N/A)-$C$8/250</f>
        <v>#N/A</v>
      </c>
      <c r="N1366" s="395"/>
      <c r="R1366" s="391"/>
    </row>
    <row r="1367" spans="12:18">
      <c r="L1367" s="394" t="e">
        <f ca="1">IF(NOT(OFFSET(Data!E1370,0,MATCH('Delta Beta'!$C$5,Data!$B$4:$Q$4,0)-3)=""),OFFSET(Data!E1370,0,MATCH('Delta Beta'!$C$5,Data!$B$4:$Q$4,0)-3),#N/A)-$C$8/250</f>
        <v>#N/A</v>
      </c>
      <c r="M1367" s="394" t="e">
        <f ca="1">IF(NOT(OFFSET(Data!E1370,0,MATCH('Delta Beta'!$C$5,Data!$B$4:$Q$4,0)-1)=""),OFFSET(Data!E1370,0,MATCH('Delta Beta'!$C$5,Data!$B$4:$Q$4,0)-1),#N/A)-$C$8/250</f>
        <v>#N/A</v>
      </c>
      <c r="N1367" s="395"/>
      <c r="R1367" s="391"/>
    </row>
    <row r="1368" spans="12:18">
      <c r="L1368" s="394" t="e">
        <f ca="1">IF(NOT(OFFSET(Data!E1371,0,MATCH('Delta Beta'!$C$5,Data!$B$4:$Q$4,0)-3)=""),OFFSET(Data!E1371,0,MATCH('Delta Beta'!$C$5,Data!$B$4:$Q$4,0)-3),#N/A)-$C$8/250</f>
        <v>#N/A</v>
      </c>
      <c r="M1368" s="394" t="e">
        <f ca="1">IF(NOT(OFFSET(Data!E1371,0,MATCH('Delta Beta'!$C$5,Data!$B$4:$Q$4,0)-1)=""),OFFSET(Data!E1371,0,MATCH('Delta Beta'!$C$5,Data!$B$4:$Q$4,0)-1),#N/A)-$C$8/250</f>
        <v>#N/A</v>
      </c>
      <c r="N1368" s="395"/>
      <c r="R1368" s="391"/>
    </row>
    <row r="1369" spans="12:18">
      <c r="L1369" s="394" t="e">
        <f ca="1">IF(NOT(OFFSET(Data!E1372,0,MATCH('Delta Beta'!$C$5,Data!$B$4:$Q$4,0)-3)=""),OFFSET(Data!E1372,0,MATCH('Delta Beta'!$C$5,Data!$B$4:$Q$4,0)-3),#N/A)-$C$8/250</f>
        <v>#N/A</v>
      </c>
      <c r="M1369" s="394" t="e">
        <f ca="1">IF(NOT(OFFSET(Data!E1372,0,MATCH('Delta Beta'!$C$5,Data!$B$4:$Q$4,0)-1)=""),OFFSET(Data!E1372,0,MATCH('Delta Beta'!$C$5,Data!$B$4:$Q$4,0)-1),#N/A)-$C$8/250</f>
        <v>#N/A</v>
      </c>
      <c r="N1369" s="395"/>
      <c r="R1369" s="391"/>
    </row>
    <row r="1370" spans="12:18">
      <c r="L1370" s="394" t="e">
        <f ca="1">IF(NOT(OFFSET(Data!E1373,0,MATCH('Delta Beta'!$C$5,Data!$B$4:$Q$4,0)-3)=""),OFFSET(Data!E1373,0,MATCH('Delta Beta'!$C$5,Data!$B$4:$Q$4,0)-3),#N/A)-$C$8/250</f>
        <v>#N/A</v>
      </c>
      <c r="M1370" s="394" t="e">
        <f ca="1">IF(NOT(OFFSET(Data!E1373,0,MATCH('Delta Beta'!$C$5,Data!$B$4:$Q$4,0)-1)=""),OFFSET(Data!E1373,0,MATCH('Delta Beta'!$C$5,Data!$B$4:$Q$4,0)-1),#N/A)-$C$8/250</f>
        <v>#N/A</v>
      </c>
      <c r="N1370" s="395"/>
      <c r="R1370" s="391"/>
    </row>
    <row r="1371" spans="12:18">
      <c r="L1371" s="394" t="e">
        <f ca="1">IF(NOT(OFFSET(Data!E1374,0,MATCH('Delta Beta'!$C$5,Data!$B$4:$Q$4,0)-3)=""),OFFSET(Data!E1374,0,MATCH('Delta Beta'!$C$5,Data!$B$4:$Q$4,0)-3),#N/A)-$C$8/250</f>
        <v>#N/A</v>
      </c>
      <c r="M1371" s="394" t="e">
        <f ca="1">IF(NOT(OFFSET(Data!E1374,0,MATCH('Delta Beta'!$C$5,Data!$B$4:$Q$4,0)-1)=""),OFFSET(Data!E1374,0,MATCH('Delta Beta'!$C$5,Data!$B$4:$Q$4,0)-1),#N/A)-$C$8/250</f>
        <v>#N/A</v>
      </c>
      <c r="N1371" s="395"/>
      <c r="R1371" s="391"/>
    </row>
    <row r="1372" spans="12:18">
      <c r="L1372" s="394" t="e">
        <f ca="1">IF(NOT(OFFSET(Data!E1375,0,MATCH('Delta Beta'!$C$5,Data!$B$4:$Q$4,0)-3)=""),OFFSET(Data!E1375,0,MATCH('Delta Beta'!$C$5,Data!$B$4:$Q$4,0)-3),#N/A)-$C$8/250</f>
        <v>#N/A</v>
      </c>
      <c r="M1372" s="394" t="e">
        <f ca="1">IF(NOT(OFFSET(Data!E1375,0,MATCH('Delta Beta'!$C$5,Data!$B$4:$Q$4,0)-1)=""),OFFSET(Data!E1375,0,MATCH('Delta Beta'!$C$5,Data!$B$4:$Q$4,0)-1),#N/A)-$C$8/250</f>
        <v>#N/A</v>
      </c>
      <c r="N1372" s="395"/>
      <c r="R1372" s="391"/>
    </row>
    <row r="1373" spans="12:18">
      <c r="L1373" s="394" t="e">
        <f ca="1">IF(NOT(OFFSET(Data!E1376,0,MATCH('Delta Beta'!$C$5,Data!$B$4:$Q$4,0)-3)=""),OFFSET(Data!E1376,0,MATCH('Delta Beta'!$C$5,Data!$B$4:$Q$4,0)-3),#N/A)-$C$8/250</f>
        <v>#N/A</v>
      </c>
      <c r="M1373" s="394" t="e">
        <f ca="1">IF(NOT(OFFSET(Data!E1376,0,MATCH('Delta Beta'!$C$5,Data!$B$4:$Q$4,0)-1)=""),OFFSET(Data!E1376,0,MATCH('Delta Beta'!$C$5,Data!$B$4:$Q$4,0)-1),#N/A)-$C$8/250</f>
        <v>#N/A</v>
      </c>
      <c r="N1373" s="395"/>
      <c r="R1373" s="391"/>
    </row>
    <row r="1374" spans="12:18">
      <c r="L1374" s="394" t="e">
        <f ca="1">IF(NOT(OFFSET(Data!E1377,0,MATCH('Delta Beta'!$C$5,Data!$B$4:$Q$4,0)-3)=""),OFFSET(Data!E1377,0,MATCH('Delta Beta'!$C$5,Data!$B$4:$Q$4,0)-3),#N/A)-$C$8/250</f>
        <v>#N/A</v>
      </c>
      <c r="M1374" s="394" t="e">
        <f ca="1">IF(NOT(OFFSET(Data!E1377,0,MATCH('Delta Beta'!$C$5,Data!$B$4:$Q$4,0)-1)=""),OFFSET(Data!E1377,0,MATCH('Delta Beta'!$C$5,Data!$B$4:$Q$4,0)-1),#N/A)-$C$8/250</f>
        <v>#N/A</v>
      </c>
      <c r="N1374" s="395"/>
      <c r="R1374" s="391"/>
    </row>
    <row r="1375" spans="12:18">
      <c r="L1375" s="394" t="e">
        <f ca="1">IF(NOT(OFFSET(Data!E1378,0,MATCH('Delta Beta'!$C$5,Data!$B$4:$Q$4,0)-3)=""),OFFSET(Data!E1378,0,MATCH('Delta Beta'!$C$5,Data!$B$4:$Q$4,0)-3),#N/A)-$C$8/250</f>
        <v>#N/A</v>
      </c>
      <c r="M1375" s="394" t="e">
        <f ca="1">IF(NOT(OFFSET(Data!E1378,0,MATCH('Delta Beta'!$C$5,Data!$B$4:$Q$4,0)-1)=""),OFFSET(Data!E1378,0,MATCH('Delta Beta'!$C$5,Data!$B$4:$Q$4,0)-1),#N/A)-$C$8/250</f>
        <v>#N/A</v>
      </c>
      <c r="N1375" s="395"/>
      <c r="R1375" s="391"/>
    </row>
    <row r="1376" spans="12:18">
      <c r="L1376" s="394" t="e">
        <f ca="1">IF(NOT(OFFSET(Data!E1379,0,MATCH('Delta Beta'!$C$5,Data!$B$4:$Q$4,0)-3)=""),OFFSET(Data!E1379,0,MATCH('Delta Beta'!$C$5,Data!$B$4:$Q$4,0)-3),#N/A)-$C$8/250</f>
        <v>#N/A</v>
      </c>
      <c r="M1376" s="394" t="e">
        <f ca="1">IF(NOT(OFFSET(Data!E1379,0,MATCH('Delta Beta'!$C$5,Data!$B$4:$Q$4,0)-1)=""),OFFSET(Data!E1379,0,MATCH('Delta Beta'!$C$5,Data!$B$4:$Q$4,0)-1),#N/A)-$C$8/250</f>
        <v>#N/A</v>
      </c>
      <c r="N1376" s="395"/>
      <c r="R1376" s="391"/>
    </row>
    <row r="1377" spans="12:18">
      <c r="L1377" s="394" t="e">
        <f ca="1">IF(NOT(OFFSET(Data!E1380,0,MATCH('Delta Beta'!$C$5,Data!$B$4:$Q$4,0)-3)=""),OFFSET(Data!E1380,0,MATCH('Delta Beta'!$C$5,Data!$B$4:$Q$4,0)-3),#N/A)-$C$8/250</f>
        <v>#N/A</v>
      </c>
      <c r="M1377" s="394" t="e">
        <f ca="1">IF(NOT(OFFSET(Data!E1380,0,MATCH('Delta Beta'!$C$5,Data!$B$4:$Q$4,0)-1)=""),OFFSET(Data!E1380,0,MATCH('Delta Beta'!$C$5,Data!$B$4:$Q$4,0)-1),#N/A)-$C$8/250</f>
        <v>#N/A</v>
      </c>
      <c r="N1377" s="395"/>
      <c r="R1377" s="391"/>
    </row>
    <row r="1378" spans="12:18">
      <c r="L1378" s="394" t="e">
        <f ca="1">IF(NOT(OFFSET(Data!E1381,0,MATCH('Delta Beta'!$C$5,Data!$B$4:$Q$4,0)-3)=""),OFFSET(Data!E1381,0,MATCH('Delta Beta'!$C$5,Data!$B$4:$Q$4,0)-3),#N/A)-$C$8/250</f>
        <v>#N/A</v>
      </c>
      <c r="M1378" s="394" t="e">
        <f ca="1">IF(NOT(OFFSET(Data!E1381,0,MATCH('Delta Beta'!$C$5,Data!$B$4:$Q$4,0)-1)=""),OFFSET(Data!E1381,0,MATCH('Delta Beta'!$C$5,Data!$B$4:$Q$4,0)-1),#N/A)-$C$8/250</f>
        <v>#N/A</v>
      </c>
      <c r="N1378" s="395"/>
      <c r="R1378" s="391"/>
    </row>
    <row r="1379" spans="12:18">
      <c r="L1379" s="394" t="e">
        <f ca="1">IF(NOT(OFFSET(Data!E1382,0,MATCH('Delta Beta'!$C$5,Data!$B$4:$Q$4,0)-3)=""),OFFSET(Data!E1382,0,MATCH('Delta Beta'!$C$5,Data!$B$4:$Q$4,0)-3),#N/A)-$C$8/250</f>
        <v>#N/A</v>
      </c>
      <c r="M1379" s="394" t="e">
        <f ca="1">IF(NOT(OFFSET(Data!E1382,0,MATCH('Delta Beta'!$C$5,Data!$B$4:$Q$4,0)-1)=""),OFFSET(Data!E1382,0,MATCH('Delta Beta'!$C$5,Data!$B$4:$Q$4,0)-1),#N/A)-$C$8/250</f>
        <v>#N/A</v>
      </c>
      <c r="N1379" s="395"/>
      <c r="R1379" s="391"/>
    </row>
    <row r="1380" spans="12:18">
      <c r="L1380" s="394" t="e">
        <f ca="1">IF(NOT(OFFSET(Data!E1383,0,MATCH('Delta Beta'!$C$5,Data!$B$4:$Q$4,0)-3)=""),OFFSET(Data!E1383,0,MATCH('Delta Beta'!$C$5,Data!$B$4:$Q$4,0)-3),#N/A)-$C$8/250</f>
        <v>#N/A</v>
      </c>
      <c r="M1380" s="394" t="e">
        <f ca="1">IF(NOT(OFFSET(Data!E1383,0,MATCH('Delta Beta'!$C$5,Data!$B$4:$Q$4,0)-1)=""),OFFSET(Data!E1383,0,MATCH('Delta Beta'!$C$5,Data!$B$4:$Q$4,0)-1),#N/A)-$C$8/250</f>
        <v>#N/A</v>
      </c>
      <c r="N1380" s="395"/>
      <c r="R1380" s="391"/>
    </row>
    <row r="1381" spans="12:18">
      <c r="L1381" s="394" t="e">
        <f ca="1">IF(NOT(OFFSET(Data!E1384,0,MATCH('Delta Beta'!$C$5,Data!$B$4:$Q$4,0)-3)=""),OFFSET(Data!E1384,0,MATCH('Delta Beta'!$C$5,Data!$B$4:$Q$4,0)-3),#N/A)-$C$8/250</f>
        <v>#N/A</v>
      </c>
      <c r="M1381" s="394" t="e">
        <f ca="1">IF(NOT(OFFSET(Data!E1384,0,MATCH('Delta Beta'!$C$5,Data!$B$4:$Q$4,0)-1)=""),OFFSET(Data!E1384,0,MATCH('Delta Beta'!$C$5,Data!$B$4:$Q$4,0)-1),#N/A)-$C$8/250</f>
        <v>#N/A</v>
      </c>
      <c r="N1381" s="395"/>
      <c r="R1381" s="391"/>
    </row>
    <row r="1382" spans="12:18">
      <c r="L1382" s="394" t="e">
        <f ca="1">IF(NOT(OFFSET(Data!E1385,0,MATCH('Delta Beta'!$C$5,Data!$B$4:$Q$4,0)-3)=""),OFFSET(Data!E1385,0,MATCH('Delta Beta'!$C$5,Data!$B$4:$Q$4,0)-3),#N/A)-$C$8/250</f>
        <v>#N/A</v>
      </c>
      <c r="M1382" s="394" t="e">
        <f ca="1">IF(NOT(OFFSET(Data!E1385,0,MATCH('Delta Beta'!$C$5,Data!$B$4:$Q$4,0)-1)=""),OFFSET(Data!E1385,0,MATCH('Delta Beta'!$C$5,Data!$B$4:$Q$4,0)-1),#N/A)-$C$8/250</f>
        <v>#N/A</v>
      </c>
      <c r="N1382" s="395"/>
      <c r="R1382" s="391"/>
    </row>
    <row r="1383" spans="12:18">
      <c r="L1383" s="394" t="e">
        <f ca="1">IF(NOT(OFFSET(Data!E1386,0,MATCH('Delta Beta'!$C$5,Data!$B$4:$Q$4,0)-3)=""),OFFSET(Data!E1386,0,MATCH('Delta Beta'!$C$5,Data!$B$4:$Q$4,0)-3),#N/A)-$C$8/250</f>
        <v>#N/A</v>
      </c>
      <c r="M1383" s="394" t="e">
        <f ca="1">IF(NOT(OFFSET(Data!E1386,0,MATCH('Delta Beta'!$C$5,Data!$B$4:$Q$4,0)-1)=""),OFFSET(Data!E1386,0,MATCH('Delta Beta'!$C$5,Data!$B$4:$Q$4,0)-1),#N/A)-$C$8/250</f>
        <v>#N/A</v>
      </c>
      <c r="N1383" s="395"/>
      <c r="R1383" s="391"/>
    </row>
    <row r="1384" spans="12:18">
      <c r="L1384" s="394" t="e">
        <f ca="1">IF(NOT(OFFSET(Data!E1387,0,MATCH('Delta Beta'!$C$5,Data!$B$4:$Q$4,0)-3)=""),OFFSET(Data!E1387,0,MATCH('Delta Beta'!$C$5,Data!$B$4:$Q$4,0)-3),#N/A)-$C$8/250</f>
        <v>#N/A</v>
      </c>
      <c r="M1384" s="394" t="e">
        <f ca="1">IF(NOT(OFFSET(Data!E1387,0,MATCH('Delta Beta'!$C$5,Data!$B$4:$Q$4,0)-1)=""),OFFSET(Data!E1387,0,MATCH('Delta Beta'!$C$5,Data!$B$4:$Q$4,0)-1),#N/A)-$C$8/250</f>
        <v>#N/A</v>
      </c>
      <c r="N1384" s="395"/>
      <c r="R1384" s="391"/>
    </row>
    <row r="1385" spans="12:18">
      <c r="L1385" s="394" t="e">
        <f ca="1">IF(NOT(OFFSET(Data!E1388,0,MATCH('Delta Beta'!$C$5,Data!$B$4:$Q$4,0)-3)=""),OFFSET(Data!E1388,0,MATCH('Delta Beta'!$C$5,Data!$B$4:$Q$4,0)-3),#N/A)-$C$8/250</f>
        <v>#N/A</v>
      </c>
      <c r="M1385" s="394" t="e">
        <f ca="1">IF(NOT(OFFSET(Data!E1388,0,MATCH('Delta Beta'!$C$5,Data!$B$4:$Q$4,0)-1)=""),OFFSET(Data!E1388,0,MATCH('Delta Beta'!$C$5,Data!$B$4:$Q$4,0)-1),#N/A)-$C$8/250</f>
        <v>#N/A</v>
      </c>
      <c r="N1385" s="395"/>
      <c r="R1385" s="391"/>
    </row>
    <row r="1386" spans="12:18">
      <c r="L1386" s="394" t="e">
        <f ca="1">IF(NOT(OFFSET(Data!E1389,0,MATCH('Delta Beta'!$C$5,Data!$B$4:$Q$4,0)-3)=""),OFFSET(Data!E1389,0,MATCH('Delta Beta'!$C$5,Data!$B$4:$Q$4,0)-3),#N/A)-$C$8/250</f>
        <v>#N/A</v>
      </c>
      <c r="M1386" s="394" t="e">
        <f ca="1">IF(NOT(OFFSET(Data!E1389,0,MATCH('Delta Beta'!$C$5,Data!$B$4:$Q$4,0)-1)=""),OFFSET(Data!E1389,0,MATCH('Delta Beta'!$C$5,Data!$B$4:$Q$4,0)-1),#N/A)-$C$8/250</f>
        <v>#N/A</v>
      </c>
      <c r="N1386" s="395"/>
      <c r="R1386" s="391"/>
    </row>
    <row r="1387" spans="12:18">
      <c r="L1387" s="394" t="e">
        <f ca="1">IF(NOT(OFFSET(Data!E1390,0,MATCH('Delta Beta'!$C$5,Data!$B$4:$Q$4,0)-3)=""),OFFSET(Data!E1390,0,MATCH('Delta Beta'!$C$5,Data!$B$4:$Q$4,0)-3),#N/A)-$C$8/250</f>
        <v>#N/A</v>
      </c>
      <c r="M1387" s="394" t="e">
        <f ca="1">IF(NOT(OFFSET(Data!E1390,0,MATCH('Delta Beta'!$C$5,Data!$B$4:$Q$4,0)-1)=""),OFFSET(Data!E1390,0,MATCH('Delta Beta'!$C$5,Data!$B$4:$Q$4,0)-1),#N/A)-$C$8/250</f>
        <v>#N/A</v>
      </c>
      <c r="N1387" s="395"/>
      <c r="R1387" s="391"/>
    </row>
    <row r="1388" spans="12:18">
      <c r="L1388" s="394" t="e">
        <f ca="1">IF(NOT(OFFSET(Data!E1391,0,MATCH('Delta Beta'!$C$5,Data!$B$4:$Q$4,0)-3)=""),OFFSET(Data!E1391,0,MATCH('Delta Beta'!$C$5,Data!$B$4:$Q$4,0)-3),#N/A)-$C$8/250</f>
        <v>#N/A</v>
      </c>
      <c r="M1388" s="394" t="e">
        <f ca="1">IF(NOT(OFFSET(Data!E1391,0,MATCH('Delta Beta'!$C$5,Data!$B$4:$Q$4,0)-1)=""),OFFSET(Data!E1391,0,MATCH('Delta Beta'!$C$5,Data!$B$4:$Q$4,0)-1),#N/A)-$C$8/250</f>
        <v>#N/A</v>
      </c>
      <c r="N1388" s="395"/>
      <c r="R1388" s="391"/>
    </row>
    <row r="1389" spans="12:18">
      <c r="L1389" s="394" t="e">
        <f ca="1">IF(NOT(OFFSET(Data!E1392,0,MATCH('Delta Beta'!$C$5,Data!$B$4:$Q$4,0)-3)=""),OFFSET(Data!E1392,0,MATCH('Delta Beta'!$C$5,Data!$B$4:$Q$4,0)-3),#N/A)-$C$8/250</f>
        <v>#N/A</v>
      </c>
      <c r="M1389" s="394" t="e">
        <f ca="1">IF(NOT(OFFSET(Data!E1392,0,MATCH('Delta Beta'!$C$5,Data!$B$4:$Q$4,0)-1)=""),OFFSET(Data!E1392,0,MATCH('Delta Beta'!$C$5,Data!$B$4:$Q$4,0)-1),#N/A)-$C$8/250</f>
        <v>#N/A</v>
      </c>
      <c r="N1389" s="395"/>
      <c r="R1389" s="391"/>
    </row>
    <row r="1390" spans="12:18">
      <c r="L1390" s="394" t="e">
        <f ca="1">IF(NOT(OFFSET(Data!E1393,0,MATCH('Delta Beta'!$C$5,Data!$B$4:$Q$4,0)-3)=""),OFFSET(Data!E1393,0,MATCH('Delta Beta'!$C$5,Data!$B$4:$Q$4,0)-3),#N/A)-$C$8/250</f>
        <v>#N/A</v>
      </c>
      <c r="M1390" s="394" t="e">
        <f ca="1">IF(NOT(OFFSET(Data!E1393,0,MATCH('Delta Beta'!$C$5,Data!$B$4:$Q$4,0)-1)=""),OFFSET(Data!E1393,0,MATCH('Delta Beta'!$C$5,Data!$B$4:$Q$4,0)-1),#N/A)-$C$8/250</f>
        <v>#N/A</v>
      </c>
      <c r="N1390" s="395"/>
      <c r="R1390" s="391"/>
    </row>
    <row r="1391" spans="12:18">
      <c r="L1391" s="394" t="e">
        <f ca="1">IF(NOT(OFFSET(Data!E1394,0,MATCH('Delta Beta'!$C$5,Data!$B$4:$Q$4,0)-3)=""),OFFSET(Data!E1394,0,MATCH('Delta Beta'!$C$5,Data!$B$4:$Q$4,0)-3),#N/A)-$C$8/250</f>
        <v>#N/A</v>
      </c>
      <c r="M1391" s="394" t="e">
        <f ca="1">IF(NOT(OFFSET(Data!E1394,0,MATCH('Delta Beta'!$C$5,Data!$B$4:$Q$4,0)-1)=""),OFFSET(Data!E1394,0,MATCH('Delta Beta'!$C$5,Data!$B$4:$Q$4,0)-1),#N/A)-$C$8/250</f>
        <v>#N/A</v>
      </c>
      <c r="N1391" s="395"/>
      <c r="R1391" s="391"/>
    </row>
    <row r="1392" spans="12:18">
      <c r="L1392" s="394" t="e">
        <f ca="1">IF(NOT(OFFSET(Data!E1395,0,MATCH('Delta Beta'!$C$5,Data!$B$4:$Q$4,0)-3)=""),OFFSET(Data!E1395,0,MATCH('Delta Beta'!$C$5,Data!$B$4:$Q$4,0)-3),#N/A)-$C$8/250</f>
        <v>#N/A</v>
      </c>
      <c r="M1392" s="394" t="e">
        <f ca="1">IF(NOT(OFFSET(Data!E1395,0,MATCH('Delta Beta'!$C$5,Data!$B$4:$Q$4,0)-1)=""),OFFSET(Data!E1395,0,MATCH('Delta Beta'!$C$5,Data!$B$4:$Q$4,0)-1),#N/A)-$C$8/250</f>
        <v>#N/A</v>
      </c>
      <c r="N1392" s="395"/>
      <c r="R1392" s="391"/>
    </row>
    <row r="1393" spans="12:18">
      <c r="L1393" s="394" t="e">
        <f ca="1">IF(NOT(OFFSET(Data!E1396,0,MATCH('Delta Beta'!$C$5,Data!$B$4:$Q$4,0)-3)=""),OFFSET(Data!E1396,0,MATCH('Delta Beta'!$C$5,Data!$B$4:$Q$4,0)-3),#N/A)-$C$8/250</f>
        <v>#N/A</v>
      </c>
      <c r="M1393" s="394" t="e">
        <f ca="1">IF(NOT(OFFSET(Data!E1396,0,MATCH('Delta Beta'!$C$5,Data!$B$4:$Q$4,0)-1)=""),OFFSET(Data!E1396,0,MATCH('Delta Beta'!$C$5,Data!$B$4:$Q$4,0)-1),#N/A)-$C$8/250</f>
        <v>#N/A</v>
      </c>
      <c r="N1393" s="395"/>
      <c r="R1393" s="391"/>
    </row>
    <row r="1394" spans="12:18">
      <c r="L1394" s="394" t="e">
        <f ca="1">IF(NOT(OFFSET(Data!E1397,0,MATCH('Delta Beta'!$C$5,Data!$B$4:$Q$4,0)-3)=""),OFFSET(Data!E1397,0,MATCH('Delta Beta'!$C$5,Data!$B$4:$Q$4,0)-3),#N/A)-$C$8/250</f>
        <v>#N/A</v>
      </c>
      <c r="M1394" s="394" t="e">
        <f ca="1">IF(NOT(OFFSET(Data!E1397,0,MATCH('Delta Beta'!$C$5,Data!$B$4:$Q$4,0)-1)=""),OFFSET(Data!E1397,0,MATCH('Delta Beta'!$C$5,Data!$B$4:$Q$4,0)-1),#N/A)-$C$8/250</f>
        <v>#N/A</v>
      </c>
      <c r="N1394" s="395"/>
      <c r="R1394" s="391"/>
    </row>
    <row r="1395" spans="12:18">
      <c r="L1395" s="394" t="e">
        <f ca="1">IF(NOT(OFFSET(Data!E1398,0,MATCH('Delta Beta'!$C$5,Data!$B$4:$Q$4,0)-3)=""),OFFSET(Data!E1398,0,MATCH('Delta Beta'!$C$5,Data!$B$4:$Q$4,0)-3),#N/A)-$C$8/250</f>
        <v>#N/A</v>
      </c>
      <c r="M1395" s="394" t="e">
        <f ca="1">IF(NOT(OFFSET(Data!E1398,0,MATCH('Delta Beta'!$C$5,Data!$B$4:$Q$4,0)-1)=""),OFFSET(Data!E1398,0,MATCH('Delta Beta'!$C$5,Data!$B$4:$Q$4,0)-1),#N/A)-$C$8/250</f>
        <v>#N/A</v>
      </c>
      <c r="N1395" s="395"/>
      <c r="R1395" s="391"/>
    </row>
    <row r="1396" spans="12:18">
      <c r="L1396" s="394" t="e">
        <f ca="1">IF(NOT(OFFSET(Data!E1399,0,MATCH('Delta Beta'!$C$5,Data!$B$4:$Q$4,0)-3)=""),OFFSET(Data!E1399,0,MATCH('Delta Beta'!$C$5,Data!$B$4:$Q$4,0)-3),#N/A)-$C$8/250</f>
        <v>#N/A</v>
      </c>
      <c r="M1396" s="394" t="e">
        <f ca="1">IF(NOT(OFFSET(Data!E1399,0,MATCH('Delta Beta'!$C$5,Data!$B$4:$Q$4,0)-1)=""),OFFSET(Data!E1399,0,MATCH('Delta Beta'!$C$5,Data!$B$4:$Q$4,0)-1),#N/A)-$C$8/250</f>
        <v>#N/A</v>
      </c>
      <c r="N1396" s="395"/>
      <c r="R1396" s="391"/>
    </row>
    <row r="1397" spans="12:18">
      <c r="L1397" s="394" t="e">
        <f ca="1">IF(NOT(OFFSET(Data!E1400,0,MATCH('Delta Beta'!$C$5,Data!$B$4:$Q$4,0)-3)=""),OFFSET(Data!E1400,0,MATCH('Delta Beta'!$C$5,Data!$B$4:$Q$4,0)-3),#N/A)-$C$8/250</f>
        <v>#N/A</v>
      </c>
      <c r="M1397" s="394" t="e">
        <f ca="1">IF(NOT(OFFSET(Data!E1400,0,MATCH('Delta Beta'!$C$5,Data!$B$4:$Q$4,0)-1)=""),OFFSET(Data!E1400,0,MATCH('Delta Beta'!$C$5,Data!$B$4:$Q$4,0)-1),#N/A)-$C$8/250</f>
        <v>#N/A</v>
      </c>
      <c r="N1397" s="395"/>
      <c r="R1397" s="391"/>
    </row>
    <row r="1398" spans="12:18">
      <c r="L1398" s="394" t="e">
        <f ca="1">IF(NOT(OFFSET(Data!E1401,0,MATCH('Delta Beta'!$C$5,Data!$B$4:$Q$4,0)-3)=""),OFFSET(Data!E1401,0,MATCH('Delta Beta'!$C$5,Data!$B$4:$Q$4,0)-3),#N/A)-$C$8/250</f>
        <v>#N/A</v>
      </c>
      <c r="M1398" s="394" t="e">
        <f ca="1">IF(NOT(OFFSET(Data!E1401,0,MATCH('Delta Beta'!$C$5,Data!$B$4:$Q$4,0)-1)=""),OFFSET(Data!E1401,0,MATCH('Delta Beta'!$C$5,Data!$B$4:$Q$4,0)-1),#N/A)-$C$8/250</f>
        <v>#N/A</v>
      </c>
      <c r="N1398" s="395"/>
      <c r="R1398" s="391"/>
    </row>
    <row r="1399" spans="12:18">
      <c r="L1399" s="394" t="e">
        <f ca="1">IF(NOT(OFFSET(Data!E1402,0,MATCH('Delta Beta'!$C$5,Data!$B$4:$Q$4,0)-3)=""),OFFSET(Data!E1402,0,MATCH('Delta Beta'!$C$5,Data!$B$4:$Q$4,0)-3),#N/A)-$C$8/250</f>
        <v>#N/A</v>
      </c>
      <c r="M1399" s="394" t="e">
        <f ca="1">IF(NOT(OFFSET(Data!E1402,0,MATCH('Delta Beta'!$C$5,Data!$B$4:$Q$4,0)-1)=""),OFFSET(Data!E1402,0,MATCH('Delta Beta'!$C$5,Data!$B$4:$Q$4,0)-1),#N/A)-$C$8/250</f>
        <v>#N/A</v>
      </c>
      <c r="N1399" s="395"/>
      <c r="R1399" s="391"/>
    </row>
    <row r="1400" spans="12:18">
      <c r="L1400" s="394" t="e">
        <f ca="1">IF(NOT(OFFSET(Data!E1403,0,MATCH('Delta Beta'!$C$5,Data!$B$4:$Q$4,0)-3)=""),OFFSET(Data!E1403,0,MATCH('Delta Beta'!$C$5,Data!$B$4:$Q$4,0)-3),#N/A)-$C$8/250</f>
        <v>#N/A</v>
      </c>
      <c r="M1400" s="394" t="e">
        <f ca="1">IF(NOT(OFFSET(Data!E1403,0,MATCH('Delta Beta'!$C$5,Data!$B$4:$Q$4,0)-1)=""),OFFSET(Data!E1403,0,MATCH('Delta Beta'!$C$5,Data!$B$4:$Q$4,0)-1),#N/A)-$C$8/250</f>
        <v>#N/A</v>
      </c>
      <c r="N1400" s="395"/>
      <c r="R1400" s="391"/>
    </row>
    <row r="1401" spans="12:18">
      <c r="L1401" s="394" t="e">
        <f ca="1">IF(NOT(OFFSET(Data!E1404,0,MATCH('Delta Beta'!$C$5,Data!$B$4:$Q$4,0)-3)=""),OFFSET(Data!E1404,0,MATCH('Delta Beta'!$C$5,Data!$B$4:$Q$4,0)-3),#N/A)-$C$8/250</f>
        <v>#N/A</v>
      </c>
      <c r="M1401" s="394" t="e">
        <f ca="1">IF(NOT(OFFSET(Data!E1404,0,MATCH('Delta Beta'!$C$5,Data!$B$4:$Q$4,0)-1)=""),OFFSET(Data!E1404,0,MATCH('Delta Beta'!$C$5,Data!$B$4:$Q$4,0)-1),#N/A)-$C$8/250</f>
        <v>#N/A</v>
      </c>
      <c r="N1401" s="395"/>
      <c r="R1401" s="391"/>
    </row>
    <row r="1402" spans="12:18">
      <c r="L1402" s="394" t="e">
        <f ca="1">IF(NOT(OFFSET(Data!E1405,0,MATCH('Delta Beta'!$C$5,Data!$B$4:$Q$4,0)-3)=""),OFFSET(Data!E1405,0,MATCH('Delta Beta'!$C$5,Data!$B$4:$Q$4,0)-3),#N/A)-$C$8/250</f>
        <v>#N/A</v>
      </c>
      <c r="M1402" s="394" t="e">
        <f ca="1">IF(NOT(OFFSET(Data!E1405,0,MATCH('Delta Beta'!$C$5,Data!$B$4:$Q$4,0)-1)=""),OFFSET(Data!E1405,0,MATCH('Delta Beta'!$C$5,Data!$B$4:$Q$4,0)-1),#N/A)-$C$8/250</f>
        <v>#N/A</v>
      </c>
      <c r="N1402" s="395"/>
      <c r="R1402" s="391"/>
    </row>
    <row r="1403" spans="12:18">
      <c r="L1403" s="394" t="e">
        <f ca="1">IF(NOT(OFFSET(Data!E1406,0,MATCH('Delta Beta'!$C$5,Data!$B$4:$Q$4,0)-3)=""),OFFSET(Data!E1406,0,MATCH('Delta Beta'!$C$5,Data!$B$4:$Q$4,0)-3),#N/A)-$C$8/250</f>
        <v>#N/A</v>
      </c>
      <c r="M1403" s="394" t="e">
        <f ca="1">IF(NOT(OFFSET(Data!E1406,0,MATCH('Delta Beta'!$C$5,Data!$B$4:$Q$4,0)-1)=""),OFFSET(Data!E1406,0,MATCH('Delta Beta'!$C$5,Data!$B$4:$Q$4,0)-1),#N/A)-$C$8/250</f>
        <v>#N/A</v>
      </c>
      <c r="N1403" s="395"/>
      <c r="R1403" s="391"/>
    </row>
    <row r="1404" spans="12:18">
      <c r="L1404" s="394" t="e">
        <f ca="1">IF(NOT(OFFSET(Data!E1407,0,MATCH('Delta Beta'!$C$5,Data!$B$4:$Q$4,0)-3)=""),OFFSET(Data!E1407,0,MATCH('Delta Beta'!$C$5,Data!$B$4:$Q$4,0)-3),#N/A)-$C$8/250</f>
        <v>#N/A</v>
      </c>
      <c r="M1404" s="394" t="e">
        <f ca="1">IF(NOT(OFFSET(Data!E1407,0,MATCH('Delta Beta'!$C$5,Data!$B$4:$Q$4,0)-1)=""),OFFSET(Data!E1407,0,MATCH('Delta Beta'!$C$5,Data!$B$4:$Q$4,0)-1),#N/A)-$C$8/250</f>
        <v>#N/A</v>
      </c>
      <c r="N1404" s="395"/>
      <c r="R1404" s="391"/>
    </row>
    <row r="1405" spans="12:18">
      <c r="L1405" s="394" t="e">
        <f ca="1">IF(NOT(OFFSET(Data!E1408,0,MATCH('Delta Beta'!$C$5,Data!$B$4:$Q$4,0)-3)=""),OFFSET(Data!E1408,0,MATCH('Delta Beta'!$C$5,Data!$B$4:$Q$4,0)-3),#N/A)-$C$8/250</f>
        <v>#N/A</v>
      </c>
      <c r="M1405" s="394" t="e">
        <f ca="1">IF(NOT(OFFSET(Data!E1408,0,MATCH('Delta Beta'!$C$5,Data!$B$4:$Q$4,0)-1)=""),OFFSET(Data!E1408,0,MATCH('Delta Beta'!$C$5,Data!$B$4:$Q$4,0)-1),#N/A)-$C$8/250</f>
        <v>#N/A</v>
      </c>
      <c r="N1405" s="395"/>
      <c r="R1405" s="391"/>
    </row>
    <row r="1406" spans="12:18">
      <c r="L1406" s="394" t="e">
        <f ca="1">IF(NOT(OFFSET(Data!E1409,0,MATCH('Delta Beta'!$C$5,Data!$B$4:$Q$4,0)-3)=""),OFFSET(Data!E1409,0,MATCH('Delta Beta'!$C$5,Data!$B$4:$Q$4,0)-3),#N/A)-$C$8/250</f>
        <v>#N/A</v>
      </c>
      <c r="M1406" s="394" t="e">
        <f ca="1">IF(NOT(OFFSET(Data!E1409,0,MATCH('Delta Beta'!$C$5,Data!$B$4:$Q$4,0)-1)=""),OFFSET(Data!E1409,0,MATCH('Delta Beta'!$C$5,Data!$B$4:$Q$4,0)-1),#N/A)-$C$8/250</f>
        <v>#N/A</v>
      </c>
      <c r="N1406" s="395"/>
      <c r="R1406" s="391"/>
    </row>
    <row r="1407" spans="12:18">
      <c r="L1407" s="394" t="e">
        <f ca="1">IF(NOT(OFFSET(Data!E1410,0,MATCH('Delta Beta'!$C$5,Data!$B$4:$Q$4,0)-3)=""),OFFSET(Data!E1410,0,MATCH('Delta Beta'!$C$5,Data!$B$4:$Q$4,0)-3),#N/A)-$C$8/250</f>
        <v>#N/A</v>
      </c>
      <c r="M1407" s="394" t="e">
        <f ca="1">IF(NOT(OFFSET(Data!E1410,0,MATCH('Delta Beta'!$C$5,Data!$B$4:$Q$4,0)-1)=""),OFFSET(Data!E1410,0,MATCH('Delta Beta'!$C$5,Data!$B$4:$Q$4,0)-1),#N/A)-$C$8/250</f>
        <v>#N/A</v>
      </c>
      <c r="N1407" s="395"/>
      <c r="R1407" s="391"/>
    </row>
    <row r="1408" spans="12:18">
      <c r="L1408" s="394" t="e">
        <f ca="1">IF(NOT(OFFSET(Data!E1411,0,MATCH('Delta Beta'!$C$5,Data!$B$4:$Q$4,0)-3)=""),OFFSET(Data!E1411,0,MATCH('Delta Beta'!$C$5,Data!$B$4:$Q$4,0)-3),#N/A)-$C$8/250</f>
        <v>#N/A</v>
      </c>
      <c r="M1408" s="394" t="e">
        <f ca="1">IF(NOT(OFFSET(Data!E1411,0,MATCH('Delta Beta'!$C$5,Data!$B$4:$Q$4,0)-1)=""),OFFSET(Data!E1411,0,MATCH('Delta Beta'!$C$5,Data!$B$4:$Q$4,0)-1),#N/A)-$C$8/250</f>
        <v>#N/A</v>
      </c>
      <c r="N1408" s="395"/>
      <c r="R1408" s="391"/>
    </row>
    <row r="1409" spans="12:18">
      <c r="L1409" s="394" t="e">
        <f ca="1">IF(NOT(OFFSET(Data!E1412,0,MATCH('Delta Beta'!$C$5,Data!$B$4:$Q$4,0)-3)=""),OFFSET(Data!E1412,0,MATCH('Delta Beta'!$C$5,Data!$B$4:$Q$4,0)-3),#N/A)-$C$8/250</f>
        <v>#N/A</v>
      </c>
      <c r="M1409" s="394" t="e">
        <f ca="1">IF(NOT(OFFSET(Data!E1412,0,MATCH('Delta Beta'!$C$5,Data!$B$4:$Q$4,0)-1)=""),OFFSET(Data!E1412,0,MATCH('Delta Beta'!$C$5,Data!$B$4:$Q$4,0)-1),#N/A)-$C$8/250</f>
        <v>#N/A</v>
      </c>
      <c r="N1409" s="395"/>
      <c r="R1409" s="391"/>
    </row>
    <row r="1410" spans="12:18">
      <c r="L1410" s="394" t="e">
        <f ca="1">IF(NOT(OFFSET(Data!E1413,0,MATCH('Delta Beta'!$C$5,Data!$B$4:$Q$4,0)-3)=""),OFFSET(Data!E1413,0,MATCH('Delta Beta'!$C$5,Data!$B$4:$Q$4,0)-3),#N/A)-$C$8/250</f>
        <v>#N/A</v>
      </c>
      <c r="M1410" s="394" t="e">
        <f ca="1">IF(NOT(OFFSET(Data!E1413,0,MATCH('Delta Beta'!$C$5,Data!$B$4:$Q$4,0)-1)=""),OFFSET(Data!E1413,0,MATCH('Delta Beta'!$C$5,Data!$B$4:$Q$4,0)-1),#N/A)-$C$8/250</f>
        <v>#N/A</v>
      </c>
      <c r="N1410" s="395"/>
      <c r="R1410" s="391"/>
    </row>
    <row r="1411" spans="12:18">
      <c r="L1411" s="394" t="e">
        <f ca="1">IF(NOT(OFFSET(Data!E1414,0,MATCH('Delta Beta'!$C$5,Data!$B$4:$Q$4,0)-3)=""),OFFSET(Data!E1414,0,MATCH('Delta Beta'!$C$5,Data!$B$4:$Q$4,0)-3),#N/A)-$C$8/250</f>
        <v>#N/A</v>
      </c>
      <c r="M1411" s="394" t="e">
        <f ca="1">IF(NOT(OFFSET(Data!E1414,0,MATCH('Delta Beta'!$C$5,Data!$B$4:$Q$4,0)-1)=""),OFFSET(Data!E1414,0,MATCH('Delta Beta'!$C$5,Data!$B$4:$Q$4,0)-1),#N/A)-$C$8/250</f>
        <v>#N/A</v>
      </c>
      <c r="N1411" s="395"/>
      <c r="R1411" s="391"/>
    </row>
    <row r="1412" spans="12:18">
      <c r="L1412" s="394" t="e">
        <f ca="1">IF(NOT(OFFSET(Data!E1415,0,MATCH('Delta Beta'!$C$5,Data!$B$4:$Q$4,0)-3)=""),OFFSET(Data!E1415,0,MATCH('Delta Beta'!$C$5,Data!$B$4:$Q$4,0)-3),#N/A)-$C$8/250</f>
        <v>#N/A</v>
      </c>
      <c r="M1412" s="394" t="e">
        <f ca="1">IF(NOT(OFFSET(Data!E1415,0,MATCH('Delta Beta'!$C$5,Data!$B$4:$Q$4,0)-1)=""),OFFSET(Data!E1415,0,MATCH('Delta Beta'!$C$5,Data!$B$4:$Q$4,0)-1),#N/A)-$C$8/250</f>
        <v>#N/A</v>
      </c>
      <c r="N1412" s="395"/>
      <c r="R1412" s="391"/>
    </row>
    <row r="1413" spans="12:18">
      <c r="L1413" s="394" t="e">
        <f ca="1">IF(NOT(OFFSET(Data!E1416,0,MATCH('Delta Beta'!$C$5,Data!$B$4:$Q$4,0)-3)=""),OFFSET(Data!E1416,0,MATCH('Delta Beta'!$C$5,Data!$B$4:$Q$4,0)-3),#N/A)-$C$8/250</f>
        <v>#N/A</v>
      </c>
      <c r="M1413" s="394" t="e">
        <f ca="1">IF(NOT(OFFSET(Data!E1416,0,MATCH('Delta Beta'!$C$5,Data!$B$4:$Q$4,0)-1)=""),OFFSET(Data!E1416,0,MATCH('Delta Beta'!$C$5,Data!$B$4:$Q$4,0)-1),#N/A)-$C$8/250</f>
        <v>#N/A</v>
      </c>
      <c r="N1413" s="395"/>
      <c r="R1413" s="391"/>
    </row>
    <row r="1414" spans="12:18">
      <c r="L1414" s="394" t="e">
        <f ca="1">IF(NOT(OFFSET(Data!E1417,0,MATCH('Delta Beta'!$C$5,Data!$B$4:$Q$4,0)-3)=""),OFFSET(Data!E1417,0,MATCH('Delta Beta'!$C$5,Data!$B$4:$Q$4,0)-3),#N/A)-$C$8/250</f>
        <v>#N/A</v>
      </c>
      <c r="M1414" s="394" t="e">
        <f ca="1">IF(NOT(OFFSET(Data!E1417,0,MATCH('Delta Beta'!$C$5,Data!$B$4:$Q$4,0)-1)=""),OFFSET(Data!E1417,0,MATCH('Delta Beta'!$C$5,Data!$B$4:$Q$4,0)-1),#N/A)-$C$8/250</f>
        <v>#N/A</v>
      </c>
      <c r="N1414" s="395"/>
      <c r="R1414" s="391"/>
    </row>
    <row r="1415" spans="12:18">
      <c r="L1415" s="394" t="e">
        <f ca="1">IF(NOT(OFFSET(Data!E1418,0,MATCH('Delta Beta'!$C$5,Data!$B$4:$Q$4,0)-3)=""),OFFSET(Data!E1418,0,MATCH('Delta Beta'!$C$5,Data!$B$4:$Q$4,0)-3),#N/A)-$C$8/250</f>
        <v>#N/A</v>
      </c>
      <c r="M1415" s="394" t="e">
        <f ca="1">IF(NOT(OFFSET(Data!E1418,0,MATCH('Delta Beta'!$C$5,Data!$B$4:$Q$4,0)-1)=""),OFFSET(Data!E1418,0,MATCH('Delta Beta'!$C$5,Data!$B$4:$Q$4,0)-1),#N/A)-$C$8/250</f>
        <v>#N/A</v>
      </c>
      <c r="N1415" s="395"/>
      <c r="R1415" s="391"/>
    </row>
    <row r="1416" spans="12:18">
      <c r="L1416" s="394" t="e">
        <f ca="1">IF(NOT(OFFSET(Data!E1419,0,MATCH('Delta Beta'!$C$5,Data!$B$4:$Q$4,0)-3)=""),OFFSET(Data!E1419,0,MATCH('Delta Beta'!$C$5,Data!$B$4:$Q$4,0)-3),#N/A)-$C$8/250</f>
        <v>#N/A</v>
      </c>
      <c r="M1416" s="394" t="e">
        <f ca="1">IF(NOT(OFFSET(Data!E1419,0,MATCH('Delta Beta'!$C$5,Data!$B$4:$Q$4,0)-1)=""),OFFSET(Data!E1419,0,MATCH('Delta Beta'!$C$5,Data!$B$4:$Q$4,0)-1),#N/A)-$C$8/250</f>
        <v>#N/A</v>
      </c>
      <c r="N1416" s="395"/>
      <c r="R1416" s="391"/>
    </row>
    <row r="1417" spans="12:18">
      <c r="L1417" s="394" t="e">
        <f ca="1">IF(NOT(OFFSET(Data!E1420,0,MATCH('Delta Beta'!$C$5,Data!$B$4:$Q$4,0)-3)=""),OFFSET(Data!E1420,0,MATCH('Delta Beta'!$C$5,Data!$B$4:$Q$4,0)-3),#N/A)-$C$8/250</f>
        <v>#N/A</v>
      </c>
      <c r="M1417" s="394" t="e">
        <f ca="1">IF(NOT(OFFSET(Data!E1420,0,MATCH('Delta Beta'!$C$5,Data!$B$4:$Q$4,0)-1)=""),OFFSET(Data!E1420,0,MATCH('Delta Beta'!$C$5,Data!$B$4:$Q$4,0)-1),#N/A)-$C$8/250</f>
        <v>#N/A</v>
      </c>
      <c r="N1417" s="395"/>
      <c r="R1417" s="391"/>
    </row>
    <row r="1418" spans="12:18">
      <c r="L1418" s="394" t="e">
        <f ca="1">IF(NOT(OFFSET(Data!E1421,0,MATCH('Delta Beta'!$C$5,Data!$B$4:$Q$4,0)-3)=""),OFFSET(Data!E1421,0,MATCH('Delta Beta'!$C$5,Data!$B$4:$Q$4,0)-3),#N/A)-$C$8/250</f>
        <v>#N/A</v>
      </c>
      <c r="M1418" s="394" t="e">
        <f ca="1">IF(NOT(OFFSET(Data!E1421,0,MATCH('Delta Beta'!$C$5,Data!$B$4:$Q$4,0)-1)=""),OFFSET(Data!E1421,0,MATCH('Delta Beta'!$C$5,Data!$B$4:$Q$4,0)-1),#N/A)-$C$8/250</f>
        <v>#N/A</v>
      </c>
      <c r="N1418" s="395"/>
      <c r="R1418" s="391"/>
    </row>
    <row r="1419" spans="12:18">
      <c r="L1419" s="394" t="e">
        <f ca="1">IF(NOT(OFFSET(Data!E1422,0,MATCH('Delta Beta'!$C$5,Data!$B$4:$Q$4,0)-3)=""),OFFSET(Data!E1422,0,MATCH('Delta Beta'!$C$5,Data!$B$4:$Q$4,0)-3),#N/A)-$C$8/250</f>
        <v>#N/A</v>
      </c>
      <c r="M1419" s="394" t="e">
        <f ca="1">IF(NOT(OFFSET(Data!E1422,0,MATCH('Delta Beta'!$C$5,Data!$B$4:$Q$4,0)-1)=""),OFFSET(Data!E1422,0,MATCH('Delta Beta'!$C$5,Data!$B$4:$Q$4,0)-1),#N/A)-$C$8/250</f>
        <v>#N/A</v>
      </c>
      <c r="N1419" s="395"/>
      <c r="R1419" s="391"/>
    </row>
    <row r="1420" spans="12:18">
      <c r="L1420" s="394" t="e">
        <f ca="1">IF(NOT(OFFSET(Data!E1423,0,MATCH('Delta Beta'!$C$5,Data!$B$4:$Q$4,0)-3)=""),OFFSET(Data!E1423,0,MATCH('Delta Beta'!$C$5,Data!$B$4:$Q$4,0)-3),#N/A)-$C$8/250</f>
        <v>#N/A</v>
      </c>
      <c r="M1420" s="394" t="e">
        <f ca="1">IF(NOT(OFFSET(Data!E1423,0,MATCH('Delta Beta'!$C$5,Data!$B$4:$Q$4,0)-1)=""),OFFSET(Data!E1423,0,MATCH('Delta Beta'!$C$5,Data!$B$4:$Q$4,0)-1),#N/A)-$C$8/250</f>
        <v>#N/A</v>
      </c>
      <c r="N1420" s="395"/>
      <c r="R1420" s="391"/>
    </row>
    <row r="1421" spans="12:18">
      <c r="L1421" s="394" t="e">
        <f ca="1">IF(NOT(OFFSET(Data!E1424,0,MATCH('Delta Beta'!$C$5,Data!$B$4:$Q$4,0)-3)=""),OFFSET(Data!E1424,0,MATCH('Delta Beta'!$C$5,Data!$B$4:$Q$4,0)-3),#N/A)-$C$8/250</f>
        <v>#N/A</v>
      </c>
      <c r="M1421" s="394" t="e">
        <f ca="1">IF(NOT(OFFSET(Data!E1424,0,MATCH('Delta Beta'!$C$5,Data!$B$4:$Q$4,0)-1)=""),OFFSET(Data!E1424,0,MATCH('Delta Beta'!$C$5,Data!$B$4:$Q$4,0)-1),#N/A)-$C$8/250</f>
        <v>#N/A</v>
      </c>
      <c r="N1421" s="395"/>
      <c r="R1421" s="391"/>
    </row>
    <row r="1422" spans="12:18">
      <c r="L1422" s="394" t="e">
        <f ca="1">IF(NOT(OFFSET(Data!E1425,0,MATCH('Delta Beta'!$C$5,Data!$B$4:$Q$4,0)-3)=""),OFFSET(Data!E1425,0,MATCH('Delta Beta'!$C$5,Data!$B$4:$Q$4,0)-3),#N/A)-$C$8/250</f>
        <v>#N/A</v>
      </c>
      <c r="M1422" s="394" t="e">
        <f ca="1">IF(NOT(OFFSET(Data!E1425,0,MATCH('Delta Beta'!$C$5,Data!$B$4:$Q$4,0)-1)=""),OFFSET(Data!E1425,0,MATCH('Delta Beta'!$C$5,Data!$B$4:$Q$4,0)-1),#N/A)-$C$8/250</f>
        <v>#N/A</v>
      </c>
      <c r="N1422" s="395"/>
      <c r="R1422" s="391"/>
    </row>
    <row r="1423" spans="12:18">
      <c r="L1423" s="394" t="e">
        <f ca="1">IF(NOT(OFFSET(Data!E1426,0,MATCH('Delta Beta'!$C$5,Data!$B$4:$Q$4,0)-3)=""),OFFSET(Data!E1426,0,MATCH('Delta Beta'!$C$5,Data!$B$4:$Q$4,0)-3),#N/A)-$C$8/250</f>
        <v>#N/A</v>
      </c>
      <c r="M1423" s="394" t="e">
        <f ca="1">IF(NOT(OFFSET(Data!E1426,0,MATCH('Delta Beta'!$C$5,Data!$B$4:$Q$4,0)-1)=""),OFFSET(Data!E1426,0,MATCH('Delta Beta'!$C$5,Data!$B$4:$Q$4,0)-1),#N/A)-$C$8/250</f>
        <v>#N/A</v>
      </c>
      <c r="N1423" s="395"/>
      <c r="R1423" s="391"/>
    </row>
    <row r="1424" spans="12:18">
      <c r="L1424" s="394" t="e">
        <f ca="1">IF(NOT(OFFSET(Data!E1427,0,MATCH('Delta Beta'!$C$5,Data!$B$4:$Q$4,0)-3)=""),OFFSET(Data!E1427,0,MATCH('Delta Beta'!$C$5,Data!$B$4:$Q$4,0)-3),#N/A)-$C$8/250</f>
        <v>#N/A</v>
      </c>
      <c r="M1424" s="394" t="e">
        <f ca="1">IF(NOT(OFFSET(Data!E1427,0,MATCH('Delta Beta'!$C$5,Data!$B$4:$Q$4,0)-1)=""),OFFSET(Data!E1427,0,MATCH('Delta Beta'!$C$5,Data!$B$4:$Q$4,0)-1),#N/A)-$C$8/250</f>
        <v>#N/A</v>
      </c>
      <c r="N1424" s="395"/>
      <c r="R1424" s="391"/>
    </row>
    <row r="1425" spans="12:18">
      <c r="L1425" s="394" t="e">
        <f ca="1">IF(NOT(OFFSET(Data!E1428,0,MATCH('Delta Beta'!$C$5,Data!$B$4:$Q$4,0)-3)=""),OFFSET(Data!E1428,0,MATCH('Delta Beta'!$C$5,Data!$B$4:$Q$4,0)-3),#N/A)-$C$8/250</f>
        <v>#N/A</v>
      </c>
      <c r="M1425" s="394" t="e">
        <f ca="1">IF(NOT(OFFSET(Data!E1428,0,MATCH('Delta Beta'!$C$5,Data!$B$4:$Q$4,0)-1)=""),OFFSET(Data!E1428,0,MATCH('Delta Beta'!$C$5,Data!$B$4:$Q$4,0)-1),#N/A)-$C$8/250</f>
        <v>#N/A</v>
      </c>
      <c r="N1425" s="395"/>
      <c r="R1425" s="391"/>
    </row>
    <row r="1426" spans="12:18">
      <c r="L1426" s="394" t="e">
        <f ca="1">IF(NOT(OFFSET(Data!E1429,0,MATCH('Delta Beta'!$C$5,Data!$B$4:$Q$4,0)-3)=""),OFFSET(Data!E1429,0,MATCH('Delta Beta'!$C$5,Data!$B$4:$Q$4,0)-3),#N/A)-$C$8/250</f>
        <v>#N/A</v>
      </c>
      <c r="M1426" s="394" t="e">
        <f ca="1">IF(NOT(OFFSET(Data!E1429,0,MATCH('Delta Beta'!$C$5,Data!$B$4:$Q$4,0)-1)=""),OFFSET(Data!E1429,0,MATCH('Delta Beta'!$C$5,Data!$B$4:$Q$4,0)-1),#N/A)-$C$8/250</f>
        <v>#N/A</v>
      </c>
      <c r="N1426" s="395"/>
      <c r="R1426" s="391"/>
    </row>
    <row r="1427" spans="12:18">
      <c r="L1427" s="394" t="e">
        <f ca="1">IF(NOT(OFFSET(Data!E1430,0,MATCH('Delta Beta'!$C$5,Data!$B$4:$Q$4,0)-3)=""),OFFSET(Data!E1430,0,MATCH('Delta Beta'!$C$5,Data!$B$4:$Q$4,0)-3),#N/A)-$C$8/250</f>
        <v>#N/A</v>
      </c>
      <c r="M1427" s="394" t="e">
        <f ca="1">IF(NOT(OFFSET(Data!E1430,0,MATCH('Delta Beta'!$C$5,Data!$B$4:$Q$4,0)-1)=""),OFFSET(Data!E1430,0,MATCH('Delta Beta'!$C$5,Data!$B$4:$Q$4,0)-1),#N/A)-$C$8/250</f>
        <v>#N/A</v>
      </c>
      <c r="N1427" s="395"/>
      <c r="R1427" s="391"/>
    </row>
    <row r="1428" spans="12:18">
      <c r="L1428" s="394" t="e">
        <f ca="1">IF(NOT(OFFSET(Data!E1431,0,MATCH('Delta Beta'!$C$5,Data!$B$4:$Q$4,0)-3)=""),OFFSET(Data!E1431,0,MATCH('Delta Beta'!$C$5,Data!$B$4:$Q$4,0)-3),#N/A)-$C$8/250</f>
        <v>#N/A</v>
      </c>
      <c r="M1428" s="394" t="e">
        <f ca="1">IF(NOT(OFFSET(Data!E1431,0,MATCH('Delta Beta'!$C$5,Data!$B$4:$Q$4,0)-1)=""),OFFSET(Data!E1431,0,MATCH('Delta Beta'!$C$5,Data!$B$4:$Q$4,0)-1),#N/A)-$C$8/250</f>
        <v>#N/A</v>
      </c>
      <c r="N1428" s="395"/>
      <c r="R1428" s="391"/>
    </row>
    <row r="1429" spans="12:18">
      <c r="L1429" s="394" t="e">
        <f ca="1">IF(NOT(OFFSET(Data!E1432,0,MATCH('Delta Beta'!$C$5,Data!$B$4:$Q$4,0)-3)=""),OFFSET(Data!E1432,0,MATCH('Delta Beta'!$C$5,Data!$B$4:$Q$4,0)-3),#N/A)-$C$8/250</f>
        <v>#N/A</v>
      </c>
      <c r="M1429" s="394" t="e">
        <f ca="1">IF(NOT(OFFSET(Data!E1432,0,MATCH('Delta Beta'!$C$5,Data!$B$4:$Q$4,0)-1)=""),OFFSET(Data!E1432,0,MATCH('Delta Beta'!$C$5,Data!$B$4:$Q$4,0)-1),#N/A)-$C$8/250</f>
        <v>#N/A</v>
      </c>
      <c r="N1429" s="395"/>
      <c r="R1429" s="391"/>
    </row>
    <row r="1430" spans="12:18">
      <c r="L1430" s="394" t="e">
        <f ca="1">IF(NOT(OFFSET(Data!E1433,0,MATCH('Delta Beta'!$C$5,Data!$B$4:$Q$4,0)-3)=""),OFFSET(Data!E1433,0,MATCH('Delta Beta'!$C$5,Data!$B$4:$Q$4,0)-3),#N/A)-$C$8/250</f>
        <v>#N/A</v>
      </c>
      <c r="M1430" s="394" t="e">
        <f ca="1">IF(NOT(OFFSET(Data!E1433,0,MATCH('Delta Beta'!$C$5,Data!$B$4:$Q$4,0)-1)=""),OFFSET(Data!E1433,0,MATCH('Delta Beta'!$C$5,Data!$B$4:$Q$4,0)-1),#N/A)-$C$8/250</f>
        <v>#N/A</v>
      </c>
      <c r="N1430" s="395"/>
      <c r="R1430" s="391"/>
    </row>
    <row r="1431" spans="12:18">
      <c r="L1431" s="394" t="e">
        <f ca="1">IF(NOT(OFFSET(Data!E1434,0,MATCH('Delta Beta'!$C$5,Data!$B$4:$Q$4,0)-3)=""),OFFSET(Data!E1434,0,MATCH('Delta Beta'!$C$5,Data!$B$4:$Q$4,0)-3),#N/A)-$C$8/250</f>
        <v>#N/A</v>
      </c>
      <c r="M1431" s="394" t="e">
        <f ca="1">IF(NOT(OFFSET(Data!E1434,0,MATCH('Delta Beta'!$C$5,Data!$B$4:$Q$4,0)-1)=""),OFFSET(Data!E1434,0,MATCH('Delta Beta'!$C$5,Data!$B$4:$Q$4,0)-1),#N/A)-$C$8/250</f>
        <v>#N/A</v>
      </c>
      <c r="N1431" s="395"/>
      <c r="R1431" s="391"/>
    </row>
    <row r="1432" spans="12:18">
      <c r="L1432" s="394" t="e">
        <f ca="1">IF(NOT(OFFSET(Data!E1435,0,MATCH('Delta Beta'!$C$5,Data!$B$4:$Q$4,0)-3)=""),OFFSET(Data!E1435,0,MATCH('Delta Beta'!$C$5,Data!$B$4:$Q$4,0)-3),#N/A)-$C$8/250</f>
        <v>#N/A</v>
      </c>
      <c r="M1432" s="394" t="e">
        <f ca="1">IF(NOT(OFFSET(Data!E1435,0,MATCH('Delta Beta'!$C$5,Data!$B$4:$Q$4,0)-1)=""),OFFSET(Data!E1435,0,MATCH('Delta Beta'!$C$5,Data!$B$4:$Q$4,0)-1),#N/A)-$C$8/250</f>
        <v>#N/A</v>
      </c>
      <c r="N1432" s="395"/>
      <c r="R1432" s="391"/>
    </row>
    <row r="1433" spans="12:18">
      <c r="L1433" s="394" t="e">
        <f ca="1">IF(NOT(OFFSET(Data!E1436,0,MATCH('Delta Beta'!$C$5,Data!$B$4:$Q$4,0)-3)=""),OFFSET(Data!E1436,0,MATCH('Delta Beta'!$C$5,Data!$B$4:$Q$4,0)-3),#N/A)-$C$8/250</f>
        <v>#N/A</v>
      </c>
      <c r="M1433" s="394" t="e">
        <f ca="1">IF(NOT(OFFSET(Data!E1436,0,MATCH('Delta Beta'!$C$5,Data!$B$4:$Q$4,0)-1)=""),OFFSET(Data!E1436,0,MATCH('Delta Beta'!$C$5,Data!$B$4:$Q$4,0)-1),#N/A)-$C$8/250</f>
        <v>#N/A</v>
      </c>
      <c r="N1433" s="395"/>
      <c r="R1433" s="391"/>
    </row>
    <row r="1434" spans="12:18">
      <c r="L1434" s="394" t="e">
        <f ca="1">IF(NOT(OFFSET(Data!E1437,0,MATCH('Delta Beta'!$C$5,Data!$B$4:$Q$4,0)-3)=""),OFFSET(Data!E1437,0,MATCH('Delta Beta'!$C$5,Data!$B$4:$Q$4,0)-3),#N/A)-$C$8/250</f>
        <v>#N/A</v>
      </c>
      <c r="M1434" s="394" t="e">
        <f ca="1">IF(NOT(OFFSET(Data!E1437,0,MATCH('Delta Beta'!$C$5,Data!$B$4:$Q$4,0)-1)=""),OFFSET(Data!E1437,0,MATCH('Delta Beta'!$C$5,Data!$B$4:$Q$4,0)-1),#N/A)-$C$8/250</f>
        <v>#N/A</v>
      </c>
      <c r="N1434" s="395"/>
      <c r="R1434" s="391"/>
    </row>
    <row r="1435" spans="12:18">
      <c r="L1435" s="394" t="e">
        <f ca="1">IF(NOT(OFFSET(Data!E1438,0,MATCH('Delta Beta'!$C$5,Data!$B$4:$Q$4,0)-3)=""),OFFSET(Data!E1438,0,MATCH('Delta Beta'!$C$5,Data!$B$4:$Q$4,0)-3),#N/A)-$C$8/250</f>
        <v>#N/A</v>
      </c>
      <c r="M1435" s="394" t="e">
        <f ca="1">IF(NOT(OFFSET(Data!E1438,0,MATCH('Delta Beta'!$C$5,Data!$B$4:$Q$4,0)-1)=""),OFFSET(Data!E1438,0,MATCH('Delta Beta'!$C$5,Data!$B$4:$Q$4,0)-1),#N/A)-$C$8/250</f>
        <v>#N/A</v>
      </c>
      <c r="N1435" s="395"/>
      <c r="R1435" s="391"/>
    </row>
    <row r="1436" spans="12:18">
      <c r="L1436" s="394" t="e">
        <f ca="1">IF(NOT(OFFSET(Data!E1439,0,MATCH('Delta Beta'!$C$5,Data!$B$4:$Q$4,0)-3)=""),OFFSET(Data!E1439,0,MATCH('Delta Beta'!$C$5,Data!$B$4:$Q$4,0)-3),#N/A)-$C$8/250</f>
        <v>#N/A</v>
      </c>
      <c r="M1436" s="394" t="e">
        <f ca="1">IF(NOT(OFFSET(Data!E1439,0,MATCH('Delta Beta'!$C$5,Data!$B$4:$Q$4,0)-1)=""),OFFSET(Data!E1439,0,MATCH('Delta Beta'!$C$5,Data!$B$4:$Q$4,0)-1),#N/A)-$C$8/250</f>
        <v>#N/A</v>
      </c>
      <c r="N1436" s="395"/>
      <c r="R1436" s="391"/>
    </row>
    <row r="1437" spans="12:18">
      <c r="L1437" s="394" t="e">
        <f ca="1">IF(NOT(OFFSET(Data!E1440,0,MATCH('Delta Beta'!$C$5,Data!$B$4:$Q$4,0)-3)=""),OFFSET(Data!E1440,0,MATCH('Delta Beta'!$C$5,Data!$B$4:$Q$4,0)-3),#N/A)-$C$8/250</f>
        <v>#N/A</v>
      </c>
      <c r="M1437" s="394" t="e">
        <f ca="1">IF(NOT(OFFSET(Data!E1440,0,MATCH('Delta Beta'!$C$5,Data!$B$4:$Q$4,0)-1)=""),OFFSET(Data!E1440,0,MATCH('Delta Beta'!$C$5,Data!$B$4:$Q$4,0)-1),#N/A)-$C$8/250</f>
        <v>#N/A</v>
      </c>
      <c r="N1437" s="395"/>
      <c r="R1437" s="391"/>
    </row>
    <row r="1438" spans="12:18">
      <c r="L1438" s="394" t="e">
        <f ca="1">IF(NOT(OFFSET(Data!E1441,0,MATCH('Delta Beta'!$C$5,Data!$B$4:$Q$4,0)-3)=""),OFFSET(Data!E1441,0,MATCH('Delta Beta'!$C$5,Data!$B$4:$Q$4,0)-3),#N/A)-$C$8/250</f>
        <v>#N/A</v>
      </c>
      <c r="M1438" s="394" t="e">
        <f ca="1">IF(NOT(OFFSET(Data!E1441,0,MATCH('Delta Beta'!$C$5,Data!$B$4:$Q$4,0)-1)=""),OFFSET(Data!E1441,0,MATCH('Delta Beta'!$C$5,Data!$B$4:$Q$4,0)-1),#N/A)-$C$8/250</f>
        <v>#N/A</v>
      </c>
      <c r="N1438" s="395"/>
      <c r="R1438" s="391"/>
    </row>
    <row r="1439" spans="12:18">
      <c r="L1439" s="394" t="e">
        <f ca="1">IF(NOT(OFFSET(Data!E1442,0,MATCH('Delta Beta'!$C$5,Data!$B$4:$Q$4,0)-3)=""),OFFSET(Data!E1442,0,MATCH('Delta Beta'!$C$5,Data!$B$4:$Q$4,0)-3),#N/A)-$C$8/250</f>
        <v>#N/A</v>
      </c>
      <c r="M1439" s="394" t="e">
        <f ca="1">IF(NOT(OFFSET(Data!E1442,0,MATCH('Delta Beta'!$C$5,Data!$B$4:$Q$4,0)-1)=""),OFFSET(Data!E1442,0,MATCH('Delta Beta'!$C$5,Data!$B$4:$Q$4,0)-1),#N/A)-$C$8/250</f>
        <v>#N/A</v>
      </c>
      <c r="N1439" s="395"/>
      <c r="R1439" s="391"/>
    </row>
    <row r="1440" spans="12:18">
      <c r="L1440" s="394" t="e">
        <f ca="1">IF(NOT(OFFSET(Data!E1443,0,MATCH('Delta Beta'!$C$5,Data!$B$4:$Q$4,0)-3)=""),OFFSET(Data!E1443,0,MATCH('Delta Beta'!$C$5,Data!$B$4:$Q$4,0)-3),#N/A)-$C$8/250</f>
        <v>#N/A</v>
      </c>
      <c r="M1440" s="394" t="e">
        <f ca="1">IF(NOT(OFFSET(Data!E1443,0,MATCH('Delta Beta'!$C$5,Data!$B$4:$Q$4,0)-1)=""),OFFSET(Data!E1443,0,MATCH('Delta Beta'!$C$5,Data!$B$4:$Q$4,0)-1),#N/A)-$C$8/250</f>
        <v>#N/A</v>
      </c>
      <c r="N1440" s="395"/>
      <c r="R1440" s="391"/>
    </row>
    <row r="1441" spans="12:18">
      <c r="L1441" s="394" t="e">
        <f ca="1">IF(NOT(OFFSET(Data!E1444,0,MATCH('Delta Beta'!$C$5,Data!$B$4:$Q$4,0)-3)=""),OFFSET(Data!E1444,0,MATCH('Delta Beta'!$C$5,Data!$B$4:$Q$4,0)-3),#N/A)-$C$8/250</f>
        <v>#N/A</v>
      </c>
      <c r="M1441" s="394" t="e">
        <f ca="1">IF(NOT(OFFSET(Data!E1444,0,MATCH('Delta Beta'!$C$5,Data!$B$4:$Q$4,0)-1)=""),OFFSET(Data!E1444,0,MATCH('Delta Beta'!$C$5,Data!$B$4:$Q$4,0)-1),#N/A)-$C$8/250</f>
        <v>#N/A</v>
      </c>
      <c r="N1441" s="395"/>
      <c r="R1441" s="391"/>
    </row>
    <row r="1442" spans="12:18">
      <c r="L1442" s="394" t="e">
        <f ca="1">IF(NOT(OFFSET(Data!E1445,0,MATCH('Delta Beta'!$C$5,Data!$B$4:$Q$4,0)-3)=""),OFFSET(Data!E1445,0,MATCH('Delta Beta'!$C$5,Data!$B$4:$Q$4,0)-3),#N/A)-$C$8/250</f>
        <v>#N/A</v>
      </c>
      <c r="M1442" s="394" t="e">
        <f ca="1">IF(NOT(OFFSET(Data!E1445,0,MATCH('Delta Beta'!$C$5,Data!$B$4:$Q$4,0)-1)=""),OFFSET(Data!E1445,0,MATCH('Delta Beta'!$C$5,Data!$B$4:$Q$4,0)-1),#N/A)-$C$8/250</f>
        <v>#N/A</v>
      </c>
      <c r="N1442" s="395"/>
      <c r="R1442" s="391"/>
    </row>
    <row r="1443" spans="12:18">
      <c r="L1443" s="394" t="e">
        <f ca="1">IF(NOT(OFFSET(Data!E1446,0,MATCH('Delta Beta'!$C$5,Data!$B$4:$Q$4,0)-3)=""),OFFSET(Data!E1446,0,MATCH('Delta Beta'!$C$5,Data!$B$4:$Q$4,0)-3),#N/A)-$C$8/250</f>
        <v>#N/A</v>
      </c>
      <c r="M1443" s="394" t="e">
        <f ca="1">IF(NOT(OFFSET(Data!E1446,0,MATCH('Delta Beta'!$C$5,Data!$B$4:$Q$4,0)-1)=""),OFFSET(Data!E1446,0,MATCH('Delta Beta'!$C$5,Data!$B$4:$Q$4,0)-1),#N/A)-$C$8/250</f>
        <v>#N/A</v>
      </c>
      <c r="N1443" s="395"/>
      <c r="R1443" s="391"/>
    </row>
    <row r="1444" spans="12:18">
      <c r="L1444" s="394" t="e">
        <f ca="1">IF(NOT(OFFSET(Data!E1447,0,MATCH('Delta Beta'!$C$5,Data!$B$4:$Q$4,0)-3)=""),OFFSET(Data!E1447,0,MATCH('Delta Beta'!$C$5,Data!$B$4:$Q$4,0)-3),#N/A)-$C$8/250</f>
        <v>#N/A</v>
      </c>
      <c r="M1444" s="394" t="e">
        <f ca="1">IF(NOT(OFFSET(Data!E1447,0,MATCH('Delta Beta'!$C$5,Data!$B$4:$Q$4,0)-1)=""),OFFSET(Data!E1447,0,MATCH('Delta Beta'!$C$5,Data!$B$4:$Q$4,0)-1),#N/A)-$C$8/250</f>
        <v>#N/A</v>
      </c>
      <c r="N1444" s="395"/>
      <c r="R1444" s="391"/>
    </row>
    <row r="1445" spans="12:18">
      <c r="L1445" s="394" t="e">
        <f ca="1">IF(NOT(OFFSET(Data!E1448,0,MATCH('Delta Beta'!$C$5,Data!$B$4:$Q$4,0)-3)=""),OFFSET(Data!E1448,0,MATCH('Delta Beta'!$C$5,Data!$B$4:$Q$4,0)-3),#N/A)-$C$8/250</f>
        <v>#N/A</v>
      </c>
      <c r="M1445" s="394" t="e">
        <f ca="1">IF(NOT(OFFSET(Data!E1448,0,MATCH('Delta Beta'!$C$5,Data!$B$4:$Q$4,0)-1)=""),OFFSET(Data!E1448,0,MATCH('Delta Beta'!$C$5,Data!$B$4:$Q$4,0)-1),#N/A)-$C$8/250</f>
        <v>#N/A</v>
      </c>
      <c r="N1445" s="395"/>
      <c r="R1445" s="391"/>
    </row>
    <row r="1446" spans="12:18">
      <c r="L1446" s="394" t="e">
        <f ca="1">IF(NOT(OFFSET(Data!E1449,0,MATCH('Delta Beta'!$C$5,Data!$B$4:$Q$4,0)-3)=""),OFFSET(Data!E1449,0,MATCH('Delta Beta'!$C$5,Data!$B$4:$Q$4,0)-3),#N/A)-$C$8/250</f>
        <v>#N/A</v>
      </c>
      <c r="M1446" s="394" t="e">
        <f ca="1">IF(NOT(OFFSET(Data!E1449,0,MATCH('Delta Beta'!$C$5,Data!$B$4:$Q$4,0)-1)=""),OFFSET(Data!E1449,0,MATCH('Delta Beta'!$C$5,Data!$B$4:$Q$4,0)-1),#N/A)-$C$8/250</f>
        <v>#N/A</v>
      </c>
      <c r="N1446" s="395"/>
      <c r="R1446" s="391"/>
    </row>
    <row r="1447" spans="12:18">
      <c r="L1447" s="394" t="e">
        <f ca="1">IF(NOT(OFFSET(Data!E1450,0,MATCH('Delta Beta'!$C$5,Data!$B$4:$Q$4,0)-3)=""),OFFSET(Data!E1450,0,MATCH('Delta Beta'!$C$5,Data!$B$4:$Q$4,0)-3),#N/A)-$C$8/250</f>
        <v>#N/A</v>
      </c>
      <c r="M1447" s="394" t="e">
        <f ca="1">IF(NOT(OFFSET(Data!E1450,0,MATCH('Delta Beta'!$C$5,Data!$B$4:$Q$4,0)-1)=""),OFFSET(Data!E1450,0,MATCH('Delta Beta'!$C$5,Data!$B$4:$Q$4,0)-1),#N/A)-$C$8/250</f>
        <v>#N/A</v>
      </c>
      <c r="N1447" s="395"/>
      <c r="R1447" s="391"/>
    </row>
    <row r="1448" spans="12:18">
      <c r="L1448" s="394" t="e">
        <f ca="1">IF(NOT(OFFSET(Data!E1451,0,MATCH('Delta Beta'!$C$5,Data!$B$4:$Q$4,0)-3)=""),OFFSET(Data!E1451,0,MATCH('Delta Beta'!$C$5,Data!$B$4:$Q$4,0)-3),#N/A)-$C$8/250</f>
        <v>#N/A</v>
      </c>
      <c r="M1448" s="394" t="e">
        <f ca="1">IF(NOT(OFFSET(Data!E1451,0,MATCH('Delta Beta'!$C$5,Data!$B$4:$Q$4,0)-1)=""),OFFSET(Data!E1451,0,MATCH('Delta Beta'!$C$5,Data!$B$4:$Q$4,0)-1),#N/A)-$C$8/250</f>
        <v>#N/A</v>
      </c>
      <c r="N1448" s="395"/>
      <c r="R1448" s="391"/>
    </row>
    <row r="1449" spans="12:18">
      <c r="L1449" s="394" t="e">
        <f ca="1">IF(NOT(OFFSET(Data!E1452,0,MATCH('Delta Beta'!$C$5,Data!$B$4:$Q$4,0)-3)=""),OFFSET(Data!E1452,0,MATCH('Delta Beta'!$C$5,Data!$B$4:$Q$4,0)-3),#N/A)-$C$8/250</f>
        <v>#N/A</v>
      </c>
      <c r="M1449" s="394" t="e">
        <f ca="1">IF(NOT(OFFSET(Data!E1452,0,MATCH('Delta Beta'!$C$5,Data!$B$4:$Q$4,0)-1)=""),OFFSET(Data!E1452,0,MATCH('Delta Beta'!$C$5,Data!$B$4:$Q$4,0)-1),#N/A)-$C$8/250</f>
        <v>#N/A</v>
      </c>
      <c r="N1449" s="395"/>
      <c r="R1449" s="391"/>
    </row>
    <row r="1450" spans="12:18">
      <c r="L1450" s="394" t="e">
        <f ca="1">IF(NOT(OFFSET(Data!E1453,0,MATCH('Delta Beta'!$C$5,Data!$B$4:$Q$4,0)-3)=""),OFFSET(Data!E1453,0,MATCH('Delta Beta'!$C$5,Data!$B$4:$Q$4,0)-3),#N/A)-$C$8/250</f>
        <v>#N/A</v>
      </c>
      <c r="M1450" s="394" t="e">
        <f ca="1">IF(NOT(OFFSET(Data!E1453,0,MATCH('Delta Beta'!$C$5,Data!$B$4:$Q$4,0)-1)=""),OFFSET(Data!E1453,0,MATCH('Delta Beta'!$C$5,Data!$B$4:$Q$4,0)-1),#N/A)-$C$8/250</f>
        <v>#N/A</v>
      </c>
      <c r="N1450" s="395"/>
      <c r="R1450" s="391"/>
    </row>
    <row r="1451" spans="12:18">
      <c r="L1451" s="394" t="e">
        <f ca="1">IF(NOT(OFFSET(Data!E1454,0,MATCH('Delta Beta'!$C$5,Data!$B$4:$Q$4,0)-3)=""),OFFSET(Data!E1454,0,MATCH('Delta Beta'!$C$5,Data!$B$4:$Q$4,0)-3),#N/A)-$C$8/250</f>
        <v>#N/A</v>
      </c>
      <c r="M1451" s="394" t="e">
        <f ca="1">IF(NOT(OFFSET(Data!E1454,0,MATCH('Delta Beta'!$C$5,Data!$B$4:$Q$4,0)-1)=""),OFFSET(Data!E1454,0,MATCH('Delta Beta'!$C$5,Data!$B$4:$Q$4,0)-1),#N/A)-$C$8/250</f>
        <v>#N/A</v>
      </c>
      <c r="N1451" s="395"/>
      <c r="R1451" s="391"/>
    </row>
    <row r="1452" spans="12:18">
      <c r="L1452" s="394" t="e">
        <f ca="1">IF(NOT(OFFSET(Data!E1455,0,MATCH('Delta Beta'!$C$5,Data!$B$4:$Q$4,0)-3)=""),OFFSET(Data!E1455,0,MATCH('Delta Beta'!$C$5,Data!$B$4:$Q$4,0)-3),#N/A)-$C$8/250</f>
        <v>#N/A</v>
      </c>
      <c r="M1452" s="394" t="e">
        <f ca="1">IF(NOT(OFFSET(Data!E1455,0,MATCH('Delta Beta'!$C$5,Data!$B$4:$Q$4,0)-1)=""),OFFSET(Data!E1455,0,MATCH('Delta Beta'!$C$5,Data!$B$4:$Q$4,0)-1),#N/A)-$C$8/250</f>
        <v>#N/A</v>
      </c>
      <c r="N1452" s="395"/>
      <c r="R1452" s="391"/>
    </row>
    <row r="1453" spans="12:18">
      <c r="L1453" s="394" t="e">
        <f ca="1">IF(NOT(OFFSET(Data!E1456,0,MATCH('Delta Beta'!$C$5,Data!$B$4:$Q$4,0)-3)=""),OFFSET(Data!E1456,0,MATCH('Delta Beta'!$C$5,Data!$B$4:$Q$4,0)-3),#N/A)-$C$8/250</f>
        <v>#N/A</v>
      </c>
      <c r="M1453" s="394" t="e">
        <f ca="1">IF(NOT(OFFSET(Data!E1456,0,MATCH('Delta Beta'!$C$5,Data!$B$4:$Q$4,0)-1)=""),OFFSET(Data!E1456,0,MATCH('Delta Beta'!$C$5,Data!$B$4:$Q$4,0)-1),#N/A)-$C$8/250</f>
        <v>#N/A</v>
      </c>
      <c r="N1453" s="395"/>
      <c r="R1453" s="391"/>
    </row>
    <row r="1454" spans="12:18">
      <c r="L1454" s="394" t="e">
        <f ca="1">IF(NOT(OFFSET(Data!E1457,0,MATCH('Delta Beta'!$C$5,Data!$B$4:$Q$4,0)-3)=""),OFFSET(Data!E1457,0,MATCH('Delta Beta'!$C$5,Data!$B$4:$Q$4,0)-3),#N/A)-$C$8/250</f>
        <v>#N/A</v>
      </c>
      <c r="M1454" s="394" t="e">
        <f ca="1">IF(NOT(OFFSET(Data!E1457,0,MATCH('Delta Beta'!$C$5,Data!$B$4:$Q$4,0)-1)=""),OFFSET(Data!E1457,0,MATCH('Delta Beta'!$C$5,Data!$B$4:$Q$4,0)-1),#N/A)-$C$8/250</f>
        <v>#N/A</v>
      </c>
      <c r="N1454" s="395"/>
      <c r="R1454" s="391"/>
    </row>
    <row r="1455" spans="12:18">
      <c r="L1455" s="394" t="e">
        <f ca="1">IF(NOT(OFFSET(Data!E1458,0,MATCH('Delta Beta'!$C$5,Data!$B$4:$Q$4,0)-3)=""),OFFSET(Data!E1458,0,MATCH('Delta Beta'!$C$5,Data!$B$4:$Q$4,0)-3),#N/A)-$C$8/250</f>
        <v>#N/A</v>
      </c>
      <c r="M1455" s="394" t="e">
        <f ca="1">IF(NOT(OFFSET(Data!E1458,0,MATCH('Delta Beta'!$C$5,Data!$B$4:$Q$4,0)-1)=""),OFFSET(Data!E1458,0,MATCH('Delta Beta'!$C$5,Data!$B$4:$Q$4,0)-1),#N/A)-$C$8/250</f>
        <v>#N/A</v>
      </c>
      <c r="N1455" s="395"/>
      <c r="R1455" s="391"/>
    </row>
    <row r="1456" spans="12:18">
      <c r="L1456" s="394" t="e">
        <f ca="1">IF(NOT(OFFSET(Data!E1459,0,MATCH('Delta Beta'!$C$5,Data!$B$4:$Q$4,0)-3)=""),OFFSET(Data!E1459,0,MATCH('Delta Beta'!$C$5,Data!$B$4:$Q$4,0)-3),#N/A)-$C$8/250</f>
        <v>#N/A</v>
      </c>
      <c r="M1456" s="394" t="e">
        <f ca="1">IF(NOT(OFFSET(Data!E1459,0,MATCH('Delta Beta'!$C$5,Data!$B$4:$Q$4,0)-1)=""),OFFSET(Data!E1459,0,MATCH('Delta Beta'!$C$5,Data!$B$4:$Q$4,0)-1),#N/A)-$C$8/250</f>
        <v>#N/A</v>
      </c>
      <c r="N1456" s="395"/>
      <c r="R1456" s="391"/>
    </row>
    <row r="1457" spans="12:18">
      <c r="L1457" s="394" t="e">
        <f ca="1">IF(NOT(OFFSET(Data!E1460,0,MATCH('Delta Beta'!$C$5,Data!$B$4:$Q$4,0)-3)=""),OFFSET(Data!E1460,0,MATCH('Delta Beta'!$C$5,Data!$B$4:$Q$4,0)-3),#N/A)-$C$8/250</f>
        <v>#N/A</v>
      </c>
      <c r="M1457" s="394" t="e">
        <f ca="1">IF(NOT(OFFSET(Data!E1460,0,MATCH('Delta Beta'!$C$5,Data!$B$4:$Q$4,0)-1)=""),OFFSET(Data!E1460,0,MATCH('Delta Beta'!$C$5,Data!$B$4:$Q$4,0)-1),#N/A)-$C$8/250</f>
        <v>#N/A</v>
      </c>
      <c r="N1457" s="395"/>
      <c r="R1457" s="391"/>
    </row>
    <row r="1458" spans="12:18">
      <c r="L1458" s="394" t="e">
        <f ca="1">IF(NOT(OFFSET(Data!E1461,0,MATCH('Delta Beta'!$C$5,Data!$B$4:$Q$4,0)-3)=""),OFFSET(Data!E1461,0,MATCH('Delta Beta'!$C$5,Data!$B$4:$Q$4,0)-3),#N/A)-$C$8/250</f>
        <v>#N/A</v>
      </c>
      <c r="M1458" s="394" t="e">
        <f ca="1">IF(NOT(OFFSET(Data!E1461,0,MATCH('Delta Beta'!$C$5,Data!$B$4:$Q$4,0)-1)=""),OFFSET(Data!E1461,0,MATCH('Delta Beta'!$C$5,Data!$B$4:$Q$4,0)-1),#N/A)-$C$8/250</f>
        <v>#N/A</v>
      </c>
      <c r="N1458" s="395"/>
      <c r="R1458" s="391"/>
    </row>
    <row r="1459" spans="12:18">
      <c r="L1459" s="394" t="e">
        <f ca="1">IF(NOT(OFFSET(Data!E1462,0,MATCH('Delta Beta'!$C$5,Data!$B$4:$Q$4,0)-3)=""),OFFSET(Data!E1462,0,MATCH('Delta Beta'!$C$5,Data!$B$4:$Q$4,0)-3),#N/A)-$C$8/250</f>
        <v>#N/A</v>
      </c>
      <c r="M1459" s="394" t="e">
        <f ca="1">IF(NOT(OFFSET(Data!E1462,0,MATCH('Delta Beta'!$C$5,Data!$B$4:$Q$4,0)-1)=""),OFFSET(Data!E1462,0,MATCH('Delta Beta'!$C$5,Data!$B$4:$Q$4,0)-1),#N/A)-$C$8/250</f>
        <v>#N/A</v>
      </c>
      <c r="N1459" s="395"/>
      <c r="R1459" s="391"/>
    </row>
    <row r="1460" spans="12:18">
      <c r="L1460" s="394" t="e">
        <f ca="1">IF(NOT(OFFSET(Data!E1463,0,MATCH('Delta Beta'!$C$5,Data!$B$4:$Q$4,0)-3)=""),OFFSET(Data!E1463,0,MATCH('Delta Beta'!$C$5,Data!$B$4:$Q$4,0)-3),#N/A)-$C$8/250</f>
        <v>#N/A</v>
      </c>
      <c r="M1460" s="394" t="e">
        <f ca="1">IF(NOT(OFFSET(Data!E1463,0,MATCH('Delta Beta'!$C$5,Data!$B$4:$Q$4,0)-1)=""),OFFSET(Data!E1463,0,MATCH('Delta Beta'!$C$5,Data!$B$4:$Q$4,0)-1),#N/A)-$C$8/250</f>
        <v>#N/A</v>
      </c>
      <c r="N1460" s="395"/>
      <c r="R1460" s="391"/>
    </row>
    <row r="1461" spans="12:18">
      <c r="L1461" s="394" t="e">
        <f ca="1">IF(NOT(OFFSET(Data!E1464,0,MATCH('Delta Beta'!$C$5,Data!$B$4:$Q$4,0)-3)=""),OFFSET(Data!E1464,0,MATCH('Delta Beta'!$C$5,Data!$B$4:$Q$4,0)-3),#N/A)-$C$8/250</f>
        <v>#N/A</v>
      </c>
      <c r="M1461" s="394" t="e">
        <f ca="1">IF(NOT(OFFSET(Data!E1464,0,MATCH('Delta Beta'!$C$5,Data!$B$4:$Q$4,0)-1)=""),OFFSET(Data!E1464,0,MATCH('Delta Beta'!$C$5,Data!$B$4:$Q$4,0)-1),#N/A)-$C$8/250</f>
        <v>#N/A</v>
      </c>
      <c r="N1461" s="395"/>
      <c r="R1461" s="391"/>
    </row>
    <row r="1462" spans="12:18">
      <c r="L1462" s="394" t="e">
        <f ca="1">IF(NOT(OFFSET(Data!E1465,0,MATCH('Delta Beta'!$C$5,Data!$B$4:$Q$4,0)-3)=""),OFFSET(Data!E1465,0,MATCH('Delta Beta'!$C$5,Data!$B$4:$Q$4,0)-3),#N/A)-$C$8/250</f>
        <v>#N/A</v>
      </c>
      <c r="M1462" s="394" t="e">
        <f ca="1">IF(NOT(OFFSET(Data!E1465,0,MATCH('Delta Beta'!$C$5,Data!$B$4:$Q$4,0)-1)=""),OFFSET(Data!E1465,0,MATCH('Delta Beta'!$C$5,Data!$B$4:$Q$4,0)-1),#N/A)-$C$8/250</f>
        <v>#N/A</v>
      </c>
      <c r="N1462" s="395"/>
      <c r="R1462" s="391"/>
    </row>
    <row r="1463" spans="12:18">
      <c r="L1463" s="394" t="e">
        <f ca="1">IF(NOT(OFFSET(Data!E1466,0,MATCH('Delta Beta'!$C$5,Data!$B$4:$Q$4,0)-3)=""),OFFSET(Data!E1466,0,MATCH('Delta Beta'!$C$5,Data!$B$4:$Q$4,0)-3),#N/A)-$C$8/250</f>
        <v>#N/A</v>
      </c>
      <c r="M1463" s="394" t="e">
        <f ca="1">IF(NOT(OFFSET(Data!E1466,0,MATCH('Delta Beta'!$C$5,Data!$B$4:$Q$4,0)-1)=""),OFFSET(Data!E1466,0,MATCH('Delta Beta'!$C$5,Data!$B$4:$Q$4,0)-1),#N/A)-$C$8/250</f>
        <v>#N/A</v>
      </c>
      <c r="N1463" s="395"/>
      <c r="R1463" s="391"/>
    </row>
    <row r="1464" spans="12:18">
      <c r="L1464" s="394" t="e">
        <f ca="1">IF(NOT(OFFSET(Data!E1467,0,MATCH('Delta Beta'!$C$5,Data!$B$4:$Q$4,0)-3)=""),OFFSET(Data!E1467,0,MATCH('Delta Beta'!$C$5,Data!$B$4:$Q$4,0)-3),#N/A)-$C$8/250</f>
        <v>#N/A</v>
      </c>
      <c r="M1464" s="394" t="e">
        <f ca="1">IF(NOT(OFFSET(Data!E1467,0,MATCH('Delta Beta'!$C$5,Data!$B$4:$Q$4,0)-1)=""),OFFSET(Data!E1467,0,MATCH('Delta Beta'!$C$5,Data!$B$4:$Q$4,0)-1),#N/A)-$C$8/250</f>
        <v>#N/A</v>
      </c>
      <c r="N1464" s="395"/>
      <c r="R1464" s="391"/>
    </row>
    <row r="1465" spans="12:18">
      <c r="L1465" s="394" t="e">
        <f ca="1">IF(NOT(OFFSET(Data!E1468,0,MATCH('Delta Beta'!$C$5,Data!$B$4:$Q$4,0)-3)=""),OFFSET(Data!E1468,0,MATCH('Delta Beta'!$C$5,Data!$B$4:$Q$4,0)-3),#N/A)-$C$8/250</f>
        <v>#N/A</v>
      </c>
      <c r="M1465" s="394" t="e">
        <f ca="1">IF(NOT(OFFSET(Data!E1468,0,MATCH('Delta Beta'!$C$5,Data!$B$4:$Q$4,0)-1)=""),OFFSET(Data!E1468,0,MATCH('Delta Beta'!$C$5,Data!$B$4:$Q$4,0)-1),#N/A)-$C$8/250</f>
        <v>#N/A</v>
      </c>
      <c r="N1465" s="395"/>
      <c r="R1465" s="391"/>
    </row>
    <row r="1466" spans="12:18">
      <c r="L1466" s="394" t="e">
        <f ca="1">IF(NOT(OFFSET(Data!E1469,0,MATCH('Delta Beta'!$C$5,Data!$B$4:$Q$4,0)-3)=""),OFFSET(Data!E1469,0,MATCH('Delta Beta'!$C$5,Data!$B$4:$Q$4,0)-3),#N/A)-$C$8/250</f>
        <v>#N/A</v>
      </c>
      <c r="M1466" s="394" t="e">
        <f ca="1">IF(NOT(OFFSET(Data!E1469,0,MATCH('Delta Beta'!$C$5,Data!$B$4:$Q$4,0)-1)=""),OFFSET(Data!E1469,0,MATCH('Delta Beta'!$C$5,Data!$B$4:$Q$4,0)-1),#N/A)-$C$8/250</f>
        <v>#N/A</v>
      </c>
      <c r="N1466" s="395"/>
      <c r="R1466" s="391"/>
    </row>
    <row r="1467" spans="12:18">
      <c r="L1467" s="394" t="e">
        <f ca="1">IF(NOT(OFFSET(Data!E1470,0,MATCH('Delta Beta'!$C$5,Data!$B$4:$Q$4,0)-3)=""),OFFSET(Data!E1470,0,MATCH('Delta Beta'!$C$5,Data!$B$4:$Q$4,0)-3),#N/A)-$C$8/250</f>
        <v>#N/A</v>
      </c>
      <c r="M1467" s="394" t="e">
        <f ca="1">IF(NOT(OFFSET(Data!E1470,0,MATCH('Delta Beta'!$C$5,Data!$B$4:$Q$4,0)-1)=""),OFFSET(Data!E1470,0,MATCH('Delta Beta'!$C$5,Data!$B$4:$Q$4,0)-1),#N/A)-$C$8/250</f>
        <v>#N/A</v>
      </c>
      <c r="N1467" s="395"/>
      <c r="R1467" s="391"/>
    </row>
    <row r="1468" spans="12:18">
      <c r="L1468" s="394" t="e">
        <f ca="1">IF(NOT(OFFSET(Data!E1471,0,MATCH('Delta Beta'!$C$5,Data!$B$4:$Q$4,0)-3)=""),OFFSET(Data!E1471,0,MATCH('Delta Beta'!$C$5,Data!$B$4:$Q$4,0)-3),#N/A)-$C$8/250</f>
        <v>#N/A</v>
      </c>
      <c r="M1468" s="394" t="e">
        <f ca="1">IF(NOT(OFFSET(Data!E1471,0,MATCH('Delta Beta'!$C$5,Data!$B$4:$Q$4,0)-1)=""),OFFSET(Data!E1471,0,MATCH('Delta Beta'!$C$5,Data!$B$4:$Q$4,0)-1),#N/A)-$C$8/250</f>
        <v>#N/A</v>
      </c>
      <c r="N1468" s="395"/>
      <c r="R1468" s="391"/>
    </row>
    <row r="1469" spans="12:18">
      <c r="L1469" s="394" t="e">
        <f ca="1">IF(NOT(OFFSET(Data!E1472,0,MATCH('Delta Beta'!$C$5,Data!$B$4:$Q$4,0)-3)=""),OFFSET(Data!E1472,0,MATCH('Delta Beta'!$C$5,Data!$B$4:$Q$4,0)-3),#N/A)-$C$8/250</f>
        <v>#N/A</v>
      </c>
      <c r="M1469" s="394" t="e">
        <f ca="1">IF(NOT(OFFSET(Data!E1472,0,MATCH('Delta Beta'!$C$5,Data!$B$4:$Q$4,0)-1)=""),OFFSET(Data!E1472,0,MATCH('Delta Beta'!$C$5,Data!$B$4:$Q$4,0)-1),#N/A)-$C$8/250</f>
        <v>#N/A</v>
      </c>
      <c r="N1469" s="395"/>
      <c r="R1469" s="391"/>
    </row>
    <row r="1470" spans="12:18">
      <c r="L1470" s="394" t="e">
        <f ca="1">IF(NOT(OFFSET(Data!E1473,0,MATCH('Delta Beta'!$C$5,Data!$B$4:$Q$4,0)-3)=""),OFFSET(Data!E1473,0,MATCH('Delta Beta'!$C$5,Data!$B$4:$Q$4,0)-3),#N/A)-$C$8/250</f>
        <v>#N/A</v>
      </c>
      <c r="M1470" s="394" t="e">
        <f ca="1">IF(NOT(OFFSET(Data!E1473,0,MATCH('Delta Beta'!$C$5,Data!$B$4:$Q$4,0)-1)=""),OFFSET(Data!E1473,0,MATCH('Delta Beta'!$C$5,Data!$B$4:$Q$4,0)-1),#N/A)-$C$8/250</f>
        <v>#N/A</v>
      </c>
      <c r="N1470" s="395"/>
      <c r="R1470" s="391"/>
    </row>
    <row r="1471" spans="12:18">
      <c r="L1471" s="394" t="e">
        <f ca="1">IF(NOT(OFFSET(Data!E1474,0,MATCH('Delta Beta'!$C$5,Data!$B$4:$Q$4,0)-3)=""),OFFSET(Data!E1474,0,MATCH('Delta Beta'!$C$5,Data!$B$4:$Q$4,0)-3),#N/A)-$C$8/250</f>
        <v>#N/A</v>
      </c>
      <c r="M1471" s="394" t="e">
        <f ca="1">IF(NOT(OFFSET(Data!E1474,0,MATCH('Delta Beta'!$C$5,Data!$B$4:$Q$4,0)-1)=""),OFFSET(Data!E1474,0,MATCH('Delta Beta'!$C$5,Data!$B$4:$Q$4,0)-1),#N/A)-$C$8/250</f>
        <v>#N/A</v>
      </c>
      <c r="N1471" s="395"/>
      <c r="R1471" s="391"/>
    </row>
    <row r="1472" spans="12:18">
      <c r="L1472" s="394" t="e">
        <f ca="1">IF(NOT(OFFSET(Data!E1475,0,MATCH('Delta Beta'!$C$5,Data!$B$4:$Q$4,0)-3)=""),OFFSET(Data!E1475,0,MATCH('Delta Beta'!$C$5,Data!$B$4:$Q$4,0)-3),#N/A)-$C$8/250</f>
        <v>#N/A</v>
      </c>
      <c r="M1472" s="394" t="e">
        <f ca="1">IF(NOT(OFFSET(Data!E1475,0,MATCH('Delta Beta'!$C$5,Data!$B$4:$Q$4,0)-1)=""),OFFSET(Data!E1475,0,MATCH('Delta Beta'!$C$5,Data!$B$4:$Q$4,0)-1),#N/A)-$C$8/250</f>
        <v>#N/A</v>
      </c>
      <c r="N1472" s="395"/>
      <c r="R1472" s="391"/>
    </row>
    <row r="1473" spans="12:18">
      <c r="L1473" s="394" t="e">
        <f ca="1">IF(NOT(OFFSET(Data!E1476,0,MATCH('Delta Beta'!$C$5,Data!$B$4:$Q$4,0)-3)=""),OFFSET(Data!E1476,0,MATCH('Delta Beta'!$C$5,Data!$B$4:$Q$4,0)-3),#N/A)-$C$8/250</f>
        <v>#N/A</v>
      </c>
      <c r="M1473" s="394" t="e">
        <f ca="1">IF(NOT(OFFSET(Data!E1476,0,MATCH('Delta Beta'!$C$5,Data!$B$4:$Q$4,0)-1)=""),OFFSET(Data!E1476,0,MATCH('Delta Beta'!$C$5,Data!$B$4:$Q$4,0)-1),#N/A)-$C$8/250</f>
        <v>#N/A</v>
      </c>
      <c r="N1473" s="395"/>
      <c r="R1473" s="391"/>
    </row>
    <row r="1474" spans="12:18">
      <c r="L1474" s="394" t="e">
        <f ca="1">IF(NOT(OFFSET(Data!E1477,0,MATCH('Delta Beta'!$C$5,Data!$B$4:$Q$4,0)-3)=""),OFFSET(Data!E1477,0,MATCH('Delta Beta'!$C$5,Data!$B$4:$Q$4,0)-3),#N/A)-$C$8/250</f>
        <v>#N/A</v>
      </c>
      <c r="M1474" s="394" t="e">
        <f ca="1">IF(NOT(OFFSET(Data!E1477,0,MATCH('Delta Beta'!$C$5,Data!$B$4:$Q$4,0)-1)=""),OFFSET(Data!E1477,0,MATCH('Delta Beta'!$C$5,Data!$B$4:$Q$4,0)-1),#N/A)-$C$8/250</f>
        <v>#N/A</v>
      </c>
      <c r="N1474" s="395"/>
      <c r="R1474" s="391"/>
    </row>
    <row r="1475" spans="12:18">
      <c r="L1475" s="394" t="e">
        <f ca="1">IF(NOT(OFFSET(Data!E1478,0,MATCH('Delta Beta'!$C$5,Data!$B$4:$Q$4,0)-3)=""),OFFSET(Data!E1478,0,MATCH('Delta Beta'!$C$5,Data!$B$4:$Q$4,0)-3),#N/A)-$C$8/250</f>
        <v>#N/A</v>
      </c>
      <c r="M1475" s="394" t="e">
        <f ca="1">IF(NOT(OFFSET(Data!E1478,0,MATCH('Delta Beta'!$C$5,Data!$B$4:$Q$4,0)-1)=""),OFFSET(Data!E1478,0,MATCH('Delta Beta'!$C$5,Data!$B$4:$Q$4,0)-1),#N/A)-$C$8/250</f>
        <v>#N/A</v>
      </c>
      <c r="N1475" s="395"/>
      <c r="R1475" s="391"/>
    </row>
    <row r="1476" spans="12:18">
      <c r="L1476" s="394" t="e">
        <f ca="1">IF(NOT(OFFSET(Data!E1479,0,MATCH('Delta Beta'!$C$5,Data!$B$4:$Q$4,0)-3)=""),OFFSET(Data!E1479,0,MATCH('Delta Beta'!$C$5,Data!$B$4:$Q$4,0)-3),#N/A)-$C$8/250</f>
        <v>#N/A</v>
      </c>
      <c r="M1476" s="394" t="e">
        <f ca="1">IF(NOT(OFFSET(Data!E1479,0,MATCH('Delta Beta'!$C$5,Data!$B$4:$Q$4,0)-1)=""),OFFSET(Data!E1479,0,MATCH('Delta Beta'!$C$5,Data!$B$4:$Q$4,0)-1),#N/A)-$C$8/250</f>
        <v>#N/A</v>
      </c>
      <c r="N1476" s="395"/>
      <c r="R1476" s="391"/>
    </row>
    <row r="1477" spans="12:18">
      <c r="L1477" s="394" t="e">
        <f ca="1">IF(NOT(OFFSET(Data!E1480,0,MATCH('Delta Beta'!$C$5,Data!$B$4:$Q$4,0)-3)=""),OFFSET(Data!E1480,0,MATCH('Delta Beta'!$C$5,Data!$B$4:$Q$4,0)-3),#N/A)-$C$8/250</f>
        <v>#N/A</v>
      </c>
      <c r="M1477" s="394" t="e">
        <f ca="1">IF(NOT(OFFSET(Data!E1480,0,MATCH('Delta Beta'!$C$5,Data!$B$4:$Q$4,0)-1)=""),OFFSET(Data!E1480,0,MATCH('Delta Beta'!$C$5,Data!$B$4:$Q$4,0)-1),#N/A)-$C$8/250</f>
        <v>#N/A</v>
      </c>
      <c r="N1477" s="395"/>
      <c r="R1477" s="391"/>
    </row>
    <row r="1478" spans="12:18">
      <c r="L1478" s="394" t="e">
        <f ca="1">IF(NOT(OFFSET(Data!E1481,0,MATCH('Delta Beta'!$C$5,Data!$B$4:$Q$4,0)-3)=""),OFFSET(Data!E1481,0,MATCH('Delta Beta'!$C$5,Data!$B$4:$Q$4,0)-3),#N/A)-$C$8/250</f>
        <v>#N/A</v>
      </c>
      <c r="M1478" s="394" t="e">
        <f ca="1">IF(NOT(OFFSET(Data!E1481,0,MATCH('Delta Beta'!$C$5,Data!$B$4:$Q$4,0)-1)=""),OFFSET(Data!E1481,0,MATCH('Delta Beta'!$C$5,Data!$B$4:$Q$4,0)-1),#N/A)-$C$8/250</f>
        <v>#N/A</v>
      </c>
      <c r="N1478" s="395"/>
      <c r="R1478" s="391"/>
    </row>
    <row r="1479" spans="12:18">
      <c r="L1479" s="394" t="e">
        <f ca="1">IF(NOT(OFFSET(Data!E1482,0,MATCH('Delta Beta'!$C$5,Data!$B$4:$Q$4,0)-3)=""),OFFSET(Data!E1482,0,MATCH('Delta Beta'!$C$5,Data!$B$4:$Q$4,0)-3),#N/A)-$C$8/250</f>
        <v>#N/A</v>
      </c>
      <c r="M1479" s="394" t="e">
        <f ca="1">IF(NOT(OFFSET(Data!E1482,0,MATCH('Delta Beta'!$C$5,Data!$B$4:$Q$4,0)-1)=""),OFFSET(Data!E1482,0,MATCH('Delta Beta'!$C$5,Data!$B$4:$Q$4,0)-1),#N/A)-$C$8/250</f>
        <v>#N/A</v>
      </c>
      <c r="N1479" s="395"/>
      <c r="R1479" s="391"/>
    </row>
    <row r="1480" spans="12:18">
      <c r="L1480" s="394" t="e">
        <f ca="1">IF(NOT(OFFSET(Data!E1483,0,MATCH('Delta Beta'!$C$5,Data!$B$4:$Q$4,0)-3)=""),OFFSET(Data!E1483,0,MATCH('Delta Beta'!$C$5,Data!$B$4:$Q$4,0)-3),#N/A)-$C$8/250</f>
        <v>#N/A</v>
      </c>
      <c r="M1480" s="394" t="e">
        <f ca="1">IF(NOT(OFFSET(Data!E1483,0,MATCH('Delta Beta'!$C$5,Data!$B$4:$Q$4,0)-1)=""),OFFSET(Data!E1483,0,MATCH('Delta Beta'!$C$5,Data!$B$4:$Q$4,0)-1),#N/A)-$C$8/250</f>
        <v>#N/A</v>
      </c>
      <c r="N1480" s="395"/>
      <c r="R1480" s="391"/>
    </row>
    <row r="1481" spans="12:18">
      <c r="L1481" s="394" t="e">
        <f ca="1">IF(NOT(OFFSET(Data!E1484,0,MATCH('Delta Beta'!$C$5,Data!$B$4:$Q$4,0)-3)=""),OFFSET(Data!E1484,0,MATCH('Delta Beta'!$C$5,Data!$B$4:$Q$4,0)-3),#N/A)-$C$8/250</f>
        <v>#N/A</v>
      </c>
      <c r="M1481" s="394" t="e">
        <f ca="1">IF(NOT(OFFSET(Data!E1484,0,MATCH('Delta Beta'!$C$5,Data!$B$4:$Q$4,0)-1)=""),OFFSET(Data!E1484,0,MATCH('Delta Beta'!$C$5,Data!$B$4:$Q$4,0)-1),#N/A)-$C$8/250</f>
        <v>#N/A</v>
      </c>
      <c r="N1481" s="395"/>
      <c r="R1481" s="391"/>
    </row>
    <row r="1482" spans="12:18">
      <c r="L1482" s="394" t="e">
        <f ca="1">IF(NOT(OFFSET(Data!E1485,0,MATCH('Delta Beta'!$C$5,Data!$B$4:$Q$4,0)-3)=""),OFFSET(Data!E1485,0,MATCH('Delta Beta'!$C$5,Data!$B$4:$Q$4,0)-3),#N/A)-$C$8/250</f>
        <v>#N/A</v>
      </c>
      <c r="M1482" s="394" t="e">
        <f ca="1">IF(NOT(OFFSET(Data!E1485,0,MATCH('Delta Beta'!$C$5,Data!$B$4:$Q$4,0)-1)=""),OFFSET(Data!E1485,0,MATCH('Delta Beta'!$C$5,Data!$B$4:$Q$4,0)-1),#N/A)-$C$8/250</f>
        <v>#N/A</v>
      </c>
      <c r="N1482" s="395"/>
      <c r="R1482" s="391"/>
    </row>
    <row r="1483" spans="12:18">
      <c r="L1483" s="394" t="e">
        <f ca="1">IF(NOT(OFFSET(Data!E1486,0,MATCH('Delta Beta'!$C$5,Data!$B$4:$Q$4,0)-3)=""),OFFSET(Data!E1486,0,MATCH('Delta Beta'!$C$5,Data!$B$4:$Q$4,0)-3),#N/A)-$C$8/250</f>
        <v>#N/A</v>
      </c>
      <c r="M1483" s="394" t="e">
        <f ca="1">IF(NOT(OFFSET(Data!E1486,0,MATCH('Delta Beta'!$C$5,Data!$B$4:$Q$4,0)-1)=""),OFFSET(Data!E1486,0,MATCH('Delta Beta'!$C$5,Data!$B$4:$Q$4,0)-1),#N/A)-$C$8/250</f>
        <v>#N/A</v>
      </c>
      <c r="N1483" s="395"/>
      <c r="R1483" s="391"/>
    </row>
    <row r="1484" spans="12:18">
      <c r="L1484" s="394" t="e">
        <f ca="1">IF(NOT(OFFSET(Data!E1487,0,MATCH('Delta Beta'!$C$5,Data!$B$4:$Q$4,0)-3)=""),OFFSET(Data!E1487,0,MATCH('Delta Beta'!$C$5,Data!$B$4:$Q$4,0)-3),#N/A)-$C$8/250</f>
        <v>#N/A</v>
      </c>
      <c r="M1484" s="394" t="e">
        <f ca="1">IF(NOT(OFFSET(Data!E1487,0,MATCH('Delta Beta'!$C$5,Data!$B$4:$Q$4,0)-1)=""),OFFSET(Data!E1487,0,MATCH('Delta Beta'!$C$5,Data!$B$4:$Q$4,0)-1),#N/A)-$C$8/250</f>
        <v>#N/A</v>
      </c>
      <c r="N1484" s="395"/>
      <c r="R1484" s="391"/>
    </row>
    <row r="1485" spans="12:18">
      <c r="L1485" s="394" t="e">
        <f ca="1">IF(NOT(OFFSET(Data!E1488,0,MATCH('Delta Beta'!$C$5,Data!$B$4:$Q$4,0)-3)=""),OFFSET(Data!E1488,0,MATCH('Delta Beta'!$C$5,Data!$B$4:$Q$4,0)-3),#N/A)-$C$8/250</f>
        <v>#N/A</v>
      </c>
      <c r="M1485" s="394" t="e">
        <f ca="1">IF(NOT(OFFSET(Data!E1488,0,MATCH('Delta Beta'!$C$5,Data!$B$4:$Q$4,0)-1)=""),OFFSET(Data!E1488,0,MATCH('Delta Beta'!$C$5,Data!$B$4:$Q$4,0)-1),#N/A)-$C$8/250</f>
        <v>#N/A</v>
      </c>
      <c r="N1485" s="395"/>
      <c r="R1485" s="391"/>
    </row>
    <row r="1486" spans="12:18">
      <c r="L1486" s="394" t="e">
        <f ca="1">IF(NOT(OFFSET(Data!E1489,0,MATCH('Delta Beta'!$C$5,Data!$B$4:$Q$4,0)-3)=""),OFFSET(Data!E1489,0,MATCH('Delta Beta'!$C$5,Data!$B$4:$Q$4,0)-3),#N/A)-$C$8/250</f>
        <v>#N/A</v>
      </c>
      <c r="M1486" s="394" t="e">
        <f ca="1">IF(NOT(OFFSET(Data!E1489,0,MATCH('Delta Beta'!$C$5,Data!$B$4:$Q$4,0)-1)=""),OFFSET(Data!E1489,0,MATCH('Delta Beta'!$C$5,Data!$B$4:$Q$4,0)-1),#N/A)-$C$8/250</f>
        <v>#N/A</v>
      </c>
      <c r="N1486" s="395"/>
      <c r="R1486" s="391"/>
    </row>
    <row r="1487" spans="12:18">
      <c r="L1487" s="394" t="e">
        <f ca="1">IF(NOT(OFFSET(Data!E1490,0,MATCH('Delta Beta'!$C$5,Data!$B$4:$Q$4,0)-3)=""),OFFSET(Data!E1490,0,MATCH('Delta Beta'!$C$5,Data!$B$4:$Q$4,0)-3),#N/A)-$C$8/250</f>
        <v>#N/A</v>
      </c>
      <c r="M1487" s="394" t="e">
        <f ca="1">IF(NOT(OFFSET(Data!E1490,0,MATCH('Delta Beta'!$C$5,Data!$B$4:$Q$4,0)-1)=""),OFFSET(Data!E1490,0,MATCH('Delta Beta'!$C$5,Data!$B$4:$Q$4,0)-1),#N/A)-$C$8/250</f>
        <v>#N/A</v>
      </c>
      <c r="N1487" s="395"/>
      <c r="R1487" s="391"/>
    </row>
    <row r="1488" spans="12:18">
      <c r="L1488" s="394" t="e">
        <f ca="1">IF(NOT(OFFSET(Data!E1491,0,MATCH('Delta Beta'!$C$5,Data!$B$4:$Q$4,0)-3)=""),OFFSET(Data!E1491,0,MATCH('Delta Beta'!$C$5,Data!$B$4:$Q$4,0)-3),#N/A)-$C$8/250</f>
        <v>#N/A</v>
      </c>
      <c r="M1488" s="394" t="e">
        <f ca="1">IF(NOT(OFFSET(Data!E1491,0,MATCH('Delta Beta'!$C$5,Data!$B$4:$Q$4,0)-1)=""),OFFSET(Data!E1491,0,MATCH('Delta Beta'!$C$5,Data!$B$4:$Q$4,0)-1),#N/A)-$C$8/250</f>
        <v>#N/A</v>
      </c>
      <c r="N1488" s="395"/>
      <c r="R1488" s="391"/>
    </row>
    <row r="1489" spans="12:18">
      <c r="L1489" s="394" t="e">
        <f ca="1">IF(NOT(OFFSET(Data!E1492,0,MATCH('Delta Beta'!$C$5,Data!$B$4:$Q$4,0)-3)=""),OFFSET(Data!E1492,0,MATCH('Delta Beta'!$C$5,Data!$B$4:$Q$4,0)-3),#N/A)-$C$8/250</f>
        <v>#N/A</v>
      </c>
      <c r="M1489" s="394" t="e">
        <f ca="1">IF(NOT(OFFSET(Data!E1492,0,MATCH('Delta Beta'!$C$5,Data!$B$4:$Q$4,0)-1)=""),OFFSET(Data!E1492,0,MATCH('Delta Beta'!$C$5,Data!$B$4:$Q$4,0)-1),#N/A)-$C$8/250</f>
        <v>#N/A</v>
      </c>
      <c r="N1489" s="395"/>
      <c r="R1489" s="391"/>
    </row>
    <row r="1490" spans="12:18">
      <c r="L1490" s="394" t="e">
        <f ca="1">IF(NOT(OFFSET(Data!E1493,0,MATCH('Delta Beta'!$C$5,Data!$B$4:$Q$4,0)-3)=""),OFFSET(Data!E1493,0,MATCH('Delta Beta'!$C$5,Data!$B$4:$Q$4,0)-3),#N/A)-$C$8/250</f>
        <v>#N/A</v>
      </c>
      <c r="M1490" s="394" t="e">
        <f ca="1">IF(NOT(OFFSET(Data!E1493,0,MATCH('Delta Beta'!$C$5,Data!$B$4:$Q$4,0)-1)=""),OFFSET(Data!E1493,0,MATCH('Delta Beta'!$C$5,Data!$B$4:$Q$4,0)-1),#N/A)-$C$8/250</f>
        <v>#N/A</v>
      </c>
      <c r="N1490" s="395"/>
      <c r="R1490" s="391"/>
    </row>
    <row r="1491" spans="12:18">
      <c r="L1491" s="394" t="e">
        <f ca="1">IF(NOT(OFFSET(Data!E1494,0,MATCH('Delta Beta'!$C$5,Data!$B$4:$Q$4,0)-3)=""),OFFSET(Data!E1494,0,MATCH('Delta Beta'!$C$5,Data!$B$4:$Q$4,0)-3),#N/A)-$C$8/250</f>
        <v>#N/A</v>
      </c>
      <c r="M1491" s="394" t="e">
        <f ca="1">IF(NOT(OFFSET(Data!E1494,0,MATCH('Delta Beta'!$C$5,Data!$B$4:$Q$4,0)-1)=""),OFFSET(Data!E1494,0,MATCH('Delta Beta'!$C$5,Data!$B$4:$Q$4,0)-1),#N/A)-$C$8/250</f>
        <v>#N/A</v>
      </c>
      <c r="N1491" s="395"/>
      <c r="R1491" s="391"/>
    </row>
    <row r="1492" spans="12:18">
      <c r="L1492" s="394" t="e">
        <f ca="1">IF(NOT(OFFSET(Data!E1495,0,MATCH('Delta Beta'!$C$5,Data!$B$4:$Q$4,0)-3)=""),OFFSET(Data!E1495,0,MATCH('Delta Beta'!$C$5,Data!$B$4:$Q$4,0)-3),#N/A)-$C$8/250</f>
        <v>#N/A</v>
      </c>
      <c r="M1492" s="394" t="e">
        <f ca="1">IF(NOT(OFFSET(Data!E1495,0,MATCH('Delta Beta'!$C$5,Data!$B$4:$Q$4,0)-1)=""),OFFSET(Data!E1495,0,MATCH('Delta Beta'!$C$5,Data!$B$4:$Q$4,0)-1),#N/A)-$C$8/250</f>
        <v>#N/A</v>
      </c>
      <c r="N1492" s="395"/>
      <c r="R1492" s="391"/>
    </row>
    <row r="1493" spans="12:18">
      <c r="L1493" s="394" t="e">
        <f ca="1">IF(NOT(OFFSET(Data!E1496,0,MATCH('Delta Beta'!$C$5,Data!$B$4:$Q$4,0)-3)=""),OFFSET(Data!E1496,0,MATCH('Delta Beta'!$C$5,Data!$B$4:$Q$4,0)-3),#N/A)-$C$8/250</f>
        <v>#N/A</v>
      </c>
      <c r="M1493" s="394" t="e">
        <f ca="1">IF(NOT(OFFSET(Data!E1496,0,MATCH('Delta Beta'!$C$5,Data!$B$4:$Q$4,0)-1)=""),OFFSET(Data!E1496,0,MATCH('Delta Beta'!$C$5,Data!$B$4:$Q$4,0)-1),#N/A)-$C$8/250</f>
        <v>#N/A</v>
      </c>
      <c r="N1493" s="395"/>
      <c r="R1493" s="391"/>
    </row>
    <row r="1494" spans="12:18">
      <c r="L1494" s="394" t="e">
        <f ca="1">IF(NOT(OFFSET(Data!E1497,0,MATCH('Delta Beta'!$C$5,Data!$B$4:$Q$4,0)-3)=""),OFFSET(Data!E1497,0,MATCH('Delta Beta'!$C$5,Data!$B$4:$Q$4,0)-3),#N/A)-$C$8/250</f>
        <v>#N/A</v>
      </c>
      <c r="M1494" s="394" t="e">
        <f ca="1">IF(NOT(OFFSET(Data!E1497,0,MATCH('Delta Beta'!$C$5,Data!$B$4:$Q$4,0)-1)=""),OFFSET(Data!E1497,0,MATCH('Delta Beta'!$C$5,Data!$B$4:$Q$4,0)-1),#N/A)-$C$8/250</f>
        <v>#N/A</v>
      </c>
      <c r="N1494" s="395"/>
      <c r="R1494" s="391"/>
    </row>
    <row r="1495" spans="12:18">
      <c r="L1495" s="394" t="e">
        <f ca="1">IF(NOT(OFFSET(Data!E1498,0,MATCH('Delta Beta'!$C$5,Data!$B$4:$Q$4,0)-3)=""),OFFSET(Data!E1498,0,MATCH('Delta Beta'!$C$5,Data!$B$4:$Q$4,0)-3),#N/A)-$C$8/250</f>
        <v>#N/A</v>
      </c>
      <c r="M1495" s="394" t="e">
        <f ca="1">IF(NOT(OFFSET(Data!E1498,0,MATCH('Delta Beta'!$C$5,Data!$B$4:$Q$4,0)-1)=""),OFFSET(Data!E1498,0,MATCH('Delta Beta'!$C$5,Data!$B$4:$Q$4,0)-1),#N/A)-$C$8/250</f>
        <v>#N/A</v>
      </c>
      <c r="N1495" s="395"/>
      <c r="R1495" s="391"/>
    </row>
    <row r="1496" spans="12:18">
      <c r="L1496" s="394" t="e">
        <f ca="1">IF(NOT(OFFSET(Data!E1499,0,MATCH('Delta Beta'!$C$5,Data!$B$4:$Q$4,0)-3)=""),OFFSET(Data!E1499,0,MATCH('Delta Beta'!$C$5,Data!$B$4:$Q$4,0)-3),#N/A)-$C$8/250</f>
        <v>#N/A</v>
      </c>
      <c r="M1496" s="394" t="e">
        <f ca="1">IF(NOT(OFFSET(Data!E1499,0,MATCH('Delta Beta'!$C$5,Data!$B$4:$Q$4,0)-1)=""),OFFSET(Data!E1499,0,MATCH('Delta Beta'!$C$5,Data!$B$4:$Q$4,0)-1),#N/A)-$C$8/250</f>
        <v>#N/A</v>
      </c>
      <c r="N1496" s="395"/>
      <c r="R1496" s="391"/>
    </row>
    <row r="1497" spans="12:18">
      <c r="L1497" s="394" t="e">
        <f ca="1">IF(NOT(OFFSET(Data!E1500,0,MATCH('Delta Beta'!$C$5,Data!$B$4:$Q$4,0)-3)=""),OFFSET(Data!E1500,0,MATCH('Delta Beta'!$C$5,Data!$B$4:$Q$4,0)-3),#N/A)-$C$8/250</f>
        <v>#N/A</v>
      </c>
      <c r="M1497" s="394" t="e">
        <f ca="1">IF(NOT(OFFSET(Data!E1500,0,MATCH('Delta Beta'!$C$5,Data!$B$4:$Q$4,0)-1)=""),OFFSET(Data!E1500,0,MATCH('Delta Beta'!$C$5,Data!$B$4:$Q$4,0)-1),#N/A)-$C$8/250</f>
        <v>#N/A</v>
      </c>
      <c r="N1497" s="395"/>
      <c r="R1497" s="391"/>
    </row>
    <row r="1498" spans="12:18">
      <c r="L1498" s="394" t="e">
        <f ca="1">IF(NOT(OFFSET(Data!E1501,0,MATCH('Delta Beta'!$C$5,Data!$B$4:$Q$4,0)-3)=""),OFFSET(Data!E1501,0,MATCH('Delta Beta'!$C$5,Data!$B$4:$Q$4,0)-3),#N/A)-$C$8/250</f>
        <v>#N/A</v>
      </c>
      <c r="M1498" s="394" t="e">
        <f ca="1">IF(NOT(OFFSET(Data!E1501,0,MATCH('Delta Beta'!$C$5,Data!$B$4:$Q$4,0)-1)=""),OFFSET(Data!E1501,0,MATCH('Delta Beta'!$C$5,Data!$B$4:$Q$4,0)-1),#N/A)-$C$8/250</f>
        <v>#N/A</v>
      </c>
      <c r="N1498" s="395"/>
      <c r="R1498" s="391"/>
    </row>
    <row r="1499" spans="12:18">
      <c r="L1499" s="394" t="e">
        <f ca="1">IF(NOT(OFFSET(Data!E1502,0,MATCH('Delta Beta'!$C$5,Data!$B$4:$Q$4,0)-3)=""),OFFSET(Data!E1502,0,MATCH('Delta Beta'!$C$5,Data!$B$4:$Q$4,0)-3),#N/A)-$C$8/250</f>
        <v>#N/A</v>
      </c>
      <c r="M1499" s="394" t="e">
        <f ca="1">IF(NOT(OFFSET(Data!E1502,0,MATCH('Delta Beta'!$C$5,Data!$B$4:$Q$4,0)-1)=""),OFFSET(Data!E1502,0,MATCH('Delta Beta'!$C$5,Data!$B$4:$Q$4,0)-1),#N/A)-$C$8/250</f>
        <v>#N/A</v>
      </c>
      <c r="N1499" s="395"/>
      <c r="R1499" s="391"/>
    </row>
    <row r="1500" spans="12:18">
      <c r="L1500" s="394" t="e">
        <f ca="1">IF(NOT(OFFSET(Data!E1503,0,MATCH('Delta Beta'!$C$5,Data!$B$4:$Q$4,0)-3)=""),OFFSET(Data!E1503,0,MATCH('Delta Beta'!$C$5,Data!$B$4:$Q$4,0)-3),#N/A)-$C$8/250</f>
        <v>#N/A</v>
      </c>
      <c r="M1500" s="394" t="e">
        <f ca="1">IF(NOT(OFFSET(Data!E1503,0,MATCH('Delta Beta'!$C$5,Data!$B$4:$Q$4,0)-1)=""),OFFSET(Data!E1503,0,MATCH('Delta Beta'!$C$5,Data!$B$4:$Q$4,0)-1),#N/A)-$C$8/250</f>
        <v>#N/A</v>
      </c>
      <c r="N1500" s="395"/>
      <c r="R1500" s="391"/>
    </row>
    <row r="1501" spans="12:18">
      <c r="L1501" s="394" t="e">
        <f ca="1">IF(NOT(OFFSET(Data!E1504,0,MATCH('Delta Beta'!$C$5,Data!$B$4:$Q$4,0)-3)=""),OFFSET(Data!E1504,0,MATCH('Delta Beta'!$C$5,Data!$B$4:$Q$4,0)-3),#N/A)-$C$8/250</f>
        <v>#N/A</v>
      </c>
      <c r="M1501" s="394" t="e">
        <f ca="1">IF(NOT(OFFSET(Data!E1504,0,MATCH('Delta Beta'!$C$5,Data!$B$4:$Q$4,0)-1)=""),OFFSET(Data!E1504,0,MATCH('Delta Beta'!$C$5,Data!$B$4:$Q$4,0)-1),#N/A)-$C$8/250</f>
        <v>#N/A</v>
      </c>
      <c r="N1501" s="395"/>
      <c r="R1501" s="391"/>
    </row>
    <row r="1502" spans="12:18">
      <c r="L1502" s="394" t="e">
        <f ca="1">IF(NOT(OFFSET(Data!E1505,0,MATCH('Delta Beta'!$C$5,Data!$B$4:$Q$4,0)-3)=""),OFFSET(Data!E1505,0,MATCH('Delta Beta'!$C$5,Data!$B$4:$Q$4,0)-3),#N/A)-$C$8/250</f>
        <v>#N/A</v>
      </c>
      <c r="M1502" s="394" t="e">
        <f ca="1">IF(NOT(OFFSET(Data!E1505,0,MATCH('Delta Beta'!$C$5,Data!$B$4:$Q$4,0)-1)=""),OFFSET(Data!E1505,0,MATCH('Delta Beta'!$C$5,Data!$B$4:$Q$4,0)-1),#N/A)-$C$8/250</f>
        <v>#N/A</v>
      </c>
      <c r="N1502" s="395"/>
      <c r="R1502" s="391"/>
    </row>
    <row r="1503" spans="12:18">
      <c r="L1503" s="394" t="e">
        <f ca="1">IF(NOT(OFFSET(Data!E1506,0,MATCH('Delta Beta'!$C$5,Data!$B$4:$Q$4,0)-3)=""),OFFSET(Data!E1506,0,MATCH('Delta Beta'!$C$5,Data!$B$4:$Q$4,0)-3),#N/A)-$C$8/250</f>
        <v>#N/A</v>
      </c>
      <c r="M1503" s="394" t="e">
        <f ca="1">IF(NOT(OFFSET(Data!E1506,0,MATCH('Delta Beta'!$C$5,Data!$B$4:$Q$4,0)-1)=""),OFFSET(Data!E1506,0,MATCH('Delta Beta'!$C$5,Data!$B$4:$Q$4,0)-1),#N/A)-$C$8/250</f>
        <v>#N/A</v>
      </c>
      <c r="N1503" s="395"/>
      <c r="R1503" s="391"/>
    </row>
    <row r="1504" spans="12:18">
      <c r="L1504" s="394" t="e">
        <f ca="1">IF(NOT(OFFSET(Data!E1507,0,MATCH('Delta Beta'!$C$5,Data!$B$4:$Q$4,0)-3)=""),OFFSET(Data!E1507,0,MATCH('Delta Beta'!$C$5,Data!$B$4:$Q$4,0)-3),#N/A)-$C$8/250</f>
        <v>#N/A</v>
      </c>
      <c r="M1504" s="394" t="e">
        <f ca="1">IF(NOT(OFFSET(Data!E1507,0,MATCH('Delta Beta'!$C$5,Data!$B$4:$Q$4,0)-1)=""),OFFSET(Data!E1507,0,MATCH('Delta Beta'!$C$5,Data!$B$4:$Q$4,0)-1),#N/A)-$C$8/250</f>
        <v>#N/A</v>
      </c>
      <c r="N1504" s="395"/>
      <c r="R1504" s="391"/>
    </row>
    <row r="1505" spans="12:18">
      <c r="L1505" s="394" t="e">
        <f ca="1">IF(NOT(OFFSET(Data!E1508,0,MATCH('Delta Beta'!$C$5,Data!$B$4:$Q$4,0)-3)=""),OFFSET(Data!E1508,0,MATCH('Delta Beta'!$C$5,Data!$B$4:$Q$4,0)-3),#N/A)-$C$8/250</f>
        <v>#N/A</v>
      </c>
      <c r="M1505" s="394" t="e">
        <f ca="1">IF(NOT(OFFSET(Data!E1508,0,MATCH('Delta Beta'!$C$5,Data!$B$4:$Q$4,0)-1)=""),OFFSET(Data!E1508,0,MATCH('Delta Beta'!$C$5,Data!$B$4:$Q$4,0)-1),#N/A)-$C$8/250</f>
        <v>#N/A</v>
      </c>
      <c r="N1505" s="395"/>
      <c r="R1505" s="391"/>
    </row>
    <row r="1506" spans="12:18">
      <c r="L1506" s="394" t="e">
        <f ca="1">IF(NOT(OFFSET(Data!E1509,0,MATCH('Delta Beta'!$C$5,Data!$B$4:$Q$4,0)-3)=""),OFFSET(Data!E1509,0,MATCH('Delta Beta'!$C$5,Data!$B$4:$Q$4,0)-3),#N/A)-$C$8/250</f>
        <v>#N/A</v>
      </c>
      <c r="M1506" s="394" t="e">
        <f ca="1">IF(NOT(OFFSET(Data!E1509,0,MATCH('Delta Beta'!$C$5,Data!$B$4:$Q$4,0)-1)=""),OFFSET(Data!E1509,0,MATCH('Delta Beta'!$C$5,Data!$B$4:$Q$4,0)-1),#N/A)-$C$8/250</f>
        <v>#N/A</v>
      </c>
      <c r="N1506" s="395"/>
      <c r="R1506" s="391"/>
    </row>
    <row r="1507" spans="12:18">
      <c r="L1507" s="394" t="e">
        <f ca="1">IF(NOT(OFFSET(Data!E1510,0,MATCH('Delta Beta'!$C$5,Data!$B$4:$Q$4,0)-3)=""),OFFSET(Data!E1510,0,MATCH('Delta Beta'!$C$5,Data!$B$4:$Q$4,0)-3),#N/A)-$C$8/250</f>
        <v>#N/A</v>
      </c>
      <c r="M1507" s="394" t="e">
        <f ca="1">IF(NOT(OFFSET(Data!E1510,0,MATCH('Delta Beta'!$C$5,Data!$B$4:$Q$4,0)-1)=""),OFFSET(Data!E1510,0,MATCH('Delta Beta'!$C$5,Data!$B$4:$Q$4,0)-1),#N/A)-$C$8/250</f>
        <v>#N/A</v>
      </c>
      <c r="N1507" s="395"/>
      <c r="R1507" s="391"/>
    </row>
    <row r="1508" spans="12:18">
      <c r="L1508" s="394" t="e">
        <f ca="1">IF(NOT(OFFSET(Data!E1511,0,MATCH('Delta Beta'!$C$5,Data!$B$4:$Q$4,0)-3)=""),OFFSET(Data!E1511,0,MATCH('Delta Beta'!$C$5,Data!$B$4:$Q$4,0)-3),#N/A)-$C$8/250</f>
        <v>#N/A</v>
      </c>
      <c r="M1508" s="394" t="e">
        <f ca="1">IF(NOT(OFFSET(Data!E1511,0,MATCH('Delta Beta'!$C$5,Data!$B$4:$Q$4,0)-1)=""),OFFSET(Data!E1511,0,MATCH('Delta Beta'!$C$5,Data!$B$4:$Q$4,0)-1),#N/A)-$C$8/250</f>
        <v>#N/A</v>
      </c>
      <c r="N1508" s="395"/>
      <c r="R1508" s="391"/>
    </row>
    <row r="1509" spans="12:18">
      <c r="L1509" s="394" t="e">
        <f ca="1">IF(NOT(OFFSET(Data!E1512,0,MATCH('Delta Beta'!$C$5,Data!$B$4:$Q$4,0)-3)=""),OFFSET(Data!E1512,0,MATCH('Delta Beta'!$C$5,Data!$B$4:$Q$4,0)-3),#N/A)-$C$8/250</f>
        <v>#N/A</v>
      </c>
      <c r="M1509" s="394" t="e">
        <f ca="1">IF(NOT(OFFSET(Data!E1512,0,MATCH('Delta Beta'!$C$5,Data!$B$4:$Q$4,0)-1)=""),OFFSET(Data!E1512,0,MATCH('Delta Beta'!$C$5,Data!$B$4:$Q$4,0)-1),#N/A)-$C$8/250</f>
        <v>#N/A</v>
      </c>
      <c r="N1509" s="395"/>
      <c r="R1509" s="391"/>
    </row>
    <row r="1510" spans="12:18">
      <c r="L1510" s="394" t="e">
        <f ca="1">IF(NOT(OFFSET(Data!E1513,0,MATCH('Delta Beta'!$C$5,Data!$B$4:$Q$4,0)-3)=""),OFFSET(Data!E1513,0,MATCH('Delta Beta'!$C$5,Data!$B$4:$Q$4,0)-3),#N/A)-$C$8/250</f>
        <v>#N/A</v>
      </c>
      <c r="M1510" s="394" t="e">
        <f ca="1">IF(NOT(OFFSET(Data!E1513,0,MATCH('Delta Beta'!$C$5,Data!$B$4:$Q$4,0)-1)=""),OFFSET(Data!E1513,0,MATCH('Delta Beta'!$C$5,Data!$B$4:$Q$4,0)-1),#N/A)-$C$8/250</f>
        <v>#N/A</v>
      </c>
      <c r="N1510" s="395"/>
      <c r="R1510" s="391"/>
    </row>
    <row r="1511" spans="12:18">
      <c r="L1511" s="394" t="e">
        <f ca="1">IF(NOT(OFFSET(Data!E1514,0,MATCH('Delta Beta'!$C$5,Data!$B$4:$Q$4,0)-3)=""),OFFSET(Data!E1514,0,MATCH('Delta Beta'!$C$5,Data!$B$4:$Q$4,0)-3),#N/A)-$C$8/250</f>
        <v>#N/A</v>
      </c>
      <c r="M1511" s="394" t="e">
        <f ca="1">IF(NOT(OFFSET(Data!E1514,0,MATCH('Delta Beta'!$C$5,Data!$B$4:$Q$4,0)-1)=""),OFFSET(Data!E1514,0,MATCH('Delta Beta'!$C$5,Data!$B$4:$Q$4,0)-1),#N/A)-$C$8/250</f>
        <v>#N/A</v>
      </c>
      <c r="N1511" s="395"/>
      <c r="R1511" s="391"/>
    </row>
    <row r="1512" spans="12:18">
      <c r="L1512" s="394" t="e">
        <f ca="1">IF(NOT(OFFSET(Data!E1515,0,MATCH('Delta Beta'!$C$5,Data!$B$4:$Q$4,0)-3)=""),OFFSET(Data!E1515,0,MATCH('Delta Beta'!$C$5,Data!$B$4:$Q$4,0)-3),#N/A)-$C$8/250</f>
        <v>#N/A</v>
      </c>
      <c r="M1512" s="394" t="e">
        <f ca="1">IF(NOT(OFFSET(Data!E1515,0,MATCH('Delta Beta'!$C$5,Data!$B$4:$Q$4,0)-1)=""),OFFSET(Data!E1515,0,MATCH('Delta Beta'!$C$5,Data!$B$4:$Q$4,0)-1),#N/A)-$C$8/250</f>
        <v>#N/A</v>
      </c>
      <c r="N1512" s="395"/>
      <c r="R1512" s="391"/>
    </row>
    <row r="1513" spans="12:18">
      <c r="L1513" s="394" t="e">
        <f ca="1">IF(NOT(OFFSET(Data!E1516,0,MATCH('Delta Beta'!$C$5,Data!$B$4:$Q$4,0)-3)=""),OFFSET(Data!E1516,0,MATCH('Delta Beta'!$C$5,Data!$B$4:$Q$4,0)-3),#N/A)-$C$8/250</f>
        <v>#N/A</v>
      </c>
      <c r="M1513" s="394" t="e">
        <f ca="1">IF(NOT(OFFSET(Data!E1516,0,MATCH('Delta Beta'!$C$5,Data!$B$4:$Q$4,0)-1)=""),OFFSET(Data!E1516,0,MATCH('Delta Beta'!$C$5,Data!$B$4:$Q$4,0)-1),#N/A)-$C$8/250</f>
        <v>#N/A</v>
      </c>
      <c r="N1513" s="395"/>
      <c r="R1513" s="391"/>
    </row>
    <row r="1514" spans="12:18">
      <c r="L1514" s="394" t="e">
        <f ca="1">IF(NOT(OFFSET(Data!E1517,0,MATCH('Delta Beta'!$C$5,Data!$B$4:$Q$4,0)-3)=""),OFFSET(Data!E1517,0,MATCH('Delta Beta'!$C$5,Data!$B$4:$Q$4,0)-3),#N/A)-$C$8/250</f>
        <v>#N/A</v>
      </c>
      <c r="M1514" s="394" t="e">
        <f ca="1">IF(NOT(OFFSET(Data!E1517,0,MATCH('Delta Beta'!$C$5,Data!$B$4:$Q$4,0)-1)=""),OFFSET(Data!E1517,0,MATCH('Delta Beta'!$C$5,Data!$B$4:$Q$4,0)-1),#N/A)-$C$8/250</f>
        <v>#N/A</v>
      </c>
      <c r="N1514" s="395"/>
      <c r="R1514" s="391"/>
    </row>
    <row r="1515" spans="12:18">
      <c r="L1515" s="394" t="e">
        <f ca="1">IF(NOT(OFFSET(Data!E1518,0,MATCH('Delta Beta'!$C$5,Data!$B$4:$Q$4,0)-3)=""),OFFSET(Data!E1518,0,MATCH('Delta Beta'!$C$5,Data!$B$4:$Q$4,0)-3),#N/A)-$C$8/250</f>
        <v>#N/A</v>
      </c>
      <c r="M1515" s="394" t="e">
        <f ca="1">IF(NOT(OFFSET(Data!E1518,0,MATCH('Delta Beta'!$C$5,Data!$B$4:$Q$4,0)-1)=""),OFFSET(Data!E1518,0,MATCH('Delta Beta'!$C$5,Data!$B$4:$Q$4,0)-1),#N/A)-$C$8/250</f>
        <v>#N/A</v>
      </c>
      <c r="N1515" s="395"/>
      <c r="R1515" s="391"/>
    </row>
    <row r="1516" spans="12:18">
      <c r="L1516" s="394" t="e">
        <f ca="1">IF(NOT(OFFSET(Data!E1519,0,MATCH('Delta Beta'!$C$5,Data!$B$4:$Q$4,0)-3)=""),OFFSET(Data!E1519,0,MATCH('Delta Beta'!$C$5,Data!$B$4:$Q$4,0)-3),#N/A)-$C$8/250</f>
        <v>#N/A</v>
      </c>
      <c r="M1516" s="394" t="e">
        <f ca="1">IF(NOT(OFFSET(Data!E1519,0,MATCH('Delta Beta'!$C$5,Data!$B$4:$Q$4,0)-1)=""),OFFSET(Data!E1519,0,MATCH('Delta Beta'!$C$5,Data!$B$4:$Q$4,0)-1),#N/A)-$C$8/250</f>
        <v>#N/A</v>
      </c>
      <c r="N1516" s="395"/>
      <c r="R1516" s="391"/>
    </row>
    <row r="1517" spans="12:18">
      <c r="L1517" s="394" t="e">
        <f ca="1">IF(NOT(OFFSET(Data!E1520,0,MATCH('Delta Beta'!$C$5,Data!$B$4:$Q$4,0)-3)=""),OFFSET(Data!E1520,0,MATCH('Delta Beta'!$C$5,Data!$B$4:$Q$4,0)-3),#N/A)-$C$8/250</f>
        <v>#N/A</v>
      </c>
      <c r="M1517" s="394" t="e">
        <f ca="1">IF(NOT(OFFSET(Data!E1520,0,MATCH('Delta Beta'!$C$5,Data!$B$4:$Q$4,0)-1)=""),OFFSET(Data!E1520,0,MATCH('Delta Beta'!$C$5,Data!$B$4:$Q$4,0)-1),#N/A)-$C$8/250</f>
        <v>#N/A</v>
      </c>
      <c r="N1517" s="395"/>
      <c r="R1517" s="391"/>
    </row>
    <row r="1518" spans="12:18">
      <c r="L1518" s="394" t="e">
        <f ca="1">IF(NOT(OFFSET(Data!E1521,0,MATCH('Delta Beta'!$C$5,Data!$B$4:$Q$4,0)-3)=""),OFFSET(Data!E1521,0,MATCH('Delta Beta'!$C$5,Data!$B$4:$Q$4,0)-3),#N/A)-$C$8/250</f>
        <v>#N/A</v>
      </c>
      <c r="M1518" s="394" t="e">
        <f ca="1">IF(NOT(OFFSET(Data!E1521,0,MATCH('Delta Beta'!$C$5,Data!$B$4:$Q$4,0)-1)=""),OFFSET(Data!E1521,0,MATCH('Delta Beta'!$C$5,Data!$B$4:$Q$4,0)-1),#N/A)-$C$8/250</f>
        <v>#N/A</v>
      </c>
      <c r="N1518" s="395"/>
      <c r="R1518" s="391"/>
    </row>
    <row r="1519" spans="12:18">
      <c r="L1519" s="394" t="e">
        <f ca="1">IF(NOT(OFFSET(Data!E1522,0,MATCH('Delta Beta'!$C$5,Data!$B$4:$Q$4,0)-3)=""),OFFSET(Data!E1522,0,MATCH('Delta Beta'!$C$5,Data!$B$4:$Q$4,0)-3),#N/A)-$C$8/250</f>
        <v>#N/A</v>
      </c>
      <c r="M1519" s="394" t="e">
        <f ca="1">IF(NOT(OFFSET(Data!E1522,0,MATCH('Delta Beta'!$C$5,Data!$B$4:$Q$4,0)-1)=""),OFFSET(Data!E1522,0,MATCH('Delta Beta'!$C$5,Data!$B$4:$Q$4,0)-1),#N/A)-$C$8/250</f>
        <v>#N/A</v>
      </c>
      <c r="N1519" s="395"/>
      <c r="R1519" s="391"/>
    </row>
    <row r="1520" spans="12:18">
      <c r="L1520" s="394" t="e">
        <f ca="1">IF(NOT(OFFSET(Data!E1523,0,MATCH('Delta Beta'!$C$5,Data!$B$4:$Q$4,0)-3)=""),OFFSET(Data!E1523,0,MATCH('Delta Beta'!$C$5,Data!$B$4:$Q$4,0)-3),#N/A)-$C$8/250</f>
        <v>#N/A</v>
      </c>
      <c r="M1520" s="394" t="e">
        <f ca="1">IF(NOT(OFFSET(Data!E1523,0,MATCH('Delta Beta'!$C$5,Data!$B$4:$Q$4,0)-1)=""),OFFSET(Data!E1523,0,MATCH('Delta Beta'!$C$5,Data!$B$4:$Q$4,0)-1),#N/A)-$C$8/250</f>
        <v>#N/A</v>
      </c>
      <c r="N1520" s="395"/>
      <c r="R1520" s="391"/>
    </row>
    <row r="1521" spans="12:18">
      <c r="L1521" s="394" t="e">
        <f ca="1">IF(NOT(OFFSET(Data!E1524,0,MATCH('Delta Beta'!$C$5,Data!$B$4:$Q$4,0)-3)=""),OFFSET(Data!E1524,0,MATCH('Delta Beta'!$C$5,Data!$B$4:$Q$4,0)-3),#N/A)-$C$8/250</f>
        <v>#N/A</v>
      </c>
      <c r="M1521" s="394" t="e">
        <f ca="1">IF(NOT(OFFSET(Data!E1524,0,MATCH('Delta Beta'!$C$5,Data!$B$4:$Q$4,0)-1)=""),OFFSET(Data!E1524,0,MATCH('Delta Beta'!$C$5,Data!$B$4:$Q$4,0)-1),#N/A)-$C$8/250</f>
        <v>#N/A</v>
      </c>
      <c r="N1521" s="395"/>
      <c r="R1521" s="391"/>
    </row>
    <row r="1522" spans="12:18">
      <c r="L1522" s="394" t="e">
        <f ca="1">IF(NOT(OFFSET(Data!E1525,0,MATCH('Delta Beta'!$C$5,Data!$B$4:$Q$4,0)-3)=""),OFFSET(Data!E1525,0,MATCH('Delta Beta'!$C$5,Data!$B$4:$Q$4,0)-3),#N/A)-$C$8/250</f>
        <v>#N/A</v>
      </c>
      <c r="M1522" s="394" t="e">
        <f ca="1">IF(NOT(OFFSET(Data!E1525,0,MATCH('Delta Beta'!$C$5,Data!$B$4:$Q$4,0)-1)=""),OFFSET(Data!E1525,0,MATCH('Delta Beta'!$C$5,Data!$B$4:$Q$4,0)-1),#N/A)-$C$8/250</f>
        <v>#N/A</v>
      </c>
      <c r="N1522" s="395"/>
      <c r="R1522" s="391"/>
    </row>
    <row r="1523" spans="12:18">
      <c r="L1523" s="394" t="e">
        <f ca="1">IF(NOT(OFFSET(Data!E1526,0,MATCH('Delta Beta'!$C$5,Data!$B$4:$Q$4,0)-3)=""),OFFSET(Data!E1526,0,MATCH('Delta Beta'!$C$5,Data!$B$4:$Q$4,0)-3),#N/A)-$C$8/250</f>
        <v>#N/A</v>
      </c>
      <c r="M1523" s="394" t="e">
        <f ca="1">IF(NOT(OFFSET(Data!E1526,0,MATCH('Delta Beta'!$C$5,Data!$B$4:$Q$4,0)-1)=""),OFFSET(Data!E1526,0,MATCH('Delta Beta'!$C$5,Data!$B$4:$Q$4,0)-1),#N/A)-$C$8/250</f>
        <v>#N/A</v>
      </c>
      <c r="N1523" s="395"/>
      <c r="R1523" s="391"/>
    </row>
    <row r="1524" spans="12:18">
      <c r="L1524" s="394" t="e">
        <f ca="1">IF(NOT(OFFSET(Data!E1527,0,MATCH('Delta Beta'!$C$5,Data!$B$4:$Q$4,0)-3)=""),OFFSET(Data!E1527,0,MATCH('Delta Beta'!$C$5,Data!$B$4:$Q$4,0)-3),#N/A)-$C$8/250</f>
        <v>#N/A</v>
      </c>
      <c r="M1524" s="394" t="e">
        <f ca="1">IF(NOT(OFFSET(Data!E1527,0,MATCH('Delta Beta'!$C$5,Data!$B$4:$Q$4,0)-1)=""),OFFSET(Data!E1527,0,MATCH('Delta Beta'!$C$5,Data!$B$4:$Q$4,0)-1),#N/A)-$C$8/250</f>
        <v>#N/A</v>
      </c>
      <c r="N1524" s="395"/>
      <c r="R1524" s="391"/>
    </row>
    <row r="1525" spans="12:18">
      <c r="L1525" s="394" t="e">
        <f ca="1">IF(NOT(OFFSET(Data!E1528,0,MATCH('Delta Beta'!$C$5,Data!$B$4:$Q$4,0)-3)=""),OFFSET(Data!E1528,0,MATCH('Delta Beta'!$C$5,Data!$B$4:$Q$4,0)-3),#N/A)-$C$8/250</f>
        <v>#N/A</v>
      </c>
      <c r="M1525" s="394" t="e">
        <f ca="1">IF(NOT(OFFSET(Data!E1528,0,MATCH('Delta Beta'!$C$5,Data!$B$4:$Q$4,0)-1)=""),OFFSET(Data!E1528,0,MATCH('Delta Beta'!$C$5,Data!$B$4:$Q$4,0)-1),#N/A)-$C$8/250</f>
        <v>#N/A</v>
      </c>
      <c r="N1525" s="395"/>
      <c r="R1525" s="391"/>
    </row>
    <row r="1526" spans="12:18">
      <c r="L1526" s="394" t="e">
        <f ca="1">IF(NOT(OFFSET(Data!E1529,0,MATCH('Delta Beta'!$C$5,Data!$B$4:$Q$4,0)-3)=""),OFFSET(Data!E1529,0,MATCH('Delta Beta'!$C$5,Data!$B$4:$Q$4,0)-3),#N/A)-$C$8/250</f>
        <v>#N/A</v>
      </c>
      <c r="M1526" s="394" t="e">
        <f ca="1">IF(NOT(OFFSET(Data!E1529,0,MATCH('Delta Beta'!$C$5,Data!$B$4:$Q$4,0)-1)=""),OFFSET(Data!E1529,0,MATCH('Delta Beta'!$C$5,Data!$B$4:$Q$4,0)-1),#N/A)-$C$8/250</f>
        <v>#N/A</v>
      </c>
      <c r="N1526" s="395"/>
      <c r="R1526" s="391"/>
    </row>
    <row r="1527" spans="12:18">
      <c r="L1527" s="394" t="e">
        <f ca="1">IF(NOT(OFFSET(Data!E1530,0,MATCH('Delta Beta'!$C$5,Data!$B$4:$Q$4,0)-3)=""),OFFSET(Data!E1530,0,MATCH('Delta Beta'!$C$5,Data!$B$4:$Q$4,0)-3),#N/A)-$C$8/250</f>
        <v>#N/A</v>
      </c>
      <c r="M1527" s="394" t="e">
        <f ca="1">IF(NOT(OFFSET(Data!E1530,0,MATCH('Delta Beta'!$C$5,Data!$B$4:$Q$4,0)-1)=""),OFFSET(Data!E1530,0,MATCH('Delta Beta'!$C$5,Data!$B$4:$Q$4,0)-1),#N/A)-$C$8/250</f>
        <v>#N/A</v>
      </c>
      <c r="N1527" s="395"/>
      <c r="R1527" s="391"/>
    </row>
    <row r="1528" spans="12:18">
      <c r="L1528" s="394" t="e">
        <f ca="1">IF(NOT(OFFSET(Data!E1531,0,MATCH('Delta Beta'!$C$5,Data!$B$4:$Q$4,0)-3)=""),OFFSET(Data!E1531,0,MATCH('Delta Beta'!$C$5,Data!$B$4:$Q$4,0)-3),#N/A)-$C$8/250</f>
        <v>#N/A</v>
      </c>
      <c r="M1528" s="394" t="e">
        <f ca="1">IF(NOT(OFFSET(Data!E1531,0,MATCH('Delta Beta'!$C$5,Data!$B$4:$Q$4,0)-1)=""),OFFSET(Data!E1531,0,MATCH('Delta Beta'!$C$5,Data!$B$4:$Q$4,0)-1),#N/A)-$C$8/250</f>
        <v>#N/A</v>
      </c>
      <c r="N1528" s="395"/>
      <c r="R1528" s="391"/>
    </row>
    <row r="1529" spans="12:18">
      <c r="L1529" s="394" t="e">
        <f ca="1">IF(NOT(OFFSET(Data!E1532,0,MATCH('Delta Beta'!$C$5,Data!$B$4:$Q$4,0)-3)=""),OFFSET(Data!E1532,0,MATCH('Delta Beta'!$C$5,Data!$B$4:$Q$4,0)-3),#N/A)-$C$8/250</f>
        <v>#N/A</v>
      </c>
      <c r="M1529" s="394" t="e">
        <f ca="1">IF(NOT(OFFSET(Data!E1532,0,MATCH('Delta Beta'!$C$5,Data!$B$4:$Q$4,0)-1)=""),OFFSET(Data!E1532,0,MATCH('Delta Beta'!$C$5,Data!$B$4:$Q$4,0)-1),#N/A)-$C$8/250</f>
        <v>#N/A</v>
      </c>
      <c r="N1529" s="395"/>
      <c r="R1529" s="391"/>
    </row>
    <row r="1530" spans="12:18">
      <c r="L1530" s="394" t="e">
        <f ca="1">IF(NOT(OFFSET(Data!E1533,0,MATCH('Delta Beta'!$C$5,Data!$B$4:$Q$4,0)-3)=""),OFFSET(Data!E1533,0,MATCH('Delta Beta'!$C$5,Data!$B$4:$Q$4,0)-3),#N/A)-$C$8/250</f>
        <v>#N/A</v>
      </c>
      <c r="M1530" s="394" t="e">
        <f ca="1">IF(NOT(OFFSET(Data!E1533,0,MATCH('Delta Beta'!$C$5,Data!$B$4:$Q$4,0)-1)=""),OFFSET(Data!E1533,0,MATCH('Delta Beta'!$C$5,Data!$B$4:$Q$4,0)-1),#N/A)-$C$8/250</f>
        <v>#N/A</v>
      </c>
      <c r="N1530" s="395"/>
      <c r="R1530" s="391"/>
    </row>
    <row r="1531" spans="12:18">
      <c r="L1531" s="394" t="e">
        <f ca="1">IF(NOT(OFFSET(Data!E1534,0,MATCH('Delta Beta'!$C$5,Data!$B$4:$Q$4,0)-3)=""),OFFSET(Data!E1534,0,MATCH('Delta Beta'!$C$5,Data!$B$4:$Q$4,0)-3),#N/A)-$C$8/250</f>
        <v>#N/A</v>
      </c>
      <c r="M1531" s="394" t="e">
        <f ca="1">IF(NOT(OFFSET(Data!E1534,0,MATCH('Delta Beta'!$C$5,Data!$B$4:$Q$4,0)-1)=""),OFFSET(Data!E1534,0,MATCH('Delta Beta'!$C$5,Data!$B$4:$Q$4,0)-1),#N/A)-$C$8/250</f>
        <v>#N/A</v>
      </c>
      <c r="N1531" s="395"/>
      <c r="R1531" s="391"/>
    </row>
    <row r="1532" spans="12:18">
      <c r="L1532" s="394" t="e">
        <f ca="1">IF(NOT(OFFSET(Data!E1535,0,MATCH('Delta Beta'!$C$5,Data!$B$4:$Q$4,0)-3)=""),OFFSET(Data!E1535,0,MATCH('Delta Beta'!$C$5,Data!$B$4:$Q$4,0)-3),#N/A)-$C$8/250</f>
        <v>#N/A</v>
      </c>
      <c r="M1532" s="394" t="e">
        <f ca="1">IF(NOT(OFFSET(Data!E1535,0,MATCH('Delta Beta'!$C$5,Data!$B$4:$Q$4,0)-1)=""),OFFSET(Data!E1535,0,MATCH('Delta Beta'!$C$5,Data!$B$4:$Q$4,0)-1),#N/A)-$C$8/250</f>
        <v>#N/A</v>
      </c>
      <c r="N1532" s="395"/>
      <c r="R1532" s="391"/>
    </row>
    <row r="1533" spans="12:18">
      <c r="L1533" s="394" t="e">
        <f ca="1">IF(NOT(OFFSET(Data!E1536,0,MATCH('Delta Beta'!$C$5,Data!$B$4:$Q$4,0)-3)=""),OFFSET(Data!E1536,0,MATCH('Delta Beta'!$C$5,Data!$B$4:$Q$4,0)-3),#N/A)-$C$8/250</f>
        <v>#N/A</v>
      </c>
      <c r="M1533" s="394" t="e">
        <f ca="1">IF(NOT(OFFSET(Data!E1536,0,MATCH('Delta Beta'!$C$5,Data!$B$4:$Q$4,0)-1)=""),OFFSET(Data!E1536,0,MATCH('Delta Beta'!$C$5,Data!$B$4:$Q$4,0)-1),#N/A)-$C$8/250</f>
        <v>#N/A</v>
      </c>
      <c r="N1533" s="395"/>
      <c r="R1533" s="391"/>
    </row>
    <row r="1534" spans="12:18">
      <c r="L1534" s="394" t="e">
        <f ca="1">IF(NOT(OFFSET(Data!E1537,0,MATCH('Delta Beta'!$C$5,Data!$B$4:$Q$4,0)-3)=""),OFFSET(Data!E1537,0,MATCH('Delta Beta'!$C$5,Data!$B$4:$Q$4,0)-3),#N/A)-$C$8/250</f>
        <v>#N/A</v>
      </c>
      <c r="M1534" s="394" t="e">
        <f ca="1">IF(NOT(OFFSET(Data!E1537,0,MATCH('Delta Beta'!$C$5,Data!$B$4:$Q$4,0)-1)=""),OFFSET(Data!E1537,0,MATCH('Delta Beta'!$C$5,Data!$B$4:$Q$4,0)-1),#N/A)-$C$8/250</f>
        <v>#N/A</v>
      </c>
      <c r="N1534" s="395"/>
      <c r="R1534" s="391"/>
    </row>
    <row r="1535" spans="12:18">
      <c r="L1535" s="394" t="e">
        <f ca="1">IF(NOT(OFFSET(Data!E1538,0,MATCH('Delta Beta'!$C$5,Data!$B$4:$Q$4,0)-3)=""),OFFSET(Data!E1538,0,MATCH('Delta Beta'!$C$5,Data!$B$4:$Q$4,0)-3),#N/A)-$C$8/250</f>
        <v>#N/A</v>
      </c>
      <c r="M1535" s="394" t="e">
        <f ca="1">IF(NOT(OFFSET(Data!E1538,0,MATCH('Delta Beta'!$C$5,Data!$B$4:$Q$4,0)-1)=""),OFFSET(Data!E1538,0,MATCH('Delta Beta'!$C$5,Data!$B$4:$Q$4,0)-1),#N/A)-$C$8/250</f>
        <v>#N/A</v>
      </c>
      <c r="N1535" s="395"/>
      <c r="R1535" s="391"/>
    </row>
    <row r="1536" spans="12:18">
      <c r="L1536" s="394" t="e">
        <f ca="1">IF(NOT(OFFSET(Data!E1539,0,MATCH('Delta Beta'!$C$5,Data!$B$4:$Q$4,0)-3)=""),OFFSET(Data!E1539,0,MATCH('Delta Beta'!$C$5,Data!$B$4:$Q$4,0)-3),#N/A)-$C$8/250</f>
        <v>#N/A</v>
      </c>
      <c r="M1536" s="394" t="e">
        <f ca="1">IF(NOT(OFFSET(Data!E1539,0,MATCH('Delta Beta'!$C$5,Data!$B$4:$Q$4,0)-1)=""),OFFSET(Data!E1539,0,MATCH('Delta Beta'!$C$5,Data!$B$4:$Q$4,0)-1),#N/A)-$C$8/250</f>
        <v>#N/A</v>
      </c>
      <c r="N1536" s="395"/>
      <c r="R1536" s="391"/>
    </row>
    <row r="1537" spans="12:18">
      <c r="L1537" s="394" t="e">
        <f ca="1">IF(NOT(OFFSET(Data!E1540,0,MATCH('Delta Beta'!$C$5,Data!$B$4:$Q$4,0)-3)=""),OFFSET(Data!E1540,0,MATCH('Delta Beta'!$C$5,Data!$B$4:$Q$4,0)-3),#N/A)-$C$8/250</f>
        <v>#N/A</v>
      </c>
      <c r="M1537" s="394" t="e">
        <f ca="1">IF(NOT(OFFSET(Data!E1540,0,MATCH('Delta Beta'!$C$5,Data!$B$4:$Q$4,0)-1)=""),OFFSET(Data!E1540,0,MATCH('Delta Beta'!$C$5,Data!$B$4:$Q$4,0)-1),#N/A)-$C$8/250</f>
        <v>#N/A</v>
      </c>
      <c r="N1537" s="395"/>
      <c r="R1537" s="391"/>
    </row>
    <row r="1538" spans="12:18">
      <c r="L1538" s="394" t="e">
        <f ca="1">IF(NOT(OFFSET(Data!E1541,0,MATCH('Delta Beta'!$C$5,Data!$B$4:$Q$4,0)-3)=""),OFFSET(Data!E1541,0,MATCH('Delta Beta'!$C$5,Data!$B$4:$Q$4,0)-3),#N/A)-$C$8/250</f>
        <v>#N/A</v>
      </c>
      <c r="M1538" s="394" t="e">
        <f ca="1">IF(NOT(OFFSET(Data!E1541,0,MATCH('Delta Beta'!$C$5,Data!$B$4:$Q$4,0)-1)=""),OFFSET(Data!E1541,0,MATCH('Delta Beta'!$C$5,Data!$B$4:$Q$4,0)-1),#N/A)-$C$8/250</f>
        <v>#N/A</v>
      </c>
      <c r="N1538" s="395"/>
      <c r="R1538" s="391"/>
    </row>
    <row r="1539" spans="12:18">
      <c r="L1539" s="394" t="e">
        <f ca="1">IF(NOT(OFFSET(Data!E1542,0,MATCH('Delta Beta'!$C$5,Data!$B$4:$Q$4,0)-3)=""),OFFSET(Data!E1542,0,MATCH('Delta Beta'!$C$5,Data!$B$4:$Q$4,0)-3),#N/A)-$C$8/250</f>
        <v>#N/A</v>
      </c>
      <c r="M1539" s="394" t="e">
        <f ca="1">IF(NOT(OFFSET(Data!E1542,0,MATCH('Delta Beta'!$C$5,Data!$B$4:$Q$4,0)-1)=""),OFFSET(Data!E1542,0,MATCH('Delta Beta'!$C$5,Data!$B$4:$Q$4,0)-1),#N/A)-$C$8/250</f>
        <v>#N/A</v>
      </c>
      <c r="N1539" s="395"/>
      <c r="R1539" s="391"/>
    </row>
    <row r="1540" spans="12:18">
      <c r="L1540" s="394" t="e">
        <f ca="1">IF(NOT(OFFSET(Data!E1543,0,MATCH('Delta Beta'!$C$5,Data!$B$4:$Q$4,0)-3)=""),OFFSET(Data!E1543,0,MATCH('Delta Beta'!$C$5,Data!$B$4:$Q$4,0)-3),#N/A)-$C$8/250</f>
        <v>#N/A</v>
      </c>
      <c r="M1540" s="394" t="e">
        <f ca="1">IF(NOT(OFFSET(Data!E1543,0,MATCH('Delta Beta'!$C$5,Data!$B$4:$Q$4,0)-1)=""),OFFSET(Data!E1543,0,MATCH('Delta Beta'!$C$5,Data!$B$4:$Q$4,0)-1),#N/A)-$C$8/250</f>
        <v>#N/A</v>
      </c>
      <c r="N1540" s="395"/>
      <c r="R1540" s="391"/>
    </row>
    <row r="1541" spans="12:18">
      <c r="L1541" s="394" t="e">
        <f ca="1">IF(NOT(OFFSET(Data!E1544,0,MATCH('Delta Beta'!$C$5,Data!$B$4:$Q$4,0)-3)=""),OFFSET(Data!E1544,0,MATCH('Delta Beta'!$C$5,Data!$B$4:$Q$4,0)-3),#N/A)-$C$8/250</f>
        <v>#N/A</v>
      </c>
      <c r="M1541" s="394" t="e">
        <f ca="1">IF(NOT(OFFSET(Data!E1544,0,MATCH('Delta Beta'!$C$5,Data!$B$4:$Q$4,0)-1)=""),OFFSET(Data!E1544,0,MATCH('Delta Beta'!$C$5,Data!$B$4:$Q$4,0)-1),#N/A)-$C$8/250</f>
        <v>#N/A</v>
      </c>
      <c r="N1541" s="395"/>
      <c r="R1541" s="391"/>
    </row>
    <row r="1542" spans="12:18">
      <c r="L1542" s="394" t="e">
        <f ca="1">IF(NOT(OFFSET(Data!E1545,0,MATCH('Delta Beta'!$C$5,Data!$B$4:$Q$4,0)-3)=""),OFFSET(Data!E1545,0,MATCH('Delta Beta'!$C$5,Data!$B$4:$Q$4,0)-3),#N/A)-$C$8/250</f>
        <v>#N/A</v>
      </c>
      <c r="M1542" s="394" t="e">
        <f ca="1">IF(NOT(OFFSET(Data!E1545,0,MATCH('Delta Beta'!$C$5,Data!$B$4:$Q$4,0)-1)=""),OFFSET(Data!E1545,0,MATCH('Delta Beta'!$C$5,Data!$B$4:$Q$4,0)-1),#N/A)-$C$8/250</f>
        <v>#N/A</v>
      </c>
      <c r="N1542" s="395"/>
      <c r="R1542" s="391"/>
    </row>
    <row r="1543" spans="12:18">
      <c r="L1543" s="394" t="e">
        <f ca="1">IF(NOT(OFFSET(Data!E1546,0,MATCH('Delta Beta'!$C$5,Data!$B$4:$Q$4,0)-3)=""),OFFSET(Data!E1546,0,MATCH('Delta Beta'!$C$5,Data!$B$4:$Q$4,0)-3),#N/A)-$C$8/250</f>
        <v>#N/A</v>
      </c>
      <c r="M1543" s="394" t="e">
        <f ca="1">IF(NOT(OFFSET(Data!E1546,0,MATCH('Delta Beta'!$C$5,Data!$B$4:$Q$4,0)-1)=""),OFFSET(Data!E1546,0,MATCH('Delta Beta'!$C$5,Data!$B$4:$Q$4,0)-1),#N/A)-$C$8/250</f>
        <v>#N/A</v>
      </c>
      <c r="N1543" s="395"/>
      <c r="R1543" s="391"/>
    </row>
    <row r="1544" spans="12:18">
      <c r="L1544" s="394" t="e">
        <f ca="1">IF(NOT(OFFSET(Data!E1547,0,MATCH('Delta Beta'!$C$5,Data!$B$4:$Q$4,0)-3)=""),OFFSET(Data!E1547,0,MATCH('Delta Beta'!$C$5,Data!$B$4:$Q$4,0)-3),#N/A)-$C$8/250</f>
        <v>#N/A</v>
      </c>
      <c r="M1544" s="394" t="e">
        <f ca="1">IF(NOT(OFFSET(Data!E1547,0,MATCH('Delta Beta'!$C$5,Data!$B$4:$Q$4,0)-1)=""),OFFSET(Data!E1547,0,MATCH('Delta Beta'!$C$5,Data!$B$4:$Q$4,0)-1),#N/A)-$C$8/250</f>
        <v>#N/A</v>
      </c>
      <c r="N1544" s="395"/>
      <c r="R1544" s="391"/>
    </row>
    <row r="1545" spans="12:18">
      <c r="L1545" s="394" t="e">
        <f ca="1">IF(NOT(OFFSET(Data!E1548,0,MATCH('Delta Beta'!$C$5,Data!$B$4:$Q$4,0)-3)=""),OFFSET(Data!E1548,0,MATCH('Delta Beta'!$C$5,Data!$B$4:$Q$4,0)-3),#N/A)-$C$8/250</f>
        <v>#N/A</v>
      </c>
      <c r="M1545" s="394" t="e">
        <f ca="1">IF(NOT(OFFSET(Data!E1548,0,MATCH('Delta Beta'!$C$5,Data!$B$4:$Q$4,0)-1)=""),OFFSET(Data!E1548,0,MATCH('Delta Beta'!$C$5,Data!$B$4:$Q$4,0)-1),#N/A)-$C$8/250</f>
        <v>#N/A</v>
      </c>
      <c r="N1545" s="395"/>
      <c r="R1545" s="391"/>
    </row>
    <row r="1546" spans="12:18">
      <c r="L1546" s="394" t="e">
        <f ca="1">IF(NOT(OFFSET(Data!E1549,0,MATCH('Delta Beta'!$C$5,Data!$B$4:$Q$4,0)-3)=""),OFFSET(Data!E1549,0,MATCH('Delta Beta'!$C$5,Data!$B$4:$Q$4,0)-3),#N/A)-$C$8/250</f>
        <v>#N/A</v>
      </c>
      <c r="M1546" s="394" t="e">
        <f ca="1">IF(NOT(OFFSET(Data!E1549,0,MATCH('Delta Beta'!$C$5,Data!$B$4:$Q$4,0)-1)=""),OFFSET(Data!E1549,0,MATCH('Delta Beta'!$C$5,Data!$B$4:$Q$4,0)-1),#N/A)-$C$8/250</f>
        <v>#N/A</v>
      </c>
      <c r="N1546" s="395"/>
      <c r="R1546" s="391"/>
    </row>
    <row r="1547" spans="12:18">
      <c r="L1547" s="394" t="e">
        <f ca="1">IF(NOT(OFFSET(Data!E1550,0,MATCH('Delta Beta'!$C$5,Data!$B$4:$Q$4,0)-3)=""),OFFSET(Data!E1550,0,MATCH('Delta Beta'!$C$5,Data!$B$4:$Q$4,0)-3),#N/A)-$C$8/250</f>
        <v>#N/A</v>
      </c>
      <c r="M1547" s="394" t="e">
        <f ca="1">IF(NOT(OFFSET(Data!E1550,0,MATCH('Delta Beta'!$C$5,Data!$B$4:$Q$4,0)-1)=""),OFFSET(Data!E1550,0,MATCH('Delta Beta'!$C$5,Data!$B$4:$Q$4,0)-1),#N/A)-$C$8/250</f>
        <v>#N/A</v>
      </c>
      <c r="N1547" s="395"/>
      <c r="R1547" s="391"/>
    </row>
    <row r="1548" spans="12:18">
      <c r="L1548" s="394" t="e">
        <f ca="1">IF(NOT(OFFSET(Data!E1551,0,MATCH('Delta Beta'!$C$5,Data!$B$4:$Q$4,0)-3)=""),OFFSET(Data!E1551,0,MATCH('Delta Beta'!$C$5,Data!$B$4:$Q$4,0)-3),#N/A)-$C$8/250</f>
        <v>#N/A</v>
      </c>
      <c r="M1548" s="394" t="e">
        <f ca="1">IF(NOT(OFFSET(Data!E1551,0,MATCH('Delta Beta'!$C$5,Data!$B$4:$Q$4,0)-1)=""),OFFSET(Data!E1551,0,MATCH('Delta Beta'!$C$5,Data!$B$4:$Q$4,0)-1),#N/A)-$C$8/250</f>
        <v>#N/A</v>
      </c>
      <c r="N1548" s="395"/>
      <c r="R1548" s="391"/>
    </row>
    <row r="1549" spans="12:18">
      <c r="L1549" s="394" t="e">
        <f ca="1">IF(NOT(OFFSET(Data!E1552,0,MATCH('Delta Beta'!$C$5,Data!$B$4:$Q$4,0)-3)=""),OFFSET(Data!E1552,0,MATCH('Delta Beta'!$C$5,Data!$B$4:$Q$4,0)-3),#N/A)-$C$8/250</f>
        <v>#N/A</v>
      </c>
      <c r="M1549" s="394" t="e">
        <f ca="1">IF(NOT(OFFSET(Data!E1552,0,MATCH('Delta Beta'!$C$5,Data!$B$4:$Q$4,0)-1)=""),OFFSET(Data!E1552,0,MATCH('Delta Beta'!$C$5,Data!$B$4:$Q$4,0)-1),#N/A)-$C$8/250</f>
        <v>#N/A</v>
      </c>
      <c r="N1549" s="395"/>
      <c r="R1549" s="391"/>
    </row>
    <row r="1550" spans="12:18">
      <c r="L1550" s="394" t="e">
        <f ca="1">IF(NOT(OFFSET(Data!E1553,0,MATCH('Delta Beta'!$C$5,Data!$B$4:$Q$4,0)-3)=""),OFFSET(Data!E1553,0,MATCH('Delta Beta'!$C$5,Data!$B$4:$Q$4,0)-3),#N/A)-$C$8/250</f>
        <v>#N/A</v>
      </c>
      <c r="M1550" s="394" t="e">
        <f ca="1">IF(NOT(OFFSET(Data!E1553,0,MATCH('Delta Beta'!$C$5,Data!$B$4:$Q$4,0)-1)=""),OFFSET(Data!E1553,0,MATCH('Delta Beta'!$C$5,Data!$B$4:$Q$4,0)-1),#N/A)-$C$8/250</f>
        <v>#N/A</v>
      </c>
      <c r="N1550" s="395"/>
      <c r="R1550" s="391"/>
    </row>
    <row r="1551" spans="12:18">
      <c r="L1551" s="394" t="e">
        <f ca="1">IF(NOT(OFFSET(Data!E1554,0,MATCH('Delta Beta'!$C$5,Data!$B$4:$Q$4,0)-3)=""),OFFSET(Data!E1554,0,MATCH('Delta Beta'!$C$5,Data!$B$4:$Q$4,0)-3),#N/A)-$C$8/250</f>
        <v>#N/A</v>
      </c>
      <c r="M1551" s="394" t="e">
        <f ca="1">IF(NOT(OFFSET(Data!E1554,0,MATCH('Delta Beta'!$C$5,Data!$B$4:$Q$4,0)-1)=""),OFFSET(Data!E1554,0,MATCH('Delta Beta'!$C$5,Data!$B$4:$Q$4,0)-1),#N/A)-$C$8/250</f>
        <v>#N/A</v>
      </c>
      <c r="N1551" s="395"/>
      <c r="R1551" s="391"/>
    </row>
    <row r="1552" spans="12:18">
      <c r="L1552" s="394" t="e">
        <f ca="1">IF(NOT(OFFSET(Data!E1555,0,MATCH('Delta Beta'!$C$5,Data!$B$4:$Q$4,0)-3)=""),OFFSET(Data!E1555,0,MATCH('Delta Beta'!$C$5,Data!$B$4:$Q$4,0)-3),#N/A)-$C$8/250</f>
        <v>#N/A</v>
      </c>
      <c r="M1552" s="394" t="e">
        <f ca="1">IF(NOT(OFFSET(Data!E1555,0,MATCH('Delta Beta'!$C$5,Data!$B$4:$Q$4,0)-1)=""),OFFSET(Data!E1555,0,MATCH('Delta Beta'!$C$5,Data!$B$4:$Q$4,0)-1),#N/A)-$C$8/250</f>
        <v>#N/A</v>
      </c>
      <c r="N1552" s="395"/>
      <c r="R1552" s="391"/>
    </row>
    <row r="1553" spans="12:18">
      <c r="L1553" s="394" t="e">
        <f ca="1">IF(NOT(OFFSET(Data!E1556,0,MATCH('Delta Beta'!$C$5,Data!$B$4:$Q$4,0)-3)=""),OFFSET(Data!E1556,0,MATCH('Delta Beta'!$C$5,Data!$B$4:$Q$4,0)-3),#N/A)-$C$8/250</f>
        <v>#N/A</v>
      </c>
      <c r="M1553" s="394" t="e">
        <f ca="1">IF(NOT(OFFSET(Data!E1556,0,MATCH('Delta Beta'!$C$5,Data!$B$4:$Q$4,0)-1)=""),OFFSET(Data!E1556,0,MATCH('Delta Beta'!$C$5,Data!$B$4:$Q$4,0)-1),#N/A)-$C$8/250</f>
        <v>#N/A</v>
      </c>
      <c r="N1553" s="395"/>
      <c r="R1553" s="391"/>
    </row>
    <row r="1554" spans="12:18">
      <c r="L1554" s="394" t="e">
        <f ca="1">IF(NOT(OFFSET(Data!E1557,0,MATCH('Delta Beta'!$C$5,Data!$B$4:$Q$4,0)-3)=""),OFFSET(Data!E1557,0,MATCH('Delta Beta'!$C$5,Data!$B$4:$Q$4,0)-3),#N/A)-$C$8/250</f>
        <v>#N/A</v>
      </c>
      <c r="M1554" s="394" t="e">
        <f ca="1">IF(NOT(OFFSET(Data!E1557,0,MATCH('Delta Beta'!$C$5,Data!$B$4:$Q$4,0)-1)=""),OFFSET(Data!E1557,0,MATCH('Delta Beta'!$C$5,Data!$B$4:$Q$4,0)-1),#N/A)-$C$8/250</f>
        <v>#N/A</v>
      </c>
      <c r="N1554" s="395"/>
      <c r="R1554" s="391"/>
    </row>
    <row r="1555" spans="12:18">
      <c r="L1555" s="394" t="e">
        <f ca="1">IF(NOT(OFFSET(Data!E1558,0,MATCH('Delta Beta'!$C$5,Data!$B$4:$Q$4,0)-3)=""),OFFSET(Data!E1558,0,MATCH('Delta Beta'!$C$5,Data!$B$4:$Q$4,0)-3),#N/A)-$C$8/250</f>
        <v>#N/A</v>
      </c>
      <c r="M1555" s="394" t="e">
        <f ca="1">IF(NOT(OFFSET(Data!E1558,0,MATCH('Delta Beta'!$C$5,Data!$B$4:$Q$4,0)-1)=""),OFFSET(Data!E1558,0,MATCH('Delta Beta'!$C$5,Data!$B$4:$Q$4,0)-1),#N/A)-$C$8/250</f>
        <v>#N/A</v>
      </c>
      <c r="N1555" s="395"/>
      <c r="R1555" s="391"/>
    </row>
    <row r="1556" spans="12:18">
      <c r="L1556" s="394" t="e">
        <f ca="1">IF(NOT(OFFSET(Data!E1559,0,MATCH('Delta Beta'!$C$5,Data!$B$4:$Q$4,0)-3)=""),OFFSET(Data!E1559,0,MATCH('Delta Beta'!$C$5,Data!$B$4:$Q$4,0)-3),#N/A)-$C$8/250</f>
        <v>#N/A</v>
      </c>
      <c r="M1556" s="394" t="e">
        <f ca="1">IF(NOT(OFFSET(Data!E1559,0,MATCH('Delta Beta'!$C$5,Data!$B$4:$Q$4,0)-1)=""),OFFSET(Data!E1559,0,MATCH('Delta Beta'!$C$5,Data!$B$4:$Q$4,0)-1),#N/A)-$C$8/250</f>
        <v>#N/A</v>
      </c>
      <c r="N1556" s="395"/>
      <c r="R1556" s="391"/>
    </row>
    <row r="1557" spans="12:18">
      <c r="L1557" s="394" t="e">
        <f ca="1">IF(NOT(OFFSET(Data!E1560,0,MATCH('Delta Beta'!$C$5,Data!$B$4:$Q$4,0)-3)=""),OFFSET(Data!E1560,0,MATCH('Delta Beta'!$C$5,Data!$B$4:$Q$4,0)-3),#N/A)-$C$8/250</f>
        <v>#N/A</v>
      </c>
      <c r="M1557" s="394" t="e">
        <f ca="1">IF(NOT(OFFSET(Data!E1560,0,MATCH('Delta Beta'!$C$5,Data!$B$4:$Q$4,0)-1)=""),OFFSET(Data!E1560,0,MATCH('Delta Beta'!$C$5,Data!$B$4:$Q$4,0)-1),#N/A)-$C$8/250</f>
        <v>#N/A</v>
      </c>
      <c r="N1557" s="395"/>
      <c r="R1557" s="391"/>
    </row>
    <row r="1558" spans="12:18">
      <c r="L1558" s="394" t="e">
        <f ca="1">IF(NOT(OFFSET(Data!E1561,0,MATCH('Delta Beta'!$C$5,Data!$B$4:$Q$4,0)-3)=""),OFFSET(Data!E1561,0,MATCH('Delta Beta'!$C$5,Data!$B$4:$Q$4,0)-3),#N/A)-$C$8/250</f>
        <v>#N/A</v>
      </c>
      <c r="M1558" s="394" t="e">
        <f ca="1">IF(NOT(OFFSET(Data!E1561,0,MATCH('Delta Beta'!$C$5,Data!$B$4:$Q$4,0)-1)=""),OFFSET(Data!E1561,0,MATCH('Delta Beta'!$C$5,Data!$B$4:$Q$4,0)-1),#N/A)-$C$8/250</f>
        <v>#N/A</v>
      </c>
      <c r="N1558" s="395"/>
      <c r="R1558" s="391"/>
    </row>
    <row r="1559" spans="12:18">
      <c r="L1559" s="394" t="e">
        <f ca="1">IF(NOT(OFFSET(Data!E1562,0,MATCH('Delta Beta'!$C$5,Data!$B$4:$Q$4,0)-3)=""),OFFSET(Data!E1562,0,MATCH('Delta Beta'!$C$5,Data!$B$4:$Q$4,0)-3),#N/A)-$C$8/250</f>
        <v>#N/A</v>
      </c>
      <c r="M1559" s="394" t="e">
        <f ca="1">IF(NOT(OFFSET(Data!E1562,0,MATCH('Delta Beta'!$C$5,Data!$B$4:$Q$4,0)-1)=""),OFFSET(Data!E1562,0,MATCH('Delta Beta'!$C$5,Data!$B$4:$Q$4,0)-1),#N/A)-$C$8/250</f>
        <v>#N/A</v>
      </c>
      <c r="N1559" s="395"/>
      <c r="R1559" s="391"/>
    </row>
    <row r="1560" spans="12:18">
      <c r="L1560" s="394" t="e">
        <f ca="1">IF(NOT(OFFSET(Data!E1563,0,MATCH('Delta Beta'!$C$5,Data!$B$4:$Q$4,0)-3)=""),OFFSET(Data!E1563,0,MATCH('Delta Beta'!$C$5,Data!$B$4:$Q$4,0)-3),#N/A)-$C$8/250</f>
        <v>#N/A</v>
      </c>
      <c r="M1560" s="394" t="e">
        <f ca="1">IF(NOT(OFFSET(Data!E1563,0,MATCH('Delta Beta'!$C$5,Data!$B$4:$Q$4,0)-1)=""),OFFSET(Data!E1563,0,MATCH('Delta Beta'!$C$5,Data!$B$4:$Q$4,0)-1),#N/A)-$C$8/250</f>
        <v>#N/A</v>
      </c>
      <c r="N1560" s="395"/>
      <c r="R1560" s="391"/>
    </row>
    <row r="1561" spans="12:18">
      <c r="L1561" s="394" t="e">
        <f ca="1">IF(NOT(OFFSET(Data!E1564,0,MATCH('Delta Beta'!$C$5,Data!$B$4:$Q$4,0)-3)=""),OFFSET(Data!E1564,0,MATCH('Delta Beta'!$C$5,Data!$B$4:$Q$4,0)-3),#N/A)-$C$8/250</f>
        <v>#N/A</v>
      </c>
      <c r="M1561" s="394" t="e">
        <f ca="1">IF(NOT(OFFSET(Data!E1564,0,MATCH('Delta Beta'!$C$5,Data!$B$4:$Q$4,0)-1)=""),OFFSET(Data!E1564,0,MATCH('Delta Beta'!$C$5,Data!$B$4:$Q$4,0)-1),#N/A)-$C$8/250</f>
        <v>#N/A</v>
      </c>
      <c r="N1561" s="395"/>
      <c r="R1561" s="391"/>
    </row>
    <row r="1562" spans="12:18">
      <c r="L1562" s="394" t="e">
        <f ca="1">IF(NOT(OFFSET(Data!E1565,0,MATCH('Delta Beta'!$C$5,Data!$B$4:$Q$4,0)-3)=""),OFFSET(Data!E1565,0,MATCH('Delta Beta'!$C$5,Data!$B$4:$Q$4,0)-3),#N/A)-$C$8/250</f>
        <v>#N/A</v>
      </c>
      <c r="M1562" s="394" t="e">
        <f ca="1">IF(NOT(OFFSET(Data!E1565,0,MATCH('Delta Beta'!$C$5,Data!$B$4:$Q$4,0)-1)=""),OFFSET(Data!E1565,0,MATCH('Delta Beta'!$C$5,Data!$B$4:$Q$4,0)-1),#N/A)-$C$8/250</f>
        <v>#N/A</v>
      </c>
      <c r="N1562" s="395"/>
      <c r="R1562" s="391"/>
    </row>
    <row r="1563" spans="12:18">
      <c r="L1563" s="394" t="e">
        <f ca="1">IF(NOT(OFFSET(Data!E1566,0,MATCH('Delta Beta'!$C$5,Data!$B$4:$Q$4,0)-3)=""),OFFSET(Data!E1566,0,MATCH('Delta Beta'!$C$5,Data!$B$4:$Q$4,0)-3),#N/A)-$C$8/250</f>
        <v>#N/A</v>
      </c>
      <c r="M1563" s="394" t="e">
        <f ca="1">IF(NOT(OFFSET(Data!E1566,0,MATCH('Delta Beta'!$C$5,Data!$B$4:$Q$4,0)-1)=""),OFFSET(Data!E1566,0,MATCH('Delta Beta'!$C$5,Data!$B$4:$Q$4,0)-1),#N/A)-$C$8/250</f>
        <v>#N/A</v>
      </c>
      <c r="N1563" s="395"/>
      <c r="R1563" s="391"/>
    </row>
    <row r="1564" spans="12:18">
      <c r="L1564" s="394" t="e">
        <f ca="1">IF(NOT(OFFSET(Data!E1567,0,MATCH('Delta Beta'!$C$5,Data!$B$4:$Q$4,0)-3)=""),OFFSET(Data!E1567,0,MATCH('Delta Beta'!$C$5,Data!$B$4:$Q$4,0)-3),#N/A)-$C$8/250</f>
        <v>#N/A</v>
      </c>
      <c r="M1564" s="394" t="e">
        <f ca="1">IF(NOT(OFFSET(Data!E1567,0,MATCH('Delta Beta'!$C$5,Data!$B$4:$Q$4,0)-1)=""),OFFSET(Data!E1567,0,MATCH('Delta Beta'!$C$5,Data!$B$4:$Q$4,0)-1),#N/A)-$C$8/250</f>
        <v>#N/A</v>
      </c>
      <c r="N1564" s="395"/>
      <c r="R1564" s="391"/>
    </row>
    <row r="1565" spans="12:18">
      <c r="L1565" s="394" t="e">
        <f ca="1">IF(NOT(OFFSET(Data!E1568,0,MATCH('Delta Beta'!$C$5,Data!$B$4:$Q$4,0)-3)=""),OFFSET(Data!E1568,0,MATCH('Delta Beta'!$C$5,Data!$B$4:$Q$4,0)-3),#N/A)-$C$8/250</f>
        <v>#N/A</v>
      </c>
      <c r="M1565" s="394" t="e">
        <f ca="1">IF(NOT(OFFSET(Data!E1568,0,MATCH('Delta Beta'!$C$5,Data!$B$4:$Q$4,0)-1)=""),OFFSET(Data!E1568,0,MATCH('Delta Beta'!$C$5,Data!$B$4:$Q$4,0)-1),#N/A)-$C$8/250</f>
        <v>#N/A</v>
      </c>
      <c r="N1565" s="395"/>
      <c r="R1565" s="391"/>
    </row>
    <row r="1566" spans="12:18">
      <c r="L1566" s="394" t="e">
        <f ca="1">IF(NOT(OFFSET(Data!E1569,0,MATCH('Delta Beta'!$C$5,Data!$B$4:$Q$4,0)-3)=""),OFFSET(Data!E1569,0,MATCH('Delta Beta'!$C$5,Data!$B$4:$Q$4,0)-3),#N/A)-$C$8/250</f>
        <v>#N/A</v>
      </c>
      <c r="M1566" s="394" t="e">
        <f ca="1">IF(NOT(OFFSET(Data!E1569,0,MATCH('Delta Beta'!$C$5,Data!$B$4:$Q$4,0)-1)=""),OFFSET(Data!E1569,0,MATCH('Delta Beta'!$C$5,Data!$B$4:$Q$4,0)-1),#N/A)-$C$8/250</f>
        <v>#N/A</v>
      </c>
      <c r="N1566" s="395"/>
      <c r="R1566" s="391"/>
    </row>
    <row r="1567" spans="12:18">
      <c r="L1567" s="394" t="e">
        <f ca="1">IF(NOT(OFFSET(Data!E1570,0,MATCH('Delta Beta'!$C$5,Data!$B$4:$Q$4,0)-3)=""),OFFSET(Data!E1570,0,MATCH('Delta Beta'!$C$5,Data!$B$4:$Q$4,0)-3),#N/A)-$C$8/250</f>
        <v>#N/A</v>
      </c>
      <c r="M1567" s="394" t="e">
        <f ca="1">IF(NOT(OFFSET(Data!E1570,0,MATCH('Delta Beta'!$C$5,Data!$B$4:$Q$4,0)-1)=""),OFFSET(Data!E1570,0,MATCH('Delta Beta'!$C$5,Data!$B$4:$Q$4,0)-1),#N/A)-$C$8/250</f>
        <v>#N/A</v>
      </c>
      <c r="N1567" s="395"/>
      <c r="R1567" s="391"/>
    </row>
    <row r="1568" spans="12:18">
      <c r="L1568" s="394" t="e">
        <f ca="1">IF(NOT(OFFSET(Data!E1571,0,MATCH('Delta Beta'!$C$5,Data!$B$4:$Q$4,0)-3)=""),OFFSET(Data!E1571,0,MATCH('Delta Beta'!$C$5,Data!$B$4:$Q$4,0)-3),#N/A)-$C$8/250</f>
        <v>#N/A</v>
      </c>
      <c r="M1568" s="394" t="e">
        <f ca="1">IF(NOT(OFFSET(Data!E1571,0,MATCH('Delta Beta'!$C$5,Data!$B$4:$Q$4,0)-1)=""),OFFSET(Data!E1571,0,MATCH('Delta Beta'!$C$5,Data!$B$4:$Q$4,0)-1),#N/A)-$C$8/250</f>
        <v>#N/A</v>
      </c>
      <c r="N1568" s="395"/>
      <c r="R1568" s="391"/>
    </row>
    <row r="1569" spans="12:18">
      <c r="L1569" s="394" t="e">
        <f ca="1">IF(NOT(OFFSET(Data!E1572,0,MATCH('Delta Beta'!$C$5,Data!$B$4:$Q$4,0)-3)=""),OFFSET(Data!E1572,0,MATCH('Delta Beta'!$C$5,Data!$B$4:$Q$4,0)-3),#N/A)-$C$8/250</f>
        <v>#N/A</v>
      </c>
      <c r="M1569" s="394" t="e">
        <f ca="1">IF(NOT(OFFSET(Data!E1572,0,MATCH('Delta Beta'!$C$5,Data!$B$4:$Q$4,0)-1)=""),OFFSET(Data!E1572,0,MATCH('Delta Beta'!$C$5,Data!$B$4:$Q$4,0)-1),#N/A)-$C$8/250</f>
        <v>#N/A</v>
      </c>
      <c r="N1569" s="395"/>
      <c r="R1569" s="391"/>
    </row>
    <row r="1570" spans="12:18">
      <c r="L1570" s="394" t="e">
        <f ca="1">IF(NOT(OFFSET(Data!E1573,0,MATCH('Delta Beta'!$C$5,Data!$B$4:$Q$4,0)-3)=""),OFFSET(Data!E1573,0,MATCH('Delta Beta'!$C$5,Data!$B$4:$Q$4,0)-3),#N/A)-$C$8/250</f>
        <v>#N/A</v>
      </c>
      <c r="M1570" s="394" t="e">
        <f ca="1">IF(NOT(OFFSET(Data!E1573,0,MATCH('Delta Beta'!$C$5,Data!$B$4:$Q$4,0)-1)=""),OFFSET(Data!E1573,0,MATCH('Delta Beta'!$C$5,Data!$B$4:$Q$4,0)-1),#N/A)-$C$8/250</f>
        <v>#N/A</v>
      </c>
      <c r="N1570" s="395"/>
      <c r="R1570" s="391"/>
    </row>
    <row r="1571" spans="12:18">
      <c r="L1571" s="394" t="e">
        <f ca="1">IF(NOT(OFFSET(Data!E1574,0,MATCH('Delta Beta'!$C$5,Data!$B$4:$Q$4,0)-3)=""),OFFSET(Data!E1574,0,MATCH('Delta Beta'!$C$5,Data!$B$4:$Q$4,0)-3),#N/A)-$C$8/250</f>
        <v>#N/A</v>
      </c>
      <c r="M1571" s="394" t="e">
        <f ca="1">IF(NOT(OFFSET(Data!E1574,0,MATCH('Delta Beta'!$C$5,Data!$B$4:$Q$4,0)-1)=""),OFFSET(Data!E1574,0,MATCH('Delta Beta'!$C$5,Data!$B$4:$Q$4,0)-1),#N/A)-$C$8/250</f>
        <v>#N/A</v>
      </c>
      <c r="N1571" s="395"/>
      <c r="R1571" s="391"/>
    </row>
    <row r="1572" spans="12:18">
      <c r="L1572" s="394" t="e">
        <f ca="1">IF(NOT(OFFSET(Data!E1575,0,MATCH('Delta Beta'!$C$5,Data!$B$4:$Q$4,0)-3)=""),OFFSET(Data!E1575,0,MATCH('Delta Beta'!$C$5,Data!$B$4:$Q$4,0)-3),#N/A)-$C$8/250</f>
        <v>#N/A</v>
      </c>
      <c r="M1572" s="394" t="e">
        <f ca="1">IF(NOT(OFFSET(Data!E1575,0,MATCH('Delta Beta'!$C$5,Data!$B$4:$Q$4,0)-1)=""),OFFSET(Data!E1575,0,MATCH('Delta Beta'!$C$5,Data!$B$4:$Q$4,0)-1),#N/A)-$C$8/250</f>
        <v>#N/A</v>
      </c>
      <c r="N1572" s="395"/>
      <c r="R1572" s="391"/>
    </row>
    <row r="1573" spans="12:18">
      <c r="L1573" s="394" t="e">
        <f ca="1">IF(NOT(OFFSET(Data!E1576,0,MATCH('Delta Beta'!$C$5,Data!$B$4:$Q$4,0)-3)=""),OFFSET(Data!E1576,0,MATCH('Delta Beta'!$C$5,Data!$B$4:$Q$4,0)-3),#N/A)-$C$8/250</f>
        <v>#N/A</v>
      </c>
      <c r="M1573" s="394" t="e">
        <f ca="1">IF(NOT(OFFSET(Data!E1576,0,MATCH('Delta Beta'!$C$5,Data!$B$4:$Q$4,0)-1)=""),OFFSET(Data!E1576,0,MATCH('Delta Beta'!$C$5,Data!$B$4:$Q$4,0)-1),#N/A)-$C$8/250</f>
        <v>#N/A</v>
      </c>
      <c r="N1573" s="395"/>
      <c r="R1573" s="391"/>
    </row>
    <row r="1574" spans="12:18">
      <c r="L1574" s="394" t="e">
        <f ca="1">IF(NOT(OFFSET(Data!E1577,0,MATCH('Delta Beta'!$C$5,Data!$B$4:$Q$4,0)-3)=""),OFFSET(Data!E1577,0,MATCH('Delta Beta'!$C$5,Data!$B$4:$Q$4,0)-3),#N/A)-$C$8/250</f>
        <v>#N/A</v>
      </c>
      <c r="M1574" s="394" t="e">
        <f ca="1">IF(NOT(OFFSET(Data!E1577,0,MATCH('Delta Beta'!$C$5,Data!$B$4:$Q$4,0)-1)=""),OFFSET(Data!E1577,0,MATCH('Delta Beta'!$C$5,Data!$B$4:$Q$4,0)-1),#N/A)-$C$8/250</f>
        <v>#N/A</v>
      </c>
      <c r="N1574" s="395"/>
      <c r="R1574" s="391"/>
    </row>
    <row r="1575" spans="12:18">
      <c r="L1575" s="394" t="e">
        <f ca="1">IF(NOT(OFFSET(Data!E1578,0,MATCH('Delta Beta'!$C$5,Data!$B$4:$Q$4,0)-3)=""),OFFSET(Data!E1578,0,MATCH('Delta Beta'!$C$5,Data!$B$4:$Q$4,0)-3),#N/A)-$C$8/250</f>
        <v>#N/A</v>
      </c>
      <c r="M1575" s="394" t="e">
        <f ca="1">IF(NOT(OFFSET(Data!E1578,0,MATCH('Delta Beta'!$C$5,Data!$B$4:$Q$4,0)-1)=""),OFFSET(Data!E1578,0,MATCH('Delta Beta'!$C$5,Data!$B$4:$Q$4,0)-1),#N/A)-$C$8/250</f>
        <v>#N/A</v>
      </c>
      <c r="N1575" s="395"/>
      <c r="R1575" s="391"/>
    </row>
    <row r="1576" spans="12:18">
      <c r="L1576" s="394" t="e">
        <f ca="1">IF(NOT(OFFSET(Data!E1579,0,MATCH('Delta Beta'!$C$5,Data!$B$4:$Q$4,0)-3)=""),OFFSET(Data!E1579,0,MATCH('Delta Beta'!$C$5,Data!$B$4:$Q$4,0)-3),#N/A)-$C$8/250</f>
        <v>#N/A</v>
      </c>
      <c r="M1576" s="394" t="e">
        <f ca="1">IF(NOT(OFFSET(Data!E1579,0,MATCH('Delta Beta'!$C$5,Data!$B$4:$Q$4,0)-1)=""),OFFSET(Data!E1579,0,MATCH('Delta Beta'!$C$5,Data!$B$4:$Q$4,0)-1),#N/A)-$C$8/250</f>
        <v>#N/A</v>
      </c>
      <c r="N1576" s="395"/>
      <c r="R1576" s="391"/>
    </row>
    <row r="1577" spans="12:18">
      <c r="L1577" s="394" t="e">
        <f ca="1">IF(NOT(OFFSET(Data!E1580,0,MATCH('Delta Beta'!$C$5,Data!$B$4:$Q$4,0)-3)=""),OFFSET(Data!E1580,0,MATCH('Delta Beta'!$C$5,Data!$B$4:$Q$4,0)-3),#N/A)-$C$8/250</f>
        <v>#N/A</v>
      </c>
      <c r="M1577" s="394" t="e">
        <f ca="1">IF(NOT(OFFSET(Data!E1580,0,MATCH('Delta Beta'!$C$5,Data!$B$4:$Q$4,0)-1)=""),OFFSET(Data!E1580,0,MATCH('Delta Beta'!$C$5,Data!$B$4:$Q$4,0)-1),#N/A)-$C$8/250</f>
        <v>#N/A</v>
      </c>
      <c r="N1577" s="395"/>
      <c r="R1577" s="391"/>
    </row>
    <row r="1578" spans="12:18">
      <c r="L1578" s="394" t="e">
        <f ca="1">IF(NOT(OFFSET(Data!E1581,0,MATCH('Delta Beta'!$C$5,Data!$B$4:$Q$4,0)-3)=""),OFFSET(Data!E1581,0,MATCH('Delta Beta'!$C$5,Data!$B$4:$Q$4,0)-3),#N/A)-$C$8/250</f>
        <v>#N/A</v>
      </c>
      <c r="M1578" s="394" t="e">
        <f ca="1">IF(NOT(OFFSET(Data!E1581,0,MATCH('Delta Beta'!$C$5,Data!$B$4:$Q$4,0)-1)=""),OFFSET(Data!E1581,0,MATCH('Delta Beta'!$C$5,Data!$B$4:$Q$4,0)-1),#N/A)-$C$8/250</f>
        <v>#N/A</v>
      </c>
      <c r="N1578" s="395"/>
      <c r="R1578" s="391"/>
    </row>
    <row r="1579" spans="12:18">
      <c r="L1579" s="394" t="e">
        <f ca="1">IF(NOT(OFFSET(Data!E1582,0,MATCH('Delta Beta'!$C$5,Data!$B$4:$Q$4,0)-3)=""),OFFSET(Data!E1582,0,MATCH('Delta Beta'!$C$5,Data!$B$4:$Q$4,0)-3),#N/A)-$C$8/250</f>
        <v>#N/A</v>
      </c>
      <c r="M1579" s="394" t="e">
        <f ca="1">IF(NOT(OFFSET(Data!E1582,0,MATCH('Delta Beta'!$C$5,Data!$B$4:$Q$4,0)-1)=""),OFFSET(Data!E1582,0,MATCH('Delta Beta'!$C$5,Data!$B$4:$Q$4,0)-1),#N/A)-$C$8/250</f>
        <v>#N/A</v>
      </c>
      <c r="N1579" s="395"/>
      <c r="R1579" s="391"/>
    </row>
    <row r="1580" spans="12:18">
      <c r="L1580" s="394" t="e">
        <f ca="1">IF(NOT(OFFSET(Data!E1583,0,MATCH('Delta Beta'!$C$5,Data!$B$4:$Q$4,0)-3)=""),OFFSET(Data!E1583,0,MATCH('Delta Beta'!$C$5,Data!$B$4:$Q$4,0)-3),#N/A)-$C$8/250</f>
        <v>#N/A</v>
      </c>
      <c r="M1580" s="394" t="e">
        <f ca="1">IF(NOT(OFFSET(Data!E1583,0,MATCH('Delta Beta'!$C$5,Data!$B$4:$Q$4,0)-1)=""),OFFSET(Data!E1583,0,MATCH('Delta Beta'!$C$5,Data!$B$4:$Q$4,0)-1),#N/A)-$C$8/250</f>
        <v>#N/A</v>
      </c>
      <c r="N1580" s="395"/>
      <c r="R1580" s="391"/>
    </row>
    <row r="1581" spans="12:18">
      <c r="L1581" s="394" t="e">
        <f ca="1">IF(NOT(OFFSET(Data!E1584,0,MATCH('Delta Beta'!$C$5,Data!$B$4:$Q$4,0)-3)=""),OFFSET(Data!E1584,0,MATCH('Delta Beta'!$C$5,Data!$B$4:$Q$4,0)-3),#N/A)-$C$8/250</f>
        <v>#N/A</v>
      </c>
      <c r="M1581" s="394" t="e">
        <f ca="1">IF(NOT(OFFSET(Data!E1584,0,MATCH('Delta Beta'!$C$5,Data!$B$4:$Q$4,0)-1)=""),OFFSET(Data!E1584,0,MATCH('Delta Beta'!$C$5,Data!$B$4:$Q$4,0)-1),#N/A)-$C$8/250</f>
        <v>#N/A</v>
      </c>
      <c r="N1581" s="395"/>
      <c r="R1581" s="391"/>
    </row>
    <row r="1582" spans="12:18">
      <c r="L1582" s="394" t="e">
        <f ca="1">IF(NOT(OFFSET(Data!E1585,0,MATCH('Delta Beta'!$C$5,Data!$B$4:$Q$4,0)-3)=""),OFFSET(Data!E1585,0,MATCH('Delta Beta'!$C$5,Data!$B$4:$Q$4,0)-3),#N/A)-$C$8/250</f>
        <v>#N/A</v>
      </c>
      <c r="M1582" s="394" t="e">
        <f ca="1">IF(NOT(OFFSET(Data!E1585,0,MATCH('Delta Beta'!$C$5,Data!$B$4:$Q$4,0)-1)=""),OFFSET(Data!E1585,0,MATCH('Delta Beta'!$C$5,Data!$B$4:$Q$4,0)-1),#N/A)-$C$8/250</f>
        <v>#N/A</v>
      </c>
      <c r="N1582" s="395"/>
      <c r="R1582" s="391"/>
    </row>
    <row r="1583" spans="12:18">
      <c r="L1583" s="394" t="e">
        <f ca="1">IF(NOT(OFFSET(Data!E1586,0,MATCH('Delta Beta'!$C$5,Data!$B$4:$Q$4,0)-3)=""),OFFSET(Data!E1586,0,MATCH('Delta Beta'!$C$5,Data!$B$4:$Q$4,0)-3),#N/A)-$C$8/250</f>
        <v>#N/A</v>
      </c>
      <c r="M1583" s="394" t="e">
        <f ca="1">IF(NOT(OFFSET(Data!E1586,0,MATCH('Delta Beta'!$C$5,Data!$B$4:$Q$4,0)-1)=""),OFFSET(Data!E1586,0,MATCH('Delta Beta'!$C$5,Data!$B$4:$Q$4,0)-1),#N/A)-$C$8/250</f>
        <v>#N/A</v>
      </c>
      <c r="N1583" s="395"/>
      <c r="R1583" s="391"/>
    </row>
    <row r="1584" spans="12:18">
      <c r="L1584" s="394" t="e">
        <f ca="1">IF(NOT(OFFSET(Data!E1587,0,MATCH('Delta Beta'!$C$5,Data!$B$4:$Q$4,0)-3)=""),OFFSET(Data!E1587,0,MATCH('Delta Beta'!$C$5,Data!$B$4:$Q$4,0)-3),#N/A)-$C$8/250</f>
        <v>#N/A</v>
      </c>
      <c r="M1584" s="394" t="e">
        <f ca="1">IF(NOT(OFFSET(Data!E1587,0,MATCH('Delta Beta'!$C$5,Data!$B$4:$Q$4,0)-1)=""),OFFSET(Data!E1587,0,MATCH('Delta Beta'!$C$5,Data!$B$4:$Q$4,0)-1),#N/A)-$C$8/250</f>
        <v>#N/A</v>
      </c>
      <c r="N1584" s="395"/>
      <c r="R1584" s="391"/>
    </row>
    <row r="1585" spans="12:18">
      <c r="L1585" s="394" t="e">
        <f ca="1">IF(NOT(OFFSET(Data!E1588,0,MATCH('Delta Beta'!$C$5,Data!$B$4:$Q$4,0)-3)=""),OFFSET(Data!E1588,0,MATCH('Delta Beta'!$C$5,Data!$B$4:$Q$4,0)-3),#N/A)-$C$8/250</f>
        <v>#N/A</v>
      </c>
      <c r="M1585" s="394" t="e">
        <f ca="1">IF(NOT(OFFSET(Data!E1588,0,MATCH('Delta Beta'!$C$5,Data!$B$4:$Q$4,0)-1)=""),OFFSET(Data!E1588,0,MATCH('Delta Beta'!$C$5,Data!$B$4:$Q$4,0)-1),#N/A)-$C$8/250</f>
        <v>#N/A</v>
      </c>
      <c r="N1585" s="395"/>
      <c r="R1585" s="391"/>
    </row>
    <row r="1586" spans="12:18">
      <c r="L1586" s="394" t="e">
        <f ca="1">IF(NOT(OFFSET(Data!E1589,0,MATCH('Delta Beta'!$C$5,Data!$B$4:$Q$4,0)-3)=""),OFFSET(Data!E1589,0,MATCH('Delta Beta'!$C$5,Data!$B$4:$Q$4,0)-3),#N/A)-$C$8/250</f>
        <v>#N/A</v>
      </c>
      <c r="M1586" s="394" t="e">
        <f ca="1">IF(NOT(OFFSET(Data!E1589,0,MATCH('Delta Beta'!$C$5,Data!$B$4:$Q$4,0)-1)=""),OFFSET(Data!E1589,0,MATCH('Delta Beta'!$C$5,Data!$B$4:$Q$4,0)-1),#N/A)-$C$8/250</f>
        <v>#N/A</v>
      </c>
      <c r="N1586" s="395"/>
      <c r="R1586" s="391"/>
    </row>
    <row r="1587" spans="12:18">
      <c r="L1587" s="394" t="e">
        <f ca="1">IF(NOT(OFFSET(Data!E1590,0,MATCH('Delta Beta'!$C$5,Data!$B$4:$Q$4,0)-3)=""),OFFSET(Data!E1590,0,MATCH('Delta Beta'!$C$5,Data!$B$4:$Q$4,0)-3),#N/A)-$C$8/250</f>
        <v>#N/A</v>
      </c>
      <c r="M1587" s="394" t="e">
        <f ca="1">IF(NOT(OFFSET(Data!E1590,0,MATCH('Delta Beta'!$C$5,Data!$B$4:$Q$4,0)-1)=""),OFFSET(Data!E1590,0,MATCH('Delta Beta'!$C$5,Data!$B$4:$Q$4,0)-1),#N/A)-$C$8/250</f>
        <v>#N/A</v>
      </c>
      <c r="N1587" s="395"/>
      <c r="R1587" s="391"/>
    </row>
    <row r="1588" spans="12:18">
      <c r="L1588" s="394" t="e">
        <f ca="1">IF(NOT(OFFSET(Data!E1591,0,MATCH('Delta Beta'!$C$5,Data!$B$4:$Q$4,0)-3)=""),OFFSET(Data!E1591,0,MATCH('Delta Beta'!$C$5,Data!$B$4:$Q$4,0)-3),#N/A)-$C$8/250</f>
        <v>#N/A</v>
      </c>
      <c r="M1588" s="394" t="e">
        <f ca="1">IF(NOT(OFFSET(Data!E1591,0,MATCH('Delta Beta'!$C$5,Data!$B$4:$Q$4,0)-1)=""),OFFSET(Data!E1591,0,MATCH('Delta Beta'!$C$5,Data!$B$4:$Q$4,0)-1),#N/A)-$C$8/250</f>
        <v>#N/A</v>
      </c>
      <c r="N1588" s="395"/>
      <c r="R1588" s="391"/>
    </row>
    <row r="1589" spans="12:18">
      <c r="L1589" s="394" t="e">
        <f ca="1">IF(NOT(OFFSET(Data!E1592,0,MATCH('Delta Beta'!$C$5,Data!$B$4:$Q$4,0)-3)=""),OFFSET(Data!E1592,0,MATCH('Delta Beta'!$C$5,Data!$B$4:$Q$4,0)-3),#N/A)-$C$8/250</f>
        <v>#N/A</v>
      </c>
      <c r="M1589" s="394" t="e">
        <f ca="1">IF(NOT(OFFSET(Data!E1592,0,MATCH('Delta Beta'!$C$5,Data!$B$4:$Q$4,0)-1)=""),OFFSET(Data!E1592,0,MATCH('Delta Beta'!$C$5,Data!$B$4:$Q$4,0)-1),#N/A)-$C$8/250</f>
        <v>#N/A</v>
      </c>
      <c r="N1589" s="395"/>
      <c r="R1589" s="391"/>
    </row>
    <row r="1590" spans="12:18">
      <c r="L1590" s="394" t="e">
        <f ca="1">IF(NOT(OFFSET(Data!E1593,0,MATCH('Delta Beta'!$C$5,Data!$B$4:$Q$4,0)-3)=""),OFFSET(Data!E1593,0,MATCH('Delta Beta'!$C$5,Data!$B$4:$Q$4,0)-3),#N/A)-$C$8/250</f>
        <v>#N/A</v>
      </c>
      <c r="M1590" s="394" t="e">
        <f ca="1">IF(NOT(OFFSET(Data!E1593,0,MATCH('Delta Beta'!$C$5,Data!$B$4:$Q$4,0)-1)=""),OFFSET(Data!E1593,0,MATCH('Delta Beta'!$C$5,Data!$B$4:$Q$4,0)-1),#N/A)-$C$8/250</f>
        <v>#N/A</v>
      </c>
      <c r="N1590" s="395"/>
      <c r="R1590" s="391"/>
    </row>
    <row r="1591" spans="12:18">
      <c r="L1591" s="394" t="e">
        <f ca="1">IF(NOT(OFFSET(Data!E1594,0,MATCH('Delta Beta'!$C$5,Data!$B$4:$Q$4,0)-3)=""),OFFSET(Data!E1594,0,MATCH('Delta Beta'!$C$5,Data!$B$4:$Q$4,0)-3),#N/A)-$C$8/250</f>
        <v>#N/A</v>
      </c>
      <c r="M1591" s="394" t="e">
        <f ca="1">IF(NOT(OFFSET(Data!E1594,0,MATCH('Delta Beta'!$C$5,Data!$B$4:$Q$4,0)-1)=""),OFFSET(Data!E1594,0,MATCH('Delta Beta'!$C$5,Data!$B$4:$Q$4,0)-1),#N/A)-$C$8/250</f>
        <v>#N/A</v>
      </c>
      <c r="N1591" s="395"/>
      <c r="R1591" s="391"/>
    </row>
    <row r="1592" spans="12:18">
      <c r="L1592" s="394" t="e">
        <f ca="1">IF(NOT(OFFSET(Data!E1595,0,MATCH('Delta Beta'!$C$5,Data!$B$4:$Q$4,0)-3)=""),OFFSET(Data!E1595,0,MATCH('Delta Beta'!$C$5,Data!$B$4:$Q$4,0)-3),#N/A)-$C$8/250</f>
        <v>#N/A</v>
      </c>
      <c r="M1592" s="394" t="e">
        <f ca="1">IF(NOT(OFFSET(Data!E1595,0,MATCH('Delta Beta'!$C$5,Data!$B$4:$Q$4,0)-1)=""),OFFSET(Data!E1595,0,MATCH('Delta Beta'!$C$5,Data!$B$4:$Q$4,0)-1),#N/A)-$C$8/250</f>
        <v>#N/A</v>
      </c>
      <c r="N1592" s="395"/>
      <c r="R1592" s="391"/>
    </row>
    <row r="1593" spans="12:18">
      <c r="L1593" s="394" t="e">
        <f ca="1">IF(NOT(OFFSET(Data!E1596,0,MATCH('Delta Beta'!$C$5,Data!$B$4:$Q$4,0)-3)=""),OFFSET(Data!E1596,0,MATCH('Delta Beta'!$C$5,Data!$B$4:$Q$4,0)-3),#N/A)-$C$8/250</f>
        <v>#N/A</v>
      </c>
      <c r="M1593" s="394" t="e">
        <f ca="1">IF(NOT(OFFSET(Data!E1596,0,MATCH('Delta Beta'!$C$5,Data!$B$4:$Q$4,0)-1)=""),OFFSET(Data!E1596,0,MATCH('Delta Beta'!$C$5,Data!$B$4:$Q$4,0)-1),#N/A)-$C$8/250</f>
        <v>#N/A</v>
      </c>
      <c r="N1593" s="395"/>
      <c r="R1593" s="391"/>
    </row>
    <row r="1594" spans="12:18">
      <c r="L1594" s="394" t="e">
        <f ca="1">IF(NOT(OFFSET(Data!E1597,0,MATCH('Delta Beta'!$C$5,Data!$B$4:$Q$4,0)-3)=""),OFFSET(Data!E1597,0,MATCH('Delta Beta'!$C$5,Data!$B$4:$Q$4,0)-3),#N/A)-$C$8/250</f>
        <v>#N/A</v>
      </c>
      <c r="M1594" s="394" t="e">
        <f ca="1">IF(NOT(OFFSET(Data!E1597,0,MATCH('Delta Beta'!$C$5,Data!$B$4:$Q$4,0)-1)=""),OFFSET(Data!E1597,0,MATCH('Delta Beta'!$C$5,Data!$B$4:$Q$4,0)-1),#N/A)-$C$8/250</f>
        <v>#N/A</v>
      </c>
      <c r="N1594" s="395"/>
      <c r="R1594" s="391"/>
    </row>
    <row r="1595" spans="12:18">
      <c r="L1595" s="394" t="e">
        <f ca="1">IF(NOT(OFFSET(Data!E1598,0,MATCH('Delta Beta'!$C$5,Data!$B$4:$Q$4,0)-3)=""),OFFSET(Data!E1598,0,MATCH('Delta Beta'!$C$5,Data!$B$4:$Q$4,0)-3),#N/A)-$C$8/250</f>
        <v>#N/A</v>
      </c>
      <c r="M1595" s="394" t="e">
        <f ca="1">IF(NOT(OFFSET(Data!E1598,0,MATCH('Delta Beta'!$C$5,Data!$B$4:$Q$4,0)-1)=""),OFFSET(Data!E1598,0,MATCH('Delta Beta'!$C$5,Data!$B$4:$Q$4,0)-1),#N/A)-$C$8/250</f>
        <v>#N/A</v>
      </c>
      <c r="N1595" s="395"/>
      <c r="R1595" s="391"/>
    </row>
    <row r="1596" spans="12:18">
      <c r="L1596" s="394" t="e">
        <f ca="1">IF(NOT(OFFSET(Data!E1599,0,MATCH('Delta Beta'!$C$5,Data!$B$4:$Q$4,0)-3)=""),OFFSET(Data!E1599,0,MATCH('Delta Beta'!$C$5,Data!$B$4:$Q$4,0)-3),#N/A)-$C$8/250</f>
        <v>#N/A</v>
      </c>
      <c r="M1596" s="394" t="e">
        <f ca="1">IF(NOT(OFFSET(Data!E1599,0,MATCH('Delta Beta'!$C$5,Data!$B$4:$Q$4,0)-1)=""),OFFSET(Data!E1599,0,MATCH('Delta Beta'!$C$5,Data!$B$4:$Q$4,0)-1),#N/A)-$C$8/250</f>
        <v>#N/A</v>
      </c>
      <c r="N1596" s="395"/>
      <c r="R1596" s="391"/>
    </row>
    <row r="1597" spans="12:18">
      <c r="L1597" s="394" t="e">
        <f ca="1">IF(NOT(OFFSET(Data!E1600,0,MATCH('Delta Beta'!$C$5,Data!$B$4:$Q$4,0)-3)=""),OFFSET(Data!E1600,0,MATCH('Delta Beta'!$C$5,Data!$B$4:$Q$4,0)-3),#N/A)-$C$8/250</f>
        <v>#N/A</v>
      </c>
      <c r="M1597" s="394" t="e">
        <f ca="1">IF(NOT(OFFSET(Data!E1600,0,MATCH('Delta Beta'!$C$5,Data!$B$4:$Q$4,0)-1)=""),OFFSET(Data!E1600,0,MATCH('Delta Beta'!$C$5,Data!$B$4:$Q$4,0)-1),#N/A)-$C$8/250</f>
        <v>#N/A</v>
      </c>
      <c r="N1597" s="395"/>
      <c r="R1597" s="391"/>
    </row>
    <row r="1598" spans="12:18">
      <c r="L1598" s="394" t="e">
        <f ca="1">IF(NOT(OFFSET(Data!E1601,0,MATCH('Delta Beta'!$C$5,Data!$B$4:$Q$4,0)-3)=""),OFFSET(Data!E1601,0,MATCH('Delta Beta'!$C$5,Data!$B$4:$Q$4,0)-3),#N/A)-$C$8/250</f>
        <v>#N/A</v>
      </c>
      <c r="M1598" s="394" t="e">
        <f ca="1">IF(NOT(OFFSET(Data!E1601,0,MATCH('Delta Beta'!$C$5,Data!$B$4:$Q$4,0)-1)=""),OFFSET(Data!E1601,0,MATCH('Delta Beta'!$C$5,Data!$B$4:$Q$4,0)-1),#N/A)-$C$8/250</f>
        <v>#N/A</v>
      </c>
      <c r="N1598" s="395"/>
      <c r="R1598" s="391"/>
    </row>
    <row r="1599" spans="12:18">
      <c r="L1599" s="394" t="e">
        <f ca="1">IF(NOT(OFFSET(Data!E1602,0,MATCH('Delta Beta'!$C$5,Data!$B$4:$Q$4,0)-3)=""),OFFSET(Data!E1602,0,MATCH('Delta Beta'!$C$5,Data!$B$4:$Q$4,0)-3),#N/A)-$C$8/250</f>
        <v>#N/A</v>
      </c>
      <c r="M1599" s="394" t="e">
        <f ca="1">IF(NOT(OFFSET(Data!E1602,0,MATCH('Delta Beta'!$C$5,Data!$B$4:$Q$4,0)-1)=""),OFFSET(Data!E1602,0,MATCH('Delta Beta'!$C$5,Data!$B$4:$Q$4,0)-1),#N/A)-$C$8/250</f>
        <v>#N/A</v>
      </c>
      <c r="N1599" s="395"/>
      <c r="R1599" s="391"/>
    </row>
    <row r="1600" spans="12:18">
      <c r="L1600" s="394" t="e">
        <f ca="1">IF(NOT(OFFSET(Data!E1603,0,MATCH('Delta Beta'!$C$5,Data!$B$4:$Q$4,0)-3)=""),OFFSET(Data!E1603,0,MATCH('Delta Beta'!$C$5,Data!$B$4:$Q$4,0)-3),#N/A)-$C$8/250</f>
        <v>#N/A</v>
      </c>
      <c r="M1600" s="394" t="e">
        <f ca="1">IF(NOT(OFFSET(Data!E1603,0,MATCH('Delta Beta'!$C$5,Data!$B$4:$Q$4,0)-1)=""),OFFSET(Data!E1603,0,MATCH('Delta Beta'!$C$5,Data!$B$4:$Q$4,0)-1),#N/A)-$C$8/250</f>
        <v>#N/A</v>
      </c>
      <c r="N1600" s="395"/>
      <c r="R1600" s="391"/>
    </row>
    <row r="1601" spans="12:18">
      <c r="L1601" s="394" t="e">
        <f ca="1">IF(NOT(OFFSET(Data!E1604,0,MATCH('Delta Beta'!$C$5,Data!$B$4:$Q$4,0)-3)=""),OFFSET(Data!E1604,0,MATCH('Delta Beta'!$C$5,Data!$B$4:$Q$4,0)-3),#N/A)-$C$8/250</f>
        <v>#N/A</v>
      </c>
      <c r="M1601" s="394" t="e">
        <f ca="1">IF(NOT(OFFSET(Data!E1604,0,MATCH('Delta Beta'!$C$5,Data!$B$4:$Q$4,0)-1)=""),OFFSET(Data!E1604,0,MATCH('Delta Beta'!$C$5,Data!$B$4:$Q$4,0)-1),#N/A)-$C$8/250</f>
        <v>#N/A</v>
      </c>
      <c r="N1601" s="395"/>
      <c r="R1601" s="391"/>
    </row>
    <row r="1602" spans="12:18">
      <c r="L1602" s="394" t="e">
        <f ca="1">IF(NOT(OFFSET(Data!E1605,0,MATCH('Delta Beta'!$C$5,Data!$B$4:$Q$4,0)-3)=""),OFFSET(Data!E1605,0,MATCH('Delta Beta'!$C$5,Data!$B$4:$Q$4,0)-3),#N/A)-$C$8/250</f>
        <v>#N/A</v>
      </c>
      <c r="M1602" s="394" t="e">
        <f ca="1">IF(NOT(OFFSET(Data!E1605,0,MATCH('Delta Beta'!$C$5,Data!$B$4:$Q$4,0)-1)=""),OFFSET(Data!E1605,0,MATCH('Delta Beta'!$C$5,Data!$B$4:$Q$4,0)-1),#N/A)-$C$8/250</f>
        <v>#N/A</v>
      </c>
      <c r="N1602" s="395"/>
      <c r="R1602" s="391"/>
    </row>
    <row r="1603" spans="12:18">
      <c r="L1603" s="394" t="e">
        <f ca="1">IF(NOT(OFFSET(Data!E1606,0,MATCH('Delta Beta'!$C$5,Data!$B$4:$Q$4,0)-3)=""),OFFSET(Data!E1606,0,MATCH('Delta Beta'!$C$5,Data!$B$4:$Q$4,0)-3),#N/A)-$C$8/250</f>
        <v>#N/A</v>
      </c>
      <c r="M1603" s="394" t="e">
        <f ca="1">IF(NOT(OFFSET(Data!E1606,0,MATCH('Delta Beta'!$C$5,Data!$B$4:$Q$4,0)-1)=""),OFFSET(Data!E1606,0,MATCH('Delta Beta'!$C$5,Data!$B$4:$Q$4,0)-1),#N/A)-$C$8/250</f>
        <v>#N/A</v>
      </c>
      <c r="N1603" s="395"/>
      <c r="R1603" s="391"/>
    </row>
    <row r="1604" spans="12:18">
      <c r="L1604" s="394" t="e">
        <f ca="1">IF(NOT(OFFSET(Data!E1607,0,MATCH('Delta Beta'!$C$5,Data!$B$4:$Q$4,0)-3)=""),OFFSET(Data!E1607,0,MATCH('Delta Beta'!$C$5,Data!$B$4:$Q$4,0)-3),#N/A)-$C$8/250</f>
        <v>#N/A</v>
      </c>
      <c r="M1604" s="394" t="e">
        <f ca="1">IF(NOT(OFFSET(Data!E1607,0,MATCH('Delta Beta'!$C$5,Data!$B$4:$Q$4,0)-1)=""),OFFSET(Data!E1607,0,MATCH('Delta Beta'!$C$5,Data!$B$4:$Q$4,0)-1),#N/A)-$C$8/250</f>
        <v>#N/A</v>
      </c>
      <c r="N1604" s="395"/>
      <c r="R1604" s="391"/>
    </row>
    <row r="1605" spans="12:18">
      <c r="L1605" s="394" t="e">
        <f ca="1">IF(NOT(OFFSET(Data!E1608,0,MATCH('Delta Beta'!$C$5,Data!$B$4:$Q$4,0)-3)=""),OFFSET(Data!E1608,0,MATCH('Delta Beta'!$C$5,Data!$B$4:$Q$4,0)-3),#N/A)-$C$8/250</f>
        <v>#N/A</v>
      </c>
      <c r="M1605" s="394" t="e">
        <f ca="1">IF(NOT(OFFSET(Data!E1608,0,MATCH('Delta Beta'!$C$5,Data!$B$4:$Q$4,0)-1)=""),OFFSET(Data!E1608,0,MATCH('Delta Beta'!$C$5,Data!$B$4:$Q$4,0)-1),#N/A)-$C$8/250</f>
        <v>#N/A</v>
      </c>
      <c r="N1605" s="395"/>
      <c r="R1605" s="391"/>
    </row>
    <row r="1606" spans="12:18">
      <c r="L1606" s="394" t="e">
        <f ca="1">IF(NOT(OFFSET(Data!E1609,0,MATCH('Delta Beta'!$C$5,Data!$B$4:$Q$4,0)-3)=""),OFFSET(Data!E1609,0,MATCH('Delta Beta'!$C$5,Data!$B$4:$Q$4,0)-3),#N/A)-$C$8/250</f>
        <v>#N/A</v>
      </c>
      <c r="M1606" s="394" t="e">
        <f ca="1">IF(NOT(OFFSET(Data!E1609,0,MATCH('Delta Beta'!$C$5,Data!$B$4:$Q$4,0)-1)=""),OFFSET(Data!E1609,0,MATCH('Delta Beta'!$C$5,Data!$B$4:$Q$4,0)-1),#N/A)-$C$8/250</f>
        <v>#N/A</v>
      </c>
      <c r="N1606" s="395"/>
      <c r="R1606" s="391"/>
    </row>
    <row r="1607" spans="12:18">
      <c r="L1607" s="394" t="e">
        <f ca="1">IF(NOT(OFFSET(Data!E1610,0,MATCH('Delta Beta'!$C$5,Data!$B$4:$Q$4,0)-3)=""),OFFSET(Data!E1610,0,MATCH('Delta Beta'!$C$5,Data!$B$4:$Q$4,0)-3),#N/A)-$C$8/250</f>
        <v>#N/A</v>
      </c>
      <c r="M1607" s="394" t="e">
        <f ca="1">IF(NOT(OFFSET(Data!E1610,0,MATCH('Delta Beta'!$C$5,Data!$B$4:$Q$4,0)-1)=""),OFFSET(Data!E1610,0,MATCH('Delta Beta'!$C$5,Data!$B$4:$Q$4,0)-1),#N/A)-$C$8/250</f>
        <v>#N/A</v>
      </c>
      <c r="N1607" s="395"/>
      <c r="R1607" s="391"/>
    </row>
    <row r="1608" spans="12:18">
      <c r="L1608" s="394" t="e">
        <f ca="1">IF(NOT(OFFSET(Data!E1611,0,MATCH('Delta Beta'!$C$5,Data!$B$4:$Q$4,0)-3)=""),OFFSET(Data!E1611,0,MATCH('Delta Beta'!$C$5,Data!$B$4:$Q$4,0)-3),#N/A)-$C$8/250</f>
        <v>#N/A</v>
      </c>
      <c r="M1608" s="394" t="e">
        <f ca="1">IF(NOT(OFFSET(Data!E1611,0,MATCH('Delta Beta'!$C$5,Data!$B$4:$Q$4,0)-1)=""),OFFSET(Data!E1611,0,MATCH('Delta Beta'!$C$5,Data!$B$4:$Q$4,0)-1),#N/A)-$C$8/250</f>
        <v>#N/A</v>
      </c>
      <c r="N1608" s="395"/>
      <c r="R1608" s="391"/>
    </row>
    <row r="1609" spans="12:18">
      <c r="L1609" s="394" t="e">
        <f ca="1">IF(NOT(OFFSET(Data!E1612,0,MATCH('Delta Beta'!$C$5,Data!$B$4:$Q$4,0)-3)=""),OFFSET(Data!E1612,0,MATCH('Delta Beta'!$C$5,Data!$B$4:$Q$4,0)-3),#N/A)-$C$8/250</f>
        <v>#N/A</v>
      </c>
      <c r="M1609" s="394" t="e">
        <f ca="1">IF(NOT(OFFSET(Data!E1612,0,MATCH('Delta Beta'!$C$5,Data!$B$4:$Q$4,0)-1)=""),OFFSET(Data!E1612,0,MATCH('Delta Beta'!$C$5,Data!$B$4:$Q$4,0)-1),#N/A)-$C$8/250</f>
        <v>#N/A</v>
      </c>
      <c r="N1609" s="395"/>
      <c r="R1609" s="391"/>
    </row>
    <row r="1610" spans="12:18">
      <c r="L1610" s="394" t="e">
        <f ca="1">IF(NOT(OFFSET(Data!E1613,0,MATCH('Delta Beta'!$C$5,Data!$B$4:$Q$4,0)-3)=""),OFFSET(Data!E1613,0,MATCH('Delta Beta'!$C$5,Data!$B$4:$Q$4,0)-3),#N/A)-$C$8/250</f>
        <v>#N/A</v>
      </c>
      <c r="M1610" s="394" t="e">
        <f ca="1">IF(NOT(OFFSET(Data!E1613,0,MATCH('Delta Beta'!$C$5,Data!$B$4:$Q$4,0)-1)=""),OFFSET(Data!E1613,0,MATCH('Delta Beta'!$C$5,Data!$B$4:$Q$4,0)-1),#N/A)-$C$8/250</f>
        <v>#N/A</v>
      </c>
      <c r="N1610" s="395"/>
      <c r="R1610" s="391"/>
    </row>
    <row r="1611" spans="12:18">
      <c r="L1611" s="394" t="e">
        <f ca="1">IF(NOT(OFFSET(Data!E1614,0,MATCH('Delta Beta'!$C$5,Data!$B$4:$Q$4,0)-3)=""),OFFSET(Data!E1614,0,MATCH('Delta Beta'!$C$5,Data!$B$4:$Q$4,0)-3),#N/A)-$C$8/250</f>
        <v>#N/A</v>
      </c>
      <c r="M1611" s="394" t="e">
        <f ca="1">IF(NOT(OFFSET(Data!E1614,0,MATCH('Delta Beta'!$C$5,Data!$B$4:$Q$4,0)-1)=""),OFFSET(Data!E1614,0,MATCH('Delta Beta'!$C$5,Data!$B$4:$Q$4,0)-1),#N/A)-$C$8/250</f>
        <v>#N/A</v>
      </c>
      <c r="N1611" s="395"/>
      <c r="R1611" s="391"/>
    </row>
    <row r="1612" spans="12:18">
      <c r="L1612" s="394" t="e">
        <f ca="1">IF(NOT(OFFSET(Data!E1615,0,MATCH('Delta Beta'!$C$5,Data!$B$4:$Q$4,0)-3)=""),OFFSET(Data!E1615,0,MATCH('Delta Beta'!$C$5,Data!$B$4:$Q$4,0)-3),#N/A)-$C$8/250</f>
        <v>#N/A</v>
      </c>
      <c r="M1612" s="394" t="e">
        <f ca="1">IF(NOT(OFFSET(Data!E1615,0,MATCH('Delta Beta'!$C$5,Data!$B$4:$Q$4,0)-1)=""),OFFSET(Data!E1615,0,MATCH('Delta Beta'!$C$5,Data!$B$4:$Q$4,0)-1),#N/A)-$C$8/250</f>
        <v>#N/A</v>
      </c>
      <c r="N1612" s="395"/>
      <c r="R1612" s="391"/>
    </row>
    <row r="1613" spans="12:18">
      <c r="L1613" s="394" t="e">
        <f ca="1">IF(NOT(OFFSET(Data!E1616,0,MATCH('Delta Beta'!$C$5,Data!$B$4:$Q$4,0)-3)=""),OFFSET(Data!E1616,0,MATCH('Delta Beta'!$C$5,Data!$B$4:$Q$4,0)-3),#N/A)-$C$8/250</f>
        <v>#N/A</v>
      </c>
      <c r="M1613" s="394" t="e">
        <f ca="1">IF(NOT(OFFSET(Data!E1616,0,MATCH('Delta Beta'!$C$5,Data!$B$4:$Q$4,0)-1)=""),OFFSET(Data!E1616,0,MATCH('Delta Beta'!$C$5,Data!$B$4:$Q$4,0)-1),#N/A)-$C$8/250</f>
        <v>#N/A</v>
      </c>
      <c r="N1613" s="395"/>
      <c r="R1613" s="391"/>
    </row>
    <row r="1614" spans="12:18">
      <c r="L1614" s="394" t="e">
        <f ca="1">IF(NOT(OFFSET(Data!E1617,0,MATCH('Delta Beta'!$C$5,Data!$B$4:$Q$4,0)-3)=""),OFFSET(Data!E1617,0,MATCH('Delta Beta'!$C$5,Data!$B$4:$Q$4,0)-3),#N/A)-$C$8/250</f>
        <v>#N/A</v>
      </c>
      <c r="M1614" s="394" t="e">
        <f ca="1">IF(NOT(OFFSET(Data!E1617,0,MATCH('Delta Beta'!$C$5,Data!$B$4:$Q$4,0)-1)=""),OFFSET(Data!E1617,0,MATCH('Delta Beta'!$C$5,Data!$B$4:$Q$4,0)-1),#N/A)-$C$8/250</f>
        <v>#N/A</v>
      </c>
      <c r="N1614" s="395"/>
      <c r="R1614" s="391"/>
    </row>
    <row r="1615" spans="12:18">
      <c r="L1615" s="394" t="e">
        <f ca="1">IF(NOT(OFFSET(Data!E1618,0,MATCH('Delta Beta'!$C$5,Data!$B$4:$Q$4,0)-3)=""),OFFSET(Data!E1618,0,MATCH('Delta Beta'!$C$5,Data!$B$4:$Q$4,0)-3),#N/A)-$C$8/250</f>
        <v>#N/A</v>
      </c>
      <c r="M1615" s="394" t="e">
        <f ca="1">IF(NOT(OFFSET(Data!E1618,0,MATCH('Delta Beta'!$C$5,Data!$B$4:$Q$4,0)-1)=""),OFFSET(Data!E1618,0,MATCH('Delta Beta'!$C$5,Data!$B$4:$Q$4,0)-1),#N/A)-$C$8/250</f>
        <v>#N/A</v>
      </c>
      <c r="N1615" s="395"/>
      <c r="R1615" s="391"/>
    </row>
    <row r="1616" spans="12:18">
      <c r="L1616" s="394" t="e">
        <f ca="1">IF(NOT(OFFSET(Data!E1619,0,MATCH('Delta Beta'!$C$5,Data!$B$4:$Q$4,0)-3)=""),OFFSET(Data!E1619,0,MATCH('Delta Beta'!$C$5,Data!$B$4:$Q$4,0)-3),#N/A)-$C$8/250</f>
        <v>#N/A</v>
      </c>
      <c r="M1616" s="394" t="e">
        <f ca="1">IF(NOT(OFFSET(Data!E1619,0,MATCH('Delta Beta'!$C$5,Data!$B$4:$Q$4,0)-1)=""),OFFSET(Data!E1619,0,MATCH('Delta Beta'!$C$5,Data!$B$4:$Q$4,0)-1),#N/A)-$C$8/250</f>
        <v>#N/A</v>
      </c>
      <c r="N1616" s="395"/>
      <c r="R1616" s="391"/>
    </row>
    <row r="1617" spans="12:18">
      <c r="L1617" s="394" t="e">
        <f ca="1">IF(NOT(OFFSET(Data!E1620,0,MATCH('Delta Beta'!$C$5,Data!$B$4:$Q$4,0)-3)=""),OFFSET(Data!E1620,0,MATCH('Delta Beta'!$C$5,Data!$B$4:$Q$4,0)-3),#N/A)-$C$8/250</f>
        <v>#N/A</v>
      </c>
      <c r="M1617" s="394" t="e">
        <f ca="1">IF(NOT(OFFSET(Data!E1620,0,MATCH('Delta Beta'!$C$5,Data!$B$4:$Q$4,0)-1)=""),OFFSET(Data!E1620,0,MATCH('Delta Beta'!$C$5,Data!$B$4:$Q$4,0)-1),#N/A)-$C$8/250</f>
        <v>#N/A</v>
      </c>
      <c r="N1617" s="395"/>
      <c r="R1617" s="391"/>
    </row>
    <row r="1618" spans="12:18">
      <c r="L1618" s="394" t="e">
        <f ca="1">IF(NOT(OFFSET(Data!E1621,0,MATCH('Delta Beta'!$C$5,Data!$B$4:$Q$4,0)-3)=""),OFFSET(Data!E1621,0,MATCH('Delta Beta'!$C$5,Data!$B$4:$Q$4,0)-3),#N/A)-$C$8/250</f>
        <v>#N/A</v>
      </c>
      <c r="M1618" s="394" t="e">
        <f ca="1">IF(NOT(OFFSET(Data!E1621,0,MATCH('Delta Beta'!$C$5,Data!$B$4:$Q$4,0)-1)=""),OFFSET(Data!E1621,0,MATCH('Delta Beta'!$C$5,Data!$B$4:$Q$4,0)-1),#N/A)-$C$8/250</f>
        <v>#N/A</v>
      </c>
      <c r="N1618" s="395"/>
      <c r="R1618" s="391"/>
    </row>
    <row r="1619" spans="12:18">
      <c r="L1619" s="394" t="e">
        <f ca="1">IF(NOT(OFFSET(Data!E1622,0,MATCH('Delta Beta'!$C$5,Data!$B$4:$Q$4,0)-3)=""),OFFSET(Data!E1622,0,MATCH('Delta Beta'!$C$5,Data!$B$4:$Q$4,0)-3),#N/A)-$C$8/250</f>
        <v>#N/A</v>
      </c>
      <c r="M1619" s="394" t="e">
        <f ca="1">IF(NOT(OFFSET(Data!E1622,0,MATCH('Delta Beta'!$C$5,Data!$B$4:$Q$4,0)-1)=""),OFFSET(Data!E1622,0,MATCH('Delta Beta'!$C$5,Data!$B$4:$Q$4,0)-1),#N/A)-$C$8/250</f>
        <v>#N/A</v>
      </c>
      <c r="N1619" s="395"/>
      <c r="R1619" s="391"/>
    </row>
    <row r="1620" spans="12:18">
      <c r="L1620" s="394" t="e">
        <f ca="1">IF(NOT(OFFSET(Data!E1623,0,MATCH('Delta Beta'!$C$5,Data!$B$4:$Q$4,0)-3)=""),OFFSET(Data!E1623,0,MATCH('Delta Beta'!$C$5,Data!$B$4:$Q$4,0)-3),#N/A)-$C$8/250</f>
        <v>#N/A</v>
      </c>
      <c r="M1620" s="394" t="e">
        <f ca="1">IF(NOT(OFFSET(Data!E1623,0,MATCH('Delta Beta'!$C$5,Data!$B$4:$Q$4,0)-1)=""),OFFSET(Data!E1623,0,MATCH('Delta Beta'!$C$5,Data!$B$4:$Q$4,0)-1),#N/A)-$C$8/250</f>
        <v>#N/A</v>
      </c>
      <c r="N1620" s="395"/>
      <c r="R1620" s="391"/>
    </row>
    <row r="1621" spans="12:18">
      <c r="L1621" s="394" t="e">
        <f ca="1">IF(NOT(OFFSET(Data!E1624,0,MATCH('Delta Beta'!$C$5,Data!$B$4:$Q$4,0)-3)=""),OFFSET(Data!E1624,0,MATCH('Delta Beta'!$C$5,Data!$B$4:$Q$4,0)-3),#N/A)-$C$8/250</f>
        <v>#N/A</v>
      </c>
      <c r="M1621" s="394" t="e">
        <f ca="1">IF(NOT(OFFSET(Data!E1624,0,MATCH('Delta Beta'!$C$5,Data!$B$4:$Q$4,0)-1)=""),OFFSET(Data!E1624,0,MATCH('Delta Beta'!$C$5,Data!$B$4:$Q$4,0)-1),#N/A)-$C$8/250</f>
        <v>#N/A</v>
      </c>
      <c r="N1621" s="395"/>
      <c r="R1621" s="391"/>
    </row>
    <row r="1622" spans="12:18">
      <c r="L1622" s="394" t="e">
        <f ca="1">IF(NOT(OFFSET(Data!E1625,0,MATCH('Delta Beta'!$C$5,Data!$B$4:$Q$4,0)-3)=""),OFFSET(Data!E1625,0,MATCH('Delta Beta'!$C$5,Data!$B$4:$Q$4,0)-3),#N/A)-$C$8/250</f>
        <v>#N/A</v>
      </c>
      <c r="M1622" s="394" t="e">
        <f ca="1">IF(NOT(OFFSET(Data!E1625,0,MATCH('Delta Beta'!$C$5,Data!$B$4:$Q$4,0)-1)=""),OFFSET(Data!E1625,0,MATCH('Delta Beta'!$C$5,Data!$B$4:$Q$4,0)-1),#N/A)-$C$8/250</f>
        <v>#N/A</v>
      </c>
      <c r="N1622" s="395"/>
      <c r="R1622" s="391"/>
    </row>
    <row r="1623" spans="12:18">
      <c r="L1623" s="394" t="e">
        <f ca="1">IF(NOT(OFFSET(Data!E1626,0,MATCH('Delta Beta'!$C$5,Data!$B$4:$Q$4,0)-3)=""),OFFSET(Data!E1626,0,MATCH('Delta Beta'!$C$5,Data!$B$4:$Q$4,0)-3),#N/A)-$C$8/250</f>
        <v>#N/A</v>
      </c>
      <c r="M1623" s="394" t="e">
        <f ca="1">IF(NOT(OFFSET(Data!E1626,0,MATCH('Delta Beta'!$C$5,Data!$B$4:$Q$4,0)-1)=""),OFFSET(Data!E1626,0,MATCH('Delta Beta'!$C$5,Data!$B$4:$Q$4,0)-1),#N/A)-$C$8/250</f>
        <v>#N/A</v>
      </c>
      <c r="N1623" s="395"/>
      <c r="R1623" s="391"/>
    </row>
    <row r="1624" spans="12:18">
      <c r="L1624" s="394" t="e">
        <f ca="1">IF(NOT(OFFSET(Data!E1627,0,MATCH('Delta Beta'!$C$5,Data!$B$4:$Q$4,0)-3)=""),OFFSET(Data!E1627,0,MATCH('Delta Beta'!$C$5,Data!$B$4:$Q$4,0)-3),#N/A)-$C$8/250</f>
        <v>#N/A</v>
      </c>
      <c r="M1624" s="394" t="e">
        <f ca="1">IF(NOT(OFFSET(Data!E1627,0,MATCH('Delta Beta'!$C$5,Data!$B$4:$Q$4,0)-1)=""),OFFSET(Data!E1627,0,MATCH('Delta Beta'!$C$5,Data!$B$4:$Q$4,0)-1),#N/A)-$C$8/250</f>
        <v>#N/A</v>
      </c>
      <c r="N1624" s="395"/>
      <c r="R1624" s="391"/>
    </row>
    <row r="1625" spans="12:18">
      <c r="L1625" s="394" t="e">
        <f ca="1">IF(NOT(OFFSET(Data!E1628,0,MATCH('Delta Beta'!$C$5,Data!$B$4:$Q$4,0)-3)=""),OFFSET(Data!E1628,0,MATCH('Delta Beta'!$C$5,Data!$B$4:$Q$4,0)-3),#N/A)-$C$8/250</f>
        <v>#N/A</v>
      </c>
      <c r="M1625" s="394" t="e">
        <f ca="1">IF(NOT(OFFSET(Data!E1628,0,MATCH('Delta Beta'!$C$5,Data!$B$4:$Q$4,0)-1)=""),OFFSET(Data!E1628,0,MATCH('Delta Beta'!$C$5,Data!$B$4:$Q$4,0)-1),#N/A)-$C$8/250</f>
        <v>#N/A</v>
      </c>
      <c r="N1625" s="395"/>
      <c r="R1625" s="391"/>
    </row>
    <row r="1626" spans="12:18">
      <c r="L1626" s="394" t="e">
        <f ca="1">IF(NOT(OFFSET(Data!E1629,0,MATCH('Delta Beta'!$C$5,Data!$B$4:$Q$4,0)-3)=""),OFFSET(Data!E1629,0,MATCH('Delta Beta'!$C$5,Data!$B$4:$Q$4,0)-3),#N/A)-$C$8/250</f>
        <v>#N/A</v>
      </c>
      <c r="M1626" s="394" t="e">
        <f ca="1">IF(NOT(OFFSET(Data!E1629,0,MATCH('Delta Beta'!$C$5,Data!$B$4:$Q$4,0)-1)=""),OFFSET(Data!E1629,0,MATCH('Delta Beta'!$C$5,Data!$B$4:$Q$4,0)-1),#N/A)-$C$8/250</f>
        <v>#N/A</v>
      </c>
      <c r="N1626" s="395"/>
      <c r="R1626" s="391"/>
    </row>
    <row r="1627" spans="12:18">
      <c r="L1627" s="394" t="e">
        <f ca="1">IF(NOT(OFFSET(Data!E1630,0,MATCH('Delta Beta'!$C$5,Data!$B$4:$Q$4,0)-3)=""),OFFSET(Data!E1630,0,MATCH('Delta Beta'!$C$5,Data!$B$4:$Q$4,0)-3),#N/A)-$C$8/250</f>
        <v>#N/A</v>
      </c>
      <c r="M1627" s="394" t="e">
        <f ca="1">IF(NOT(OFFSET(Data!E1630,0,MATCH('Delta Beta'!$C$5,Data!$B$4:$Q$4,0)-1)=""),OFFSET(Data!E1630,0,MATCH('Delta Beta'!$C$5,Data!$B$4:$Q$4,0)-1),#N/A)-$C$8/250</f>
        <v>#N/A</v>
      </c>
      <c r="N1627" s="395"/>
      <c r="R1627" s="391"/>
    </row>
    <row r="1628" spans="12:18">
      <c r="L1628" s="394" t="e">
        <f ca="1">IF(NOT(OFFSET(Data!E1631,0,MATCH('Delta Beta'!$C$5,Data!$B$4:$Q$4,0)-3)=""),OFFSET(Data!E1631,0,MATCH('Delta Beta'!$C$5,Data!$B$4:$Q$4,0)-3),#N/A)-$C$8/250</f>
        <v>#N/A</v>
      </c>
      <c r="M1628" s="394" t="e">
        <f ca="1">IF(NOT(OFFSET(Data!E1631,0,MATCH('Delta Beta'!$C$5,Data!$B$4:$Q$4,0)-1)=""),OFFSET(Data!E1631,0,MATCH('Delta Beta'!$C$5,Data!$B$4:$Q$4,0)-1),#N/A)-$C$8/250</f>
        <v>#N/A</v>
      </c>
      <c r="N1628" s="395"/>
      <c r="R1628" s="391"/>
    </row>
    <row r="1629" spans="12:18">
      <c r="L1629" s="394" t="e">
        <f ca="1">IF(NOT(OFFSET(Data!E1632,0,MATCH('Delta Beta'!$C$5,Data!$B$4:$Q$4,0)-3)=""),OFFSET(Data!E1632,0,MATCH('Delta Beta'!$C$5,Data!$B$4:$Q$4,0)-3),#N/A)-$C$8/250</f>
        <v>#N/A</v>
      </c>
      <c r="M1629" s="394" t="e">
        <f ca="1">IF(NOT(OFFSET(Data!E1632,0,MATCH('Delta Beta'!$C$5,Data!$B$4:$Q$4,0)-1)=""),OFFSET(Data!E1632,0,MATCH('Delta Beta'!$C$5,Data!$B$4:$Q$4,0)-1),#N/A)-$C$8/250</f>
        <v>#N/A</v>
      </c>
      <c r="N1629" s="395"/>
      <c r="R1629" s="391"/>
    </row>
    <row r="1630" spans="12:18">
      <c r="L1630" s="394" t="e">
        <f ca="1">IF(NOT(OFFSET(Data!E1633,0,MATCH('Delta Beta'!$C$5,Data!$B$4:$Q$4,0)-3)=""),OFFSET(Data!E1633,0,MATCH('Delta Beta'!$C$5,Data!$B$4:$Q$4,0)-3),#N/A)-$C$8/250</f>
        <v>#N/A</v>
      </c>
      <c r="M1630" s="394" t="e">
        <f ca="1">IF(NOT(OFFSET(Data!E1633,0,MATCH('Delta Beta'!$C$5,Data!$B$4:$Q$4,0)-1)=""),OFFSET(Data!E1633,0,MATCH('Delta Beta'!$C$5,Data!$B$4:$Q$4,0)-1),#N/A)-$C$8/250</f>
        <v>#N/A</v>
      </c>
      <c r="N1630" s="395"/>
      <c r="R1630" s="391"/>
    </row>
    <row r="1631" spans="12:18">
      <c r="L1631" s="394" t="e">
        <f ca="1">IF(NOT(OFFSET(Data!E1634,0,MATCH('Delta Beta'!$C$5,Data!$B$4:$Q$4,0)-3)=""),OFFSET(Data!E1634,0,MATCH('Delta Beta'!$C$5,Data!$B$4:$Q$4,0)-3),#N/A)-$C$8/250</f>
        <v>#N/A</v>
      </c>
      <c r="M1631" s="394" t="e">
        <f ca="1">IF(NOT(OFFSET(Data!E1634,0,MATCH('Delta Beta'!$C$5,Data!$B$4:$Q$4,0)-1)=""),OFFSET(Data!E1634,0,MATCH('Delta Beta'!$C$5,Data!$B$4:$Q$4,0)-1),#N/A)-$C$8/250</f>
        <v>#N/A</v>
      </c>
      <c r="N1631" s="395"/>
      <c r="R1631" s="391"/>
    </row>
    <row r="1632" spans="12:18">
      <c r="L1632" s="394" t="e">
        <f ca="1">IF(NOT(OFFSET(Data!E1635,0,MATCH('Delta Beta'!$C$5,Data!$B$4:$Q$4,0)-3)=""),OFFSET(Data!E1635,0,MATCH('Delta Beta'!$C$5,Data!$B$4:$Q$4,0)-3),#N/A)-$C$8/250</f>
        <v>#N/A</v>
      </c>
      <c r="M1632" s="394" t="e">
        <f ca="1">IF(NOT(OFFSET(Data!E1635,0,MATCH('Delta Beta'!$C$5,Data!$B$4:$Q$4,0)-1)=""),OFFSET(Data!E1635,0,MATCH('Delta Beta'!$C$5,Data!$B$4:$Q$4,0)-1),#N/A)-$C$8/250</f>
        <v>#N/A</v>
      </c>
      <c r="N1632" s="395"/>
      <c r="R1632" s="391"/>
    </row>
    <row r="1633" spans="12:18">
      <c r="L1633" s="394" t="e">
        <f ca="1">IF(NOT(OFFSET(Data!E1636,0,MATCH('Delta Beta'!$C$5,Data!$B$4:$Q$4,0)-3)=""),OFFSET(Data!E1636,0,MATCH('Delta Beta'!$C$5,Data!$B$4:$Q$4,0)-3),#N/A)-$C$8/250</f>
        <v>#N/A</v>
      </c>
      <c r="M1633" s="394" t="e">
        <f ca="1">IF(NOT(OFFSET(Data!E1636,0,MATCH('Delta Beta'!$C$5,Data!$B$4:$Q$4,0)-1)=""),OFFSET(Data!E1636,0,MATCH('Delta Beta'!$C$5,Data!$B$4:$Q$4,0)-1),#N/A)-$C$8/250</f>
        <v>#N/A</v>
      </c>
      <c r="N1633" s="395"/>
      <c r="R1633" s="391"/>
    </row>
    <row r="1634" spans="12:18">
      <c r="L1634" s="394" t="e">
        <f ca="1">IF(NOT(OFFSET(Data!E1637,0,MATCH('Delta Beta'!$C$5,Data!$B$4:$Q$4,0)-3)=""),OFFSET(Data!E1637,0,MATCH('Delta Beta'!$C$5,Data!$B$4:$Q$4,0)-3),#N/A)-$C$8/250</f>
        <v>#N/A</v>
      </c>
      <c r="M1634" s="394" t="e">
        <f ca="1">IF(NOT(OFFSET(Data!E1637,0,MATCH('Delta Beta'!$C$5,Data!$B$4:$Q$4,0)-1)=""),OFFSET(Data!E1637,0,MATCH('Delta Beta'!$C$5,Data!$B$4:$Q$4,0)-1),#N/A)-$C$8/250</f>
        <v>#N/A</v>
      </c>
      <c r="N1634" s="395"/>
      <c r="R1634" s="391"/>
    </row>
    <row r="1635" spans="12:18">
      <c r="L1635" s="394" t="e">
        <f ca="1">IF(NOT(OFFSET(Data!E1638,0,MATCH('Delta Beta'!$C$5,Data!$B$4:$Q$4,0)-3)=""),OFFSET(Data!E1638,0,MATCH('Delta Beta'!$C$5,Data!$B$4:$Q$4,0)-3),#N/A)-$C$8/250</f>
        <v>#N/A</v>
      </c>
      <c r="M1635" s="394" t="e">
        <f ca="1">IF(NOT(OFFSET(Data!E1638,0,MATCH('Delta Beta'!$C$5,Data!$B$4:$Q$4,0)-1)=""),OFFSET(Data!E1638,0,MATCH('Delta Beta'!$C$5,Data!$B$4:$Q$4,0)-1),#N/A)-$C$8/250</f>
        <v>#N/A</v>
      </c>
      <c r="N1635" s="395"/>
      <c r="R1635" s="391"/>
    </row>
    <row r="1636" spans="12:18">
      <c r="L1636" s="394" t="e">
        <f ca="1">IF(NOT(OFFSET(Data!E1639,0,MATCH('Delta Beta'!$C$5,Data!$B$4:$Q$4,0)-3)=""),OFFSET(Data!E1639,0,MATCH('Delta Beta'!$C$5,Data!$B$4:$Q$4,0)-3),#N/A)-$C$8/250</f>
        <v>#N/A</v>
      </c>
      <c r="M1636" s="394" t="e">
        <f ca="1">IF(NOT(OFFSET(Data!E1639,0,MATCH('Delta Beta'!$C$5,Data!$B$4:$Q$4,0)-1)=""),OFFSET(Data!E1639,0,MATCH('Delta Beta'!$C$5,Data!$B$4:$Q$4,0)-1),#N/A)-$C$8/250</f>
        <v>#N/A</v>
      </c>
      <c r="N1636" s="395"/>
      <c r="R1636" s="391"/>
    </row>
    <row r="1637" spans="12:18">
      <c r="L1637" s="394" t="e">
        <f ca="1">IF(NOT(OFFSET(Data!E1640,0,MATCH('Delta Beta'!$C$5,Data!$B$4:$Q$4,0)-3)=""),OFFSET(Data!E1640,0,MATCH('Delta Beta'!$C$5,Data!$B$4:$Q$4,0)-3),#N/A)-$C$8/250</f>
        <v>#N/A</v>
      </c>
      <c r="M1637" s="394" t="e">
        <f ca="1">IF(NOT(OFFSET(Data!E1640,0,MATCH('Delta Beta'!$C$5,Data!$B$4:$Q$4,0)-1)=""),OFFSET(Data!E1640,0,MATCH('Delta Beta'!$C$5,Data!$B$4:$Q$4,0)-1),#N/A)-$C$8/250</f>
        <v>#N/A</v>
      </c>
      <c r="N1637" s="395"/>
      <c r="R1637" s="391"/>
    </row>
    <row r="1638" spans="12:18">
      <c r="L1638" s="394" t="e">
        <f ca="1">IF(NOT(OFFSET(Data!E1641,0,MATCH('Delta Beta'!$C$5,Data!$B$4:$Q$4,0)-3)=""),OFFSET(Data!E1641,0,MATCH('Delta Beta'!$C$5,Data!$B$4:$Q$4,0)-3),#N/A)-$C$8/250</f>
        <v>#N/A</v>
      </c>
      <c r="M1638" s="394" t="e">
        <f ca="1">IF(NOT(OFFSET(Data!E1641,0,MATCH('Delta Beta'!$C$5,Data!$B$4:$Q$4,0)-1)=""),OFFSET(Data!E1641,0,MATCH('Delta Beta'!$C$5,Data!$B$4:$Q$4,0)-1),#N/A)-$C$8/250</f>
        <v>#N/A</v>
      </c>
      <c r="N1638" s="395"/>
      <c r="R1638" s="391"/>
    </row>
    <row r="1639" spans="12:18">
      <c r="L1639" s="394" t="e">
        <f ca="1">IF(NOT(OFFSET(Data!E1642,0,MATCH('Delta Beta'!$C$5,Data!$B$4:$Q$4,0)-3)=""),OFFSET(Data!E1642,0,MATCH('Delta Beta'!$C$5,Data!$B$4:$Q$4,0)-3),#N/A)-$C$8/250</f>
        <v>#N/A</v>
      </c>
      <c r="M1639" s="394" t="e">
        <f ca="1">IF(NOT(OFFSET(Data!E1642,0,MATCH('Delta Beta'!$C$5,Data!$B$4:$Q$4,0)-1)=""),OFFSET(Data!E1642,0,MATCH('Delta Beta'!$C$5,Data!$B$4:$Q$4,0)-1),#N/A)-$C$8/250</f>
        <v>#N/A</v>
      </c>
      <c r="N1639" s="395"/>
      <c r="R1639" s="391"/>
    </row>
    <row r="1640" spans="12:18">
      <c r="L1640" s="394" t="e">
        <f ca="1">IF(NOT(OFFSET(Data!E1643,0,MATCH('Delta Beta'!$C$5,Data!$B$4:$Q$4,0)-3)=""),OFFSET(Data!E1643,0,MATCH('Delta Beta'!$C$5,Data!$B$4:$Q$4,0)-3),#N/A)-$C$8/250</f>
        <v>#N/A</v>
      </c>
      <c r="M1640" s="394" t="e">
        <f ca="1">IF(NOT(OFFSET(Data!E1643,0,MATCH('Delta Beta'!$C$5,Data!$B$4:$Q$4,0)-1)=""),OFFSET(Data!E1643,0,MATCH('Delta Beta'!$C$5,Data!$B$4:$Q$4,0)-1),#N/A)-$C$8/250</f>
        <v>#N/A</v>
      </c>
      <c r="N1640" s="395"/>
      <c r="R1640" s="391"/>
    </row>
    <row r="1641" spans="12:18">
      <c r="L1641" s="394" t="e">
        <f ca="1">IF(NOT(OFFSET(Data!E1644,0,MATCH('Delta Beta'!$C$5,Data!$B$4:$Q$4,0)-3)=""),OFFSET(Data!E1644,0,MATCH('Delta Beta'!$C$5,Data!$B$4:$Q$4,0)-3),#N/A)-$C$8/250</f>
        <v>#N/A</v>
      </c>
      <c r="M1641" s="394" t="e">
        <f ca="1">IF(NOT(OFFSET(Data!E1644,0,MATCH('Delta Beta'!$C$5,Data!$B$4:$Q$4,0)-1)=""),OFFSET(Data!E1644,0,MATCH('Delta Beta'!$C$5,Data!$B$4:$Q$4,0)-1),#N/A)-$C$8/250</f>
        <v>#N/A</v>
      </c>
      <c r="N1641" s="395"/>
      <c r="R1641" s="391"/>
    </row>
    <row r="1642" spans="12:18">
      <c r="L1642" s="394" t="e">
        <f ca="1">IF(NOT(OFFSET(Data!E1645,0,MATCH('Delta Beta'!$C$5,Data!$B$4:$Q$4,0)-3)=""),OFFSET(Data!E1645,0,MATCH('Delta Beta'!$C$5,Data!$B$4:$Q$4,0)-3),#N/A)-$C$8/250</f>
        <v>#N/A</v>
      </c>
      <c r="M1642" s="394" t="e">
        <f ca="1">IF(NOT(OFFSET(Data!E1645,0,MATCH('Delta Beta'!$C$5,Data!$B$4:$Q$4,0)-1)=""),OFFSET(Data!E1645,0,MATCH('Delta Beta'!$C$5,Data!$B$4:$Q$4,0)-1),#N/A)-$C$8/250</f>
        <v>#N/A</v>
      </c>
      <c r="N1642" s="395"/>
      <c r="R1642" s="391"/>
    </row>
    <row r="1643" spans="12:18">
      <c r="L1643" s="394" t="e">
        <f ca="1">IF(NOT(OFFSET(Data!E1646,0,MATCH('Delta Beta'!$C$5,Data!$B$4:$Q$4,0)-3)=""),OFFSET(Data!E1646,0,MATCH('Delta Beta'!$C$5,Data!$B$4:$Q$4,0)-3),#N/A)-$C$8/250</f>
        <v>#N/A</v>
      </c>
      <c r="M1643" s="394" t="e">
        <f ca="1">IF(NOT(OFFSET(Data!E1646,0,MATCH('Delta Beta'!$C$5,Data!$B$4:$Q$4,0)-1)=""),OFFSET(Data!E1646,0,MATCH('Delta Beta'!$C$5,Data!$B$4:$Q$4,0)-1),#N/A)-$C$8/250</f>
        <v>#N/A</v>
      </c>
      <c r="N1643" s="395"/>
      <c r="R1643" s="391"/>
    </row>
    <row r="1644" spans="12:18">
      <c r="L1644" s="394" t="e">
        <f ca="1">IF(NOT(OFFSET(Data!E1647,0,MATCH('Delta Beta'!$C$5,Data!$B$4:$Q$4,0)-3)=""),OFFSET(Data!E1647,0,MATCH('Delta Beta'!$C$5,Data!$B$4:$Q$4,0)-3),#N/A)-$C$8/250</f>
        <v>#N/A</v>
      </c>
      <c r="M1644" s="394" t="e">
        <f ca="1">IF(NOT(OFFSET(Data!E1647,0,MATCH('Delta Beta'!$C$5,Data!$B$4:$Q$4,0)-1)=""),OFFSET(Data!E1647,0,MATCH('Delta Beta'!$C$5,Data!$B$4:$Q$4,0)-1),#N/A)-$C$8/250</f>
        <v>#N/A</v>
      </c>
      <c r="N1644" s="395"/>
      <c r="R1644" s="391"/>
    </row>
    <row r="1645" spans="12:18">
      <c r="L1645" s="394" t="e">
        <f ca="1">IF(NOT(OFFSET(Data!E1648,0,MATCH('Delta Beta'!$C$5,Data!$B$4:$Q$4,0)-3)=""),OFFSET(Data!E1648,0,MATCH('Delta Beta'!$C$5,Data!$B$4:$Q$4,0)-3),#N/A)-$C$8/250</f>
        <v>#N/A</v>
      </c>
      <c r="M1645" s="394" t="e">
        <f ca="1">IF(NOT(OFFSET(Data!E1648,0,MATCH('Delta Beta'!$C$5,Data!$B$4:$Q$4,0)-1)=""),OFFSET(Data!E1648,0,MATCH('Delta Beta'!$C$5,Data!$B$4:$Q$4,0)-1),#N/A)-$C$8/250</f>
        <v>#N/A</v>
      </c>
      <c r="N1645" s="395"/>
      <c r="R1645" s="391"/>
    </row>
    <row r="1646" spans="12:18">
      <c r="L1646" s="394" t="e">
        <f ca="1">IF(NOT(OFFSET(Data!E1649,0,MATCH('Delta Beta'!$C$5,Data!$B$4:$Q$4,0)-3)=""),OFFSET(Data!E1649,0,MATCH('Delta Beta'!$C$5,Data!$B$4:$Q$4,0)-3),#N/A)-$C$8/250</f>
        <v>#N/A</v>
      </c>
      <c r="M1646" s="394" t="e">
        <f ca="1">IF(NOT(OFFSET(Data!E1649,0,MATCH('Delta Beta'!$C$5,Data!$B$4:$Q$4,0)-1)=""),OFFSET(Data!E1649,0,MATCH('Delta Beta'!$C$5,Data!$B$4:$Q$4,0)-1),#N/A)-$C$8/250</f>
        <v>#N/A</v>
      </c>
      <c r="N1646" s="395"/>
      <c r="R1646" s="391"/>
    </row>
    <row r="1647" spans="12:18">
      <c r="L1647" s="394" t="e">
        <f ca="1">IF(NOT(OFFSET(Data!E1650,0,MATCH('Delta Beta'!$C$5,Data!$B$4:$Q$4,0)-3)=""),OFFSET(Data!E1650,0,MATCH('Delta Beta'!$C$5,Data!$B$4:$Q$4,0)-3),#N/A)-$C$8/250</f>
        <v>#N/A</v>
      </c>
      <c r="M1647" s="394" t="e">
        <f ca="1">IF(NOT(OFFSET(Data!E1650,0,MATCH('Delta Beta'!$C$5,Data!$B$4:$Q$4,0)-1)=""),OFFSET(Data!E1650,0,MATCH('Delta Beta'!$C$5,Data!$B$4:$Q$4,0)-1),#N/A)-$C$8/250</f>
        <v>#N/A</v>
      </c>
      <c r="N1647" s="395"/>
      <c r="R1647" s="391"/>
    </row>
    <row r="1648" spans="12:18">
      <c r="L1648" s="394" t="e">
        <f ca="1">IF(NOT(OFFSET(Data!E1651,0,MATCH('Delta Beta'!$C$5,Data!$B$4:$Q$4,0)-3)=""),OFFSET(Data!E1651,0,MATCH('Delta Beta'!$C$5,Data!$B$4:$Q$4,0)-3),#N/A)-$C$8/250</f>
        <v>#N/A</v>
      </c>
      <c r="M1648" s="394" t="e">
        <f ca="1">IF(NOT(OFFSET(Data!E1651,0,MATCH('Delta Beta'!$C$5,Data!$B$4:$Q$4,0)-1)=""),OFFSET(Data!E1651,0,MATCH('Delta Beta'!$C$5,Data!$B$4:$Q$4,0)-1),#N/A)-$C$8/250</f>
        <v>#N/A</v>
      </c>
      <c r="N1648" s="395"/>
      <c r="R1648" s="391"/>
    </row>
    <row r="1649" spans="12:18">
      <c r="L1649" s="394" t="e">
        <f ca="1">IF(NOT(OFFSET(Data!E1652,0,MATCH('Delta Beta'!$C$5,Data!$B$4:$Q$4,0)-3)=""),OFFSET(Data!E1652,0,MATCH('Delta Beta'!$C$5,Data!$B$4:$Q$4,0)-3),#N/A)-$C$8/250</f>
        <v>#N/A</v>
      </c>
      <c r="M1649" s="394" t="e">
        <f ca="1">IF(NOT(OFFSET(Data!E1652,0,MATCH('Delta Beta'!$C$5,Data!$B$4:$Q$4,0)-1)=""),OFFSET(Data!E1652,0,MATCH('Delta Beta'!$C$5,Data!$B$4:$Q$4,0)-1),#N/A)-$C$8/250</f>
        <v>#N/A</v>
      </c>
      <c r="N1649" s="395"/>
      <c r="R1649" s="391"/>
    </row>
    <row r="1650" spans="12:18">
      <c r="L1650" s="394" t="e">
        <f ca="1">IF(NOT(OFFSET(Data!E1653,0,MATCH('Delta Beta'!$C$5,Data!$B$4:$Q$4,0)-3)=""),OFFSET(Data!E1653,0,MATCH('Delta Beta'!$C$5,Data!$B$4:$Q$4,0)-3),#N/A)-$C$8/250</f>
        <v>#N/A</v>
      </c>
      <c r="M1650" s="394" t="e">
        <f ca="1">IF(NOT(OFFSET(Data!E1653,0,MATCH('Delta Beta'!$C$5,Data!$B$4:$Q$4,0)-1)=""),OFFSET(Data!E1653,0,MATCH('Delta Beta'!$C$5,Data!$B$4:$Q$4,0)-1),#N/A)-$C$8/250</f>
        <v>#N/A</v>
      </c>
      <c r="N1650" s="395"/>
      <c r="R1650" s="391"/>
    </row>
    <row r="1651" spans="12:18">
      <c r="L1651" s="394" t="e">
        <f ca="1">IF(NOT(OFFSET(Data!E1654,0,MATCH('Delta Beta'!$C$5,Data!$B$4:$Q$4,0)-3)=""),OFFSET(Data!E1654,0,MATCH('Delta Beta'!$C$5,Data!$B$4:$Q$4,0)-3),#N/A)-$C$8/250</f>
        <v>#N/A</v>
      </c>
      <c r="M1651" s="394" t="e">
        <f ca="1">IF(NOT(OFFSET(Data!E1654,0,MATCH('Delta Beta'!$C$5,Data!$B$4:$Q$4,0)-1)=""),OFFSET(Data!E1654,0,MATCH('Delta Beta'!$C$5,Data!$B$4:$Q$4,0)-1),#N/A)-$C$8/250</f>
        <v>#N/A</v>
      </c>
      <c r="N1651" s="395"/>
      <c r="R1651" s="391"/>
    </row>
    <row r="1652" spans="12:18">
      <c r="L1652" s="394" t="e">
        <f ca="1">IF(NOT(OFFSET(Data!E1655,0,MATCH('Delta Beta'!$C$5,Data!$B$4:$Q$4,0)-3)=""),OFFSET(Data!E1655,0,MATCH('Delta Beta'!$C$5,Data!$B$4:$Q$4,0)-3),#N/A)-$C$8/250</f>
        <v>#N/A</v>
      </c>
      <c r="M1652" s="394" t="e">
        <f ca="1">IF(NOT(OFFSET(Data!E1655,0,MATCH('Delta Beta'!$C$5,Data!$B$4:$Q$4,0)-1)=""),OFFSET(Data!E1655,0,MATCH('Delta Beta'!$C$5,Data!$B$4:$Q$4,0)-1),#N/A)-$C$8/250</f>
        <v>#N/A</v>
      </c>
      <c r="N1652" s="395"/>
      <c r="R1652" s="391"/>
    </row>
    <row r="1653" spans="12:18">
      <c r="L1653" s="394" t="e">
        <f ca="1">IF(NOT(OFFSET(Data!E1656,0,MATCH('Delta Beta'!$C$5,Data!$B$4:$Q$4,0)-3)=""),OFFSET(Data!E1656,0,MATCH('Delta Beta'!$C$5,Data!$B$4:$Q$4,0)-3),#N/A)-$C$8/250</f>
        <v>#N/A</v>
      </c>
      <c r="M1653" s="394" t="e">
        <f ca="1">IF(NOT(OFFSET(Data!E1656,0,MATCH('Delta Beta'!$C$5,Data!$B$4:$Q$4,0)-1)=""),OFFSET(Data!E1656,0,MATCH('Delta Beta'!$C$5,Data!$B$4:$Q$4,0)-1),#N/A)-$C$8/250</f>
        <v>#N/A</v>
      </c>
      <c r="N1653" s="395"/>
      <c r="R1653" s="391"/>
    </row>
    <row r="1654" spans="12:18">
      <c r="L1654" s="394" t="e">
        <f ca="1">IF(NOT(OFFSET(Data!E1657,0,MATCH('Delta Beta'!$C$5,Data!$B$4:$Q$4,0)-3)=""),OFFSET(Data!E1657,0,MATCH('Delta Beta'!$C$5,Data!$B$4:$Q$4,0)-3),#N/A)-$C$8/250</f>
        <v>#N/A</v>
      </c>
      <c r="M1654" s="394" t="e">
        <f ca="1">IF(NOT(OFFSET(Data!E1657,0,MATCH('Delta Beta'!$C$5,Data!$B$4:$Q$4,0)-1)=""),OFFSET(Data!E1657,0,MATCH('Delta Beta'!$C$5,Data!$B$4:$Q$4,0)-1),#N/A)-$C$8/250</f>
        <v>#N/A</v>
      </c>
      <c r="N1654" s="395"/>
      <c r="R1654" s="391"/>
    </row>
    <row r="1655" spans="12:18">
      <c r="L1655" s="394" t="e">
        <f ca="1">IF(NOT(OFFSET(Data!E1658,0,MATCH('Delta Beta'!$C$5,Data!$B$4:$Q$4,0)-3)=""),OFFSET(Data!E1658,0,MATCH('Delta Beta'!$C$5,Data!$B$4:$Q$4,0)-3),#N/A)-$C$8/250</f>
        <v>#N/A</v>
      </c>
      <c r="M1655" s="394" t="e">
        <f ca="1">IF(NOT(OFFSET(Data!E1658,0,MATCH('Delta Beta'!$C$5,Data!$B$4:$Q$4,0)-1)=""),OFFSET(Data!E1658,0,MATCH('Delta Beta'!$C$5,Data!$B$4:$Q$4,0)-1),#N/A)-$C$8/250</f>
        <v>#N/A</v>
      </c>
      <c r="N1655" s="395"/>
      <c r="R1655" s="391"/>
    </row>
    <row r="1656" spans="12:18">
      <c r="L1656" s="394" t="e">
        <f ca="1">IF(NOT(OFFSET(Data!E1659,0,MATCH('Delta Beta'!$C$5,Data!$B$4:$Q$4,0)-3)=""),OFFSET(Data!E1659,0,MATCH('Delta Beta'!$C$5,Data!$B$4:$Q$4,0)-3),#N/A)-$C$8/250</f>
        <v>#N/A</v>
      </c>
      <c r="M1656" s="394" t="e">
        <f ca="1">IF(NOT(OFFSET(Data!E1659,0,MATCH('Delta Beta'!$C$5,Data!$B$4:$Q$4,0)-1)=""),OFFSET(Data!E1659,0,MATCH('Delta Beta'!$C$5,Data!$B$4:$Q$4,0)-1),#N/A)-$C$8/250</f>
        <v>#N/A</v>
      </c>
      <c r="N1656" s="395"/>
      <c r="R1656" s="391"/>
    </row>
    <row r="1657" spans="12:18">
      <c r="L1657" s="394" t="e">
        <f ca="1">IF(NOT(OFFSET(Data!E1660,0,MATCH('Delta Beta'!$C$5,Data!$B$4:$Q$4,0)-3)=""),OFFSET(Data!E1660,0,MATCH('Delta Beta'!$C$5,Data!$B$4:$Q$4,0)-3),#N/A)-$C$8/250</f>
        <v>#N/A</v>
      </c>
      <c r="M1657" s="394" t="e">
        <f ca="1">IF(NOT(OFFSET(Data!E1660,0,MATCH('Delta Beta'!$C$5,Data!$B$4:$Q$4,0)-1)=""),OFFSET(Data!E1660,0,MATCH('Delta Beta'!$C$5,Data!$B$4:$Q$4,0)-1),#N/A)-$C$8/250</f>
        <v>#N/A</v>
      </c>
      <c r="N1657" s="395"/>
      <c r="R1657" s="391"/>
    </row>
    <row r="1658" spans="12:18">
      <c r="L1658" s="394" t="e">
        <f ca="1">IF(NOT(OFFSET(Data!E1661,0,MATCH('Delta Beta'!$C$5,Data!$B$4:$Q$4,0)-3)=""),OFFSET(Data!E1661,0,MATCH('Delta Beta'!$C$5,Data!$B$4:$Q$4,0)-3),#N/A)-$C$8/250</f>
        <v>#N/A</v>
      </c>
      <c r="M1658" s="394" t="e">
        <f ca="1">IF(NOT(OFFSET(Data!E1661,0,MATCH('Delta Beta'!$C$5,Data!$B$4:$Q$4,0)-1)=""),OFFSET(Data!E1661,0,MATCH('Delta Beta'!$C$5,Data!$B$4:$Q$4,0)-1),#N/A)-$C$8/250</f>
        <v>#N/A</v>
      </c>
      <c r="N1658" s="395"/>
      <c r="R1658" s="391"/>
    </row>
    <row r="1659" spans="12:18">
      <c r="L1659" s="394" t="e">
        <f ca="1">IF(NOT(OFFSET(Data!E1662,0,MATCH('Delta Beta'!$C$5,Data!$B$4:$Q$4,0)-3)=""),OFFSET(Data!E1662,0,MATCH('Delta Beta'!$C$5,Data!$B$4:$Q$4,0)-3),#N/A)-$C$8/250</f>
        <v>#N/A</v>
      </c>
      <c r="M1659" s="394" t="e">
        <f ca="1">IF(NOT(OFFSET(Data!E1662,0,MATCH('Delta Beta'!$C$5,Data!$B$4:$Q$4,0)-1)=""),OFFSET(Data!E1662,0,MATCH('Delta Beta'!$C$5,Data!$B$4:$Q$4,0)-1),#N/A)-$C$8/250</f>
        <v>#N/A</v>
      </c>
      <c r="N1659" s="395"/>
      <c r="R1659" s="391"/>
    </row>
    <row r="1660" spans="12:18">
      <c r="L1660" s="394" t="e">
        <f ca="1">IF(NOT(OFFSET(Data!E1663,0,MATCH('Delta Beta'!$C$5,Data!$B$4:$Q$4,0)-3)=""),OFFSET(Data!E1663,0,MATCH('Delta Beta'!$C$5,Data!$B$4:$Q$4,0)-3),#N/A)-$C$8/250</f>
        <v>#N/A</v>
      </c>
      <c r="M1660" s="394" t="e">
        <f ca="1">IF(NOT(OFFSET(Data!E1663,0,MATCH('Delta Beta'!$C$5,Data!$B$4:$Q$4,0)-1)=""),OFFSET(Data!E1663,0,MATCH('Delta Beta'!$C$5,Data!$B$4:$Q$4,0)-1),#N/A)-$C$8/250</f>
        <v>#N/A</v>
      </c>
      <c r="N1660" s="395"/>
      <c r="R1660" s="391"/>
    </row>
    <row r="1661" spans="12:18">
      <c r="L1661" s="394" t="e">
        <f ca="1">IF(NOT(OFFSET(Data!E1664,0,MATCH('Delta Beta'!$C$5,Data!$B$4:$Q$4,0)-3)=""),OFFSET(Data!E1664,0,MATCH('Delta Beta'!$C$5,Data!$B$4:$Q$4,0)-3),#N/A)-$C$8/250</f>
        <v>#N/A</v>
      </c>
      <c r="M1661" s="394" t="e">
        <f ca="1">IF(NOT(OFFSET(Data!E1664,0,MATCH('Delta Beta'!$C$5,Data!$B$4:$Q$4,0)-1)=""),OFFSET(Data!E1664,0,MATCH('Delta Beta'!$C$5,Data!$B$4:$Q$4,0)-1),#N/A)-$C$8/250</f>
        <v>#N/A</v>
      </c>
      <c r="N1661" s="395"/>
      <c r="R1661" s="391"/>
    </row>
    <row r="1662" spans="12:18">
      <c r="L1662" s="394" t="e">
        <f ca="1">IF(NOT(OFFSET(Data!E1665,0,MATCH('Delta Beta'!$C$5,Data!$B$4:$Q$4,0)-3)=""),OFFSET(Data!E1665,0,MATCH('Delta Beta'!$C$5,Data!$B$4:$Q$4,0)-3),#N/A)-$C$8/250</f>
        <v>#N/A</v>
      </c>
      <c r="M1662" s="394" t="e">
        <f ca="1">IF(NOT(OFFSET(Data!E1665,0,MATCH('Delta Beta'!$C$5,Data!$B$4:$Q$4,0)-1)=""),OFFSET(Data!E1665,0,MATCH('Delta Beta'!$C$5,Data!$B$4:$Q$4,0)-1),#N/A)-$C$8/250</f>
        <v>#N/A</v>
      </c>
      <c r="N1662" s="395"/>
      <c r="R1662" s="391"/>
    </row>
    <row r="1663" spans="12:18">
      <c r="L1663" s="394" t="e">
        <f ca="1">IF(NOT(OFFSET(Data!E1666,0,MATCH('Delta Beta'!$C$5,Data!$B$4:$Q$4,0)-3)=""),OFFSET(Data!E1666,0,MATCH('Delta Beta'!$C$5,Data!$B$4:$Q$4,0)-3),#N/A)-$C$8/250</f>
        <v>#N/A</v>
      </c>
      <c r="M1663" s="394" t="e">
        <f ca="1">IF(NOT(OFFSET(Data!E1666,0,MATCH('Delta Beta'!$C$5,Data!$B$4:$Q$4,0)-1)=""),OFFSET(Data!E1666,0,MATCH('Delta Beta'!$C$5,Data!$B$4:$Q$4,0)-1),#N/A)-$C$8/250</f>
        <v>#N/A</v>
      </c>
      <c r="N1663" s="395"/>
      <c r="R1663" s="391"/>
    </row>
    <row r="1664" spans="12:18">
      <c r="L1664" s="394" t="e">
        <f ca="1">IF(NOT(OFFSET(Data!E1667,0,MATCH('Delta Beta'!$C$5,Data!$B$4:$Q$4,0)-3)=""),OFFSET(Data!E1667,0,MATCH('Delta Beta'!$C$5,Data!$B$4:$Q$4,0)-3),#N/A)-$C$8/250</f>
        <v>#N/A</v>
      </c>
      <c r="M1664" s="394" t="e">
        <f ca="1">IF(NOT(OFFSET(Data!E1667,0,MATCH('Delta Beta'!$C$5,Data!$B$4:$Q$4,0)-1)=""),OFFSET(Data!E1667,0,MATCH('Delta Beta'!$C$5,Data!$B$4:$Q$4,0)-1),#N/A)-$C$8/250</f>
        <v>#N/A</v>
      </c>
      <c r="N1664" s="395"/>
      <c r="R1664" s="391"/>
    </row>
    <row r="1665" spans="12:18">
      <c r="L1665" s="394" t="e">
        <f ca="1">IF(NOT(OFFSET(Data!E1668,0,MATCH('Delta Beta'!$C$5,Data!$B$4:$Q$4,0)-3)=""),OFFSET(Data!E1668,0,MATCH('Delta Beta'!$C$5,Data!$B$4:$Q$4,0)-3),#N/A)-$C$8/250</f>
        <v>#N/A</v>
      </c>
      <c r="M1665" s="394" t="e">
        <f ca="1">IF(NOT(OFFSET(Data!E1668,0,MATCH('Delta Beta'!$C$5,Data!$B$4:$Q$4,0)-1)=""),OFFSET(Data!E1668,0,MATCH('Delta Beta'!$C$5,Data!$B$4:$Q$4,0)-1),#N/A)-$C$8/250</f>
        <v>#N/A</v>
      </c>
      <c r="N1665" s="395"/>
      <c r="R1665" s="391"/>
    </row>
    <row r="1666" spans="12:18">
      <c r="L1666" s="394" t="e">
        <f ca="1">IF(NOT(OFFSET(Data!E1669,0,MATCH('Delta Beta'!$C$5,Data!$B$4:$Q$4,0)-3)=""),OFFSET(Data!E1669,0,MATCH('Delta Beta'!$C$5,Data!$B$4:$Q$4,0)-3),#N/A)-$C$8/250</f>
        <v>#N/A</v>
      </c>
      <c r="M1666" s="394" t="e">
        <f ca="1">IF(NOT(OFFSET(Data!E1669,0,MATCH('Delta Beta'!$C$5,Data!$B$4:$Q$4,0)-1)=""),OFFSET(Data!E1669,0,MATCH('Delta Beta'!$C$5,Data!$B$4:$Q$4,0)-1),#N/A)-$C$8/250</f>
        <v>#N/A</v>
      </c>
      <c r="N1666" s="395"/>
      <c r="R1666" s="391"/>
    </row>
    <row r="1667" spans="12:18">
      <c r="L1667" s="394" t="e">
        <f ca="1">IF(NOT(OFFSET(Data!E1670,0,MATCH('Delta Beta'!$C$5,Data!$B$4:$Q$4,0)-3)=""),OFFSET(Data!E1670,0,MATCH('Delta Beta'!$C$5,Data!$B$4:$Q$4,0)-3),#N/A)-$C$8/250</f>
        <v>#N/A</v>
      </c>
      <c r="M1667" s="394" t="e">
        <f ca="1">IF(NOT(OFFSET(Data!E1670,0,MATCH('Delta Beta'!$C$5,Data!$B$4:$Q$4,0)-1)=""),OFFSET(Data!E1670,0,MATCH('Delta Beta'!$C$5,Data!$B$4:$Q$4,0)-1),#N/A)-$C$8/250</f>
        <v>#N/A</v>
      </c>
      <c r="N1667" s="395"/>
      <c r="R1667" s="391"/>
    </row>
    <row r="1668" spans="12:18">
      <c r="L1668" s="394" t="e">
        <f ca="1">IF(NOT(OFFSET(Data!E1671,0,MATCH('Delta Beta'!$C$5,Data!$B$4:$Q$4,0)-3)=""),OFFSET(Data!E1671,0,MATCH('Delta Beta'!$C$5,Data!$B$4:$Q$4,0)-3),#N/A)-$C$8/250</f>
        <v>#N/A</v>
      </c>
      <c r="M1668" s="394" t="e">
        <f ca="1">IF(NOT(OFFSET(Data!E1671,0,MATCH('Delta Beta'!$C$5,Data!$B$4:$Q$4,0)-1)=""),OFFSET(Data!E1671,0,MATCH('Delta Beta'!$C$5,Data!$B$4:$Q$4,0)-1),#N/A)-$C$8/250</f>
        <v>#N/A</v>
      </c>
      <c r="N1668" s="395"/>
      <c r="R1668" s="391"/>
    </row>
    <row r="1669" spans="12:18">
      <c r="L1669" s="394" t="e">
        <f ca="1">IF(NOT(OFFSET(Data!E1672,0,MATCH('Delta Beta'!$C$5,Data!$B$4:$Q$4,0)-3)=""),OFFSET(Data!E1672,0,MATCH('Delta Beta'!$C$5,Data!$B$4:$Q$4,0)-3),#N/A)-$C$8/250</f>
        <v>#N/A</v>
      </c>
      <c r="M1669" s="394" t="e">
        <f ca="1">IF(NOT(OFFSET(Data!E1672,0,MATCH('Delta Beta'!$C$5,Data!$B$4:$Q$4,0)-1)=""),OFFSET(Data!E1672,0,MATCH('Delta Beta'!$C$5,Data!$B$4:$Q$4,0)-1),#N/A)-$C$8/250</f>
        <v>#N/A</v>
      </c>
      <c r="N1669" s="395"/>
      <c r="R1669" s="391"/>
    </row>
    <row r="1670" spans="12:18">
      <c r="L1670" s="394" t="e">
        <f ca="1">IF(NOT(OFFSET(Data!E1673,0,MATCH('Delta Beta'!$C$5,Data!$B$4:$Q$4,0)-3)=""),OFFSET(Data!E1673,0,MATCH('Delta Beta'!$C$5,Data!$B$4:$Q$4,0)-3),#N/A)-$C$8/250</f>
        <v>#N/A</v>
      </c>
      <c r="M1670" s="394" t="e">
        <f ca="1">IF(NOT(OFFSET(Data!E1673,0,MATCH('Delta Beta'!$C$5,Data!$B$4:$Q$4,0)-1)=""),OFFSET(Data!E1673,0,MATCH('Delta Beta'!$C$5,Data!$B$4:$Q$4,0)-1),#N/A)-$C$8/250</f>
        <v>#N/A</v>
      </c>
      <c r="N1670" s="395"/>
      <c r="R1670" s="391"/>
    </row>
    <row r="1671" spans="12:18">
      <c r="L1671" s="394" t="e">
        <f ca="1">IF(NOT(OFFSET(Data!E1674,0,MATCH('Delta Beta'!$C$5,Data!$B$4:$Q$4,0)-3)=""),OFFSET(Data!E1674,0,MATCH('Delta Beta'!$C$5,Data!$B$4:$Q$4,0)-3),#N/A)-$C$8/250</f>
        <v>#N/A</v>
      </c>
      <c r="M1671" s="394" t="e">
        <f ca="1">IF(NOT(OFFSET(Data!E1674,0,MATCH('Delta Beta'!$C$5,Data!$B$4:$Q$4,0)-1)=""),OFFSET(Data!E1674,0,MATCH('Delta Beta'!$C$5,Data!$B$4:$Q$4,0)-1),#N/A)-$C$8/250</f>
        <v>#N/A</v>
      </c>
      <c r="N1671" s="395"/>
      <c r="R1671" s="391"/>
    </row>
    <row r="1672" spans="12:18">
      <c r="L1672" s="394" t="e">
        <f ca="1">IF(NOT(OFFSET(Data!E1675,0,MATCH('Delta Beta'!$C$5,Data!$B$4:$Q$4,0)-3)=""),OFFSET(Data!E1675,0,MATCH('Delta Beta'!$C$5,Data!$B$4:$Q$4,0)-3),#N/A)-$C$8/250</f>
        <v>#N/A</v>
      </c>
      <c r="M1672" s="394" t="e">
        <f ca="1">IF(NOT(OFFSET(Data!E1675,0,MATCH('Delta Beta'!$C$5,Data!$B$4:$Q$4,0)-1)=""),OFFSET(Data!E1675,0,MATCH('Delta Beta'!$C$5,Data!$B$4:$Q$4,0)-1),#N/A)-$C$8/250</f>
        <v>#N/A</v>
      </c>
      <c r="N1672" s="395"/>
      <c r="R1672" s="391"/>
    </row>
    <row r="1673" spans="12:18">
      <c r="L1673" s="394" t="e">
        <f ca="1">IF(NOT(OFFSET(Data!E1676,0,MATCH('Delta Beta'!$C$5,Data!$B$4:$Q$4,0)-3)=""),OFFSET(Data!E1676,0,MATCH('Delta Beta'!$C$5,Data!$B$4:$Q$4,0)-3),#N/A)-$C$8/250</f>
        <v>#N/A</v>
      </c>
      <c r="M1673" s="394" t="e">
        <f ca="1">IF(NOT(OFFSET(Data!E1676,0,MATCH('Delta Beta'!$C$5,Data!$B$4:$Q$4,0)-1)=""),OFFSET(Data!E1676,0,MATCH('Delta Beta'!$C$5,Data!$B$4:$Q$4,0)-1),#N/A)-$C$8/250</f>
        <v>#N/A</v>
      </c>
      <c r="N1673" s="395"/>
      <c r="R1673" s="391"/>
    </row>
    <row r="1674" spans="12:18">
      <c r="L1674" s="394" t="e">
        <f ca="1">IF(NOT(OFFSET(Data!E1677,0,MATCH('Delta Beta'!$C$5,Data!$B$4:$Q$4,0)-3)=""),OFFSET(Data!E1677,0,MATCH('Delta Beta'!$C$5,Data!$B$4:$Q$4,0)-3),#N/A)-$C$8/250</f>
        <v>#N/A</v>
      </c>
      <c r="M1674" s="394" t="e">
        <f ca="1">IF(NOT(OFFSET(Data!E1677,0,MATCH('Delta Beta'!$C$5,Data!$B$4:$Q$4,0)-1)=""),OFFSET(Data!E1677,0,MATCH('Delta Beta'!$C$5,Data!$B$4:$Q$4,0)-1),#N/A)-$C$8/250</f>
        <v>#N/A</v>
      </c>
      <c r="N1674" s="395"/>
      <c r="R1674" s="391"/>
    </row>
    <row r="1675" spans="12:18">
      <c r="L1675" s="394" t="e">
        <f ca="1">IF(NOT(OFFSET(Data!E1678,0,MATCH('Delta Beta'!$C$5,Data!$B$4:$Q$4,0)-3)=""),OFFSET(Data!E1678,0,MATCH('Delta Beta'!$C$5,Data!$B$4:$Q$4,0)-3),#N/A)-$C$8/250</f>
        <v>#N/A</v>
      </c>
      <c r="M1675" s="394" t="e">
        <f ca="1">IF(NOT(OFFSET(Data!E1678,0,MATCH('Delta Beta'!$C$5,Data!$B$4:$Q$4,0)-1)=""),OFFSET(Data!E1678,0,MATCH('Delta Beta'!$C$5,Data!$B$4:$Q$4,0)-1),#N/A)-$C$8/250</f>
        <v>#N/A</v>
      </c>
      <c r="N1675" s="395"/>
      <c r="R1675" s="391"/>
    </row>
    <row r="1676" spans="12:18">
      <c r="L1676" s="394" t="e">
        <f ca="1">IF(NOT(OFFSET(Data!E1679,0,MATCH('Delta Beta'!$C$5,Data!$B$4:$Q$4,0)-3)=""),OFFSET(Data!E1679,0,MATCH('Delta Beta'!$C$5,Data!$B$4:$Q$4,0)-3),#N/A)-$C$8/250</f>
        <v>#N/A</v>
      </c>
      <c r="M1676" s="394" t="e">
        <f ca="1">IF(NOT(OFFSET(Data!E1679,0,MATCH('Delta Beta'!$C$5,Data!$B$4:$Q$4,0)-1)=""),OFFSET(Data!E1679,0,MATCH('Delta Beta'!$C$5,Data!$B$4:$Q$4,0)-1),#N/A)-$C$8/250</f>
        <v>#N/A</v>
      </c>
      <c r="N1676" s="395"/>
      <c r="R1676" s="391"/>
    </row>
    <row r="1677" spans="12:18">
      <c r="L1677" s="394" t="e">
        <f ca="1">IF(NOT(OFFSET(Data!E1680,0,MATCH('Delta Beta'!$C$5,Data!$B$4:$Q$4,0)-3)=""),OFFSET(Data!E1680,0,MATCH('Delta Beta'!$C$5,Data!$B$4:$Q$4,0)-3),#N/A)-$C$8/250</f>
        <v>#N/A</v>
      </c>
      <c r="M1677" s="394" t="e">
        <f ca="1">IF(NOT(OFFSET(Data!E1680,0,MATCH('Delta Beta'!$C$5,Data!$B$4:$Q$4,0)-1)=""),OFFSET(Data!E1680,0,MATCH('Delta Beta'!$C$5,Data!$B$4:$Q$4,0)-1),#N/A)-$C$8/250</f>
        <v>#N/A</v>
      </c>
      <c r="N1677" s="395"/>
      <c r="R1677" s="391"/>
    </row>
    <row r="1678" spans="12:18">
      <c r="L1678" s="394" t="e">
        <f ca="1">IF(NOT(OFFSET(Data!E1681,0,MATCH('Delta Beta'!$C$5,Data!$B$4:$Q$4,0)-3)=""),OFFSET(Data!E1681,0,MATCH('Delta Beta'!$C$5,Data!$B$4:$Q$4,0)-3),#N/A)-$C$8/250</f>
        <v>#N/A</v>
      </c>
      <c r="M1678" s="394" t="e">
        <f ca="1">IF(NOT(OFFSET(Data!E1681,0,MATCH('Delta Beta'!$C$5,Data!$B$4:$Q$4,0)-1)=""),OFFSET(Data!E1681,0,MATCH('Delta Beta'!$C$5,Data!$B$4:$Q$4,0)-1),#N/A)-$C$8/250</f>
        <v>#N/A</v>
      </c>
      <c r="N1678" s="395"/>
      <c r="R1678" s="391"/>
    </row>
    <row r="1679" spans="12:18">
      <c r="L1679" s="394" t="e">
        <f ca="1">IF(NOT(OFFSET(Data!E1682,0,MATCH('Delta Beta'!$C$5,Data!$B$4:$Q$4,0)-3)=""),OFFSET(Data!E1682,0,MATCH('Delta Beta'!$C$5,Data!$B$4:$Q$4,0)-3),#N/A)-$C$8/250</f>
        <v>#N/A</v>
      </c>
      <c r="M1679" s="394" t="e">
        <f ca="1">IF(NOT(OFFSET(Data!E1682,0,MATCH('Delta Beta'!$C$5,Data!$B$4:$Q$4,0)-1)=""),OFFSET(Data!E1682,0,MATCH('Delta Beta'!$C$5,Data!$B$4:$Q$4,0)-1),#N/A)-$C$8/250</f>
        <v>#N/A</v>
      </c>
      <c r="N1679" s="395"/>
      <c r="R1679" s="391"/>
    </row>
    <row r="1680" spans="12:18">
      <c r="L1680" s="394" t="e">
        <f ca="1">IF(NOT(OFFSET(Data!E1683,0,MATCH('Delta Beta'!$C$5,Data!$B$4:$Q$4,0)-3)=""),OFFSET(Data!E1683,0,MATCH('Delta Beta'!$C$5,Data!$B$4:$Q$4,0)-3),#N/A)-$C$8/250</f>
        <v>#N/A</v>
      </c>
      <c r="M1680" s="394" t="e">
        <f ca="1">IF(NOT(OFFSET(Data!E1683,0,MATCH('Delta Beta'!$C$5,Data!$B$4:$Q$4,0)-1)=""),OFFSET(Data!E1683,0,MATCH('Delta Beta'!$C$5,Data!$B$4:$Q$4,0)-1),#N/A)-$C$8/250</f>
        <v>#N/A</v>
      </c>
      <c r="N1680" s="395"/>
      <c r="R1680" s="391"/>
    </row>
    <row r="1681" spans="12:18">
      <c r="L1681" s="394" t="e">
        <f ca="1">IF(NOT(OFFSET(Data!E1684,0,MATCH('Delta Beta'!$C$5,Data!$B$4:$Q$4,0)-3)=""),OFFSET(Data!E1684,0,MATCH('Delta Beta'!$C$5,Data!$B$4:$Q$4,0)-3),#N/A)-$C$8/250</f>
        <v>#N/A</v>
      </c>
      <c r="M1681" s="394" t="e">
        <f ca="1">IF(NOT(OFFSET(Data!E1684,0,MATCH('Delta Beta'!$C$5,Data!$B$4:$Q$4,0)-1)=""),OFFSET(Data!E1684,0,MATCH('Delta Beta'!$C$5,Data!$B$4:$Q$4,0)-1),#N/A)-$C$8/250</f>
        <v>#N/A</v>
      </c>
      <c r="N1681" s="395"/>
      <c r="R1681" s="391"/>
    </row>
    <row r="1682" spans="12:18">
      <c r="L1682" s="394" t="e">
        <f ca="1">IF(NOT(OFFSET(Data!E1685,0,MATCH('Delta Beta'!$C$5,Data!$B$4:$Q$4,0)-3)=""),OFFSET(Data!E1685,0,MATCH('Delta Beta'!$C$5,Data!$B$4:$Q$4,0)-3),#N/A)-$C$8/250</f>
        <v>#N/A</v>
      </c>
      <c r="M1682" s="394" t="e">
        <f ca="1">IF(NOT(OFFSET(Data!E1685,0,MATCH('Delta Beta'!$C$5,Data!$B$4:$Q$4,0)-1)=""),OFFSET(Data!E1685,0,MATCH('Delta Beta'!$C$5,Data!$B$4:$Q$4,0)-1),#N/A)-$C$8/250</f>
        <v>#N/A</v>
      </c>
      <c r="N1682" s="395"/>
      <c r="R1682" s="391"/>
    </row>
    <row r="1683" spans="12:18">
      <c r="L1683" s="394" t="e">
        <f ca="1">IF(NOT(OFFSET(Data!E1686,0,MATCH('Delta Beta'!$C$5,Data!$B$4:$Q$4,0)-3)=""),OFFSET(Data!E1686,0,MATCH('Delta Beta'!$C$5,Data!$B$4:$Q$4,0)-3),#N/A)-$C$8/250</f>
        <v>#N/A</v>
      </c>
      <c r="M1683" s="394" t="e">
        <f ca="1">IF(NOT(OFFSET(Data!E1686,0,MATCH('Delta Beta'!$C$5,Data!$B$4:$Q$4,0)-1)=""),OFFSET(Data!E1686,0,MATCH('Delta Beta'!$C$5,Data!$B$4:$Q$4,0)-1),#N/A)-$C$8/250</f>
        <v>#N/A</v>
      </c>
      <c r="N1683" s="395"/>
      <c r="R1683" s="391"/>
    </row>
    <row r="1684" spans="12:18">
      <c r="L1684" s="394" t="e">
        <f ca="1">IF(NOT(OFFSET(Data!E1687,0,MATCH('Delta Beta'!$C$5,Data!$B$4:$Q$4,0)-3)=""),OFFSET(Data!E1687,0,MATCH('Delta Beta'!$C$5,Data!$B$4:$Q$4,0)-3),#N/A)-$C$8/250</f>
        <v>#N/A</v>
      </c>
      <c r="M1684" s="394" t="e">
        <f ca="1">IF(NOT(OFFSET(Data!E1687,0,MATCH('Delta Beta'!$C$5,Data!$B$4:$Q$4,0)-1)=""),OFFSET(Data!E1687,0,MATCH('Delta Beta'!$C$5,Data!$B$4:$Q$4,0)-1),#N/A)-$C$8/250</f>
        <v>#N/A</v>
      </c>
      <c r="N1684" s="395"/>
      <c r="R1684" s="391"/>
    </row>
    <row r="1685" spans="12:18">
      <c r="L1685" s="394" t="e">
        <f ca="1">IF(NOT(OFFSET(Data!E1688,0,MATCH('Delta Beta'!$C$5,Data!$B$4:$Q$4,0)-3)=""),OFFSET(Data!E1688,0,MATCH('Delta Beta'!$C$5,Data!$B$4:$Q$4,0)-3),#N/A)-$C$8/250</f>
        <v>#N/A</v>
      </c>
      <c r="M1685" s="394" t="e">
        <f ca="1">IF(NOT(OFFSET(Data!E1688,0,MATCH('Delta Beta'!$C$5,Data!$B$4:$Q$4,0)-1)=""),OFFSET(Data!E1688,0,MATCH('Delta Beta'!$C$5,Data!$B$4:$Q$4,0)-1),#N/A)-$C$8/250</f>
        <v>#N/A</v>
      </c>
      <c r="N1685" s="395"/>
      <c r="R1685" s="391"/>
    </row>
    <row r="1686" spans="12:18">
      <c r="L1686" s="394" t="e">
        <f ca="1">IF(NOT(OFFSET(Data!E1689,0,MATCH('Delta Beta'!$C$5,Data!$B$4:$Q$4,0)-3)=""),OFFSET(Data!E1689,0,MATCH('Delta Beta'!$C$5,Data!$B$4:$Q$4,0)-3),#N/A)-$C$8/250</f>
        <v>#N/A</v>
      </c>
      <c r="M1686" s="394" t="e">
        <f ca="1">IF(NOT(OFFSET(Data!E1689,0,MATCH('Delta Beta'!$C$5,Data!$B$4:$Q$4,0)-1)=""),OFFSET(Data!E1689,0,MATCH('Delta Beta'!$C$5,Data!$B$4:$Q$4,0)-1),#N/A)-$C$8/250</f>
        <v>#N/A</v>
      </c>
      <c r="N1686" s="395"/>
      <c r="R1686" s="391"/>
    </row>
    <row r="1687" spans="12:18">
      <c r="L1687" s="394" t="e">
        <f ca="1">IF(NOT(OFFSET(Data!E1690,0,MATCH('Delta Beta'!$C$5,Data!$B$4:$Q$4,0)-3)=""),OFFSET(Data!E1690,0,MATCH('Delta Beta'!$C$5,Data!$B$4:$Q$4,0)-3),#N/A)-$C$8/250</f>
        <v>#N/A</v>
      </c>
      <c r="M1687" s="394" t="e">
        <f ca="1">IF(NOT(OFFSET(Data!E1690,0,MATCH('Delta Beta'!$C$5,Data!$B$4:$Q$4,0)-1)=""),OFFSET(Data!E1690,0,MATCH('Delta Beta'!$C$5,Data!$B$4:$Q$4,0)-1),#N/A)-$C$8/250</f>
        <v>#N/A</v>
      </c>
      <c r="N1687" s="395"/>
      <c r="R1687" s="391"/>
    </row>
    <row r="1688" spans="12:18">
      <c r="L1688" s="394" t="e">
        <f ca="1">IF(NOT(OFFSET(Data!E1691,0,MATCH('Delta Beta'!$C$5,Data!$B$4:$Q$4,0)-3)=""),OFFSET(Data!E1691,0,MATCH('Delta Beta'!$C$5,Data!$B$4:$Q$4,0)-3),#N/A)-$C$8/250</f>
        <v>#N/A</v>
      </c>
      <c r="M1688" s="394" t="e">
        <f ca="1">IF(NOT(OFFSET(Data!E1691,0,MATCH('Delta Beta'!$C$5,Data!$B$4:$Q$4,0)-1)=""),OFFSET(Data!E1691,0,MATCH('Delta Beta'!$C$5,Data!$B$4:$Q$4,0)-1),#N/A)-$C$8/250</f>
        <v>#N/A</v>
      </c>
      <c r="N1688" s="395"/>
      <c r="R1688" s="391"/>
    </row>
    <row r="1689" spans="12:18">
      <c r="L1689" s="394" t="e">
        <f ca="1">IF(NOT(OFFSET(Data!E1692,0,MATCH('Delta Beta'!$C$5,Data!$B$4:$Q$4,0)-3)=""),OFFSET(Data!E1692,0,MATCH('Delta Beta'!$C$5,Data!$B$4:$Q$4,0)-3),#N/A)-$C$8/250</f>
        <v>#N/A</v>
      </c>
      <c r="M1689" s="394" t="e">
        <f ca="1">IF(NOT(OFFSET(Data!E1692,0,MATCH('Delta Beta'!$C$5,Data!$B$4:$Q$4,0)-1)=""),OFFSET(Data!E1692,0,MATCH('Delta Beta'!$C$5,Data!$B$4:$Q$4,0)-1),#N/A)-$C$8/250</f>
        <v>#N/A</v>
      </c>
      <c r="N1689" s="395"/>
      <c r="R1689" s="391"/>
    </row>
    <row r="1690" spans="12:18">
      <c r="L1690" s="394" t="e">
        <f ca="1">IF(NOT(OFFSET(Data!E1693,0,MATCH('Delta Beta'!$C$5,Data!$B$4:$Q$4,0)-3)=""),OFFSET(Data!E1693,0,MATCH('Delta Beta'!$C$5,Data!$B$4:$Q$4,0)-3),#N/A)-$C$8/250</f>
        <v>#N/A</v>
      </c>
      <c r="M1690" s="394" t="e">
        <f ca="1">IF(NOT(OFFSET(Data!E1693,0,MATCH('Delta Beta'!$C$5,Data!$B$4:$Q$4,0)-1)=""),OFFSET(Data!E1693,0,MATCH('Delta Beta'!$C$5,Data!$B$4:$Q$4,0)-1),#N/A)-$C$8/250</f>
        <v>#N/A</v>
      </c>
      <c r="N1690" s="395"/>
      <c r="R1690" s="391"/>
    </row>
    <row r="1691" spans="12:18">
      <c r="L1691" s="394" t="e">
        <f ca="1">IF(NOT(OFFSET(Data!E1694,0,MATCH('Delta Beta'!$C$5,Data!$B$4:$Q$4,0)-3)=""),OFFSET(Data!E1694,0,MATCH('Delta Beta'!$C$5,Data!$B$4:$Q$4,0)-3),#N/A)-$C$8/250</f>
        <v>#N/A</v>
      </c>
      <c r="M1691" s="394" t="e">
        <f ca="1">IF(NOT(OFFSET(Data!E1694,0,MATCH('Delta Beta'!$C$5,Data!$B$4:$Q$4,0)-1)=""),OFFSET(Data!E1694,0,MATCH('Delta Beta'!$C$5,Data!$B$4:$Q$4,0)-1),#N/A)-$C$8/250</f>
        <v>#N/A</v>
      </c>
      <c r="N1691" s="395"/>
      <c r="R1691" s="391"/>
    </row>
    <row r="1692" spans="12:18">
      <c r="L1692" s="394" t="e">
        <f ca="1">IF(NOT(OFFSET(Data!E1695,0,MATCH('Delta Beta'!$C$5,Data!$B$4:$Q$4,0)-3)=""),OFFSET(Data!E1695,0,MATCH('Delta Beta'!$C$5,Data!$B$4:$Q$4,0)-3),#N/A)-$C$8/250</f>
        <v>#N/A</v>
      </c>
      <c r="M1692" s="394" t="e">
        <f ca="1">IF(NOT(OFFSET(Data!E1695,0,MATCH('Delta Beta'!$C$5,Data!$B$4:$Q$4,0)-1)=""),OFFSET(Data!E1695,0,MATCH('Delta Beta'!$C$5,Data!$B$4:$Q$4,0)-1),#N/A)-$C$8/250</f>
        <v>#N/A</v>
      </c>
      <c r="N1692" s="395"/>
      <c r="R1692" s="391"/>
    </row>
    <row r="1693" spans="12:18">
      <c r="L1693" s="394" t="e">
        <f ca="1">IF(NOT(OFFSET(Data!E1696,0,MATCH('Delta Beta'!$C$5,Data!$B$4:$Q$4,0)-3)=""),OFFSET(Data!E1696,0,MATCH('Delta Beta'!$C$5,Data!$B$4:$Q$4,0)-3),#N/A)-$C$8/250</f>
        <v>#N/A</v>
      </c>
      <c r="M1693" s="394" t="e">
        <f ca="1">IF(NOT(OFFSET(Data!E1696,0,MATCH('Delta Beta'!$C$5,Data!$B$4:$Q$4,0)-1)=""),OFFSET(Data!E1696,0,MATCH('Delta Beta'!$C$5,Data!$B$4:$Q$4,0)-1),#N/A)-$C$8/250</f>
        <v>#N/A</v>
      </c>
      <c r="N1693" s="395"/>
      <c r="R1693" s="391"/>
    </row>
    <row r="1694" spans="12:18">
      <c r="L1694" s="394" t="e">
        <f ca="1">IF(NOT(OFFSET(Data!E1697,0,MATCH('Delta Beta'!$C$5,Data!$B$4:$Q$4,0)-3)=""),OFFSET(Data!E1697,0,MATCH('Delta Beta'!$C$5,Data!$B$4:$Q$4,0)-3),#N/A)-$C$8/250</f>
        <v>#N/A</v>
      </c>
      <c r="M1694" s="394" t="e">
        <f ca="1">IF(NOT(OFFSET(Data!E1697,0,MATCH('Delta Beta'!$C$5,Data!$B$4:$Q$4,0)-1)=""),OFFSET(Data!E1697,0,MATCH('Delta Beta'!$C$5,Data!$B$4:$Q$4,0)-1),#N/A)-$C$8/250</f>
        <v>#N/A</v>
      </c>
      <c r="N1694" s="395"/>
      <c r="R1694" s="391"/>
    </row>
    <row r="1695" spans="12:18">
      <c r="L1695" s="394" t="e">
        <f ca="1">IF(NOT(OFFSET(Data!E1698,0,MATCH('Delta Beta'!$C$5,Data!$B$4:$Q$4,0)-3)=""),OFFSET(Data!E1698,0,MATCH('Delta Beta'!$C$5,Data!$B$4:$Q$4,0)-3),#N/A)-$C$8/250</f>
        <v>#N/A</v>
      </c>
      <c r="M1695" s="394" t="e">
        <f ca="1">IF(NOT(OFFSET(Data!E1698,0,MATCH('Delta Beta'!$C$5,Data!$B$4:$Q$4,0)-1)=""),OFFSET(Data!E1698,0,MATCH('Delta Beta'!$C$5,Data!$B$4:$Q$4,0)-1),#N/A)-$C$8/250</f>
        <v>#N/A</v>
      </c>
      <c r="N1695" s="395"/>
      <c r="R1695" s="391"/>
    </row>
    <row r="1696" spans="12:18">
      <c r="L1696" s="394" t="e">
        <f ca="1">IF(NOT(OFFSET(Data!E1699,0,MATCH('Delta Beta'!$C$5,Data!$B$4:$Q$4,0)-3)=""),OFFSET(Data!E1699,0,MATCH('Delta Beta'!$C$5,Data!$B$4:$Q$4,0)-3),#N/A)-$C$8/250</f>
        <v>#N/A</v>
      </c>
      <c r="M1696" s="394" t="e">
        <f ca="1">IF(NOT(OFFSET(Data!E1699,0,MATCH('Delta Beta'!$C$5,Data!$B$4:$Q$4,0)-1)=""),OFFSET(Data!E1699,0,MATCH('Delta Beta'!$C$5,Data!$B$4:$Q$4,0)-1),#N/A)-$C$8/250</f>
        <v>#N/A</v>
      </c>
      <c r="N1696" s="395"/>
      <c r="R1696" s="391"/>
    </row>
    <row r="1697" spans="12:18">
      <c r="L1697" s="394" t="e">
        <f ca="1">IF(NOT(OFFSET(Data!E1700,0,MATCH('Delta Beta'!$C$5,Data!$B$4:$Q$4,0)-3)=""),OFFSET(Data!E1700,0,MATCH('Delta Beta'!$C$5,Data!$B$4:$Q$4,0)-3),#N/A)-$C$8/250</f>
        <v>#N/A</v>
      </c>
      <c r="M1697" s="394" t="e">
        <f ca="1">IF(NOT(OFFSET(Data!E1700,0,MATCH('Delta Beta'!$C$5,Data!$B$4:$Q$4,0)-1)=""),OFFSET(Data!E1700,0,MATCH('Delta Beta'!$C$5,Data!$B$4:$Q$4,0)-1),#N/A)-$C$8/250</f>
        <v>#N/A</v>
      </c>
      <c r="N1697" s="395"/>
      <c r="R1697" s="391"/>
    </row>
    <row r="1698" spans="12:18">
      <c r="L1698" s="394" t="e">
        <f ca="1">IF(NOT(OFFSET(Data!E1701,0,MATCH('Delta Beta'!$C$5,Data!$B$4:$Q$4,0)-3)=""),OFFSET(Data!E1701,0,MATCH('Delta Beta'!$C$5,Data!$B$4:$Q$4,0)-3),#N/A)-$C$8/250</f>
        <v>#N/A</v>
      </c>
      <c r="M1698" s="394" t="e">
        <f ca="1">IF(NOT(OFFSET(Data!E1701,0,MATCH('Delta Beta'!$C$5,Data!$B$4:$Q$4,0)-1)=""),OFFSET(Data!E1701,0,MATCH('Delta Beta'!$C$5,Data!$B$4:$Q$4,0)-1),#N/A)-$C$8/250</f>
        <v>#N/A</v>
      </c>
      <c r="N1698" s="395"/>
      <c r="R1698" s="391"/>
    </row>
    <row r="1699" spans="12:18">
      <c r="L1699" s="394" t="e">
        <f ca="1">IF(NOT(OFFSET(Data!E1702,0,MATCH('Delta Beta'!$C$5,Data!$B$4:$Q$4,0)-3)=""),OFFSET(Data!E1702,0,MATCH('Delta Beta'!$C$5,Data!$B$4:$Q$4,0)-3),#N/A)-$C$8/250</f>
        <v>#N/A</v>
      </c>
      <c r="M1699" s="394" t="e">
        <f ca="1">IF(NOT(OFFSET(Data!E1702,0,MATCH('Delta Beta'!$C$5,Data!$B$4:$Q$4,0)-1)=""),OFFSET(Data!E1702,0,MATCH('Delta Beta'!$C$5,Data!$B$4:$Q$4,0)-1),#N/A)-$C$8/250</f>
        <v>#N/A</v>
      </c>
      <c r="N1699" s="395"/>
      <c r="R1699" s="391"/>
    </row>
    <row r="1700" spans="12:18">
      <c r="L1700" s="394" t="e">
        <f ca="1">IF(NOT(OFFSET(Data!E1703,0,MATCH('Delta Beta'!$C$5,Data!$B$4:$Q$4,0)-3)=""),OFFSET(Data!E1703,0,MATCH('Delta Beta'!$C$5,Data!$B$4:$Q$4,0)-3),#N/A)-$C$8/250</f>
        <v>#N/A</v>
      </c>
      <c r="M1700" s="394" t="e">
        <f ca="1">IF(NOT(OFFSET(Data!E1703,0,MATCH('Delta Beta'!$C$5,Data!$B$4:$Q$4,0)-1)=""),OFFSET(Data!E1703,0,MATCH('Delta Beta'!$C$5,Data!$B$4:$Q$4,0)-1),#N/A)-$C$8/250</f>
        <v>#N/A</v>
      </c>
      <c r="N1700" s="395"/>
      <c r="R1700" s="391"/>
    </row>
    <row r="1701" spans="12:18">
      <c r="L1701" s="394" t="e">
        <f ca="1">IF(NOT(OFFSET(Data!E1704,0,MATCH('Delta Beta'!$C$5,Data!$B$4:$Q$4,0)-3)=""),OFFSET(Data!E1704,0,MATCH('Delta Beta'!$C$5,Data!$B$4:$Q$4,0)-3),#N/A)-$C$8/250</f>
        <v>#N/A</v>
      </c>
      <c r="M1701" s="394" t="e">
        <f ca="1">IF(NOT(OFFSET(Data!E1704,0,MATCH('Delta Beta'!$C$5,Data!$B$4:$Q$4,0)-1)=""),OFFSET(Data!E1704,0,MATCH('Delta Beta'!$C$5,Data!$B$4:$Q$4,0)-1),#N/A)-$C$8/250</f>
        <v>#N/A</v>
      </c>
      <c r="N1701" s="395"/>
      <c r="R1701" s="391"/>
    </row>
    <row r="1702" spans="12:18">
      <c r="L1702" s="394" t="e">
        <f ca="1">IF(NOT(OFFSET(Data!E1705,0,MATCH('Delta Beta'!$C$5,Data!$B$4:$Q$4,0)-3)=""),OFFSET(Data!E1705,0,MATCH('Delta Beta'!$C$5,Data!$B$4:$Q$4,0)-3),#N/A)-$C$8/250</f>
        <v>#N/A</v>
      </c>
      <c r="M1702" s="394" t="e">
        <f ca="1">IF(NOT(OFFSET(Data!E1705,0,MATCH('Delta Beta'!$C$5,Data!$B$4:$Q$4,0)-1)=""),OFFSET(Data!E1705,0,MATCH('Delta Beta'!$C$5,Data!$B$4:$Q$4,0)-1),#N/A)-$C$8/250</f>
        <v>#N/A</v>
      </c>
      <c r="N1702" s="395"/>
      <c r="R1702" s="391"/>
    </row>
    <row r="1703" spans="12:18">
      <c r="L1703" s="394" t="e">
        <f ca="1">IF(NOT(OFFSET(Data!E1706,0,MATCH('Delta Beta'!$C$5,Data!$B$4:$Q$4,0)-3)=""),OFFSET(Data!E1706,0,MATCH('Delta Beta'!$C$5,Data!$B$4:$Q$4,0)-3),#N/A)-$C$8/250</f>
        <v>#N/A</v>
      </c>
      <c r="M1703" s="394" t="e">
        <f ca="1">IF(NOT(OFFSET(Data!E1706,0,MATCH('Delta Beta'!$C$5,Data!$B$4:$Q$4,0)-1)=""),OFFSET(Data!E1706,0,MATCH('Delta Beta'!$C$5,Data!$B$4:$Q$4,0)-1),#N/A)-$C$8/250</f>
        <v>#N/A</v>
      </c>
      <c r="N1703" s="395"/>
      <c r="R1703" s="391"/>
    </row>
    <row r="1704" spans="12:18">
      <c r="L1704" s="394" t="e">
        <f ca="1">IF(NOT(OFFSET(Data!E1707,0,MATCH('Delta Beta'!$C$5,Data!$B$4:$Q$4,0)-3)=""),OFFSET(Data!E1707,0,MATCH('Delta Beta'!$C$5,Data!$B$4:$Q$4,0)-3),#N/A)-$C$8/250</f>
        <v>#N/A</v>
      </c>
      <c r="M1704" s="394" t="e">
        <f ca="1">IF(NOT(OFFSET(Data!E1707,0,MATCH('Delta Beta'!$C$5,Data!$B$4:$Q$4,0)-1)=""),OFFSET(Data!E1707,0,MATCH('Delta Beta'!$C$5,Data!$B$4:$Q$4,0)-1),#N/A)-$C$8/250</f>
        <v>#N/A</v>
      </c>
      <c r="N1704" s="395"/>
      <c r="R1704" s="391"/>
    </row>
    <row r="1705" spans="12:18">
      <c r="L1705" s="394" t="e">
        <f ca="1">IF(NOT(OFFSET(Data!E1708,0,MATCH('Delta Beta'!$C$5,Data!$B$4:$Q$4,0)-3)=""),OFFSET(Data!E1708,0,MATCH('Delta Beta'!$C$5,Data!$B$4:$Q$4,0)-3),#N/A)-$C$8/250</f>
        <v>#N/A</v>
      </c>
      <c r="M1705" s="394" t="e">
        <f ca="1">IF(NOT(OFFSET(Data!E1708,0,MATCH('Delta Beta'!$C$5,Data!$B$4:$Q$4,0)-1)=""),OFFSET(Data!E1708,0,MATCH('Delta Beta'!$C$5,Data!$B$4:$Q$4,0)-1),#N/A)-$C$8/250</f>
        <v>#N/A</v>
      </c>
      <c r="N1705" s="395"/>
      <c r="R1705" s="391"/>
    </row>
    <row r="1706" spans="12:18">
      <c r="L1706" s="394" t="e">
        <f ca="1">IF(NOT(OFFSET(Data!E1709,0,MATCH('Delta Beta'!$C$5,Data!$B$4:$Q$4,0)-3)=""),OFFSET(Data!E1709,0,MATCH('Delta Beta'!$C$5,Data!$B$4:$Q$4,0)-3),#N/A)-$C$8/250</f>
        <v>#N/A</v>
      </c>
      <c r="M1706" s="394" t="e">
        <f ca="1">IF(NOT(OFFSET(Data!E1709,0,MATCH('Delta Beta'!$C$5,Data!$B$4:$Q$4,0)-1)=""),OFFSET(Data!E1709,0,MATCH('Delta Beta'!$C$5,Data!$B$4:$Q$4,0)-1),#N/A)-$C$8/250</f>
        <v>#N/A</v>
      </c>
      <c r="N1706" s="395"/>
      <c r="R1706" s="391"/>
    </row>
    <row r="1707" spans="12:18">
      <c r="L1707" s="394" t="e">
        <f ca="1">IF(NOT(OFFSET(Data!E1710,0,MATCH('Delta Beta'!$C$5,Data!$B$4:$Q$4,0)-3)=""),OFFSET(Data!E1710,0,MATCH('Delta Beta'!$C$5,Data!$B$4:$Q$4,0)-3),#N/A)-$C$8/250</f>
        <v>#N/A</v>
      </c>
      <c r="M1707" s="394" t="e">
        <f ca="1">IF(NOT(OFFSET(Data!E1710,0,MATCH('Delta Beta'!$C$5,Data!$B$4:$Q$4,0)-1)=""),OFFSET(Data!E1710,0,MATCH('Delta Beta'!$C$5,Data!$B$4:$Q$4,0)-1),#N/A)-$C$8/250</f>
        <v>#N/A</v>
      </c>
      <c r="N1707" s="395"/>
      <c r="R1707" s="391"/>
    </row>
    <row r="1708" spans="12:18">
      <c r="L1708" s="394" t="e">
        <f ca="1">IF(NOT(OFFSET(Data!E1711,0,MATCH('Delta Beta'!$C$5,Data!$B$4:$Q$4,0)-3)=""),OFFSET(Data!E1711,0,MATCH('Delta Beta'!$C$5,Data!$B$4:$Q$4,0)-3),#N/A)-$C$8/250</f>
        <v>#N/A</v>
      </c>
      <c r="M1708" s="394" t="e">
        <f ca="1">IF(NOT(OFFSET(Data!E1711,0,MATCH('Delta Beta'!$C$5,Data!$B$4:$Q$4,0)-1)=""),OFFSET(Data!E1711,0,MATCH('Delta Beta'!$C$5,Data!$B$4:$Q$4,0)-1),#N/A)-$C$8/250</f>
        <v>#N/A</v>
      </c>
      <c r="N1708" s="395"/>
      <c r="R1708" s="391"/>
    </row>
    <row r="1709" spans="12:18">
      <c r="L1709" s="394" t="e">
        <f ca="1">IF(NOT(OFFSET(Data!E1712,0,MATCH('Delta Beta'!$C$5,Data!$B$4:$Q$4,0)-3)=""),OFFSET(Data!E1712,0,MATCH('Delta Beta'!$C$5,Data!$B$4:$Q$4,0)-3),#N/A)-$C$8/250</f>
        <v>#N/A</v>
      </c>
      <c r="M1709" s="394" t="e">
        <f ca="1">IF(NOT(OFFSET(Data!E1712,0,MATCH('Delta Beta'!$C$5,Data!$B$4:$Q$4,0)-1)=""),OFFSET(Data!E1712,0,MATCH('Delta Beta'!$C$5,Data!$B$4:$Q$4,0)-1),#N/A)-$C$8/250</f>
        <v>#N/A</v>
      </c>
      <c r="N1709" s="395"/>
      <c r="R1709" s="391"/>
    </row>
    <row r="1710" spans="12:18">
      <c r="L1710" s="394" t="e">
        <f ca="1">IF(NOT(OFFSET(Data!E1713,0,MATCH('Delta Beta'!$C$5,Data!$B$4:$Q$4,0)-3)=""),OFFSET(Data!E1713,0,MATCH('Delta Beta'!$C$5,Data!$B$4:$Q$4,0)-3),#N/A)-$C$8/250</f>
        <v>#N/A</v>
      </c>
      <c r="M1710" s="394" t="e">
        <f ca="1">IF(NOT(OFFSET(Data!E1713,0,MATCH('Delta Beta'!$C$5,Data!$B$4:$Q$4,0)-1)=""),OFFSET(Data!E1713,0,MATCH('Delta Beta'!$C$5,Data!$B$4:$Q$4,0)-1),#N/A)-$C$8/250</f>
        <v>#N/A</v>
      </c>
      <c r="N1710" s="395"/>
      <c r="R1710" s="391"/>
    </row>
    <row r="1711" spans="12:18">
      <c r="L1711" s="394" t="e">
        <f ca="1">IF(NOT(OFFSET(Data!E1714,0,MATCH('Delta Beta'!$C$5,Data!$B$4:$Q$4,0)-3)=""),OFFSET(Data!E1714,0,MATCH('Delta Beta'!$C$5,Data!$B$4:$Q$4,0)-3),#N/A)-$C$8/250</f>
        <v>#N/A</v>
      </c>
      <c r="M1711" s="394" t="e">
        <f ca="1">IF(NOT(OFFSET(Data!E1714,0,MATCH('Delta Beta'!$C$5,Data!$B$4:$Q$4,0)-1)=""),OFFSET(Data!E1714,0,MATCH('Delta Beta'!$C$5,Data!$B$4:$Q$4,0)-1),#N/A)-$C$8/250</f>
        <v>#N/A</v>
      </c>
      <c r="N1711" s="395"/>
      <c r="R1711" s="391"/>
    </row>
    <row r="1712" spans="12:18">
      <c r="L1712" s="394" t="e">
        <f ca="1">IF(NOT(OFFSET(Data!E1715,0,MATCH('Delta Beta'!$C$5,Data!$B$4:$Q$4,0)-3)=""),OFFSET(Data!E1715,0,MATCH('Delta Beta'!$C$5,Data!$B$4:$Q$4,0)-3),#N/A)-$C$8/250</f>
        <v>#N/A</v>
      </c>
      <c r="M1712" s="394" t="e">
        <f ca="1">IF(NOT(OFFSET(Data!E1715,0,MATCH('Delta Beta'!$C$5,Data!$B$4:$Q$4,0)-1)=""),OFFSET(Data!E1715,0,MATCH('Delta Beta'!$C$5,Data!$B$4:$Q$4,0)-1),#N/A)-$C$8/250</f>
        <v>#N/A</v>
      </c>
      <c r="N1712" s="395"/>
      <c r="R1712" s="391"/>
    </row>
    <row r="1713" spans="12:18">
      <c r="L1713" s="394" t="e">
        <f ca="1">IF(NOT(OFFSET(Data!E1716,0,MATCH('Delta Beta'!$C$5,Data!$B$4:$Q$4,0)-3)=""),OFFSET(Data!E1716,0,MATCH('Delta Beta'!$C$5,Data!$B$4:$Q$4,0)-3),#N/A)-$C$8/250</f>
        <v>#N/A</v>
      </c>
      <c r="M1713" s="394" t="e">
        <f ca="1">IF(NOT(OFFSET(Data!E1716,0,MATCH('Delta Beta'!$C$5,Data!$B$4:$Q$4,0)-1)=""),OFFSET(Data!E1716,0,MATCH('Delta Beta'!$C$5,Data!$B$4:$Q$4,0)-1),#N/A)-$C$8/250</f>
        <v>#N/A</v>
      </c>
      <c r="N1713" s="395"/>
      <c r="R1713" s="391"/>
    </row>
    <row r="1714" spans="12:18">
      <c r="L1714" s="394" t="e">
        <f ca="1">IF(NOT(OFFSET(Data!E1717,0,MATCH('Delta Beta'!$C$5,Data!$B$4:$Q$4,0)-3)=""),OFFSET(Data!E1717,0,MATCH('Delta Beta'!$C$5,Data!$B$4:$Q$4,0)-3),#N/A)-$C$8/250</f>
        <v>#N/A</v>
      </c>
      <c r="M1714" s="394" t="e">
        <f ca="1">IF(NOT(OFFSET(Data!E1717,0,MATCH('Delta Beta'!$C$5,Data!$B$4:$Q$4,0)-1)=""),OFFSET(Data!E1717,0,MATCH('Delta Beta'!$C$5,Data!$B$4:$Q$4,0)-1),#N/A)-$C$8/250</f>
        <v>#N/A</v>
      </c>
      <c r="N1714" s="395"/>
      <c r="R1714" s="391"/>
    </row>
    <row r="1715" spans="12:18">
      <c r="L1715" s="394" t="e">
        <f ca="1">IF(NOT(OFFSET(Data!E1718,0,MATCH('Delta Beta'!$C$5,Data!$B$4:$Q$4,0)-3)=""),OFFSET(Data!E1718,0,MATCH('Delta Beta'!$C$5,Data!$B$4:$Q$4,0)-3),#N/A)-$C$8/250</f>
        <v>#N/A</v>
      </c>
      <c r="M1715" s="394" t="e">
        <f ca="1">IF(NOT(OFFSET(Data!E1718,0,MATCH('Delta Beta'!$C$5,Data!$B$4:$Q$4,0)-1)=""),OFFSET(Data!E1718,0,MATCH('Delta Beta'!$C$5,Data!$B$4:$Q$4,0)-1),#N/A)-$C$8/250</f>
        <v>#N/A</v>
      </c>
      <c r="N1715" s="395"/>
      <c r="R1715" s="391"/>
    </row>
    <row r="1716" spans="12:18">
      <c r="L1716" s="394" t="e">
        <f ca="1">IF(NOT(OFFSET(Data!E1719,0,MATCH('Delta Beta'!$C$5,Data!$B$4:$Q$4,0)-3)=""),OFFSET(Data!E1719,0,MATCH('Delta Beta'!$C$5,Data!$B$4:$Q$4,0)-3),#N/A)-$C$8/250</f>
        <v>#N/A</v>
      </c>
      <c r="M1716" s="394" t="e">
        <f ca="1">IF(NOT(OFFSET(Data!E1719,0,MATCH('Delta Beta'!$C$5,Data!$B$4:$Q$4,0)-1)=""),OFFSET(Data!E1719,0,MATCH('Delta Beta'!$C$5,Data!$B$4:$Q$4,0)-1),#N/A)-$C$8/250</f>
        <v>#N/A</v>
      </c>
      <c r="N1716" s="395"/>
      <c r="R1716" s="391"/>
    </row>
    <row r="1717" spans="12:18">
      <c r="L1717" s="394" t="e">
        <f ca="1">IF(NOT(OFFSET(Data!E1720,0,MATCH('Delta Beta'!$C$5,Data!$B$4:$Q$4,0)-3)=""),OFFSET(Data!E1720,0,MATCH('Delta Beta'!$C$5,Data!$B$4:$Q$4,0)-3),#N/A)-$C$8/250</f>
        <v>#N/A</v>
      </c>
      <c r="M1717" s="394" t="e">
        <f ca="1">IF(NOT(OFFSET(Data!E1720,0,MATCH('Delta Beta'!$C$5,Data!$B$4:$Q$4,0)-1)=""),OFFSET(Data!E1720,0,MATCH('Delta Beta'!$C$5,Data!$B$4:$Q$4,0)-1),#N/A)-$C$8/250</f>
        <v>#N/A</v>
      </c>
      <c r="N1717" s="395"/>
      <c r="R1717" s="391"/>
    </row>
    <row r="1718" spans="12:18">
      <c r="L1718" s="394" t="e">
        <f ca="1">IF(NOT(OFFSET(Data!E1721,0,MATCH('Delta Beta'!$C$5,Data!$B$4:$Q$4,0)-3)=""),OFFSET(Data!E1721,0,MATCH('Delta Beta'!$C$5,Data!$B$4:$Q$4,0)-3),#N/A)-$C$8/250</f>
        <v>#N/A</v>
      </c>
      <c r="M1718" s="394" t="e">
        <f ca="1">IF(NOT(OFFSET(Data!E1721,0,MATCH('Delta Beta'!$C$5,Data!$B$4:$Q$4,0)-1)=""),OFFSET(Data!E1721,0,MATCH('Delta Beta'!$C$5,Data!$B$4:$Q$4,0)-1),#N/A)-$C$8/250</f>
        <v>#N/A</v>
      </c>
      <c r="N1718" s="395"/>
      <c r="R1718" s="391"/>
    </row>
    <row r="1719" spans="12:18">
      <c r="L1719" s="394" t="e">
        <f ca="1">IF(NOT(OFFSET(Data!E1722,0,MATCH('Delta Beta'!$C$5,Data!$B$4:$Q$4,0)-3)=""),OFFSET(Data!E1722,0,MATCH('Delta Beta'!$C$5,Data!$B$4:$Q$4,0)-3),#N/A)-$C$8/250</f>
        <v>#N/A</v>
      </c>
      <c r="M1719" s="394" t="e">
        <f ca="1">IF(NOT(OFFSET(Data!E1722,0,MATCH('Delta Beta'!$C$5,Data!$B$4:$Q$4,0)-1)=""),OFFSET(Data!E1722,0,MATCH('Delta Beta'!$C$5,Data!$B$4:$Q$4,0)-1),#N/A)-$C$8/250</f>
        <v>#N/A</v>
      </c>
      <c r="N1719" s="395"/>
      <c r="R1719" s="391"/>
    </row>
    <row r="1720" spans="12:18">
      <c r="L1720" s="394" t="e">
        <f ca="1">IF(NOT(OFFSET(Data!E1723,0,MATCH('Delta Beta'!$C$5,Data!$B$4:$Q$4,0)-3)=""),OFFSET(Data!E1723,0,MATCH('Delta Beta'!$C$5,Data!$B$4:$Q$4,0)-3),#N/A)-$C$8/250</f>
        <v>#N/A</v>
      </c>
      <c r="M1720" s="394" t="e">
        <f ca="1">IF(NOT(OFFSET(Data!E1723,0,MATCH('Delta Beta'!$C$5,Data!$B$4:$Q$4,0)-1)=""),OFFSET(Data!E1723,0,MATCH('Delta Beta'!$C$5,Data!$B$4:$Q$4,0)-1),#N/A)-$C$8/250</f>
        <v>#N/A</v>
      </c>
      <c r="N1720" s="395"/>
      <c r="R1720" s="391"/>
    </row>
    <row r="1721" spans="12:18">
      <c r="L1721" s="394" t="e">
        <f ca="1">IF(NOT(OFFSET(Data!E1724,0,MATCH('Delta Beta'!$C$5,Data!$B$4:$Q$4,0)-3)=""),OFFSET(Data!E1724,0,MATCH('Delta Beta'!$C$5,Data!$B$4:$Q$4,0)-3),#N/A)-$C$8/250</f>
        <v>#N/A</v>
      </c>
      <c r="M1721" s="394" t="e">
        <f ca="1">IF(NOT(OFFSET(Data!E1724,0,MATCH('Delta Beta'!$C$5,Data!$B$4:$Q$4,0)-1)=""),OFFSET(Data!E1724,0,MATCH('Delta Beta'!$C$5,Data!$B$4:$Q$4,0)-1),#N/A)-$C$8/250</f>
        <v>#N/A</v>
      </c>
      <c r="N1721" s="395"/>
      <c r="R1721" s="391"/>
    </row>
    <row r="1722" spans="12:18">
      <c r="L1722" s="394" t="e">
        <f ca="1">IF(NOT(OFFSET(Data!E1725,0,MATCH('Delta Beta'!$C$5,Data!$B$4:$Q$4,0)-3)=""),OFFSET(Data!E1725,0,MATCH('Delta Beta'!$C$5,Data!$B$4:$Q$4,0)-3),#N/A)-$C$8/250</f>
        <v>#N/A</v>
      </c>
      <c r="M1722" s="394" t="e">
        <f ca="1">IF(NOT(OFFSET(Data!E1725,0,MATCH('Delta Beta'!$C$5,Data!$B$4:$Q$4,0)-1)=""),OFFSET(Data!E1725,0,MATCH('Delta Beta'!$C$5,Data!$B$4:$Q$4,0)-1),#N/A)-$C$8/250</f>
        <v>#N/A</v>
      </c>
      <c r="N1722" s="395"/>
      <c r="R1722" s="391"/>
    </row>
    <row r="1723" spans="12:18">
      <c r="L1723" s="394" t="e">
        <f ca="1">IF(NOT(OFFSET(Data!E1726,0,MATCH('Delta Beta'!$C$5,Data!$B$4:$Q$4,0)-3)=""),OFFSET(Data!E1726,0,MATCH('Delta Beta'!$C$5,Data!$B$4:$Q$4,0)-3),#N/A)-$C$8/250</f>
        <v>#N/A</v>
      </c>
      <c r="M1723" s="394" t="e">
        <f ca="1">IF(NOT(OFFSET(Data!E1726,0,MATCH('Delta Beta'!$C$5,Data!$B$4:$Q$4,0)-1)=""),OFFSET(Data!E1726,0,MATCH('Delta Beta'!$C$5,Data!$B$4:$Q$4,0)-1),#N/A)-$C$8/250</f>
        <v>#N/A</v>
      </c>
      <c r="N1723" s="395"/>
      <c r="R1723" s="391"/>
    </row>
    <row r="1724" spans="12:18">
      <c r="L1724" s="394" t="e">
        <f ca="1">IF(NOT(OFFSET(Data!E1727,0,MATCH('Delta Beta'!$C$5,Data!$B$4:$Q$4,0)-3)=""),OFFSET(Data!E1727,0,MATCH('Delta Beta'!$C$5,Data!$B$4:$Q$4,0)-3),#N/A)-$C$8/250</f>
        <v>#N/A</v>
      </c>
      <c r="M1724" s="394" t="e">
        <f ca="1">IF(NOT(OFFSET(Data!E1727,0,MATCH('Delta Beta'!$C$5,Data!$B$4:$Q$4,0)-1)=""),OFFSET(Data!E1727,0,MATCH('Delta Beta'!$C$5,Data!$B$4:$Q$4,0)-1),#N/A)-$C$8/250</f>
        <v>#N/A</v>
      </c>
      <c r="N1724" s="395"/>
      <c r="R1724" s="391"/>
    </row>
    <row r="1725" spans="12:18">
      <c r="L1725" s="394" t="e">
        <f ca="1">IF(NOT(OFFSET(Data!E1728,0,MATCH('Delta Beta'!$C$5,Data!$B$4:$Q$4,0)-3)=""),OFFSET(Data!E1728,0,MATCH('Delta Beta'!$C$5,Data!$B$4:$Q$4,0)-3),#N/A)-$C$8/250</f>
        <v>#N/A</v>
      </c>
      <c r="M1725" s="394" t="e">
        <f ca="1">IF(NOT(OFFSET(Data!E1728,0,MATCH('Delta Beta'!$C$5,Data!$B$4:$Q$4,0)-1)=""),OFFSET(Data!E1728,0,MATCH('Delta Beta'!$C$5,Data!$B$4:$Q$4,0)-1),#N/A)-$C$8/250</f>
        <v>#N/A</v>
      </c>
      <c r="N1725" s="395"/>
      <c r="R1725" s="391"/>
    </row>
    <row r="1726" spans="12:18">
      <c r="L1726" s="394" t="e">
        <f ca="1">IF(NOT(OFFSET(Data!E1729,0,MATCH('Delta Beta'!$C$5,Data!$B$4:$Q$4,0)-3)=""),OFFSET(Data!E1729,0,MATCH('Delta Beta'!$C$5,Data!$B$4:$Q$4,0)-3),#N/A)-$C$8/250</f>
        <v>#N/A</v>
      </c>
      <c r="M1726" s="394" t="e">
        <f ca="1">IF(NOT(OFFSET(Data!E1729,0,MATCH('Delta Beta'!$C$5,Data!$B$4:$Q$4,0)-1)=""),OFFSET(Data!E1729,0,MATCH('Delta Beta'!$C$5,Data!$B$4:$Q$4,0)-1),#N/A)-$C$8/250</f>
        <v>#N/A</v>
      </c>
      <c r="N1726" s="395"/>
      <c r="R1726" s="391"/>
    </row>
    <row r="1727" spans="12:18">
      <c r="L1727" s="394" t="e">
        <f ca="1">IF(NOT(OFFSET(Data!E1730,0,MATCH('Delta Beta'!$C$5,Data!$B$4:$Q$4,0)-3)=""),OFFSET(Data!E1730,0,MATCH('Delta Beta'!$C$5,Data!$B$4:$Q$4,0)-3),#N/A)-$C$8/250</f>
        <v>#N/A</v>
      </c>
      <c r="M1727" s="394" t="e">
        <f ca="1">IF(NOT(OFFSET(Data!E1730,0,MATCH('Delta Beta'!$C$5,Data!$B$4:$Q$4,0)-1)=""),OFFSET(Data!E1730,0,MATCH('Delta Beta'!$C$5,Data!$B$4:$Q$4,0)-1),#N/A)-$C$8/250</f>
        <v>#N/A</v>
      </c>
      <c r="N1727" s="395"/>
      <c r="R1727" s="391"/>
    </row>
    <row r="1728" spans="12:18">
      <c r="L1728" s="394" t="e">
        <f ca="1">IF(NOT(OFFSET(Data!E1731,0,MATCH('Delta Beta'!$C$5,Data!$B$4:$Q$4,0)-3)=""),OFFSET(Data!E1731,0,MATCH('Delta Beta'!$C$5,Data!$B$4:$Q$4,0)-3),#N/A)-$C$8/250</f>
        <v>#N/A</v>
      </c>
      <c r="M1728" s="394" t="e">
        <f ca="1">IF(NOT(OFFSET(Data!E1731,0,MATCH('Delta Beta'!$C$5,Data!$B$4:$Q$4,0)-1)=""),OFFSET(Data!E1731,0,MATCH('Delta Beta'!$C$5,Data!$B$4:$Q$4,0)-1),#N/A)-$C$8/250</f>
        <v>#N/A</v>
      </c>
      <c r="N1728" s="395"/>
      <c r="R1728" s="391"/>
    </row>
    <row r="1729" spans="12:18">
      <c r="L1729" s="394" t="e">
        <f ca="1">IF(NOT(OFFSET(Data!E1732,0,MATCH('Delta Beta'!$C$5,Data!$B$4:$Q$4,0)-3)=""),OFFSET(Data!E1732,0,MATCH('Delta Beta'!$C$5,Data!$B$4:$Q$4,0)-3),#N/A)-$C$8/250</f>
        <v>#N/A</v>
      </c>
      <c r="M1729" s="394" t="e">
        <f ca="1">IF(NOT(OFFSET(Data!E1732,0,MATCH('Delta Beta'!$C$5,Data!$B$4:$Q$4,0)-1)=""),OFFSET(Data!E1732,0,MATCH('Delta Beta'!$C$5,Data!$B$4:$Q$4,0)-1),#N/A)-$C$8/250</f>
        <v>#N/A</v>
      </c>
      <c r="N1729" s="395"/>
      <c r="R1729" s="391"/>
    </row>
    <row r="1730" spans="12:18">
      <c r="L1730" s="394" t="e">
        <f ca="1">IF(NOT(OFFSET(Data!E1733,0,MATCH('Delta Beta'!$C$5,Data!$B$4:$Q$4,0)-3)=""),OFFSET(Data!E1733,0,MATCH('Delta Beta'!$C$5,Data!$B$4:$Q$4,0)-3),#N/A)-$C$8/250</f>
        <v>#N/A</v>
      </c>
      <c r="M1730" s="394" t="e">
        <f ca="1">IF(NOT(OFFSET(Data!E1733,0,MATCH('Delta Beta'!$C$5,Data!$B$4:$Q$4,0)-1)=""),OFFSET(Data!E1733,0,MATCH('Delta Beta'!$C$5,Data!$B$4:$Q$4,0)-1),#N/A)-$C$8/250</f>
        <v>#N/A</v>
      </c>
      <c r="N1730" s="395"/>
      <c r="R1730" s="391"/>
    </row>
    <row r="1731" spans="12:18">
      <c r="L1731" s="394" t="e">
        <f ca="1">IF(NOT(OFFSET(Data!E1734,0,MATCH('Delta Beta'!$C$5,Data!$B$4:$Q$4,0)-3)=""),OFFSET(Data!E1734,0,MATCH('Delta Beta'!$C$5,Data!$B$4:$Q$4,0)-3),#N/A)-$C$8/250</f>
        <v>#N/A</v>
      </c>
      <c r="M1731" s="394" t="e">
        <f ca="1">IF(NOT(OFFSET(Data!E1734,0,MATCH('Delta Beta'!$C$5,Data!$B$4:$Q$4,0)-1)=""),OFFSET(Data!E1734,0,MATCH('Delta Beta'!$C$5,Data!$B$4:$Q$4,0)-1),#N/A)-$C$8/250</f>
        <v>#N/A</v>
      </c>
      <c r="N1731" s="395"/>
      <c r="R1731" s="391"/>
    </row>
    <row r="1732" spans="12:18">
      <c r="L1732" s="394" t="e">
        <f ca="1">IF(NOT(OFFSET(Data!E1735,0,MATCH('Delta Beta'!$C$5,Data!$B$4:$Q$4,0)-3)=""),OFFSET(Data!E1735,0,MATCH('Delta Beta'!$C$5,Data!$B$4:$Q$4,0)-3),#N/A)-$C$8/250</f>
        <v>#N/A</v>
      </c>
      <c r="M1732" s="394" t="e">
        <f ca="1">IF(NOT(OFFSET(Data!E1735,0,MATCH('Delta Beta'!$C$5,Data!$B$4:$Q$4,0)-1)=""),OFFSET(Data!E1735,0,MATCH('Delta Beta'!$C$5,Data!$B$4:$Q$4,0)-1),#N/A)-$C$8/250</f>
        <v>#N/A</v>
      </c>
      <c r="N1732" s="395"/>
      <c r="R1732" s="391"/>
    </row>
    <row r="1733" spans="12:18">
      <c r="L1733" s="394" t="e">
        <f ca="1">IF(NOT(OFFSET(Data!E1736,0,MATCH('Delta Beta'!$C$5,Data!$B$4:$Q$4,0)-3)=""),OFFSET(Data!E1736,0,MATCH('Delta Beta'!$C$5,Data!$B$4:$Q$4,0)-3),#N/A)-$C$8/250</f>
        <v>#N/A</v>
      </c>
      <c r="M1733" s="394" t="e">
        <f ca="1">IF(NOT(OFFSET(Data!E1736,0,MATCH('Delta Beta'!$C$5,Data!$B$4:$Q$4,0)-1)=""),OFFSET(Data!E1736,0,MATCH('Delta Beta'!$C$5,Data!$B$4:$Q$4,0)-1),#N/A)-$C$8/250</f>
        <v>#N/A</v>
      </c>
      <c r="N1733" s="395"/>
      <c r="R1733" s="391"/>
    </row>
    <row r="1734" spans="12:18">
      <c r="L1734" s="394" t="e">
        <f ca="1">IF(NOT(OFFSET(Data!E1737,0,MATCH('Delta Beta'!$C$5,Data!$B$4:$Q$4,0)-3)=""),OFFSET(Data!E1737,0,MATCH('Delta Beta'!$C$5,Data!$B$4:$Q$4,0)-3),#N/A)-$C$8/250</f>
        <v>#N/A</v>
      </c>
      <c r="M1734" s="394" t="e">
        <f ca="1">IF(NOT(OFFSET(Data!E1737,0,MATCH('Delta Beta'!$C$5,Data!$B$4:$Q$4,0)-1)=""),OFFSET(Data!E1737,0,MATCH('Delta Beta'!$C$5,Data!$B$4:$Q$4,0)-1),#N/A)-$C$8/250</f>
        <v>#N/A</v>
      </c>
      <c r="N1734" s="395"/>
      <c r="R1734" s="391"/>
    </row>
    <row r="1735" spans="12:18">
      <c r="L1735" s="394" t="e">
        <f ca="1">IF(NOT(OFFSET(Data!E1738,0,MATCH('Delta Beta'!$C$5,Data!$B$4:$Q$4,0)-3)=""),OFFSET(Data!E1738,0,MATCH('Delta Beta'!$C$5,Data!$B$4:$Q$4,0)-3),#N/A)-$C$8/250</f>
        <v>#N/A</v>
      </c>
      <c r="M1735" s="394" t="e">
        <f ca="1">IF(NOT(OFFSET(Data!E1738,0,MATCH('Delta Beta'!$C$5,Data!$B$4:$Q$4,0)-1)=""),OFFSET(Data!E1738,0,MATCH('Delta Beta'!$C$5,Data!$B$4:$Q$4,0)-1),#N/A)-$C$8/250</f>
        <v>#N/A</v>
      </c>
      <c r="N1735" s="395"/>
      <c r="R1735" s="391"/>
    </row>
    <row r="1736" spans="12:18">
      <c r="L1736" s="394" t="e">
        <f ca="1">IF(NOT(OFFSET(Data!E1739,0,MATCH('Delta Beta'!$C$5,Data!$B$4:$Q$4,0)-3)=""),OFFSET(Data!E1739,0,MATCH('Delta Beta'!$C$5,Data!$B$4:$Q$4,0)-3),#N/A)-$C$8/250</f>
        <v>#N/A</v>
      </c>
      <c r="M1736" s="394" t="e">
        <f ca="1">IF(NOT(OFFSET(Data!E1739,0,MATCH('Delta Beta'!$C$5,Data!$B$4:$Q$4,0)-1)=""),OFFSET(Data!E1739,0,MATCH('Delta Beta'!$C$5,Data!$B$4:$Q$4,0)-1),#N/A)-$C$8/250</f>
        <v>#N/A</v>
      </c>
      <c r="N1736" s="395"/>
      <c r="R1736" s="391"/>
    </row>
    <row r="1737" spans="12:18">
      <c r="L1737" s="394" t="e">
        <f ca="1">IF(NOT(OFFSET(Data!E1740,0,MATCH('Delta Beta'!$C$5,Data!$B$4:$Q$4,0)-3)=""),OFFSET(Data!E1740,0,MATCH('Delta Beta'!$C$5,Data!$B$4:$Q$4,0)-3),#N/A)-$C$8/250</f>
        <v>#N/A</v>
      </c>
      <c r="M1737" s="394" t="e">
        <f ca="1">IF(NOT(OFFSET(Data!E1740,0,MATCH('Delta Beta'!$C$5,Data!$B$4:$Q$4,0)-1)=""),OFFSET(Data!E1740,0,MATCH('Delta Beta'!$C$5,Data!$B$4:$Q$4,0)-1),#N/A)-$C$8/250</f>
        <v>#N/A</v>
      </c>
      <c r="N1737" s="395"/>
      <c r="R1737" s="391"/>
    </row>
    <row r="1738" spans="12:18">
      <c r="L1738" s="394" t="e">
        <f ca="1">IF(NOT(OFFSET(Data!E1741,0,MATCH('Delta Beta'!$C$5,Data!$B$4:$Q$4,0)-3)=""),OFFSET(Data!E1741,0,MATCH('Delta Beta'!$C$5,Data!$B$4:$Q$4,0)-3),#N/A)-$C$8/250</f>
        <v>#N/A</v>
      </c>
      <c r="M1738" s="394" t="e">
        <f ca="1">IF(NOT(OFFSET(Data!E1741,0,MATCH('Delta Beta'!$C$5,Data!$B$4:$Q$4,0)-1)=""),OFFSET(Data!E1741,0,MATCH('Delta Beta'!$C$5,Data!$B$4:$Q$4,0)-1),#N/A)-$C$8/250</f>
        <v>#N/A</v>
      </c>
      <c r="N1738" s="395"/>
      <c r="R1738" s="391"/>
    </row>
    <row r="1739" spans="12:18">
      <c r="L1739" s="394" t="e">
        <f ca="1">IF(NOT(OFFSET(Data!E1742,0,MATCH('Delta Beta'!$C$5,Data!$B$4:$Q$4,0)-3)=""),OFFSET(Data!E1742,0,MATCH('Delta Beta'!$C$5,Data!$B$4:$Q$4,0)-3),#N/A)-$C$8/250</f>
        <v>#N/A</v>
      </c>
      <c r="M1739" s="394" t="e">
        <f ca="1">IF(NOT(OFFSET(Data!E1742,0,MATCH('Delta Beta'!$C$5,Data!$B$4:$Q$4,0)-1)=""),OFFSET(Data!E1742,0,MATCH('Delta Beta'!$C$5,Data!$B$4:$Q$4,0)-1),#N/A)-$C$8/250</f>
        <v>#N/A</v>
      </c>
      <c r="N1739" s="395"/>
      <c r="R1739" s="391"/>
    </row>
    <row r="1740" spans="12:18">
      <c r="L1740" s="394" t="e">
        <f ca="1">IF(NOT(OFFSET(Data!E1743,0,MATCH('Delta Beta'!$C$5,Data!$B$4:$Q$4,0)-3)=""),OFFSET(Data!E1743,0,MATCH('Delta Beta'!$C$5,Data!$B$4:$Q$4,0)-3),#N/A)-$C$8/250</f>
        <v>#N/A</v>
      </c>
      <c r="M1740" s="394" t="e">
        <f ca="1">IF(NOT(OFFSET(Data!E1743,0,MATCH('Delta Beta'!$C$5,Data!$B$4:$Q$4,0)-1)=""),OFFSET(Data!E1743,0,MATCH('Delta Beta'!$C$5,Data!$B$4:$Q$4,0)-1),#N/A)-$C$8/250</f>
        <v>#N/A</v>
      </c>
      <c r="N1740" s="395"/>
      <c r="R1740" s="391"/>
    </row>
    <row r="1741" spans="12:18">
      <c r="L1741" s="394" t="e">
        <f ca="1">IF(NOT(OFFSET(Data!E1744,0,MATCH('Delta Beta'!$C$5,Data!$B$4:$Q$4,0)-3)=""),OFFSET(Data!E1744,0,MATCH('Delta Beta'!$C$5,Data!$B$4:$Q$4,0)-3),#N/A)-$C$8/250</f>
        <v>#N/A</v>
      </c>
      <c r="M1741" s="394" t="e">
        <f ca="1">IF(NOT(OFFSET(Data!E1744,0,MATCH('Delta Beta'!$C$5,Data!$B$4:$Q$4,0)-1)=""),OFFSET(Data!E1744,0,MATCH('Delta Beta'!$C$5,Data!$B$4:$Q$4,0)-1),#N/A)-$C$8/250</f>
        <v>#N/A</v>
      </c>
      <c r="N1741" s="395"/>
      <c r="R1741" s="391"/>
    </row>
    <row r="1742" spans="12:18">
      <c r="L1742" s="394" t="e">
        <f ca="1">IF(NOT(OFFSET(Data!E1745,0,MATCH('Delta Beta'!$C$5,Data!$B$4:$Q$4,0)-3)=""),OFFSET(Data!E1745,0,MATCH('Delta Beta'!$C$5,Data!$B$4:$Q$4,0)-3),#N/A)-$C$8/250</f>
        <v>#N/A</v>
      </c>
      <c r="M1742" s="394" t="e">
        <f ca="1">IF(NOT(OFFSET(Data!E1745,0,MATCH('Delta Beta'!$C$5,Data!$B$4:$Q$4,0)-1)=""),OFFSET(Data!E1745,0,MATCH('Delta Beta'!$C$5,Data!$B$4:$Q$4,0)-1),#N/A)-$C$8/250</f>
        <v>#N/A</v>
      </c>
      <c r="N1742" s="395"/>
      <c r="R1742" s="391"/>
    </row>
    <row r="1743" spans="12:18">
      <c r="L1743" s="394" t="e">
        <f ca="1">IF(NOT(OFFSET(Data!E1746,0,MATCH('Delta Beta'!$C$5,Data!$B$4:$Q$4,0)-3)=""),OFFSET(Data!E1746,0,MATCH('Delta Beta'!$C$5,Data!$B$4:$Q$4,0)-3),#N/A)-$C$8/250</f>
        <v>#N/A</v>
      </c>
      <c r="M1743" s="394" t="e">
        <f ca="1">IF(NOT(OFFSET(Data!E1746,0,MATCH('Delta Beta'!$C$5,Data!$B$4:$Q$4,0)-1)=""),OFFSET(Data!E1746,0,MATCH('Delta Beta'!$C$5,Data!$B$4:$Q$4,0)-1),#N/A)-$C$8/250</f>
        <v>#N/A</v>
      </c>
      <c r="N1743" s="395"/>
      <c r="R1743" s="391"/>
    </row>
    <row r="1744" spans="12:18">
      <c r="L1744" s="394" t="e">
        <f ca="1">IF(NOT(OFFSET(Data!E1747,0,MATCH('Delta Beta'!$C$5,Data!$B$4:$Q$4,0)-3)=""),OFFSET(Data!E1747,0,MATCH('Delta Beta'!$C$5,Data!$B$4:$Q$4,0)-3),#N/A)-$C$8/250</f>
        <v>#N/A</v>
      </c>
      <c r="M1744" s="394" t="e">
        <f ca="1">IF(NOT(OFFSET(Data!E1747,0,MATCH('Delta Beta'!$C$5,Data!$B$4:$Q$4,0)-1)=""),OFFSET(Data!E1747,0,MATCH('Delta Beta'!$C$5,Data!$B$4:$Q$4,0)-1),#N/A)-$C$8/250</f>
        <v>#N/A</v>
      </c>
      <c r="N1744" s="395"/>
      <c r="R1744" s="391"/>
    </row>
    <row r="1745" spans="12:18">
      <c r="L1745" s="394" t="e">
        <f ca="1">IF(NOT(OFFSET(Data!E1748,0,MATCH('Delta Beta'!$C$5,Data!$B$4:$Q$4,0)-3)=""),OFFSET(Data!E1748,0,MATCH('Delta Beta'!$C$5,Data!$B$4:$Q$4,0)-3),#N/A)-$C$8/250</f>
        <v>#N/A</v>
      </c>
      <c r="M1745" s="394" t="e">
        <f ca="1">IF(NOT(OFFSET(Data!E1748,0,MATCH('Delta Beta'!$C$5,Data!$B$4:$Q$4,0)-1)=""),OFFSET(Data!E1748,0,MATCH('Delta Beta'!$C$5,Data!$B$4:$Q$4,0)-1),#N/A)-$C$8/250</f>
        <v>#N/A</v>
      </c>
      <c r="N1745" s="395"/>
      <c r="R1745" s="391"/>
    </row>
    <row r="1746" spans="12:18">
      <c r="L1746" s="394" t="e">
        <f ca="1">IF(NOT(OFFSET(Data!E1749,0,MATCH('Delta Beta'!$C$5,Data!$B$4:$Q$4,0)-3)=""),OFFSET(Data!E1749,0,MATCH('Delta Beta'!$C$5,Data!$B$4:$Q$4,0)-3),#N/A)-$C$8/250</f>
        <v>#N/A</v>
      </c>
      <c r="M1746" s="394" t="e">
        <f ca="1">IF(NOT(OFFSET(Data!E1749,0,MATCH('Delta Beta'!$C$5,Data!$B$4:$Q$4,0)-1)=""),OFFSET(Data!E1749,0,MATCH('Delta Beta'!$C$5,Data!$B$4:$Q$4,0)-1),#N/A)-$C$8/250</f>
        <v>#N/A</v>
      </c>
      <c r="N1746" s="395"/>
      <c r="R1746" s="391"/>
    </row>
    <row r="1747" spans="12:18">
      <c r="L1747" s="394" t="e">
        <f ca="1">IF(NOT(OFFSET(Data!E1750,0,MATCH('Delta Beta'!$C$5,Data!$B$4:$Q$4,0)-3)=""),OFFSET(Data!E1750,0,MATCH('Delta Beta'!$C$5,Data!$B$4:$Q$4,0)-3),#N/A)-$C$8/250</f>
        <v>#N/A</v>
      </c>
      <c r="M1747" s="394" t="e">
        <f ca="1">IF(NOT(OFFSET(Data!E1750,0,MATCH('Delta Beta'!$C$5,Data!$B$4:$Q$4,0)-1)=""),OFFSET(Data!E1750,0,MATCH('Delta Beta'!$C$5,Data!$B$4:$Q$4,0)-1),#N/A)-$C$8/250</f>
        <v>#N/A</v>
      </c>
      <c r="N1747" s="395"/>
      <c r="R1747" s="391"/>
    </row>
    <row r="1748" spans="12:18">
      <c r="L1748" s="394" t="e">
        <f ca="1">IF(NOT(OFFSET(Data!E1751,0,MATCH('Delta Beta'!$C$5,Data!$B$4:$Q$4,0)-3)=""),OFFSET(Data!E1751,0,MATCH('Delta Beta'!$C$5,Data!$B$4:$Q$4,0)-3),#N/A)-$C$8/250</f>
        <v>#N/A</v>
      </c>
      <c r="M1748" s="394" t="e">
        <f ca="1">IF(NOT(OFFSET(Data!E1751,0,MATCH('Delta Beta'!$C$5,Data!$B$4:$Q$4,0)-1)=""),OFFSET(Data!E1751,0,MATCH('Delta Beta'!$C$5,Data!$B$4:$Q$4,0)-1),#N/A)-$C$8/250</f>
        <v>#N/A</v>
      </c>
      <c r="N1748" s="395"/>
      <c r="R1748" s="391"/>
    </row>
    <row r="1749" spans="12:18">
      <c r="L1749" s="394" t="e">
        <f ca="1">IF(NOT(OFFSET(Data!E1752,0,MATCH('Delta Beta'!$C$5,Data!$B$4:$Q$4,0)-3)=""),OFFSET(Data!E1752,0,MATCH('Delta Beta'!$C$5,Data!$B$4:$Q$4,0)-3),#N/A)-$C$8/250</f>
        <v>#N/A</v>
      </c>
      <c r="M1749" s="394" t="e">
        <f ca="1">IF(NOT(OFFSET(Data!E1752,0,MATCH('Delta Beta'!$C$5,Data!$B$4:$Q$4,0)-1)=""),OFFSET(Data!E1752,0,MATCH('Delta Beta'!$C$5,Data!$B$4:$Q$4,0)-1),#N/A)-$C$8/250</f>
        <v>#N/A</v>
      </c>
      <c r="N1749" s="395"/>
      <c r="R1749" s="391"/>
    </row>
    <row r="1750" spans="12:18">
      <c r="L1750" s="394" t="e">
        <f ca="1">IF(NOT(OFFSET(Data!E1753,0,MATCH('Delta Beta'!$C$5,Data!$B$4:$Q$4,0)-3)=""),OFFSET(Data!E1753,0,MATCH('Delta Beta'!$C$5,Data!$B$4:$Q$4,0)-3),#N/A)-$C$8/250</f>
        <v>#N/A</v>
      </c>
      <c r="M1750" s="394" t="e">
        <f ca="1">IF(NOT(OFFSET(Data!E1753,0,MATCH('Delta Beta'!$C$5,Data!$B$4:$Q$4,0)-1)=""),OFFSET(Data!E1753,0,MATCH('Delta Beta'!$C$5,Data!$B$4:$Q$4,0)-1),#N/A)-$C$8/250</f>
        <v>#N/A</v>
      </c>
      <c r="N1750" s="395"/>
      <c r="R1750" s="391"/>
    </row>
    <row r="1751" spans="12:18">
      <c r="L1751" s="394" t="e">
        <f ca="1">IF(NOT(OFFSET(Data!E1754,0,MATCH('Delta Beta'!$C$5,Data!$B$4:$Q$4,0)-3)=""),OFFSET(Data!E1754,0,MATCH('Delta Beta'!$C$5,Data!$B$4:$Q$4,0)-3),#N/A)-$C$8/250</f>
        <v>#N/A</v>
      </c>
      <c r="M1751" s="394" t="e">
        <f ca="1">IF(NOT(OFFSET(Data!E1754,0,MATCH('Delta Beta'!$C$5,Data!$B$4:$Q$4,0)-1)=""),OFFSET(Data!E1754,0,MATCH('Delta Beta'!$C$5,Data!$B$4:$Q$4,0)-1),#N/A)-$C$8/250</f>
        <v>#N/A</v>
      </c>
      <c r="N1751" s="395"/>
      <c r="R1751" s="391"/>
    </row>
    <row r="1752" spans="12:18">
      <c r="L1752" s="394" t="e">
        <f ca="1">IF(NOT(OFFSET(Data!E1755,0,MATCH('Delta Beta'!$C$5,Data!$B$4:$Q$4,0)-3)=""),OFFSET(Data!E1755,0,MATCH('Delta Beta'!$C$5,Data!$B$4:$Q$4,0)-3),#N/A)-$C$8/250</f>
        <v>#N/A</v>
      </c>
      <c r="M1752" s="394" t="e">
        <f ca="1">IF(NOT(OFFSET(Data!E1755,0,MATCH('Delta Beta'!$C$5,Data!$B$4:$Q$4,0)-1)=""),OFFSET(Data!E1755,0,MATCH('Delta Beta'!$C$5,Data!$B$4:$Q$4,0)-1),#N/A)-$C$8/250</f>
        <v>#N/A</v>
      </c>
      <c r="N1752" s="395"/>
      <c r="R1752" s="391"/>
    </row>
    <row r="1753" spans="12:18">
      <c r="L1753" s="394" t="e">
        <f ca="1">IF(NOT(OFFSET(Data!E1756,0,MATCH('Delta Beta'!$C$5,Data!$B$4:$Q$4,0)-3)=""),OFFSET(Data!E1756,0,MATCH('Delta Beta'!$C$5,Data!$B$4:$Q$4,0)-3),#N/A)-$C$8/250</f>
        <v>#N/A</v>
      </c>
      <c r="M1753" s="394" t="e">
        <f ca="1">IF(NOT(OFFSET(Data!E1756,0,MATCH('Delta Beta'!$C$5,Data!$B$4:$Q$4,0)-1)=""),OFFSET(Data!E1756,0,MATCH('Delta Beta'!$C$5,Data!$B$4:$Q$4,0)-1),#N/A)-$C$8/250</f>
        <v>#N/A</v>
      </c>
      <c r="N1753" s="395"/>
      <c r="R1753" s="391"/>
    </row>
    <row r="1754" spans="12:18">
      <c r="L1754" s="394" t="e">
        <f ca="1">IF(NOT(OFFSET(Data!E1757,0,MATCH('Delta Beta'!$C$5,Data!$B$4:$Q$4,0)-3)=""),OFFSET(Data!E1757,0,MATCH('Delta Beta'!$C$5,Data!$B$4:$Q$4,0)-3),#N/A)-$C$8/250</f>
        <v>#N/A</v>
      </c>
      <c r="M1754" s="394" t="e">
        <f ca="1">IF(NOT(OFFSET(Data!E1757,0,MATCH('Delta Beta'!$C$5,Data!$B$4:$Q$4,0)-1)=""),OFFSET(Data!E1757,0,MATCH('Delta Beta'!$C$5,Data!$B$4:$Q$4,0)-1),#N/A)-$C$8/250</f>
        <v>#N/A</v>
      </c>
      <c r="N1754" s="395"/>
      <c r="R1754" s="391"/>
    </row>
    <row r="1755" spans="12:18">
      <c r="L1755" s="394" t="e">
        <f ca="1">IF(NOT(OFFSET(Data!E1758,0,MATCH('Delta Beta'!$C$5,Data!$B$4:$Q$4,0)-3)=""),OFFSET(Data!E1758,0,MATCH('Delta Beta'!$C$5,Data!$B$4:$Q$4,0)-3),#N/A)-$C$8/250</f>
        <v>#N/A</v>
      </c>
      <c r="M1755" s="394" t="e">
        <f ca="1">IF(NOT(OFFSET(Data!E1758,0,MATCH('Delta Beta'!$C$5,Data!$B$4:$Q$4,0)-1)=""),OFFSET(Data!E1758,0,MATCH('Delta Beta'!$C$5,Data!$B$4:$Q$4,0)-1),#N/A)-$C$8/250</f>
        <v>#N/A</v>
      </c>
      <c r="N1755" s="395"/>
      <c r="R1755" s="391"/>
    </row>
    <row r="1756" spans="12:18">
      <c r="L1756" s="394" t="e">
        <f ca="1">IF(NOT(OFFSET(Data!E1759,0,MATCH('Delta Beta'!$C$5,Data!$B$4:$Q$4,0)-3)=""),OFFSET(Data!E1759,0,MATCH('Delta Beta'!$C$5,Data!$B$4:$Q$4,0)-3),#N/A)-$C$8/250</f>
        <v>#N/A</v>
      </c>
      <c r="M1756" s="394" t="e">
        <f ca="1">IF(NOT(OFFSET(Data!E1759,0,MATCH('Delta Beta'!$C$5,Data!$B$4:$Q$4,0)-1)=""),OFFSET(Data!E1759,0,MATCH('Delta Beta'!$C$5,Data!$B$4:$Q$4,0)-1),#N/A)-$C$8/250</f>
        <v>#N/A</v>
      </c>
      <c r="N1756" s="395"/>
      <c r="R1756" s="391"/>
    </row>
    <row r="1757" spans="12:18">
      <c r="L1757" s="394" t="e">
        <f ca="1">IF(NOT(OFFSET(Data!E1760,0,MATCH('Delta Beta'!$C$5,Data!$B$4:$Q$4,0)-3)=""),OFFSET(Data!E1760,0,MATCH('Delta Beta'!$C$5,Data!$B$4:$Q$4,0)-3),#N/A)-$C$8/250</f>
        <v>#N/A</v>
      </c>
      <c r="M1757" s="394" t="e">
        <f ca="1">IF(NOT(OFFSET(Data!E1760,0,MATCH('Delta Beta'!$C$5,Data!$B$4:$Q$4,0)-1)=""),OFFSET(Data!E1760,0,MATCH('Delta Beta'!$C$5,Data!$B$4:$Q$4,0)-1),#N/A)-$C$8/250</f>
        <v>#N/A</v>
      </c>
      <c r="N1757" s="395"/>
      <c r="R1757" s="391"/>
    </row>
    <row r="1758" spans="12:18">
      <c r="L1758" s="394" t="e">
        <f ca="1">IF(NOT(OFFSET(Data!E1761,0,MATCH('Delta Beta'!$C$5,Data!$B$4:$Q$4,0)-3)=""),OFFSET(Data!E1761,0,MATCH('Delta Beta'!$C$5,Data!$B$4:$Q$4,0)-3),#N/A)-$C$8/250</f>
        <v>#N/A</v>
      </c>
      <c r="M1758" s="394" t="e">
        <f ca="1">IF(NOT(OFFSET(Data!E1761,0,MATCH('Delta Beta'!$C$5,Data!$B$4:$Q$4,0)-1)=""),OFFSET(Data!E1761,0,MATCH('Delta Beta'!$C$5,Data!$B$4:$Q$4,0)-1),#N/A)-$C$8/250</f>
        <v>#N/A</v>
      </c>
      <c r="N1758" s="395"/>
      <c r="R1758" s="391"/>
    </row>
    <row r="1759" spans="12:18">
      <c r="L1759" s="394" t="e">
        <f ca="1">IF(NOT(OFFSET(Data!E1762,0,MATCH('Delta Beta'!$C$5,Data!$B$4:$Q$4,0)-3)=""),OFFSET(Data!E1762,0,MATCH('Delta Beta'!$C$5,Data!$B$4:$Q$4,0)-3),#N/A)-$C$8/250</f>
        <v>#N/A</v>
      </c>
      <c r="M1759" s="394" t="e">
        <f ca="1">IF(NOT(OFFSET(Data!E1762,0,MATCH('Delta Beta'!$C$5,Data!$B$4:$Q$4,0)-1)=""),OFFSET(Data!E1762,0,MATCH('Delta Beta'!$C$5,Data!$B$4:$Q$4,0)-1),#N/A)-$C$8/250</f>
        <v>#N/A</v>
      </c>
      <c r="N1759" s="395"/>
      <c r="R1759" s="391"/>
    </row>
    <row r="1760" spans="12:18">
      <c r="L1760" s="394" t="e">
        <f ca="1">IF(NOT(OFFSET(Data!E1763,0,MATCH('Delta Beta'!$C$5,Data!$B$4:$Q$4,0)-3)=""),OFFSET(Data!E1763,0,MATCH('Delta Beta'!$C$5,Data!$B$4:$Q$4,0)-3),#N/A)-$C$8/250</f>
        <v>#N/A</v>
      </c>
      <c r="M1760" s="394" t="e">
        <f ca="1">IF(NOT(OFFSET(Data!E1763,0,MATCH('Delta Beta'!$C$5,Data!$B$4:$Q$4,0)-1)=""),OFFSET(Data!E1763,0,MATCH('Delta Beta'!$C$5,Data!$B$4:$Q$4,0)-1),#N/A)-$C$8/250</f>
        <v>#N/A</v>
      </c>
      <c r="N1760" s="395"/>
      <c r="R1760" s="391"/>
    </row>
    <row r="1761" spans="12:18">
      <c r="L1761" s="394" t="e">
        <f ca="1">IF(NOT(OFFSET(Data!E1764,0,MATCH('Delta Beta'!$C$5,Data!$B$4:$Q$4,0)-3)=""),OFFSET(Data!E1764,0,MATCH('Delta Beta'!$C$5,Data!$B$4:$Q$4,0)-3),#N/A)-$C$8/250</f>
        <v>#N/A</v>
      </c>
      <c r="M1761" s="394" t="e">
        <f ca="1">IF(NOT(OFFSET(Data!E1764,0,MATCH('Delta Beta'!$C$5,Data!$B$4:$Q$4,0)-1)=""),OFFSET(Data!E1764,0,MATCH('Delta Beta'!$C$5,Data!$B$4:$Q$4,0)-1),#N/A)-$C$8/250</f>
        <v>#N/A</v>
      </c>
      <c r="N1761" s="395"/>
      <c r="R1761" s="391"/>
    </row>
    <row r="1762" spans="12:18">
      <c r="L1762" s="394" t="e">
        <f ca="1">IF(NOT(OFFSET(Data!E1765,0,MATCH('Delta Beta'!$C$5,Data!$B$4:$Q$4,0)-3)=""),OFFSET(Data!E1765,0,MATCH('Delta Beta'!$C$5,Data!$B$4:$Q$4,0)-3),#N/A)-$C$8/250</f>
        <v>#N/A</v>
      </c>
      <c r="M1762" s="394" t="e">
        <f ca="1">IF(NOT(OFFSET(Data!E1765,0,MATCH('Delta Beta'!$C$5,Data!$B$4:$Q$4,0)-1)=""),OFFSET(Data!E1765,0,MATCH('Delta Beta'!$C$5,Data!$B$4:$Q$4,0)-1),#N/A)-$C$8/250</f>
        <v>#N/A</v>
      </c>
      <c r="N1762" s="395"/>
      <c r="R1762" s="391"/>
    </row>
    <row r="1763" spans="12:18">
      <c r="L1763" s="394" t="e">
        <f ca="1">IF(NOT(OFFSET(Data!E1766,0,MATCH('Delta Beta'!$C$5,Data!$B$4:$Q$4,0)-3)=""),OFFSET(Data!E1766,0,MATCH('Delta Beta'!$C$5,Data!$B$4:$Q$4,0)-3),#N/A)-$C$8/250</f>
        <v>#N/A</v>
      </c>
      <c r="M1763" s="394" t="e">
        <f ca="1">IF(NOT(OFFSET(Data!E1766,0,MATCH('Delta Beta'!$C$5,Data!$B$4:$Q$4,0)-1)=""),OFFSET(Data!E1766,0,MATCH('Delta Beta'!$C$5,Data!$B$4:$Q$4,0)-1),#N/A)-$C$8/250</f>
        <v>#N/A</v>
      </c>
      <c r="N1763" s="395"/>
      <c r="R1763" s="391"/>
    </row>
    <row r="1764" spans="12:18">
      <c r="L1764" s="394" t="e">
        <f ca="1">IF(NOT(OFFSET(Data!E1767,0,MATCH('Delta Beta'!$C$5,Data!$B$4:$Q$4,0)-3)=""),OFFSET(Data!E1767,0,MATCH('Delta Beta'!$C$5,Data!$B$4:$Q$4,0)-3),#N/A)-$C$8/250</f>
        <v>#N/A</v>
      </c>
      <c r="M1764" s="394" t="e">
        <f ca="1">IF(NOT(OFFSET(Data!E1767,0,MATCH('Delta Beta'!$C$5,Data!$B$4:$Q$4,0)-1)=""),OFFSET(Data!E1767,0,MATCH('Delta Beta'!$C$5,Data!$B$4:$Q$4,0)-1),#N/A)-$C$8/250</f>
        <v>#N/A</v>
      </c>
      <c r="N1764" s="395"/>
      <c r="R1764" s="391"/>
    </row>
    <row r="1765" spans="12:18">
      <c r="L1765" s="394" t="e">
        <f ca="1">IF(NOT(OFFSET(Data!E1768,0,MATCH('Delta Beta'!$C$5,Data!$B$4:$Q$4,0)-3)=""),OFFSET(Data!E1768,0,MATCH('Delta Beta'!$C$5,Data!$B$4:$Q$4,0)-3),#N/A)-$C$8/250</f>
        <v>#N/A</v>
      </c>
      <c r="M1765" s="394" t="e">
        <f ca="1">IF(NOT(OFFSET(Data!E1768,0,MATCH('Delta Beta'!$C$5,Data!$B$4:$Q$4,0)-1)=""),OFFSET(Data!E1768,0,MATCH('Delta Beta'!$C$5,Data!$B$4:$Q$4,0)-1),#N/A)-$C$8/250</f>
        <v>#N/A</v>
      </c>
      <c r="N1765" s="395"/>
      <c r="R1765" s="391"/>
    </row>
    <row r="1766" spans="12:18">
      <c r="L1766" s="394" t="e">
        <f ca="1">IF(NOT(OFFSET(Data!E1769,0,MATCH('Delta Beta'!$C$5,Data!$B$4:$Q$4,0)-3)=""),OFFSET(Data!E1769,0,MATCH('Delta Beta'!$C$5,Data!$B$4:$Q$4,0)-3),#N/A)-$C$8/250</f>
        <v>#N/A</v>
      </c>
      <c r="M1766" s="394" t="e">
        <f ca="1">IF(NOT(OFFSET(Data!E1769,0,MATCH('Delta Beta'!$C$5,Data!$B$4:$Q$4,0)-1)=""),OFFSET(Data!E1769,0,MATCH('Delta Beta'!$C$5,Data!$B$4:$Q$4,0)-1),#N/A)-$C$8/250</f>
        <v>#N/A</v>
      </c>
      <c r="N1766" s="395"/>
      <c r="R1766" s="391"/>
    </row>
    <row r="1767" spans="12:18">
      <c r="L1767" s="394" t="e">
        <f ca="1">IF(NOT(OFFSET(Data!E1770,0,MATCH('Delta Beta'!$C$5,Data!$B$4:$Q$4,0)-3)=""),OFFSET(Data!E1770,0,MATCH('Delta Beta'!$C$5,Data!$B$4:$Q$4,0)-3),#N/A)-$C$8/250</f>
        <v>#N/A</v>
      </c>
      <c r="M1767" s="394" t="e">
        <f ca="1">IF(NOT(OFFSET(Data!E1770,0,MATCH('Delta Beta'!$C$5,Data!$B$4:$Q$4,0)-1)=""),OFFSET(Data!E1770,0,MATCH('Delta Beta'!$C$5,Data!$B$4:$Q$4,0)-1),#N/A)-$C$8/250</f>
        <v>#N/A</v>
      </c>
      <c r="N1767" s="395"/>
      <c r="R1767" s="391"/>
    </row>
    <row r="1768" spans="12:18">
      <c r="L1768" s="394" t="e">
        <f ca="1">IF(NOT(OFFSET(Data!E1771,0,MATCH('Delta Beta'!$C$5,Data!$B$4:$Q$4,0)-3)=""),OFFSET(Data!E1771,0,MATCH('Delta Beta'!$C$5,Data!$B$4:$Q$4,0)-3),#N/A)-$C$8/250</f>
        <v>#N/A</v>
      </c>
      <c r="M1768" s="394" t="e">
        <f ca="1">IF(NOT(OFFSET(Data!E1771,0,MATCH('Delta Beta'!$C$5,Data!$B$4:$Q$4,0)-1)=""),OFFSET(Data!E1771,0,MATCH('Delta Beta'!$C$5,Data!$B$4:$Q$4,0)-1),#N/A)-$C$8/250</f>
        <v>#N/A</v>
      </c>
      <c r="N1768" s="395"/>
      <c r="R1768" s="391"/>
    </row>
    <row r="1769" spans="12:18">
      <c r="L1769" s="394" t="e">
        <f ca="1">IF(NOT(OFFSET(Data!E1772,0,MATCH('Delta Beta'!$C$5,Data!$B$4:$Q$4,0)-3)=""),OFFSET(Data!E1772,0,MATCH('Delta Beta'!$C$5,Data!$B$4:$Q$4,0)-3),#N/A)-$C$8/250</f>
        <v>#N/A</v>
      </c>
      <c r="M1769" s="394" t="e">
        <f ca="1">IF(NOT(OFFSET(Data!E1772,0,MATCH('Delta Beta'!$C$5,Data!$B$4:$Q$4,0)-1)=""),OFFSET(Data!E1772,0,MATCH('Delta Beta'!$C$5,Data!$B$4:$Q$4,0)-1),#N/A)-$C$8/250</f>
        <v>#N/A</v>
      </c>
      <c r="N1769" s="395"/>
      <c r="R1769" s="391"/>
    </row>
    <row r="1770" spans="12:18">
      <c r="L1770" s="394" t="e">
        <f ca="1">IF(NOT(OFFSET(Data!E1773,0,MATCH('Delta Beta'!$C$5,Data!$B$4:$Q$4,0)-3)=""),OFFSET(Data!E1773,0,MATCH('Delta Beta'!$C$5,Data!$B$4:$Q$4,0)-3),#N/A)-$C$8/250</f>
        <v>#N/A</v>
      </c>
      <c r="M1770" s="394" t="e">
        <f ca="1">IF(NOT(OFFSET(Data!E1773,0,MATCH('Delta Beta'!$C$5,Data!$B$4:$Q$4,0)-1)=""),OFFSET(Data!E1773,0,MATCH('Delta Beta'!$C$5,Data!$B$4:$Q$4,0)-1),#N/A)-$C$8/250</f>
        <v>#N/A</v>
      </c>
      <c r="N1770" s="395"/>
      <c r="R1770" s="391"/>
    </row>
    <row r="1771" spans="12:18">
      <c r="L1771" s="394" t="e">
        <f ca="1">IF(NOT(OFFSET(Data!E1774,0,MATCH('Delta Beta'!$C$5,Data!$B$4:$Q$4,0)-3)=""),OFFSET(Data!E1774,0,MATCH('Delta Beta'!$C$5,Data!$B$4:$Q$4,0)-3),#N/A)-$C$8/250</f>
        <v>#N/A</v>
      </c>
      <c r="M1771" s="394" t="e">
        <f ca="1">IF(NOT(OFFSET(Data!E1774,0,MATCH('Delta Beta'!$C$5,Data!$B$4:$Q$4,0)-1)=""),OFFSET(Data!E1774,0,MATCH('Delta Beta'!$C$5,Data!$B$4:$Q$4,0)-1),#N/A)-$C$8/250</f>
        <v>#N/A</v>
      </c>
      <c r="N1771" s="395"/>
      <c r="R1771" s="391"/>
    </row>
    <row r="1772" spans="12:18">
      <c r="L1772" s="394" t="e">
        <f ca="1">IF(NOT(OFFSET(Data!E1775,0,MATCH('Delta Beta'!$C$5,Data!$B$4:$Q$4,0)-3)=""),OFFSET(Data!E1775,0,MATCH('Delta Beta'!$C$5,Data!$B$4:$Q$4,0)-3),#N/A)-$C$8/250</f>
        <v>#N/A</v>
      </c>
      <c r="M1772" s="394" t="e">
        <f ca="1">IF(NOT(OFFSET(Data!E1775,0,MATCH('Delta Beta'!$C$5,Data!$B$4:$Q$4,0)-1)=""),OFFSET(Data!E1775,0,MATCH('Delta Beta'!$C$5,Data!$B$4:$Q$4,0)-1),#N/A)-$C$8/250</f>
        <v>#N/A</v>
      </c>
      <c r="N1772" s="395"/>
      <c r="R1772" s="391"/>
    </row>
    <row r="1773" spans="12:18">
      <c r="L1773" s="394" t="e">
        <f ca="1">IF(NOT(OFFSET(Data!E1776,0,MATCH('Delta Beta'!$C$5,Data!$B$4:$Q$4,0)-3)=""),OFFSET(Data!E1776,0,MATCH('Delta Beta'!$C$5,Data!$B$4:$Q$4,0)-3),#N/A)-$C$8/250</f>
        <v>#N/A</v>
      </c>
      <c r="M1773" s="394" t="e">
        <f ca="1">IF(NOT(OFFSET(Data!E1776,0,MATCH('Delta Beta'!$C$5,Data!$B$4:$Q$4,0)-1)=""),OFFSET(Data!E1776,0,MATCH('Delta Beta'!$C$5,Data!$B$4:$Q$4,0)-1),#N/A)-$C$8/250</f>
        <v>#N/A</v>
      </c>
      <c r="N1773" s="395"/>
      <c r="R1773" s="391"/>
    </row>
    <row r="1774" spans="12:18">
      <c r="L1774" s="394" t="e">
        <f ca="1">IF(NOT(OFFSET(Data!E1777,0,MATCH('Delta Beta'!$C$5,Data!$B$4:$Q$4,0)-3)=""),OFFSET(Data!E1777,0,MATCH('Delta Beta'!$C$5,Data!$B$4:$Q$4,0)-3),#N/A)-$C$8/250</f>
        <v>#N/A</v>
      </c>
      <c r="M1774" s="394" t="e">
        <f ca="1">IF(NOT(OFFSET(Data!E1777,0,MATCH('Delta Beta'!$C$5,Data!$B$4:$Q$4,0)-1)=""),OFFSET(Data!E1777,0,MATCH('Delta Beta'!$C$5,Data!$B$4:$Q$4,0)-1),#N/A)-$C$8/250</f>
        <v>#N/A</v>
      </c>
      <c r="N1774" s="395"/>
      <c r="R1774" s="391"/>
    </row>
    <row r="1775" spans="12:18">
      <c r="L1775" s="394" t="e">
        <f ca="1">IF(NOT(OFFSET(Data!E1778,0,MATCH('Delta Beta'!$C$5,Data!$B$4:$Q$4,0)-3)=""),OFFSET(Data!E1778,0,MATCH('Delta Beta'!$C$5,Data!$B$4:$Q$4,0)-3),#N/A)-$C$8/250</f>
        <v>#N/A</v>
      </c>
      <c r="M1775" s="394" t="e">
        <f ca="1">IF(NOT(OFFSET(Data!E1778,0,MATCH('Delta Beta'!$C$5,Data!$B$4:$Q$4,0)-1)=""),OFFSET(Data!E1778,0,MATCH('Delta Beta'!$C$5,Data!$B$4:$Q$4,0)-1),#N/A)-$C$8/250</f>
        <v>#N/A</v>
      </c>
      <c r="N1775" s="395"/>
      <c r="R1775" s="391"/>
    </row>
    <row r="1776" spans="12:18">
      <c r="L1776" s="394" t="e">
        <f ca="1">IF(NOT(OFFSET(Data!E1779,0,MATCH('Delta Beta'!$C$5,Data!$B$4:$Q$4,0)-3)=""),OFFSET(Data!E1779,0,MATCH('Delta Beta'!$C$5,Data!$B$4:$Q$4,0)-3),#N/A)-$C$8/250</f>
        <v>#N/A</v>
      </c>
      <c r="M1776" s="394" t="e">
        <f ca="1">IF(NOT(OFFSET(Data!E1779,0,MATCH('Delta Beta'!$C$5,Data!$B$4:$Q$4,0)-1)=""),OFFSET(Data!E1779,0,MATCH('Delta Beta'!$C$5,Data!$B$4:$Q$4,0)-1),#N/A)-$C$8/250</f>
        <v>#N/A</v>
      </c>
      <c r="N1776" s="395"/>
      <c r="R1776" s="391"/>
    </row>
    <row r="1777" spans="12:18">
      <c r="L1777" s="394" t="e">
        <f ca="1">IF(NOT(OFFSET(Data!E1780,0,MATCH('Delta Beta'!$C$5,Data!$B$4:$Q$4,0)-3)=""),OFFSET(Data!E1780,0,MATCH('Delta Beta'!$C$5,Data!$B$4:$Q$4,0)-3),#N/A)-$C$8/250</f>
        <v>#N/A</v>
      </c>
      <c r="M1777" s="394" t="e">
        <f ca="1">IF(NOT(OFFSET(Data!E1780,0,MATCH('Delta Beta'!$C$5,Data!$B$4:$Q$4,0)-1)=""),OFFSET(Data!E1780,0,MATCH('Delta Beta'!$C$5,Data!$B$4:$Q$4,0)-1),#N/A)-$C$8/250</f>
        <v>#N/A</v>
      </c>
      <c r="N1777" s="395"/>
      <c r="R1777" s="391"/>
    </row>
    <row r="1778" spans="12:18">
      <c r="L1778" s="394" t="e">
        <f ca="1">IF(NOT(OFFSET(Data!E1781,0,MATCH('Delta Beta'!$C$5,Data!$B$4:$Q$4,0)-3)=""),OFFSET(Data!E1781,0,MATCH('Delta Beta'!$C$5,Data!$B$4:$Q$4,0)-3),#N/A)-$C$8/250</f>
        <v>#N/A</v>
      </c>
      <c r="M1778" s="394" t="e">
        <f ca="1">IF(NOT(OFFSET(Data!E1781,0,MATCH('Delta Beta'!$C$5,Data!$B$4:$Q$4,0)-1)=""),OFFSET(Data!E1781,0,MATCH('Delta Beta'!$C$5,Data!$B$4:$Q$4,0)-1),#N/A)-$C$8/250</f>
        <v>#N/A</v>
      </c>
      <c r="N1778" s="395"/>
      <c r="R1778" s="391"/>
    </row>
    <row r="1779" spans="12:18">
      <c r="L1779" s="394" t="e">
        <f ca="1">IF(NOT(OFFSET(Data!E1782,0,MATCH('Delta Beta'!$C$5,Data!$B$4:$Q$4,0)-3)=""),OFFSET(Data!E1782,0,MATCH('Delta Beta'!$C$5,Data!$B$4:$Q$4,0)-3),#N/A)-$C$8/250</f>
        <v>#N/A</v>
      </c>
      <c r="M1779" s="394" t="e">
        <f ca="1">IF(NOT(OFFSET(Data!E1782,0,MATCH('Delta Beta'!$C$5,Data!$B$4:$Q$4,0)-1)=""),OFFSET(Data!E1782,0,MATCH('Delta Beta'!$C$5,Data!$B$4:$Q$4,0)-1),#N/A)-$C$8/250</f>
        <v>#N/A</v>
      </c>
      <c r="N1779" s="395"/>
      <c r="R1779" s="391"/>
    </row>
    <row r="1780" spans="12:18">
      <c r="L1780" s="394" t="e">
        <f ca="1">IF(NOT(OFFSET(Data!E1783,0,MATCH('Delta Beta'!$C$5,Data!$B$4:$Q$4,0)-3)=""),OFFSET(Data!E1783,0,MATCH('Delta Beta'!$C$5,Data!$B$4:$Q$4,0)-3),#N/A)-$C$8/250</f>
        <v>#N/A</v>
      </c>
      <c r="M1780" s="394" t="e">
        <f ca="1">IF(NOT(OFFSET(Data!E1783,0,MATCH('Delta Beta'!$C$5,Data!$B$4:$Q$4,0)-1)=""),OFFSET(Data!E1783,0,MATCH('Delta Beta'!$C$5,Data!$B$4:$Q$4,0)-1),#N/A)-$C$8/250</f>
        <v>#N/A</v>
      </c>
      <c r="N1780" s="395"/>
      <c r="R1780" s="391"/>
    </row>
    <row r="1781" spans="12:18">
      <c r="L1781" s="394" t="e">
        <f ca="1">IF(NOT(OFFSET(Data!E1784,0,MATCH('Delta Beta'!$C$5,Data!$B$4:$Q$4,0)-3)=""),OFFSET(Data!E1784,0,MATCH('Delta Beta'!$C$5,Data!$B$4:$Q$4,0)-3),#N/A)-$C$8/250</f>
        <v>#N/A</v>
      </c>
      <c r="M1781" s="394" t="e">
        <f ca="1">IF(NOT(OFFSET(Data!E1784,0,MATCH('Delta Beta'!$C$5,Data!$B$4:$Q$4,0)-1)=""),OFFSET(Data!E1784,0,MATCH('Delta Beta'!$C$5,Data!$B$4:$Q$4,0)-1),#N/A)-$C$8/250</f>
        <v>#N/A</v>
      </c>
      <c r="N1781" s="395"/>
      <c r="R1781" s="391"/>
    </row>
    <row r="1782" spans="12:18">
      <c r="L1782" s="394" t="e">
        <f ca="1">IF(NOT(OFFSET(Data!E1785,0,MATCH('Delta Beta'!$C$5,Data!$B$4:$Q$4,0)-3)=""),OFFSET(Data!E1785,0,MATCH('Delta Beta'!$C$5,Data!$B$4:$Q$4,0)-3),#N/A)-$C$8/250</f>
        <v>#N/A</v>
      </c>
      <c r="M1782" s="394" t="e">
        <f ca="1">IF(NOT(OFFSET(Data!E1785,0,MATCH('Delta Beta'!$C$5,Data!$B$4:$Q$4,0)-1)=""),OFFSET(Data!E1785,0,MATCH('Delta Beta'!$C$5,Data!$B$4:$Q$4,0)-1),#N/A)-$C$8/250</f>
        <v>#N/A</v>
      </c>
      <c r="N1782" s="395"/>
      <c r="R1782" s="391"/>
    </row>
    <row r="1783" spans="12:18">
      <c r="L1783" s="394" t="e">
        <f ca="1">IF(NOT(OFFSET(Data!E1786,0,MATCH('Delta Beta'!$C$5,Data!$B$4:$Q$4,0)-3)=""),OFFSET(Data!E1786,0,MATCH('Delta Beta'!$C$5,Data!$B$4:$Q$4,0)-3),#N/A)-$C$8/250</f>
        <v>#N/A</v>
      </c>
      <c r="M1783" s="394" t="e">
        <f ca="1">IF(NOT(OFFSET(Data!E1786,0,MATCH('Delta Beta'!$C$5,Data!$B$4:$Q$4,0)-1)=""),OFFSET(Data!E1786,0,MATCH('Delta Beta'!$C$5,Data!$B$4:$Q$4,0)-1),#N/A)-$C$8/250</f>
        <v>#N/A</v>
      </c>
      <c r="N1783" s="395"/>
      <c r="R1783" s="391"/>
    </row>
    <row r="1784" spans="12:18">
      <c r="L1784" s="394" t="e">
        <f ca="1">IF(NOT(OFFSET(Data!E1787,0,MATCH('Delta Beta'!$C$5,Data!$B$4:$Q$4,0)-3)=""),OFFSET(Data!E1787,0,MATCH('Delta Beta'!$C$5,Data!$B$4:$Q$4,0)-3),#N/A)-$C$8/250</f>
        <v>#N/A</v>
      </c>
      <c r="M1784" s="394" t="e">
        <f ca="1">IF(NOT(OFFSET(Data!E1787,0,MATCH('Delta Beta'!$C$5,Data!$B$4:$Q$4,0)-1)=""),OFFSET(Data!E1787,0,MATCH('Delta Beta'!$C$5,Data!$B$4:$Q$4,0)-1),#N/A)-$C$8/250</f>
        <v>#N/A</v>
      </c>
      <c r="N1784" s="395"/>
      <c r="R1784" s="391"/>
    </row>
    <row r="1785" spans="12:18">
      <c r="L1785" s="394" t="e">
        <f ca="1">IF(NOT(OFFSET(Data!E1788,0,MATCH('Delta Beta'!$C$5,Data!$B$4:$Q$4,0)-3)=""),OFFSET(Data!E1788,0,MATCH('Delta Beta'!$C$5,Data!$B$4:$Q$4,0)-3),#N/A)-$C$8/250</f>
        <v>#N/A</v>
      </c>
      <c r="M1785" s="394" t="e">
        <f ca="1">IF(NOT(OFFSET(Data!E1788,0,MATCH('Delta Beta'!$C$5,Data!$B$4:$Q$4,0)-1)=""),OFFSET(Data!E1788,0,MATCH('Delta Beta'!$C$5,Data!$B$4:$Q$4,0)-1),#N/A)-$C$8/250</f>
        <v>#N/A</v>
      </c>
      <c r="N1785" s="395"/>
      <c r="R1785" s="391"/>
    </row>
    <row r="1786" spans="12:18">
      <c r="L1786" s="394" t="e">
        <f ca="1">IF(NOT(OFFSET(Data!E1789,0,MATCH('Delta Beta'!$C$5,Data!$B$4:$Q$4,0)-3)=""),OFFSET(Data!E1789,0,MATCH('Delta Beta'!$C$5,Data!$B$4:$Q$4,0)-3),#N/A)-$C$8/250</f>
        <v>#N/A</v>
      </c>
      <c r="M1786" s="394" t="e">
        <f ca="1">IF(NOT(OFFSET(Data!E1789,0,MATCH('Delta Beta'!$C$5,Data!$B$4:$Q$4,0)-1)=""),OFFSET(Data!E1789,0,MATCH('Delta Beta'!$C$5,Data!$B$4:$Q$4,0)-1),#N/A)-$C$8/250</f>
        <v>#N/A</v>
      </c>
      <c r="N1786" s="395"/>
      <c r="R1786" s="391"/>
    </row>
    <row r="1787" spans="12:18">
      <c r="L1787" s="394" t="e">
        <f ca="1">IF(NOT(OFFSET(Data!E1790,0,MATCH('Delta Beta'!$C$5,Data!$B$4:$Q$4,0)-3)=""),OFFSET(Data!E1790,0,MATCH('Delta Beta'!$C$5,Data!$B$4:$Q$4,0)-3),#N/A)-$C$8/250</f>
        <v>#N/A</v>
      </c>
      <c r="M1787" s="394" t="e">
        <f ca="1">IF(NOT(OFFSET(Data!E1790,0,MATCH('Delta Beta'!$C$5,Data!$B$4:$Q$4,0)-1)=""),OFFSET(Data!E1790,0,MATCH('Delta Beta'!$C$5,Data!$B$4:$Q$4,0)-1),#N/A)-$C$8/250</f>
        <v>#N/A</v>
      </c>
      <c r="N1787" s="395"/>
      <c r="R1787" s="391"/>
    </row>
    <row r="1788" spans="12:18">
      <c r="L1788" s="394" t="e">
        <f ca="1">IF(NOT(OFFSET(Data!E1791,0,MATCH('Delta Beta'!$C$5,Data!$B$4:$Q$4,0)-3)=""),OFFSET(Data!E1791,0,MATCH('Delta Beta'!$C$5,Data!$B$4:$Q$4,0)-3),#N/A)-$C$8/250</f>
        <v>#N/A</v>
      </c>
      <c r="M1788" s="394" t="e">
        <f ca="1">IF(NOT(OFFSET(Data!E1791,0,MATCH('Delta Beta'!$C$5,Data!$B$4:$Q$4,0)-1)=""),OFFSET(Data!E1791,0,MATCH('Delta Beta'!$C$5,Data!$B$4:$Q$4,0)-1),#N/A)-$C$8/250</f>
        <v>#N/A</v>
      </c>
      <c r="N1788" s="395"/>
      <c r="R1788" s="391"/>
    </row>
    <row r="1789" spans="12:18">
      <c r="L1789" s="394" t="e">
        <f ca="1">IF(NOT(OFFSET(Data!E1792,0,MATCH('Delta Beta'!$C$5,Data!$B$4:$Q$4,0)-3)=""),OFFSET(Data!E1792,0,MATCH('Delta Beta'!$C$5,Data!$B$4:$Q$4,0)-3),#N/A)-$C$8/250</f>
        <v>#N/A</v>
      </c>
      <c r="M1789" s="394" t="e">
        <f ca="1">IF(NOT(OFFSET(Data!E1792,0,MATCH('Delta Beta'!$C$5,Data!$B$4:$Q$4,0)-1)=""),OFFSET(Data!E1792,0,MATCH('Delta Beta'!$C$5,Data!$B$4:$Q$4,0)-1),#N/A)-$C$8/250</f>
        <v>#N/A</v>
      </c>
      <c r="N1789" s="395"/>
      <c r="R1789" s="391"/>
    </row>
    <row r="1790" spans="12:18">
      <c r="L1790" s="394" t="e">
        <f ca="1">IF(NOT(OFFSET(Data!E1793,0,MATCH('Delta Beta'!$C$5,Data!$B$4:$Q$4,0)-3)=""),OFFSET(Data!E1793,0,MATCH('Delta Beta'!$C$5,Data!$B$4:$Q$4,0)-3),#N/A)-$C$8/250</f>
        <v>#N/A</v>
      </c>
      <c r="M1790" s="394" t="e">
        <f ca="1">IF(NOT(OFFSET(Data!E1793,0,MATCH('Delta Beta'!$C$5,Data!$B$4:$Q$4,0)-1)=""),OFFSET(Data!E1793,0,MATCH('Delta Beta'!$C$5,Data!$B$4:$Q$4,0)-1),#N/A)-$C$8/250</f>
        <v>#N/A</v>
      </c>
      <c r="N1790" s="395"/>
      <c r="R1790" s="391"/>
    </row>
    <row r="1791" spans="12:18">
      <c r="L1791" s="394" t="e">
        <f ca="1">IF(NOT(OFFSET(Data!E1794,0,MATCH('Delta Beta'!$C$5,Data!$B$4:$Q$4,0)-3)=""),OFFSET(Data!E1794,0,MATCH('Delta Beta'!$C$5,Data!$B$4:$Q$4,0)-3),#N/A)-$C$8/250</f>
        <v>#N/A</v>
      </c>
      <c r="M1791" s="394" t="e">
        <f ca="1">IF(NOT(OFFSET(Data!E1794,0,MATCH('Delta Beta'!$C$5,Data!$B$4:$Q$4,0)-1)=""),OFFSET(Data!E1794,0,MATCH('Delta Beta'!$C$5,Data!$B$4:$Q$4,0)-1),#N/A)-$C$8/250</f>
        <v>#N/A</v>
      </c>
      <c r="N1791" s="395"/>
      <c r="R1791" s="391"/>
    </row>
    <row r="1792" spans="12:18">
      <c r="L1792" s="394" t="e">
        <f ca="1">IF(NOT(OFFSET(Data!E1795,0,MATCH('Delta Beta'!$C$5,Data!$B$4:$Q$4,0)-3)=""),OFFSET(Data!E1795,0,MATCH('Delta Beta'!$C$5,Data!$B$4:$Q$4,0)-3),#N/A)-$C$8/250</f>
        <v>#N/A</v>
      </c>
      <c r="M1792" s="394" t="e">
        <f ca="1">IF(NOT(OFFSET(Data!E1795,0,MATCH('Delta Beta'!$C$5,Data!$B$4:$Q$4,0)-1)=""),OFFSET(Data!E1795,0,MATCH('Delta Beta'!$C$5,Data!$B$4:$Q$4,0)-1),#N/A)-$C$8/250</f>
        <v>#N/A</v>
      </c>
      <c r="N1792" s="395"/>
      <c r="R1792" s="391"/>
    </row>
    <row r="1793" spans="12:18">
      <c r="L1793" s="394" t="e">
        <f ca="1">IF(NOT(OFFSET(Data!E1796,0,MATCH('Delta Beta'!$C$5,Data!$B$4:$Q$4,0)-3)=""),OFFSET(Data!E1796,0,MATCH('Delta Beta'!$C$5,Data!$B$4:$Q$4,0)-3),#N/A)-$C$8/250</f>
        <v>#N/A</v>
      </c>
      <c r="M1793" s="394" t="e">
        <f ca="1">IF(NOT(OFFSET(Data!E1796,0,MATCH('Delta Beta'!$C$5,Data!$B$4:$Q$4,0)-1)=""),OFFSET(Data!E1796,0,MATCH('Delta Beta'!$C$5,Data!$B$4:$Q$4,0)-1),#N/A)-$C$8/250</f>
        <v>#N/A</v>
      </c>
      <c r="N1793" s="395"/>
      <c r="R1793" s="391"/>
    </row>
    <row r="1794" spans="12:18">
      <c r="L1794" s="394" t="e">
        <f ca="1">IF(NOT(OFFSET(Data!E1797,0,MATCH('Delta Beta'!$C$5,Data!$B$4:$Q$4,0)-3)=""),OFFSET(Data!E1797,0,MATCH('Delta Beta'!$C$5,Data!$B$4:$Q$4,0)-3),#N/A)-$C$8/250</f>
        <v>#N/A</v>
      </c>
      <c r="M1794" s="394" t="e">
        <f ca="1">IF(NOT(OFFSET(Data!E1797,0,MATCH('Delta Beta'!$C$5,Data!$B$4:$Q$4,0)-1)=""),OFFSET(Data!E1797,0,MATCH('Delta Beta'!$C$5,Data!$B$4:$Q$4,0)-1),#N/A)-$C$8/250</f>
        <v>#N/A</v>
      </c>
      <c r="N1794" s="395"/>
      <c r="R1794" s="391"/>
    </row>
    <row r="1795" spans="12:18">
      <c r="L1795" s="394" t="e">
        <f ca="1">IF(NOT(OFFSET(Data!E1798,0,MATCH('Delta Beta'!$C$5,Data!$B$4:$Q$4,0)-3)=""),OFFSET(Data!E1798,0,MATCH('Delta Beta'!$C$5,Data!$B$4:$Q$4,0)-3),#N/A)-$C$8/250</f>
        <v>#N/A</v>
      </c>
      <c r="M1795" s="394" t="e">
        <f ca="1">IF(NOT(OFFSET(Data!E1798,0,MATCH('Delta Beta'!$C$5,Data!$B$4:$Q$4,0)-1)=""),OFFSET(Data!E1798,0,MATCH('Delta Beta'!$C$5,Data!$B$4:$Q$4,0)-1),#N/A)-$C$8/250</f>
        <v>#N/A</v>
      </c>
      <c r="N1795" s="395"/>
      <c r="R1795" s="391"/>
    </row>
    <row r="1796" spans="12:18">
      <c r="L1796" s="394" t="e">
        <f ca="1">IF(NOT(OFFSET(Data!E1799,0,MATCH('Delta Beta'!$C$5,Data!$B$4:$Q$4,0)-3)=""),OFFSET(Data!E1799,0,MATCH('Delta Beta'!$C$5,Data!$B$4:$Q$4,0)-3),#N/A)-$C$8/250</f>
        <v>#N/A</v>
      </c>
      <c r="M1796" s="394" t="e">
        <f ca="1">IF(NOT(OFFSET(Data!E1799,0,MATCH('Delta Beta'!$C$5,Data!$B$4:$Q$4,0)-1)=""),OFFSET(Data!E1799,0,MATCH('Delta Beta'!$C$5,Data!$B$4:$Q$4,0)-1),#N/A)-$C$8/250</f>
        <v>#N/A</v>
      </c>
      <c r="N1796" s="395"/>
      <c r="R1796" s="391"/>
    </row>
    <row r="1797" spans="12:18">
      <c r="L1797" s="394" t="e">
        <f ca="1">IF(NOT(OFFSET(Data!E1800,0,MATCH('Delta Beta'!$C$5,Data!$B$4:$Q$4,0)-3)=""),OFFSET(Data!E1800,0,MATCH('Delta Beta'!$C$5,Data!$B$4:$Q$4,0)-3),#N/A)-$C$8/250</f>
        <v>#N/A</v>
      </c>
      <c r="M1797" s="394" t="e">
        <f ca="1">IF(NOT(OFFSET(Data!E1800,0,MATCH('Delta Beta'!$C$5,Data!$B$4:$Q$4,0)-1)=""),OFFSET(Data!E1800,0,MATCH('Delta Beta'!$C$5,Data!$B$4:$Q$4,0)-1),#N/A)-$C$8/250</f>
        <v>#N/A</v>
      </c>
      <c r="N1797" s="395"/>
      <c r="R1797" s="391"/>
    </row>
    <row r="1798" spans="12:18">
      <c r="L1798" s="394" t="e">
        <f ca="1">IF(NOT(OFFSET(Data!E1801,0,MATCH('Delta Beta'!$C$5,Data!$B$4:$Q$4,0)-3)=""),OFFSET(Data!E1801,0,MATCH('Delta Beta'!$C$5,Data!$B$4:$Q$4,0)-3),#N/A)-$C$8/250</f>
        <v>#N/A</v>
      </c>
      <c r="M1798" s="394" t="e">
        <f ca="1">IF(NOT(OFFSET(Data!E1801,0,MATCH('Delta Beta'!$C$5,Data!$B$4:$Q$4,0)-1)=""),OFFSET(Data!E1801,0,MATCH('Delta Beta'!$C$5,Data!$B$4:$Q$4,0)-1),#N/A)-$C$8/250</f>
        <v>#N/A</v>
      </c>
      <c r="N1798" s="395"/>
      <c r="R1798" s="391"/>
    </row>
    <row r="1799" spans="12:18">
      <c r="L1799" s="394" t="e">
        <f ca="1">IF(NOT(OFFSET(Data!E1802,0,MATCH('Delta Beta'!$C$5,Data!$B$4:$Q$4,0)-3)=""),OFFSET(Data!E1802,0,MATCH('Delta Beta'!$C$5,Data!$B$4:$Q$4,0)-3),#N/A)-$C$8/250</f>
        <v>#N/A</v>
      </c>
      <c r="M1799" s="394" t="e">
        <f ca="1">IF(NOT(OFFSET(Data!E1802,0,MATCH('Delta Beta'!$C$5,Data!$B$4:$Q$4,0)-1)=""),OFFSET(Data!E1802,0,MATCH('Delta Beta'!$C$5,Data!$B$4:$Q$4,0)-1),#N/A)-$C$8/250</f>
        <v>#N/A</v>
      </c>
      <c r="N1799" s="395"/>
      <c r="R1799" s="391"/>
    </row>
    <row r="1800" spans="12:18">
      <c r="L1800" s="394" t="e">
        <f ca="1">IF(NOT(OFFSET(Data!E1803,0,MATCH('Delta Beta'!$C$5,Data!$B$4:$Q$4,0)-3)=""),OFFSET(Data!E1803,0,MATCH('Delta Beta'!$C$5,Data!$B$4:$Q$4,0)-3),#N/A)-$C$8/250</f>
        <v>#N/A</v>
      </c>
      <c r="M1800" s="394" t="e">
        <f ca="1">IF(NOT(OFFSET(Data!E1803,0,MATCH('Delta Beta'!$C$5,Data!$B$4:$Q$4,0)-1)=""),OFFSET(Data!E1803,0,MATCH('Delta Beta'!$C$5,Data!$B$4:$Q$4,0)-1),#N/A)-$C$8/250</f>
        <v>#N/A</v>
      </c>
      <c r="N1800" s="395"/>
      <c r="R1800" s="391"/>
    </row>
    <row r="1801" spans="12:18">
      <c r="L1801" s="394" t="e">
        <f ca="1">IF(NOT(OFFSET(Data!E1804,0,MATCH('Delta Beta'!$C$5,Data!$B$4:$Q$4,0)-3)=""),OFFSET(Data!E1804,0,MATCH('Delta Beta'!$C$5,Data!$B$4:$Q$4,0)-3),#N/A)-$C$8/250</f>
        <v>#N/A</v>
      </c>
      <c r="M1801" s="394" t="e">
        <f ca="1">IF(NOT(OFFSET(Data!E1804,0,MATCH('Delta Beta'!$C$5,Data!$B$4:$Q$4,0)-1)=""),OFFSET(Data!E1804,0,MATCH('Delta Beta'!$C$5,Data!$B$4:$Q$4,0)-1),#N/A)-$C$8/250</f>
        <v>#N/A</v>
      </c>
      <c r="N1801" s="395"/>
      <c r="R1801" s="391"/>
    </row>
    <row r="1802" spans="12:18">
      <c r="L1802" s="394" t="e">
        <f ca="1">IF(NOT(OFFSET(Data!E1805,0,MATCH('Delta Beta'!$C$5,Data!$B$4:$Q$4,0)-3)=""),OFFSET(Data!E1805,0,MATCH('Delta Beta'!$C$5,Data!$B$4:$Q$4,0)-3),#N/A)-$C$8/250</f>
        <v>#N/A</v>
      </c>
      <c r="M1802" s="394" t="e">
        <f ca="1">IF(NOT(OFFSET(Data!E1805,0,MATCH('Delta Beta'!$C$5,Data!$B$4:$Q$4,0)-1)=""),OFFSET(Data!E1805,0,MATCH('Delta Beta'!$C$5,Data!$B$4:$Q$4,0)-1),#N/A)-$C$8/250</f>
        <v>#N/A</v>
      </c>
      <c r="N1802" s="395"/>
      <c r="R1802" s="391"/>
    </row>
    <row r="1803" spans="12:18">
      <c r="L1803" s="394" t="e">
        <f ca="1">IF(NOT(OFFSET(Data!E1806,0,MATCH('Delta Beta'!$C$5,Data!$B$4:$Q$4,0)-3)=""),OFFSET(Data!E1806,0,MATCH('Delta Beta'!$C$5,Data!$B$4:$Q$4,0)-3),#N/A)-$C$8/250</f>
        <v>#N/A</v>
      </c>
      <c r="M1803" s="394" t="e">
        <f ca="1">IF(NOT(OFFSET(Data!E1806,0,MATCH('Delta Beta'!$C$5,Data!$B$4:$Q$4,0)-1)=""),OFFSET(Data!E1806,0,MATCH('Delta Beta'!$C$5,Data!$B$4:$Q$4,0)-1),#N/A)-$C$8/250</f>
        <v>#N/A</v>
      </c>
      <c r="N1803" s="395"/>
      <c r="R1803" s="391"/>
    </row>
    <row r="1804" spans="12:18">
      <c r="L1804" s="394" t="e">
        <f ca="1">IF(NOT(OFFSET(Data!E1807,0,MATCH('Delta Beta'!$C$5,Data!$B$4:$Q$4,0)-3)=""),OFFSET(Data!E1807,0,MATCH('Delta Beta'!$C$5,Data!$B$4:$Q$4,0)-3),#N/A)-$C$8/250</f>
        <v>#N/A</v>
      </c>
      <c r="M1804" s="394" t="e">
        <f ca="1">IF(NOT(OFFSET(Data!E1807,0,MATCH('Delta Beta'!$C$5,Data!$B$4:$Q$4,0)-1)=""),OFFSET(Data!E1807,0,MATCH('Delta Beta'!$C$5,Data!$B$4:$Q$4,0)-1),#N/A)-$C$8/250</f>
        <v>#N/A</v>
      </c>
      <c r="N1804" s="395"/>
      <c r="R1804" s="391"/>
    </row>
    <row r="1805" spans="12:18">
      <c r="L1805" s="394" t="e">
        <f ca="1">IF(NOT(OFFSET(Data!E1808,0,MATCH('Delta Beta'!$C$5,Data!$B$4:$Q$4,0)-3)=""),OFFSET(Data!E1808,0,MATCH('Delta Beta'!$C$5,Data!$B$4:$Q$4,0)-3),#N/A)-$C$8/250</f>
        <v>#N/A</v>
      </c>
      <c r="M1805" s="394" t="e">
        <f ca="1">IF(NOT(OFFSET(Data!E1808,0,MATCH('Delta Beta'!$C$5,Data!$B$4:$Q$4,0)-1)=""),OFFSET(Data!E1808,0,MATCH('Delta Beta'!$C$5,Data!$B$4:$Q$4,0)-1),#N/A)-$C$8/250</f>
        <v>#N/A</v>
      </c>
      <c r="N1805" s="395"/>
      <c r="R1805" s="391"/>
    </row>
    <row r="1806" spans="12:18">
      <c r="L1806" s="394" t="e">
        <f ca="1">IF(NOT(OFFSET(Data!E1809,0,MATCH('Delta Beta'!$C$5,Data!$B$4:$Q$4,0)-3)=""),OFFSET(Data!E1809,0,MATCH('Delta Beta'!$C$5,Data!$B$4:$Q$4,0)-3),#N/A)-$C$8/250</f>
        <v>#N/A</v>
      </c>
      <c r="M1806" s="394" t="e">
        <f ca="1">IF(NOT(OFFSET(Data!E1809,0,MATCH('Delta Beta'!$C$5,Data!$B$4:$Q$4,0)-1)=""),OFFSET(Data!E1809,0,MATCH('Delta Beta'!$C$5,Data!$B$4:$Q$4,0)-1),#N/A)-$C$8/250</f>
        <v>#N/A</v>
      </c>
      <c r="N1806" s="395"/>
      <c r="R1806" s="391"/>
    </row>
    <row r="1807" spans="12:18">
      <c r="L1807" s="394" t="e">
        <f ca="1">IF(NOT(OFFSET(Data!E1810,0,MATCH('Delta Beta'!$C$5,Data!$B$4:$Q$4,0)-3)=""),OFFSET(Data!E1810,0,MATCH('Delta Beta'!$C$5,Data!$B$4:$Q$4,0)-3),#N/A)-$C$8/250</f>
        <v>#N/A</v>
      </c>
      <c r="M1807" s="394" t="e">
        <f ca="1">IF(NOT(OFFSET(Data!E1810,0,MATCH('Delta Beta'!$C$5,Data!$B$4:$Q$4,0)-1)=""),OFFSET(Data!E1810,0,MATCH('Delta Beta'!$C$5,Data!$B$4:$Q$4,0)-1),#N/A)-$C$8/250</f>
        <v>#N/A</v>
      </c>
      <c r="N1807" s="395"/>
      <c r="R1807" s="391"/>
    </row>
    <row r="1808" spans="12:18">
      <c r="L1808" s="394" t="e">
        <f ca="1">IF(NOT(OFFSET(Data!E1811,0,MATCH('Delta Beta'!$C$5,Data!$B$4:$Q$4,0)-3)=""),OFFSET(Data!E1811,0,MATCH('Delta Beta'!$C$5,Data!$B$4:$Q$4,0)-3),#N/A)-$C$8/250</f>
        <v>#N/A</v>
      </c>
      <c r="M1808" s="394" t="e">
        <f ca="1">IF(NOT(OFFSET(Data!E1811,0,MATCH('Delta Beta'!$C$5,Data!$B$4:$Q$4,0)-1)=""),OFFSET(Data!E1811,0,MATCH('Delta Beta'!$C$5,Data!$B$4:$Q$4,0)-1),#N/A)-$C$8/250</f>
        <v>#N/A</v>
      </c>
      <c r="N1808" s="395"/>
      <c r="R1808" s="391"/>
    </row>
    <row r="1809" spans="12:18">
      <c r="L1809" s="394" t="e">
        <f ca="1">IF(NOT(OFFSET(Data!E1812,0,MATCH('Delta Beta'!$C$5,Data!$B$4:$Q$4,0)-3)=""),OFFSET(Data!E1812,0,MATCH('Delta Beta'!$C$5,Data!$B$4:$Q$4,0)-3),#N/A)-$C$8/250</f>
        <v>#N/A</v>
      </c>
      <c r="M1809" s="394" t="e">
        <f ca="1">IF(NOT(OFFSET(Data!E1812,0,MATCH('Delta Beta'!$C$5,Data!$B$4:$Q$4,0)-1)=""),OFFSET(Data!E1812,0,MATCH('Delta Beta'!$C$5,Data!$B$4:$Q$4,0)-1),#N/A)-$C$8/250</f>
        <v>#N/A</v>
      </c>
      <c r="N1809" s="395"/>
      <c r="R1809" s="391"/>
    </row>
    <row r="1810" spans="12:18">
      <c r="L1810" s="394" t="e">
        <f ca="1">IF(NOT(OFFSET(Data!E1813,0,MATCH('Delta Beta'!$C$5,Data!$B$4:$Q$4,0)-3)=""),OFFSET(Data!E1813,0,MATCH('Delta Beta'!$C$5,Data!$B$4:$Q$4,0)-3),#N/A)-$C$8/250</f>
        <v>#N/A</v>
      </c>
      <c r="M1810" s="394" t="e">
        <f ca="1">IF(NOT(OFFSET(Data!E1813,0,MATCH('Delta Beta'!$C$5,Data!$B$4:$Q$4,0)-1)=""),OFFSET(Data!E1813,0,MATCH('Delta Beta'!$C$5,Data!$B$4:$Q$4,0)-1),#N/A)-$C$8/250</f>
        <v>#N/A</v>
      </c>
      <c r="N1810" s="395"/>
      <c r="R1810" s="391"/>
    </row>
    <row r="1811" spans="12:18">
      <c r="L1811" s="394" t="e">
        <f ca="1">IF(NOT(OFFSET(Data!E1814,0,MATCH('Delta Beta'!$C$5,Data!$B$4:$Q$4,0)-3)=""),OFFSET(Data!E1814,0,MATCH('Delta Beta'!$C$5,Data!$B$4:$Q$4,0)-3),#N/A)-$C$8/250</f>
        <v>#N/A</v>
      </c>
      <c r="M1811" s="394" t="e">
        <f ca="1">IF(NOT(OFFSET(Data!E1814,0,MATCH('Delta Beta'!$C$5,Data!$B$4:$Q$4,0)-1)=""),OFFSET(Data!E1814,0,MATCH('Delta Beta'!$C$5,Data!$B$4:$Q$4,0)-1),#N/A)-$C$8/250</f>
        <v>#N/A</v>
      </c>
      <c r="N1811" s="395"/>
      <c r="R1811" s="391"/>
    </row>
    <row r="1812" spans="12:18">
      <c r="L1812" s="394" t="e">
        <f ca="1">IF(NOT(OFFSET(Data!E1815,0,MATCH('Delta Beta'!$C$5,Data!$B$4:$Q$4,0)-3)=""),OFFSET(Data!E1815,0,MATCH('Delta Beta'!$C$5,Data!$B$4:$Q$4,0)-3),#N/A)-$C$8/250</f>
        <v>#N/A</v>
      </c>
      <c r="M1812" s="394" t="e">
        <f ca="1">IF(NOT(OFFSET(Data!E1815,0,MATCH('Delta Beta'!$C$5,Data!$B$4:$Q$4,0)-1)=""),OFFSET(Data!E1815,0,MATCH('Delta Beta'!$C$5,Data!$B$4:$Q$4,0)-1),#N/A)-$C$8/250</f>
        <v>#N/A</v>
      </c>
      <c r="N1812" s="395"/>
      <c r="R1812" s="391"/>
    </row>
    <row r="1813" spans="12:18">
      <c r="L1813" s="394" t="e">
        <f ca="1">IF(NOT(OFFSET(Data!E1816,0,MATCH('Delta Beta'!$C$5,Data!$B$4:$Q$4,0)-3)=""),OFFSET(Data!E1816,0,MATCH('Delta Beta'!$C$5,Data!$B$4:$Q$4,0)-3),#N/A)-$C$8/250</f>
        <v>#N/A</v>
      </c>
      <c r="M1813" s="394" t="e">
        <f ca="1">IF(NOT(OFFSET(Data!E1816,0,MATCH('Delta Beta'!$C$5,Data!$B$4:$Q$4,0)-1)=""),OFFSET(Data!E1816,0,MATCH('Delta Beta'!$C$5,Data!$B$4:$Q$4,0)-1),#N/A)-$C$8/250</f>
        <v>#N/A</v>
      </c>
      <c r="N1813" s="395"/>
      <c r="R1813" s="391"/>
    </row>
    <row r="1814" spans="12:18">
      <c r="L1814" s="394" t="e">
        <f ca="1">IF(NOT(OFFSET(Data!E1817,0,MATCH('Delta Beta'!$C$5,Data!$B$4:$Q$4,0)-3)=""),OFFSET(Data!E1817,0,MATCH('Delta Beta'!$C$5,Data!$B$4:$Q$4,0)-3),#N/A)-$C$8/250</f>
        <v>#N/A</v>
      </c>
      <c r="M1814" s="394" t="e">
        <f ca="1">IF(NOT(OFFSET(Data!E1817,0,MATCH('Delta Beta'!$C$5,Data!$B$4:$Q$4,0)-1)=""),OFFSET(Data!E1817,0,MATCH('Delta Beta'!$C$5,Data!$B$4:$Q$4,0)-1),#N/A)-$C$8/250</f>
        <v>#N/A</v>
      </c>
      <c r="N1814" s="395"/>
      <c r="R1814" s="391"/>
    </row>
    <row r="1815" spans="12:18">
      <c r="L1815" s="394" t="e">
        <f ca="1">IF(NOT(OFFSET(Data!E1818,0,MATCH('Delta Beta'!$C$5,Data!$B$4:$Q$4,0)-3)=""),OFFSET(Data!E1818,0,MATCH('Delta Beta'!$C$5,Data!$B$4:$Q$4,0)-3),#N/A)-$C$8/250</f>
        <v>#N/A</v>
      </c>
      <c r="M1815" s="394" t="e">
        <f ca="1">IF(NOT(OFFSET(Data!E1818,0,MATCH('Delta Beta'!$C$5,Data!$B$4:$Q$4,0)-1)=""),OFFSET(Data!E1818,0,MATCH('Delta Beta'!$C$5,Data!$B$4:$Q$4,0)-1),#N/A)-$C$8/250</f>
        <v>#N/A</v>
      </c>
      <c r="N1815" s="395"/>
      <c r="R1815" s="391"/>
    </row>
    <row r="1816" spans="12:18">
      <c r="L1816" s="394" t="e">
        <f ca="1">IF(NOT(OFFSET(Data!E1819,0,MATCH('Delta Beta'!$C$5,Data!$B$4:$Q$4,0)-3)=""),OFFSET(Data!E1819,0,MATCH('Delta Beta'!$C$5,Data!$B$4:$Q$4,0)-3),#N/A)-$C$8/250</f>
        <v>#N/A</v>
      </c>
      <c r="M1816" s="394" t="e">
        <f ca="1">IF(NOT(OFFSET(Data!E1819,0,MATCH('Delta Beta'!$C$5,Data!$B$4:$Q$4,0)-1)=""),OFFSET(Data!E1819,0,MATCH('Delta Beta'!$C$5,Data!$B$4:$Q$4,0)-1),#N/A)-$C$8/250</f>
        <v>#N/A</v>
      </c>
      <c r="N1816" s="395"/>
      <c r="R1816" s="391"/>
    </row>
    <row r="1817" spans="12:18">
      <c r="L1817" s="394" t="e">
        <f ca="1">IF(NOT(OFFSET(Data!E1820,0,MATCH('Delta Beta'!$C$5,Data!$B$4:$Q$4,0)-3)=""),OFFSET(Data!E1820,0,MATCH('Delta Beta'!$C$5,Data!$B$4:$Q$4,0)-3),#N/A)-$C$8/250</f>
        <v>#N/A</v>
      </c>
      <c r="M1817" s="394" t="e">
        <f ca="1">IF(NOT(OFFSET(Data!E1820,0,MATCH('Delta Beta'!$C$5,Data!$B$4:$Q$4,0)-1)=""),OFFSET(Data!E1820,0,MATCH('Delta Beta'!$C$5,Data!$B$4:$Q$4,0)-1),#N/A)-$C$8/250</f>
        <v>#N/A</v>
      </c>
      <c r="N1817" s="395"/>
      <c r="R1817" s="391"/>
    </row>
    <row r="1818" spans="12:18">
      <c r="L1818" s="394" t="e">
        <f ca="1">IF(NOT(OFFSET(Data!E1821,0,MATCH('Delta Beta'!$C$5,Data!$B$4:$Q$4,0)-3)=""),OFFSET(Data!E1821,0,MATCH('Delta Beta'!$C$5,Data!$B$4:$Q$4,0)-3),#N/A)-$C$8/250</f>
        <v>#N/A</v>
      </c>
      <c r="M1818" s="394" t="e">
        <f ca="1">IF(NOT(OFFSET(Data!E1821,0,MATCH('Delta Beta'!$C$5,Data!$B$4:$Q$4,0)-1)=""),OFFSET(Data!E1821,0,MATCH('Delta Beta'!$C$5,Data!$B$4:$Q$4,0)-1),#N/A)-$C$8/250</f>
        <v>#N/A</v>
      </c>
      <c r="N1818" s="395"/>
      <c r="R1818" s="391"/>
    </row>
    <row r="1819" spans="12:18">
      <c r="L1819" s="394" t="e">
        <f ca="1">IF(NOT(OFFSET(Data!E1822,0,MATCH('Delta Beta'!$C$5,Data!$B$4:$Q$4,0)-3)=""),OFFSET(Data!E1822,0,MATCH('Delta Beta'!$C$5,Data!$B$4:$Q$4,0)-3),#N/A)-$C$8/250</f>
        <v>#N/A</v>
      </c>
      <c r="M1819" s="394" t="e">
        <f ca="1">IF(NOT(OFFSET(Data!E1822,0,MATCH('Delta Beta'!$C$5,Data!$B$4:$Q$4,0)-1)=""),OFFSET(Data!E1822,0,MATCH('Delta Beta'!$C$5,Data!$B$4:$Q$4,0)-1),#N/A)-$C$8/250</f>
        <v>#N/A</v>
      </c>
      <c r="N1819" s="395"/>
      <c r="R1819" s="391"/>
    </row>
    <row r="1820" spans="12:18">
      <c r="L1820" s="394" t="e">
        <f ca="1">IF(NOT(OFFSET(Data!E1823,0,MATCH('Delta Beta'!$C$5,Data!$B$4:$Q$4,0)-3)=""),OFFSET(Data!E1823,0,MATCH('Delta Beta'!$C$5,Data!$B$4:$Q$4,0)-3),#N/A)-$C$8/250</f>
        <v>#N/A</v>
      </c>
      <c r="M1820" s="394" t="e">
        <f ca="1">IF(NOT(OFFSET(Data!E1823,0,MATCH('Delta Beta'!$C$5,Data!$B$4:$Q$4,0)-1)=""),OFFSET(Data!E1823,0,MATCH('Delta Beta'!$C$5,Data!$B$4:$Q$4,0)-1),#N/A)-$C$8/250</f>
        <v>#N/A</v>
      </c>
      <c r="N1820" s="395"/>
      <c r="R1820" s="391"/>
    </row>
    <row r="1821" spans="12:18">
      <c r="L1821" s="394" t="e">
        <f ca="1">IF(NOT(OFFSET(Data!E1824,0,MATCH('Delta Beta'!$C$5,Data!$B$4:$Q$4,0)-3)=""),OFFSET(Data!E1824,0,MATCH('Delta Beta'!$C$5,Data!$B$4:$Q$4,0)-3),#N/A)-$C$8/250</f>
        <v>#N/A</v>
      </c>
      <c r="M1821" s="394" t="e">
        <f ca="1">IF(NOT(OFFSET(Data!E1824,0,MATCH('Delta Beta'!$C$5,Data!$B$4:$Q$4,0)-1)=""),OFFSET(Data!E1824,0,MATCH('Delta Beta'!$C$5,Data!$B$4:$Q$4,0)-1),#N/A)-$C$8/250</f>
        <v>#N/A</v>
      </c>
      <c r="N1821" s="395"/>
      <c r="R1821" s="391"/>
    </row>
    <row r="1822" spans="12:18">
      <c r="L1822" s="394" t="e">
        <f ca="1">IF(NOT(OFFSET(Data!E1825,0,MATCH('Delta Beta'!$C$5,Data!$B$4:$Q$4,0)-3)=""),OFFSET(Data!E1825,0,MATCH('Delta Beta'!$C$5,Data!$B$4:$Q$4,0)-3),#N/A)-$C$8/250</f>
        <v>#N/A</v>
      </c>
      <c r="M1822" s="394" t="e">
        <f ca="1">IF(NOT(OFFSET(Data!E1825,0,MATCH('Delta Beta'!$C$5,Data!$B$4:$Q$4,0)-1)=""),OFFSET(Data!E1825,0,MATCH('Delta Beta'!$C$5,Data!$B$4:$Q$4,0)-1),#N/A)-$C$8/250</f>
        <v>#N/A</v>
      </c>
      <c r="N1822" s="395"/>
      <c r="R1822" s="391"/>
    </row>
    <row r="1823" spans="12:18">
      <c r="L1823" s="394" t="e">
        <f ca="1">IF(NOT(OFFSET(Data!E1826,0,MATCH('Delta Beta'!$C$5,Data!$B$4:$Q$4,0)-3)=""),OFFSET(Data!E1826,0,MATCH('Delta Beta'!$C$5,Data!$B$4:$Q$4,0)-3),#N/A)-$C$8/250</f>
        <v>#N/A</v>
      </c>
      <c r="M1823" s="394" t="e">
        <f ca="1">IF(NOT(OFFSET(Data!E1826,0,MATCH('Delta Beta'!$C$5,Data!$B$4:$Q$4,0)-1)=""),OFFSET(Data!E1826,0,MATCH('Delta Beta'!$C$5,Data!$B$4:$Q$4,0)-1),#N/A)-$C$8/250</f>
        <v>#N/A</v>
      </c>
      <c r="N1823" s="395"/>
      <c r="R1823" s="391"/>
    </row>
    <row r="1824" spans="12:18">
      <c r="L1824" s="394" t="e">
        <f ca="1">IF(NOT(OFFSET(Data!E1827,0,MATCH('Delta Beta'!$C$5,Data!$B$4:$Q$4,0)-3)=""),OFFSET(Data!E1827,0,MATCH('Delta Beta'!$C$5,Data!$B$4:$Q$4,0)-3),#N/A)-$C$8/250</f>
        <v>#N/A</v>
      </c>
      <c r="M1824" s="394" t="e">
        <f ca="1">IF(NOT(OFFSET(Data!E1827,0,MATCH('Delta Beta'!$C$5,Data!$B$4:$Q$4,0)-1)=""),OFFSET(Data!E1827,0,MATCH('Delta Beta'!$C$5,Data!$B$4:$Q$4,0)-1),#N/A)-$C$8/250</f>
        <v>#N/A</v>
      </c>
      <c r="N1824" s="395"/>
      <c r="R1824" s="391"/>
    </row>
    <row r="1825" spans="12:18">
      <c r="L1825" s="394" t="e">
        <f ca="1">IF(NOT(OFFSET(Data!E1828,0,MATCH('Delta Beta'!$C$5,Data!$B$4:$Q$4,0)-3)=""),OFFSET(Data!E1828,0,MATCH('Delta Beta'!$C$5,Data!$B$4:$Q$4,0)-3),#N/A)-$C$8/250</f>
        <v>#N/A</v>
      </c>
      <c r="M1825" s="394" t="e">
        <f ca="1">IF(NOT(OFFSET(Data!E1828,0,MATCH('Delta Beta'!$C$5,Data!$B$4:$Q$4,0)-1)=""),OFFSET(Data!E1828,0,MATCH('Delta Beta'!$C$5,Data!$B$4:$Q$4,0)-1),#N/A)-$C$8/250</f>
        <v>#N/A</v>
      </c>
      <c r="N1825" s="395"/>
      <c r="R1825" s="391"/>
    </row>
    <row r="1826" spans="12:18">
      <c r="L1826" s="394" t="e">
        <f ca="1">IF(NOT(OFFSET(Data!E1829,0,MATCH('Delta Beta'!$C$5,Data!$B$4:$Q$4,0)-3)=""),OFFSET(Data!E1829,0,MATCH('Delta Beta'!$C$5,Data!$B$4:$Q$4,0)-3),#N/A)-$C$8/250</f>
        <v>#N/A</v>
      </c>
      <c r="M1826" s="394" t="e">
        <f ca="1">IF(NOT(OFFSET(Data!E1829,0,MATCH('Delta Beta'!$C$5,Data!$B$4:$Q$4,0)-1)=""),OFFSET(Data!E1829,0,MATCH('Delta Beta'!$C$5,Data!$B$4:$Q$4,0)-1),#N/A)-$C$8/250</f>
        <v>#N/A</v>
      </c>
      <c r="N1826" s="395"/>
      <c r="R1826" s="391"/>
    </row>
    <row r="1827" spans="12:18">
      <c r="L1827" s="394" t="e">
        <f ca="1">IF(NOT(OFFSET(Data!E1830,0,MATCH('Delta Beta'!$C$5,Data!$B$4:$Q$4,0)-3)=""),OFFSET(Data!E1830,0,MATCH('Delta Beta'!$C$5,Data!$B$4:$Q$4,0)-3),#N/A)-$C$8/250</f>
        <v>#N/A</v>
      </c>
      <c r="M1827" s="394" t="e">
        <f ca="1">IF(NOT(OFFSET(Data!E1830,0,MATCH('Delta Beta'!$C$5,Data!$B$4:$Q$4,0)-1)=""),OFFSET(Data!E1830,0,MATCH('Delta Beta'!$C$5,Data!$B$4:$Q$4,0)-1),#N/A)-$C$8/250</f>
        <v>#N/A</v>
      </c>
      <c r="N1827" s="395"/>
      <c r="R1827" s="391"/>
    </row>
    <row r="1828" spans="12:18">
      <c r="L1828" s="394" t="e">
        <f ca="1">IF(NOT(OFFSET(Data!E1831,0,MATCH('Delta Beta'!$C$5,Data!$B$4:$Q$4,0)-3)=""),OFFSET(Data!E1831,0,MATCH('Delta Beta'!$C$5,Data!$B$4:$Q$4,0)-3),#N/A)-$C$8/250</f>
        <v>#N/A</v>
      </c>
      <c r="M1828" s="394" t="e">
        <f ca="1">IF(NOT(OFFSET(Data!E1831,0,MATCH('Delta Beta'!$C$5,Data!$B$4:$Q$4,0)-1)=""),OFFSET(Data!E1831,0,MATCH('Delta Beta'!$C$5,Data!$B$4:$Q$4,0)-1),#N/A)-$C$8/250</f>
        <v>#N/A</v>
      </c>
      <c r="N1828" s="395"/>
      <c r="R1828" s="391"/>
    </row>
    <row r="1829" spans="12:18">
      <c r="L1829" s="394" t="e">
        <f ca="1">IF(NOT(OFFSET(Data!E1832,0,MATCH('Delta Beta'!$C$5,Data!$B$4:$Q$4,0)-3)=""),OFFSET(Data!E1832,0,MATCH('Delta Beta'!$C$5,Data!$B$4:$Q$4,0)-3),#N/A)-$C$8/250</f>
        <v>#N/A</v>
      </c>
      <c r="M1829" s="394" t="e">
        <f ca="1">IF(NOT(OFFSET(Data!E1832,0,MATCH('Delta Beta'!$C$5,Data!$B$4:$Q$4,0)-1)=""),OFFSET(Data!E1832,0,MATCH('Delta Beta'!$C$5,Data!$B$4:$Q$4,0)-1),#N/A)-$C$8/250</f>
        <v>#N/A</v>
      </c>
      <c r="N1829" s="395"/>
      <c r="R1829" s="391"/>
    </row>
    <row r="1830" spans="12:18">
      <c r="L1830" s="394" t="e">
        <f ca="1">IF(NOT(OFFSET(Data!E1833,0,MATCH('Delta Beta'!$C$5,Data!$B$4:$Q$4,0)-3)=""),OFFSET(Data!E1833,0,MATCH('Delta Beta'!$C$5,Data!$B$4:$Q$4,0)-3),#N/A)-$C$8/250</f>
        <v>#N/A</v>
      </c>
      <c r="M1830" s="394" t="e">
        <f ca="1">IF(NOT(OFFSET(Data!E1833,0,MATCH('Delta Beta'!$C$5,Data!$B$4:$Q$4,0)-1)=""),OFFSET(Data!E1833,0,MATCH('Delta Beta'!$C$5,Data!$B$4:$Q$4,0)-1),#N/A)-$C$8/250</f>
        <v>#N/A</v>
      </c>
      <c r="N1830" s="395"/>
      <c r="R1830" s="391"/>
    </row>
    <row r="1831" spans="12:18">
      <c r="L1831" s="394" t="e">
        <f ca="1">IF(NOT(OFFSET(Data!E1834,0,MATCH('Delta Beta'!$C$5,Data!$B$4:$Q$4,0)-3)=""),OFFSET(Data!E1834,0,MATCH('Delta Beta'!$C$5,Data!$B$4:$Q$4,0)-3),#N/A)-$C$8/250</f>
        <v>#N/A</v>
      </c>
      <c r="M1831" s="394" t="e">
        <f ca="1">IF(NOT(OFFSET(Data!E1834,0,MATCH('Delta Beta'!$C$5,Data!$B$4:$Q$4,0)-1)=""),OFFSET(Data!E1834,0,MATCH('Delta Beta'!$C$5,Data!$B$4:$Q$4,0)-1),#N/A)-$C$8/250</f>
        <v>#N/A</v>
      </c>
      <c r="N1831" s="395"/>
      <c r="R1831" s="391"/>
    </row>
    <row r="1832" spans="12:18">
      <c r="L1832" s="394" t="e">
        <f ca="1">IF(NOT(OFFSET(Data!E1835,0,MATCH('Delta Beta'!$C$5,Data!$B$4:$Q$4,0)-3)=""),OFFSET(Data!E1835,0,MATCH('Delta Beta'!$C$5,Data!$B$4:$Q$4,0)-3),#N/A)-$C$8/250</f>
        <v>#N/A</v>
      </c>
      <c r="M1832" s="394" t="e">
        <f ca="1">IF(NOT(OFFSET(Data!E1835,0,MATCH('Delta Beta'!$C$5,Data!$B$4:$Q$4,0)-1)=""),OFFSET(Data!E1835,0,MATCH('Delta Beta'!$C$5,Data!$B$4:$Q$4,0)-1),#N/A)-$C$8/250</f>
        <v>#N/A</v>
      </c>
      <c r="N1832" s="395"/>
      <c r="R1832" s="391"/>
    </row>
    <row r="1833" spans="12:18">
      <c r="L1833" s="394" t="e">
        <f ca="1">IF(NOT(OFFSET(Data!E1836,0,MATCH('Delta Beta'!$C$5,Data!$B$4:$Q$4,0)-3)=""),OFFSET(Data!E1836,0,MATCH('Delta Beta'!$C$5,Data!$B$4:$Q$4,0)-3),#N/A)-$C$8/250</f>
        <v>#N/A</v>
      </c>
      <c r="M1833" s="394" t="e">
        <f ca="1">IF(NOT(OFFSET(Data!E1836,0,MATCH('Delta Beta'!$C$5,Data!$B$4:$Q$4,0)-1)=""),OFFSET(Data!E1836,0,MATCH('Delta Beta'!$C$5,Data!$B$4:$Q$4,0)-1),#N/A)-$C$8/250</f>
        <v>#N/A</v>
      </c>
      <c r="N1833" s="395"/>
      <c r="R1833" s="391"/>
    </row>
    <row r="1834" spans="12:18">
      <c r="L1834" s="394" t="e">
        <f ca="1">IF(NOT(OFFSET(Data!E1837,0,MATCH('Delta Beta'!$C$5,Data!$B$4:$Q$4,0)-3)=""),OFFSET(Data!E1837,0,MATCH('Delta Beta'!$C$5,Data!$B$4:$Q$4,0)-3),#N/A)-$C$8/250</f>
        <v>#N/A</v>
      </c>
      <c r="M1834" s="394" t="e">
        <f ca="1">IF(NOT(OFFSET(Data!E1837,0,MATCH('Delta Beta'!$C$5,Data!$B$4:$Q$4,0)-1)=""),OFFSET(Data!E1837,0,MATCH('Delta Beta'!$C$5,Data!$B$4:$Q$4,0)-1),#N/A)-$C$8/250</f>
        <v>#N/A</v>
      </c>
      <c r="N1834" s="395"/>
      <c r="R1834" s="391"/>
    </row>
    <row r="1835" spans="12:18">
      <c r="L1835" s="394" t="e">
        <f ca="1">IF(NOT(OFFSET(Data!E1838,0,MATCH('Delta Beta'!$C$5,Data!$B$4:$Q$4,0)-3)=""),OFFSET(Data!E1838,0,MATCH('Delta Beta'!$C$5,Data!$B$4:$Q$4,0)-3),#N/A)-$C$8/250</f>
        <v>#N/A</v>
      </c>
      <c r="M1835" s="394" t="e">
        <f ca="1">IF(NOT(OFFSET(Data!E1838,0,MATCH('Delta Beta'!$C$5,Data!$B$4:$Q$4,0)-1)=""),OFFSET(Data!E1838,0,MATCH('Delta Beta'!$C$5,Data!$B$4:$Q$4,0)-1),#N/A)-$C$8/250</f>
        <v>#N/A</v>
      </c>
      <c r="N1835" s="395"/>
      <c r="R1835" s="391"/>
    </row>
    <row r="1836" spans="12:18">
      <c r="L1836" s="394" t="e">
        <f ca="1">IF(NOT(OFFSET(Data!E1839,0,MATCH('Delta Beta'!$C$5,Data!$B$4:$Q$4,0)-3)=""),OFFSET(Data!E1839,0,MATCH('Delta Beta'!$C$5,Data!$B$4:$Q$4,0)-3),#N/A)-$C$8/250</f>
        <v>#N/A</v>
      </c>
      <c r="M1836" s="394" t="e">
        <f ca="1">IF(NOT(OFFSET(Data!E1839,0,MATCH('Delta Beta'!$C$5,Data!$B$4:$Q$4,0)-1)=""),OFFSET(Data!E1839,0,MATCH('Delta Beta'!$C$5,Data!$B$4:$Q$4,0)-1),#N/A)-$C$8/250</f>
        <v>#N/A</v>
      </c>
      <c r="N1836" s="395"/>
      <c r="R1836" s="391"/>
    </row>
    <row r="1837" spans="12:18">
      <c r="L1837" s="394" t="e">
        <f ca="1">IF(NOT(OFFSET(Data!E1840,0,MATCH('Delta Beta'!$C$5,Data!$B$4:$Q$4,0)-3)=""),OFFSET(Data!E1840,0,MATCH('Delta Beta'!$C$5,Data!$B$4:$Q$4,0)-3),#N/A)-$C$8/250</f>
        <v>#N/A</v>
      </c>
      <c r="M1837" s="394" t="e">
        <f ca="1">IF(NOT(OFFSET(Data!E1840,0,MATCH('Delta Beta'!$C$5,Data!$B$4:$Q$4,0)-1)=""),OFFSET(Data!E1840,0,MATCH('Delta Beta'!$C$5,Data!$B$4:$Q$4,0)-1),#N/A)-$C$8/250</f>
        <v>#N/A</v>
      </c>
      <c r="N1837" s="395"/>
      <c r="R1837" s="391"/>
    </row>
    <row r="1838" spans="12:18">
      <c r="L1838" s="394" t="e">
        <f ca="1">IF(NOT(OFFSET(Data!E1841,0,MATCH('Delta Beta'!$C$5,Data!$B$4:$Q$4,0)-3)=""),OFFSET(Data!E1841,0,MATCH('Delta Beta'!$C$5,Data!$B$4:$Q$4,0)-3),#N/A)-$C$8/250</f>
        <v>#N/A</v>
      </c>
      <c r="M1838" s="394" t="e">
        <f ca="1">IF(NOT(OFFSET(Data!E1841,0,MATCH('Delta Beta'!$C$5,Data!$B$4:$Q$4,0)-1)=""),OFFSET(Data!E1841,0,MATCH('Delta Beta'!$C$5,Data!$B$4:$Q$4,0)-1),#N/A)-$C$8/250</f>
        <v>#N/A</v>
      </c>
      <c r="N1838" s="395"/>
      <c r="R1838" s="391"/>
    </row>
    <row r="1839" spans="12:18">
      <c r="L1839" s="394" t="e">
        <f ca="1">IF(NOT(OFFSET(Data!E1842,0,MATCH('Delta Beta'!$C$5,Data!$B$4:$Q$4,0)-3)=""),OFFSET(Data!E1842,0,MATCH('Delta Beta'!$C$5,Data!$B$4:$Q$4,0)-3),#N/A)-$C$8/250</f>
        <v>#N/A</v>
      </c>
      <c r="M1839" s="394" t="e">
        <f ca="1">IF(NOT(OFFSET(Data!E1842,0,MATCH('Delta Beta'!$C$5,Data!$B$4:$Q$4,0)-1)=""),OFFSET(Data!E1842,0,MATCH('Delta Beta'!$C$5,Data!$B$4:$Q$4,0)-1),#N/A)-$C$8/250</f>
        <v>#N/A</v>
      </c>
      <c r="N1839" s="395"/>
      <c r="R1839" s="391"/>
    </row>
    <row r="1840" spans="12:18">
      <c r="L1840" s="394" t="e">
        <f ca="1">IF(NOT(OFFSET(Data!E1843,0,MATCH('Delta Beta'!$C$5,Data!$B$4:$Q$4,0)-3)=""),OFFSET(Data!E1843,0,MATCH('Delta Beta'!$C$5,Data!$B$4:$Q$4,0)-3),#N/A)-$C$8/250</f>
        <v>#N/A</v>
      </c>
      <c r="M1840" s="394" t="e">
        <f ca="1">IF(NOT(OFFSET(Data!E1843,0,MATCH('Delta Beta'!$C$5,Data!$B$4:$Q$4,0)-1)=""),OFFSET(Data!E1843,0,MATCH('Delta Beta'!$C$5,Data!$B$4:$Q$4,0)-1),#N/A)-$C$8/250</f>
        <v>#N/A</v>
      </c>
      <c r="N1840" s="395"/>
      <c r="R1840" s="391"/>
    </row>
    <row r="1841" spans="12:18">
      <c r="L1841" s="394" t="e">
        <f ca="1">IF(NOT(OFFSET(Data!E1844,0,MATCH('Delta Beta'!$C$5,Data!$B$4:$Q$4,0)-3)=""),OFFSET(Data!E1844,0,MATCH('Delta Beta'!$C$5,Data!$B$4:$Q$4,0)-3),#N/A)-$C$8/250</f>
        <v>#N/A</v>
      </c>
      <c r="M1841" s="394" t="e">
        <f ca="1">IF(NOT(OFFSET(Data!E1844,0,MATCH('Delta Beta'!$C$5,Data!$B$4:$Q$4,0)-1)=""),OFFSET(Data!E1844,0,MATCH('Delta Beta'!$C$5,Data!$B$4:$Q$4,0)-1),#N/A)-$C$8/250</f>
        <v>#N/A</v>
      </c>
      <c r="N1841" s="395"/>
      <c r="R1841" s="391"/>
    </row>
    <row r="1842" spans="12:18">
      <c r="L1842" s="394" t="e">
        <f ca="1">IF(NOT(OFFSET(Data!E1845,0,MATCH('Delta Beta'!$C$5,Data!$B$4:$Q$4,0)-3)=""),OFFSET(Data!E1845,0,MATCH('Delta Beta'!$C$5,Data!$B$4:$Q$4,0)-3),#N/A)-$C$8/250</f>
        <v>#N/A</v>
      </c>
      <c r="M1842" s="394" t="e">
        <f ca="1">IF(NOT(OFFSET(Data!E1845,0,MATCH('Delta Beta'!$C$5,Data!$B$4:$Q$4,0)-1)=""),OFFSET(Data!E1845,0,MATCH('Delta Beta'!$C$5,Data!$B$4:$Q$4,0)-1),#N/A)-$C$8/250</f>
        <v>#N/A</v>
      </c>
      <c r="N1842" s="395"/>
      <c r="R1842" s="391"/>
    </row>
    <row r="1843" spans="12:18">
      <c r="L1843" s="394" t="e">
        <f ca="1">IF(NOT(OFFSET(Data!E1846,0,MATCH('Delta Beta'!$C$5,Data!$B$4:$Q$4,0)-3)=""),OFFSET(Data!E1846,0,MATCH('Delta Beta'!$C$5,Data!$B$4:$Q$4,0)-3),#N/A)-$C$8/250</f>
        <v>#N/A</v>
      </c>
      <c r="M1843" s="394" t="e">
        <f ca="1">IF(NOT(OFFSET(Data!E1846,0,MATCH('Delta Beta'!$C$5,Data!$B$4:$Q$4,0)-1)=""),OFFSET(Data!E1846,0,MATCH('Delta Beta'!$C$5,Data!$B$4:$Q$4,0)-1),#N/A)-$C$8/250</f>
        <v>#N/A</v>
      </c>
      <c r="N1843" s="395"/>
      <c r="R1843" s="391"/>
    </row>
    <row r="1844" spans="12:18">
      <c r="L1844" s="394" t="e">
        <f ca="1">IF(NOT(OFFSET(Data!E1847,0,MATCH('Delta Beta'!$C$5,Data!$B$4:$Q$4,0)-3)=""),OFFSET(Data!E1847,0,MATCH('Delta Beta'!$C$5,Data!$B$4:$Q$4,0)-3),#N/A)-$C$8/250</f>
        <v>#N/A</v>
      </c>
      <c r="M1844" s="394" t="e">
        <f ca="1">IF(NOT(OFFSET(Data!E1847,0,MATCH('Delta Beta'!$C$5,Data!$B$4:$Q$4,0)-1)=""),OFFSET(Data!E1847,0,MATCH('Delta Beta'!$C$5,Data!$B$4:$Q$4,0)-1),#N/A)-$C$8/250</f>
        <v>#N/A</v>
      </c>
      <c r="N1844" s="395"/>
      <c r="R1844" s="391"/>
    </row>
    <row r="1845" spans="12:18">
      <c r="L1845" s="394" t="e">
        <f ca="1">IF(NOT(OFFSET(Data!E1848,0,MATCH('Delta Beta'!$C$5,Data!$B$4:$Q$4,0)-3)=""),OFFSET(Data!E1848,0,MATCH('Delta Beta'!$C$5,Data!$B$4:$Q$4,0)-3),#N/A)-$C$8/250</f>
        <v>#N/A</v>
      </c>
      <c r="M1845" s="394" t="e">
        <f ca="1">IF(NOT(OFFSET(Data!E1848,0,MATCH('Delta Beta'!$C$5,Data!$B$4:$Q$4,0)-1)=""),OFFSET(Data!E1848,0,MATCH('Delta Beta'!$C$5,Data!$B$4:$Q$4,0)-1),#N/A)-$C$8/250</f>
        <v>#N/A</v>
      </c>
      <c r="N1845" s="395"/>
      <c r="R1845" s="391"/>
    </row>
    <row r="1846" spans="12:18">
      <c r="L1846" s="394" t="e">
        <f ca="1">IF(NOT(OFFSET(Data!E1849,0,MATCH('Delta Beta'!$C$5,Data!$B$4:$Q$4,0)-3)=""),OFFSET(Data!E1849,0,MATCH('Delta Beta'!$C$5,Data!$B$4:$Q$4,0)-3),#N/A)-$C$8/250</f>
        <v>#N/A</v>
      </c>
      <c r="M1846" s="394" t="e">
        <f ca="1">IF(NOT(OFFSET(Data!E1849,0,MATCH('Delta Beta'!$C$5,Data!$B$4:$Q$4,0)-1)=""),OFFSET(Data!E1849,0,MATCH('Delta Beta'!$C$5,Data!$B$4:$Q$4,0)-1),#N/A)-$C$8/250</f>
        <v>#N/A</v>
      </c>
      <c r="N1846" s="395"/>
      <c r="R1846" s="391"/>
    </row>
    <row r="1847" spans="12:18">
      <c r="L1847" s="394" t="e">
        <f ca="1">IF(NOT(OFFSET(Data!E1850,0,MATCH('Delta Beta'!$C$5,Data!$B$4:$Q$4,0)-3)=""),OFFSET(Data!E1850,0,MATCH('Delta Beta'!$C$5,Data!$B$4:$Q$4,0)-3),#N/A)-$C$8/250</f>
        <v>#N/A</v>
      </c>
      <c r="M1847" s="394" t="e">
        <f ca="1">IF(NOT(OFFSET(Data!E1850,0,MATCH('Delta Beta'!$C$5,Data!$B$4:$Q$4,0)-1)=""),OFFSET(Data!E1850,0,MATCH('Delta Beta'!$C$5,Data!$B$4:$Q$4,0)-1),#N/A)-$C$8/250</f>
        <v>#N/A</v>
      </c>
      <c r="N1847" s="395"/>
      <c r="R1847" s="391"/>
    </row>
    <row r="1848" spans="12:18">
      <c r="L1848" s="394" t="e">
        <f ca="1">IF(NOT(OFFSET(Data!E1851,0,MATCH('Delta Beta'!$C$5,Data!$B$4:$Q$4,0)-3)=""),OFFSET(Data!E1851,0,MATCH('Delta Beta'!$C$5,Data!$B$4:$Q$4,0)-3),#N/A)-$C$8/250</f>
        <v>#N/A</v>
      </c>
      <c r="M1848" s="394" t="e">
        <f ca="1">IF(NOT(OFFSET(Data!E1851,0,MATCH('Delta Beta'!$C$5,Data!$B$4:$Q$4,0)-1)=""),OFFSET(Data!E1851,0,MATCH('Delta Beta'!$C$5,Data!$B$4:$Q$4,0)-1),#N/A)-$C$8/250</f>
        <v>#N/A</v>
      </c>
      <c r="N1848" s="395"/>
      <c r="R1848" s="391"/>
    </row>
    <row r="1849" spans="12:18">
      <c r="L1849" s="394" t="e">
        <f ca="1">IF(NOT(OFFSET(Data!E1852,0,MATCH('Delta Beta'!$C$5,Data!$B$4:$Q$4,0)-3)=""),OFFSET(Data!E1852,0,MATCH('Delta Beta'!$C$5,Data!$B$4:$Q$4,0)-3),#N/A)-$C$8/250</f>
        <v>#N/A</v>
      </c>
      <c r="M1849" s="394" t="e">
        <f ca="1">IF(NOT(OFFSET(Data!E1852,0,MATCH('Delta Beta'!$C$5,Data!$B$4:$Q$4,0)-1)=""),OFFSET(Data!E1852,0,MATCH('Delta Beta'!$C$5,Data!$B$4:$Q$4,0)-1),#N/A)-$C$8/250</f>
        <v>#N/A</v>
      </c>
      <c r="N1849" s="395"/>
      <c r="R1849" s="391"/>
    </row>
    <row r="1850" spans="12:18">
      <c r="L1850" s="394" t="e">
        <f ca="1">IF(NOT(OFFSET(Data!E1853,0,MATCH('Delta Beta'!$C$5,Data!$B$4:$Q$4,0)-3)=""),OFFSET(Data!E1853,0,MATCH('Delta Beta'!$C$5,Data!$B$4:$Q$4,0)-3),#N/A)-$C$8/250</f>
        <v>#N/A</v>
      </c>
      <c r="M1850" s="394" t="e">
        <f ca="1">IF(NOT(OFFSET(Data!E1853,0,MATCH('Delta Beta'!$C$5,Data!$B$4:$Q$4,0)-1)=""),OFFSET(Data!E1853,0,MATCH('Delta Beta'!$C$5,Data!$B$4:$Q$4,0)-1),#N/A)-$C$8/250</f>
        <v>#N/A</v>
      </c>
      <c r="N1850" s="395"/>
      <c r="R1850" s="391"/>
    </row>
    <row r="1851" spans="12:18">
      <c r="L1851" s="394" t="e">
        <f ca="1">IF(NOT(OFFSET(Data!E1854,0,MATCH('Delta Beta'!$C$5,Data!$B$4:$Q$4,0)-3)=""),OFFSET(Data!E1854,0,MATCH('Delta Beta'!$C$5,Data!$B$4:$Q$4,0)-3),#N/A)-$C$8/250</f>
        <v>#N/A</v>
      </c>
      <c r="M1851" s="394" t="e">
        <f ca="1">IF(NOT(OFFSET(Data!E1854,0,MATCH('Delta Beta'!$C$5,Data!$B$4:$Q$4,0)-1)=""),OFFSET(Data!E1854,0,MATCH('Delta Beta'!$C$5,Data!$B$4:$Q$4,0)-1),#N/A)-$C$8/250</f>
        <v>#N/A</v>
      </c>
      <c r="N1851" s="395"/>
      <c r="R1851" s="391"/>
    </row>
    <row r="1852" spans="12:18">
      <c r="L1852" s="394" t="e">
        <f ca="1">IF(NOT(OFFSET(Data!E1855,0,MATCH('Delta Beta'!$C$5,Data!$B$4:$Q$4,0)-3)=""),OFFSET(Data!E1855,0,MATCH('Delta Beta'!$C$5,Data!$B$4:$Q$4,0)-3),#N/A)-$C$8/250</f>
        <v>#N/A</v>
      </c>
      <c r="M1852" s="394" t="e">
        <f ca="1">IF(NOT(OFFSET(Data!E1855,0,MATCH('Delta Beta'!$C$5,Data!$B$4:$Q$4,0)-1)=""),OFFSET(Data!E1855,0,MATCH('Delta Beta'!$C$5,Data!$B$4:$Q$4,0)-1),#N/A)-$C$8/250</f>
        <v>#N/A</v>
      </c>
      <c r="N1852" s="395"/>
      <c r="R1852" s="391"/>
    </row>
    <row r="1853" spans="12:18">
      <c r="L1853" s="394" t="e">
        <f ca="1">IF(NOT(OFFSET(Data!E1856,0,MATCH('Delta Beta'!$C$5,Data!$B$4:$Q$4,0)-3)=""),OFFSET(Data!E1856,0,MATCH('Delta Beta'!$C$5,Data!$B$4:$Q$4,0)-3),#N/A)-$C$8/250</f>
        <v>#N/A</v>
      </c>
      <c r="M1853" s="394" t="e">
        <f ca="1">IF(NOT(OFFSET(Data!E1856,0,MATCH('Delta Beta'!$C$5,Data!$B$4:$Q$4,0)-1)=""),OFFSET(Data!E1856,0,MATCH('Delta Beta'!$C$5,Data!$B$4:$Q$4,0)-1),#N/A)-$C$8/250</f>
        <v>#N/A</v>
      </c>
      <c r="N1853" s="395"/>
      <c r="R1853" s="391"/>
    </row>
    <row r="1854" spans="12:18">
      <c r="L1854" s="394" t="e">
        <f ca="1">IF(NOT(OFFSET(Data!E1857,0,MATCH('Delta Beta'!$C$5,Data!$B$4:$Q$4,0)-3)=""),OFFSET(Data!E1857,0,MATCH('Delta Beta'!$C$5,Data!$B$4:$Q$4,0)-3),#N/A)-$C$8/250</f>
        <v>#N/A</v>
      </c>
      <c r="M1854" s="394" t="e">
        <f ca="1">IF(NOT(OFFSET(Data!E1857,0,MATCH('Delta Beta'!$C$5,Data!$B$4:$Q$4,0)-1)=""),OFFSET(Data!E1857,0,MATCH('Delta Beta'!$C$5,Data!$B$4:$Q$4,0)-1),#N/A)-$C$8/250</f>
        <v>#N/A</v>
      </c>
      <c r="N1854" s="395"/>
      <c r="R1854" s="391"/>
    </row>
    <row r="1855" spans="12:18">
      <c r="L1855" s="394" t="e">
        <f ca="1">IF(NOT(OFFSET(Data!E1858,0,MATCH('Delta Beta'!$C$5,Data!$B$4:$Q$4,0)-3)=""),OFFSET(Data!E1858,0,MATCH('Delta Beta'!$C$5,Data!$B$4:$Q$4,0)-3),#N/A)-$C$8/250</f>
        <v>#N/A</v>
      </c>
      <c r="M1855" s="394" t="e">
        <f ca="1">IF(NOT(OFFSET(Data!E1858,0,MATCH('Delta Beta'!$C$5,Data!$B$4:$Q$4,0)-1)=""),OFFSET(Data!E1858,0,MATCH('Delta Beta'!$C$5,Data!$B$4:$Q$4,0)-1),#N/A)-$C$8/250</f>
        <v>#N/A</v>
      </c>
      <c r="N1855" s="395"/>
      <c r="R1855" s="391"/>
    </row>
    <row r="1856" spans="12:18">
      <c r="L1856" s="394" t="e">
        <f ca="1">IF(NOT(OFFSET(Data!E1859,0,MATCH('Delta Beta'!$C$5,Data!$B$4:$Q$4,0)-3)=""),OFFSET(Data!E1859,0,MATCH('Delta Beta'!$C$5,Data!$B$4:$Q$4,0)-3),#N/A)-$C$8/250</f>
        <v>#N/A</v>
      </c>
      <c r="M1856" s="394" t="e">
        <f ca="1">IF(NOT(OFFSET(Data!E1859,0,MATCH('Delta Beta'!$C$5,Data!$B$4:$Q$4,0)-1)=""),OFFSET(Data!E1859,0,MATCH('Delta Beta'!$C$5,Data!$B$4:$Q$4,0)-1),#N/A)-$C$8/250</f>
        <v>#N/A</v>
      </c>
      <c r="N1856" s="395"/>
      <c r="R1856" s="391"/>
    </row>
    <row r="1857" spans="12:18">
      <c r="L1857" s="394" t="e">
        <f ca="1">IF(NOT(OFFSET(Data!E1860,0,MATCH('Delta Beta'!$C$5,Data!$B$4:$Q$4,0)-3)=""),OFFSET(Data!E1860,0,MATCH('Delta Beta'!$C$5,Data!$B$4:$Q$4,0)-3),#N/A)-$C$8/250</f>
        <v>#N/A</v>
      </c>
      <c r="M1857" s="394" t="e">
        <f ca="1">IF(NOT(OFFSET(Data!E1860,0,MATCH('Delta Beta'!$C$5,Data!$B$4:$Q$4,0)-1)=""),OFFSET(Data!E1860,0,MATCH('Delta Beta'!$C$5,Data!$B$4:$Q$4,0)-1),#N/A)-$C$8/250</f>
        <v>#N/A</v>
      </c>
      <c r="N1857" s="395"/>
      <c r="R1857" s="391"/>
    </row>
    <row r="1858" spans="12:18">
      <c r="L1858" s="394" t="e">
        <f ca="1">IF(NOT(OFFSET(Data!E1861,0,MATCH('Delta Beta'!$C$5,Data!$B$4:$Q$4,0)-3)=""),OFFSET(Data!E1861,0,MATCH('Delta Beta'!$C$5,Data!$B$4:$Q$4,0)-3),#N/A)-$C$8/250</f>
        <v>#N/A</v>
      </c>
      <c r="M1858" s="394" t="e">
        <f ca="1">IF(NOT(OFFSET(Data!E1861,0,MATCH('Delta Beta'!$C$5,Data!$B$4:$Q$4,0)-1)=""),OFFSET(Data!E1861,0,MATCH('Delta Beta'!$C$5,Data!$B$4:$Q$4,0)-1),#N/A)-$C$8/250</f>
        <v>#N/A</v>
      </c>
      <c r="N1858" s="395"/>
      <c r="R1858" s="391"/>
    </row>
    <row r="1859" spans="12:18">
      <c r="L1859" s="394" t="e">
        <f ca="1">IF(NOT(OFFSET(Data!E1862,0,MATCH('Delta Beta'!$C$5,Data!$B$4:$Q$4,0)-3)=""),OFFSET(Data!E1862,0,MATCH('Delta Beta'!$C$5,Data!$B$4:$Q$4,0)-3),#N/A)-$C$8/250</f>
        <v>#N/A</v>
      </c>
      <c r="M1859" s="394" t="e">
        <f ca="1">IF(NOT(OFFSET(Data!E1862,0,MATCH('Delta Beta'!$C$5,Data!$B$4:$Q$4,0)-1)=""),OFFSET(Data!E1862,0,MATCH('Delta Beta'!$C$5,Data!$B$4:$Q$4,0)-1),#N/A)-$C$8/250</f>
        <v>#N/A</v>
      </c>
      <c r="N1859" s="395"/>
      <c r="R1859" s="391"/>
    </row>
    <row r="1860" spans="12:18">
      <c r="L1860" s="394" t="e">
        <f ca="1">IF(NOT(OFFSET(Data!E1863,0,MATCH('Delta Beta'!$C$5,Data!$B$4:$Q$4,0)-3)=""),OFFSET(Data!E1863,0,MATCH('Delta Beta'!$C$5,Data!$B$4:$Q$4,0)-3),#N/A)-$C$8/250</f>
        <v>#N/A</v>
      </c>
      <c r="M1860" s="394" t="e">
        <f ca="1">IF(NOT(OFFSET(Data!E1863,0,MATCH('Delta Beta'!$C$5,Data!$B$4:$Q$4,0)-1)=""),OFFSET(Data!E1863,0,MATCH('Delta Beta'!$C$5,Data!$B$4:$Q$4,0)-1),#N/A)-$C$8/250</f>
        <v>#N/A</v>
      </c>
      <c r="N1860" s="395"/>
      <c r="R1860" s="391"/>
    </row>
    <row r="1861" spans="12:18">
      <c r="L1861" s="394" t="e">
        <f ca="1">IF(NOT(OFFSET(Data!E1864,0,MATCH('Delta Beta'!$C$5,Data!$B$4:$Q$4,0)-3)=""),OFFSET(Data!E1864,0,MATCH('Delta Beta'!$C$5,Data!$B$4:$Q$4,0)-3),#N/A)-$C$8/250</f>
        <v>#N/A</v>
      </c>
      <c r="M1861" s="394" t="e">
        <f ca="1">IF(NOT(OFFSET(Data!E1864,0,MATCH('Delta Beta'!$C$5,Data!$B$4:$Q$4,0)-1)=""),OFFSET(Data!E1864,0,MATCH('Delta Beta'!$C$5,Data!$B$4:$Q$4,0)-1),#N/A)-$C$8/250</f>
        <v>#N/A</v>
      </c>
      <c r="N1861" s="395"/>
      <c r="R1861" s="391"/>
    </row>
    <row r="1862" spans="12:18">
      <c r="L1862" s="394" t="e">
        <f ca="1">IF(NOT(OFFSET(Data!E1865,0,MATCH('Delta Beta'!$C$5,Data!$B$4:$Q$4,0)-3)=""),OFFSET(Data!E1865,0,MATCH('Delta Beta'!$C$5,Data!$B$4:$Q$4,0)-3),#N/A)-$C$8/250</f>
        <v>#N/A</v>
      </c>
      <c r="M1862" s="394" t="e">
        <f ca="1">IF(NOT(OFFSET(Data!E1865,0,MATCH('Delta Beta'!$C$5,Data!$B$4:$Q$4,0)-1)=""),OFFSET(Data!E1865,0,MATCH('Delta Beta'!$C$5,Data!$B$4:$Q$4,0)-1),#N/A)-$C$8/250</f>
        <v>#N/A</v>
      </c>
      <c r="N1862" s="395"/>
      <c r="R1862" s="391"/>
    </row>
    <row r="1863" spans="12:18">
      <c r="L1863" s="394" t="e">
        <f ca="1">IF(NOT(OFFSET(Data!E1866,0,MATCH('Delta Beta'!$C$5,Data!$B$4:$Q$4,0)-3)=""),OFFSET(Data!E1866,0,MATCH('Delta Beta'!$C$5,Data!$B$4:$Q$4,0)-3),#N/A)-$C$8/250</f>
        <v>#N/A</v>
      </c>
      <c r="M1863" s="394" t="e">
        <f ca="1">IF(NOT(OFFSET(Data!E1866,0,MATCH('Delta Beta'!$C$5,Data!$B$4:$Q$4,0)-1)=""),OFFSET(Data!E1866,0,MATCH('Delta Beta'!$C$5,Data!$B$4:$Q$4,0)-1),#N/A)-$C$8/250</f>
        <v>#N/A</v>
      </c>
      <c r="N1863" s="395"/>
      <c r="R1863" s="391"/>
    </row>
    <row r="1864" spans="12:18">
      <c r="L1864" s="394" t="e">
        <f ca="1">IF(NOT(OFFSET(Data!E1867,0,MATCH('Delta Beta'!$C$5,Data!$B$4:$Q$4,0)-3)=""),OFFSET(Data!E1867,0,MATCH('Delta Beta'!$C$5,Data!$B$4:$Q$4,0)-3),#N/A)-$C$8/250</f>
        <v>#N/A</v>
      </c>
      <c r="M1864" s="394" t="e">
        <f ca="1">IF(NOT(OFFSET(Data!E1867,0,MATCH('Delta Beta'!$C$5,Data!$B$4:$Q$4,0)-1)=""),OFFSET(Data!E1867,0,MATCH('Delta Beta'!$C$5,Data!$B$4:$Q$4,0)-1),#N/A)-$C$8/250</f>
        <v>#N/A</v>
      </c>
      <c r="N1864" s="395"/>
      <c r="R1864" s="391"/>
    </row>
    <row r="1865" spans="12:18">
      <c r="L1865" s="394" t="e">
        <f ca="1">IF(NOT(OFFSET(Data!E1868,0,MATCH('Delta Beta'!$C$5,Data!$B$4:$Q$4,0)-3)=""),OFFSET(Data!E1868,0,MATCH('Delta Beta'!$C$5,Data!$B$4:$Q$4,0)-3),#N/A)-$C$8/250</f>
        <v>#N/A</v>
      </c>
      <c r="M1865" s="394" t="e">
        <f ca="1">IF(NOT(OFFSET(Data!E1868,0,MATCH('Delta Beta'!$C$5,Data!$B$4:$Q$4,0)-1)=""),OFFSET(Data!E1868,0,MATCH('Delta Beta'!$C$5,Data!$B$4:$Q$4,0)-1),#N/A)-$C$8/250</f>
        <v>#N/A</v>
      </c>
      <c r="N1865" s="395"/>
      <c r="R1865" s="391"/>
    </row>
    <row r="1866" spans="12:18">
      <c r="L1866" s="394" t="e">
        <f ca="1">IF(NOT(OFFSET(Data!E1869,0,MATCH('Delta Beta'!$C$5,Data!$B$4:$Q$4,0)-3)=""),OFFSET(Data!E1869,0,MATCH('Delta Beta'!$C$5,Data!$B$4:$Q$4,0)-3),#N/A)-$C$8/250</f>
        <v>#N/A</v>
      </c>
      <c r="M1866" s="394" t="e">
        <f ca="1">IF(NOT(OFFSET(Data!E1869,0,MATCH('Delta Beta'!$C$5,Data!$B$4:$Q$4,0)-1)=""),OFFSET(Data!E1869,0,MATCH('Delta Beta'!$C$5,Data!$B$4:$Q$4,0)-1),#N/A)-$C$8/250</f>
        <v>#N/A</v>
      </c>
      <c r="N1866" s="395"/>
      <c r="R1866" s="391"/>
    </row>
    <row r="1867" spans="12:18">
      <c r="L1867" s="394" t="e">
        <f ca="1">IF(NOT(OFFSET(Data!E1870,0,MATCH('Delta Beta'!$C$5,Data!$B$4:$Q$4,0)-3)=""),OFFSET(Data!E1870,0,MATCH('Delta Beta'!$C$5,Data!$B$4:$Q$4,0)-3),#N/A)-$C$8/250</f>
        <v>#N/A</v>
      </c>
      <c r="M1867" s="394" t="e">
        <f ca="1">IF(NOT(OFFSET(Data!E1870,0,MATCH('Delta Beta'!$C$5,Data!$B$4:$Q$4,0)-1)=""),OFFSET(Data!E1870,0,MATCH('Delta Beta'!$C$5,Data!$B$4:$Q$4,0)-1),#N/A)-$C$8/250</f>
        <v>#N/A</v>
      </c>
      <c r="N1867" s="395"/>
      <c r="R1867" s="391"/>
    </row>
    <row r="1868" spans="12:18">
      <c r="L1868" s="394" t="e">
        <f ca="1">IF(NOT(OFFSET(Data!E1871,0,MATCH('Delta Beta'!$C$5,Data!$B$4:$Q$4,0)-3)=""),OFFSET(Data!E1871,0,MATCH('Delta Beta'!$C$5,Data!$B$4:$Q$4,0)-3),#N/A)-$C$8/250</f>
        <v>#N/A</v>
      </c>
      <c r="M1868" s="394" t="e">
        <f ca="1">IF(NOT(OFFSET(Data!E1871,0,MATCH('Delta Beta'!$C$5,Data!$B$4:$Q$4,0)-1)=""),OFFSET(Data!E1871,0,MATCH('Delta Beta'!$C$5,Data!$B$4:$Q$4,0)-1),#N/A)-$C$8/250</f>
        <v>#N/A</v>
      </c>
      <c r="N1868" s="395"/>
      <c r="R1868" s="391"/>
    </row>
    <row r="1869" spans="12:18">
      <c r="L1869" s="394" t="e">
        <f ca="1">IF(NOT(OFFSET(Data!E1872,0,MATCH('Delta Beta'!$C$5,Data!$B$4:$Q$4,0)-3)=""),OFFSET(Data!E1872,0,MATCH('Delta Beta'!$C$5,Data!$B$4:$Q$4,0)-3),#N/A)-$C$8/250</f>
        <v>#N/A</v>
      </c>
      <c r="M1869" s="394" t="e">
        <f ca="1">IF(NOT(OFFSET(Data!E1872,0,MATCH('Delta Beta'!$C$5,Data!$B$4:$Q$4,0)-1)=""),OFFSET(Data!E1872,0,MATCH('Delta Beta'!$C$5,Data!$B$4:$Q$4,0)-1),#N/A)-$C$8/250</f>
        <v>#N/A</v>
      </c>
      <c r="N1869" s="395"/>
      <c r="R1869" s="391"/>
    </row>
    <row r="1870" spans="12:18">
      <c r="L1870" s="394" t="e">
        <f ca="1">IF(NOT(OFFSET(Data!E1873,0,MATCH('Delta Beta'!$C$5,Data!$B$4:$Q$4,0)-3)=""),OFFSET(Data!E1873,0,MATCH('Delta Beta'!$C$5,Data!$B$4:$Q$4,0)-3),#N/A)-$C$8/250</f>
        <v>#N/A</v>
      </c>
      <c r="M1870" s="394" t="e">
        <f ca="1">IF(NOT(OFFSET(Data!E1873,0,MATCH('Delta Beta'!$C$5,Data!$B$4:$Q$4,0)-1)=""),OFFSET(Data!E1873,0,MATCH('Delta Beta'!$C$5,Data!$B$4:$Q$4,0)-1),#N/A)-$C$8/250</f>
        <v>#N/A</v>
      </c>
      <c r="N1870" s="395"/>
      <c r="R1870" s="391"/>
    </row>
    <row r="1871" spans="12:18">
      <c r="L1871" s="394" t="e">
        <f ca="1">IF(NOT(OFFSET(Data!E1874,0,MATCH('Delta Beta'!$C$5,Data!$B$4:$Q$4,0)-3)=""),OFFSET(Data!E1874,0,MATCH('Delta Beta'!$C$5,Data!$B$4:$Q$4,0)-3),#N/A)-$C$8/250</f>
        <v>#N/A</v>
      </c>
      <c r="M1871" s="394" t="e">
        <f ca="1">IF(NOT(OFFSET(Data!E1874,0,MATCH('Delta Beta'!$C$5,Data!$B$4:$Q$4,0)-1)=""),OFFSET(Data!E1874,0,MATCH('Delta Beta'!$C$5,Data!$B$4:$Q$4,0)-1),#N/A)-$C$8/250</f>
        <v>#N/A</v>
      </c>
      <c r="N1871" s="395"/>
      <c r="R1871" s="391"/>
    </row>
    <row r="1872" spans="12:18">
      <c r="L1872" s="394" t="e">
        <f ca="1">IF(NOT(OFFSET(Data!E1875,0,MATCH('Delta Beta'!$C$5,Data!$B$4:$Q$4,0)-3)=""),OFFSET(Data!E1875,0,MATCH('Delta Beta'!$C$5,Data!$B$4:$Q$4,0)-3),#N/A)-$C$8/250</f>
        <v>#N/A</v>
      </c>
      <c r="M1872" s="394" t="e">
        <f ca="1">IF(NOT(OFFSET(Data!E1875,0,MATCH('Delta Beta'!$C$5,Data!$B$4:$Q$4,0)-1)=""),OFFSET(Data!E1875,0,MATCH('Delta Beta'!$C$5,Data!$B$4:$Q$4,0)-1),#N/A)-$C$8/250</f>
        <v>#N/A</v>
      </c>
      <c r="N1872" s="395"/>
      <c r="R1872" s="391"/>
    </row>
    <row r="1873" spans="12:18">
      <c r="L1873" s="394" t="e">
        <f ca="1">IF(NOT(OFFSET(Data!E1876,0,MATCH('Delta Beta'!$C$5,Data!$B$4:$Q$4,0)-3)=""),OFFSET(Data!E1876,0,MATCH('Delta Beta'!$C$5,Data!$B$4:$Q$4,0)-3),#N/A)-$C$8/250</f>
        <v>#N/A</v>
      </c>
      <c r="M1873" s="394" t="e">
        <f ca="1">IF(NOT(OFFSET(Data!E1876,0,MATCH('Delta Beta'!$C$5,Data!$B$4:$Q$4,0)-1)=""),OFFSET(Data!E1876,0,MATCH('Delta Beta'!$C$5,Data!$B$4:$Q$4,0)-1),#N/A)-$C$8/250</f>
        <v>#N/A</v>
      </c>
      <c r="N1873" s="395"/>
      <c r="R1873" s="391"/>
    </row>
    <row r="1874" spans="12:18">
      <c r="L1874" s="394" t="e">
        <f ca="1">IF(NOT(OFFSET(Data!E1877,0,MATCH('Delta Beta'!$C$5,Data!$B$4:$Q$4,0)-3)=""),OFFSET(Data!E1877,0,MATCH('Delta Beta'!$C$5,Data!$B$4:$Q$4,0)-3),#N/A)-$C$8/250</f>
        <v>#N/A</v>
      </c>
      <c r="M1874" s="394" t="e">
        <f ca="1">IF(NOT(OFFSET(Data!E1877,0,MATCH('Delta Beta'!$C$5,Data!$B$4:$Q$4,0)-1)=""),OFFSET(Data!E1877,0,MATCH('Delta Beta'!$C$5,Data!$B$4:$Q$4,0)-1),#N/A)-$C$8/250</f>
        <v>#N/A</v>
      </c>
      <c r="N1874" s="395"/>
      <c r="R1874" s="391"/>
    </row>
    <row r="1875" spans="12:18">
      <c r="L1875" s="394" t="e">
        <f ca="1">IF(NOT(OFFSET(Data!E1878,0,MATCH('Delta Beta'!$C$5,Data!$B$4:$Q$4,0)-3)=""),OFFSET(Data!E1878,0,MATCH('Delta Beta'!$C$5,Data!$B$4:$Q$4,0)-3),#N/A)-$C$8/250</f>
        <v>#N/A</v>
      </c>
      <c r="M1875" s="394" t="e">
        <f ca="1">IF(NOT(OFFSET(Data!E1878,0,MATCH('Delta Beta'!$C$5,Data!$B$4:$Q$4,0)-1)=""),OFFSET(Data!E1878,0,MATCH('Delta Beta'!$C$5,Data!$B$4:$Q$4,0)-1),#N/A)-$C$8/250</f>
        <v>#N/A</v>
      </c>
      <c r="N1875" s="395"/>
      <c r="R1875" s="391"/>
    </row>
    <row r="1876" spans="12:18">
      <c r="L1876" s="394" t="e">
        <f ca="1">IF(NOT(OFFSET(Data!E1879,0,MATCH('Delta Beta'!$C$5,Data!$B$4:$Q$4,0)-3)=""),OFFSET(Data!E1879,0,MATCH('Delta Beta'!$C$5,Data!$B$4:$Q$4,0)-3),#N/A)-$C$8/250</f>
        <v>#N/A</v>
      </c>
      <c r="M1876" s="394" t="e">
        <f ca="1">IF(NOT(OFFSET(Data!E1879,0,MATCH('Delta Beta'!$C$5,Data!$B$4:$Q$4,0)-1)=""),OFFSET(Data!E1879,0,MATCH('Delta Beta'!$C$5,Data!$B$4:$Q$4,0)-1),#N/A)-$C$8/250</f>
        <v>#N/A</v>
      </c>
      <c r="N1876" s="395"/>
      <c r="R1876" s="391"/>
    </row>
    <row r="1877" spans="12:18">
      <c r="L1877" s="394" t="e">
        <f ca="1">IF(NOT(OFFSET(Data!E1880,0,MATCH('Delta Beta'!$C$5,Data!$B$4:$Q$4,0)-3)=""),OFFSET(Data!E1880,0,MATCH('Delta Beta'!$C$5,Data!$B$4:$Q$4,0)-3),#N/A)-$C$8/250</f>
        <v>#N/A</v>
      </c>
      <c r="M1877" s="394" t="e">
        <f ca="1">IF(NOT(OFFSET(Data!E1880,0,MATCH('Delta Beta'!$C$5,Data!$B$4:$Q$4,0)-1)=""),OFFSET(Data!E1880,0,MATCH('Delta Beta'!$C$5,Data!$B$4:$Q$4,0)-1),#N/A)-$C$8/250</f>
        <v>#N/A</v>
      </c>
      <c r="N1877" s="395"/>
      <c r="R1877" s="391"/>
    </row>
    <row r="1878" spans="12:18">
      <c r="L1878" s="394" t="e">
        <f ca="1">IF(NOT(OFFSET(Data!E1881,0,MATCH('Delta Beta'!$C$5,Data!$B$4:$Q$4,0)-3)=""),OFFSET(Data!E1881,0,MATCH('Delta Beta'!$C$5,Data!$B$4:$Q$4,0)-3),#N/A)-$C$8/250</f>
        <v>#N/A</v>
      </c>
      <c r="M1878" s="394" t="e">
        <f ca="1">IF(NOT(OFFSET(Data!E1881,0,MATCH('Delta Beta'!$C$5,Data!$B$4:$Q$4,0)-1)=""),OFFSET(Data!E1881,0,MATCH('Delta Beta'!$C$5,Data!$B$4:$Q$4,0)-1),#N/A)-$C$8/250</f>
        <v>#N/A</v>
      </c>
      <c r="N1878" s="395"/>
      <c r="R1878" s="391"/>
    </row>
    <row r="1879" spans="12:18">
      <c r="L1879" s="394" t="e">
        <f ca="1">IF(NOT(OFFSET(Data!E1882,0,MATCH('Delta Beta'!$C$5,Data!$B$4:$Q$4,0)-3)=""),OFFSET(Data!E1882,0,MATCH('Delta Beta'!$C$5,Data!$B$4:$Q$4,0)-3),#N/A)-$C$8/250</f>
        <v>#N/A</v>
      </c>
      <c r="M1879" s="394" t="e">
        <f ca="1">IF(NOT(OFFSET(Data!E1882,0,MATCH('Delta Beta'!$C$5,Data!$B$4:$Q$4,0)-1)=""),OFFSET(Data!E1882,0,MATCH('Delta Beta'!$C$5,Data!$B$4:$Q$4,0)-1),#N/A)-$C$8/250</f>
        <v>#N/A</v>
      </c>
      <c r="N1879" s="395"/>
      <c r="R1879" s="391"/>
    </row>
    <row r="1880" spans="12:18">
      <c r="L1880" s="394" t="e">
        <f ca="1">IF(NOT(OFFSET(Data!E1883,0,MATCH('Delta Beta'!$C$5,Data!$B$4:$Q$4,0)-3)=""),OFFSET(Data!E1883,0,MATCH('Delta Beta'!$C$5,Data!$B$4:$Q$4,0)-3),#N/A)-$C$8/250</f>
        <v>#N/A</v>
      </c>
      <c r="M1880" s="394" t="e">
        <f ca="1">IF(NOT(OFFSET(Data!E1883,0,MATCH('Delta Beta'!$C$5,Data!$B$4:$Q$4,0)-1)=""),OFFSET(Data!E1883,0,MATCH('Delta Beta'!$C$5,Data!$B$4:$Q$4,0)-1),#N/A)-$C$8/250</f>
        <v>#N/A</v>
      </c>
      <c r="N1880" s="395"/>
      <c r="R1880" s="391"/>
    </row>
    <row r="1881" spans="12:18">
      <c r="L1881" s="394" t="e">
        <f ca="1">IF(NOT(OFFSET(Data!E1884,0,MATCH('Delta Beta'!$C$5,Data!$B$4:$Q$4,0)-3)=""),OFFSET(Data!E1884,0,MATCH('Delta Beta'!$C$5,Data!$B$4:$Q$4,0)-3),#N/A)-$C$8/250</f>
        <v>#N/A</v>
      </c>
      <c r="M1881" s="394" t="e">
        <f ca="1">IF(NOT(OFFSET(Data!E1884,0,MATCH('Delta Beta'!$C$5,Data!$B$4:$Q$4,0)-1)=""),OFFSET(Data!E1884,0,MATCH('Delta Beta'!$C$5,Data!$B$4:$Q$4,0)-1),#N/A)-$C$8/250</f>
        <v>#N/A</v>
      </c>
      <c r="N1881" s="395"/>
      <c r="R1881" s="391"/>
    </row>
    <row r="1882" spans="12:18">
      <c r="L1882" s="394" t="e">
        <f ca="1">IF(NOT(OFFSET(Data!E1885,0,MATCH('Delta Beta'!$C$5,Data!$B$4:$Q$4,0)-3)=""),OFFSET(Data!E1885,0,MATCH('Delta Beta'!$C$5,Data!$B$4:$Q$4,0)-3),#N/A)-$C$8/250</f>
        <v>#N/A</v>
      </c>
      <c r="M1882" s="394" t="e">
        <f ca="1">IF(NOT(OFFSET(Data!E1885,0,MATCH('Delta Beta'!$C$5,Data!$B$4:$Q$4,0)-1)=""),OFFSET(Data!E1885,0,MATCH('Delta Beta'!$C$5,Data!$B$4:$Q$4,0)-1),#N/A)-$C$8/250</f>
        <v>#N/A</v>
      </c>
      <c r="N1882" s="395"/>
      <c r="R1882" s="391"/>
    </row>
    <row r="1883" spans="12:18">
      <c r="L1883" s="394" t="e">
        <f ca="1">IF(NOT(OFFSET(Data!E1886,0,MATCH('Delta Beta'!$C$5,Data!$B$4:$Q$4,0)-3)=""),OFFSET(Data!E1886,0,MATCH('Delta Beta'!$C$5,Data!$B$4:$Q$4,0)-3),#N/A)-$C$8/250</f>
        <v>#N/A</v>
      </c>
      <c r="M1883" s="394" t="e">
        <f ca="1">IF(NOT(OFFSET(Data!E1886,0,MATCH('Delta Beta'!$C$5,Data!$B$4:$Q$4,0)-1)=""),OFFSET(Data!E1886,0,MATCH('Delta Beta'!$C$5,Data!$B$4:$Q$4,0)-1),#N/A)-$C$8/250</f>
        <v>#N/A</v>
      </c>
      <c r="N1883" s="395"/>
      <c r="R1883" s="391"/>
    </row>
    <row r="1884" spans="12:18">
      <c r="L1884" s="394" t="e">
        <f ca="1">IF(NOT(OFFSET(Data!E1887,0,MATCH('Delta Beta'!$C$5,Data!$B$4:$Q$4,0)-3)=""),OFFSET(Data!E1887,0,MATCH('Delta Beta'!$C$5,Data!$B$4:$Q$4,0)-3),#N/A)-$C$8/250</f>
        <v>#N/A</v>
      </c>
      <c r="M1884" s="394" t="e">
        <f ca="1">IF(NOT(OFFSET(Data!E1887,0,MATCH('Delta Beta'!$C$5,Data!$B$4:$Q$4,0)-1)=""),OFFSET(Data!E1887,0,MATCH('Delta Beta'!$C$5,Data!$B$4:$Q$4,0)-1),#N/A)-$C$8/250</f>
        <v>#N/A</v>
      </c>
      <c r="N1884" s="395"/>
      <c r="R1884" s="391"/>
    </row>
    <row r="1885" spans="12:18">
      <c r="L1885" s="394" t="e">
        <f ca="1">IF(NOT(OFFSET(Data!E1888,0,MATCH('Delta Beta'!$C$5,Data!$B$4:$Q$4,0)-3)=""),OFFSET(Data!E1888,0,MATCH('Delta Beta'!$C$5,Data!$B$4:$Q$4,0)-3),#N/A)-$C$8/250</f>
        <v>#N/A</v>
      </c>
      <c r="M1885" s="394" t="e">
        <f ca="1">IF(NOT(OFFSET(Data!E1888,0,MATCH('Delta Beta'!$C$5,Data!$B$4:$Q$4,0)-1)=""),OFFSET(Data!E1888,0,MATCH('Delta Beta'!$C$5,Data!$B$4:$Q$4,0)-1),#N/A)-$C$8/250</f>
        <v>#N/A</v>
      </c>
      <c r="N1885" s="395"/>
      <c r="R1885" s="391"/>
    </row>
    <row r="1886" spans="12:18">
      <c r="L1886" s="394" t="e">
        <f ca="1">IF(NOT(OFFSET(Data!E1889,0,MATCH('Delta Beta'!$C$5,Data!$B$4:$Q$4,0)-3)=""),OFFSET(Data!E1889,0,MATCH('Delta Beta'!$C$5,Data!$B$4:$Q$4,0)-3),#N/A)-$C$8/250</f>
        <v>#N/A</v>
      </c>
      <c r="M1886" s="394" t="e">
        <f ca="1">IF(NOT(OFFSET(Data!E1889,0,MATCH('Delta Beta'!$C$5,Data!$B$4:$Q$4,0)-1)=""),OFFSET(Data!E1889,0,MATCH('Delta Beta'!$C$5,Data!$B$4:$Q$4,0)-1),#N/A)-$C$8/250</f>
        <v>#N/A</v>
      </c>
      <c r="N1886" s="395"/>
      <c r="R1886" s="391"/>
    </row>
    <row r="1887" spans="12:18">
      <c r="L1887" s="394" t="e">
        <f ca="1">IF(NOT(OFFSET(Data!E1890,0,MATCH('Delta Beta'!$C$5,Data!$B$4:$Q$4,0)-3)=""),OFFSET(Data!E1890,0,MATCH('Delta Beta'!$C$5,Data!$B$4:$Q$4,0)-3),#N/A)-$C$8/250</f>
        <v>#N/A</v>
      </c>
      <c r="M1887" s="394" t="e">
        <f ca="1">IF(NOT(OFFSET(Data!E1890,0,MATCH('Delta Beta'!$C$5,Data!$B$4:$Q$4,0)-1)=""),OFFSET(Data!E1890,0,MATCH('Delta Beta'!$C$5,Data!$B$4:$Q$4,0)-1),#N/A)-$C$8/250</f>
        <v>#N/A</v>
      </c>
      <c r="N1887" s="395"/>
      <c r="R1887" s="391"/>
    </row>
    <row r="1888" spans="12:18">
      <c r="L1888" s="394" t="e">
        <f ca="1">IF(NOT(OFFSET(Data!E1891,0,MATCH('Delta Beta'!$C$5,Data!$B$4:$Q$4,0)-3)=""),OFFSET(Data!E1891,0,MATCH('Delta Beta'!$C$5,Data!$B$4:$Q$4,0)-3),#N/A)-$C$8/250</f>
        <v>#N/A</v>
      </c>
      <c r="M1888" s="394" t="e">
        <f ca="1">IF(NOT(OFFSET(Data!E1891,0,MATCH('Delta Beta'!$C$5,Data!$B$4:$Q$4,0)-1)=""),OFFSET(Data!E1891,0,MATCH('Delta Beta'!$C$5,Data!$B$4:$Q$4,0)-1),#N/A)-$C$8/250</f>
        <v>#N/A</v>
      </c>
      <c r="N1888" s="395"/>
      <c r="R1888" s="391"/>
    </row>
    <row r="1889" spans="12:18">
      <c r="L1889" s="394" t="e">
        <f ca="1">IF(NOT(OFFSET(Data!E1892,0,MATCH('Delta Beta'!$C$5,Data!$B$4:$Q$4,0)-3)=""),OFFSET(Data!E1892,0,MATCH('Delta Beta'!$C$5,Data!$B$4:$Q$4,0)-3),#N/A)-$C$8/250</f>
        <v>#N/A</v>
      </c>
      <c r="M1889" s="394" t="e">
        <f ca="1">IF(NOT(OFFSET(Data!E1892,0,MATCH('Delta Beta'!$C$5,Data!$B$4:$Q$4,0)-1)=""),OFFSET(Data!E1892,0,MATCH('Delta Beta'!$C$5,Data!$B$4:$Q$4,0)-1),#N/A)-$C$8/250</f>
        <v>#N/A</v>
      </c>
      <c r="N1889" s="395"/>
      <c r="R1889" s="391"/>
    </row>
    <row r="1890" spans="12:18">
      <c r="L1890" s="394" t="e">
        <f ca="1">IF(NOT(OFFSET(Data!E1893,0,MATCH('Delta Beta'!$C$5,Data!$B$4:$Q$4,0)-3)=""),OFFSET(Data!E1893,0,MATCH('Delta Beta'!$C$5,Data!$B$4:$Q$4,0)-3),#N/A)-$C$8/250</f>
        <v>#N/A</v>
      </c>
      <c r="M1890" s="394" t="e">
        <f ca="1">IF(NOT(OFFSET(Data!E1893,0,MATCH('Delta Beta'!$C$5,Data!$B$4:$Q$4,0)-1)=""),OFFSET(Data!E1893,0,MATCH('Delta Beta'!$C$5,Data!$B$4:$Q$4,0)-1),#N/A)-$C$8/250</f>
        <v>#N/A</v>
      </c>
      <c r="N1890" s="395"/>
      <c r="R1890" s="391"/>
    </row>
    <row r="1891" spans="12:18">
      <c r="L1891" s="394" t="e">
        <f ca="1">IF(NOT(OFFSET(Data!E1894,0,MATCH('Delta Beta'!$C$5,Data!$B$4:$Q$4,0)-3)=""),OFFSET(Data!E1894,0,MATCH('Delta Beta'!$C$5,Data!$B$4:$Q$4,0)-3),#N/A)-$C$8/250</f>
        <v>#N/A</v>
      </c>
      <c r="M1891" s="394" t="e">
        <f ca="1">IF(NOT(OFFSET(Data!E1894,0,MATCH('Delta Beta'!$C$5,Data!$B$4:$Q$4,0)-1)=""),OFFSET(Data!E1894,0,MATCH('Delta Beta'!$C$5,Data!$B$4:$Q$4,0)-1),#N/A)-$C$8/250</f>
        <v>#N/A</v>
      </c>
      <c r="N1891" s="395"/>
      <c r="R1891" s="391"/>
    </row>
    <row r="1892" spans="12:18">
      <c r="L1892" s="394" t="e">
        <f ca="1">IF(NOT(OFFSET(Data!E1895,0,MATCH('Delta Beta'!$C$5,Data!$B$4:$Q$4,0)-3)=""),OFFSET(Data!E1895,0,MATCH('Delta Beta'!$C$5,Data!$B$4:$Q$4,0)-3),#N/A)-$C$8/250</f>
        <v>#N/A</v>
      </c>
      <c r="M1892" s="394" t="e">
        <f ca="1">IF(NOT(OFFSET(Data!E1895,0,MATCH('Delta Beta'!$C$5,Data!$B$4:$Q$4,0)-1)=""),OFFSET(Data!E1895,0,MATCH('Delta Beta'!$C$5,Data!$B$4:$Q$4,0)-1),#N/A)-$C$8/250</f>
        <v>#N/A</v>
      </c>
      <c r="N1892" s="395"/>
      <c r="R1892" s="391"/>
    </row>
    <row r="1893" spans="12:18">
      <c r="L1893" s="394" t="e">
        <f ca="1">IF(NOT(OFFSET(Data!E1896,0,MATCH('Delta Beta'!$C$5,Data!$B$4:$Q$4,0)-3)=""),OFFSET(Data!E1896,0,MATCH('Delta Beta'!$C$5,Data!$B$4:$Q$4,0)-3),#N/A)-$C$8/250</f>
        <v>#N/A</v>
      </c>
      <c r="M1893" s="394" t="e">
        <f ca="1">IF(NOT(OFFSET(Data!E1896,0,MATCH('Delta Beta'!$C$5,Data!$B$4:$Q$4,0)-1)=""),OFFSET(Data!E1896,0,MATCH('Delta Beta'!$C$5,Data!$B$4:$Q$4,0)-1),#N/A)-$C$8/250</f>
        <v>#N/A</v>
      </c>
      <c r="N1893" s="395"/>
      <c r="R1893" s="391"/>
    </row>
    <row r="1894" spans="12:18">
      <c r="L1894" s="394" t="e">
        <f ca="1">IF(NOT(OFFSET(Data!E1897,0,MATCH('Delta Beta'!$C$5,Data!$B$4:$Q$4,0)-3)=""),OFFSET(Data!E1897,0,MATCH('Delta Beta'!$C$5,Data!$B$4:$Q$4,0)-3),#N/A)-$C$8/250</f>
        <v>#N/A</v>
      </c>
      <c r="M1894" s="394" t="e">
        <f ca="1">IF(NOT(OFFSET(Data!E1897,0,MATCH('Delta Beta'!$C$5,Data!$B$4:$Q$4,0)-1)=""),OFFSET(Data!E1897,0,MATCH('Delta Beta'!$C$5,Data!$B$4:$Q$4,0)-1),#N/A)-$C$8/250</f>
        <v>#N/A</v>
      </c>
      <c r="N1894" s="395"/>
      <c r="R1894" s="391"/>
    </row>
    <row r="1895" spans="12:18">
      <c r="L1895" s="394" t="e">
        <f ca="1">IF(NOT(OFFSET(Data!E1898,0,MATCH('Delta Beta'!$C$5,Data!$B$4:$Q$4,0)-3)=""),OFFSET(Data!E1898,0,MATCH('Delta Beta'!$C$5,Data!$B$4:$Q$4,0)-3),#N/A)-$C$8/250</f>
        <v>#N/A</v>
      </c>
      <c r="M1895" s="394" t="e">
        <f ca="1">IF(NOT(OFFSET(Data!E1898,0,MATCH('Delta Beta'!$C$5,Data!$B$4:$Q$4,0)-1)=""),OFFSET(Data!E1898,0,MATCH('Delta Beta'!$C$5,Data!$B$4:$Q$4,0)-1),#N/A)-$C$8/250</f>
        <v>#N/A</v>
      </c>
      <c r="N1895" s="395"/>
      <c r="R1895" s="391"/>
    </row>
    <row r="1896" spans="12:18">
      <c r="L1896" s="394" t="e">
        <f ca="1">IF(NOT(OFFSET(Data!E1899,0,MATCH('Delta Beta'!$C$5,Data!$B$4:$Q$4,0)-3)=""),OFFSET(Data!E1899,0,MATCH('Delta Beta'!$C$5,Data!$B$4:$Q$4,0)-3),#N/A)-$C$8/250</f>
        <v>#N/A</v>
      </c>
      <c r="M1896" s="394" t="e">
        <f ca="1">IF(NOT(OFFSET(Data!E1899,0,MATCH('Delta Beta'!$C$5,Data!$B$4:$Q$4,0)-1)=""),OFFSET(Data!E1899,0,MATCH('Delta Beta'!$C$5,Data!$B$4:$Q$4,0)-1),#N/A)-$C$8/250</f>
        <v>#N/A</v>
      </c>
      <c r="N1896" s="395"/>
      <c r="R1896" s="391"/>
    </row>
    <row r="1897" spans="12:18">
      <c r="L1897" s="394" t="e">
        <f ca="1">IF(NOT(OFFSET(Data!E1900,0,MATCH('Delta Beta'!$C$5,Data!$B$4:$Q$4,0)-3)=""),OFFSET(Data!E1900,0,MATCH('Delta Beta'!$C$5,Data!$B$4:$Q$4,0)-3),#N/A)-$C$8/250</f>
        <v>#N/A</v>
      </c>
      <c r="M1897" s="394" t="e">
        <f ca="1">IF(NOT(OFFSET(Data!E1900,0,MATCH('Delta Beta'!$C$5,Data!$B$4:$Q$4,0)-1)=""),OFFSET(Data!E1900,0,MATCH('Delta Beta'!$C$5,Data!$B$4:$Q$4,0)-1),#N/A)-$C$8/250</f>
        <v>#N/A</v>
      </c>
      <c r="N1897" s="395"/>
      <c r="R1897" s="391"/>
    </row>
    <row r="1898" spans="12:18">
      <c r="L1898" s="394" t="e">
        <f ca="1">IF(NOT(OFFSET(Data!E1901,0,MATCH('Delta Beta'!$C$5,Data!$B$4:$Q$4,0)-3)=""),OFFSET(Data!E1901,0,MATCH('Delta Beta'!$C$5,Data!$B$4:$Q$4,0)-3),#N/A)-$C$8/250</f>
        <v>#N/A</v>
      </c>
      <c r="M1898" s="394" t="e">
        <f ca="1">IF(NOT(OFFSET(Data!E1901,0,MATCH('Delta Beta'!$C$5,Data!$B$4:$Q$4,0)-1)=""),OFFSET(Data!E1901,0,MATCH('Delta Beta'!$C$5,Data!$B$4:$Q$4,0)-1),#N/A)-$C$8/250</f>
        <v>#N/A</v>
      </c>
      <c r="N1898" s="395"/>
      <c r="R1898" s="391"/>
    </row>
    <row r="1899" spans="12:18">
      <c r="L1899" s="394" t="e">
        <f ca="1">IF(NOT(OFFSET(Data!E1902,0,MATCH('Delta Beta'!$C$5,Data!$B$4:$Q$4,0)-3)=""),OFFSET(Data!E1902,0,MATCH('Delta Beta'!$C$5,Data!$B$4:$Q$4,0)-3),#N/A)-$C$8/250</f>
        <v>#N/A</v>
      </c>
      <c r="M1899" s="394" t="e">
        <f ca="1">IF(NOT(OFFSET(Data!E1902,0,MATCH('Delta Beta'!$C$5,Data!$B$4:$Q$4,0)-1)=""),OFFSET(Data!E1902,0,MATCH('Delta Beta'!$C$5,Data!$B$4:$Q$4,0)-1),#N/A)-$C$8/250</f>
        <v>#N/A</v>
      </c>
      <c r="N1899" s="395"/>
      <c r="R1899" s="391"/>
    </row>
    <row r="1900" spans="12:18">
      <c r="L1900" s="394" t="e">
        <f ca="1">IF(NOT(OFFSET(Data!E1903,0,MATCH('Delta Beta'!$C$5,Data!$B$4:$Q$4,0)-3)=""),OFFSET(Data!E1903,0,MATCH('Delta Beta'!$C$5,Data!$B$4:$Q$4,0)-3),#N/A)-$C$8/250</f>
        <v>#N/A</v>
      </c>
      <c r="M1900" s="394" t="e">
        <f ca="1">IF(NOT(OFFSET(Data!E1903,0,MATCH('Delta Beta'!$C$5,Data!$B$4:$Q$4,0)-1)=""),OFFSET(Data!E1903,0,MATCH('Delta Beta'!$C$5,Data!$B$4:$Q$4,0)-1),#N/A)-$C$8/250</f>
        <v>#N/A</v>
      </c>
      <c r="N1900" s="395"/>
      <c r="R1900" s="391"/>
    </row>
    <row r="1901" spans="12:18">
      <c r="L1901" s="394" t="e">
        <f ca="1">IF(NOT(OFFSET(Data!E1904,0,MATCH('Delta Beta'!$C$5,Data!$B$4:$Q$4,0)-3)=""),OFFSET(Data!E1904,0,MATCH('Delta Beta'!$C$5,Data!$B$4:$Q$4,0)-3),#N/A)-$C$8/250</f>
        <v>#N/A</v>
      </c>
      <c r="M1901" s="394" t="e">
        <f ca="1">IF(NOT(OFFSET(Data!E1904,0,MATCH('Delta Beta'!$C$5,Data!$B$4:$Q$4,0)-1)=""),OFFSET(Data!E1904,0,MATCH('Delta Beta'!$C$5,Data!$B$4:$Q$4,0)-1),#N/A)-$C$8/250</f>
        <v>#N/A</v>
      </c>
      <c r="N1901" s="395"/>
      <c r="R1901" s="391"/>
    </row>
    <row r="1902" spans="12:18">
      <c r="L1902" s="394" t="e">
        <f ca="1">IF(NOT(OFFSET(Data!E1905,0,MATCH('Delta Beta'!$C$5,Data!$B$4:$Q$4,0)-3)=""),OFFSET(Data!E1905,0,MATCH('Delta Beta'!$C$5,Data!$B$4:$Q$4,0)-3),#N/A)-$C$8/250</f>
        <v>#N/A</v>
      </c>
      <c r="M1902" s="394" t="e">
        <f ca="1">IF(NOT(OFFSET(Data!E1905,0,MATCH('Delta Beta'!$C$5,Data!$B$4:$Q$4,0)-1)=""),OFFSET(Data!E1905,0,MATCH('Delta Beta'!$C$5,Data!$B$4:$Q$4,0)-1),#N/A)-$C$8/250</f>
        <v>#N/A</v>
      </c>
      <c r="N1902" s="395"/>
      <c r="R1902" s="391"/>
    </row>
    <row r="1903" spans="12:18">
      <c r="L1903" s="394" t="e">
        <f ca="1">IF(NOT(OFFSET(Data!E1906,0,MATCH('Delta Beta'!$C$5,Data!$B$4:$Q$4,0)-3)=""),OFFSET(Data!E1906,0,MATCH('Delta Beta'!$C$5,Data!$B$4:$Q$4,0)-3),#N/A)-$C$8/250</f>
        <v>#N/A</v>
      </c>
      <c r="M1903" s="394" t="e">
        <f ca="1">IF(NOT(OFFSET(Data!E1906,0,MATCH('Delta Beta'!$C$5,Data!$B$4:$Q$4,0)-1)=""),OFFSET(Data!E1906,0,MATCH('Delta Beta'!$C$5,Data!$B$4:$Q$4,0)-1),#N/A)-$C$8/250</f>
        <v>#N/A</v>
      </c>
      <c r="N1903" s="395"/>
      <c r="R1903" s="391"/>
    </row>
    <row r="1904" spans="12:18">
      <c r="L1904" s="394" t="e">
        <f ca="1">IF(NOT(OFFSET(Data!E1907,0,MATCH('Delta Beta'!$C$5,Data!$B$4:$Q$4,0)-3)=""),OFFSET(Data!E1907,0,MATCH('Delta Beta'!$C$5,Data!$B$4:$Q$4,0)-3),#N/A)-$C$8/250</f>
        <v>#N/A</v>
      </c>
      <c r="M1904" s="394" t="e">
        <f ca="1">IF(NOT(OFFSET(Data!E1907,0,MATCH('Delta Beta'!$C$5,Data!$B$4:$Q$4,0)-1)=""),OFFSET(Data!E1907,0,MATCH('Delta Beta'!$C$5,Data!$B$4:$Q$4,0)-1),#N/A)-$C$8/250</f>
        <v>#N/A</v>
      </c>
      <c r="N1904" s="395"/>
      <c r="R1904" s="391"/>
    </row>
    <row r="1905" spans="12:18">
      <c r="L1905" s="394" t="e">
        <f ca="1">IF(NOT(OFFSET(Data!E1908,0,MATCH('Delta Beta'!$C$5,Data!$B$4:$Q$4,0)-3)=""),OFFSET(Data!E1908,0,MATCH('Delta Beta'!$C$5,Data!$B$4:$Q$4,0)-3),#N/A)-$C$8/250</f>
        <v>#N/A</v>
      </c>
      <c r="M1905" s="394" t="e">
        <f ca="1">IF(NOT(OFFSET(Data!E1908,0,MATCH('Delta Beta'!$C$5,Data!$B$4:$Q$4,0)-1)=""),OFFSET(Data!E1908,0,MATCH('Delta Beta'!$C$5,Data!$B$4:$Q$4,0)-1),#N/A)-$C$8/250</f>
        <v>#N/A</v>
      </c>
      <c r="N1905" s="395"/>
      <c r="R1905" s="391"/>
    </row>
    <row r="1906" spans="12:18">
      <c r="L1906" s="394" t="e">
        <f ca="1">IF(NOT(OFFSET(Data!E1909,0,MATCH('Delta Beta'!$C$5,Data!$B$4:$Q$4,0)-3)=""),OFFSET(Data!E1909,0,MATCH('Delta Beta'!$C$5,Data!$B$4:$Q$4,0)-3),#N/A)-$C$8/250</f>
        <v>#N/A</v>
      </c>
      <c r="M1906" s="394" t="e">
        <f ca="1">IF(NOT(OFFSET(Data!E1909,0,MATCH('Delta Beta'!$C$5,Data!$B$4:$Q$4,0)-1)=""),OFFSET(Data!E1909,0,MATCH('Delta Beta'!$C$5,Data!$B$4:$Q$4,0)-1),#N/A)-$C$8/250</f>
        <v>#N/A</v>
      </c>
      <c r="N1906" s="395"/>
      <c r="R1906" s="391"/>
    </row>
    <row r="1907" spans="12:18">
      <c r="L1907" s="394" t="e">
        <f ca="1">IF(NOT(OFFSET(Data!E1910,0,MATCH('Delta Beta'!$C$5,Data!$B$4:$Q$4,0)-3)=""),OFFSET(Data!E1910,0,MATCH('Delta Beta'!$C$5,Data!$B$4:$Q$4,0)-3),#N/A)-$C$8/250</f>
        <v>#N/A</v>
      </c>
      <c r="M1907" s="394" t="e">
        <f ca="1">IF(NOT(OFFSET(Data!E1910,0,MATCH('Delta Beta'!$C$5,Data!$B$4:$Q$4,0)-1)=""),OFFSET(Data!E1910,0,MATCH('Delta Beta'!$C$5,Data!$B$4:$Q$4,0)-1),#N/A)-$C$8/250</f>
        <v>#N/A</v>
      </c>
      <c r="N1907" s="395"/>
      <c r="R1907" s="391"/>
    </row>
    <row r="1908" spans="12:18">
      <c r="L1908" s="394" t="e">
        <f ca="1">IF(NOT(OFFSET(Data!E1911,0,MATCH('Delta Beta'!$C$5,Data!$B$4:$Q$4,0)-3)=""),OFFSET(Data!E1911,0,MATCH('Delta Beta'!$C$5,Data!$B$4:$Q$4,0)-3),#N/A)-$C$8/250</f>
        <v>#N/A</v>
      </c>
      <c r="M1908" s="394" t="e">
        <f ca="1">IF(NOT(OFFSET(Data!E1911,0,MATCH('Delta Beta'!$C$5,Data!$B$4:$Q$4,0)-1)=""),OFFSET(Data!E1911,0,MATCH('Delta Beta'!$C$5,Data!$B$4:$Q$4,0)-1),#N/A)-$C$8/250</f>
        <v>#N/A</v>
      </c>
      <c r="N1908" s="395"/>
      <c r="R1908" s="391"/>
    </row>
    <row r="1909" spans="12:18">
      <c r="L1909" s="394" t="e">
        <f ca="1">IF(NOT(OFFSET(Data!E1912,0,MATCH('Delta Beta'!$C$5,Data!$B$4:$Q$4,0)-3)=""),OFFSET(Data!E1912,0,MATCH('Delta Beta'!$C$5,Data!$B$4:$Q$4,0)-3),#N/A)-$C$8/250</f>
        <v>#N/A</v>
      </c>
      <c r="M1909" s="394" t="e">
        <f ca="1">IF(NOT(OFFSET(Data!E1912,0,MATCH('Delta Beta'!$C$5,Data!$B$4:$Q$4,0)-1)=""),OFFSET(Data!E1912,0,MATCH('Delta Beta'!$C$5,Data!$B$4:$Q$4,0)-1),#N/A)-$C$8/250</f>
        <v>#N/A</v>
      </c>
      <c r="N1909" s="395"/>
      <c r="R1909" s="391"/>
    </row>
    <row r="1910" spans="12:18">
      <c r="L1910" s="394" t="e">
        <f ca="1">IF(NOT(OFFSET(Data!E1913,0,MATCH('Delta Beta'!$C$5,Data!$B$4:$Q$4,0)-3)=""),OFFSET(Data!E1913,0,MATCH('Delta Beta'!$C$5,Data!$B$4:$Q$4,0)-3),#N/A)-$C$8/250</f>
        <v>#N/A</v>
      </c>
      <c r="M1910" s="394" t="e">
        <f ca="1">IF(NOT(OFFSET(Data!E1913,0,MATCH('Delta Beta'!$C$5,Data!$B$4:$Q$4,0)-1)=""),OFFSET(Data!E1913,0,MATCH('Delta Beta'!$C$5,Data!$B$4:$Q$4,0)-1),#N/A)-$C$8/250</f>
        <v>#N/A</v>
      </c>
      <c r="N1910" s="395"/>
      <c r="R1910" s="391"/>
    </row>
    <row r="1911" spans="12:18">
      <c r="L1911" s="394" t="e">
        <f ca="1">IF(NOT(OFFSET(Data!E1914,0,MATCH('Delta Beta'!$C$5,Data!$B$4:$Q$4,0)-3)=""),OFFSET(Data!E1914,0,MATCH('Delta Beta'!$C$5,Data!$B$4:$Q$4,0)-3),#N/A)-$C$8/250</f>
        <v>#N/A</v>
      </c>
      <c r="M1911" s="394" t="e">
        <f ca="1">IF(NOT(OFFSET(Data!E1914,0,MATCH('Delta Beta'!$C$5,Data!$B$4:$Q$4,0)-1)=""),OFFSET(Data!E1914,0,MATCH('Delta Beta'!$C$5,Data!$B$4:$Q$4,0)-1),#N/A)-$C$8/250</f>
        <v>#N/A</v>
      </c>
      <c r="N1911" s="395"/>
      <c r="R1911" s="391"/>
    </row>
    <row r="1912" spans="12:18">
      <c r="L1912" s="394" t="e">
        <f ca="1">IF(NOT(OFFSET(Data!E1915,0,MATCH('Delta Beta'!$C$5,Data!$B$4:$Q$4,0)-3)=""),OFFSET(Data!E1915,0,MATCH('Delta Beta'!$C$5,Data!$B$4:$Q$4,0)-3),#N/A)-$C$8/250</f>
        <v>#N/A</v>
      </c>
      <c r="M1912" s="394" t="e">
        <f ca="1">IF(NOT(OFFSET(Data!E1915,0,MATCH('Delta Beta'!$C$5,Data!$B$4:$Q$4,0)-1)=""),OFFSET(Data!E1915,0,MATCH('Delta Beta'!$C$5,Data!$B$4:$Q$4,0)-1),#N/A)-$C$8/250</f>
        <v>#N/A</v>
      </c>
      <c r="N1912" s="395"/>
      <c r="R1912" s="391"/>
    </row>
    <row r="1913" spans="12:18">
      <c r="L1913" s="394" t="e">
        <f ca="1">IF(NOT(OFFSET(Data!E1916,0,MATCH('Delta Beta'!$C$5,Data!$B$4:$Q$4,0)-3)=""),OFFSET(Data!E1916,0,MATCH('Delta Beta'!$C$5,Data!$B$4:$Q$4,0)-3),#N/A)-$C$8/250</f>
        <v>#N/A</v>
      </c>
      <c r="M1913" s="394" t="e">
        <f ca="1">IF(NOT(OFFSET(Data!E1916,0,MATCH('Delta Beta'!$C$5,Data!$B$4:$Q$4,0)-1)=""),OFFSET(Data!E1916,0,MATCH('Delta Beta'!$C$5,Data!$B$4:$Q$4,0)-1),#N/A)-$C$8/250</f>
        <v>#N/A</v>
      </c>
      <c r="N1913" s="395"/>
      <c r="R1913" s="391"/>
    </row>
    <row r="1914" spans="12:18">
      <c r="L1914" s="394" t="e">
        <f ca="1">IF(NOT(OFFSET(Data!E1917,0,MATCH('Delta Beta'!$C$5,Data!$B$4:$Q$4,0)-3)=""),OFFSET(Data!E1917,0,MATCH('Delta Beta'!$C$5,Data!$B$4:$Q$4,0)-3),#N/A)-$C$8/250</f>
        <v>#N/A</v>
      </c>
      <c r="M1914" s="394" t="e">
        <f ca="1">IF(NOT(OFFSET(Data!E1917,0,MATCH('Delta Beta'!$C$5,Data!$B$4:$Q$4,0)-1)=""),OFFSET(Data!E1917,0,MATCH('Delta Beta'!$C$5,Data!$B$4:$Q$4,0)-1),#N/A)-$C$8/250</f>
        <v>#N/A</v>
      </c>
      <c r="N1914" s="395"/>
      <c r="R1914" s="391"/>
    </row>
    <row r="1915" spans="12:18">
      <c r="L1915" s="394" t="e">
        <f ca="1">IF(NOT(OFFSET(Data!E1918,0,MATCH('Delta Beta'!$C$5,Data!$B$4:$Q$4,0)-3)=""),OFFSET(Data!E1918,0,MATCH('Delta Beta'!$C$5,Data!$B$4:$Q$4,0)-3),#N/A)-$C$8/250</f>
        <v>#N/A</v>
      </c>
      <c r="M1915" s="394" t="e">
        <f ca="1">IF(NOT(OFFSET(Data!E1918,0,MATCH('Delta Beta'!$C$5,Data!$B$4:$Q$4,0)-1)=""),OFFSET(Data!E1918,0,MATCH('Delta Beta'!$C$5,Data!$B$4:$Q$4,0)-1),#N/A)-$C$8/250</f>
        <v>#N/A</v>
      </c>
      <c r="N1915" s="395"/>
      <c r="R1915" s="391"/>
    </row>
    <row r="1916" spans="12:18">
      <c r="L1916" s="394" t="e">
        <f ca="1">IF(NOT(OFFSET(Data!E1919,0,MATCH('Delta Beta'!$C$5,Data!$B$4:$Q$4,0)-3)=""),OFFSET(Data!E1919,0,MATCH('Delta Beta'!$C$5,Data!$B$4:$Q$4,0)-3),#N/A)-$C$8/250</f>
        <v>#N/A</v>
      </c>
      <c r="M1916" s="394" t="e">
        <f ca="1">IF(NOT(OFFSET(Data!E1919,0,MATCH('Delta Beta'!$C$5,Data!$B$4:$Q$4,0)-1)=""),OFFSET(Data!E1919,0,MATCH('Delta Beta'!$C$5,Data!$B$4:$Q$4,0)-1),#N/A)-$C$8/250</f>
        <v>#N/A</v>
      </c>
      <c r="N1916" s="395"/>
      <c r="R1916" s="391"/>
    </row>
    <row r="1917" spans="12:18">
      <c r="L1917" s="394" t="e">
        <f ca="1">IF(NOT(OFFSET(Data!E1920,0,MATCH('Delta Beta'!$C$5,Data!$B$4:$Q$4,0)-3)=""),OFFSET(Data!E1920,0,MATCH('Delta Beta'!$C$5,Data!$B$4:$Q$4,0)-3),#N/A)-$C$8/250</f>
        <v>#N/A</v>
      </c>
      <c r="M1917" s="394" t="e">
        <f ca="1">IF(NOT(OFFSET(Data!E1920,0,MATCH('Delta Beta'!$C$5,Data!$B$4:$Q$4,0)-1)=""),OFFSET(Data!E1920,0,MATCH('Delta Beta'!$C$5,Data!$B$4:$Q$4,0)-1),#N/A)-$C$8/250</f>
        <v>#N/A</v>
      </c>
      <c r="N1917" s="395"/>
      <c r="R1917" s="391"/>
    </row>
    <row r="1918" spans="12:18">
      <c r="L1918" s="394" t="e">
        <f ca="1">IF(NOT(OFFSET(Data!E1921,0,MATCH('Delta Beta'!$C$5,Data!$B$4:$Q$4,0)-3)=""),OFFSET(Data!E1921,0,MATCH('Delta Beta'!$C$5,Data!$B$4:$Q$4,0)-3),#N/A)-$C$8/250</f>
        <v>#N/A</v>
      </c>
      <c r="M1918" s="394" t="e">
        <f ca="1">IF(NOT(OFFSET(Data!E1921,0,MATCH('Delta Beta'!$C$5,Data!$B$4:$Q$4,0)-1)=""),OFFSET(Data!E1921,0,MATCH('Delta Beta'!$C$5,Data!$B$4:$Q$4,0)-1),#N/A)-$C$8/250</f>
        <v>#N/A</v>
      </c>
      <c r="N1918" s="395"/>
      <c r="R1918" s="391"/>
    </row>
    <row r="1919" spans="12:18">
      <c r="L1919" s="394" t="e">
        <f ca="1">IF(NOT(OFFSET(Data!E1922,0,MATCH('Delta Beta'!$C$5,Data!$B$4:$Q$4,0)-3)=""),OFFSET(Data!E1922,0,MATCH('Delta Beta'!$C$5,Data!$B$4:$Q$4,0)-3),#N/A)-$C$8/250</f>
        <v>#N/A</v>
      </c>
      <c r="M1919" s="394" t="e">
        <f ca="1">IF(NOT(OFFSET(Data!E1922,0,MATCH('Delta Beta'!$C$5,Data!$B$4:$Q$4,0)-1)=""),OFFSET(Data!E1922,0,MATCH('Delta Beta'!$C$5,Data!$B$4:$Q$4,0)-1),#N/A)-$C$8/250</f>
        <v>#N/A</v>
      </c>
      <c r="N1919" s="395"/>
      <c r="R1919" s="391"/>
    </row>
    <row r="1920" spans="12:18">
      <c r="L1920" s="394" t="e">
        <f ca="1">IF(NOT(OFFSET(Data!E1923,0,MATCH('Delta Beta'!$C$5,Data!$B$4:$Q$4,0)-3)=""),OFFSET(Data!E1923,0,MATCH('Delta Beta'!$C$5,Data!$B$4:$Q$4,0)-3),#N/A)-$C$8/250</f>
        <v>#N/A</v>
      </c>
      <c r="M1920" s="394" t="e">
        <f ca="1">IF(NOT(OFFSET(Data!E1923,0,MATCH('Delta Beta'!$C$5,Data!$B$4:$Q$4,0)-1)=""),OFFSET(Data!E1923,0,MATCH('Delta Beta'!$C$5,Data!$B$4:$Q$4,0)-1),#N/A)-$C$8/250</f>
        <v>#N/A</v>
      </c>
      <c r="N1920" s="395"/>
      <c r="R1920" s="391"/>
    </row>
    <row r="1921" spans="12:18">
      <c r="L1921" s="394" t="e">
        <f ca="1">IF(NOT(OFFSET(Data!E1924,0,MATCH('Delta Beta'!$C$5,Data!$B$4:$Q$4,0)-3)=""),OFFSET(Data!E1924,0,MATCH('Delta Beta'!$C$5,Data!$B$4:$Q$4,0)-3),#N/A)-$C$8/250</f>
        <v>#N/A</v>
      </c>
      <c r="M1921" s="394" t="e">
        <f ca="1">IF(NOT(OFFSET(Data!E1924,0,MATCH('Delta Beta'!$C$5,Data!$B$4:$Q$4,0)-1)=""),OFFSET(Data!E1924,0,MATCH('Delta Beta'!$C$5,Data!$B$4:$Q$4,0)-1),#N/A)-$C$8/250</f>
        <v>#N/A</v>
      </c>
      <c r="N1921" s="395"/>
      <c r="R1921" s="391"/>
    </row>
    <row r="1922" spans="12:18">
      <c r="L1922" s="394" t="e">
        <f ca="1">IF(NOT(OFFSET(Data!E1925,0,MATCH('Delta Beta'!$C$5,Data!$B$4:$Q$4,0)-3)=""),OFFSET(Data!E1925,0,MATCH('Delta Beta'!$C$5,Data!$B$4:$Q$4,0)-3),#N/A)-$C$8/250</f>
        <v>#N/A</v>
      </c>
      <c r="M1922" s="394" t="e">
        <f ca="1">IF(NOT(OFFSET(Data!E1925,0,MATCH('Delta Beta'!$C$5,Data!$B$4:$Q$4,0)-1)=""),OFFSET(Data!E1925,0,MATCH('Delta Beta'!$C$5,Data!$B$4:$Q$4,0)-1),#N/A)-$C$8/250</f>
        <v>#N/A</v>
      </c>
      <c r="N1922" s="395"/>
      <c r="R1922" s="391"/>
    </row>
    <row r="1923" spans="12:18">
      <c r="L1923" s="394" t="e">
        <f ca="1">IF(NOT(OFFSET(Data!E1926,0,MATCH('Delta Beta'!$C$5,Data!$B$4:$Q$4,0)-3)=""),OFFSET(Data!E1926,0,MATCH('Delta Beta'!$C$5,Data!$B$4:$Q$4,0)-3),#N/A)-$C$8/250</f>
        <v>#N/A</v>
      </c>
      <c r="M1923" s="394" t="e">
        <f ca="1">IF(NOT(OFFSET(Data!E1926,0,MATCH('Delta Beta'!$C$5,Data!$B$4:$Q$4,0)-1)=""),OFFSET(Data!E1926,0,MATCH('Delta Beta'!$C$5,Data!$B$4:$Q$4,0)-1),#N/A)-$C$8/250</f>
        <v>#N/A</v>
      </c>
      <c r="N1923" s="395"/>
      <c r="R1923" s="391"/>
    </row>
    <row r="1924" spans="12:18">
      <c r="L1924" s="394" t="e">
        <f ca="1">IF(NOT(OFFSET(Data!E1927,0,MATCH('Delta Beta'!$C$5,Data!$B$4:$Q$4,0)-3)=""),OFFSET(Data!E1927,0,MATCH('Delta Beta'!$C$5,Data!$B$4:$Q$4,0)-3),#N/A)-$C$8/250</f>
        <v>#N/A</v>
      </c>
      <c r="M1924" s="394" t="e">
        <f ca="1">IF(NOT(OFFSET(Data!E1927,0,MATCH('Delta Beta'!$C$5,Data!$B$4:$Q$4,0)-1)=""),OFFSET(Data!E1927,0,MATCH('Delta Beta'!$C$5,Data!$B$4:$Q$4,0)-1),#N/A)-$C$8/250</f>
        <v>#N/A</v>
      </c>
      <c r="N1924" s="395"/>
      <c r="R1924" s="391"/>
    </row>
    <row r="1925" spans="12:18">
      <c r="L1925" s="394" t="e">
        <f ca="1">IF(NOT(OFFSET(Data!E1928,0,MATCH('Delta Beta'!$C$5,Data!$B$4:$Q$4,0)-3)=""),OFFSET(Data!E1928,0,MATCH('Delta Beta'!$C$5,Data!$B$4:$Q$4,0)-3),#N/A)-$C$8/250</f>
        <v>#N/A</v>
      </c>
      <c r="M1925" s="394" t="e">
        <f ca="1">IF(NOT(OFFSET(Data!E1928,0,MATCH('Delta Beta'!$C$5,Data!$B$4:$Q$4,0)-1)=""),OFFSET(Data!E1928,0,MATCH('Delta Beta'!$C$5,Data!$B$4:$Q$4,0)-1),#N/A)-$C$8/250</f>
        <v>#N/A</v>
      </c>
      <c r="N1925" s="395"/>
      <c r="R1925" s="391"/>
    </row>
    <row r="1926" spans="12:18">
      <c r="L1926" s="394" t="e">
        <f ca="1">IF(NOT(OFFSET(Data!E1929,0,MATCH('Delta Beta'!$C$5,Data!$B$4:$Q$4,0)-3)=""),OFFSET(Data!E1929,0,MATCH('Delta Beta'!$C$5,Data!$B$4:$Q$4,0)-3),#N/A)-$C$8/250</f>
        <v>#N/A</v>
      </c>
      <c r="M1926" s="394" t="e">
        <f ca="1">IF(NOT(OFFSET(Data!E1929,0,MATCH('Delta Beta'!$C$5,Data!$B$4:$Q$4,0)-1)=""),OFFSET(Data!E1929,0,MATCH('Delta Beta'!$C$5,Data!$B$4:$Q$4,0)-1),#N/A)-$C$8/250</f>
        <v>#N/A</v>
      </c>
      <c r="N1926" s="395"/>
      <c r="R1926" s="391"/>
    </row>
    <row r="1927" spans="12:18">
      <c r="L1927" s="394" t="e">
        <f ca="1">IF(NOT(OFFSET(Data!E1930,0,MATCH('Delta Beta'!$C$5,Data!$B$4:$Q$4,0)-3)=""),OFFSET(Data!E1930,0,MATCH('Delta Beta'!$C$5,Data!$B$4:$Q$4,0)-3),#N/A)-$C$8/250</f>
        <v>#N/A</v>
      </c>
      <c r="M1927" s="394" t="e">
        <f ca="1">IF(NOT(OFFSET(Data!E1930,0,MATCH('Delta Beta'!$C$5,Data!$B$4:$Q$4,0)-1)=""),OFFSET(Data!E1930,0,MATCH('Delta Beta'!$C$5,Data!$B$4:$Q$4,0)-1),#N/A)-$C$8/250</f>
        <v>#N/A</v>
      </c>
      <c r="N1927" s="395"/>
      <c r="R1927" s="391"/>
    </row>
    <row r="1928" spans="12:18">
      <c r="L1928" s="394" t="e">
        <f ca="1">IF(NOT(OFFSET(Data!E1931,0,MATCH('Delta Beta'!$C$5,Data!$B$4:$Q$4,0)-3)=""),OFFSET(Data!E1931,0,MATCH('Delta Beta'!$C$5,Data!$B$4:$Q$4,0)-3),#N/A)-$C$8/250</f>
        <v>#N/A</v>
      </c>
      <c r="M1928" s="394" t="e">
        <f ca="1">IF(NOT(OFFSET(Data!E1931,0,MATCH('Delta Beta'!$C$5,Data!$B$4:$Q$4,0)-1)=""),OFFSET(Data!E1931,0,MATCH('Delta Beta'!$C$5,Data!$B$4:$Q$4,0)-1),#N/A)-$C$8/250</f>
        <v>#N/A</v>
      </c>
      <c r="N1928" s="395"/>
      <c r="R1928" s="391"/>
    </row>
    <row r="1929" spans="12:18">
      <c r="L1929" s="394" t="e">
        <f ca="1">IF(NOT(OFFSET(Data!E1932,0,MATCH('Delta Beta'!$C$5,Data!$B$4:$Q$4,0)-3)=""),OFFSET(Data!E1932,0,MATCH('Delta Beta'!$C$5,Data!$B$4:$Q$4,0)-3),#N/A)-$C$8/250</f>
        <v>#N/A</v>
      </c>
      <c r="M1929" s="394" t="e">
        <f ca="1">IF(NOT(OFFSET(Data!E1932,0,MATCH('Delta Beta'!$C$5,Data!$B$4:$Q$4,0)-1)=""),OFFSET(Data!E1932,0,MATCH('Delta Beta'!$C$5,Data!$B$4:$Q$4,0)-1),#N/A)-$C$8/250</f>
        <v>#N/A</v>
      </c>
      <c r="N1929" s="395"/>
      <c r="R1929" s="391"/>
    </row>
    <row r="1930" spans="12:18">
      <c r="L1930" s="394" t="e">
        <f ca="1">IF(NOT(OFFSET(Data!E1933,0,MATCH('Delta Beta'!$C$5,Data!$B$4:$Q$4,0)-3)=""),OFFSET(Data!E1933,0,MATCH('Delta Beta'!$C$5,Data!$B$4:$Q$4,0)-3),#N/A)-$C$8/250</f>
        <v>#N/A</v>
      </c>
      <c r="M1930" s="394" t="e">
        <f ca="1">IF(NOT(OFFSET(Data!E1933,0,MATCH('Delta Beta'!$C$5,Data!$B$4:$Q$4,0)-1)=""),OFFSET(Data!E1933,0,MATCH('Delta Beta'!$C$5,Data!$B$4:$Q$4,0)-1),#N/A)-$C$8/250</f>
        <v>#N/A</v>
      </c>
      <c r="N1930" s="395"/>
      <c r="R1930" s="391"/>
    </row>
    <row r="1931" spans="12:18">
      <c r="L1931" s="394" t="e">
        <f ca="1">IF(NOT(OFFSET(Data!E1934,0,MATCH('Delta Beta'!$C$5,Data!$B$4:$Q$4,0)-3)=""),OFFSET(Data!E1934,0,MATCH('Delta Beta'!$C$5,Data!$B$4:$Q$4,0)-3),#N/A)-$C$8/250</f>
        <v>#N/A</v>
      </c>
      <c r="M1931" s="394" t="e">
        <f ca="1">IF(NOT(OFFSET(Data!E1934,0,MATCH('Delta Beta'!$C$5,Data!$B$4:$Q$4,0)-1)=""),OFFSET(Data!E1934,0,MATCH('Delta Beta'!$C$5,Data!$B$4:$Q$4,0)-1),#N/A)-$C$8/250</f>
        <v>#N/A</v>
      </c>
      <c r="N1931" s="395"/>
      <c r="R1931" s="391"/>
    </row>
    <row r="1932" spans="12:18">
      <c r="L1932" s="394" t="e">
        <f ca="1">IF(NOT(OFFSET(Data!E1935,0,MATCH('Delta Beta'!$C$5,Data!$B$4:$Q$4,0)-3)=""),OFFSET(Data!E1935,0,MATCH('Delta Beta'!$C$5,Data!$B$4:$Q$4,0)-3),#N/A)-$C$8/250</f>
        <v>#N/A</v>
      </c>
      <c r="M1932" s="394" t="e">
        <f ca="1">IF(NOT(OFFSET(Data!E1935,0,MATCH('Delta Beta'!$C$5,Data!$B$4:$Q$4,0)-1)=""),OFFSET(Data!E1935,0,MATCH('Delta Beta'!$C$5,Data!$B$4:$Q$4,0)-1),#N/A)-$C$8/250</f>
        <v>#N/A</v>
      </c>
      <c r="N1932" s="395"/>
      <c r="R1932" s="391"/>
    </row>
    <row r="1933" spans="12:18">
      <c r="L1933" s="394" t="e">
        <f ca="1">IF(NOT(OFFSET(Data!E1936,0,MATCH('Delta Beta'!$C$5,Data!$B$4:$Q$4,0)-3)=""),OFFSET(Data!E1936,0,MATCH('Delta Beta'!$C$5,Data!$B$4:$Q$4,0)-3),#N/A)-$C$8/250</f>
        <v>#N/A</v>
      </c>
      <c r="M1933" s="394" t="e">
        <f ca="1">IF(NOT(OFFSET(Data!E1936,0,MATCH('Delta Beta'!$C$5,Data!$B$4:$Q$4,0)-1)=""),OFFSET(Data!E1936,0,MATCH('Delta Beta'!$C$5,Data!$B$4:$Q$4,0)-1),#N/A)-$C$8/250</f>
        <v>#N/A</v>
      </c>
      <c r="N1933" s="395"/>
      <c r="R1933" s="391"/>
    </row>
    <row r="1934" spans="12:18">
      <c r="L1934" s="394" t="e">
        <f ca="1">IF(NOT(OFFSET(Data!E1937,0,MATCH('Delta Beta'!$C$5,Data!$B$4:$Q$4,0)-3)=""),OFFSET(Data!E1937,0,MATCH('Delta Beta'!$C$5,Data!$B$4:$Q$4,0)-3),#N/A)-$C$8/250</f>
        <v>#N/A</v>
      </c>
      <c r="M1934" s="394" t="e">
        <f ca="1">IF(NOT(OFFSET(Data!E1937,0,MATCH('Delta Beta'!$C$5,Data!$B$4:$Q$4,0)-1)=""),OFFSET(Data!E1937,0,MATCH('Delta Beta'!$C$5,Data!$B$4:$Q$4,0)-1),#N/A)-$C$8/250</f>
        <v>#N/A</v>
      </c>
      <c r="N1934" s="395"/>
      <c r="R1934" s="391"/>
    </row>
    <row r="1935" spans="12:18">
      <c r="L1935" s="394" t="e">
        <f ca="1">IF(NOT(OFFSET(Data!E1938,0,MATCH('Delta Beta'!$C$5,Data!$B$4:$Q$4,0)-3)=""),OFFSET(Data!E1938,0,MATCH('Delta Beta'!$C$5,Data!$B$4:$Q$4,0)-3),#N/A)-$C$8/250</f>
        <v>#N/A</v>
      </c>
      <c r="M1935" s="394" t="e">
        <f ca="1">IF(NOT(OFFSET(Data!E1938,0,MATCH('Delta Beta'!$C$5,Data!$B$4:$Q$4,0)-1)=""),OFFSET(Data!E1938,0,MATCH('Delta Beta'!$C$5,Data!$B$4:$Q$4,0)-1),#N/A)-$C$8/250</f>
        <v>#N/A</v>
      </c>
      <c r="N1935" s="395"/>
      <c r="R1935" s="391"/>
    </row>
    <row r="1936" spans="12:18">
      <c r="L1936" s="394" t="e">
        <f ca="1">IF(NOT(OFFSET(Data!E1939,0,MATCH('Delta Beta'!$C$5,Data!$B$4:$Q$4,0)-3)=""),OFFSET(Data!E1939,0,MATCH('Delta Beta'!$C$5,Data!$B$4:$Q$4,0)-3),#N/A)-$C$8/250</f>
        <v>#N/A</v>
      </c>
      <c r="M1936" s="394" t="e">
        <f ca="1">IF(NOT(OFFSET(Data!E1939,0,MATCH('Delta Beta'!$C$5,Data!$B$4:$Q$4,0)-1)=""),OFFSET(Data!E1939,0,MATCH('Delta Beta'!$C$5,Data!$B$4:$Q$4,0)-1),#N/A)-$C$8/250</f>
        <v>#N/A</v>
      </c>
      <c r="N1936" s="395"/>
      <c r="R1936" s="391"/>
    </row>
    <row r="1937" spans="12:18">
      <c r="L1937" s="394" t="e">
        <f ca="1">IF(NOT(OFFSET(Data!E1940,0,MATCH('Delta Beta'!$C$5,Data!$B$4:$Q$4,0)-3)=""),OFFSET(Data!E1940,0,MATCH('Delta Beta'!$C$5,Data!$B$4:$Q$4,0)-3),#N/A)-$C$8/250</f>
        <v>#N/A</v>
      </c>
      <c r="M1937" s="394" t="e">
        <f ca="1">IF(NOT(OFFSET(Data!E1940,0,MATCH('Delta Beta'!$C$5,Data!$B$4:$Q$4,0)-1)=""),OFFSET(Data!E1940,0,MATCH('Delta Beta'!$C$5,Data!$B$4:$Q$4,0)-1),#N/A)-$C$8/250</f>
        <v>#N/A</v>
      </c>
      <c r="N1937" s="395"/>
      <c r="R1937" s="391"/>
    </row>
    <row r="1938" spans="12:18">
      <c r="L1938" s="394" t="e">
        <f ca="1">IF(NOT(OFFSET(Data!E1941,0,MATCH('Delta Beta'!$C$5,Data!$B$4:$Q$4,0)-3)=""),OFFSET(Data!E1941,0,MATCH('Delta Beta'!$C$5,Data!$B$4:$Q$4,0)-3),#N/A)-$C$8/250</f>
        <v>#N/A</v>
      </c>
      <c r="M1938" s="394" t="e">
        <f ca="1">IF(NOT(OFFSET(Data!E1941,0,MATCH('Delta Beta'!$C$5,Data!$B$4:$Q$4,0)-1)=""),OFFSET(Data!E1941,0,MATCH('Delta Beta'!$C$5,Data!$B$4:$Q$4,0)-1),#N/A)-$C$8/250</f>
        <v>#N/A</v>
      </c>
      <c r="N1938" s="395"/>
      <c r="R1938" s="391"/>
    </row>
    <row r="1939" spans="12:18">
      <c r="L1939" s="394" t="e">
        <f ca="1">IF(NOT(OFFSET(Data!E1942,0,MATCH('Delta Beta'!$C$5,Data!$B$4:$Q$4,0)-3)=""),OFFSET(Data!E1942,0,MATCH('Delta Beta'!$C$5,Data!$B$4:$Q$4,0)-3),#N/A)-$C$8/250</f>
        <v>#N/A</v>
      </c>
      <c r="M1939" s="394" t="e">
        <f ca="1">IF(NOT(OFFSET(Data!E1942,0,MATCH('Delta Beta'!$C$5,Data!$B$4:$Q$4,0)-1)=""),OFFSET(Data!E1942,0,MATCH('Delta Beta'!$C$5,Data!$B$4:$Q$4,0)-1),#N/A)-$C$8/250</f>
        <v>#N/A</v>
      </c>
      <c r="N1939" s="395"/>
      <c r="R1939" s="391"/>
    </row>
    <row r="1940" spans="12:18">
      <c r="L1940" s="394" t="e">
        <f ca="1">IF(NOT(OFFSET(Data!E1943,0,MATCH('Delta Beta'!$C$5,Data!$B$4:$Q$4,0)-3)=""),OFFSET(Data!E1943,0,MATCH('Delta Beta'!$C$5,Data!$B$4:$Q$4,0)-3),#N/A)-$C$8/250</f>
        <v>#N/A</v>
      </c>
      <c r="M1940" s="394" t="e">
        <f ca="1">IF(NOT(OFFSET(Data!E1943,0,MATCH('Delta Beta'!$C$5,Data!$B$4:$Q$4,0)-1)=""),OFFSET(Data!E1943,0,MATCH('Delta Beta'!$C$5,Data!$B$4:$Q$4,0)-1),#N/A)-$C$8/250</f>
        <v>#N/A</v>
      </c>
      <c r="N1940" s="395"/>
      <c r="R1940" s="391"/>
    </row>
    <row r="1941" spans="12:18">
      <c r="L1941" s="394" t="e">
        <f ca="1">IF(NOT(OFFSET(Data!E1944,0,MATCH('Delta Beta'!$C$5,Data!$B$4:$Q$4,0)-3)=""),OFFSET(Data!E1944,0,MATCH('Delta Beta'!$C$5,Data!$B$4:$Q$4,0)-3),#N/A)-$C$8/250</f>
        <v>#N/A</v>
      </c>
      <c r="M1941" s="394" t="e">
        <f ca="1">IF(NOT(OFFSET(Data!E1944,0,MATCH('Delta Beta'!$C$5,Data!$B$4:$Q$4,0)-1)=""),OFFSET(Data!E1944,0,MATCH('Delta Beta'!$C$5,Data!$B$4:$Q$4,0)-1),#N/A)-$C$8/250</f>
        <v>#N/A</v>
      </c>
      <c r="N1941" s="395"/>
      <c r="R1941" s="391"/>
    </row>
    <row r="1942" spans="12:18">
      <c r="L1942" s="394" t="e">
        <f ca="1">IF(NOT(OFFSET(Data!E1945,0,MATCH('Delta Beta'!$C$5,Data!$B$4:$Q$4,0)-3)=""),OFFSET(Data!E1945,0,MATCH('Delta Beta'!$C$5,Data!$B$4:$Q$4,0)-3),#N/A)-$C$8/250</f>
        <v>#N/A</v>
      </c>
      <c r="M1942" s="394" t="e">
        <f ca="1">IF(NOT(OFFSET(Data!E1945,0,MATCH('Delta Beta'!$C$5,Data!$B$4:$Q$4,0)-1)=""),OFFSET(Data!E1945,0,MATCH('Delta Beta'!$C$5,Data!$B$4:$Q$4,0)-1),#N/A)-$C$8/250</f>
        <v>#N/A</v>
      </c>
      <c r="N1942" s="395"/>
      <c r="R1942" s="391"/>
    </row>
    <row r="1943" spans="12:18">
      <c r="L1943" s="394" t="e">
        <f ca="1">IF(NOT(OFFSET(Data!E1946,0,MATCH('Delta Beta'!$C$5,Data!$B$4:$Q$4,0)-3)=""),OFFSET(Data!E1946,0,MATCH('Delta Beta'!$C$5,Data!$B$4:$Q$4,0)-3),#N/A)-$C$8/250</f>
        <v>#N/A</v>
      </c>
      <c r="M1943" s="394" t="e">
        <f ca="1">IF(NOT(OFFSET(Data!E1946,0,MATCH('Delta Beta'!$C$5,Data!$B$4:$Q$4,0)-1)=""),OFFSET(Data!E1946,0,MATCH('Delta Beta'!$C$5,Data!$B$4:$Q$4,0)-1),#N/A)-$C$8/250</f>
        <v>#N/A</v>
      </c>
      <c r="N1943" s="395"/>
      <c r="R1943" s="391"/>
    </row>
    <row r="1944" spans="12:18">
      <c r="L1944" s="394" t="e">
        <f ca="1">IF(NOT(OFFSET(Data!E1947,0,MATCH('Delta Beta'!$C$5,Data!$B$4:$Q$4,0)-3)=""),OFFSET(Data!E1947,0,MATCH('Delta Beta'!$C$5,Data!$B$4:$Q$4,0)-3),#N/A)-$C$8/250</f>
        <v>#N/A</v>
      </c>
      <c r="M1944" s="394" t="e">
        <f ca="1">IF(NOT(OFFSET(Data!E1947,0,MATCH('Delta Beta'!$C$5,Data!$B$4:$Q$4,0)-1)=""),OFFSET(Data!E1947,0,MATCH('Delta Beta'!$C$5,Data!$B$4:$Q$4,0)-1),#N/A)-$C$8/250</f>
        <v>#N/A</v>
      </c>
      <c r="N1944" s="395"/>
      <c r="R1944" s="391"/>
    </row>
    <row r="1945" spans="12:18">
      <c r="L1945" s="394" t="e">
        <f ca="1">IF(NOT(OFFSET(Data!E1948,0,MATCH('Delta Beta'!$C$5,Data!$B$4:$Q$4,0)-3)=""),OFFSET(Data!E1948,0,MATCH('Delta Beta'!$C$5,Data!$B$4:$Q$4,0)-3),#N/A)-$C$8/250</f>
        <v>#N/A</v>
      </c>
      <c r="M1945" s="394" t="e">
        <f ca="1">IF(NOT(OFFSET(Data!E1948,0,MATCH('Delta Beta'!$C$5,Data!$B$4:$Q$4,0)-1)=""),OFFSET(Data!E1948,0,MATCH('Delta Beta'!$C$5,Data!$B$4:$Q$4,0)-1),#N/A)-$C$8/250</f>
        <v>#N/A</v>
      </c>
      <c r="N1945" s="395"/>
      <c r="R1945" s="391"/>
    </row>
    <row r="1946" spans="12:18">
      <c r="L1946" s="394" t="e">
        <f ca="1">IF(NOT(OFFSET(Data!E1949,0,MATCH('Delta Beta'!$C$5,Data!$B$4:$Q$4,0)-3)=""),OFFSET(Data!E1949,0,MATCH('Delta Beta'!$C$5,Data!$B$4:$Q$4,0)-3),#N/A)-$C$8/250</f>
        <v>#N/A</v>
      </c>
      <c r="M1946" s="394" t="e">
        <f ca="1">IF(NOT(OFFSET(Data!E1949,0,MATCH('Delta Beta'!$C$5,Data!$B$4:$Q$4,0)-1)=""),OFFSET(Data!E1949,0,MATCH('Delta Beta'!$C$5,Data!$B$4:$Q$4,0)-1),#N/A)-$C$8/250</f>
        <v>#N/A</v>
      </c>
      <c r="N1946" s="395"/>
      <c r="R1946" s="391"/>
    </row>
    <row r="1947" spans="12:18">
      <c r="L1947" s="394" t="e">
        <f ca="1">IF(NOT(OFFSET(Data!E1950,0,MATCH('Delta Beta'!$C$5,Data!$B$4:$Q$4,0)-3)=""),OFFSET(Data!E1950,0,MATCH('Delta Beta'!$C$5,Data!$B$4:$Q$4,0)-3),#N/A)-$C$8/250</f>
        <v>#N/A</v>
      </c>
      <c r="M1947" s="394" t="e">
        <f ca="1">IF(NOT(OFFSET(Data!E1950,0,MATCH('Delta Beta'!$C$5,Data!$B$4:$Q$4,0)-1)=""),OFFSET(Data!E1950,0,MATCH('Delta Beta'!$C$5,Data!$B$4:$Q$4,0)-1),#N/A)-$C$8/250</f>
        <v>#N/A</v>
      </c>
      <c r="N1947" s="395"/>
      <c r="R1947" s="391"/>
    </row>
    <row r="1948" spans="12:18">
      <c r="L1948" s="394" t="e">
        <f ca="1">IF(NOT(OFFSET(Data!E1951,0,MATCH('Delta Beta'!$C$5,Data!$B$4:$Q$4,0)-3)=""),OFFSET(Data!E1951,0,MATCH('Delta Beta'!$C$5,Data!$B$4:$Q$4,0)-3),#N/A)-$C$8/250</f>
        <v>#N/A</v>
      </c>
      <c r="M1948" s="394" t="e">
        <f ca="1">IF(NOT(OFFSET(Data!E1951,0,MATCH('Delta Beta'!$C$5,Data!$B$4:$Q$4,0)-1)=""),OFFSET(Data!E1951,0,MATCH('Delta Beta'!$C$5,Data!$B$4:$Q$4,0)-1),#N/A)-$C$8/250</f>
        <v>#N/A</v>
      </c>
      <c r="N1948" s="395"/>
      <c r="R1948" s="391"/>
    </row>
    <row r="1949" spans="12:18">
      <c r="L1949" s="394" t="e">
        <f ca="1">IF(NOT(OFFSET(Data!E1952,0,MATCH('Delta Beta'!$C$5,Data!$B$4:$Q$4,0)-3)=""),OFFSET(Data!E1952,0,MATCH('Delta Beta'!$C$5,Data!$B$4:$Q$4,0)-3),#N/A)-$C$8/250</f>
        <v>#N/A</v>
      </c>
      <c r="M1949" s="394" t="e">
        <f ca="1">IF(NOT(OFFSET(Data!E1952,0,MATCH('Delta Beta'!$C$5,Data!$B$4:$Q$4,0)-1)=""),OFFSET(Data!E1952,0,MATCH('Delta Beta'!$C$5,Data!$B$4:$Q$4,0)-1),#N/A)-$C$8/250</f>
        <v>#N/A</v>
      </c>
      <c r="N1949" s="395"/>
      <c r="R1949" s="391"/>
    </row>
    <row r="1950" spans="12:18">
      <c r="L1950" s="394" t="e">
        <f ca="1">IF(NOT(OFFSET(Data!E1953,0,MATCH('Delta Beta'!$C$5,Data!$B$4:$Q$4,0)-3)=""),OFFSET(Data!E1953,0,MATCH('Delta Beta'!$C$5,Data!$B$4:$Q$4,0)-3),#N/A)-$C$8/250</f>
        <v>#N/A</v>
      </c>
      <c r="M1950" s="394" t="e">
        <f ca="1">IF(NOT(OFFSET(Data!E1953,0,MATCH('Delta Beta'!$C$5,Data!$B$4:$Q$4,0)-1)=""),OFFSET(Data!E1953,0,MATCH('Delta Beta'!$C$5,Data!$B$4:$Q$4,0)-1),#N/A)-$C$8/250</f>
        <v>#N/A</v>
      </c>
      <c r="N1950" s="395"/>
      <c r="R1950" s="391"/>
    </row>
    <row r="1951" spans="12:18">
      <c r="L1951" s="394" t="e">
        <f ca="1">IF(NOT(OFFSET(Data!E1954,0,MATCH('Delta Beta'!$C$5,Data!$B$4:$Q$4,0)-3)=""),OFFSET(Data!E1954,0,MATCH('Delta Beta'!$C$5,Data!$B$4:$Q$4,0)-3),#N/A)-$C$8/250</f>
        <v>#N/A</v>
      </c>
      <c r="M1951" s="394" t="e">
        <f ca="1">IF(NOT(OFFSET(Data!E1954,0,MATCH('Delta Beta'!$C$5,Data!$B$4:$Q$4,0)-1)=""),OFFSET(Data!E1954,0,MATCH('Delta Beta'!$C$5,Data!$B$4:$Q$4,0)-1),#N/A)-$C$8/250</f>
        <v>#N/A</v>
      </c>
      <c r="N1951" s="395"/>
      <c r="R1951" s="391"/>
    </row>
    <row r="1952" spans="12:18">
      <c r="L1952" s="394" t="e">
        <f ca="1">IF(NOT(OFFSET(Data!E1955,0,MATCH('Delta Beta'!$C$5,Data!$B$4:$Q$4,0)-3)=""),OFFSET(Data!E1955,0,MATCH('Delta Beta'!$C$5,Data!$B$4:$Q$4,0)-3),#N/A)-$C$8/250</f>
        <v>#N/A</v>
      </c>
      <c r="M1952" s="394" t="e">
        <f ca="1">IF(NOT(OFFSET(Data!E1955,0,MATCH('Delta Beta'!$C$5,Data!$B$4:$Q$4,0)-1)=""),OFFSET(Data!E1955,0,MATCH('Delta Beta'!$C$5,Data!$B$4:$Q$4,0)-1),#N/A)-$C$8/250</f>
        <v>#N/A</v>
      </c>
      <c r="N1952" s="395"/>
      <c r="R1952" s="391"/>
    </row>
    <row r="1953" spans="12:18">
      <c r="L1953" s="394" t="e">
        <f ca="1">IF(NOT(OFFSET(Data!E1956,0,MATCH('Delta Beta'!$C$5,Data!$B$4:$Q$4,0)-3)=""),OFFSET(Data!E1956,0,MATCH('Delta Beta'!$C$5,Data!$B$4:$Q$4,0)-3),#N/A)-$C$8/250</f>
        <v>#N/A</v>
      </c>
      <c r="M1953" s="394" t="e">
        <f ca="1">IF(NOT(OFFSET(Data!E1956,0,MATCH('Delta Beta'!$C$5,Data!$B$4:$Q$4,0)-1)=""),OFFSET(Data!E1956,0,MATCH('Delta Beta'!$C$5,Data!$B$4:$Q$4,0)-1),#N/A)-$C$8/250</f>
        <v>#N/A</v>
      </c>
      <c r="N1953" s="395"/>
      <c r="R1953" s="391"/>
    </row>
    <row r="1954" spans="12:18">
      <c r="L1954" s="394" t="e">
        <f ca="1">IF(NOT(OFFSET(Data!E1957,0,MATCH('Delta Beta'!$C$5,Data!$B$4:$Q$4,0)-3)=""),OFFSET(Data!E1957,0,MATCH('Delta Beta'!$C$5,Data!$B$4:$Q$4,0)-3),#N/A)-$C$8/250</f>
        <v>#N/A</v>
      </c>
      <c r="M1954" s="394" t="e">
        <f ca="1">IF(NOT(OFFSET(Data!E1957,0,MATCH('Delta Beta'!$C$5,Data!$B$4:$Q$4,0)-1)=""),OFFSET(Data!E1957,0,MATCH('Delta Beta'!$C$5,Data!$B$4:$Q$4,0)-1),#N/A)-$C$8/250</f>
        <v>#N/A</v>
      </c>
      <c r="N1954" s="395"/>
      <c r="R1954" s="391"/>
    </row>
    <row r="1955" spans="12:18">
      <c r="L1955" s="394" t="e">
        <f ca="1">IF(NOT(OFFSET(Data!E1958,0,MATCH('Delta Beta'!$C$5,Data!$B$4:$Q$4,0)-3)=""),OFFSET(Data!E1958,0,MATCH('Delta Beta'!$C$5,Data!$B$4:$Q$4,0)-3),#N/A)-$C$8/250</f>
        <v>#N/A</v>
      </c>
      <c r="M1955" s="394" t="e">
        <f ca="1">IF(NOT(OFFSET(Data!E1958,0,MATCH('Delta Beta'!$C$5,Data!$B$4:$Q$4,0)-1)=""),OFFSET(Data!E1958,0,MATCH('Delta Beta'!$C$5,Data!$B$4:$Q$4,0)-1),#N/A)-$C$8/250</f>
        <v>#N/A</v>
      </c>
      <c r="N1955" s="395"/>
      <c r="R1955" s="391"/>
    </row>
    <row r="1956" spans="12:18">
      <c r="L1956" s="394" t="e">
        <f ca="1">IF(NOT(OFFSET(Data!E1959,0,MATCH('Delta Beta'!$C$5,Data!$B$4:$Q$4,0)-3)=""),OFFSET(Data!E1959,0,MATCH('Delta Beta'!$C$5,Data!$B$4:$Q$4,0)-3),#N/A)-$C$8/250</f>
        <v>#N/A</v>
      </c>
      <c r="M1956" s="394" t="e">
        <f ca="1">IF(NOT(OFFSET(Data!E1959,0,MATCH('Delta Beta'!$C$5,Data!$B$4:$Q$4,0)-1)=""),OFFSET(Data!E1959,0,MATCH('Delta Beta'!$C$5,Data!$B$4:$Q$4,0)-1),#N/A)-$C$8/250</f>
        <v>#N/A</v>
      </c>
      <c r="N1956" s="395"/>
      <c r="R1956" s="391"/>
    </row>
    <row r="1957" spans="12:18">
      <c r="L1957" s="394" t="e">
        <f ca="1">IF(NOT(OFFSET(Data!E1960,0,MATCH('Delta Beta'!$C$5,Data!$B$4:$Q$4,0)-3)=""),OFFSET(Data!E1960,0,MATCH('Delta Beta'!$C$5,Data!$B$4:$Q$4,0)-3),#N/A)-$C$8/250</f>
        <v>#N/A</v>
      </c>
      <c r="M1957" s="394" t="e">
        <f ca="1">IF(NOT(OFFSET(Data!E1960,0,MATCH('Delta Beta'!$C$5,Data!$B$4:$Q$4,0)-1)=""),OFFSET(Data!E1960,0,MATCH('Delta Beta'!$C$5,Data!$B$4:$Q$4,0)-1),#N/A)-$C$8/250</f>
        <v>#N/A</v>
      </c>
      <c r="N1957" s="395"/>
      <c r="R1957" s="391"/>
    </row>
    <row r="1958" spans="12:18">
      <c r="L1958" s="394" t="e">
        <f ca="1">IF(NOT(OFFSET(Data!E1961,0,MATCH('Delta Beta'!$C$5,Data!$B$4:$Q$4,0)-3)=""),OFFSET(Data!E1961,0,MATCH('Delta Beta'!$C$5,Data!$B$4:$Q$4,0)-3),#N/A)-$C$8/250</f>
        <v>#N/A</v>
      </c>
      <c r="M1958" s="394" t="e">
        <f ca="1">IF(NOT(OFFSET(Data!E1961,0,MATCH('Delta Beta'!$C$5,Data!$B$4:$Q$4,0)-1)=""),OFFSET(Data!E1961,0,MATCH('Delta Beta'!$C$5,Data!$B$4:$Q$4,0)-1),#N/A)-$C$8/250</f>
        <v>#N/A</v>
      </c>
      <c r="N1958" s="395"/>
      <c r="R1958" s="391"/>
    </row>
    <row r="1959" spans="12:18">
      <c r="L1959" s="394" t="e">
        <f ca="1">IF(NOT(OFFSET(Data!E1962,0,MATCH('Delta Beta'!$C$5,Data!$B$4:$Q$4,0)-3)=""),OFFSET(Data!E1962,0,MATCH('Delta Beta'!$C$5,Data!$B$4:$Q$4,0)-3),#N/A)-$C$8/250</f>
        <v>#N/A</v>
      </c>
      <c r="M1959" s="394" t="e">
        <f ca="1">IF(NOT(OFFSET(Data!E1962,0,MATCH('Delta Beta'!$C$5,Data!$B$4:$Q$4,0)-1)=""),OFFSET(Data!E1962,0,MATCH('Delta Beta'!$C$5,Data!$B$4:$Q$4,0)-1),#N/A)-$C$8/250</f>
        <v>#N/A</v>
      </c>
      <c r="N1959" s="395"/>
      <c r="R1959" s="391"/>
    </row>
    <row r="1960" spans="12:18">
      <c r="L1960" s="394" t="e">
        <f ca="1">IF(NOT(OFFSET(Data!E1963,0,MATCH('Delta Beta'!$C$5,Data!$B$4:$Q$4,0)-3)=""),OFFSET(Data!E1963,0,MATCH('Delta Beta'!$C$5,Data!$B$4:$Q$4,0)-3),#N/A)-$C$8/250</f>
        <v>#N/A</v>
      </c>
      <c r="M1960" s="394" t="e">
        <f ca="1">IF(NOT(OFFSET(Data!E1963,0,MATCH('Delta Beta'!$C$5,Data!$B$4:$Q$4,0)-1)=""),OFFSET(Data!E1963,0,MATCH('Delta Beta'!$C$5,Data!$B$4:$Q$4,0)-1),#N/A)-$C$8/250</f>
        <v>#N/A</v>
      </c>
      <c r="N1960" s="395"/>
      <c r="R1960" s="391"/>
    </row>
    <row r="1961" spans="12:18">
      <c r="L1961" s="394" t="e">
        <f ca="1">IF(NOT(OFFSET(Data!E1964,0,MATCH('Delta Beta'!$C$5,Data!$B$4:$Q$4,0)-3)=""),OFFSET(Data!E1964,0,MATCH('Delta Beta'!$C$5,Data!$B$4:$Q$4,0)-3),#N/A)-$C$8/250</f>
        <v>#N/A</v>
      </c>
      <c r="M1961" s="394" t="e">
        <f ca="1">IF(NOT(OFFSET(Data!E1964,0,MATCH('Delta Beta'!$C$5,Data!$B$4:$Q$4,0)-1)=""),OFFSET(Data!E1964,0,MATCH('Delta Beta'!$C$5,Data!$B$4:$Q$4,0)-1),#N/A)-$C$8/250</f>
        <v>#N/A</v>
      </c>
      <c r="N1961" s="395"/>
      <c r="R1961" s="391"/>
    </row>
    <row r="1962" spans="12:18">
      <c r="L1962" s="394" t="e">
        <f ca="1">IF(NOT(OFFSET(Data!E1965,0,MATCH('Delta Beta'!$C$5,Data!$B$4:$Q$4,0)-3)=""),OFFSET(Data!E1965,0,MATCH('Delta Beta'!$C$5,Data!$B$4:$Q$4,0)-3),#N/A)-$C$8/250</f>
        <v>#N/A</v>
      </c>
      <c r="M1962" s="394" t="e">
        <f ca="1">IF(NOT(OFFSET(Data!E1965,0,MATCH('Delta Beta'!$C$5,Data!$B$4:$Q$4,0)-1)=""),OFFSET(Data!E1965,0,MATCH('Delta Beta'!$C$5,Data!$B$4:$Q$4,0)-1),#N/A)-$C$8/250</f>
        <v>#N/A</v>
      </c>
      <c r="N1962" s="395"/>
      <c r="R1962" s="391"/>
    </row>
    <row r="1963" spans="12:18">
      <c r="L1963" s="394" t="e">
        <f ca="1">IF(NOT(OFFSET(Data!E1966,0,MATCH('Delta Beta'!$C$5,Data!$B$4:$Q$4,0)-3)=""),OFFSET(Data!E1966,0,MATCH('Delta Beta'!$C$5,Data!$B$4:$Q$4,0)-3),#N/A)-$C$8/250</f>
        <v>#N/A</v>
      </c>
      <c r="M1963" s="394" t="e">
        <f ca="1">IF(NOT(OFFSET(Data!E1966,0,MATCH('Delta Beta'!$C$5,Data!$B$4:$Q$4,0)-1)=""),OFFSET(Data!E1966,0,MATCH('Delta Beta'!$C$5,Data!$B$4:$Q$4,0)-1),#N/A)-$C$8/250</f>
        <v>#N/A</v>
      </c>
      <c r="N1963" s="395"/>
      <c r="R1963" s="391"/>
    </row>
    <row r="1964" spans="12:18">
      <c r="L1964" s="394" t="e">
        <f ca="1">IF(NOT(OFFSET(Data!E1967,0,MATCH('Delta Beta'!$C$5,Data!$B$4:$Q$4,0)-3)=""),OFFSET(Data!E1967,0,MATCH('Delta Beta'!$C$5,Data!$B$4:$Q$4,0)-3),#N/A)-$C$8/250</f>
        <v>#N/A</v>
      </c>
      <c r="M1964" s="394" t="e">
        <f ca="1">IF(NOT(OFFSET(Data!E1967,0,MATCH('Delta Beta'!$C$5,Data!$B$4:$Q$4,0)-1)=""),OFFSET(Data!E1967,0,MATCH('Delta Beta'!$C$5,Data!$B$4:$Q$4,0)-1),#N/A)-$C$8/250</f>
        <v>#N/A</v>
      </c>
      <c r="N1964" s="395"/>
      <c r="R1964" s="391"/>
    </row>
    <row r="1965" spans="12:18">
      <c r="L1965" s="394" t="e">
        <f ca="1">IF(NOT(OFFSET(Data!E1968,0,MATCH('Delta Beta'!$C$5,Data!$B$4:$Q$4,0)-3)=""),OFFSET(Data!E1968,0,MATCH('Delta Beta'!$C$5,Data!$B$4:$Q$4,0)-3),#N/A)-$C$8/250</f>
        <v>#N/A</v>
      </c>
      <c r="M1965" s="394" t="e">
        <f ca="1">IF(NOT(OFFSET(Data!E1968,0,MATCH('Delta Beta'!$C$5,Data!$B$4:$Q$4,0)-1)=""),OFFSET(Data!E1968,0,MATCH('Delta Beta'!$C$5,Data!$B$4:$Q$4,0)-1),#N/A)-$C$8/250</f>
        <v>#N/A</v>
      </c>
      <c r="N1965" s="395"/>
      <c r="R1965" s="391"/>
    </row>
    <row r="1966" spans="12:18">
      <c r="L1966" s="394" t="e">
        <f ca="1">IF(NOT(OFFSET(Data!E1969,0,MATCH('Delta Beta'!$C$5,Data!$B$4:$Q$4,0)-3)=""),OFFSET(Data!E1969,0,MATCH('Delta Beta'!$C$5,Data!$B$4:$Q$4,0)-3),#N/A)-$C$8/250</f>
        <v>#N/A</v>
      </c>
      <c r="M1966" s="394" t="e">
        <f ca="1">IF(NOT(OFFSET(Data!E1969,0,MATCH('Delta Beta'!$C$5,Data!$B$4:$Q$4,0)-1)=""),OFFSET(Data!E1969,0,MATCH('Delta Beta'!$C$5,Data!$B$4:$Q$4,0)-1),#N/A)-$C$8/250</f>
        <v>#N/A</v>
      </c>
      <c r="N1966" s="395"/>
      <c r="R1966" s="391"/>
    </row>
    <row r="1967" spans="12:18">
      <c r="L1967" s="394" t="e">
        <f ca="1">IF(NOT(OFFSET(Data!E1970,0,MATCH('Delta Beta'!$C$5,Data!$B$4:$Q$4,0)-3)=""),OFFSET(Data!E1970,0,MATCH('Delta Beta'!$C$5,Data!$B$4:$Q$4,0)-3),#N/A)-$C$8/250</f>
        <v>#N/A</v>
      </c>
      <c r="M1967" s="394" t="e">
        <f ca="1">IF(NOT(OFFSET(Data!E1970,0,MATCH('Delta Beta'!$C$5,Data!$B$4:$Q$4,0)-1)=""),OFFSET(Data!E1970,0,MATCH('Delta Beta'!$C$5,Data!$B$4:$Q$4,0)-1),#N/A)-$C$8/250</f>
        <v>#N/A</v>
      </c>
      <c r="N1967" s="395"/>
      <c r="R1967" s="391"/>
    </row>
    <row r="1968" spans="12:18">
      <c r="L1968" s="394" t="e">
        <f ca="1">IF(NOT(OFFSET(Data!E1971,0,MATCH('Delta Beta'!$C$5,Data!$B$4:$Q$4,0)-3)=""),OFFSET(Data!E1971,0,MATCH('Delta Beta'!$C$5,Data!$B$4:$Q$4,0)-3),#N/A)-$C$8/250</f>
        <v>#N/A</v>
      </c>
      <c r="M1968" s="394" t="e">
        <f ca="1">IF(NOT(OFFSET(Data!E1971,0,MATCH('Delta Beta'!$C$5,Data!$B$4:$Q$4,0)-1)=""),OFFSET(Data!E1971,0,MATCH('Delta Beta'!$C$5,Data!$B$4:$Q$4,0)-1),#N/A)-$C$8/250</f>
        <v>#N/A</v>
      </c>
      <c r="N1968" s="395"/>
      <c r="R1968" s="391"/>
    </row>
    <row r="1969" spans="12:18">
      <c r="L1969" s="394" t="e">
        <f ca="1">IF(NOT(OFFSET(Data!E1972,0,MATCH('Delta Beta'!$C$5,Data!$B$4:$Q$4,0)-3)=""),OFFSET(Data!E1972,0,MATCH('Delta Beta'!$C$5,Data!$B$4:$Q$4,0)-3),#N/A)-$C$8/250</f>
        <v>#N/A</v>
      </c>
      <c r="M1969" s="394" t="e">
        <f ca="1">IF(NOT(OFFSET(Data!E1972,0,MATCH('Delta Beta'!$C$5,Data!$B$4:$Q$4,0)-1)=""),OFFSET(Data!E1972,0,MATCH('Delta Beta'!$C$5,Data!$B$4:$Q$4,0)-1),#N/A)-$C$8/250</f>
        <v>#N/A</v>
      </c>
      <c r="N1969" s="395"/>
      <c r="R1969" s="391"/>
    </row>
    <row r="1970" spans="12:18">
      <c r="L1970" s="394" t="e">
        <f ca="1">IF(NOT(OFFSET(Data!E1973,0,MATCH('Delta Beta'!$C$5,Data!$B$4:$Q$4,0)-3)=""),OFFSET(Data!E1973,0,MATCH('Delta Beta'!$C$5,Data!$B$4:$Q$4,0)-3),#N/A)-$C$8/250</f>
        <v>#N/A</v>
      </c>
      <c r="M1970" s="394" t="e">
        <f ca="1">IF(NOT(OFFSET(Data!E1973,0,MATCH('Delta Beta'!$C$5,Data!$B$4:$Q$4,0)-1)=""),OFFSET(Data!E1973,0,MATCH('Delta Beta'!$C$5,Data!$B$4:$Q$4,0)-1),#N/A)-$C$8/250</f>
        <v>#N/A</v>
      </c>
      <c r="N1970" s="395"/>
      <c r="R1970" s="391"/>
    </row>
    <row r="1971" spans="12:18">
      <c r="L1971" s="394" t="e">
        <f ca="1">IF(NOT(OFFSET(Data!E1974,0,MATCH('Delta Beta'!$C$5,Data!$B$4:$Q$4,0)-3)=""),OFFSET(Data!E1974,0,MATCH('Delta Beta'!$C$5,Data!$B$4:$Q$4,0)-3),#N/A)-$C$8/250</f>
        <v>#N/A</v>
      </c>
      <c r="M1971" s="394" t="e">
        <f ca="1">IF(NOT(OFFSET(Data!E1974,0,MATCH('Delta Beta'!$C$5,Data!$B$4:$Q$4,0)-1)=""),OFFSET(Data!E1974,0,MATCH('Delta Beta'!$C$5,Data!$B$4:$Q$4,0)-1),#N/A)-$C$8/250</f>
        <v>#N/A</v>
      </c>
      <c r="N1971" s="395"/>
      <c r="R1971" s="391"/>
    </row>
    <row r="1972" spans="12:18">
      <c r="L1972" s="394" t="e">
        <f ca="1">IF(NOT(OFFSET(Data!E1975,0,MATCH('Delta Beta'!$C$5,Data!$B$4:$Q$4,0)-3)=""),OFFSET(Data!E1975,0,MATCH('Delta Beta'!$C$5,Data!$B$4:$Q$4,0)-3),#N/A)-$C$8/250</f>
        <v>#N/A</v>
      </c>
      <c r="M1972" s="394" t="e">
        <f ca="1">IF(NOT(OFFSET(Data!E1975,0,MATCH('Delta Beta'!$C$5,Data!$B$4:$Q$4,0)-1)=""),OFFSET(Data!E1975,0,MATCH('Delta Beta'!$C$5,Data!$B$4:$Q$4,0)-1),#N/A)-$C$8/250</f>
        <v>#N/A</v>
      </c>
      <c r="N1972" s="395"/>
      <c r="R1972" s="391"/>
    </row>
    <row r="1973" spans="12:18">
      <c r="L1973" s="394" t="e">
        <f ca="1">IF(NOT(OFFSET(Data!E1976,0,MATCH('Delta Beta'!$C$5,Data!$B$4:$Q$4,0)-3)=""),OFFSET(Data!E1976,0,MATCH('Delta Beta'!$C$5,Data!$B$4:$Q$4,0)-3),#N/A)-$C$8/250</f>
        <v>#N/A</v>
      </c>
      <c r="M1973" s="394" t="e">
        <f ca="1">IF(NOT(OFFSET(Data!E1976,0,MATCH('Delta Beta'!$C$5,Data!$B$4:$Q$4,0)-1)=""),OFFSET(Data!E1976,0,MATCH('Delta Beta'!$C$5,Data!$B$4:$Q$4,0)-1),#N/A)-$C$8/250</f>
        <v>#N/A</v>
      </c>
      <c r="N1973" s="395"/>
      <c r="R1973" s="391"/>
    </row>
    <row r="1974" spans="12:18">
      <c r="L1974" s="394" t="e">
        <f ca="1">IF(NOT(OFFSET(Data!E1977,0,MATCH('Delta Beta'!$C$5,Data!$B$4:$Q$4,0)-3)=""),OFFSET(Data!E1977,0,MATCH('Delta Beta'!$C$5,Data!$B$4:$Q$4,0)-3),#N/A)-$C$8/250</f>
        <v>#N/A</v>
      </c>
      <c r="M1974" s="394" t="e">
        <f ca="1">IF(NOT(OFFSET(Data!E1977,0,MATCH('Delta Beta'!$C$5,Data!$B$4:$Q$4,0)-1)=""),OFFSET(Data!E1977,0,MATCH('Delta Beta'!$C$5,Data!$B$4:$Q$4,0)-1),#N/A)-$C$8/250</f>
        <v>#N/A</v>
      </c>
      <c r="N1974" s="395"/>
      <c r="R1974" s="391"/>
    </row>
    <row r="1975" spans="12:18">
      <c r="L1975" s="394" t="e">
        <f ca="1">IF(NOT(OFFSET(Data!E1978,0,MATCH('Delta Beta'!$C$5,Data!$B$4:$Q$4,0)-3)=""),OFFSET(Data!E1978,0,MATCH('Delta Beta'!$C$5,Data!$B$4:$Q$4,0)-3),#N/A)-$C$8/250</f>
        <v>#N/A</v>
      </c>
      <c r="M1975" s="394" t="e">
        <f ca="1">IF(NOT(OFFSET(Data!E1978,0,MATCH('Delta Beta'!$C$5,Data!$B$4:$Q$4,0)-1)=""),OFFSET(Data!E1978,0,MATCH('Delta Beta'!$C$5,Data!$B$4:$Q$4,0)-1),#N/A)-$C$8/250</f>
        <v>#N/A</v>
      </c>
      <c r="N1975" s="395"/>
      <c r="R1975" s="391"/>
    </row>
    <row r="1976" spans="12:18">
      <c r="L1976" s="394" t="e">
        <f ca="1">IF(NOT(OFFSET(Data!E1979,0,MATCH('Delta Beta'!$C$5,Data!$B$4:$Q$4,0)-3)=""),OFFSET(Data!E1979,0,MATCH('Delta Beta'!$C$5,Data!$B$4:$Q$4,0)-3),#N/A)-$C$8/250</f>
        <v>#N/A</v>
      </c>
      <c r="M1976" s="394" t="e">
        <f ca="1">IF(NOT(OFFSET(Data!E1979,0,MATCH('Delta Beta'!$C$5,Data!$B$4:$Q$4,0)-1)=""),OFFSET(Data!E1979,0,MATCH('Delta Beta'!$C$5,Data!$B$4:$Q$4,0)-1),#N/A)-$C$8/250</f>
        <v>#N/A</v>
      </c>
      <c r="N1976" s="395"/>
      <c r="R1976" s="391"/>
    </row>
    <row r="1977" spans="12:18">
      <c r="L1977" s="394" t="e">
        <f ca="1">IF(NOT(OFFSET(Data!E1980,0,MATCH('Delta Beta'!$C$5,Data!$B$4:$Q$4,0)-3)=""),OFFSET(Data!E1980,0,MATCH('Delta Beta'!$C$5,Data!$B$4:$Q$4,0)-3),#N/A)-$C$8/250</f>
        <v>#N/A</v>
      </c>
      <c r="M1977" s="394" t="e">
        <f ca="1">IF(NOT(OFFSET(Data!E1980,0,MATCH('Delta Beta'!$C$5,Data!$B$4:$Q$4,0)-1)=""),OFFSET(Data!E1980,0,MATCH('Delta Beta'!$C$5,Data!$B$4:$Q$4,0)-1),#N/A)-$C$8/250</f>
        <v>#N/A</v>
      </c>
      <c r="N1977" s="395"/>
      <c r="R1977" s="391"/>
    </row>
    <row r="1978" spans="12:18">
      <c r="L1978" s="394" t="e">
        <f ca="1">IF(NOT(OFFSET(Data!E1981,0,MATCH('Delta Beta'!$C$5,Data!$B$4:$Q$4,0)-3)=""),OFFSET(Data!E1981,0,MATCH('Delta Beta'!$C$5,Data!$B$4:$Q$4,0)-3),#N/A)-$C$8/250</f>
        <v>#N/A</v>
      </c>
      <c r="M1978" s="394" t="e">
        <f ca="1">IF(NOT(OFFSET(Data!E1981,0,MATCH('Delta Beta'!$C$5,Data!$B$4:$Q$4,0)-1)=""),OFFSET(Data!E1981,0,MATCH('Delta Beta'!$C$5,Data!$B$4:$Q$4,0)-1),#N/A)-$C$8/250</f>
        <v>#N/A</v>
      </c>
      <c r="N1978" s="395"/>
      <c r="R1978" s="391"/>
    </row>
    <row r="1979" spans="12:18">
      <c r="L1979" s="394" t="e">
        <f ca="1">IF(NOT(OFFSET(Data!E1982,0,MATCH('Delta Beta'!$C$5,Data!$B$4:$Q$4,0)-3)=""),OFFSET(Data!E1982,0,MATCH('Delta Beta'!$C$5,Data!$B$4:$Q$4,0)-3),#N/A)-$C$8/250</f>
        <v>#N/A</v>
      </c>
      <c r="M1979" s="394" t="e">
        <f ca="1">IF(NOT(OFFSET(Data!E1982,0,MATCH('Delta Beta'!$C$5,Data!$B$4:$Q$4,0)-1)=""),OFFSET(Data!E1982,0,MATCH('Delta Beta'!$C$5,Data!$B$4:$Q$4,0)-1),#N/A)-$C$8/250</f>
        <v>#N/A</v>
      </c>
      <c r="N1979" s="395"/>
      <c r="R1979" s="391"/>
    </row>
    <row r="1980" spans="12:18">
      <c r="L1980" s="394" t="e">
        <f ca="1">IF(NOT(OFFSET(Data!E1983,0,MATCH('Delta Beta'!$C$5,Data!$B$4:$Q$4,0)-3)=""),OFFSET(Data!E1983,0,MATCH('Delta Beta'!$C$5,Data!$B$4:$Q$4,0)-3),#N/A)-$C$8/250</f>
        <v>#N/A</v>
      </c>
      <c r="M1980" s="394" t="e">
        <f ca="1">IF(NOT(OFFSET(Data!E1983,0,MATCH('Delta Beta'!$C$5,Data!$B$4:$Q$4,0)-1)=""),OFFSET(Data!E1983,0,MATCH('Delta Beta'!$C$5,Data!$B$4:$Q$4,0)-1),#N/A)-$C$8/250</f>
        <v>#N/A</v>
      </c>
      <c r="N1980" s="395"/>
      <c r="R1980" s="391"/>
    </row>
    <row r="1981" spans="12:18">
      <c r="L1981" s="394" t="e">
        <f ca="1">IF(NOT(OFFSET(Data!E1984,0,MATCH('Delta Beta'!$C$5,Data!$B$4:$Q$4,0)-3)=""),OFFSET(Data!E1984,0,MATCH('Delta Beta'!$C$5,Data!$B$4:$Q$4,0)-3),#N/A)-$C$8/250</f>
        <v>#N/A</v>
      </c>
      <c r="M1981" s="394" t="e">
        <f ca="1">IF(NOT(OFFSET(Data!E1984,0,MATCH('Delta Beta'!$C$5,Data!$B$4:$Q$4,0)-1)=""),OFFSET(Data!E1984,0,MATCH('Delta Beta'!$C$5,Data!$B$4:$Q$4,0)-1),#N/A)-$C$8/250</f>
        <v>#N/A</v>
      </c>
      <c r="N1981" s="395"/>
      <c r="R1981" s="391"/>
    </row>
    <row r="1982" spans="12:18">
      <c r="L1982" s="394" t="e">
        <f ca="1">IF(NOT(OFFSET(Data!E1985,0,MATCH('Delta Beta'!$C$5,Data!$B$4:$Q$4,0)-3)=""),OFFSET(Data!E1985,0,MATCH('Delta Beta'!$C$5,Data!$B$4:$Q$4,0)-3),#N/A)-$C$8/250</f>
        <v>#N/A</v>
      </c>
      <c r="M1982" s="394" t="e">
        <f ca="1">IF(NOT(OFFSET(Data!E1985,0,MATCH('Delta Beta'!$C$5,Data!$B$4:$Q$4,0)-1)=""),OFFSET(Data!E1985,0,MATCH('Delta Beta'!$C$5,Data!$B$4:$Q$4,0)-1),#N/A)-$C$8/250</f>
        <v>#N/A</v>
      </c>
      <c r="N1982" s="395"/>
      <c r="R1982" s="391"/>
    </row>
    <row r="1983" spans="12:18">
      <c r="L1983" s="394" t="e">
        <f ca="1">IF(NOT(OFFSET(Data!E1986,0,MATCH('Delta Beta'!$C$5,Data!$B$4:$Q$4,0)-3)=""),OFFSET(Data!E1986,0,MATCH('Delta Beta'!$C$5,Data!$B$4:$Q$4,0)-3),#N/A)-$C$8/250</f>
        <v>#N/A</v>
      </c>
      <c r="M1983" s="394" t="e">
        <f ca="1">IF(NOT(OFFSET(Data!E1986,0,MATCH('Delta Beta'!$C$5,Data!$B$4:$Q$4,0)-1)=""),OFFSET(Data!E1986,0,MATCH('Delta Beta'!$C$5,Data!$B$4:$Q$4,0)-1),#N/A)-$C$8/250</f>
        <v>#N/A</v>
      </c>
      <c r="N1983" s="395"/>
      <c r="R1983" s="391"/>
    </row>
    <row r="1984" spans="12:18">
      <c r="L1984" s="394" t="e">
        <f ca="1">IF(NOT(OFFSET(Data!E1987,0,MATCH('Delta Beta'!$C$5,Data!$B$4:$Q$4,0)-3)=""),OFFSET(Data!E1987,0,MATCH('Delta Beta'!$C$5,Data!$B$4:$Q$4,0)-3),#N/A)-$C$8/250</f>
        <v>#N/A</v>
      </c>
      <c r="M1984" s="394" t="e">
        <f ca="1">IF(NOT(OFFSET(Data!E1987,0,MATCH('Delta Beta'!$C$5,Data!$B$4:$Q$4,0)-1)=""),OFFSET(Data!E1987,0,MATCH('Delta Beta'!$C$5,Data!$B$4:$Q$4,0)-1),#N/A)-$C$8/250</f>
        <v>#N/A</v>
      </c>
      <c r="N1984" s="395"/>
      <c r="R1984" s="391"/>
    </row>
    <row r="1985" spans="12:18">
      <c r="L1985" s="394" t="e">
        <f ca="1">IF(NOT(OFFSET(Data!E1988,0,MATCH('Delta Beta'!$C$5,Data!$B$4:$Q$4,0)-3)=""),OFFSET(Data!E1988,0,MATCH('Delta Beta'!$C$5,Data!$B$4:$Q$4,0)-3),#N/A)-$C$8/250</f>
        <v>#N/A</v>
      </c>
      <c r="M1985" s="394" t="e">
        <f ca="1">IF(NOT(OFFSET(Data!E1988,0,MATCH('Delta Beta'!$C$5,Data!$B$4:$Q$4,0)-1)=""),OFFSET(Data!E1988,0,MATCH('Delta Beta'!$C$5,Data!$B$4:$Q$4,0)-1),#N/A)-$C$8/250</f>
        <v>#N/A</v>
      </c>
      <c r="N1985" s="395"/>
      <c r="R1985" s="391"/>
    </row>
    <row r="1986" spans="12:18">
      <c r="L1986" s="394" t="e">
        <f ca="1">IF(NOT(OFFSET(Data!E1989,0,MATCH('Delta Beta'!$C$5,Data!$B$4:$Q$4,0)-3)=""),OFFSET(Data!E1989,0,MATCH('Delta Beta'!$C$5,Data!$B$4:$Q$4,0)-3),#N/A)-$C$8/250</f>
        <v>#N/A</v>
      </c>
      <c r="M1986" s="394" t="e">
        <f ca="1">IF(NOT(OFFSET(Data!E1989,0,MATCH('Delta Beta'!$C$5,Data!$B$4:$Q$4,0)-1)=""),OFFSET(Data!E1989,0,MATCH('Delta Beta'!$C$5,Data!$B$4:$Q$4,0)-1),#N/A)-$C$8/250</f>
        <v>#N/A</v>
      </c>
      <c r="N1986" s="395"/>
      <c r="R1986" s="391"/>
    </row>
    <row r="1987" spans="12:18">
      <c r="L1987" s="394" t="e">
        <f ca="1">IF(NOT(OFFSET(Data!E1990,0,MATCH('Delta Beta'!$C$5,Data!$B$4:$Q$4,0)-3)=""),OFFSET(Data!E1990,0,MATCH('Delta Beta'!$C$5,Data!$B$4:$Q$4,0)-3),#N/A)-$C$8/250</f>
        <v>#N/A</v>
      </c>
      <c r="M1987" s="394" t="e">
        <f ca="1">IF(NOT(OFFSET(Data!E1990,0,MATCH('Delta Beta'!$C$5,Data!$B$4:$Q$4,0)-1)=""),OFFSET(Data!E1990,0,MATCH('Delta Beta'!$C$5,Data!$B$4:$Q$4,0)-1),#N/A)-$C$8/250</f>
        <v>#N/A</v>
      </c>
      <c r="N1987" s="395"/>
      <c r="R1987" s="391"/>
    </row>
    <row r="1988" spans="12:18">
      <c r="L1988" s="394" t="e">
        <f ca="1">IF(NOT(OFFSET(Data!E1991,0,MATCH('Delta Beta'!$C$5,Data!$B$4:$Q$4,0)-3)=""),OFFSET(Data!E1991,0,MATCH('Delta Beta'!$C$5,Data!$B$4:$Q$4,0)-3),#N/A)-$C$8/250</f>
        <v>#N/A</v>
      </c>
      <c r="M1988" s="394" t="e">
        <f ca="1">IF(NOT(OFFSET(Data!E1991,0,MATCH('Delta Beta'!$C$5,Data!$B$4:$Q$4,0)-1)=""),OFFSET(Data!E1991,0,MATCH('Delta Beta'!$C$5,Data!$B$4:$Q$4,0)-1),#N/A)-$C$8/250</f>
        <v>#N/A</v>
      </c>
      <c r="N1988" s="395"/>
      <c r="R1988" s="391"/>
    </row>
    <row r="1989" spans="12:18">
      <c r="L1989" s="394" t="e">
        <f ca="1">IF(NOT(OFFSET(Data!E1992,0,MATCH('Delta Beta'!$C$5,Data!$B$4:$Q$4,0)-3)=""),OFFSET(Data!E1992,0,MATCH('Delta Beta'!$C$5,Data!$B$4:$Q$4,0)-3),#N/A)-$C$8/250</f>
        <v>#N/A</v>
      </c>
      <c r="M1989" s="394" t="e">
        <f ca="1">IF(NOT(OFFSET(Data!E1992,0,MATCH('Delta Beta'!$C$5,Data!$B$4:$Q$4,0)-1)=""),OFFSET(Data!E1992,0,MATCH('Delta Beta'!$C$5,Data!$B$4:$Q$4,0)-1),#N/A)-$C$8/250</f>
        <v>#N/A</v>
      </c>
      <c r="N1989" s="395"/>
      <c r="R1989" s="391"/>
    </row>
    <row r="1990" spans="12:18">
      <c r="L1990" s="394" t="e">
        <f ca="1">IF(NOT(OFFSET(Data!E1993,0,MATCH('Delta Beta'!$C$5,Data!$B$4:$Q$4,0)-3)=""),OFFSET(Data!E1993,0,MATCH('Delta Beta'!$C$5,Data!$B$4:$Q$4,0)-3),#N/A)-$C$8/250</f>
        <v>#N/A</v>
      </c>
      <c r="M1990" s="394" t="e">
        <f ca="1">IF(NOT(OFFSET(Data!E1993,0,MATCH('Delta Beta'!$C$5,Data!$B$4:$Q$4,0)-1)=""),OFFSET(Data!E1993,0,MATCH('Delta Beta'!$C$5,Data!$B$4:$Q$4,0)-1),#N/A)-$C$8/250</f>
        <v>#N/A</v>
      </c>
      <c r="N1990" s="395"/>
      <c r="R1990" s="391"/>
    </row>
    <row r="1991" spans="12:18">
      <c r="L1991" s="394" t="e">
        <f ca="1">IF(NOT(OFFSET(Data!E1994,0,MATCH('Delta Beta'!$C$5,Data!$B$4:$Q$4,0)-3)=""),OFFSET(Data!E1994,0,MATCH('Delta Beta'!$C$5,Data!$B$4:$Q$4,0)-3),#N/A)-$C$8/250</f>
        <v>#N/A</v>
      </c>
      <c r="M1991" s="394" t="e">
        <f ca="1">IF(NOT(OFFSET(Data!E1994,0,MATCH('Delta Beta'!$C$5,Data!$B$4:$Q$4,0)-1)=""),OFFSET(Data!E1994,0,MATCH('Delta Beta'!$C$5,Data!$B$4:$Q$4,0)-1),#N/A)-$C$8/250</f>
        <v>#N/A</v>
      </c>
      <c r="N1991" s="395"/>
      <c r="R1991" s="391"/>
    </row>
    <row r="1992" spans="12:18">
      <c r="L1992" s="394" t="e">
        <f ca="1">IF(NOT(OFFSET(Data!E1995,0,MATCH('Delta Beta'!$C$5,Data!$B$4:$Q$4,0)-3)=""),OFFSET(Data!E1995,0,MATCH('Delta Beta'!$C$5,Data!$B$4:$Q$4,0)-3),#N/A)-$C$8/250</f>
        <v>#N/A</v>
      </c>
      <c r="M1992" s="394" t="e">
        <f ca="1">IF(NOT(OFFSET(Data!E1995,0,MATCH('Delta Beta'!$C$5,Data!$B$4:$Q$4,0)-1)=""),OFFSET(Data!E1995,0,MATCH('Delta Beta'!$C$5,Data!$B$4:$Q$4,0)-1),#N/A)-$C$8/250</f>
        <v>#N/A</v>
      </c>
      <c r="N1992" s="395"/>
      <c r="R1992" s="391"/>
    </row>
    <row r="1993" spans="12:18">
      <c r="L1993" s="394" t="e">
        <f ca="1">IF(NOT(OFFSET(Data!E1996,0,MATCH('Delta Beta'!$C$5,Data!$B$4:$Q$4,0)-3)=""),OFFSET(Data!E1996,0,MATCH('Delta Beta'!$C$5,Data!$B$4:$Q$4,0)-3),#N/A)-$C$8/250</f>
        <v>#N/A</v>
      </c>
      <c r="M1993" s="394" t="e">
        <f ca="1">IF(NOT(OFFSET(Data!E1996,0,MATCH('Delta Beta'!$C$5,Data!$B$4:$Q$4,0)-1)=""),OFFSET(Data!E1996,0,MATCH('Delta Beta'!$C$5,Data!$B$4:$Q$4,0)-1),#N/A)-$C$8/250</f>
        <v>#N/A</v>
      </c>
      <c r="N1993" s="395"/>
      <c r="R1993" s="391"/>
    </row>
    <row r="1994" spans="12:18">
      <c r="L1994" s="394" t="e">
        <f ca="1">IF(NOT(OFFSET(Data!E1997,0,MATCH('Delta Beta'!$C$5,Data!$B$4:$Q$4,0)-3)=""),OFFSET(Data!E1997,0,MATCH('Delta Beta'!$C$5,Data!$B$4:$Q$4,0)-3),#N/A)-$C$8/250</f>
        <v>#N/A</v>
      </c>
      <c r="M1994" s="394" t="e">
        <f ca="1">IF(NOT(OFFSET(Data!E1997,0,MATCH('Delta Beta'!$C$5,Data!$B$4:$Q$4,0)-1)=""),OFFSET(Data!E1997,0,MATCH('Delta Beta'!$C$5,Data!$B$4:$Q$4,0)-1),#N/A)-$C$8/250</f>
        <v>#N/A</v>
      </c>
      <c r="N1994" s="395"/>
      <c r="R1994" s="391"/>
    </row>
    <row r="1995" spans="12:18">
      <c r="L1995" s="394" t="e">
        <f ca="1">IF(NOT(OFFSET(Data!E1998,0,MATCH('Delta Beta'!$C$5,Data!$B$4:$Q$4,0)-3)=""),OFFSET(Data!E1998,0,MATCH('Delta Beta'!$C$5,Data!$B$4:$Q$4,0)-3),#N/A)-$C$8/250</f>
        <v>#N/A</v>
      </c>
      <c r="M1995" s="394" t="e">
        <f ca="1">IF(NOT(OFFSET(Data!E1998,0,MATCH('Delta Beta'!$C$5,Data!$B$4:$Q$4,0)-1)=""),OFFSET(Data!E1998,0,MATCH('Delta Beta'!$C$5,Data!$B$4:$Q$4,0)-1),#N/A)-$C$8/250</f>
        <v>#N/A</v>
      </c>
      <c r="N1995" s="395"/>
      <c r="R1995" s="391"/>
    </row>
    <row r="1996" spans="12:18">
      <c r="L1996" s="394" t="e">
        <f ca="1">IF(NOT(OFFSET(Data!E1999,0,MATCH('Delta Beta'!$C$5,Data!$B$4:$Q$4,0)-3)=""),OFFSET(Data!E1999,0,MATCH('Delta Beta'!$C$5,Data!$B$4:$Q$4,0)-3),#N/A)-$C$8/250</f>
        <v>#N/A</v>
      </c>
      <c r="M1996" s="394" t="e">
        <f ca="1">IF(NOT(OFFSET(Data!E1999,0,MATCH('Delta Beta'!$C$5,Data!$B$4:$Q$4,0)-1)=""),OFFSET(Data!E1999,0,MATCH('Delta Beta'!$C$5,Data!$B$4:$Q$4,0)-1),#N/A)-$C$8/250</f>
        <v>#N/A</v>
      </c>
      <c r="N1996" s="395"/>
      <c r="R1996" s="391"/>
    </row>
    <row r="1997" spans="12:18">
      <c r="L1997" s="394" t="e">
        <f ca="1">IF(NOT(OFFSET(Data!E2000,0,MATCH('Delta Beta'!$C$5,Data!$B$4:$Q$4,0)-3)=""),OFFSET(Data!E2000,0,MATCH('Delta Beta'!$C$5,Data!$B$4:$Q$4,0)-3),#N/A)-$C$8/250</f>
        <v>#N/A</v>
      </c>
      <c r="M1997" s="394" t="e">
        <f ca="1">IF(NOT(OFFSET(Data!E2000,0,MATCH('Delta Beta'!$C$5,Data!$B$4:$Q$4,0)-1)=""),OFFSET(Data!E2000,0,MATCH('Delta Beta'!$C$5,Data!$B$4:$Q$4,0)-1),#N/A)-$C$8/250</f>
        <v>#N/A</v>
      </c>
      <c r="N1997" s="395"/>
      <c r="R1997" s="391"/>
    </row>
    <row r="1998" spans="12:18">
      <c r="L1998" s="394" t="e">
        <f ca="1">IF(NOT(OFFSET(Data!E2001,0,MATCH('Delta Beta'!$C$5,Data!$B$4:$Q$4,0)-3)=""),OFFSET(Data!E2001,0,MATCH('Delta Beta'!$C$5,Data!$B$4:$Q$4,0)-3),#N/A)-$C$8/250</f>
        <v>#N/A</v>
      </c>
      <c r="M1998" s="394" t="e">
        <f ca="1">IF(NOT(OFFSET(Data!E2001,0,MATCH('Delta Beta'!$C$5,Data!$B$4:$Q$4,0)-1)=""),OFFSET(Data!E2001,0,MATCH('Delta Beta'!$C$5,Data!$B$4:$Q$4,0)-1),#N/A)-$C$8/250</f>
        <v>#N/A</v>
      </c>
      <c r="N1998" s="395"/>
      <c r="R1998" s="391"/>
    </row>
    <row r="1999" spans="12:18">
      <c r="L1999" s="394" t="e">
        <f ca="1">IF(NOT(OFFSET(Data!E2002,0,MATCH('Delta Beta'!$C$5,Data!$B$4:$Q$4,0)-3)=""),OFFSET(Data!E2002,0,MATCH('Delta Beta'!$C$5,Data!$B$4:$Q$4,0)-3),#N/A)-$C$8/250</f>
        <v>#N/A</v>
      </c>
      <c r="M1999" s="394" t="e">
        <f ca="1">IF(NOT(OFFSET(Data!E2002,0,MATCH('Delta Beta'!$C$5,Data!$B$4:$Q$4,0)-1)=""),OFFSET(Data!E2002,0,MATCH('Delta Beta'!$C$5,Data!$B$4:$Q$4,0)-1),#N/A)-$C$8/250</f>
        <v>#N/A</v>
      </c>
      <c r="N1999" s="395"/>
      <c r="R1999" s="391"/>
    </row>
    <row r="2000" spans="12:18">
      <c r="L2000" s="394" t="e">
        <f ca="1">IF(NOT(OFFSET(Data!E2003,0,MATCH('Delta Beta'!$C$5,Data!$B$4:$Q$4,0)-3)=""),OFFSET(Data!E2003,0,MATCH('Delta Beta'!$C$5,Data!$B$4:$Q$4,0)-3),#N/A)-$C$8/250</f>
        <v>#N/A</v>
      </c>
      <c r="M2000" s="394" t="e">
        <f ca="1">IF(NOT(OFFSET(Data!E2003,0,MATCH('Delta Beta'!$C$5,Data!$B$4:$Q$4,0)-1)=""),OFFSET(Data!E2003,0,MATCH('Delta Beta'!$C$5,Data!$B$4:$Q$4,0)-1),#N/A)-$C$8/250</f>
        <v>#N/A</v>
      </c>
      <c r="N2000" s="395"/>
      <c r="R2000" s="391"/>
    </row>
    <row r="2001" spans="12:18">
      <c r="L2001" s="394" t="e">
        <f ca="1">IF(NOT(OFFSET(Data!E2004,0,MATCH('Delta Beta'!$C$5,Data!$B$4:$Q$4,0)-3)=""),OFFSET(Data!E2004,0,MATCH('Delta Beta'!$C$5,Data!$B$4:$Q$4,0)-3),#N/A)-$C$8/250</f>
        <v>#N/A</v>
      </c>
      <c r="M2001" s="394" t="e">
        <f ca="1">IF(NOT(OFFSET(Data!E2004,0,MATCH('Delta Beta'!$C$5,Data!$B$4:$Q$4,0)-1)=""),OFFSET(Data!E2004,0,MATCH('Delta Beta'!$C$5,Data!$B$4:$Q$4,0)-1),#N/A)-$C$8/250</f>
        <v>#N/A</v>
      </c>
      <c r="N2001" s="395"/>
      <c r="R2001" s="391"/>
    </row>
    <row r="2002" spans="12:18">
      <c r="L2002" s="394" t="e">
        <f ca="1">IF(NOT(OFFSET(Data!E2005,0,MATCH('Delta Beta'!$C$5,Data!$B$4:$Q$4,0)-3)=""),OFFSET(Data!E2005,0,MATCH('Delta Beta'!$C$5,Data!$B$4:$Q$4,0)-3),#N/A)-$C$8/250</f>
        <v>#N/A</v>
      </c>
      <c r="M2002" s="394" t="e">
        <f ca="1">IF(NOT(OFFSET(Data!E2005,0,MATCH('Delta Beta'!$C$5,Data!$B$4:$Q$4,0)-1)=""),OFFSET(Data!E2005,0,MATCH('Delta Beta'!$C$5,Data!$B$4:$Q$4,0)-1),#N/A)-$C$8/250</f>
        <v>#N/A</v>
      </c>
      <c r="N2002" s="395"/>
      <c r="R2002" s="391"/>
    </row>
    <row r="2003" spans="12:18">
      <c r="L2003" s="394" t="e">
        <f ca="1">IF(NOT(OFFSET(Data!E2006,0,MATCH('Delta Beta'!$C$5,Data!$B$4:$Q$4,0)-3)=""),OFFSET(Data!E2006,0,MATCH('Delta Beta'!$C$5,Data!$B$4:$Q$4,0)-3),#N/A)-$C$8/250</f>
        <v>#N/A</v>
      </c>
      <c r="M2003" s="394" t="e">
        <f ca="1">IF(NOT(OFFSET(Data!E2006,0,MATCH('Delta Beta'!$C$5,Data!$B$4:$Q$4,0)-1)=""),OFFSET(Data!E2006,0,MATCH('Delta Beta'!$C$5,Data!$B$4:$Q$4,0)-1),#N/A)-$C$8/250</f>
        <v>#N/A</v>
      </c>
      <c r="N2003" s="395"/>
      <c r="R2003" s="391"/>
    </row>
    <row r="2004" spans="12:18">
      <c r="L2004" s="394" t="e">
        <f ca="1">IF(NOT(OFFSET(Data!E2007,0,MATCH('Delta Beta'!$C$5,Data!$B$4:$Q$4,0)-3)=""),OFFSET(Data!E2007,0,MATCH('Delta Beta'!$C$5,Data!$B$4:$Q$4,0)-3),#N/A)-$C$8/250</f>
        <v>#N/A</v>
      </c>
      <c r="M2004" s="394" t="e">
        <f ca="1">IF(NOT(OFFSET(Data!E2007,0,MATCH('Delta Beta'!$C$5,Data!$B$4:$Q$4,0)-1)=""),OFFSET(Data!E2007,0,MATCH('Delta Beta'!$C$5,Data!$B$4:$Q$4,0)-1),#N/A)-$C$8/250</f>
        <v>#N/A</v>
      </c>
      <c r="N2004" s="395"/>
      <c r="R2004" s="391"/>
    </row>
    <row r="2005" spans="12:18">
      <c r="L2005" s="394" t="e">
        <f ca="1">IF(NOT(OFFSET(Data!E2008,0,MATCH('Delta Beta'!$C$5,Data!$B$4:$Q$4,0)-3)=""),OFFSET(Data!E2008,0,MATCH('Delta Beta'!$C$5,Data!$B$4:$Q$4,0)-3),#N/A)-$C$8/250</f>
        <v>#N/A</v>
      </c>
      <c r="M2005" s="394" t="e">
        <f ca="1">IF(NOT(OFFSET(Data!E2008,0,MATCH('Delta Beta'!$C$5,Data!$B$4:$Q$4,0)-1)=""),OFFSET(Data!E2008,0,MATCH('Delta Beta'!$C$5,Data!$B$4:$Q$4,0)-1),#N/A)-$C$8/250</f>
        <v>#N/A</v>
      </c>
      <c r="N2005" s="395"/>
      <c r="R2005" s="391"/>
    </row>
    <row r="2006" spans="12:18">
      <c r="L2006" s="394" t="e">
        <f ca="1">IF(NOT(OFFSET(Data!E2009,0,MATCH('Delta Beta'!$C$5,Data!$B$4:$Q$4,0)-3)=""),OFFSET(Data!E2009,0,MATCH('Delta Beta'!$C$5,Data!$B$4:$Q$4,0)-3),#N/A)-$C$8/250</f>
        <v>#N/A</v>
      </c>
      <c r="M2006" s="394" t="e">
        <f ca="1">IF(NOT(OFFSET(Data!E2009,0,MATCH('Delta Beta'!$C$5,Data!$B$4:$Q$4,0)-1)=""),OFFSET(Data!E2009,0,MATCH('Delta Beta'!$C$5,Data!$B$4:$Q$4,0)-1),#N/A)-$C$8/250</f>
        <v>#N/A</v>
      </c>
      <c r="N2006" s="395"/>
      <c r="R2006" s="391"/>
    </row>
    <row r="2007" spans="12:18">
      <c r="L2007" s="394" t="e">
        <f ca="1">IF(NOT(OFFSET(Data!E2010,0,MATCH('Delta Beta'!$C$5,Data!$B$4:$Q$4,0)-3)=""),OFFSET(Data!E2010,0,MATCH('Delta Beta'!$C$5,Data!$B$4:$Q$4,0)-3),#N/A)-$C$8/250</f>
        <v>#N/A</v>
      </c>
      <c r="M2007" s="394" t="e">
        <f ca="1">IF(NOT(OFFSET(Data!E2010,0,MATCH('Delta Beta'!$C$5,Data!$B$4:$Q$4,0)-1)=""),OFFSET(Data!E2010,0,MATCH('Delta Beta'!$C$5,Data!$B$4:$Q$4,0)-1),#N/A)-$C$8/250</f>
        <v>#N/A</v>
      </c>
      <c r="N2007" s="395"/>
      <c r="R2007" s="391"/>
    </row>
    <row r="2008" spans="12:18">
      <c r="L2008" s="394" t="e">
        <f ca="1">IF(NOT(OFFSET(Data!E2011,0,MATCH('Delta Beta'!$C$5,Data!$B$4:$Q$4,0)-3)=""),OFFSET(Data!E2011,0,MATCH('Delta Beta'!$C$5,Data!$B$4:$Q$4,0)-3),#N/A)-$C$8/250</f>
        <v>#N/A</v>
      </c>
      <c r="M2008" s="394" t="e">
        <f ca="1">IF(NOT(OFFSET(Data!E2011,0,MATCH('Delta Beta'!$C$5,Data!$B$4:$Q$4,0)-1)=""),OFFSET(Data!E2011,0,MATCH('Delta Beta'!$C$5,Data!$B$4:$Q$4,0)-1),#N/A)-$C$8/250</f>
        <v>#N/A</v>
      </c>
      <c r="N2008" s="395"/>
      <c r="R2008" s="391"/>
    </row>
    <row r="2009" spans="12:18">
      <c r="L2009" s="394" t="e">
        <f ca="1">IF(NOT(OFFSET(Data!E2012,0,MATCH('Delta Beta'!$C$5,Data!$B$4:$Q$4,0)-3)=""),OFFSET(Data!E2012,0,MATCH('Delta Beta'!$C$5,Data!$B$4:$Q$4,0)-3),#N/A)-$C$8/250</f>
        <v>#N/A</v>
      </c>
      <c r="M2009" s="394" t="e">
        <f ca="1">IF(NOT(OFFSET(Data!E2012,0,MATCH('Delta Beta'!$C$5,Data!$B$4:$Q$4,0)-1)=""),OFFSET(Data!E2012,0,MATCH('Delta Beta'!$C$5,Data!$B$4:$Q$4,0)-1),#N/A)-$C$8/250</f>
        <v>#N/A</v>
      </c>
      <c r="N2009" s="395"/>
      <c r="R2009" s="391"/>
    </row>
    <row r="2010" spans="12:18">
      <c r="L2010" s="394" t="e">
        <f ca="1">IF(NOT(OFFSET(Data!E2013,0,MATCH('Delta Beta'!$C$5,Data!$B$4:$Q$4,0)-3)=""),OFFSET(Data!E2013,0,MATCH('Delta Beta'!$C$5,Data!$B$4:$Q$4,0)-3),#N/A)-$C$8/250</f>
        <v>#N/A</v>
      </c>
      <c r="M2010" s="394" t="e">
        <f ca="1">IF(NOT(OFFSET(Data!E2013,0,MATCH('Delta Beta'!$C$5,Data!$B$4:$Q$4,0)-1)=""),OFFSET(Data!E2013,0,MATCH('Delta Beta'!$C$5,Data!$B$4:$Q$4,0)-1),#N/A)-$C$8/250</f>
        <v>#N/A</v>
      </c>
      <c r="N2010" s="395"/>
      <c r="R2010" s="391"/>
    </row>
    <row r="2011" spans="12:18">
      <c r="L2011" s="394" t="e">
        <f ca="1">IF(NOT(OFFSET(Data!E2014,0,MATCH('Delta Beta'!$C$5,Data!$B$4:$Q$4,0)-3)=""),OFFSET(Data!E2014,0,MATCH('Delta Beta'!$C$5,Data!$B$4:$Q$4,0)-3),#N/A)-$C$8/250</f>
        <v>#N/A</v>
      </c>
      <c r="M2011" s="394" t="e">
        <f ca="1">IF(NOT(OFFSET(Data!E2014,0,MATCH('Delta Beta'!$C$5,Data!$B$4:$Q$4,0)-1)=""),OFFSET(Data!E2014,0,MATCH('Delta Beta'!$C$5,Data!$B$4:$Q$4,0)-1),#N/A)-$C$8/250</f>
        <v>#N/A</v>
      </c>
      <c r="N2011" s="395"/>
      <c r="R2011" s="391"/>
    </row>
    <row r="2012" spans="12:18">
      <c r="L2012" s="394" t="e">
        <f ca="1">IF(NOT(OFFSET(Data!E2015,0,MATCH('Delta Beta'!$C$5,Data!$B$4:$Q$4,0)-3)=""),OFFSET(Data!E2015,0,MATCH('Delta Beta'!$C$5,Data!$B$4:$Q$4,0)-3),#N/A)-$C$8/250</f>
        <v>#N/A</v>
      </c>
      <c r="M2012" s="394" t="e">
        <f ca="1">IF(NOT(OFFSET(Data!E2015,0,MATCH('Delta Beta'!$C$5,Data!$B$4:$Q$4,0)-1)=""),OFFSET(Data!E2015,0,MATCH('Delta Beta'!$C$5,Data!$B$4:$Q$4,0)-1),#N/A)-$C$8/250</f>
        <v>#N/A</v>
      </c>
      <c r="N2012" s="395"/>
      <c r="R2012" s="391"/>
    </row>
    <row r="2013" spans="12:18">
      <c r="L2013" s="394" t="e">
        <f ca="1">IF(NOT(OFFSET(Data!E2016,0,MATCH('Delta Beta'!$C$5,Data!$B$4:$Q$4,0)-3)=""),OFFSET(Data!E2016,0,MATCH('Delta Beta'!$C$5,Data!$B$4:$Q$4,0)-3),#N/A)-$C$8/250</f>
        <v>#N/A</v>
      </c>
      <c r="M2013" s="394" t="e">
        <f ca="1">IF(NOT(OFFSET(Data!E2016,0,MATCH('Delta Beta'!$C$5,Data!$B$4:$Q$4,0)-1)=""),OFFSET(Data!E2016,0,MATCH('Delta Beta'!$C$5,Data!$B$4:$Q$4,0)-1),#N/A)-$C$8/250</f>
        <v>#N/A</v>
      </c>
      <c r="N2013" s="395"/>
      <c r="R2013" s="391"/>
    </row>
    <row r="2014" spans="12:18">
      <c r="L2014" s="394" t="e">
        <f ca="1">IF(NOT(OFFSET(Data!E2017,0,MATCH('Delta Beta'!$C$5,Data!$B$4:$Q$4,0)-3)=""),OFFSET(Data!E2017,0,MATCH('Delta Beta'!$C$5,Data!$B$4:$Q$4,0)-3),#N/A)-$C$8/250</f>
        <v>#N/A</v>
      </c>
      <c r="M2014" s="394" t="e">
        <f ca="1">IF(NOT(OFFSET(Data!E2017,0,MATCH('Delta Beta'!$C$5,Data!$B$4:$Q$4,0)-1)=""),OFFSET(Data!E2017,0,MATCH('Delta Beta'!$C$5,Data!$B$4:$Q$4,0)-1),#N/A)-$C$8/250</f>
        <v>#N/A</v>
      </c>
      <c r="N2014" s="395"/>
      <c r="R2014" s="391"/>
    </row>
    <row r="2015" spans="12:18">
      <c r="L2015" s="394" t="e">
        <f ca="1">IF(NOT(OFFSET(Data!E2018,0,MATCH('Delta Beta'!$C$5,Data!$B$4:$Q$4,0)-3)=""),OFFSET(Data!E2018,0,MATCH('Delta Beta'!$C$5,Data!$B$4:$Q$4,0)-3),#N/A)-$C$8/250</f>
        <v>#N/A</v>
      </c>
      <c r="M2015" s="394" t="e">
        <f ca="1">IF(NOT(OFFSET(Data!E2018,0,MATCH('Delta Beta'!$C$5,Data!$B$4:$Q$4,0)-1)=""),OFFSET(Data!E2018,0,MATCH('Delta Beta'!$C$5,Data!$B$4:$Q$4,0)-1),#N/A)-$C$8/250</f>
        <v>#N/A</v>
      </c>
      <c r="N2015" s="395"/>
      <c r="R2015" s="391"/>
    </row>
    <row r="2016" spans="12:18">
      <c r="L2016" s="394" t="e">
        <f ca="1">IF(NOT(OFFSET(Data!E2019,0,MATCH('Delta Beta'!$C$5,Data!$B$4:$Q$4,0)-3)=""),OFFSET(Data!E2019,0,MATCH('Delta Beta'!$C$5,Data!$B$4:$Q$4,0)-3),#N/A)-$C$8/250</f>
        <v>#N/A</v>
      </c>
      <c r="M2016" s="394" t="e">
        <f ca="1">IF(NOT(OFFSET(Data!E2019,0,MATCH('Delta Beta'!$C$5,Data!$B$4:$Q$4,0)-1)=""),OFFSET(Data!E2019,0,MATCH('Delta Beta'!$C$5,Data!$B$4:$Q$4,0)-1),#N/A)-$C$8/250</f>
        <v>#N/A</v>
      </c>
      <c r="N2016" s="395"/>
      <c r="R2016" s="391"/>
    </row>
    <row r="2017" spans="12:18">
      <c r="L2017" s="394" t="e">
        <f ca="1">IF(NOT(OFFSET(Data!E2020,0,MATCH('Delta Beta'!$C$5,Data!$B$4:$Q$4,0)-3)=""),OFFSET(Data!E2020,0,MATCH('Delta Beta'!$C$5,Data!$B$4:$Q$4,0)-3),#N/A)-$C$8/250</f>
        <v>#N/A</v>
      </c>
      <c r="M2017" s="394" t="e">
        <f ca="1">IF(NOT(OFFSET(Data!E2020,0,MATCH('Delta Beta'!$C$5,Data!$B$4:$Q$4,0)-1)=""),OFFSET(Data!E2020,0,MATCH('Delta Beta'!$C$5,Data!$B$4:$Q$4,0)-1),#N/A)-$C$8/250</f>
        <v>#N/A</v>
      </c>
      <c r="N2017" s="395"/>
      <c r="R2017" s="391"/>
    </row>
    <row r="2018" spans="12:18">
      <c r="L2018" s="394" t="e">
        <f ca="1">IF(NOT(OFFSET(Data!E2021,0,MATCH('Delta Beta'!$C$5,Data!$B$4:$Q$4,0)-3)=""),OFFSET(Data!E2021,0,MATCH('Delta Beta'!$C$5,Data!$B$4:$Q$4,0)-3),#N/A)-$C$8/250</f>
        <v>#N/A</v>
      </c>
      <c r="M2018" s="394" t="e">
        <f ca="1">IF(NOT(OFFSET(Data!E2021,0,MATCH('Delta Beta'!$C$5,Data!$B$4:$Q$4,0)-1)=""),OFFSET(Data!E2021,0,MATCH('Delta Beta'!$C$5,Data!$B$4:$Q$4,0)-1),#N/A)-$C$8/250</f>
        <v>#N/A</v>
      </c>
      <c r="N2018" s="395"/>
      <c r="R2018" s="391"/>
    </row>
    <row r="2019" spans="12:18">
      <c r="L2019" s="394" t="e">
        <f ca="1">IF(NOT(OFFSET(Data!E2022,0,MATCH('Delta Beta'!$C$5,Data!$B$4:$Q$4,0)-3)=""),OFFSET(Data!E2022,0,MATCH('Delta Beta'!$C$5,Data!$B$4:$Q$4,0)-3),#N/A)-$C$8/250</f>
        <v>#N/A</v>
      </c>
      <c r="M2019" s="394" t="e">
        <f ca="1">IF(NOT(OFFSET(Data!E2022,0,MATCH('Delta Beta'!$C$5,Data!$B$4:$Q$4,0)-1)=""),OFFSET(Data!E2022,0,MATCH('Delta Beta'!$C$5,Data!$B$4:$Q$4,0)-1),#N/A)-$C$8/250</f>
        <v>#N/A</v>
      </c>
      <c r="N2019" s="395"/>
      <c r="R2019" s="391"/>
    </row>
    <row r="2020" spans="12:18">
      <c r="L2020" s="394" t="e">
        <f ca="1">IF(NOT(OFFSET(Data!E2023,0,MATCH('Delta Beta'!$C$5,Data!$B$4:$Q$4,0)-3)=""),OFFSET(Data!E2023,0,MATCH('Delta Beta'!$C$5,Data!$B$4:$Q$4,0)-3),#N/A)-$C$8/250</f>
        <v>#N/A</v>
      </c>
      <c r="M2020" s="394" t="e">
        <f ca="1">IF(NOT(OFFSET(Data!E2023,0,MATCH('Delta Beta'!$C$5,Data!$B$4:$Q$4,0)-1)=""),OFFSET(Data!E2023,0,MATCH('Delta Beta'!$C$5,Data!$B$4:$Q$4,0)-1),#N/A)-$C$8/250</f>
        <v>#N/A</v>
      </c>
      <c r="N2020" s="395"/>
      <c r="R2020" s="391"/>
    </row>
    <row r="2021" spans="12:18">
      <c r="L2021" s="394" t="e">
        <f ca="1">IF(NOT(OFFSET(Data!E2024,0,MATCH('Delta Beta'!$C$5,Data!$B$4:$Q$4,0)-3)=""),OFFSET(Data!E2024,0,MATCH('Delta Beta'!$C$5,Data!$B$4:$Q$4,0)-3),#N/A)-$C$8/250</f>
        <v>#N/A</v>
      </c>
      <c r="M2021" s="394" t="e">
        <f ca="1">IF(NOT(OFFSET(Data!E2024,0,MATCH('Delta Beta'!$C$5,Data!$B$4:$Q$4,0)-1)=""),OFFSET(Data!E2024,0,MATCH('Delta Beta'!$C$5,Data!$B$4:$Q$4,0)-1),#N/A)-$C$8/250</f>
        <v>#N/A</v>
      </c>
      <c r="N2021" s="395"/>
      <c r="R2021" s="391"/>
    </row>
    <row r="2022" spans="12:18">
      <c r="L2022" s="394" t="e">
        <f ca="1">IF(NOT(OFFSET(Data!E2025,0,MATCH('Delta Beta'!$C$5,Data!$B$4:$Q$4,0)-3)=""),OFFSET(Data!E2025,0,MATCH('Delta Beta'!$C$5,Data!$B$4:$Q$4,0)-3),#N/A)-$C$8/250</f>
        <v>#N/A</v>
      </c>
      <c r="M2022" s="394" t="e">
        <f ca="1">IF(NOT(OFFSET(Data!E2025,0,MATCH('Delta Beta'!$C$5,Data!$B$4:$Q$4,0)-1)=""),OFFSET(Data!E2025,0,MATCH('Delta Beta'!$C$5,Data!$B$4:$Q$4,0)-1),#N/A)-$C$8/250</f>
        <v>#N/A</v>
      </c>
      <c r="N2022" s="395"/>
      <c r="R2022" s="391"/>
    </row>
    <row r="2023" spans="12:18">
      <c r="L2023" s="394" t="e">
        <f ca="1">IF(NOT(OFFSET(Data!E2026,0,MATCH('Delta Beta'!$C$5,Data!$B$4:$Q$4,0)-3)=""),OFFSET(Data!E2026,0,MATCH('Delta Beta'!$C$5,Data!$B$4:$Q$4,0)-3),#N/A)-$C$8/250</f>
        <v>#N/A</v>
      </c>
      <c r="M2023" s="394" t="e">
        <f ca="1">IF(NOT(OFFSET(Data!E2026,0,MATCH('Delta Beta'!$C$5,Data!$B$4:$Q$4,0)-1)=""),OFFSET(Data!E2026,0,MATCH('Delta Beta'!$C$5,Data!$B$4:$Q$4,0)-1),#N/A)-$C$8/250</f>
        <v>#N/A</v>
      </c>
      <c r="N2023" s="395"/>
      <c r="R2023" s="391"/>
    </row>
    <row r="2024" spans="12:18">
      <c r="L2024" s="394" t="e">
        <f ca="1">IF(NOT(OFFSET(Data!E2027,0,MATCH('Delta Beta'!$C$5,Data!$B$4:$Q$4,0)-3)=""),OFFSET(Data!E2027,0,MATCH('Delta Beta'!$C$5,Data!$B$4:$Q$4,0)-3),#N/A)-$C$8/250</f>
        <v>#N/A</v>
      </c>
      <c r="M2024" s="394" t="e">
        <f ca="1">IF(NOT(OFFSET(Data!E2027,0,MATCH('Delta Beta'!$C$5,Data!$B$4:$Q$4,0)-1)=""),OFFSET(Data!E2027,0,MATCH('Delta Beta'!$C$5,Data!$B$4:$Q$4,0)-1),#N/A)-$C$8/250</f>
        <v>#N/A</v>
      </c>
      <c r="N2024" s="395"/>
      <c r="R2024" s="391"/>
    </row>
    <row r="2025" spans="12:18">
      <c r="L2025" s="394" t="e">
        <f ca="1">IF(NOT(OFFSET(Data!E2028,0,MATCH('Delta Beta'!$C$5,Data!$B$4:$Q$4,0)-3)=""),OFFSET(Data!E2028,0,MATCH('Delta Beta'!$C$5,Data!$B$4:$Q$4,0)-3),#N/A)-$C$8/250</f>
        <v>#N/A</v>
      </c>
      <c r="M2025" s="394" t="e">
        <f ca="1">IF(NOT(OFFSET(Data!E2028,0,MATCH('Delta Beta'!$C$5,Data!$B$4:$Q$4,0)-1)=""),OFFSET(Data!E2028,0,MATCH('Delta Beta'!$C$5,Data!$B$4:$Q$4,0)-1),#N/A)-$C$8/250</f>
        <v>#N/A</v>
      </c>
      <c r="N2025" s="395"/>
      <c r="R2025" s="391"/>
    </row>
    <row r="2026" spans="12:18">
      <c r="L2026" s="394" t="e">
        <f ca="1">IF(NOT(OFFSET(Data!E2029,0,MATCH('Delta Beta'!$C$5,Data!$B$4:$Q$4,0)-3)=""),OFFSET(Data!E2029,0,MATCH('Delta Beta'!$C$5,Data!$B$4:$Q$4,0)-3),#N/A)-$C$8/250</f>
        <v>#N/A</v>
      </c>
      <c r="M2026" s="394" t="e">
        <f ca="1">IF(NOT(OFFSET(Data!E2029,0,MATCH('Delta Beta'!$C$5,Data!$B$4:$Q$4,0)-1)=""),OFFSET(Data!E2029,0,MATCH('Delta Beta'!$C$5,Data!$B$4:$Q$4,0)-1),#N/A)-$C$8/250</f>
        <v>#N/A</v>
      </c>
      <c r="N2026" s="395"/>
      <c r="R2026" s="391"/>
    </row>
    <row r="2027" spans="12:18">
      <c r="L2027" s="394" t="e">
        <f ca="1">IF(NOT(OFFSET(Data!E2030,0,MATCH('Delta Beta'!$C$5,Data!$B$4:$Q$4,0)-3)=""),OFFSET(Data!E2030,0,MATCH('Delta Beta'!$C$5,Data!$B$4:$Q$4,0)-3),#N/A)-$C$8/250</f>
        <v>#N/A</v>
      </c>
      <c r="M2027" s="394" t="e">
        <f ca="1">IF(NOT(OFFSET(Data!E2030,0,MATCH('Delta Beta'!$C$5,Data!$B$4:$Q$4,0)-1)=""),OFFSET(Data!E2030,0,MATCH('Delta Beta'!$C$5,Data!$B$4:$Q$4,0)-1),#N/A)-$C$8/250</f>
        <v>#N/A</v>
      </c>
      <c r="N2027" s="395"/>
      <c r="R2027" s="391"/>
    </row>
    <row r="2028" spans="12:18">
      <c r="L2028" s="394" t="e">
        <f ca="1">IF(NOT(OFFSET(Data!E2031,0,MATCH('Delta Beta'!$C$5,Data!$B$4:$Q$4,0)-3)=""),OFFSET(Data!E2031,0,MATCH('Delta Beta'!$C$5,Data!$B$4:$Q$4,0)-3),#N/A)-$C$8/250</f>
        <v>#N/A</v>
      </c>
      <c r="M2028" s="394" t="e">
        <f ca="1">IF(NOT(OFFSET(Data!E2031,0,MATCH('Delta Beta'!$C$5,Data!$B$4:$Q$4,0)-1)=""),OFFSET(Data!E2031,0,MATCH('Delta Beta'!$C$5,Data!$B$4:$Q$4,0)-1),#N/A)-$C$8/250</f>
        <v>#N/A</v>
      </c>
      <c r="N2028" s="395"/>
      <c r="R2028" s="391"/>
    </row>
    <row r="2029" spans="12:18">
      <c r="L2029" s="394" t="e">
        <f ca="1">IF(NOT(OFFSET(Data!E2032,0,MATCH('Delta Beta'!$C$5,Data!$B$4:$Q$4,0)-3)=""),OFFSET(Data!E2032,0,MATCH('Delta Beta'!$C$5,Data!$B$4:$Q$4,0)-3),#N/A)-$C$8/250</f>
        <v>#N/A</v>
      </c>
      <c r="M2029" s="394" t="e">
        <f ca="1">IF(NOT(OFFSET(Data!E2032,0,MATCH('Delta Beta'!$C$5,Data!$B$4:$Q$4,0)-1)=""),OFFSET(Data!E2032,0,MATCH('Delta Beta'!$C$5,Data!$B$4:$Q$4,0)-1),#N/A)-$C$8/250</f>
        <v>#N/A</v>
      </c>
      <c r="N2029" s="395"/>
      <c r="R2029" s="391"/>
    </row>
    <row r="2030" spans="12:18">
      <c r="L2030" s="394" t="e">
        <f ca="1">IF(NOT(OFFSET(Data!E2033,0,MATCH('Delta Beta'!$C$5,Data!$B$4:$Q$4,0)-3)=""),OFFSET(Data!E2033,0,MATCH('Delta Beta'!$C$5,Data!$B$4:$Q$4,0)-3),#N/A)-$C$8/250</f>
        <v>#N/A</v>
      </c>
      <c r="M2030" s="394" t="e">
        <f ca="1">IF(NOT(OFFSET(Data!E2033,0,MATCH('Delta Beta'!$C$5,Data!$B$4:$Q$4,0)-1)=""),OFFSET(Data!E2033,0,MATCH('Delta Beta'!$C$5,Data!$B$4:$Q$4,0)-1),#N/A)-$C$8/250</f>
        <v>#N/A</v>
      </c>
      <c r="N2030" s="395"/>
      <c r="R2030" s="391"/>
    </row>
    <row r="2031" spans="12:18">
      <c r="L2031" s="394" t="e">
        <f ca="1">IF(NOT(OFFSET(Data!E2034,0,MATCH('Delta Beta'!$C$5,Data!$B$4:$Q$4,0)-3)=""),OFFSET(Data!E2034,0,MATCH('Delta Beta'!$C$5,Data!$B$4:$Q$4,0)-3),#N/A)-$C$8/250</f>
        <v>#N/A</v>
      </c>
      <c r="M2031" s="394" t="e">
        <f ca="1">IF(NOT(OFFSET(Data!E2034,0,MATCH('Delta Beta'!$C$5,Data!$B$4:$Q$4,0)-1)=""),OFFSET(Data!E2034,0,MATCH('Delta Beta'!$C$5,Data!$B$4:$Q$4,0)-1),#N/A)-$C$8/250</f>
        <v>#N/A</v>
      </c>
      <c r="N2031" s="395"/>
      <c r="R2031" s="391"/>
    </row>
    <row r="2032" spans="12:18">
      <c r="L2032" s="394" t="e">
        <f ca="1">IF(NOT(OFFSET(Data!E2035,0,MATCH('Delta Beta'!$C$5,Data!$B$4:$Q$4,0)-3)=""),OFFSET(Data!E2035,0,MATCH('Delta Beta'!$C$5,Data!$B$4:$Q$4,0)-3),#N/A)-$C$8/250</f>
        <v>#N/A</v>
      </c>
      <c r="M2032" s="394" t="e">
        <f ca="1">IF(NOT(OFFSET(Data!E2035,0,MATCH('Delta Beta'!$C$5,Data!$B$4:$Q$4,0)-1)=""),OFFSET(Data!E2035,0,MATCH('Delta Beta'!$C$5,Data!$B$4:$Q$4,0)-1),#N/A)-$C$8/250</f>
        <v>#N/A</v>
      </c>
      <c r="N2032" s="395"/>
      <c r="R2032" s="391"/>
    </row>
    <row r="2033" spans="12:18">
      <c r="L2033" s="394" t="e">
        <f ca="1">IF(NOT(OFFSET(Data!E2036,0,MATCH('Delta Beta'!$C$5,Data!$B$4:$Q$4,0)-3)=""),OFFSET(Data!E2036,0,MATCH('Delta Beta'!$C$5,Data!$B$4:$Q$4,0)-3),#N/A)-$C$8/250</f>
        <v>#N/A</v>
      </c>
      <c r="M2033" s="394" t="e">
        <f ca="1">IF(NOT(OFFSET(Data!E2036,0,MATCH('Delta Beta'!$C$5,Data!$B$4:$Q$4,0)-1)=""),OFFSET(Data!E2036,0,MATCH('Delta Beta'!$C$5,Data!$B$4:$Q$4,0)-1),#N/A)-$C$8/250</f>
        <v>#N/A</v>
      </c>
      <c r="N2033" s="395"/>
      <c r="R2033" s="391"/>
    </row>
    <row r="2034" spans="12:18">
      <c r="L2034" s="394" t="e">
        <f ca="1">IF(NOT(OFFSET(Data!E2037,0,MATCH('Delta Beta'!$C$5,Data!$B$4:$Q$4,0)-3)=""),OFFSET(Data!E2037,0,MATCH('Delta Beta'!$C$5,Data!$B$4:$Q$4,0)-3),#N/A)-$C$8/250</f>
        <v>#N/A</v>
      </c>
      <c r="M2034" s="394" t="e">
        <f ca="1">IF(NOT(OFFSET(Data!E2037,0,MATCH('Delta Beta'!$C$5,Data!$B$4:$Q$4,0)-1)=""),OFFSET(Data!E2037,0,MATCH('Delta Beta'!$C$5,Data!$B$4:$Q$4,0)-1),#N/A)-$C$8/250</f>
        <v>#N/A</v>
      </c>
      <c r="N2034" s="395"/>
      <c r="R2034" s="391"/>
    </row>
    <row r="2035" spans="12:18">
      <c r="L2035" s="394" t="e">
        <f ca="1">IF(NOT(OFFSET(Data!E2038,0,MATCH('Delta Beta'!$C$5,Data!$B$4:$Q$4,0)-3)=""),OFFSET(Data!E2038,0,MATCH('Delta Beta'!$C$5,Data!$B$4:$Q$4,0)-3),#N/A)-$C$8/250</f>
        <v>#N/A</v>
      </c>
      <c r="M2035" s="394" t="e">
        <f ca="1">IF(NOT(OFFSET(Data!E2038,0,MATCH('Delta Beta'!$C$5,Data!$B$4:$Q$4,0)-1)=""),OFFSET(Data!E2038,0,MATCH('Delta Beta'!$C$5,Data!$B$4:$Q$4,0)-1),#N/A)-$C$8/250</f>
        <v>#N/A</v>
      </c>
      <c r="N2035" s="395"/>
      <c r="R2035" s="391"/>
    </row>
    <row r="2036" spans="12:18">
      <c r="L2036" s="394" t="e">
        <f ca="1">IF(NOT(OFFSET(Data!E2039,0,MATCH('Delta Beta'!$C$5,Data!$B$4:$Q$4,0)-3)=""),OFFSET(Data!E2039,0,MATCH('Delta Beta'!$C$5,Data!$B$4:$Q$4,0)-3),#N/A)-$C$8/250</f>
        <v>#N/A</v>
      </c>
      <c r="M2036" s="394" t="e">
        <f ca="1">IF(NOT(OFFSET(Data!E2039,0,MATCH('Delta Beta'!$C$5,Data!$B$4:$Q$4,0)-1)=""),OFFSET(Data!E2039,0,MATCH('Delta Beta'!$C$5,Data!$B$4:$Q$4,0)-1),#N/A)-$C$8/250</f>
        <v>#N/A</v>
      </c>
      <c r="N2036" s="395"/>
      <c r="R2036" s="391"/>
    </row>
    <row r="2037" spans="12:18">
      <c r="L2037" s="394" t="e">
        <f ca="1">IF(NOT(OFFSET(Data!E2040,0,MATCH('Delta Beta'!$C$5,Data!$B$4:$Q$4,0)-3)=""),OFFSET(Data!E2040,0,MATCH('Delta Beta'!$C$5,Data!$B$4:$Q$4,0)-3),#N/A)-$C$8/250</f>
        <v>#N/A</v>
      </c>
      <c r="M2037" s="394" t="e">
        <f ca="1">IF(NOT(OFFSET(Data!E2040,0,MATCH('Delta Beta'!$C$5,Data!$B$4:$Q$4,0)-1)=""),OFFSET(Data!E2040,0,MATCH('Delta Beta'!$C$5,Data!$B$4:$Q$4,0)-1),#N/A)-$C$8/250</f>
        <v>#N/A</v>
      </c>
      <c r="N2037" s="395"/>
      <c r="R2037" s="391"/>
    </row>
    <row r="2038" spans="12:18">
      <c r="L2038" s="394" t="e">
        <f ca="1">IF(NOT(OFFSET(Data!E2041,0,MATCH('Delta Beta'!$C$5,Data!$B$4:$Q$4,0)-3)=""),OFFSET(Data!E2041,0,MATCH('Delta Beta'!$C$5,Data!$B$4:$Q$4,0)-3),#N/A)-$C$8/250</f>
        <v>#N/A</v>
      </c>
      <c r="M2038" s="394" t="e">
        <f ca="1">IF(NOT(OFFSET(Data!E2041,0,MATCH('Delta Beta'!$C$5,Data!$B$4:$Q$4,0)-1)=""),OFFSET(Data!E2041,0,MATCH('Delta Beta'!$C$5,Data!$B$4:$Q$4,0)-1),#N/A)-$C$8/250</f>
        <v>#N/A</v>
      </c>
      <c r="N2038" s="395"/>
      <c r="R2038" s="391"/>
    </row>
    <row r="2039" spans="12:18">
      <c r="L2039" s="394" t="e">
        <f ca="1">IF(NOT(OFFSET(Data!E2042,0,MATCH('Delta Beta'!$C$5,Data!$B$4:$Q$4,0)-3)=""),OFFSET(Data!E2042,0,MATCH('Delta Beta'!$C$5,Data!$B$4:$Q$4,0)-3),#N/A)-$C$8/250</f>
        <v>#N/A</v>
      </c>
      <c r="M2039" s="394" t="e">
        <f ca="1">IF(NOT(OFFSET(Data!E2042,0,MATCH('Delta Beta'!$C$5,Data!$B$4:$Q$4,0)-1)=""),OFFSET(Data!E2042,0,MATCH('Delta Beta'!$C$5,Data!$B$4:$Q$4,0)-1),#N/A)-$C$8/250</f>
        <v>#N/A</v>
      </c>
      <c r="N2039" s="395"/>
      <c r="R2039" s="391"/>
    </row>
    <row r="2040" spans="12:18">
      <c r="L2040" s="394" t="e">
        <f ca="1">IF(NOT(OFFSET(Data!E2043,0,MATCH('Delta Beta'!$C$5,Data!$B$4:$Q$4,0)-3)=""),OFFSET(Data!E2043,0,MATCH('Delta Beta'!$C$5,Data!$B$4:$Q$4,0)-3),#N/A)-$C$8/250</f>
        <v>#N/A</v>
      </c>
      <c r="M2040" s="394" t="e">
        <f ca="1">IF(NOT(OFFSET(Data!E2043,0,MATCH('Delta Beta'!$C$5,Data!$B$4:$Q$4,0)-1)=""),OFFSET(Data!E2043,0,MATCH('Delta Beta'!$C$5,Data!$B$4:$Q$4,0)-1),#N/A)-$C$8/250</f>
        <v>#N/A</v>
      </c>
      <c r="N2040" s="395"/>
      <c r="R2040" s="391"/>
    </row>
    <row r="2041" spans="12:18">
      <c r="L2041" s="394" t="e">
        <f ca="1">IF(NOT(OFFSET(Data!E2044,0,MATCH('Delta Beta'!$C$5,Data!$B$4:$Q$4,0)-3)=""),OFFSET(Data!E2044,0,MATCH('Delta Beta'!$C$5,Data!$B$4:$Q$4,0)-3),#N/A)-$C$8/250</f>
        <v>#N/A</v>
      </c>
      <c r="M2041" s="394" t="e">
        <f ca="1">IF(NOT(OFFSET(Data!E2044,0,MATCH('Delta Beta'!$C$5,Data!$B$4:$Q$4,0)-1)=""),OFFSET(Data!E2044,0,MATCH('Delta Beta'!$C$5,Data!$B$4:$Q$4,0)-1),#N/A)-$C$8/250</f>
        <v>#N/A</v>
      </c>
      <c r="N2041" s="395"/>
      <c r="R2041" s="391"/>
    </row>
    <row r="2042" spans="12:18">
      <c r="L2042" s="394" t="e">
        <f ca="1">IF(NOT(OFFSET(Data!E2045,0,MATCH('Delta Beta'!$C$5,Data!$B$4:$Q$4,0)-3)=""),OFFSET(Data!E2045,0,MATCH('Delta Beta'!$C$5,Data!$B$4:$Q$4,0)-3),#N/A)-$C$8/250</f>
        <v>#N/A</v>
      </c>
      <c r="M2042" s="394" t="e">
        <f ca="1">IF(NOT(OFFSET(Data!E2045,0,MATCH('Delta Beta'!$C$5,Data!$B$4:$Q$4,0)-1)=""),OFFSET(Data!E2045,0,MATCH('Delta Beta'!$C$5,Data!$B$4:$Q$4,0)-1),#N/A)-$C$8/250</f>
        <v>#N/A</v>
      </c>
      <c r="N2042" s="395"/>
      <c r="R2042" s="391"/>
    </row>
    <row r="2043" spans="12:18">
      <c r="L2043" s="394" t="e">
        <f ca="1">IF(NOT(OFFSET(Data!E2046,0,MATCH('Delta Beta'!$C$5,Data!$B$4:$Q$4,0)-3)=""),OFFSET(Data!E2046,0,MATCH('Delta Beta'!$C$5,Data!$B$4:$Q$4,0)-3),#N/A)-$C$8/250</f>
        <v>#N/A</v>
      </c>
      <c r="M2043" s="394" t="e">
        <f ca="1">IF(NOT(OFFSET(Data!E2046,0,MATCH('Delta Beta'!$C$5,Data!$B$4:$Q$4,0)-1)=""),OFFSET(Data!E2046,0,MATCH('Delta Beta'!$C$5,Data!$B$4:$Q$4,0)-1),#N/A)-$C$8/250</f>
        <v>#N/A</v>
      </c>
      <c r="N2043" s="395"/>
      <c r="R2043" s="391"/>
    </row>
    <row r="2044" spans="12:18">
      <c r="L2044" s="394" t="e">
        <f ca="1">IF(NOT(OFFSET(Data!E2047,0,MATCH('Delta Beta'!$C$5,Data!$B$4:$Q$4,0)-3)=""),OFFSET(Data!E2047,0,MATCH('Delta Beta'!$C$5,Data!$B$4:$Q$4,0)-3),#N/A)-$C$8/250</f>
        <v>#N/A</v>
      </c>
      <c r="M2044" s="394" t="e">
        <f ca="1">IF(NOT(OFFSET(Data!E2047,0,MATCH('Delta Beta'!$C$5,Data!$B$4:$Q$4,0)-1)=""),OFFSET(Data!E2047,0,MATCH('Delta Beta'!$C$5,Data!$B$4:$Q$4,0)-1),#N/A)-$C$8/250</f>
        <v>#N/A</v>
      </c>
      <c r="N2044" s="395"/>
      <c r="R2044" s="391"/>
    </row>
    <row r="2045" spans="12:18">
      <c r="L2045" s="394" t="e">
        <f ca="1">IF(NOT(OFFSET(Data!E2048,0,MATCH('Delta Beta'!$C$5,Data!$B$4:$Q$4,0)-3)=""),OFFSET(Data!E2048,0,MATCH('Delta Beta'!$C$5,Data!$B$4:$Q$4,0)-3),#N/A)-$C$8/250</f>
        <v>#N/A</v>
      </c>
      <c r="M2045" s="394" t="e">
        <f ca="1">IF(NOT(OFFSET(Data!E2048,0,MATCH('Delta Beta'!$C$5,Data!$B$4:$Q$4,0)-1)=""),OFFSET(Data!E2048,0,MATCH('Delta Beta'!$C$5,Data!$B$4:$Q$4,0)-1),#N/A)-$C$8/250</f>
        <v>#N/A</v>
      </c>
      <c r="N2045" s="395"/>
      <c r="R2045" s="391"/>
    </row>
    <row r="2046" spans="12:18">
      <c r="L2046" s="394" t="e">
        <f ca="1">IF(NOT(OFFSET(Data!E2049,0,MATCH('Delta Beta'!$C$5,Data!$B$4:$Q$4,0)-3)=""),OFFSET(Data!E2049,0,MATCH('Delta Beta'!$C$5,Data!$B$4:$Q$4,0)-3),#N/A)-$C$8/250</f>
        <v>#N/A</v>
      </c>
      <c r="M2046" s="394" t="e">
        <f ca="1">IF(NOT(OFFSET(Data!E2049,0,MATCH('Delta Beta'!$C$5,Data!$B$4:$Q$4,0)-1)=""),OFFSET(Data!E2049,0,MATCH('Delta Beta'!$C$5,Data!$B$4:$Q$4,0)-1),#N/A)-$C$8/250</f>
        <v>#N/A</v>
      </c>
      <c r="N2046" s="395"/>
      <c r="R2046" s="391"/>
    </row>
    <row r="2047" spans="12:18">
      <c r="L2047" s="394" t="e">
        <f ca="1">IF(NOT(OFFSET(Data!E2050,0,MATCH('Delta Beta'!$C$5,Data!$B$4:$Q$4,0)-3)=""),OFFSET(Data!E2050,0,MATCH('Delta Beta'!$C$5,Data!$B$4:$Q$4,0)-3),#N/A)-$C$8/250</f>
        <v>#N/A</v>
      </c>
      <c r="M2047" s="394" t="e">
        <f ca="1">IF(NOT(OFFSET(Data!E2050,0,MATCH('Delta Beta'!$C$5,Data!$B$4:$Q$4,0)-1)=""),OFFSET(Data!E2050,0,MATCH('Delta Beta'!$C$5,Data!$B$4:$Q$4,0)-1),#N/A)-$C$8/250</f>
        <v>#N/A</v>
      </c>
      <c r="N2047" s="395"/>
      <c r="R2047" s="391"/>
    </row>
    <row r="2048" spans="12:18">
      <c r="L2048" s="394" t="e">
        <f ca="1">IF(NOT(OFFSET(Data!E2051,0,MATCH('Delta Beta'!$C$5,Data!$B$4:$Q$4,0)-3)=""),OFFSET(Data!E2051,0,MATCH('Delta Beta'!$C$5,Data!$B$4:$Q$4,0)-3),#N/A)-$C$8/250</f>
        <v>#N/A</v>
      </c>
      <c r="M2048" s="394" t="e">
        <f ca="1">IF(NOT(OFFSET(Data!E2051,0,MATCH('Delta Beta'!$C$5,Data!$B$4:$Q$4,0)-1)=""),OFFSET(Data!E2051,0,MATCH('Delta Beta'!$C$5,Data!$B$4:$Q$4,0)-1),#N/A)-$C$8/250</f>
        <v>#N/A</v>
      </c>
      <c r="N2048" s="395"/>
      <c r="R2048" s="391"/>
    </row>
    <row r="2049" spans="12:18">
      <c r="L2049" s="394" t="e">
        <f ca="1">IF(NOT(OFFSET(Data!E2052,0,MATCH('Delta Beta'!$C$5,Data!$B$4:$Q$4,0)-3)=""),OFFSET(Data!E2052,0,MATCH('Delta Beta'!$C$5,Data!$B$4:$Q$4,0)-3),#N/A)-$C$8/250</f>
        <v>#N/A</v>
      </c>
      <c r="M2049" s="394" t="e">
        <f ca="1">IF(NOT(OFFSET(Data!E2052,0,MATCH('Delta Beta'!$C$5,Data!$B$4:$Q$4,0)-1)=""),OFFSET(Data!E2052,0,MATCH('Delta Beta'!$C$5,Data!$B$4:$Q$4,0)-1),#N/A)-$C$8/250</f>
        <v>#N/A</v>
      </c>
      <c r="N2049" s="395"/>
      <c r="R2049" s="391"/>
    </row>
    <row r="2050" spans="12:18">
      <c r="L2050" s="394" t="e">
        <f ca="1">IF(NOT(OFFSET(Data!E2053,0,MATCH('Delta Beta'!$C$5,Data!$B$4:$Q$4,0)-3)=""),OFFSET(Data!E2053,0,MATCH('Delta Beta'!$C$5,Data!$B$4:$Q$4,0)-3),#N/A)-$C$8/250</f>
        <v>#N/A</v>
      </c>
      <c r="M2050" s="394" t="e">
        <f ca="1">IF(NOT(OFFSET(Data!E2053,0,MATCH('Delta Beta'!$C$5,Data!$B$4:$Q$4,0)-1)=""),OFFSET(Data!E2053,0,MATCH('Delta Beta'!$C$5,Data!$B$4:$Q$4,0)-1),#N/A)-$C$8/250</f>
        <v>#N/A</v>
      </c>
      <c r="N2050" s="395"/>
      <c r="R2050" s="391"/>
    </row>
    <row r="2051" spans="12:18">
      <c r="L2051" s="394" t="e">
        <f ca="1">IF(NOT(OFFSET(Data!E2054,0,MATCH('Delta Beta'!$C$5,Data!$B$4:$Q$4,0)-3)=""),OFFSET(Data!E2054,0,MATCH('Delta Beta'!$C$5,Data!$B$4:$Q$4,0)-3),#N/A)-$C$8/250</f>
        <v>#N/A</v>
      </c>
      <c r="M2051" s="394" t="e">
        <f ca="1">IF(NOT(OFFSET(Data!E2054,0,MATCH('Delta Beta'!$C$5,Data!$B$4:$Q$4,0)-1)=""),OFFSET(Data!E2054,0,MATCH('Delta Beta'!$C$5,Data!$B$4:$Q$4,0)-1),#N/A)-$C$8/250</f>
        <v>#N/A</v>
      </c>
      <c r="N2051" s="395"/>
      <c r="R2051" s="391"/>
    </row>
    <row r="2052" spans="12:18">
      <c r="L2052" s="394" t="e">
        <f ca="1">IF(NOT(OFFSET(Data!E2055,0,MATCH('Delta Beta'!$C$5,Data!$B$4:$Q$4,0)-3)=""),OFFSET(Data!E2055,0,MATCH('Delta Beta'!$C$5,Data!$B$4:$Q$4,0)-3),#N/A)-$C$8/250</f>
        <v>#N/A</v>
      </c>
      <c r="M2052" s="394" t="e">
        <f ca="1">IF(NOT(OFFSET(Data!E2055,0,MATCH('Delta Beta'!$C$5,Data!$B$4:$Q$4,0)-1)=""),OFFSET(Data!E2055,0,MATCH('Delta Beta'!$C$5,Data!$B$4:$Q$4,0)-1),#N/A)-$C$8/250</f>
        <v>#N/A</v>
      </c>
      <c r="N2052" s="395"/>
      <c r="R2052" s="391"/>
    </row>
    <row r="2053" spans="12:18">
      <c r="L2053" s="394" t="e">
        <f ca="1">IF(NOT(OFFSET(Data!E2056,0,MATCH('Delta Beta'!$C$5,Data!$B$4:$Q$4,0)-3)=""),OFFSET(Data!E2056,0,MATCH('Delta Beta'!$C$5,Data!$B$4:$Q$4,0)-3),#N/A)-$C$8/250</f>
        <v>#N/A</v>
      </c>
      <c r="M2053" s="394" t="e">
        <f ca="1">IF(NOT(OFFSET(Data!E2056,0,MATCH('Delta Beta'!$C$5,Data!$B$4:$Q$4,0)-1)=""),OFFSET(Data!E2056,0,MATCH('Delta Beta'!$C$5,Data!$B$4:$Q$4,0)-1),#N/A)-$C$8/250</f>
        <v>#N/A</v>
      </c>
      <c r="N2053" s="395"/>
      <c r="R2053" s="391"/>
    </row>
    <row r="2054" spans="12:18">
      <c r="L2054" s="394" t="e">
        <f ca="1">IF(NOT(OFFSET(Data!E2057,0,MATCH('Delta Beta'!$C$5,Data!$B$4:$Q$4,0)-3)=""),OFFSET(Data!E2057,0,MATCH('Delta Beta'!$C$5,Data!$B$4:$Q$4,0)-3),#N/A)-$C$8/250</f>
        <v>#N/A</v>
      </c>
      <c r="M2054" s="394" t="e">
        <f ca="1">IF(NOT(OFFSET(Data!E2057,0,MATCH('Delta Beta'!$C$5,Data!$B$4:$Q$4,0)-1)=""),OFFSET(Data!E2057,0,MATCH('Delta Beta'!$C$5,Data!$B$4:$Q$4,0)-1),#N/A)-$C$8/250</f>
        <v>#N/A</v>
      </c>
      <c r="N2054" s="395"/>
      <c r="R2054" s="391"/>
    </row>
    <row r="2055" spans="12:18">
      <c r="L2055" s="394" t="e">
        <f ca="1">IF(NOT(OFFSET(Data!E2058,0,MATCH('Delta Beta'!$C$5,Data!$B$4:$Q$4,0)-3)=""),OFFSET(Data!E2058,0,MATCH('Delta Beta'!$C$5,Data!$B$4:$Q$4,0)-3),#N/A)-$C$8/250</f>
        <v>#N/A</v>
      </c>
      <c r="M2055" s="394" t="e">
        <f ca="1">IF(NOT(OFFSET(Data!E2058,0,MATCH('Delta Beta'!$C$5,Data!$B$4:$Q$4,0)-1)=""),OFFSET(Data!E2058,0,MATCH('Delta Beta'!$C$5,Data!$B$4:$Q$4,0)-1),#N/A)-$C$8/250</f>
        <v>#N/A</v>
      </c>
      <c r="N2055" s="395"/>
      <c r="R2055" s="391"/>
    </row>
    <row r="2056" spans="12:18">
      <c r="L2056" s="394" t="e">
        <f ca="1">IF(NOT(OFFSET(Data!E2059,0,MATCH('Delta Beta'!$C$5,Data!$B$4:$Q$4,0)-3)=""),OFFSET(Data!E2059,0,MATCH('Delta Beta'!$C$5,Data!$B$4:$Q$4,0)-3),#N/A)-$C$8/250</f>
        <v>#N/A</v>
      </c>
      <c r="M2056" s="394" t="e">
        <f ca="1">IF(NOT(OFFSET(Data!E2059,0,MATCH('Delta Beta'!$C$5,Data!$B$4:$Q$4,0)-1)=""),OFFSET(Data!E2059,0,MATCH('Delta Beta'!$C$5,Data!$B$4:$Q$4,0)-1),#N/A)-$C$8/250</f>
        <v>#N/A</v>
      </c>
      <c r="N2056" s="395"/>
      <c r="R2056" s="391"/>
    </row>
    <row r="2057" spans="12:18">
      <c r="L2057" s="394" t="e">
        <f ca="1">IF(NOT(OFFSET(Data!E2060,0,MATCH('Delta Beta'!$C$5,Data!$B$4:$Q$4,0)-3)=""),OFFSET(Data!E2060,0,MATCH('Delta Beta'!$C$5,Data!$B$4:$Q$4,0)-3),#N/A)-$C$8/250</f>
        <v>#N/A</v>
      </c>
      <c r="M2057" s="394" t="e">
        <f ca="1">IF(NOT(OFFSET(Data!E2060,0,MATCH('Delta Beta'!$C$5,Data!$B$4:$Q$4,0)-1)=""),OFFSET(Data!E2060,0,MATCH('Delta Beta'!$C$5,Data!$B$4:$Q$4,0)-1),#N/A)-$C$8/250</f>
        <v>#N/A</v>
      </c>
      <c r="N2057" s="395"/>
      <c r="R2057" s="391"/>
    </row>
    <row r="2058" spans="12:18">
      <c r="L2058" s="394" t="e">
        <f ca="1">IF(NOT(OFFSET(Data!E2061,0,MATCH('Delta Beta'!$C$5,Data!$B$4:$Q$4,0)-3)=""),OFFSET(Data!E2061,0,MATCH('Delta Beta'!$C$5,Data!$B$4:$Q$4,0)-3),#N/A)-$C$8/250</f>
        <v>#N/A</v>
      </c>
      <c r="M2058" s="394" t="e">
        <f ca="1">IF(NOT(OFFSET(Data!E2061,0,MATCH('Delta Beta'!$C$5,Data!$B$4:$Q$4,0)-1)=""),OFFSET(Data!E2061,0,MATCH('Delta Beta'!$C$5,Data!$B$4:$Q$4,0)-1),#N/A)-$C$8/250</f>
        <v>#N/A</v>
      </c>
      <c r="N2058" s="395"/>
      <c r="R2058" s="391"/>
    </row>
    <row r="2059" spans="12:18">
      <c r="L2059" s="394" t="e">
        <f ca="1">IF(NOT(OFFSET(Data!E2062,0,MATCH('Delta Beta'!$C$5,Data!$B$4:$Q$4,0)-3)=""),OFFSET(Data!E2062,0,MATCH('Delta Beta'!$C$5,Data!$B$4:$Q$4,0)-3),#N/A)-$C$8/250</f>
        <v>#N/A</v>
      </c>
      <c r="M2059" s="394" t="e">
        <f ca="1">IF(NOT(OFFSET(Data!E2062,0,MATCH('Delta Beta'!$C$5,Data!$B$4:$Q$4,0)-1)=""),OFFSET(Data!E2062,0,MATCH('Delta Beta'!$C$5,Data!$B$4:$Q$4,0)-1),#N/A)-$C$8/250</f>
        <v>#N/A</v>
      </c>
      <c r="N2059" s="395"/>
      <c r="R2059" s="391"/>
    </row>
    <row r="2060" spans="12:18">
      <c r="L2060" s="394" t="e">
        <f ca="1">IF(NOT(OFFSET(Data!E2063,0,MATCH('Delta Beta'!$C$5,Data!$B$4:$Q$4,0)-3)=""),OFFSET(Data!E2063,0,MATCH('Delta Beta'!$C$5,Data!$B$4:$Q$4,0)-3),#N/A)-$C$8/250</f>
        <v>#N/A</v>
      </c>
      <c r="M2060" s="394" t="e">
        <f ca="1">IF(NOT(OFFSET(Data!E2063,0,MATCH('Delta Beta'!$C$5,Data!$B$4:$Q$4,0)-1)=""),OFFSET(Data!E2063,0,MATCH('Delta Beta'!$C$5,Data!$B$4:$Q$4,0)-1),#N/A)-$C$8/250</f>
        <v>#N/A</v>
      </c>
      <c r="N2060" s="395"/>
      <c r="R2060" s="391"/>
    </row>
    <row r="2061" spans="12:18">
      <c r="L2061" s="394" t="e">
        <f ca="1">IF(NOT(OFFSET(Data!E2064,0,MATCH('Delta Beta'!$C$5,Data!$B$4:$Q$4,0)-3)=""),OFFSET(Data!E2064,0,MATCH('Delta Beta'!$C$5,Data!$B$4:$Q$4,0)-3),#N/A)-$C$8/250</f>
        <v>#N/A</v>
      </c>
      <c r="M2061" s="394" t="e">
        <f ca="1">IF(NOT(OFFSET(Data!E2064,0,MATCH('Delta Beta'!$C$5,Data!$B$4:$Q$4,0)-1)=""),OFFSET(Data!E2064,0,MATCH('Delta Beta'!$C$5,Data!$B$4:$Q$4,0)-1),#N/A)-$C$8/250</f>
        <v>#N/A</v>
      </c>
      <c r="N2061" s="395"/>
      <c r="R2061" s="391"/>
    </row>
    <row r="2062" spans="12:18">
      <c r="L2062" s="394" t="e">
        <f ca="1">IF(NOT(OFFSET(Data!E2065,0,MATCH('Delta Beta'!$C$5,Data!$B$4:$Q$4,0)-3)=""),OFFSET(Data!E2065,0,MATCH('Delta Beta'!$C$5,Data!$B$4:$Q$4,0)-3),#N/A)-$C$8/250</f>
        <v>#N/A</v>
      </c>
      <c r="M2062" s="394" t="e">
        <f ca="1">IF(NOT(OFFSET(Data!E2065,0,MATCH('Delta Beta'!$C$5,Data!$B$4:$Q$4,0)-1)=""),OFFSET(Data!E2065,0,MATCH('Delta Beta'!$C$5,Data!$B$4:$Q$4,0)-1),#N/A)-$C$8/250</f>
        <v>#N/A</v>
      </c>
      <c r="N2062" s="395"/>
      <c r="R2062" s="391"/>
    </row>
    <row r="2063" spans="12:18">
      <c r="L2063" s="394" t="e">
        <f ca="1">IF(NOT(OFFSET(Data!E2066,0,MATCH('Delta Beta'!$C$5,Data!$B$4:$Q$4,0)-3)=""),OFFSET(Data!E2066,0,MATCH('Delta Beta'!$C$5,Data!$B$4:$Q$4,0)-3),#N/A)-$C$8/250</f>
        <v>#N/A</v>
      </c>
      <c r="M2063" s="394" t="e">
        <f ca="1">IF(NOT(OFFSET(Data!E2066,0,MATCH('Delta Beta'!$C$5,Data!$B$4:$Q$4,0)-1)=""),OFFSET(Data!E2066,0,MATCH('Delta Beta'!$C$5,Data!$B$4:$Q$4,0)-1),#N/A)-$C$8/250</f>
        <v>#N/A</v>
      </c>
      <c r="N2063" s="395"/>
      <c r="R2063" s="391"/>
    </row>
    <row r="2064" spans="12:18">
      <c r="L2064" s="394" t="e">
        <f ca="1">IF(NOT(OFFSET(Data!E2067,0,MATCH('Delta Beta'!$C$5,Data!$B$4:$Q$4,0)-3)=""),OFFSET(Data!E2067,0,MATCH('Delta Beta'!$C$5,Data!$B$4:$Q$4,0)-3),#N/A)-$C$8/250</f>
        <v>#N/A</v>
      </c>
      <c r="M2064" s="394" t="e">
        <f ca="1">IF(NOT(OFFSET(Data!E2067,0,MATCH('Delta Beta'!$C$5,Data!$B$4:$Q$4,0)-1)=""),OFFSET(Data!E2067,0,MATCH('Delta Beta'!$C$5,Data!$B$4:$Q$4,0)-1),#N/A)-$C$8/250</f>
        <v>#N/A</v>
      </c>
      <c r="N2064" s="395"/>
      <c r="R2064" s="391"/>
    </row>
    <row r="2065" spans="12:18">
      <c r="L2065" s="394" t="e">
        <f ca="1">IF(NOT(OFFSET(Data!E2068,0,MATCH('Delta Beta'!$C$5,Data!$B$4:$Q$4,0)-3)=""),OFFSET(Data!E2068,0,MATCH('Delta Beta'!$C$5,Data!$B$4:$Q$4,0)-3),#N/A)-$C$8/250</f>
        <v>#N/A</v>
      </c>
      <c r="M2065" s="394" t="e">
        <f ca="1">IF(NOT(OFFSET(Data!E2068,0,MATCH('Delta Beta'!$C$5,Data!$B$4:$Q$4,0)-1)=""),OFFSET(Data!E2068,0,MATCH('Delta Beta'!$C$5,Data!$B$4:$Q$4,0)-1),#N/A)-$C$8/250</f>
        <v>#N/A</v>
      </c>
      <c r="N2065" s="395"/>
      <c r="R2065" s="391"/>
    </row>
    <row r="2066" spans="12:18">
      <c r="L2066" s="394" t="e">
        <f ca="1">IF(NOT(OFFSET(Data!E2069,0,MATCH('Delta Beta'!$C$5,Data!$B$4:$Q$4,0)-3)=""),OFFSET(Data!E2069,0,MATCH('Delta Beta'!$C$5,Data!$B$4:$Q$4,0)-3),#N/A)-$C$8/250</f>
        <v>#N/A</v>
      </c>
      <c r="M2066" s="394" t="e">
        <f ca="1">IF(NOT(OFFSET(Data!E2069,0,MATCH('Delta Beta'!$C$5,Data!$B$4:$Q$4,0)-1)=""),OFFSET(Data!E2069,0,MATCH('Delta Beta'!$C$5,Data!$B$4:$Q$4,0)-1),#N/A)-$C$8/250</f>
        <v>#N/A</v>
      </c>
      <c r="N2066" s="395"/>
      <c r="R2066" s="391"/>
    </row>
    <row r="2067" spans="12:18">
      <c r="L2067" s="394" t="e">
        <f ca="1">IF(NOT(OFFSET(Data!E2070,0,MATCH('Delta Beta'!$C$5,Data!$B$4:$Q$4,0)-3)=""),OFFSET(Data!E2070,0,MATCH('Delta Beta'!$C$5,Data!$B$4:$Q$4,0)-3),#N/A)-$C$8/250</f>
        <v>#N/A</v>
      </c>
      <c r="M2067" s="394" t="e">
        <f ca="1">IF(NOT(OFFSET(Data!E2070,0,MATCH('Delta Beta'!$C$5,Data!$B$4:$Q$4,0)-1)=""),OFFSET(Data!E2070,0,MATCH('Delta Beta'!$C$5,Data!$B$4:$Q$4,0)-1),#N/A)-$C$8/250</f>
        <v>#N/A</v>
      </c>
      <c r="N2067" s="395"/>
      <c r="R2067" s="391"/>
    </row>
    <row r="2068" spans="12:18">
      <c r="L2068" s="394" t="e">
        <f ca="1">IF(NOT(OFFSET(Data!E2071,0,MATCH('Delta Beta'!$C$5,Data!$B$4:$Q$4,0)-3)=""),OFFSET(Data!E2071,0,MATCH('Delta Beta'!$C$5,Data!$B$4:$Q$4,0)-3),#N/A)-$C$8/250</f>
        <v>#N/A</v>
      </c>
      <c r="M2068" s="394" t="e">
        <f ca="1">IF(NOT(OFFSET(Data!E2071,0,MATCH('Delta Beta'!$C$5,Data!$B$4:$Q$4,0)-1)=""),OFFSET(Data!E2071,0,MATCH('Delta Beta'!$C$5,Data!$B$4:$Q$4,0)-1),#N/A)-$C$8/250</f>
        <v>#N/A</v>
      </c>
      <c r="N2068" s="395"/>
      <c r="R2068" s="391"/>
    </row>
    <row r="2069" spans="12:18">
      <c r="L2069" s="394" t="e">
        <f ca="1">IF(NOT(OFFSET(Data!E2072,0,MATCH('Delta Beta'!$C$5,Data!$B$4:$Q$4,0)-3)=""),OFFSET(Data!E2072,0,MATCH('Delta Beta'!$C$5,Data!$B$4:$Q$4,0)-3),#N/A)-$C$8/250</f>
        <v>#N/A</v>
      </c>
      <c r="M2069" s="394" t="e">
        <f ca="1">IF(NOT(OFFSET(Data!E2072,0,MATCH('Delta Beta'!$C$5,Data!$B$4:$Q$4,0)-1)=""),OFFSET(Data!E2072,0,MATCH('Delta Beta'!$C$5,Data!$B$4:$Q$4,0)-1),#N/A)-$C$8/250</f>
        <v>#N/A</v>
      </c>
      <c r="N2069" s="395"/>
      <c r="R2069" s="391"/>
    </row>
    <row r="2070" spans="12:18">
      <c r="L2070" s="394" t="e">
        <f ca="1">IF(NOT(OFFSET(Data!E2073,0,MATCH('Delta Beta'!$C$5,Data!$B$4:$Q$4,0)-3)=""),OFFSET(Data!E2073,0,MATCH('Delta Beta'!$C$5,Data!$B$4:$Q$4,0)-3),#N/A)-$C$8/250</f>
        <v>#N/A</v>
      </c>
      <c r="M2070" s="394" t="e">
        <f ca="1">IF(NOT(OFFSET(Data!E2073,0,MATCH('Delta Beta'!$C$5,Data!$B$4:$Q$4,0)-1)=""),OFFSET(Data!E2073,0,MATCH('Delta Beta'!$C$5,Data!$B$4:$Q$4,0)-1),#N/A)-$C$8/250</f>
        <v>#N/A</v>
      </c>
      <c r="N2070" s="395"/>
      <c r="R2070" s="391"/>
    </row>
    <row r="2071" spans="12:18">
      <c r="L2071" s="394" t="e">
        <f ca="1">IF(NOT(OFFSET(Data!E2074,0,MATCH('Delta Beta'!$C$5,Data!$B$4:$Q$4,0)-3)=""),OFFSET(Data!E2074,0,MATCH('Delta Beta'!$C$5,Data!$B$4:$Q$4,0)-3),#N/A)-$C$8/250</f>
        <v>#N/A</v>
      </c>
      <c r="M2071" s="394" t="e">
        <f ca="1">IF(NOT(OFFSET(Data!E2074,0,MATCH('Delta Beta'!$C$5,Data!$B$4:$Q$4,0)-1)=""),OFFSET(Data!E2074,0,MATCH('Delta Beta'!$C$5,Data!$B$4:$Q$4,0)-1),#N/A)-$C$8/250</f>
        <v>#N/A</v>
      </c>
      <c r="N2071" s="395"/>
      <c r="R2071" s="391"/>
    </row>
    <row r="2072" spans="12:18">
      <c r="L2072" s="394" t="e">
        <f ca="1">IF(NOT(OFFSET(Data!E2075,0,MATCH('Delta Beta'!$C$5,Data!$B$4:$Q$4,0)-3)=""),OFFSET(Data!E2075,0,MATCH('Delta Beta'!$C$5,Data!$B$4:$Q$4,0)-3),#N/A)-$C$8/250</f>
        <v>#N/A</v>
      </c>
      <c r="M2072" s="394" t="e">
        <f ca="1">IF(NOT(OFFSET(Data!E2075,0,MATCH('Delta Beta'!$C$5,Data!$B$4:$Q$4,0)-1)=""),OFFSET(Data!E2075,0,MATCH('Delta Beta'!$C$5,Data!$B$4:$Q$4,0)-1),#N/A)-$C$8/250</f>
        <v>#N/A</v>
      </c>
      <c r="N2072" s="395"/>
      <c r="R2072" s="391"/>
    </row>
    <row r="2073" spans="12:18">
      <c r="L2073" s="394" t="e">
        <f ca="1">IF(NOT(OFFSET(Data!E2076,0,MATCH('Delta Beta'!$C$5,Data!$B$4:$Q$4,0)-3)=""),OFFSET(Data!E2076,0,MATCH('Delta Beta'!$C$5,Data!$B$4:$Q$4,0)-3),#N/A)-$C$8/250</f>
        <v>#N/A</v>
      </c>
      <c r="M2073" s="394" t="e">
        <f ca="1">IF(NOT(OFFSET(Data!E2076,0,MATCH('Delta Beta'!$C$5,Data!$B$4:$Q$4,0)-1)=""),OFFSET(Data!E2076,0,MATCH('Delta Beta'!$C$5,Data!$B$4:$Q$4,0)-1),#N/A)-$C$8/250</f>
        <v>#N/A</v>
      </c>
      <c r="N2073" s="395"/>
      <c r="R2073" s="391"/>
    </row>
    <row r="2074" spans="12:18">
      <c r="L2074" s="394" t="e">
        <f ca="1">IF(NOT(OFFSET(Data!E2077,0,MATCH('Delta Beta'!$C$5,Data!$B$4:$Q$4,0)-3)=""),OFFSET(Data!E2077,0,MATCH('Delta Beta'!$C$5,Data!$B$4:$Q$4,0)-3),#N/A)-$C$8/250</f>
        <v>#N/A</v>
      </c>
      <c r="M2074" s="394" t="e">
        <f ca="1">IF(NOT(OFFSET(Data!E2077,0,MATCH('Delta Beta'!$C$5,Data!$B$4:$Q$4,0)-1)=""),OFFSET(Data!E2077,0,MATCH('Delta Beta'!$C$5,Data!$B$4:$Q$4,0)-1),#N/A)-$C$8/250</f>
        <v>#N/A</v>
      </c>
      <c r="N2074" s="395"/>
      <c r="R2074" s="391"/>
    </row>
    <row r="2075" spans="12:18">
      <c r="L2075" s="394" t="e">
        <f ca="1">IF(NOT(OFFSET(Data!E2078,0,MATCH('Delta Beta'!$C$5,Data!$B$4:$Q$4,0)-3)=""),OFFSET(Data!E2078,0,MATCH('Delta Beta'!$C$5,Data!$B$4:$Q$4,0)-3),#N/A)-$C$8/250</f>
        <v>#N/A</v>
      </c>
      <c r="M2075" s="394" t="e">
        <f ca="1">IF(NOT(OFFSET(Data!E2078,0,MATCH('Delta Beta'!$C$5,Data!$B$4:$Q$4,0)-1)=""),OFFSET(Data!E2078,0,MATCH('Delta Beta'!$C$5,Data!$B$4:$Q$4,0)-1),#N/A)-$C$8/250</f>
        <v>#N/A</v>
      </c>
      <c r="N2075" s="395"/>
      <c r="R2075" s="391"/>
    </row>
    <row r="2076" spans="12:18">
      <c r="L2076" s="394" t="e">
        <f ca="1">IF(NOT(OFFSET(Data!E2079,0,MATCH('Delta Beta'!$C$5,Data!$B$4:$Q$4,0)-3)=""),OFFSET(Data!E2079,0,MATCH('Delta Beta'!$C$5,Data!$B$4:$Q$4,0)-3),#N/A)-$C$8/250</f>
        <v>#N/A</v>
      </c>
      <c r="M2076" s="394" t="e">
        <f ca="1">IF(NOT(OFFSET(Data!E2079,0,MATCH('Delta Beta'!$C$5,Data!$B$4:$Q$4,0)-1)=""),OFFSET(Data!E2079,0,MATCH('Delta Beta'!$C$5,Data!$B$4:$Q$4,0)-1),#N/A)-$C$8/250</f>
        <v>#N/A</v>
      </c>
      <c r="N2076" s="395"/>
      <c r="R2076" s="391"/>
    </row>
    <row r="2077" spans="12:18">
      <c r="L2077" s="394" t="e">
        <f ca="1">IF(NOT(OFFSET(Data!E2080,0,MATCH('Delta Beta'!$C$5,Data!$B$4:$Q$4,0)-3)=""),OFFSET(Data!E2080,0,MATCH('Delta Beta'!$C$5,Data!$B$4:$Q$4,0)-3),#N/A)-$C$8/250</f>
        <v>#N/A</v>
      </c>
      <c r="M2077" s="394" t="e">
        <f ca="1">IF(NOT(OFFSET(Data!E2080,0,MATCH('Delta Beta'!$C$5,Data!$B$4:$Q$4,0)-1)=""),OFFSET(Data!E2080,0,MATCH('Delta Beta'!$C$5,Data!$B$4:$Q$4,0)-1),#N/A)-$C$8/250</f>
        <v>#N/A</v>
      </c>
      <c r="N2077" s="395"/>
      <c r="R2077" s="391"/>
    </row>
    <row r="2078" spans="12:18">
      <c r="L2078" s="394" t="e">
        <f ca="1">IF(NOT(OFFSET(Data!E2081,0,MATCH('Delta Beta'!$C$5,Data!$B$4:$Q$4,0)-3)=""),OFFSET(Data!E2081,0,MATCH('Delta Beta'!$C$5,Data!$B$4:$Q$4,0)-3),#N/A)-$C$8/250</f>
        <v>#N/A</v>
      </c>
      <c r="M2078" s="394" t="e">
        <f ca="1">IF(NOT(OFFSET(Data!E2081,0,MATCH('Delta Beta'!$C$5,Data!$B$4:$Q$4,0)-1)=""),OFFSET(Data!E2081,0,MATCH('Delta Beta'!$C$5,Data!$B$4:$Q$4,0)-1),#N/A)-$C$8/250</f>
        <v>#N/A</v>
      </c>
      <c r="N2078" s="395"/>
      <c r="R2078" s="391"/>
    </row>
    <row r="2079" spans="12:18">
      <c r="L2079" s="394" t="e">
        <f ca="1">IF(NOT(OFFSET(Data!E2082,0,MATCH('Delta Beta'!$C$5,Data!$B$4:$Q$4,0)-3)=""),OFFSET(Data!E2082,0,MATCH('Delta Beta'!$C$5,Data!$B$4:$Q$4,0)-3),#N/A)-$C$8/250</f>
        <v>#N/A</v>
      </c>
      <c r="M2079" s="394" t="e">
        <f ca="1">IF(NOT(OFFSET(Data!E2082,0,MATCH('Delta Beta'!$C$5,Data!$B$4:$Q$4,0)-1)=""),OFFSET(Data!E2082,0,MATCH('Delta Beta'!$C$5,Data!$B$4:$Q$4,0)-1),#N/A)-$C$8/250</f>
        <v>#N/A</v>
      </c>
      <c r="N2079" s="395"/>
      <c r="R2079" s="391"/>
    </row>
    <row r="2080" spans="12:18">
      <c r="L2080" s="394" t="e">
        <f ca="1">IF(NOT(OFFSET(Data!E2083,0,MATCH('Delta Beta'!$C$5,Data!$B$4:$Q$4,0)-3)=""),OFFSET(Data!E2083,0,MATCH('Delta Beta'!$C$5,Data!$B$4:$Q$4,0)-3),#N/A)-$C$8/250</f>
        <v>#N/A</v>
      </c>
      <c r="M2080" s="394" t="e">
        <f ca="1">IF(NOT(OFFSET(Data!E2083,0,MATCH('Delta Beta'!$C$5,Data!$B$4:$Q$4,0)-1)=""),OFFSET(Data!E2083,0,MATCH('Delta Beta'!$C$5,Data!$B$4:$Q$4,0)-1),#N/A)-$C$8/250</f>
        <v>#N/A</v>
      </c>
      <c r="N2080" s="395"/>
      <c r="R2080" s="391"/>
    </row>
    <row r="2081" spans="12:18">
      <c r="L2081" s="394" t="e">
        <f ca="1">IF(NOT(OFFSET(Data!E2084,0,MATCH('Delta Beta'!$C$5,Data!$B$4:$Q$4,0)-3)=""),OFFSET(Data!E2084,0,MATCH('Delta Beta'!$C$5,Data!$B$4:$Q$4,0)-3),#N/A)-$C$8/250</f>
        <v>#N/A</v>
      </c>
      <c r="M2081" s="394" t="e">
        <f ca="1">IF(NOT(OFFSET(Data!E2084,0,MATCH('Delta Beta'!$C$5,Data!$B$4:$Q$4,0)-1)=""),OFFSET(Data!E2084,0,MATCH('Delta Beta'!$C$5,Data!$B$4:$Q$4,0)-1),#N/A)-$C$8/250</f>
        <v>#N/A</v>
      </c>
      <c r="N2081" s="395"/>
      <c r="R2081" s="391"/>
    </row>
    <row r="2082" spans="12:18">
      <c r="L2082" s="394" t="e">
        <f ca="1">IF(NOT(OFFSET(Data!E2085,0,MATCH('Delta Beta'!$C$5,Data!$B$4:$Q$4,0)-3)=""),OFFSET(Data!E2085,0,MATCH('Delta Beta'!$C$5,Data!$B$4:$Q$4,0)-3),#N/A)-$C$8/250</f>
        <v>#N/A</v>
      </c>
      <c r="M2082" s="394" t="e">
        <f ca="1">IF(NOT(OFFSET(Data!E2085,0,MATCH('Delta Beta'!$C$5,Data!$B$4:$Q$4,0)-1)=""),OFFSET(Data!E2085,0,MATCH('Delta Beta'!$C$5,Data!$B$4:$Q$4,0)-1),#N/A)-$C$8/250</f>
        <v>#N/A</v>
      </c>
      <c r="N2082" s="395"/>
      <c r="R2082" s="391"/>
    </row>
    <row r="2083" spans="12:18">
      <c r="L2083" s="394" t="e">
        <f ca="1">IF(NOT(OFFSET(Data!E2086,0,MATCH('Delta Beta'!$C$5,Data!$B$4:$Q$4,0)-3)=""),OFFSET(Data!E2086,0,MATCH('Delta Beta'!$C$5,Data!$B$4:$Q$4,0)-3),#N/A)-$C$8/250</f>
        <v>#N/A</v>
      </c>
      <c r="M2083" s="394" t="e">
        <f ca="1">IF(NOT(OFFSET(Data!E2086,0,MATCH('Delta Beta'!$C$5,Data!$B$4:$Q$4,0)-1)=""),OFFSET(Data!E2086,0,MATCH('Delta Beta'!$C$5,Data!$B$4:$Q$4,0)-1),#N/A)-$C$8/250</f>
        <v>#N/A</v>
      </c>
      <c r="N2083" s="395"/>
      <c r="R2083" s="391"/>
    </row>
    <row r="2084" spans="12:18">
      <c r="L2084" s="394" t="e">
        <f ca="1">IF(NOT(OFFSET(Data!E2087,0,MATCH('Delta Beta'!$C$5,Data!$B$4:$Q$4,0)-3)=""),OFFSET(Data!E2087,0,MATCH('Delta Beta'!$C$5,Data!$B$4:$Q$4,0)-3),#N/A)-$C$8/250</f>
        <v>#N/A</v>
      </c>
      <c r="M2084" s="394" t="e">
        <f ca="1">IF(NOT(OFFSET(Data!E2087,0,MATCH('Delta Beta'!$C$5,Data!$B$4:$Q$4,0)-1)=""),OFFSET(Data!E2087,0,MATCH('Delta Beta'!$C$5,Data!$B$4:$Q$4,0)-1),#N/A)-$C$8/250</f>
        <v>#N/A</v>
      </c>
      <c r="N2084" s="395"/>
      <c r="R2084" s="391"/>
    </row>
    <row r="2085" spans="12:18">
      <c r="L2085" s="394" t="e">
        <f ca="1">IF(NOT(OFFSET(Data!E2088,0,MATCH('Delta Beta'!$C$5,Data!$B$4:$Q$4,0)-3)=""),OFFSET(Data!E2088,0,MATCH('Delta Beta'!$C$5,Data!$B$4:$Q$4,0)-3),#N/A)-$C$8/250</f>
        <v>#N/A</v>
      </c>
      <c r="M2085" s="394" t="e">
        <f ca="1">IF(NOT(OFFSET(Data!E2088,0,MATCH('Delta Beta'!$C$5,Data!$B$4:$Q$4,0)-1)=""),OFFSET(Data!E2088,0,MATCH('Delta Beta'!$C$5,Data!$B$4:$Q$4,0)-1),#N/A)-$C$8/250</f>
        <v>#N/A</v>
      </c>
      <c r="N2085" s="395"/>
      <c r="R2085" s="391"/>
    </row>
    <row r="2086" spans="12:18">
      <c r="L2086" s="394" t="e">
        <f ca="1">IF(NOT(OFFSET(Data!E2089,0,MATCH('Delta Beta'!$C$5,Data!$B$4:$Q$4,0)-3)=""),OFFSET(Data!E2089,0,MATCH('Delta Beta'!$C$5,Data!$B$4:$Q$4,0)-3),#N/A)-$C$8/250</f>
        <v>#N/A</v>
      </c>
      <c r="M2086" s="394" t="e">
        <f ca="1">IF(NOT(OFFSET(Data!E2089,0,MATCH('Delta Beta'!$C$5,Data!$B$4:$Q$4,0)-1)=""),OFFSET(Data!E2089,0,MATCH('Delta Beta'!$C$5,Data!$B$4:$Q$4,0)-1),#N/A)-$C$8/250</f>
        <v>#N/A</v>
      </c>
      <c r="N2086" s="395"/>
      <c r="R2086" s="391"/>
    </row>
    <row r="2087" spans="12:18">
      <c r="L2087" s="394" t="e">
        <f ca="1">IF(NOT(OFFSET(Data!E2090,0,MATCH('Delta Beta'!$C$5,Data!$B$4:$Q$4,0)-3)=""),OFFSET(Data!E2090,0,MATCH('Delta Beta'!$C$5,Data!$B$4:$Q$4,0)-3),#N/A)-$C$8/250</f>
        <v>#N/A</v>
      </c>
      <c r="M2087" s="394" t="e">
        <f ca="1">IF(NOT(OFFSET(Data!E2090,0,MATCH('Delta Beta'!$C$5,Data!$B$4:$Q$4,0)-1)=""),OFFSET(Data!E2090,0,MATCH('Delta Beta'!$C$5,Data!$B$4:$Q$4,0)-1),#N/A)-$C$8/250</f>
        <v>#N/A</v>
      </c>
      <c r="N2087" s="395"/>
      <c r="R2087" s="391"/>
    </row>
    <row r="2088" spans="12:18">
      <c r="L2088" s="394" t="e">
        <f ca="1">IF(NOT(OFFSET(Data!E2091,0,MATCH('Delta Beta'!$C$5,Data!$B$4:$Q$4,0)-3)=""),OFFSET(Data!E2091,0,MATCH('Delta Beta'!$C$5,Data!$B$4:$Q$4,0)-3),#N/A)-$C$8/250</f>
        <v>#N/A</v>
      </c>
      <c r="M2088" s="394" t="e">
        <f ca="1">IF(NOT(OFFSET(Data!E2091,0,MATCH('Delta Beta'!$C$5,Data!$B$4:$Q$4,0)-1)=""),OFFSET(Data!E2091,0,MATCH('Delta Beta'!$C$5,Data!$B$4:$Q$4,0)-1),#N/A)-$C$8/250</f>
        <v>#N/A</v>
      </c>
      <c r="N2088" s="395"/>
      <c r="R2088" s="391"/>
    </row>
    <row r="2089" spans="12:18">
      <c r="L2089" s="394" t="e">
        <f ca="1">IF(NOT(OFFSET(Data!E2092,0,MATCH('Delta Beta'!$C$5,Data!$B$4:$Q$4,0)-3)=""),OFFSET(Data!E2092,0,MATCH('Delta Beta'!$C$5,Data!$B$4:$Q$4,0)-3),#N/A)-$C$8/250</f>
        <v>#N/A</v>
      </c>
      <c r="M2089" s="394" t="e">
        <f ca="1">IF(NOT(OFFSET(Data!E2092,0,MATCH('Delta Beta'!$C$5,Data!$B$4:$Q$4,0)-1)=""),OFFSET(Data!E2092,0,MATCH('Delta Beta'!$C$5,Data!$B$4:$Q$4,0)-1),#N/A)-$C$8/250</f>
        <v>#N/A</v>
      </c>
      <c r="N2089" s="395"/>
      <c r="R2089" s="391"/>
    </row>
    <row r="2090" spans="12:18">
      <c r="L2090" s="394" t="e">
        <f ca="1">IF(NOT(OFFSET(Data!E2093,0,MATCH('Delta Beta'!$C$5,Data!$B$4:$Q$4,0)-3)=""),OFFSET(Data!E2093,0,MATCH('Delta Beta'!$C$5,Data!$B$4:$Q$4,0)-3),#N/A)-$C$8/250</f>
        <v>#N/A</v>
      </c>
      <c r="M2090" s="394" t="e">
        <f ca="1">IF(NOT(OFFSET(Data!E2093,0,MATCH('Delta Beta'!$C$5,Data!$B$4:$Q$4,0)-1)=""),OFFSET(Data!E2093,0,MATCH('Delta Beta'!$C$5,Data!$B$4:$Q$4,0)-1),#N/A)-$C$8/250</f>
        <v>#N/A</v>
      </c>
      <c r="N2090" s="395"/>
      <c r="R2090" s="391"/>
    </row>
    <row r="2091" spans="12:18">
      <c r="L2091" s="394" t="e">
        <f ca="1">IF(NOT(OFFSET(Data!E2094,0,MATCH('Delta Beta'!$C$5,Data!$B$4:$Q$4,0)-3)=""),OFFSET(Data!E2094,0,MATCH('Delta Beta'!$C$5,Data!$B$4:$Q$4,0)-3),#N/A)-$C$8/250</f>
        <v>#N/A</v>
      </c>
      <c r="M2091" s="394" t="e">
        <f ca="1">IF(NOT(OFFSET(Data!E2094,0,MATCH('Delta Beta'!$C$5,Data!$B$4:$Q$4,0)-1)=""),OFFSET(Data!E2094,0,MATCH('Delta Beta'!$C$5,Data!$B$4:$Q$4,0)-1),#N/A)-$C$8/250</f>
        <v>#N/A</v>
      </c>
      <c r="N2091" s="395"/>
      <c r="R2091" s="391"/>
    </row>
    <row r="2092" spans="12:18">
      <c r="L2092" s="394" t="e">
        <f ca="1">IF(NOT(OFFSET(Data!E2095,0,MATCH('Delta Beta'!$C$5,Data!$B$4:$Q$4,0)-3)=""),OFFSET(Data!E2095,0,MATCH('Delta Beta'!$C$5,Data!$B$4:$Q$4,0)-3),#N/A)-$C$8/250</f>
        <v>#N/A</v>
      </c>
      <c r="M2092" s="394" t="e">
        <f ca="1">IF(NOT(OFFSET(Data!E2095,0,MATCH('Delta Beta'!$C$5,Data!$B$4:$Q$4,0)-1)=""),OFFSET(Data!E2095,0,MATCH('Delta Beta'!$C$5,Data!$B$4:$Q$4,0)-1),#N/A)-$C$8/250</f>
        <v>#N/A</v>
      </c>
      <c r="N2092" s="395"/>
      <c r="R2092" s="391"/>
    </row>
    <row r="2093" spans="12:18">
      <c r="L2093" s="394" t="e">
        <f ca="1">IF(NOT(OFFSET(Data!E2096,0,MATCH('Delta Beta'!$C$5,Data!$B$4:$Q$4,0)-3)=""),OFFSET(Data!E2096,0,MATCH('Delta Beta'!$C$5,Data!$B$4:$Q$4,0)-3),#N/A)-$C$8/250</f>
        <v>#N/A</v>
      </c>
      <c r="M2093" s="394" t="e">
        <f ca="1">IF(NOT(OFFSET(Data!E2096,0,MATCH('Delta Beta'!$C$5,Data!$B$4:$Q$4,0)-1)=""),OFFSET(Data!E2096,0,MATCH('Delta Beta'!$C$5,Data!$B$4:$Q$4,0)-1),#N/A)-$C$8/250</f>
        <v>#N/A</v>
      </c>
      <c r="N2093" s="395"/>
      <c r="R2093" s="391"/>
    </row>
    <row r="2094" spans="12:18">
      <c r="L2094" s="394" t="e">
        <f ca="1">IF(NOT(OFFSET(Data!E2097,0,MATCH('Delta Beta'!$C$5,Data!$B$4:$Q$4,0)-3)=""),OFFSET(Data!E2097,0,MATCH('Delta Beta'!$C$5,Data!$B$4:$Q$4,0)-3),#N/A)-$C$8/250</f>
        <v>#N/A</v>
      </c>
      <c r="M2094" s="394" t="e">
        <f ca="1">IF(NOT(OFFSET(Data!E2097,0,MATCH('Delta Beta'!$C$5,Data!$B$4:$Q$4,0)-1)=""),OFFSET(Data!E2097,0,MATCH('Delta Beta'!$C$5,Data!$B$4:$Q$4,0)-1),#N/A)-$C$8/250</f>
        <v>#N/A</v>
      </c>
      <c r="N2094" s="395"/>
      <c r="R2094" s="391"/>
    </row>
    <row r="2095" spans="12:18">
      <c r="L2095" s="394" t="e">
        <f ca="1">IF(NOT(OFFSET(Data!E2098,0,MATCH('Delta Beta'!$C$5,Data!$B$4:$Q$4,0)-3)=""),OFFSET(Data!E2098,0,MATCH('Delta Beta'!$C$5,Data!$B$4:$Q$4,0)-3),#N/A)-$C$8/250</f>
        <v>#N/A</v>
      </c>
      <c r="M2095" s="394" t="e">
        <f ca="1">IF(NOT(OFFSET(Data!E2098,0,MATCH('Delta Beta'!$C$5,Data!$B$4:$Q$4,0)-1)=""),OFFSET(Data!E2098,0,MATCH('Delta Beta'!$C$5,Data!$B$4:$Q$4,0)-1),#N/A)-$C$8/250</f>
        <v>#N/A</v>
      </c>
      <c r="N2095" s="395"/>
      <c r="R2095" s="391"/>
    </row>
    <row r="2096" spans="12:18">
      <c r="L2096" s="394" t="e">
        <f ca="1">IF(NOT(OFFSET(Data!E2099,0,MATCH('Delta Beta'!$C$5,Data!$B$4:$Q$4,0)-3)=""),OFFSET(Data!E2099,0,MATCH('Delta Beta'!$C$5,Data!$B$4:$Q$4,0)-3),#N/A)-$C$8/250</f>
        <v>#N/A</v>
      </c>
      <c r="M2096" s="394" t="e">
        <f ca="1">IF(NOT(OFFSET(Data!E2099,0,MATCH('Delta Beta'!$C$5,Data!$B$4:$Q$4,0)-1)=""),OFFSET(Data!E2099,0,MATCH('Delta Beta'!$C$5,Data!$B$4:$Q$4,0)-1),#N/A)-$C$8/250</f>
        <v>#N/A</v>
      </c>
      <c r="N2096" s="395"/>
      <c r="R2096" s="391"/>
    </row>
    <row r="2097" spans="12:18">
      <c r="L2097" s="394" t="e">
        <f ca="1">IF(NOT(OFFSET(Data!E2100,0,MATCH('Delta Beta'!$C$5,Data!$B$4:$Q$4,0)-3)=""),OFFSET(Data!E2100,0,MATCH('Delta Beta'!$C$5,Data!$B$4:$Q$4,0)-3),#N/A)-$C$8/250</f>
        <v>#N/A</v>
      </c>
      <c r="M2097" s="394" t="e">
        <f ca="1">IF(NOT(OFFSET(Data!E2100,0,MATCH('Delta Beta'!$C$5,Data!$B$4:$Q$4,0)-1)=""),OFFSET(Data!E2100,0,MATCH('Delta Beta'!$C$5,Data!$B$4:$Q$4,0)-1),#N/A)-$C$8/250</f>
        <v>#N/A</v>
      </c>
      <c r="N2097" s="395"/>
      <c r="R2097" s="391"/>
    </row>
    <row r="2098" spans="12:18">
      <c r="L2098" s="394" t="e">
        <f ca="1">IF(NOT(OFFSET(Data!E2101,0,MATCH('Delta Beta'!$C$5,Data!$B$4:$Q$4,0)-3)=""),OFFSET(Data!E2101,0,MATCH('Delta Beta'!$C$5,Data!$B$4:$Q$4,0)-3),#N/A)-$C$8/250</f>
        <v>#N/A</v>
      </c>
      <c r="M2098" s="394" t="e">
        <f ca="1">IF(NOT(OFFSET(Data!E2101,0,MATCH('Delta Beta'!$C$5,Data!$B$4:$Q$4,0)-1)=""),OFFSET(Data!E2101,0,MATCH('Delta Beta'!$C$5,Data!$B$4:$Q$4,0)-1),#N/A)-$C$8/250</f>
        <v>#N/A</v>
      </c>
      <c r="N2098" s="395"/>
      <c r="R2098" s="391"/>
    </row>
    <row r="2099" spans="12:18">
      <c r="L2099" s="394" t="e">
        <f ca="1">IF(NOT(OFFSET(Data!E2102,0,MATCH('Delta Beta'!$C$5,Data!$B$4:$Q$4,0)-3)=""),OFFSET(Data!E2102,0,MATCH('Delta Beta'!$C$5,Data!$B$4:$Q$4,0)-3),#N/A)-$C$8/250</f>
        <v>#N/A</v>
      </c>
      <c r="M2099" s="394" t="e">
        <f ca="1">IF(NOT(OFFSET(Data!E2102,0,MATCH('Delta Beta'!$C$5,Data!$B$4:$Q$4,0)-1)=""),OFFSET(Data!E2102,0,MATCH('Delta Beta'!$C$5,Data!$B$4:$Q$4,0)-1),#N/A)-$C$8/250</f>
        <v>#N/A</v>
      </c>
      <c r="N2099" s="395"/>
      <c r="R2099" s="391"/>
    </row>
    <row r="2100" spans="12:18">
      <c r="L2100" s="394" t="e">
        <f ca="1">IF(NOT(OFFSET(Data!E2103,0,MATCH('Delta Beta'!$C$5,Data!$B$4:$Q$4,0)-3)=""),OFFSET(Data!E2103,0,MATCH('Delta Beta'!$C$5,Data!$B$4:$Q$4,0)-3),#N/A)-$C$8/250</f>
        <v>#N/A</v>
      </c>
      <c r="M2100" s="394" t="e">
        <f ca="1">IF(NOT(OFFSET(Data!E2103,0,MATCH('Delta Beta'!$C$5,Data!$B$4:$Q$4,0)-1)=""),OFFSET(Data!E2103,0,MATCH('Delta Beta'!$C$5,Data!$B$4:$Q$4,0)-1),#N/A)-$C$8/250</f>
        <v>#N/A</v>
      </c>
      <c r="N2100" s="395"/>
      <c r="R2100" s="391"/>
    </row>
    <row r="2101" spans="12:18">
      <c r="L2101" s="394" t="e">
        <f ca="1">IF(NOT(OFFSET(Data!E2104,0,MATCH('Delta Beta'!$C$5,Data!$B$4:$Q$4,0)-3)=""),OFFSET(Data!E2104,0,MATCH('Delta Beta'!$C$5,Data!$B$4:$Q$4,0)-3),#N/A)-$C$8/250</f>
        <v>#N/A</v>
      </c>
      <c r="M2101" s="394" t="e">
        <f ca="1">IF(NOT(OFFSET(Data!E2104,0,MATCH('Delta Beta'!$C$5,Data!$B$4:$Q$4,0)-1)=""),OFFSET(Data!E2104,0,MATCH('Delta Beta'!$C$5,Data!$B$4:$Q$4,0)-1),#N/A)-$C$8/250</f>
        <v>#N/A</v>
      </c>
      <c r="N2101" s="395"/>
      <c r="R2101" s="391"/>
    </row>
    <row r="2102" spans="12:18">
      <c r="L2102" s="394" t="e">
        <f ca="1">IF(NOT(OFFSET(Data!E2105,0,MATCH('Delta Beta'!$C$5,Data!$B$4:$Q$4,0)-3)=""),OFFSET(Data!E2105,0,MATCH('Delta Beta'!$C$5,Data!$B$4:$Q$4,0)-3),#N/A)-$C$8/250</f>
        <v>#N/A</v>
      </c>
      <c r="M2102" s="394" t="e">
        <f ca="1">IF(NOT(OFFSET(Data!E2105,0,MATCH('Delta Beta'!$C$5,Data!$B$4:$Q$4,0)-1)=""),OFFSET(Data!E2105,0,MATCH('Delta Beta'!$C$5,Data!$B$4:$Q$4,0)-1),#N/A)-$C$8/250</f>
        <v>#N/A</v>
      </c>
      <c r="N2102" s="395"/>
      <c r="R2102" s="391"/>
    </row>
    <row r="2103" spans="12:18">
      <c r="L2103" s="394" t="e">
        <f ca="1">IF(NOT(OFFSET(Data!E2106,0,MATCH('Delta Beta'!$C$5,Data!$B$4:$Q$4,0)-3)=""),OFFSET(Data!E2106,0,MATCH('Delta Beta'!$C$5,Data!$B$4:$Q$4,0)-3),#N/A)-$C$8/250</f>
        <v>#N/A</v>
      </c>
      <c r="M2103" s="394" t="e">
        <f ca="1">IF(NOT(OFFSET(Data!E2106,0,MATCH('Delta Beta'!$C$5,Data!$B$4:$Q$4,0)-1)=""),OFFSET(Data!E2106,0,MATCH('Delta Beta'!$C$5,Data!$B$4:$Q$4,0)-1),#N/A)-$C$8/250</f>
        <v>#N/A</v>
      </c>
      <c r="N2103" s="395"/>
      <c r="R2103" s="391"/>
    </row>
    <row r="2104" spans="12:18">
      <c r="L2104" s="394" t="e">
        <f ca="1">IF(NOT(OFFSET(Data!E2107,0,MATCH('Delta Beta'!$C$5,Data!$B$4:$Q$4,0)-3)=""),OFFSET(Data!E2107,0,MATCH('Delta Beta'!$C$5,Data!$B$4:$Q$4,0)-3),#N/A)-$C$8/250</f>
        <v>#N/A</v>
      </c>
      <c r="M2104" s="394" t="e">
        <f ca="1">IF(NOT(OFFSET(Data!E2107,0,MATCH('Delta Beta'!$C$5,Data!$B$4:$Q$4,0)-1)=""),OFFSET(Data!E2107,0,MATCH('Delta Beta'!$C$5,Data!$B$4:$Q$4,0)-1),#N/A)-$C$8/250</f>
        <v>#N/A</v>
      </c>
      <c r="N2104" s="395"/>
      <c r="R2104" s="391"/>
    </row>
    <row r="2105" spans="12:18">
      <c r="L2105" s="394" t="e">
        <f ca="1">IF(NOT(OFFSET(Data!E2108,0,MATCH('Delta Beta'!$C$5,Data!$B$4:$Q$4,0)-3)=""),OFFSET(Data!E2108,0,MATCH('Delta Beta'!$C$5,Data!$B$4:$Q$4,0)-3),#N/A)-$C$8/250</f>
        <v>#N/A</v>
      </c>
      <c r="M2105" s="394" t="e">
        <f ca="1">IF(NOT(OFFSET(Data!E2108,0,MATCH('Delta Beta'!$C$5,Data!$B$4:$Q$4,0)-1)=""),OFFSET(Data!E2108,0,MATCH('Delta Beta'!$C$5,Data!$B$4:$Q$4,0)-1),#N/A)-$C$8/250</f>
        <v>#N/A</v>
      </c>
      <c r="N2105" s="395"/>
      <c r="R2105" s="391"/>
    </row>
    <row r="2106" spans="12:18">
      <c r="L2106" s="394" t="e">
        <f ca="1">IF(NOT(OFFSET(Data!E2109,0,MATCH('Delta Beta'!$C$5,Data!$B$4:$Q$4,0)-3)=""),OFFSET(Data!E2109,0,MATCH('Delta Beta'!$C$5,Data!$B$4:$Q$4,0)-3),#N/A)-$C$8/250</f>
        <v>#N/A</v>
      </c>
      <c r="M2106" s="394" t="e">
        <f ca="1">IF(NOT(OFFSET(Data!E2109,0,MATCH('Delta Beta'!$C$5,Data!$B$4:$Q$4,0)-1)=""),OFFSET(Data!E2109,0,MATCH('Delta Beta'!$C$5,Data!$B$4:$Q$4,0)-1),#N/A)-$C$8/250</f>
        <v>#N/A</v>
      </c>
      <c r="N2106" s="395"/>
      <c r="R2106" s="391"/>
    </row>
    <row r="2107" spans="12:18">
      <c r="L2107" s="394" t="e">
        <f ca="1">IF(NOT(OFFSET(Data!E2110,0,MATCH('Delta Beta'!$C$5,Data!$B$4:$Q$4,0)-3)=""),OFFSET(Data!E2110,0,MATCH('Delta Beta'!$C$5,Data!$B$4:$Q$4,0)-3),#N/A)-$C$8/250</f>
        <v>#N/A</v>
      </c>
      <c r="M2107" s="394" t="e">
        <f ca="1">IF(NOT(OFFSET(Data!E2110,0,MATCH('Delta Beta'!$C$5,Data!$B$4:$Q$4,0)-1)=""),OFFSET(Data!E2110,0,MATCH('Delta Beta'!$C$5,Data!$B$4:$Q$4,0)-1),#N/A)-$C$8/250</f>
        <v>#N/A</v>
      </c>
      <c r="N2107" s="395"/>
      <c r="R2107" s="391"/>
    </row>
    <row r="2108" spans="12:18">
      <c r="L2108" s="394" t="e">
        <f ca="1">IF(NOT(OFFSET(Data!E2111,0,MATCH('Delta Beta'!$C$5,Data!$B$4:$Q$4,0)-3)=""),OFFSET(Data!E2111,0,MATCH('Delta Beta'!$C$5,Data!$B$4:$Q$4,0)-3),#N/A)-$C$8/250</f>
        <v>#N/A</v>
      </c>
      <c r="M2108" s="394" t="e">
        <f ca="1">IF(NOT(OFFSET(Data!E2111,0,MATCH('Delta Beta'!$C$5,Data!$B$4:$Q$4,0)-1)=""),OFFSET(Data!E2111,0,MATCH('Delta Beta'!$C$5,Data!$B$4:$Q$4,0)-1),#N/A)-$C$8/250</f>
        <v>#N/A</v>
      </c>
      <c r="N2108" s="395"/>
      <c r="R2108" s="391"/>
    </row>
    <row r="2109" spans="12:18">
      <c r="L2109" s="394" t="e">
        <f ca="1">IF(NOT(OFFSET(Data!E2112,0,MATCH('Delta Beta'!$C$5,Data!$B$4:$Q$4,0)-3)=""),OFFSET(Data!E2112,0,MATCH('Delta Beta'!$C$5,Data!$B$4:$Q$4,0)-3),#N/A)-$C$8/250</f>
        <v>#N/A</v>
      </c>
      <c r="M2109" s="394" t="e">
        <f ca="1">IF(NOT(OFFSET(Data!E2112,0,MATCH('Delta Beta'!$C$5,Data!$B$4:$Q$4,0)-1)=""),OFFSET(Data!E2112,0,MATCH('Delta Beta'!$C$5,Data!$B$4:$Q$4,0)-1),#N/A)-$C$8/250</f>
        <v>#N/A</v>
      </c>
      <c r="N2109" s="395"/>
      <c r="R2109" s="391"/>
    </row>
    <row r="2110" spans="12:18">
      <c r="L2110" s="394" t="e">
        <f ca="1">IF(NOT(OFFSET(Data!E2113,0,MATCH('Delta Beta'!$C$5,Data!$B$4:$Q$4,0)-3)=""),OFFSET(Data!E2113,0,MATCH('Delta Beta'!$C$5,Data!$B$4:$Q$4,0)-3),#N/A)-$C$8/250</f>
        <v>#N/A</v>
      </c>
      <c r="M2110" s="394" t="e">
        <f ca="1">IF(NOT(OFFSET(Data!E2113,0,MATCH('Delta Beta'!$C$5,Data!$B$4:$Q$4,0)-1)=""),OFFSET(Data!E2113,0,MATCH('Delta Beta'!$C$5,Data!$B$4:$Q$4,0)-1),#N/A)-$C$8/250</f>
        <v>#N/A</v>
      </c>
      <c r="N2110" s="395"/>
      <c r="R2110" s="391"/>
    </row>
    <row r="2111" spans="12:18">
      <c r="L2111" s="394" t="e">
        <f ca="1">IF(NOT(OFFSET(Data!E2114,0,MATCH('Delta Beta'!$C$5,Data!$B$4:$Q$4,0)-3)=""),OFFSET(Data!E2114,0,MATCH('Delta Beta'!$C$5,Data!$B$4:$Q$4,0)-3),#N/A)-$C$8/250</f>
        <v>#N/A</v>
      </c>
      <c r="M2111" s="394" t="e">
        <f ca="1">IF(NOT(OFFSET(Data!E2114,0,MATCH('Delta Beta'!$C$5,Data!$B$4:$Q$4,0)-1)=""),OFFSET(Data!E2114,0,MATCH('Delta Beta'!$C$5,Data!$B$4:$Q$4,0)-1),#N/A)-$C$8/250</f>
        <v>#N/A</v>
      </c>
      <c r="N2111" s="395"/>
      <c r="R2111" s="391"/>
    </row>
    <row r="2112" spans="12:18">
      <c r="L2112" s="394" t="e">
        <f ca="1">IF(NOT(OFFSET(Data!E2115,0,MATCH('Delta Beta'!$C$5,Data!$B$4:$Q$4,0)-3)=""),OFFSET(Data!E2115,0,MATCH('Delta Beta'!$C$5,Data!$B$4:$Q$4,0)-3),#N/A)-$C$8/250</f>
        <v>#N/A</v>
      </c>
      <c r="M2112" s="394" t="e">
        <f ca="1">IF(NOT(OFFSET(Data!E2115,0,MATCH('Delta Beta'!$C$5,Data!$B$4:$Q$4,0)-1)=""),OFFSET(Data!E2115,0,MATCH('Delta Beta'!$C$5,Data!$B$4:$Q$4,0)-1),#N/A)-$C$8/250</f>
        <v>#N/A</v>
      </c>
      <c r="N2112" s="395"/>
      <c r="R2112" s="391"/>
    </row>
    <row r="2113" spans="12:18">
      <c r="L2113" s="394" t="e">
        <f ca="1">IF(NOT(OFFSET(Data!E2116,0,MATCH('Delta Beta'!$C$5,Data!$B$4:$Q$4,0)-3)=""),OFFSET(Data!E2116,0,MATCH('Delta Beta'!$C$5,Data!$B$4:$Q$4,0)-3),#N/A)-$C$8/250</f>
        <v>#N/A</v>
      </c>
      <c r="M2113" s="394" t="e">
        <f ca="1">IF(NOT(OFFSET(Data!E2116,0,MATCH('Delta Beta'!$C$5,Data!$B$4:$Q$4,0)-1)=""),OFFSET(Data!E2116,0,MATCH('Delta Beta'!$C$5,Data!$B$4:$Q$4,0)-1),#N/A)-$C$8/250</f>
        <v>#N/A</v>
      </c>
      <c r="N2113" s="395"/>
      <c r="R2113" s="391"/>
    </row>
    <row r="2114" spans="12:18">
      <c r="L2114" s="394" t="e">
        <f ca="1">IF(NOT(OFFSET(Data!E2117,0,MATCH('Delta Beta'!$C$5,Data!$B$4:$Q$4,0)-3)=""),OFFSET(Data!E2117,0,MATCH('Delta Beta'!$C$5,Data!$B$4:$Q$4,0)-3),#N/A)-$C$8/250</f>
        <v>#N/A</v>
      </c>
      <c r="M2114" s="394" t="e">
        <f ca="1">IF(NOT(OFFSET(Data!E2117,0,MATCH('Delta Beta'!$C$5,Data!$B$4:$Q$4,0)-1)=""),OFFSET(Data!E2117,0,MATCH('Delta Beta'!$C$5,Data!$B$4:$Q$4,0)-1),#N/A)-$C$8/250</f>
        <v>#N/A</v>
      </c>
      <c r="N2114" s="395"/>
      <c r="R2114" s="391"/>
    </row>
    <row r="2115" spans="12:18">
      <c r="L2115" s="394" t="e">
        <f ca="1">IF(NOT(OFFSET(Data!E2118,0,MATCH('Delta Beta'!$C$5,Data!$B$4:$Q$4,0)-3)=""),OFFSET(Data!E2118,0,MATCH('Delta Beta'!$C$5,Data!$B$4:$Q$4,0)-3),#N/A)-$C$8/250</f>
        <v>#N/A</v>
      </c>
      <c r="M2115" s="394" t="e">
        <f ca="1">IF(NOT(OFFSET(Data!E2118,0,MATCH('Delta Beta'!$C$5,Data!$B$4:$Q$4,0)-1)=""),OFFSET(Data!E2118,0,MATCH('Delta Beta'!$C$5,Data!$B$4:$Q$4,0)-1),#N/A)-$C$8/250</f>
        <v>#N/A</v>
      </c>
      <c r="N2115" s="395"/>
      <c r="R2115" s="391"/>
    </row>
    <row r="2116" spans="12:18">
      <c r="L2116" s="394" t="e">
        <f ca="1">IF(NOT(OFFSET(Data!E2119,0,MATCH('Delta Beta'!$C$5,Data!$B$4:$Q$4,0)-3)=""),OFFSET(Data!E2119,0,MATCH('Delta Beta'!$C$5,Data!$B$4:$Q$4,0)-3),#N/A)-$C$8/250</f>
        <v>#N/A</v>
      </c>
      <c r="M2116" s="394" t="e">
        <f ca="1">IF(NOT(OFFSET(Data!E2119,0,MATCH('Delta Beta'!$C$5,Data!$B$4:$Q$4,0)-1)=""),OFFSET(Data!E2119,0,MATCH('Delta Beta'!$C$5,Data!$B$4:$Q$4,0)-1),#N/A)-$C$8/250</f>
        <v>#N/A</v>
      </c>
      <c r="N2116" s="395"/>
      <c r="R2116" s="391"/>
    </row>
    <row r="2117" spans="12:18">
      <c r="L2117" s="394" t="e">
        <f ca="1">IF(NOT(OFFSET(Data!E2120,0,MATCH('Delta Beta'!$C$5,Data!$B$4:$Q$4,0)-3)=""),OFFSET(Data!E2120,0,MATCH('Delta Beta'!$C$5,Data!$B$4:$Q$4,0)-3),#N/A)-$C$8/250</f>
        <v>#N/A</v>
      </c>
      <c r="M2117" s="394" t="e">
        <f ca="1">IF(NOT(OFFSET(Data!E2120,0,MATCH('Delta Beta'!$C$5,Data!$B$4:$Q$4,0)-1)=""),OFFSET(Data!E2120,0,MATCH('Delta Beta'!$C$5,Data!$B$4:$Q$4,0)-1),#N/A)-$C$8/250</f>
        <v>#N/A</v>
      </c>
      <c r="N2117" s="395"/>
      <c r="R2117" s="391"/>
    </row>
    <row r="2118" spans="12:18">
      <c r="L2118" s="394" t="e">
        <f ca="1">IF(NOT(OFFSET(Data!E2121,0,MATCH('Delta Beta'!$C$5,Data!$B$4:$Q$4,0)-3)=""),OFFSET(Data!E2121,0,MATCH('Delta Beta'!$C$5,Data!$B$4:$Q$4,0)-3),#N/A)-$C$8/250</f>
        <v>#N/A</v>
      </c>
      <c r="M2118" s="394" t="e">
        <f ca="1">IF(NOT(OFFSET(Data!E2121,0,MATCH('Delta Beta'!$C$5,Data!$B$4:$Q$4,0)-1)=""),OFFSET(Data!E2121,0,MATCH('Delta Beta'!$C$5,Data!$B$4:$Q$4,0)-1),#N/A)-$C$8/250</f>
        <v>#N/A</v>
      </c>
      <c r="N2118" s="395"/>
      <c r="R2118" s="391"/>
    </row>
    <row r="2119" spans="12:18">
      <c r="L2119" s="394" t="e">
        <f ca="1">IF(NOT(OFFSET(Data!E2122,0,MATCH('Delta Beta'!$C$5,Data!$B$4:$Q$4,0)-3)=""),OFFSET(Data!E2122,0,MATCH('Delta Beta'!$C$5,Data!$B$4:$Q$4,0)-3),#N/A)-$C$8/250</f>
        <v>#N/A</v>
      </c>
      <c r="M2119" s="394" t="e">
        <f ca="1">IF(NOT(OFFSET(Data!E2122,0,MATCH('Delta Beta'!$C$5,Data!$B$4:$Q$4,0)-1)=""),OFFSET(Data!E2122,0,MATCH('Delta Beta'!$C$5,Data!$B$4:$Q$4,0)-1),#N/A)-$C$8/250</f>
        <v>#N/A</v>
      </c>
      <c r="N2119" s="395"/>
      <c r="R2119" s="391"/>
    </row>
    <row r="2120" spans="12:18">
      <c r="L2120" s="394" t="e">
        <f ca="1">IF(NOT(OFFSET(Data!E2123,0,MATCH('Delta Beta'!$C$5,Data!$B$4:$Q$4,0)-3)=""),OFFSET(Data!E2123,0,MATCH('Delta Beta'!$C$5,Data!$B$4:$Q$4,0)-3),#N/A)-$C$8/250</f>
        <v>#N/A</v>
      </c>
      <c r="M2120" s="394" t="e">
        <f ca="1">IF(NOT(OFFSET(Data!E2123,0,MATCH('Delta Beta'!$C$5,Data!$B$4:$Q$4,0)-1)=""),OFFSET(Data!E2123,0,MATCH('Delta Beta'!$C$5,Data!$B$4:$Q$4,0)-1),#N/A)-$C$8/250</f>
        <v>#N/A</v>
      </c>
      <c r="N2120" s="395"/>
      <c r="R2120" s="391"/>
    </row>
    <row r="2121" spans="12:18">
      <c r="L2121" s="394" t="e">
        <f ca="1">IF(NOT(OFFSET(Data!E2124,0,MATCH('Delta Beta'!$C$5,Data!$B$4:$Q$4,0)-3)=""),OFFSET(Data!E2124,0,MATCH('Delta Beta'!$C$5,Data!$B$4:$Q$4,0)-3),#N/A)-$C$8/250</f>
        <v>#N/A</v>
      </c>
      <c r="M2121" s="394" t="e">
        <f ca="1">IF(NOT(OFFSET(Data!E2124,0,MATCH('Delta Beta'!$C$5,Data!$B$4:$Q$4,0)-1)=""),OFFSET(Data!E2124,0,MATCH('Delta Beta'!$C$5,Data!$B$4:$Q$4,0)-1),#N/A)-$C$8/250</f>
        <v>#N/A</v>
      </c>
      <c r="N2121" s="395"/>
      <c r="R2121" s="391"/>
    </row>
    <row r="2122" spans="12:18">
      <c r="L2122" s="394" t="e">
        <f ca="1">IF(NOT(OFFSET(Data!E2125,0,MATCH('Delta Beta'!$C$5,Data!$B$4:$Q$4,0)-3)=""),OFFSET(Data!E2125,0,MATCH('Delta Beta'!$C$5,Data!$B$4:$Q$4,0)-3),#N/A)-$C$8/250</f>
        <v>#N/A</v>
      </c>
      <c r="M2122" s="394" t="e">
        <f ca="1">IF(NOT(OFFSET(Data!E2125,0,MATCH('Delta Beta'!$C$5,Data!$B$4:$Q$4,0)-1)=""),OFFSET(Data!E2125,0,MATCH('Delta Beta'!$C$5,Data!$B$4:$Q$4,0)-1),#N/A)-$C$8/250</f>
        <v>#N/A</v>
      </c>
      <c r="N2122" s="395"/>
      <c r="R2122" s="391"/>
    </row>
    <row r="2123" spans="12:18">
      <c r="L2123" s="394" t="e">
        <f ca="1">IF(NOT(OFFSET(Data!E2126,0,MATCH('Delta Beta'!$C$5,Data!$B$4:$Q$4,0)-3)=""),OFFSET(Data!E2126,0,MATCH('Delta Beta'!$C$5,Data!$B$4:$Q$4,0)-3),#N/A)-$C$8/250</f>
        <v>#N/A</v>
      </c>
      <c r="M2123" s="394" t="e">
        <f ca="1">IF(NOT(OFFSET(Data!E2126,0,MATCH('Delta Beta'!$C$5,Data!$B$4:$Q$4,0)-1)=""),OFFSET(Data!E2126,0,MATCH('Delta Beta'!$C$5,Data!$B$4:$Q$4,0)-1),#N/A)-$C$8/250</f>
        <v>#N/A</v>
      </c>
      <c r="N2123" s="395"/>
      <c r="R2123" s="391"/>
    </row>
    <row r="2124" spans="12:18">
      <c r="L2124" s="394" t="e">
        <f ca="1">IF(NOT(OFFSET(Data!E2127,0,MATCH('Delta Beta'!$C$5,Data!$B$4:$Q$4,0)-3)=""),OFFSET(Data!E2127,0,MATCH('Delta Beta'!$C$5,Data!$B$4:$Q$4,0)-3),#N/A)-$C$8/250</f>
        <v>#N/A</v>
      </c>
      <c r="M2124" s="394" t="e">
        <f ca="1">IF(NOT(OFFSET(Data!E2127,0,MATCH('Delta Beta'!$C$5,Data!$B$4:$Q$4,0)-1)=""),OFFSET(Data!E2127,0,MATCH('Delta Beta'!$C$5,Data!$B$4:$Q$4,0)-1),#N/A)-$C$8/250</f>
        <v>#N/A</v>
      </c>
      <c r="N2124" s="395"/>
      <c r="R2124" s="391"/>
    </row>
    <row r="2125" spans="12:18">
      <c r="L2125" s="394" t="e">
        <f ca="1">IF(NOT(OFFSET(Data!E2128,0,MATCH('Delta Beta'!$C$5,Data!$B$4:$Q$4,0)-3)=""),OFFSET(Data!E2128,0,MATCH('Delta Beta'!$C$5,Data!$B$4:$Q$4,0)-3),#N/A)-$C$8/250</f>
        <v>#N/A</v>
      </c>
      <c r="M2125" s="394" t="e">
        <f ca="1">IF(NOT(OFFSET(Data!E2128,0,MATCH('Delta Beta'!$C$5,Data!$B$4:$Q$4,0)-1)=""),OFFSET(Data!E2128,0,MATCH('Delta Beta'!$C$5,Data!$B$4:$Q$4,0)-1),#N/A)-$C$8/250</f>
        <v>#N/A</v>
      </c>
      <c r="N2125" s="395"/>
      <c r="R2125" s="391"/>
    </row>
    <row r="2126" spans="12:18">
      <c r="L2126" s="394" t="e">
        <f ca="1">IF(NOT(OFFSET(Data!E2129,0,MATCH('Delta Beta'!$C$5,Data!$B$4:$Q$4,0)-3)=""),OFFSET(Data!E2129,0,MATCH('Delta Beta'!$C$5,Data!$B$4:$Q$4,0)-3),#N/A)-$C$8/250</f>
        <v>#N/A</v>
      </c>
      <c r="M2126" s="394" t="e">
        <f ca="1">IF(NOT(OFFSET(Data!E2129,0,MATCH('Delta Beta'!$C$5,Data!$B$4:$Q$4,0)-1)=""),OFFSET(Data!E2129,0,MATCH('Delta Beta'!$C$5,Data!$B$4:$Q$4,0)-1),#N/A)-$C$8/250</f>
        <v>#N/A</v>
      </c>
      <c r="N2126" s="395"/>
      <c r="R2126" s="391"/>
    </row>
    <row r="2127" spans="12:18">
      <c r="L2127" s="394" t="e">
        <f ca="1">IF(NOT(OFFSET(Data!E2130,0,MATCH('Delta Beta'!$C$5,Data!$B$4:$Q$4,0)-3)=""),OFFSET(Data!E2130,0,MATCH('Delta Beta'!$C$5,Data!$B$4:$Q$4,0)-3),#N/A)-$C$8/250</f>
        <v>#N/A</v>
      </c>
      <c r="M2127" s="394" t="e">
        <f ca="1">IF(NOT(OFFSET(Data!E2130,0,MATCH('Delta Beta'!$C$5,Data!$B$4:$Q$4,0)-1)=""),OFFSET(Data!E2130,0,MATCH('Delta Beta'!$C$5,Data!$B$4:$Q$4,0)-1),#N/A)-$C$8/250</f>
        <v>#N/A</v>
      </c>
      <c r="N2127" s="395"/>
      <c r="R2127" s="391"/>
    </row>
    <row r="2128" spans="12:18">
      <c r="L2128" s="394" t="e">
        <f ca="1">IF(NOT(OFFSET(Data!E2131,0,MATCH('Delta Beta'!$C$5,Data!$B$4:$Q$4,0)-3)=""),OFFSET(Data!E2131,0,MATCH('Delta Beta'!$C$5,Data!$B$4:$Q$4,0)-3),#N/A)-$C$8/250</f>
        <v>#N/A</v>
      </c>
      <c r="M2128" s="394" t="e">
        <f ca="1">IF(NOT(OFFSET(Data!E2131,0,MATCH('Delta Beta'!$C$5,Data!$B$4:$Q$4,0)-1)=""),OFFSET(Data!E2131,0,MATCH('Delta Beta'!$C$5,Data!$B$4:$Q$4,0)-1),#N/A)-$C$8/250</f>
        <v>#N/A</v>
      </c>
      <c r="N2128" s="395"/>
      <c r="R2128" s="391"/>
    </row>
    <row r="2129" spans="12:18">
      <c r="L2129" s="394" t="e">
        <f ca="1">IF(NOT(OFFSET(Data!E2132,0,MATCH('Delta Beta'!$C$5,Data!$B$4:$Q$4,0)-3)=""),OFFSET(Data!E2132,0,MATCH('Delta Beta'!$C$5,Data!$B$4:$Q$4,0)-3),#N/A)-$C$8/250</f>
        <v>#N/A</v>
      </c>
      <c r="M2129" s="394" t="e">
        <f ca="1">IF(NOT(OFFSET(Data!E2132,0,MATCH('Delta Beta'!$C$5,Data!$B$4:$Q$4,0)-1)=""),OFFSET(Data!E2132,0,MATCH('Delta Beta'!$C$5,Data!$B$4:$Q$4,0)-1),#N/A)-$C$8/250</f>
        <v>#N/A</v>
      </c>
      <c r="N2129" s="395"/>
      <c r="R2129" s="391"/>
    </row>
    <row r="2130" spans="12:18">
      <c r="L2130" s="394" t="e">
        <f ca="1">IF(NOT(OFFSET(Data!E2133,0,MATCH('Delta Beta'!$C$5,Data!$B$4:$Q$4,0)-3)=""),OFFSET(Data!E2133,0,MATCH('Delta Beta'!$C$5,Data!$B$4:$Q$4,0)-3),#N/A)-$C$8/250</f>
        <v>#N/A</v>
      </c>
      <c r="M2130" s="394" t="e">
        <f ca="1">IF(NOT(OFFSET(Data!E2133,0,MATCH('Delta Beta'!$C$5,Data!$B$4:$Q$4,0)-1)=""),OFFSET(Data!E2133,0,MATCH('Delta Beta'!$C$5,Data!$B$4:$Q$4,0)-1),#N/A)-$C$8/250</f>
        <v>#N/A</v>
      </c>
      <c r="N2130" s="395"/>
      <c r="R2130" s="391"/>
    </row>
    <row r="2131" spans="12:18">
      <c r="L2131" s="394" t="e">
        <f ca="1">IF(NOT(OFFSET(Data!E2134,0,MATCH('Delta Beta'!$C$5,Data!$B$4:$Q$4,0)-3)=""),OFFSET(Data!E2134,0,MATCH('Delta Beta'!$C$5,Data!$B$4:$Q$4,0)-3),#N/A)-$C$8/250</f>
        <v>#N/A</v>
      </c>
      <c r="M2131" s="394" t="e">
        <f ca="1">IF(NOT(OFFSET(Data!E2134,0,MATCH('Delta Beta'!$C$5,Data!$B$4:$Q$4,0)-1)=""),OFFSET(Data!E2134,0,MATCH('Delta Beta'!$C$5,Data!$B$4:$Q$4,0)-1),#N/A)-$C$8/250</f>
        <v>#N/A</v>
      </c>
      <c r="N2131" s="395"/>
      <c r="R2131" s="391"/>
    </row>
    <row r="2132" spans="12:18">
      <c r="L2132" s="394" t="e">
        <f ca="1">IF(NOT(OFFSET(Data!E2135,0,MATCH('Delta Beta'!$C$5,Data!$B$4:$Q$4,0)-3)=""),OFFSET(Data!E2135,0,MATCH('Delta Beta'!$C$5,Data!$B$4:$Q$4,0)-3),#N/A)-$C$8/250</f>
        <v>#N/A</v>
      </c>
      <c r="M2132" s="394" t="e">
        <f ca="1">IF(NOT(OFFSET(Data!E2135,0,MATCH('Delta Beta'!$C$5,Data!$B$4:$Q$4,0)-1)=""),OFFSET(Data!E2135,0,MATCH('Delta Beta'!$C$5,Data!$B$4:$Q$4,0)-1),#N/A)-$C$8/250</f>
        <v>#N/A</v>
      </c>
      <c r="N2132" s="395"/>
      <c r="R2132" s="391"/>
    </row>
    <row r="2133" spans="12:18">
      <c r="L2133" s="394" t="e">
        <f ca="1">IF(NOT(OFFSET(Data!E2136,0,MATCH('Delta Beta'!$C$5,Data!$B$4:$Q$4,0)-3)=""),OFFSET(Data!E2136,0,MATCH('Delta Beta'!$C$5,Data!$B$4:$Q$4,0)-3),#N/A)-$C$8/250</f>
        <v>#N/A</v>
      </c>
      <c r="M2133" s="394" t="e">
        <f ca="1">IF(NOT(OFFSET(Data!E2136,0,MATCH('Delta Beta'!$C$5,Data!$B$4:$Q$4,0)-1)=""),OFFSET(Data!E2136,0,MATCH('Delta Beta'!$C$5,Data!$B$4:$Q$4,0)-1),#N/A)-$C$8/250</f>
        <v>#N/A</v>
      </c>
      <c r="N2133" s="395"/>
      <c r="R2133" s="391"/>
    </row>
    <row r="2134" spans="12:18">
      <c r="L2134" s="394" t="e">
        <f ca="1">IF(NOT(OFFSET(Data!E2137,0,MATCH('Delta Beta'!$C$5,Data!$B$4:$Q$4,0)-3)=""),OFFSET(Data!E2137,0,MATCH('Delta Beta'!$C$5,Data!$B$4:$Q$4,0)-3),#N/A)-$C$8/250</f>
        <v>#N/A</v>
      </c>
      <c r="M2134" s="394" t="e">
        <f ca="1">IF(NOT(OFFSET(Data!E2137,0,MATCH('Delta Beta'!$C$5,Data!$B$4:$Q$4,0)-1)=""),OFFSET(Data!E2137,0,MATCH('Delta Beta'!$C$5,Data!$B$4:$Q$4,0)-1),#N/A)-$C$8/250</f>
        <v>#N/A</v>
      </c>
      <c r="N2134" s="395"/>
      <c r="R2134" s="391"/>
    </row>
    <row r="2135" spans="12:18">
      <c r="L2135" s="394" t="e">
        <f ca="1">IF(NOT(OFFSET(Data!E2138,0,MATCH('Delta Beta'!$C$5,Data!$B$4:$Q$4,0)-3)=""),OFFSET(Data!E2138,0,MATCH('Delta Beta'!$C$5,Data!$B$4:$Q$4,0)-3),#N/A)-$C$8/250</f>
        <v>#N/A</v>
      </c>
      <c r="M2135" s="394" t="e">
        <f ca="1">IF(NOT(OFFSET(Data!E2138,0,MATCH('Delta Beta'!$C$5,Data!$B$4:$Q$4,0)-1)=""),OFFSET(Data!E2138,0,MATCH('Delta Beta'!$C$5,Data!$B$4:$Q$4,0)-1),#N/A)-$C$8/250</f>
        <v>#N/A</v>
      </c>
      <c r="N2135" s="395"/>
      <c r="R2135" s="391"/>
    </row>
    <row r="2136" spans="12:18">
      <c r="L2136" s="394" t="e">
        <f ca="1">IF(NOT(OFFSET(Data!E2139,0,MATCH('Delta Beta'!$C$5,Data!$B$4:$Q$4,0)-3)=""),OFFSET(Data!E2139,0,MATCH('Delta Beta'!$C$5,Data!$B$4:$Q$4,0)-3),#N/A)-$C$8/250</f>
        <v>#N/A</v>
      </c>
      <c r="M2136" s="394" t="e">
        <f ca="1">IF(NOT(OFFSET(Data!E2139,0,MATCH('Delta Beta'!$C$5,Data!$B$4:$Q$4,0)-1)=""),OFFSET(Data!E2139,0,MATCH('Delta Beta'!$C$5,Data!$B$4:$Q$4,0)-1),#N/A)-$C$8/250</f>
        <v>#N/A</v>
      </c>
      <c r="N2136" s="395"/>
      <c r="R2136" s="391"/>
    </row>
    <row r="2137" spans="12:18">
      <c r="L2137" s="394" t="e">
        <f ca="1">IF(NOT(OFFSET(Data!E2140,0,MATCH('Delta Beta'!$C$5,Data!$B$4:$Q$4,0)-3)=""),OFFSET(Data!E2140,0,MATCH('Delta Beta'!$C$5,Data!$B$4:$Q$4,0)-3),#N/A)-$C$8/250</f>
        <v>#N/A</v>
      </c>
      <c r="M2137" s="394" t="e">
        <f ca="1">IF(NOT(OFFSET(Data!E2140,0,MATCH('Delta Beta'!$C$5,Data!$B$4:$Q$4,0)-1)=""),OFFSET(Data!E2140,0,MATCH('Delta Beta'!$C$5,Data!$B$4:$Q$4,0)-1),#N/A)-$C$8/250</f>
        <v>#N/A</v>
      </c>
      <c r="N2137" s="395"/>
      <c r="R2137" s="391"/>
    </row>
    <row r="2138" spans="12:18">
      <c r="L2138" s="394" t="e">
        <f ca="1">IF(NOT(OFFSET(Data!E2141,0,MATCH('Delta Beta'!$C$5,Data!$B$4:$Q$4,0)-3)=""),OFFSET(Data!E2141,0,MATCH('Delta Beta'!$C$5,Data!$B$4:$Q$4,0)-3),#N/A)-$C$8/250</f>
        <v>#N/A</v>
      </c>
      <c r="M2138" s="394" t="e">
        <f ca="1">IF(NOT(OFFSET(Data!E2141,0,MATCH('Delta Beta'!$C$5,Data!$B$4:$Q$4,0)-1)=""),OFFSET(Data!E2141,0,MATCH('Delta Beta'!$C$5,Data!$B$4:$Q$4,0)-1),#N/A)-$C$8/250</f>
        <v>#N/A</v>
      </c>
      <c r="N2138" s="395"/>
      <c r="R2138" s="391"/>
    </row>
    <row r="2139" spans="12:18">
      <c r="L2139" s="394" t="e">
        <f ca="1">IF(NOT(OFFSET(Data!E2142,0,MATCH('Delta Beta'!$C$5,Data!$B$4:$Q$4,0)-3)=""),OFFSET(Data!E2142,0,MATCH('Delta Beta'!$C$5,Data!$B$4:$Q$4,0)-3),#N/A)-$C$8/250</f>
        <v>#N/A</v>
      </c>
      <c r="M2139" s="394" t="e">
        <f ca="1">IF(NOT(OFFSET(Data!E2142,0,MATCH('Delta Beta'!$C$5,Data!$B$4:$Q$4,0)-1)=""),OFFSET(Data!E2142,0,MATCH('Delta Beta'!$C$5,Data!$B$4:$Q$4,0)-1),#N/A)-$C$8/250</f>
        <v>#N/A</v>
      </c>
      <c r="N2139" s="395"/>
      <c r="R2139" s="391"/>
    </row>
    <row r="2140" spans="12:18">
      <c r="L2140" s="394" t="e">
        <f ca="1">IF(NOT(OFFSET(Data!E2143,0,MATCH('Delta Beta'!$C$5,Data!$B$4:$Q$4,0)-3)=""),OFFSET(Data!E2143,0,MATCH('Delta Beta'!$C$5,Data!$B$4:$Q$4,0)-3),#N/A)-$C$8/250</f>
        <v>#N/A</v>
      </c>
      <c r="M2140" s="394" t="e">
        <f ca="1">IF(NOT(OFFSET(Data!E2143,0,MATCH('Delta Beta'!$C$5,Data!$B$4:$Q$4,0)-1)=""),OFFSET(Data!E2143,0,MATCH('Delta Beta'!$C$5,Data!$B$4:$Q$4,0)-1),#N/A)-$C$8/250</f>
        <v>#N/A</v>
      </c>
      <c r="N2140" s="395"/>
      <c r="R2140" s="391"/>
    </row>
    <row r="2141" spans="12:18">
      <c r="L2141" s="394" t="e">
        <f ca="1">IF(NOT(OFFSET(Data!E2144,0,MATCH('Delta Beta'!$C$5,Data!$B$4:$Q$4,0)-3)=""),OFFSET(Data!E2144,0,MATCH('Delta Beta'!$C$5,Data!$B$4:$Q$4,0)-3),#N/A)-$C$8/250</f>
        <v>#N/A</v>
      </c>
      <c r="M2141" s="394" t="e">
        <f ca="1">IF(NOT(OFFSET(Data!E2144,0,MATCH('Delta Beta'!$C$5,Data!$B$4:$Q$4,0)-1)=""),OFFSET(Data!E2144,0,MATCH('Delta Beta'!$C$5,Data!$B$4:$Q$4,0)-1),#N/A)-$C$8/250</f>
        <v>#N/A</v>
      </c>
      <c r="N2141" s="395"/>
      <c r="R2141" s="391"/>
    </row>
    <row r="2142" spans="12:18">
      <c r="L2142" s="394" t="e">
        <f ca="1">IF(NOT(OFFSET(Data!E2145,0,MATCH('Delta Beta'!$C$5,Data!$B$4:$Q$4,0)-3)=""),OFFSET(Data!E2145,0,MATCH('Delta Beta'!$C$5,Data!$B$4:$Q$4,0)-3),#N/A)-$C$8/250</f>
        <v>#N/A</v>
      </c>
      <c r="M2142" s="394" t="e">
        <f ca="1">IF(NOT(OFFSET(Data!E2145,0,MATCH('Delta Beta'!$C$5,Data!$B$4:$Q$4,0)-1)=""),OFFSET(Data!E2145,0,MATCH('Delta Beta'!$C$5,Data!$B$4:$Q$4,0)-1),#N/A)-$C$8/250</f>
        <v>#N/A</v>
      </c>
      <c r="N2142" s="395"/>
      <c r="R2142" s="391"/>
    </row>
    <row r="2143" spans="12:18">
      <c r="L2143" s="394" t="e">
        <f ca="1">IF(NOT(OFFSET(Data!E2146,0,MATCH('Delta Beta'!$C$5,Data!$B$4:$Q$4,0)-3)=""),OFFSET(Data!E2146,0,MATCH('Delta Beta'!$C$5,Data!$B$4:$Q$4,0)-3),#N/A)-$C$8/250</f>
        <v>#N/A</v>
      </c>
      <c r="M2143" s="394" t="e">
        <f ca="1">IF(NOT(OFFSET(Data!E2146,0,MATCH('Delta Beta'!$C$5,Data!$B$4:$Q$4,0)-1)=""),OFFSET(Data!E2146,0,MATCH('Delta Beta'!$C$5,Data!$B$4:$Q$4,0)-1),#N/A)-$C$8/250</f>
        <v>#N/A</v>
      </c>
      <c r="N2143" s="395"/>
      <c r="R2143" s="391"/>
    </row>
    <row r="2144" spans="12:18">
      <c r="L2144" s="394" t="e">
        <f ca="1">IF(NOT(OFFSET(Data!E2147,0,MATCH('Delta Beta'!$C$5,Data!$B$4:$Q$4,0)-3)=""),OFFSET(Data!E2147,0,MATCH('Delta Beta'!$C$5,Data!$B$4:$Q$4,0)-3),#N/A)-$C$8/250</f>
        <v>#N/A</v>
      </c>
      <c r="M2144" s="394" t="e">
        <f ca="1">IF(NOT(OFFSET(Data!E2147,0,MATCH('Delta Beta'!$C$5,Data!$B$4:$Q$4,0)-1)=""),OFFSET(Data!E2147,0,MATCH('Delta Beta'!$C$5,Data!$B$4:$Q$4,0)-1),#N/A)-$C$8/250</f>
        <v>#N/A</v>
      </c>
      <c r="N2144" s="395"/>
      <c r="R2144" s="391"/>
    </row>
    <row r="2145" spans="12:18">
      <c r="L2145" s="394" t="e">
        <f ca="1">IF(NOT(OFFSET(Data!E2148,0,MATCH('Delta Beta'!$C$5,Data!$B$4:$Q$4,0)-3)=""),OFFSET(Data!E2148,0,MATCH('Delta Beta'!$C$5,Data!$B$4:$Q$4,0)-3),#N/A)-$C$8/250</f>
        <v>#N/A</v>
      </c>
      <c r="M2145" s="394" t="e">
        <f ca="1">IF(NOT(OFFSET(Data!E2148,0,MATCH('Delta Beta'!$C$5,Data!$B$4:$Q$4,0)-1)=""),OFFSET(Data!E2148,0,MATCH('Delta Beta'!$C$5,Data!$B$4:$Q$4,0)-1),#N/A)-$C$8/250</f>
        <v>#N/A</v>
      </c>
      <c r="N2145" s="395"/>
      <c r="R2145" s="391"/>
    </row>
    <row r="2146" spans="12:18">
      <c r="L2146" s="394" t="e">
        <f ca="1">IF(NOT(OFFSET(Data!E2149,0,MATCH('Delta Beta'!$C$5,Data!$B$4:$Q$4,0)-3)=""),OFFSET(Data!E2149,0,MATCH('Delta Beta'!$C$5,Data!$B$4:$Q$4,0)-3),#N/A)-$C$8/250</f>
        <v>#N/A</v>
      </c>
      <c r="M2146" s="394" t="e">
        <f ca="1">IF(NOT(OFFSET(Data!E2149,0,MATCH('Delta Beta'!$C$5,Data!$B$4:$Q$4,0)-1)=""),OFFSET(Data!E2149,0,MATCH('Delta Beta'!$C$5,Data!$B$4:$Q$4,0)-1),#N/A)-$C$8/250</f>
        <v>#N/A</v>
      </c>
      <c r="N2146" s="395"/>
      <c r="R2146" s="391"/>
    </row>
    <row r="2147" spans="12:18">
      <c r="L2147" s="394" t="e">
        <f ca="1">IF(NOT(OFFSET(Data!E2150,0,MATCH('Delta Beta'!$C$5,Data!$B$4:$Q$4,0)-3)=""),OFFSET(Data!E2150,0,MATCH('Delta Beta'!$C$5,Data!$B$4:$Q$4,0)-3),#N/A)-$C$8/250</f>
        <v>#N/A</v>
      </c>
      <c r="M2147" s="394" t="e">
        <f ca="1">IF(NOT(OFFSET(Data!E2150,0,MATCH('Delta Beta'!$C$5,Data!$B$4:$Q$4,0)-1)=""),OFFSET(Data!E2150,0,MATCH('Delta Beta'!$C$5,Data!$B$4:$Q$4,0)-1),#N/A)-$C$8/250</f>
        <v>#N/A</v>
      </c>
      <c r="N2147" s="395"/>
      <c r="R2147" s="391"/>
    </row>
    <row r="2148" spans="12:18">
      <c r="L2148" s="394" t="e">
        <f ca="1">IF(NOT(OFFSET(Data!E2151,0,MATCH('Delta Beta'!$C$5,Data!$B$4:$Q$4,0)-3)=""),OFFSET(Data!E2151,0,MATCH('Delta Beta'!$C$5,Data!$B$4:$Q$4,0)-3),#N/A)-$C$8/250</f>
        <v>#N/A</v>
      </c>
      <c r="M2148" s="394" t="e">
        <f ca="1">IF(NOT(OFFSET(Data!E2151,0,MATCH('Delta Beta'!$C$5,Data!$B$4:$Q$4,0)-1)=""),OFFSET(Data!E2151,0,MATCH('Delta Beta'!$C$5,Data!$B$4:$Q$4,0)-1),#N/A)-$C$8/250</f>
        <v>#N/A</v>
      </c>
      <c r="N2148" s="395"/>
      <c r="R2148" s="391"/>
    </row>
    <row r="2149" spans="12:18">
      <c r="L2149" s="394" t="e">
        <f ca="1">IF(NOT(OFFSET(Data!E2152,0,MATCH('Delta Beta'!$C$5,Data!$B$4:$Q$4,0)-3)=""),OFFSET(Data!E2152,0,MATCH('Delta Beta'!$C$5,Data!$B$4:$Q$4,0)-3),#N/A)-$C$8/250</f>
        <v>#N/A</v>
      </c>
      <c r="M2149" s="394" t="e">
        <f ca="1">IF(NOT(OFFSET(Data!E2152,0,MATCH('Delta Beta'!$C$5,Data!$B$4:$Q$4,0)-1)=""),OFFSET(Data!E2152,0,MATCH('Delta Beta'!$C$5,Data!$B$4:$Q$4,0)-1),#N/A)-$C$8/250</f>
        <v>#N/A</v>
      </c>
      <c r="N2149" s="395"/>
      <c r="R2149" s="391"/>
    </row>
    <row r="2150" spans="12:18">
      <c r="L2150" s="394" t="e">
        <f ca="1">IF(NOT(OFFSET(Data!E2153,0,MATCH('Delta Beta'!$C$5,Data!$B$4:$Q$4,0)-3)=""),OFFSET(Data!E2153,0,MATCH('Delta Beta'!$C$5,Data!$B$4:$Q$4,0)-3),#N/A)-$C$8/250</f>
        <v>#N/A</v>
      </c>
      <c r="M2150" s="394" t="e">
        <f ca="1">IF(NOT(OFFSET(Data!E2153,0,MATCH('Delta Beta'!$C$5,Data!$B$4:$Q$4,0)-1)=""),OFFSET(Data!E2153,0,MATCH('Delta Beta'!$C$5,Data!$B$4:$Q$4,0)-1),#N/A)-$C$8/250</f>
        <v>#N/A</v>
      </c>
      <c r="N2150" s="395"/>
      <c r="R2150" s="391"/>
    </row>
    <row r="2151" spans="12:18">
      <c r="L2151" s="394" t="e">
        <f ca="1">IF(NOT(OFFSET(Data!E2154,0,MATCH('Delta Beta'!$C$5,Data!$B$4:$Q$4,0)-3)=""),OFFSET(Data!E2154,0,MATCH('Delta Beta'!$C$5,Data!$B$4:$Q$4,0)-3),#N/A)-$C$8/250</f>
        <v>#N/A</v>
      </c>
      <c r="M2151" s="394" t="e">
        <f ca="1">IF(NOT(OFFSET(Data!E2154,0,MATCH('Delta Beta'!$C$5,Data!$B$4:$Q$4,0)-1)=""),OFFSET(Data!E2154,0,MATCH('Delta Beta'!$C$5,Data!$B$4:$Q$4,0)-1),#N/A)-$C$8/250</f>
        <v>#N/A</v>
      </c>
      <c r="N2151" s="395"/>
      <c r="R2151" s="391"/>
    </row>
    <row r="2152" spans="12:18">
      <c r="L2152" s="394" t="e">
        <f ca="1">IF(NOT(OFFSET(Data!E2155,0,MATCH('Delta Beta'!$C$5,Data!$B$4:$Q$4,0)-3)=""),OFFSET(Data!E2155,0,MATCH('Delta Beta'!$C$5,Data!$B$4:$Q$4,0)-3),#N/A)-$C$8/250</f>
        <v>#N/A</v>
      </c>
      <c r="M2152" s="394" t="e">
        <f ca="1">IF(NOT(OFFSET(Data!E2155,0,MATCH('Delta Beta'!$C$5,Data!$B$4:$Q$4,0)-1)=""),OFFSET(Data!E2155,0,MATCH('Delta Beta'!$C$5,Data!$B$4:$Q$4,0)-1),#N/A)-$C$8/250</f>
        <v>#N/A</v>
      </c>
      <c r="N2152" s="395"/>
      <c r="R2152" s="391"/>
    </row>
    <row r="2153" spans="12:18">
      <c r="L2153" s="394" t="e">
        <f ca="1">IF(NOT(OFFSET(Data!E2156,0,MATCH('Delta Beta'!$C$5,Data!$B$4:$Q$4,0)-3)=""),OFFSET(Data!E2156,0,MATCH('Delta Beta'!$C$5,Data!$B$4:$Q$4,0)-3),#N/A)-$C$8/250</f>
        <v>#N/A</v>
      </c>
      <c r="M2153" s="394" t="e">
        <f ca="1">IF(NOT(OFFSET(Data!E2156,0,MATCH('Delta Beta'!$C$5,Data!$B$4:$Q$4,0)-1)=""),OFFSET(Data!E2156,0,MATCH('Delta Beta'!$C$5,Data!$B$4:$Q$4,0)-1),#N/A)-$C$8/250</f>
        <v>#N/A</v>
      </c>
      <c r="N2153" s="395"/>
      <c r="R2153" s="391"/>
    </row>
    <row r="2154" spans="12:18">
      <c r="L2154" s="394" t="e">
        <f ca="1">IF(NOT(OFFSET(Data!E2157,0,MATCH('Delta Beta'!$C$5,Data!$B$4:$Q$4,0)-3)=""),OFFSET(Data!E2157,0,MATCH('Delta Beta'!$C$5,Data!$B$4:$Q$4,0)-3),#N/A)-$C$8/250</f>
        <v>#N/A</v>
      </c>
      <c r="M2154" s="394" t="e">
        <f ca="1">IF(NOT(OFFSET(Data!E2157,0,MATCH('Delta Beta'!$C$5,Data!$B$4:$Q$4,0)-1)=""),OFFSET(Data!E2157,0,MATCH('Delta Beta'!$C$5,Data!$B$4:$Q$4,0)-1),#N/A)-$C$8/250</f>
        <v>#N/A</v>
      </c>
      <c r="N2154" s="395"/>
      <c r="R2154" s="391"/>
    </row>
    <row r="2155" spans="12:18">
      <c r="L2155" s="394" t="e">
        <f ca="1">IF(NOT(OFFSET(Data!E2158,0,MATCH('Delta Beta'!$C$5,Data!$B$4:$Q$4,0)-3)=""),OFFSET(Data!E2158,0,MATCH('Delta Beta'!$C$5,Data!$B$4:$Q$4,0)-3),#N/A)-$C$8/250</f>
        <v>#N/A</v>
      </c>
      <c r="M2155" s="394" t="e">
        <f ca="1">IF(NOT(OFFSET(Data!E2158,0,MATCH('Delta Beta'!$C$5,Data!$B$4:$Q$4,0)-1)=""),OFFSET(Data!E2158,0,MATCH('Delta Beta'!$C$5,Data!$B$4:$Q$4,0)-1),#N/A)-$C$8/250</f>
        <v>#N/A</v>
      </c>
      <c r="N2155" s="395"/>
      <c r="R2155" s="391"/>
    </row>
    <row r="2156" spans="12:18">
      <c r="L2156" s="394" t="e">
        <f ca="1">IF(NOT(OFFSET(Data!E2159,0,MATCH('Delta Beta'!$C$5,Data!$B$4:$Q$4,0)-3)=""),OFFSET(Data!E2159,0,MATCH('Delta Beta'!$C$5,Data!$B$4:$Q$4,0)-3),#N/A)-$C$8/250</f>
        <v>#N/A</v>
      </c>
      <c r="M2156" s="394" t="e">
        <f ca="1">IF(NOT(OFFSET(Data!E2159,0,MATCH('Delta Beta'!$C$5,Data!$B$4:$Q$4,0)-1)=""),OFFSET(Data!E2159,0,MATCH('Delta Beta'!$C$5,Data!$B$4:$Q$4,0)-1),#N/A)-$C$8/250</f>
        <v>#N/A</v>
      </c>
      <c r="N2156" s="395"/>
      <c r="R2156" s="391"/>
    </row>
    <row r="2157" spans="12:18">
      <c r="L2157" s="394" t="e">
        <f ca="1">IF(NOT(OFFSET(Data!E2160,0,MATCH('Delta Beta'!$C$5,Data!$B$4:$Q$4,0)-3)=""),OFFSET(Data!E2160,0,MATCH('Delta Beta'!$C$5,Data!$B$4:$Q$4,0)-3),#N/A)-$C$8/250</f>
        <v>#N/A</v>
      </c>
      <c r="M2157" s="394" t="e">
        <f ca="1">IF(NOT(OFFSET(Data!E2160,0,MATCH('Delta Beta'!$C$5,Data!$B$4:$Q$4,0)-1)=""),OFFSET(Data!E2160,0,MATCH('Delta Beta'!$C$5,Data!$B$4:$Q$4,0)-1),#N/A)-$C$8/250</f>
        <v>#N/A</v>
      </c>
      <c r="N2157" s="395"/>
      <c r="R2157" s="391"/>
    </row>
    <row r="2158" spans="12:18">
      <c r="L2158" s="394" t="e">
        <f ca="1">IF(NOT(OFFSET(Data!E2161,0,MATCH('Delta Beta'!$C$5,Data!$B$4:$Q$4,0)-3)=""),OFFSET(Data!E2161,0,MATCH('Delta Beta'!$C$5,Data!$B$4:$Q$4,0)-3),#N/A)-$C$8/250</f>
        <v>#N/A</v>
      </c>
      <c r="M2158" s="394" t="e">
        <f ca="1">IF(NOT(OFFSET(Data!E2161,0,MATCH('Delta Beta'!$C$5,Data!$B$4:$Q$4,0)-1)=""),OFFSET(Data!E2161,0,MATCH('Delta Beta'!$C$5,Data!$B$4:$Q$4,0)-1),#N/A)-$C$8/250</f>
        <v>#N/A</v>
      </c>
      <c r="N2158" s="395"/>
      <c r="R2158" s="391"/>
    </row>
    <row r="2159" spans="12:18">
      <c r="L2159" s="394" t="e">
        <f ca="1">IF(NOT(OFFSET(Data!E2162,0,MATCH('Delta Beta'!$C$5,Data!$B$4:$Q$4,0)-3)=""),OFFSET(Data!E2162,0,MATCH('Delta Beta'!$C$5,Data!$B$4:$Q$4,0)-3),#N/A)-$C$8/250</f>
        <v>#N/A</v>
      </c>
      <c r="M2159" s="394" t="e">
        <f ca="1">IF(NOT(OFFSET(Data!E2162,0,MATCH('Delta Beta'!$C$5,Data!$B$4:$Q$4,0)-1)=""),OFFSET(Data!E2162,0,MATCH('Delta Beta'!$C$5,Data!$B$4:$Q$4,0)-1),#N/A)-$C$8/250</f>
        <v>#N/A</v>
      </c>
      <c r="N2159" s="395"/>
      <c r="R2159" s="391"/>
    </row>
    <row r="2160" spans="12:18">
      <c r="L2160" s="394" t="e">
        <f ca="1">IF(NOT(OFFSET(Data!E2163,0,MATCH('Delta Beta'!$C$5,Data!$B$4:$Q$4,0)-3)=""),OFFSET(Data!E2163,0,MATCH('Delta Beta'!$C$5,Data!$B$4:$Q$4,0)-3),#N/A)-$C$8/250</f>
        <v>#N/A</v>
      </c>
      <c r="M2160" s="394" t="e">
        <f ca="1">IF(NOT(OFFSET(Data!E2163,0,MATCH('Delta Beta'!$C$5,Data!$B$4:$Q$4,0)-1)=""),OFFSET(Data!E2163,0,MATCH('Delta Beta'!$C$5,Data!$B$4:$Q$4,0)-1),#N/A)-$C$8/250</f>
        <v>#N/A</v>
      </c>
      <c r="N2160" s="395"/>
      <c r="R2160" s="391"/>
    </row>
    <row r="2161" spans="12:18">
      <c r="L2161" s="394" t="e">
        <f ca="1">IF(NOT(OFFSET(Data!E2164,0,MATCH('Delta Beta'!$C$5,Data!$B$4:$Q$4,0)-3)=""),OFFSET(Data!E2164,0,MATCH('Delta Beta'!$C$5,Data!$B$4:$Q$4,0)-3),#N/A)-$C$8/250</f>
        <v>#N/A</v>
      </c>
      <c r="M2161" s="394" t="e">
        <f ca="1">IF(NOT(OFFSET(Data!E2164,0,MATCH('Delta Beta'!$C$5,Data!$B$4:$Q$4,0)-1)=""),OFFSET(Data!E2164,0,MATCH('Delta Beta'!$C$5,Data!$B$4:$Q$4,0)-1),#N/A)-$C$8/250</f>
        <v>#N/A</v>
      </c>
      <c r="N2161" s="395"/>
      <c r="R2161" s="391"/>
    </row>
    <row r="2162" spans="12:18">
      <c r="L2162" s="394" t="e">
        <f ca="1">IF(NOT(OFFSET(Data!E2165,0,MATCH('Delta Beta'!$C$5,Data!$B$4:$Q$4,0)-3)=""),OFFSET(Data!E2165,0,MATCH('Delta Beta'!$C$5,Data!$B$4:$Q$4,0)-3),#N/A)-$C$8/250</f>
        <v>#N/A</v>
      </c>
      <c r="M2162" s="394" t="e">
        <f ca="1">IF(NOT(OFFSET(Data!E2165,0,MATCH('Delta Beta'!$C$5,Data!$B$4:$Q$4,0)-1)=""),OFFSET(Data!E2165,0,MATCH('Delta Beta'!$C$5,Data!$B$4:$Q$4,0)-1),#N/A)-$C$8/250</f>
        <v>#N/A</v>
      </c>
      <c r="N2162" s="395"/>
      <c r="R2162" s="391"/>
    </row>
    <row r="2163" spans="12:18">
      <c r="L2163" s="394" t="e">
        <f ca="1">IF(NOT(OFFSET(Data!E2166,0,MATCH('Delta Beta'!$C$5,Data!$B$4:$Q$4,0)-3)=""),OFFSET(Data!E2166,0,MATCH('Delta Beta'!$C$5,Data!$B$4:$Q$4,0)-3),#N/A)-$C$8/250</f>
        <v>#N/A</v>
      </c>
      <c r="M2163" s="394" t="e">
        <f ca="1">IF(NOT(OFFSET(Data!E2166,0,MATCH('Delta Beta'!$C$5,Data!$B$4:$Q$4,0)-1)=""),OFFSET(Data!E2166,0,MATCH('Delta Beta'!$C$5,Data!$B$4:$Q$4,0)-1),#N/A)-$C$8/250</f>
        <v>#N/A</v>
      </c>
      <c r="N2163" s="395"/>
      <c r="R2163" s="391"/>
    </row>
    <row r="2164" spans="12:18">
      <c r="L2164" s="394" t="e">
        <f ca="1">IF(NOT(OFFSET(Data!E2167,0,MATCH('Delta Beta'!$C$5,Data!$B$4:$Q$4,0)-3)=""),OFFSET(Data!E2167,0,MATCH('Delta Beta'!$C$5,Data!$B$4:$Q$4,0)-3),#N/A)-$C$8/250</f>
        <v>#N/A</v>
      </c>
      <c r="M2164" s="394" t="e">
        <f ca="1">IF(NOT(OFFSET(Data!E2167,0,MATCH('Delta Beta'!$C$5,Data!$B$4:$Q$4,0)-1)=""),OFFSET(Data!E2167,0,MATCH('Delta Beta'!$C$5,Data!$B$4:$Q$4,0)-1),#N/A)-$C$8/250</f>
        <v>#N/A</v>
      </c>
      <c r="N2164" s="395"/>
      <c r="R2164" s="391"/>
    </row>
    <row r="2165" spans="12:18">
      <c r="L2165" s="394" t="e">
        <f ca="1">IF(NOT(OFFSET(Data!E2168,0,MATCH('Delta Beta'!$C$5,Data!$B$4:$Q$4,0)-3)=""),OFFSET(Data!E2168,0,MATCH('Delta Beta'!$C$5,Data!$B$4:$Q$4,0)-3),#N/A)-$C$8/250</f>
        <v>#N/A</v>
      </c>
      <c r="M2165" s="394" t="e">
        <f ca="1">IF(NOT(OFFSET(Data!E2168,0,MATCH('Delta Beta'!$C$5,Data!$B$4:$Q$4,0)-1)=""),OFFSET(Data!E2168,0,MATCH('Delta Beta'!$C$5,Data!$B$4:$Q$4,0)-1),#N/A)-$C$8/250</f>
        <v>#N/A</v>
      </c>
      <c r="N2165" s="395"/>
      <c r="R2165" s="391"/>
    </row>
    <row r="2166" spans="12:18">
      <c r="L2166" s="394" t="e">
        <f ca="1">IF(NOT(OFFSET(Data!E2169,0,MATCH('Delta Beta'!$C$5,Data!$B$4:$Q$4,0)-3)=""),OFFSET(Data!E2169,0,MATCH('Delta Beta'!$C$5,Data!$B$4:$Q$4,0)-3),#N/A)-$C$8/250</f>
        <v>#N/A</v>
      </c>
      <c r="M2166" s="394" t="e">
        <f ca="1">IF(NOT(OFFSET(Data!E2169,0,MATCH('Delta Beta'!$C$5,Data!$B$4:$Q$4,0)-1)=""),OFFSET(Data!E2169,0,MATCH('Delta Beta'!$C$5,Data!$B$4:$Q$4,0)-1),#N/A)-$C$8/250</f>
        <v>#N/A</v>
      </c>
      <c r="N2166" s="395"/>
      <c r="R2166" s="391"/>
    </row>
    <row r="2167" spans="12:18">
      <c r="L2167" s="394" t="e">
        <f ca="1">IF(NOT(OFFSET(Data!E2170,0,MATCH('Delta Beta'!$C$5,Data!$B$4:$Q$4,0)-3)=""),OFFSET(Data!E2170,0,MATCH('Delta Beta'!$C$5,Data!$B$4:$Q$4,0)-3),#N/A)-$C$8/250</f>
        <v>#N/A</v>
      </c>
      <c r="M2167" s="394" t="e">
        <f ca="1">IF(NOT(OFFSET(Data!E2170,0,MATCH('Delta Beta'!$C$5,Data!$B$4:$Q$4,0)-1)=""),OFFSET(Data!E2170,0,MATCH('Delta Beta'!$C$5,Data!$B$4:$Q$4,0)-1),#N/A)-$C$8/250</f>
        <v>#N/A</v>
      </c>
      <c r="N2167" s="395"/>
      <c r="R2167" s="391"/>
    </row>
    <row r="2168" spans="12:18">
      <c r="L2168" s="394" t="e">
        <f ca="1">IF(NOT(OFFSET(Data!E2171,0,MATCH('Delta Beta'!$C$5,Data!$B$4:$Q$4,0)-3)=""),OFFSET(Data!E2171,0,MATCH('Delta Beta'!$C$5,Data!$B$4:$Q$4,0)-3),#N/A)-$C$8/250</f>
        <v>#N/A</v>
      </c>
      <c r="M2168" s="394" t="e">
        <f ca="1">IF(NOT(OFFSET(Data!E2171,0,MATCH('Delta Beta'!$C$5,Data!$B$4:$Q$4,0)-1)=""),OFFSET(Data!E2171,0,MATCH('Delta Beta'!$C$5,Data!$B$4:$Q$4,0)-1),#N/A)-$C$8/250</f>
        <v>#N/A</v>
      </c>
      <c r="N2168" s="395"/>
      <c r="R2168" s="391"/>
    </row>
    <row r="2169" spans="12:18">
      <c r="L2169" s="394" t="e">
        <f ca="1">IF(NOT(OFFSET(Data!E2172,0,MATCH('Delta Beta'!$C$5,Data!$B$4:$Q$4,0)-3)=""),OFFSET(Data!E2172,0,MATCH('Delta Beta'!$C$5,Data!$B$4:$Q$4,0)-3),#N/A)-$C$8/250</f>
        <v>#N/A</v>
      </c>
      <c r="M2169" s="394" t="e">
        <f ca="1">IF(NOT(OFFSET(Data!E2172,0,MATCH('Delta Beta'!$C$5,Data!$B$4:$Q$4,0)-1)=""),OFFSET(Data!E2172,0,MATCH('Delta Beta'!$C$5,Data!$B$4:$Q$4,0)-1),#N/A)-$C$8/250</f>
        <v>#N/A</v>
      </c>
      <c r="N2169" s="395"/>
      <c r="R2169" s="391"/>
    </row>
    <row r="2170" spans="12:18">
      <c r="L2170" s="394" t="e">
        <f ca="1">IF(NOT(OFFSET(Data!E2173,0,MATCH('Delta Beta'!$C$5,Data!$B$4:$Q$4,0)-3)=""),OFFSET(Data!E2173,0,MATCH('Delta Beta'!$C$5,Data!$B$4:$Q$4,0)-3),#N/A)-$C$8/250</f>
        <v>#N/A</v>
      </c>
      <c r="M2170" s="394" t="e">
        <f ca="1">IF(NOT(OFFSET(Data!E2173,0,MATCH('Delta Beta'!$C$5,Data!$B$4:$Q$4,0)-1)=""),OFFSET(Data!E2173,0,MATCH('Delta Beta'!$C$5,Data!$B$4:$Q$4,0)-1),#N/A)-$C$8/250</f>
        <v>#N/A</v>
      </c>
      <c r="N2170" s="395"/>
      <c r="R2170" s="391"/>
    </row>
    <row r="2171" spans="12:18">
      <c r="L2171" s="394" t="e">
        <f ca="1">IF(NOT(OFFSET(Data!E2174,0,MATCH('Delta Beta'!$C$5,Data!$B$4:$Q$4,0)-3)=""),OFFSET(Data!E2174,0,MATCH('Delta Beta'!$C$5,Data!$B$4:$Q$4,0)-3),#N/A)-$C$8/250</f>
        <v>#N/A</v>
      </c>
      <c r="M2171" s="394" t="e">
        <f ca="1">IF(NOT(OFFSET(Data!E2174,0,MATCH('Delta Beta'!$C$5,Data!$B$4:$Q$4,0)-1)=""),OFFSET(Data!E2174,0,MATCH('Delta Beta'!$C$5,Data!$B$4:$Q$4,0)-1),#N/A)-$C$8/250</f>
        <v>#N/A</v>
      </c>
      <c r="N2171" s="395"/>
      <c r="R2171" s="391"/>
    </row>
    <row r="2172" spans="12:18">
      <c r="L2172" s="394" t="e">
        <f ca="1">IF(NOT(OFFSET(Data!E2175,0,MATCH('Delta Beta'!$C$5,Data!$B$4:$Q$4,0)-3)=""),OFFSET(Data!E2175,0,MATCH('Delta Beta'!$C$5,Data!$B$4:$Q$4,0)-3),#N/A)-$C$8/250</f>
        <v>#N/A</v>
      </c>
      <c r="M2172" s="394" t="e">
        <f ca="1">IF(NOT(OFFSET(Data!E2175,0,MATCH('Delta Beta'!$C$5,Data!$B$4:$Q$4,0)-1)=""),OFFSET(Data!E2175,0,MATCH('Delta Beta'!$C$5,Data!$B$4:$Q$4,0)-1),#N/A)-$C$8/250</f>
        <v>#N/A</v>
      </c>
      <c r="N2172" s="395"/>
      <c r="R2172" s="391"/>
    </row>
    <row r="2173" spans="12:18">
      <c r="L2173" s="394" t="e">
        <f ca="1">IF(NOT(OFFSET(Data!E2176,0,MATCH('Delta Beta'!$C$5,Data!$B$4:$Q$4,0)-3)=""),OFFSET(Data!E2176,0,MATCH('Delta Beta'!$C$5,Data!$B$4:$Q$4,0)-3),#N/A)-$C$8/250</f>
        <v>#N/A</v>
      </c>
      <c r="M2173" s="394" t="e">
        <f ca="1">IF(NOT(OFFSET(Data!E2176,0,MATCH('Delta Beta'!$C$5,Data!$B$4:$Q$4,0)-1)=""),OFFSET(Data!E2176,0,MATCH('Delta Beta'!$C$5,Data!$B$4:$Q$4,0)-1),#N/A)-$C$8/250</f>
        <v>#N/A</v>
      </c>
      <c r="N2173" s="395"/>
      <c r="R2173" s="391"/>
    </row>
    <row r="2174" spans="12:18">
      <c r="L2174" s="394" t="e">
        <f ca="1">IF(NOT(OFFSET(Data!E2177,0,MATCH('Delta Beta'!$C$5,Data!$B$4:$Q$4,0)-3)=""),OFFSET(Data!E2177,0,MATCH('Delta Beta'!$C$5,Data!$B$4:$Q$4,0)-3),#N/A)-$C$8/250</f>
        <v>#N/A</v>
      </c>
      <c r="M2174" s="394" t="e">
        <f ca="1">IF(NOT(OFFSET(Data!E2177,0,MATCH('Delta Beta'!$C$5,Data!$B$4:$Q$4,0)-1)=""),OFFSET(Data!E2177,0,MATCH('Delta Beta'!$C$5,Data!$B$4:$Q$4,0)-1),#N/A)-$C$8/250</f>
        <v>#N/A</v>
      </c>
      <c r="N2174" s="395"/>
      <c r="R2174" s="391"/>
    </row>
    <row r="2175" spans="12:18">
      <c r="L2175" s="394" t="e">
        <f ca="1">IF(NOT(OFFSET(Data!E2178,0,MATCH('Delta Beta'!$C$5,Data!$B$4:$Q$4,0)-3)=""),OFFSET(Data!E2178,0,MATCH('Delta Beta'!$C$5,Data!$B$4:$Q$4,0)-3),#N/A)-$C$8/250</f>
        <v>#N/A</v>
      </c>
      <c r="M2175" s="394" t="e">
        <f ca="1">IF(NOT(OFFSET(Data!E2178,0,MATCH('Delta Beta'!$C$5,Data!$B$4:$Q$4,0)-1)=""),OFFSET(Data!E2178,0,MATCH('Delta Beta'!$C$5,Data!$B$4:$Q$4,0)-1),#N/A)-$C$8/250</f>
        <v>#N/A</v>
      </c>
      <c r="N2175" s="395"/>
      <c r="R2175" s="391"/>
    </row>
    <row r="2176" spans="12:18">
      <c r="L2176" s="394" t="e">
        <f ca="1">IF(NOT(OFFSET(Data!E2179,0,MATCH('Delta Beta'!$C$5,Data!$B$4:$Q$4,0)-3)=""),OFFSET(Data!E2179,0,MATCH('Delta Beta'!$C$5,Data!$B$4:$Q$4,0)-3),#N/A)-$C$8/250</f>
        <v>#N/A</v>
      </c>
      <c r="M2176" s="394" t="e">
        <f ca="1">IF(NOT(OFFSET(Data!E2179,0,MATCH('Delta Beta'!$C$5,Data!$B$4:$Q$4,0)-1)=""),OFFSET(Data!E2179,0,MATCH('Delta Beta'!$C$5,Data!$B$4:$Q$4,0)-1),#N/A)-$C$8/250</f>
        <v>#N/A</v>
      </c>
      <c r="N2176" s="395"/>
      <c r="R2176" s="391"/>
    </row>
    <row r="2177" spans="12:18">
      <c r="L2177" s="394" t="e">
        <f ca="1">IF(NOT(OFFSET(Data!E2180,0,MATCH('Delta Beta'!$C$5,Data!$B$4:$Q$4,0)-3)=""),OFFSET(Data!E2180,0,MATCH('Delta Beta'!$C$5,Data!$B$4:$Q$4,0)-3),#N/A)-$C$8/250</f>
        <v>#N/A</v>
      </c>
      <c r="M2177" s="394" t="e">
        <f ca="1">IF(NOT(OFFSET(Data!E2180,0,MATCH('Delta Beta'!$C$5,Data!$B$4:$Q$4,0)-1)=""),OFFSET(Data!E2180,0,MATCH('Delta Beta'!$C$5,Data!$B$4:$Q$4,0)-1),#N/A)-$C$8/250</f>
        <v>#N/A</v>
      </c>
      <c r="N2177" s="395"/>
      <c r="R2177" s="391"/>
    </row>
    <row r="2178" spans="12:18">
      <c r="L2178" s="394" t="e">
        <f ca="1">IF(NOT(OFFSET(Data!E2181,0,MATCH('Delta Beta'!$C$5,Data!$B$4:$Q$4,0)-3)=""),OFFSET(Data!E2181,0,MATCH('Delta Beta'!$C$5,Data!$B$4:$Q$4,0)-3),#N/A)-$C$8/250</f>
        <v>#N/A</v>
      </c>
      <c r="M2178" s="394" t="e">
        <f ca="1">IF(NOT(OFFSET(Data!E2181,0,MATCH('Delta Beta'!$C$5,Data!$B$4:$Q$4,0)-1)=""),OFFSET(Data!E2181,0,MATCH('Delta Beta'!$C$5,Data!$B$4:$Q$4,0)-1),#N/A)-$C$8/250</f>
        <v>#N/A</v>
      </c>
      <c r="N2178" s="395"/>
      <c r="R2178" s="391"/>
    </row>
    <row r="2179" spans="12:18">
      <c r="L2179" s="394" t="e">
        <f ca="1">IF(NOT(OFFSET(Data!E2182,0,MATCH('Delta Beta'!$C$5,Data!$B$4:$Q$4,0)-3)=""),OFFSET(Data!E2182,0,MATCH('Delta Beta'!$C$5,Data!$B$4:$Q$4,0)-3),#N/A)-$C$8/250</f>
        <v>#N/A</v>
      </c>
      <c r="M2179" s="394" t="e">
        <f ca="1">IF(NOT(OFFSET(Data!E2182,0,MATCH('Delta Beta'!$C$5,Data!$B$4:$Q$4,0)-1)=""),OFFSET(Data!E2182,0,MATCH('Delta Beta'!$C$5,Data!$B$4:$Q$4,0)-1),#N/A)-$C$8/250</f>
        <v>#N/A</v>
      </c>
      <c r="N2179" s="395"/>
      <c r="R2179" s="391"/>
    </row>
    <row r="2180" spans="12:18">
      <c r="L2180" s="394" t="e">
        <f ca="1">IF(NOT(OFFSET(Data!E2183,0,MATCH('Delta Beta'!$C$5,Data!$B$4:$Q$4,0)-3)=""),OFFSET(Data!E2183,0,MATCH('Delta Beta'!$C$5,Data!$B$4:$Q$4,0)-3),#N/A)-$C$8/250</f>
        <v>#N/A</v>
      </c>
      <c r="M2180" s="394" t="e">
        <f ca="1">IF(NOT(OFFSET(Data!E2183,0,MATCH('Delta Beta'!$C$5,Data!$B$4:$Q$4,0)-1)=""),OFFSET(Data!E2183,0,MATCH('Delta Beta'!$C$5,Data!$B$4:$Q$4,0)-1),#N/A)-$C$8/250</f>
        <v>#N/A</v>
      </c>
      <c r="N2180" s="395"/>
      <c r="R2180" s="391"/>
    </row>
    <row r="2181" spans="12:18">
      <c r="L2181" s="394" t="e">
        <f ca="1">IF(NOT(OFFSET(Data!E2184,0,MATCH('Delta Beta'!$C$5,Data!$B$4:$Q$4,0)-3)=""),OFFSET(Data!E2184,0,MATCH('Delta Beta'!$C$5,Data!$B$4:$Q$4,0)-3),#N/A)-$C$8/250</f>
        <v>#N/A</v>
      </c>
      <c r="M2181" s="394" t="e">
        <f ca="1">IF(NOT(OFFSET(Data!E2184,0,MATCH('Delta Beta'!$C$5,Data!$B$4:$Q$4,0)-1)=""),OFFSET(Data!E2184,0,MATCH('Delta Beta'!$C$5,Data!$B$4:$Q$4,0)-1),#N/A)-$C$8/250</f>
        <v>#N/A</v>
      </c>
      <c r="N2181" s="395"/>
      <c r="R2181" s="391"/>
    </row>
    <row r="2182" spans="12:18">
      <c r="L2182" s="394" t="e">
        <f ca="1">IF(NOT(OFFSET(Data!E2185,0,MATCH('Delta Beta'!$C$5,Data!$B$4:$Q$4,0)-3)=""),OFFSET(Data!E2185,0,MATCH('Delta Beta'!$C$5,Data!$B$4:$Q$4,0)-3),#N/A)-$C$8/250</f>
        <v>#N/A</v>
      </c>
      <c r="M2182" s="394" t="e">
        <f ca="1">IF(NOT(OFFSET(Data!E2185,0,MATCH('Delta Beta'!$C$5,Data!$B$4:$Q$4,0)-1)=""),OFFSET(Data!E2185,0,MATCH('Delta Beta'!$C$5,Data!$B$4:$Q$4,0)-1),#N/A)-$C$8/250</f>
        <v>#N/A</v>
      </c>
      <c r="N2182" s="395"/>
      <c r="R2182" s="391"/>
    </row>
    <row r="2183" spans="12:18">
      <c r="L2183" s="394" t="e">
        <f ca="1">IF(NOT(OFFSET(Data!E2186,0,MATCH('Delta Beta'!$C$5,Data!$B$4:$Q$4,0)-3)=""),OFFSET(Data!E2186,0,MATCH('Delta Beta'!$C$5,Data!$B$4:$Q$4,0)-3),#N/A)-$C$8/250</f>
        <v>#N/A</v>
      </c>
      <c r="M2183" s="394" t="e">
        <f ca="1">IF(NOT(OFFSET(Data!E2186,0,MATCH('Delta Beta'!$C$5,Data!$B$4:$Q$4,0)-1)=""),OFFSET(Data!E2186,0,MATCH('Delta Beta'!$C$5,Data!$B$4:$Q$4,0)-1),#N/A)-$C$8/250</f>
        <v>#N/A</v>
      </c>
      <c r="N2183" s="395"/>
      <c r="R2183" s="391"/>
    </row>
    <row r="2184" spans="12:18">
      <c r="L2184" s="394" t="e">
        <f ca="1">IF(NOT(OFFSET(Data!E2187,0,MATCH('Delta Beta'!$C$5,Data!$B$4:$Q$4,0)-3)=""),OFFSET(Data!E2187,0,MATCH('Delta Beta'!$C$5,Data!$B$4:$Q$4,0)-3),#N/A)-$C$8/250</f>
        <v>#N/A</v>
      </c>
      <c r="M2184" s="394" t="e">
        <f ca="1">IF(NOT(OFFSET(Data!E2187,0,MATCH('Delta Beta'!$C$5,Data!$B$4:$Q$4,0)-1)=""),OFFSET(Data!E2187,0,MATCH('Delta Beta'!$C$5,Data!$B$4:$Q$4,0)-1),#N/A)-$C$8/250</f>
        <v>#N/A</v>
      </c>
      <c r="N2184" s="395"/>
      <c r="R2184" s="391"/>
    </row>
    <row r="2185" spans="12:18">
      <c r="L2185" s="394" t="e">
        <f ca="1">IF(NOT(OFFSET(Data!E2188,0,MATCH('Delta Beta'!$C$5,Data!$B$4:$Q$4,0)-3)=""),OFFSET(Data!E2188,0,MATCH('Delta Beta'!$C$5,Data!$B$4:$Q$4,0)-3),#N/A)-$C$8/250</f>
        <v>#N/A</v>
      </c>
      <c r="M2185" s="394" t="e">
        <f ca="1">IF(NOT(OFFSET(Data!E2188,0,MATCH('Delta Beta'!$C$5,Data!$B$4:$Q$4,0)-1)=""),OFFSET(Data!E2188,0,MATCH('Delta Beta'!$C$5,Data!$B$4:$Q$4,0)-1),#N/A)-$C$8/250</f>
        <v>#N/A</v>
      </c>
      <c r="N2185" s="395"/>
      <c r="R2185" s="391"/>
    </row>
    <row r="2186" spans="12:18">
      <c r="L2186" s="394" t="e">
        <f ca="1">IF(NOT(OFFSET(Data!E2189,0,MATCH('Delta Beta'!$C$5,Data!$B$4:$Q$4,0)-3)=""),OFFSET(Data!E2189,0,MATCH('Delta Beta'!$C$5,Data!$B$4:$Q$4,0)-3),#N/A)-$C$8/250</f>
        <v>#N/A</v>
      </c>
      <c r="M2186" s="394" t="e">
        <f ca="1">IF(NOT(OFFSET(Data!E2189,0,MATCH('Delta Beta'!$C$5,Data!$B$4:$Q$4,0)-1)=""),OFFSET(Data!E2189,0,MATCH('Delta Beta'!$C$5,Data!$B$4:$Q$4,0)-1),#N/A)-$C$8/250</f>
        <v>#N/A</v>
      </c>
      <c r="N2186" s="395"/>
      <c r="R2186" s="391"/>
    </row>
    <row r="2187" spans="12:18">
      <c r="L2187" s="394" t="e">
        <f ca="1">IF(NOT(OFFSET(Data!E2190,0,MATCH('Delta Beta'!$C$5,Data!$B$4:$Q$4,0)-3)=""),OFFSET(Data!E2190,0,MATCH('Delta Beta'!$C$5,Data!$B$4:$Q$4,0)-3),#N/A)-$C$8/250</f>
        <v>#N/A</v>
      </c>
      <c r="M2187" s="394" t="e">
        <f ca="1">IF(NOT(OFFSET(Data!E2190,0,MATCH('Delta Beta'!$C$5,Data!$B$4:$Q$4,0)-1)=""),OFFSET(Data!E2190,0,MATCH('Delta Beta'!$C$5,Data!$B$4:$Q$4,0)-1),#N/A)-$C$8/250</f>
        <v>#N/A</v>
      </c>
      <c r="N2187" s="395"/>
      <c r="R2187" s="391"/>
    </row>
    <row r="2188" spans="12:18">
      <c r="L2188" s="394" t="e">
        <f ca="1">IF(NOT(OFFSET(Data!E2191,0,MATCH('Delta Beta'!$C$5,Data!$B$4:$Q$4,0)-3)=""),OFFSET(Data!E2191,0,MATCH('Delta Beta'!$C$5,Data!$B$4:$Q$4,0)-3),#N/A)-$C$8/250</f>
        <v>#N/A</v>
      </c>
      <c r="M2188" s="394" t="e">
        <f ca="1">IF(NOT(OFFSET(Data!E2191,0,MATCH('Delta Beta'!$C$5,Data!$B$4:$Q$4,0)-1)=""),OFFSET(Data!E2191,0,MATCH('Delta Beta'!$C$5,Data!$B$4:$Q$4,0)-1),#N/A)-$C$8/250</f>
        <v>#N/A</v>
      </c>
      <c r="N2188" s="395"/>
      <c r="R2188" s="391"/>
    </row>
    <row r="2189" spans="12:18">
      <c r="L2189" s="394" t="e">
        <f ca="1">IF(NOT(OFFSET(Data!E2192,0,MATCH('Delta Beta'!$C$5,Data!$B$4:$Q$4,0)-3)=""),OFFSET(Data!E2192,0,MATCH('Delta Beta'!$C$5,Data!$B$4:$Q$4,0)-3),#N/A)-$C$8/250</f>
        <v>#N/A</v>
      </c>
      <c r="M2189" s="394" t="e">
        <f ca="1">IF(NOT(OFFSET(Data!E2192,0,MATCH('Delta Beta'!$C$5,Data!$B$4:$Q$4,0)-1)=""),OFFSET(Data!E2192,0,MATCH('Delta Beta'!$C$5,Data!$B$4:$Q$4,0)-1),#N/A)-$C$8/250</f>
        <v>#N/A</v>
      </c>
      <c r="N2189" s="395"/>
      <c r="R2189" s="391"/>
    </row>
    <row r="2190" spans="12:18">
      <c r="L2190" s="394" t="e">
        <f ca="1">IF(NOT(OFFSET(Data!E2193,0,MATCH('Delta Beta'!$C$5,Data!$B$4:$Q$4,0)-3)=""),OFFSET(Data!E2193,0,MATCH('Delta Beta'!$C$5,Data!$B$4:$Q$4,0)-3),#N/A)-$C$8/250</f>
        <v>#N/A</v>
      </c>
      <c r="M2190" s="394" t="e">
        <f ca="1">IF(NOT(OFFSET(Data!E2193,0,MATCH('Delta Beta'!$C$5,Data!$B$4:$Q$4,0)-1)=""),OFFSET(Data!E2193,0,MATCH('Delta Beta'!$C$5,Data!$B$4:$Q$4,0)-1),#N/A)-$C$8/250</f>
        <v>#N/A</v>
      </c>
      <c r="N2190" s="395"/>
      <c r="R2190" s="391"/>
    </row>
    <row r="2191" spans="12:18">
      <c r="L2191" s="394" t="e">
        <f ca="1">IF(NOT(OFFSET(Data!E2194,0,MATCH('Delta Beta'!$C$5,Data!$B$4:$Q$4,0)-3)=""),OFFSET(Data!E2194,0,MATCH('Delta Beta'!$C$5,Data!$B$4:$Q$4,0)-3),#N/A)-$C$8/250</f>
        <v>#N/A</v>
      </c>
      <c r="M2191" s="394" t="e">
        <f ca="1">IF(NOT(OFFSET(Data!E2194,0,MATCH('Delta Beta'!$C$5,Data!$B$4:$Q$4,0)-1)=""),OFFSET(Data!E2194,0,MATCH('Delta Beta'!$C$5,Data!$B$4:$Q$4,0)-1),#N/A)-$C$8/250</f>
        <v>#N/A</v>
      </c>
      <c r="N2191" s="395"/>
      <c r="R2191" s="391"/>
    </row>
    <row r="2192" spans="12:18">
      <c r="L2192" s="394" t="e">
        <f ca="1">IF(NOT(OFFSET(Data!E2195,0,MATCH('Delta Beta'!$C$5,Data!$B$4:$Q$4,0)-3)=""),OFFSET(Data!E2195,0,MATCH('Delta Beta'!$C$5,Data!$B$4:$Q$4,0)-3),#N/A)-$C$8/250</f>
        <v>#N/A</v>
      </c>
      <c r="M2192" s="394" t="e">
        <f ca="1">IF(NOT(OFFSET(Data!E2195,0,MATCH('Delta Beta'!$C$5,Data!$B$4:$Q$4,0)-1)=""),OFFSET(Data!E2195,0,MATCH('Delta Beta'!$C$5,Data!$B$4:$Q$4,0)-1),#N/A)-$C$8/250</f>
        <v>#N/A</v>
      </c>
      <c r="N2192" s="395"/>
      <c r="R2192" s="391"/>
    </row>
    <row r="2193" spans="12:18">
      <c r="L2193" s="394" t="e">
        <f ca="1">IF(NOT(OFFSET(Data!E2196,0,MATCH('Delta Beta'!$C$5,Data!$B$4:$Q$4,0)-3)=""),OFFSET(Data!E2196,0,MATCH('Delta Beta'!$C$5,Data!$B$4:$Q$4,0)-3),#N/A)-$C$8/250</f>
        <v>#N/A</v>
      </c>
      <c r="M2193" s="394" t="e">
        <f ca="1">IF(NOT(OFFSET(Data!E2196,0,MATCH('Delta Beta'!$C$5,Data!$B$4:$Q$4,0)-1)=""),OFFSET(Data!E2196,0,MATCH('Delta Beta'!$C$5,Data!$B$4:$Q$4,0)-1),#N/A)-$C$8/250</f>
        <v>#N/A</v>
      </c>
      <c r="N2193" s="395"/>
      <c r="R2193" s="391"/>
    </row>
    <row r="2194" spans="12:18">
      <c r="L2194" s="394" t="e">
        <f ca="1">IF(NOT(OFFSET(Data!E2197,0,MATCH('Delta Beta'!$C$5,Data!$B$4:$Q$4,0)-3)=""),OFFSET(Data!E2197,0,MATCH('Delta Beta'!$C$5,Data!$B$4:$Q$4,0)-3),#N/A)-$C$8/250</f>
        <v>#N/A</v>
      </c>
      <c r="M2194" s="394" t="e">
        <f ca="1">IF(NOT(OFFSET(Data!E2197,0,MATCH('Delta Beta'!$C$5,Data!$B$4:$Q$4,0)-1)=""),OFFSET(Data!E2197,0,MATCH('Delta Beta'!$C$5,Data!$B$4:$Q$4,0)-1),#N/A)-$C$8/250</f>
        <v>#N/A</v>
      </c>
      <c r="N2194" s="395"/>
      <c r="R2194" s="391"/>
    </row>
    <row r="2195" spans="12:18">
      <c r="L2195" s="394" t="e">
        <f ca="1">IF(NOT(OFFSET(Data!E2198,0,MATCH('Delta Beta'!$C$5,Data!$B$4:$Q$4,0)-3)=""),OFFSET(Data!E2198,0,MATCH('Delta Beta'!$C$5,Data!$B$4:$Q$4,0)-3),#N/A)-$C$8/250</f>
        <v>#N/A</v>
      </c>
      <c r="M2195" s="394" t="e">
        <f ca="1">IF(NOT(OFFSET(Data!E2198,0,MATCH('Delta Beta'!$C$5,Data!$B$4:$Q$4,0)-1)=""),OFFSET(Data!E2198,0,MATCH('Delta Beta'!$C$5,Data!$B$4:$Q$4,0)-1),#N/A)-$C$8/250</f>
        <v>#N/A</v>
      </c>
      <c r="N2195" s="395"/>
      <c r="R2195" s="391"/>
    </row>
    <row r="2196" spans="12:18">
      <c r="L2196" s="394" t="e">
        <f ca="1">IF(NOT(OFFSET(Data!E2199,0,MATCH('Delta Beta'!$C$5,Data!$B$4:$Q$4,0)-3)=""),OFFSET(Data!E2199,0,MATCH('Delta Beta'!$C$5,Data!$B$4:$Q$4,0)-3),#N/A)-$C$8/250</f>
        <v>#N/A</v>
      </c>
      <c r="M2196" s="394" t="e">
        <f ca="1">IF(NOT(OFFSET(Data!E2199,0,MATCH('Delta Beta'!$C$5,Data!$B$4:$Q$4,0)-1)=""),OFFSET(Data!E2199,0,MATCH('Delta Beta'!$C$5,Data!$B$4:$Q$4,0)-1),#N/A)-$C$8/250</f>
        <v>#N/A</v>
      </c>
      <c r="N2196" s="395"/>
      <c r="R2196" s="391"/>
    </row>
    <row r="2197" spans="12:18">
      <c r="L2197" s="394" t="e">
        <f ca="1">IF(NOT(OFFSET(Data!E2200,0,MATCH('Delta Beta'!$C$5,Data!$B$4:$Q$4,0)-3)=""),OFFSET(Data!E2200,0,MATCH('Delta Beta'!$C$5,Data!$B$4:$Q$4,0)-3),#N/A)-$C$8/250</f>
        <v>#N/A</v>
      </c>
      <c r="M2197" s="394" t="e">
        <f ca="1">IF(NOT(OFFSET(Data!E2200,0,MATCH('Delta Beta'!$C$5,Data!$B$4:$Q$4,0)-1)=""),OFFSET(Data!E2200,0,MATCH('Delta Beta'!$C$5,Data!$B$4:$Q$4,0)-1),#N/A)-$C$8/250</f>
        <v>#N/A</v>
      </c>
      <c r="N2197" s="395"/>
      <c r="R2197" s="391"/>
    </row>
    <row r="2198" spans="12:18">
      <c r="L2198" s="394" t="e">
        <f ca="1">IF(NOT(OFFSET(Data!E2201,0,MATCH('Delta Beta'!$C$5,Data!$B$4:$Q$4,0)-3)=""),OFFSET(Data!E2201,0,MATCH('Delta Beta'!$C$5,Data!$B$4:$Q$4,0)-3),#N/A)-$C$8/250</f>
        <v>#N/A</v>
      </c>
      <c r="M2198" s="394" t="e">
        <f ca="1">IF(NOT(OFFSET(Data!E2201,0,MATCH('Delta Beta'!$C$5,Data!$B$4:$Q$4,0)-1)=""),OFFSET(Data!E2201,0,MATCH('Delta Beta'!$C$5,Data!$B$4:$Q$4,0)-1),#N/A)-$C$8/250</f>
        <v>#N/A</v>
      </c>
      <c r="N2198" s="395"/>
      <c r="R2198" s="391"/>
    </row>
    <row r="2199" spans="12:18">
      <c r="L2199" s="394" t="e">
        <f ca="1">IF(NOT(OFFSET(Data!E2202,0,MATCH('Delta Beta'!$C$5,Data!$B$4:$Q$4,0)-3)=""),OFFSET(Data!E2202,0,MATCH('Delta Beta'!$C$5,Data!$B$4:$Q$4,0)-3),#N/A)-$C$8/250</f>
        <v>#N/A</v>
      </c>
      <c r="M2199" s="394" t="e">
        <f ca="1">IF(NOT(OFFSET(Data!E2202,0,MATCH('Delta Beta'!$C$5,Data!$B$4:$Q$4,0)-1)=""),OFFSET(Data!E2202,0,MATCH('Delta Beta'!$C$5,Data!$B$4:$Q$4,0)-1),#N/A)-$C$8/250</f>
        <v>#N/A</v>
      </c>
      <c r="N2199" s="395"/>
      <c r="R2199" s="391"/>
    </row>
    <row r="2200" spans="12:18">
      <c r="L2200" s="394" t="e">
        <f ca="1">IF(NOT(OFFSET(Data!E2203,0,MATCH('Delta Beta'!$C$5,Data!$B$4:$Q$4,0)-3)=""),OFFSET(Data!E2203,0,MATCH('Delta Beta'!$C$5,Data!$B$4:$Q$4,0)-3),#N/A)-$C$8/250</f>
        <v>#N/A</v>
      </c>
      <c r="M2200" s="394" t="e">
        <f ca="1">IF(NOT(OFFSET(Data!E2203,0,MATCH('Delta Beta'!$C$5,Data!$B$4:$Q$4,0)-1)=""),OFFSET(Data!E2203,0,MATCH('Delta Beta'!$C$5,Data!$B$4:$Q$4,0)-1),#N/A)-$C$8/250</f>
        <v>#N/A</v>
      </c>
      <c r="N2200" s="395"/>
      <c r="R2200" s="391"/>
    </row>
    <row r="2201" spans="12:18">
      <c r="L2201" s="394" t="e">
        <f ca="1">IF(NOT(OFFSET(Data!E2204,0,MATCH('Delta Beta'!$C$5,Data!$B$4:$Q$4,0)-3)=""),OFFSET(Data!E2204,0,MATCH('Delta Beta'!$C$5,Data!$B$4:$Q$4,0)-3),#N/A)-$C$8/250</f>
        <v>#N/A</v>
      </c>
      <c r="M2201" s="394" t="e">
        <f ca="1">IF(NOT(OFFSET(Data!E2204,0,MATCH('Delta Beta'!$C$5,Data!$B$4:$Q$4,0)-1)=""),OFFSET(Data!E2204,0,MATCH('Delta Beta'!$C$5,Data!$B$4:$Q$4,0)-1),#N/A)-$C$8/250</f>
        <v>#N/A</v>
      </c>
      <c r="N2201" s="395"/>
      <c r="R2201" s="391"/>
    </row>
    <row r="2202" spans="12:18">
      <c r="L2202" s="394" t="e">
        <f ca="1">IF(NOT(OFFSET(Data!E2205,0,MATCH('Delta Beta'!$C$5,Data!$B$4:$Q$4,0)-3)=""),OFFSET(Data!E2205,0,MATCH('Delta Beta'!$C$5,Data!$B$4:$Q$4,0)-3),#N/A)-$C$8/250</f>
        <v>#N/A</v>
      </c>
      <c r="M2202" s="394" t="e">
        <f ca="1">IF(NOT(OFFSET(Data!E2205,0,MATCH('Delta Beta'!$C$5,Data!$B$4:$Q$4,0)-1)=""),OFFSET(Data!E2205,0,MATCH('Delta Beta'!$C$5,Data!$B$4:$Q$4,0)-1),#N/A)-$C$8/250</f>
        <v>#N/A</v>
      </c>
      <c r="N2202" s="395"/>
      <c r="R2202" s="391"/>
    </row>
    <row r="2203" spans="12:18">
      <c r="L2203" s="394" t="e">
        <f ca="1">IF(NOT(OFFSET(Data!E2206,0,MATCH('Delta Beta'!$C$5,Data!$B$4:$Q$4,0)-3)=""),OFFSET(Data!E2206,0,MATCH('Delta Beta'!$C$5,Data!$B$4:$Q$4,0)-3),#N/A)-$C$8/250</f>
        <v>#N/A</v>
      </c>
      <c r="M2203" s="394" t="e">
        <f ca="1">IF(NOT(OFFSET(Data!E2206,0,MATCH('Delta Beta'!$C$5,Data!$B$4:$Q$4,0)-1)=""),OFFSET(Data!E2206,0,MATCH('Delta Beta'!$C$5,Data!$B$4:$Q$4,0)-1),#N/A)-$C$8/250</f>
        <v>#N/A</v>
      </c>
      <c r="N2203" s="395"/>
      <c r="R2203" s="391"/>
    </row>
    <row r="2204" spans="12:18">
      <c r="L2204" s="394" t="e">
        <f ca="1">IF(NOT(OFFSET(Data!E2207,0,MATCH('Delta Beta'!$C$5,Data!$B$4:$Q$4,0)-3)=""),OFFSET(Data!E2207,0,MATCH('Delta Beta'!$C$5,Data!$B$4:$Q$4,0)-3),#N/A)-$C$8/250</f>
        <v>#N/A</v>
      </c>
      <c r="M2204" s="394" t="e">
        <f ca="1">IF(NOT(OFFSET(Data!E2207,0,MATCH('Delta Beta'!$C$5,Data!$B$4:$Q$4,0)-1)=""),OFFSET(Data!E2207,0,MATCH('Delta Beta'!$C$5,Data!$B$4:$Q$4,0)-1),#N/A)-$C$8/250</f>
        <v>#N/A</v>
      </c>
      <c r="N2204" s="395"/>
      <c r="R2204" s="391"/>
    </row>
    <row r="2205" spans="12:18">
      <c r="L2205" s="394" t="e">
        <f ca="1">IF(NOT(OFFSET(Data!E2208,0,MATCH('Delta Beta'!$C$5,Data!$B$4:$Q$4,0)-3)=""),OFFSET(Data!E2208,0,MATCH('Delta Beta'!$C$5,Data!$B$4:$Q$4,0)-3),#N/A)-$C$8/250</f>
        <v>#N/A</v>
      </c>
      <c r="M2205" s="394" t="e">
        <f ca="1">IF(NOT(OFFSET(Data!E2208,0,MATCH('Delta Beta'!$C$5,Data!$B$4:$Q$4,0)-1)=""),OFFSET(Data!E2208,0,MATCH('Delta Beta'!$C$5,Data!$B$4:$Q$4,0)-1),#N/A)-$C$8/250</f>
        <v>#N/A</v>
      </c>
      <c r="N2205" s="395"/>
      <c r="R2205" s="391"/>
    </row>
    <row r="2206" spans="12:18">
      <c r="L2206" s="394" t="e">
        <f ca="1">IF(NOT(OFFSET(Data!E2209,0,MATCH('Delta Beta'!$C$5,Data!$B$4:$Q$4,0)-3)=""),OFFSET(Data!E2209,0,MATCH('Delta Beta'!$C$5,Data!$B$4:$Q$4,0)-3),#N/A)-$C$8/250</f>
        <v>#N/A</v>
      </c>
      <c r="M2206" s="394" t="e">
        <f ca="1">IF(NOT(OFFSET(Data!E2209,0,MATCH('Delta Beta'!$C$5,Data!$B$4:$Q$4,0)-1)=""),OFFSET(Data!E2209,0,MATCH('Delta Beta'!$C$5,Data!$B$4:$Q$4,0)-1),#N/A)-$C$8/250</f>
        <v>#N/A</v>
      </c>
      <c r="N2206" s="395"/>
      <c r="R2206" s="391"/>
    </row>
    <row r="2207" spans="12:18">
      <c r="L2207" s="394" t="e">
        <f ca="1">IF(NOT(OFFSET(Data!E2210,0,MATCH('Delta Beta'!$C$5,Data!$B$4:$Q$4,0)-3)=""),OFFSET(Data!E2210,0,MATCH('Delta Beta'!$C$5,Data!$B$4:$Q$4,0)-3),#N/A)-$C$8/250</f>
        <v>#N/A</v>
      </c>
      <c r="M2207" s="394" t="e">
        <f ca="1">IF(NOT(OFFSET(Data!E2210,0,MATCH('Delta Beta'!$C$5,Data!$B$4:$Q$4,0)-1)=""),OFFSET(Data!E2210,0,MATCH('Delta Beta'!$C$5,Data!$B$4:$Q$4,0)-1),#N/A)-$C$8/250</f>
        <v>#N/A</v>
      </c>
      <c r="N2207" s="395"/>
      <c r="R2207" s="391"/>
    </row>
    <row r="2208" spans="12:18">
      <c r="L2208" s="394" t="e">
        <f ca="1">IF(NOT(OFFSET(Data!E2211,0,MATCH('Delta Beta'!$C$5,Data!$B$4:$Q$4,0)-3)=""),OFFSET(Data!E2211,0,MATCH('Delta Beta'!$C$5,Data!$B$4:$Q$4,0)-3),#N/A)-$C$8/250</f>
        <v>#N/A</v>
      </c>
      <c r="M2208" s="394" t="e">
        <f ca="1">IF(NOT(OFFSET(Data!E2211,0,MATCH('Delta Beta'!$C$5,Data!$B$4:$Q$4,0)-1)=""),OFFSET(Data!E2211,0,MATCH('Delta Beta'!$C$5,Data!$B$4:$Q$4,0)-1),#N/A)-$C$8/250</f>
        <v>#N/A</v>
      </c>
      <c r="N2208" s="395"/>
      <c r="R2208" s="391"/>
    </row>
    <row r="2209" spans="12:18">
      <c r="L2209" s="394" t="e">
        <f ca="1">IF(NOT(OFFSET(Data!E2212,0,MATCH('Delta Beta'!$C$5,Data!$B$4:$Q$4,0)-3)=""),OFFSET(Data!E2212,0,MATCH('Delta Beta'!$C$5,Data!$B$4:$Q$4,0)-3),#N/A)-$C$8/250</f>
        <v>#N/A</v>
      </c>
      <c r="M2209" s="394" t="e">
        <f ca="1">IF(NOT(OFFSET(Data!E2212,0,MATCH('Delta Beta'!$C$5,Data!$B$4:$Q$4,0)-1)=""),OFFSET(Data!E2212,0,MATCH('Delta Beta'!$C$5,Data!$B$4:$Q$4,0)-1),#N/A)-$C$8/250</f>
        <v>#N/A</v>
      </c>
      <c r="N2209" s="395"/>
      <c r="R2209" s="391"/>
    </row>
    <row r="2210" spans="12:18">
      <c r="L2210" s="394" t="e">
        <f ca="1">IF(NOT(OFFSET(Data!E2213,0,MATCH('Delta Beta'!$C$5,Data!$B$4:$Q$4,0)-3)=""),OFFSET(Data!E2213,0,MATCH('Delta Beta'!$C$5,Data!$B$4:$Q$4,0)-3),#N/A)-$C$8/250</f>
        <v>#N/A</v>
      </c>
      <c r="M2210" s="394" t="e">
        <f ca="1">IF(NOT(OFFSET(Data!E2213,0,MATCH('Delta Beta'!$C$5,Data!$B$4:$Q$4,0)-1)=""),OFFSET(Data!E2213,0,MATCH('Delta Beta'!$C$5,Data!$B$4:$Q$4,0)-1),#N/A)-$C$8/250</f>
        <v>#N/A</v>
      </c>
      <c r="N2210" s="395"/>
      <c r="R2210" s="391"/>
    </row>
    <row r="2211" spans="12:18">
      <c r="L2211" s="394" t="e">
        <f ca="1">IF(NOT(OFFSET(Data!E2214,0,MATCH('Delta Beta'!$C$5,Data!$B$4:$Q$4,0)-3)=""),OFFSET(Data!E2214,0,MATCH('Delta Beta'!$C$5,Data!$B$4:$Q$4,0)-3),#N/A)-$C$8/250</f>
        <v>#N/A</v>
      </c>
      <c r="M2211" s="394" t="e">
        <f ca="1">IF(NOT(OFFSET(Data!E2214,0,MATCH('Delta Beta'!$C$5,Data!$B$4:$Q$4,0)-1)=""),OFFSET(Data!E2214,0,MATCH('Delta Beta'!$C$5,Data!$B$4:$Q$4,0)-1),#N/A)-$C$8/250</f>
        <v>#N/A</v>
      </c>
      <c r="N2211" s="395"/>
      <c r="R2211" s="391"/>
    </row>
    <row r="2212" spans="12:18">
      <c r="L2212" s="394" t="e">
        <f ca="1">IF(NOT(OFFSET(Data!E2215,0,MATCH('Delta Beta'!$C$5,Data!$B$4:$Q$4,0)-3)=""),OFFSET(Data!E2215,0,MATCH('Delta Beta'!$C$5,Data!$B$4:$Q$4,0)-3),#N/A)-$C$8/250</f>
        <v>#N/A</v>
      </c>
      <c r="M2212" s="394" t="e">
        <f ca="1">IF(NOT(OFFSET(Data!E2215,0,MATCH('Delta Beta'!$C$5,Data!$B$4:$Q$4,0)-1)=""),OFFSET(Data!E2215,0,MATCH('Delta Beta'!$C$5,Data!$B$4:$Q$4,0)-1),#N/A)-$C$8/250</f>
        <v>#N/A</v>
      </c>
      <c r="N2212" s="395"/>
      <c r="R2212" s="391"/>
    </row>
    <row r="2213" spans="12:18">
      <c r="L2213" s="394" t="e">
        <f ca="1">IF(NOT(OFFSET(Data!E2216,0,MATCH('Delta Beta'!$C$5,Data!$B$4:$Q$4,0)-3)=""),OFFSET(Data!E2216,0,MATCH('Delta Beta'!$C$5,Data!$B$4:$Q$4,0)-3),#N/A)-$C$8/250</f>
        <v>#N/A</v>
      </c>
      <c r="M2213" s="394" t="e">
        <f ca="1">IF(NOT(OFFSET(Data!E2216,0,MATCH('Delta Beta'!$C$5,Data!$B$4:$Q$4,0)-1)=""),OFFSET(Data!E2216,0,MATCH('Delta Beta'!$C$5,Data!$B$4:$Q$4,0)-1),#N/A)-$C$8/250</f>
        <v>#N/A</v>
      </c>
      <c r="N2213" s="395"/>
      <c r="R2213" s="391"/>
    </row>
    <row r="2214" spans="12:18">
      <c r="L2214" s="394" t="e">
        <f ca="1">IF(NOT(OFFSET(Data!E2217,0,MATCH('Delta Beta'!$C$5,Data!$B$4:$Q$4,0)-3)=""),OFFSET(Data!E2217,0,MATCH('Delta Beta'!$C$5,Data!$B$4:$Q$4,0)-3),#N/A)-$C$8/250</f>
        <v>#N/A</v>
      </c>
      <c r="M2214" s="394" t="e">
        <f ca="1">IF(NOT(OFFSET(Data!E2217,0,MATCH('Delta Beta'!$C$5,Data!$B$4:$Q$4,0)-1)=""),OFFSET(Data!E2217,0,MATCH('Delta Beta'!$C$5,Data!$B$4:$Q$4,0)-1),#N/A)-$C$8/250</f>
        <v>#N/A</v>
      </c>
      <c r="N2214" s="395"/>
      <c r="R2214" s="391"/>
    </row>
    <row r="2215" spans="12:18">
      <c r="L2215" s="394" t="e">
        <f ca="1">IF(NOT(OFFSET(Data!E2218,0,MATCH('Delta Beta'!$C$5,Data!$B$4:$Q$4,0)-3)=""),OFFSET(Data!E2218,0,MATCH('Delta Beta'!$C$5,Data!$B$4:$Q$4,0)-3),#N/A)-$C$8/250</f>
        <v>#N/A</v>
      </c>
      <c r="M2215" s="394" t="e">
        <f ca="1">IF(NOT(OFFSET(Data!E2218,0,MATCH('Delta Beta'!$C$5,Data!$B$4:$Q$4,0)-1)=""),OFFSET(Data!E2218,0,MATCH('Delta Beta'!$C$5,Data!$B$4:$Q$4,0)-1),#N/A)-$C$8/250</f>
        <v>#N/A</v>
      </c>
      <c r="N2215" s="395"/>
      <c r="R2215" s="391"/>
    </row>
    <row r="2216" spans="12:18">
      <c r="L2216" s="394" t="e">
        <f ca="1">IF(NOT(OFFSET(Data!E2219,0,MATCH('Delta Beta'!$C$5,Data!$B$4:$Q$4,0)-3)=""),OFFSET(Data!E2219,0,MATCH('Delta Beta'!$C$5,Data!$B$4:$Q$4,0)-3),#N/A)-$C$8/250</f>
        <v>#N/A</v>
      </c>
      <c r="M2216" s="394" t="e">
        <f ca="1">IF(NOT(OFFSET(Data!E2219,0,MATCH('Delta Beta'!$C$5,Data!$B$4:$Q$4,0)-1)=""),OFFSET(Data!E2219,0,MATCH('Delta Beta'!$C$5,Data!$B$4:$Q$4,0)-1),#N/A)-$C$8/250</f>
        <v>#N/A</v>
      </c>
      <c r="N2216" s="395"/>
      <c r="R2216" s="391"/>
    </row>
    <row r="2217" spans="12:18">
      <c r="L2217" s="394" t="e">
        <f ca="1">IF(NOT(OFFSET(Data!E2220,0,MATCH('Delta Beta'!$C$5,Data!$B$4:$Q$4,0)-3)=""),OFFSET(Data!E2220,0,MATCH('Delta Beta'!$C$5,Data!$B$4:$Q$4,0)-3),#N/A)-$C$8/250</f>
        <v>#N/A</v>
      </c>
      <c r="M2217" s="394" t="e">
        <f ca="1">IF(NOT(OFFSET(Data!E2220,0,MATCH('Delta Beta'!$C$5,Data!$B$4:$Q$4,0)-1)=""),OFFSET(Data!E2220,0,MATCH('Delta Beta'!$C$5,Data!$B$4:$Q$4,0)-1),#N/A)-$C$8/250</f>
        <v>#N/A</v>
      </c>
      <c r="N2217" s="395"/>
      <c r="R2217" s="391"/>
    </row>
    <row r="2218" spans="12:18">
      <c r="L2218" s="394" t="e">
        <f ca="1">IF(NOT(OFFSET(Data!E2221,0,MATCH('Delta Beta'!$C$5,Data!$B$4:$Q$4,0)-3)=""),OFFSET(Data!E2221,0,MATCH('Delta Beta'!$C$5,Data!$B$4:$Q$4,0)-3),#N/A)-$C$8/250</f>
        <v>#N/A</v>
      </c>
      <c r="M2218" s="394" t="e">
        <f ca="1">IF(NOT(OFFSET(Data!E2221,0,MATCH('Delta Beta'!$C$5,Data!$B$4:$Q$4,0)-1)=""),OFFSET(Data!E2221,0,MATCH('Delta Beta'!$C$5,Data!$B$4:$Q$4,0)-1),#N/A)-$C$8/250</f>
        <v>#N/A</v>
      </c>
      <c r="N2218" s="395"/>
      <c r="R2218" s="391"/>
    </row>
    <row r="2219" spans="12:18">
      <c r="L2219" s="394" t="e">
        <f ca="1">IF(NOT(OFFSET(Data!E2222,0,MATCH('Delta Beta'!$C$5,Data!$B$4:$Q$4,0)-3)=""),OFFSET(Data!E2222,0,MATCH('Delta Beta'!$C$5,Data!$B$4:$Q$4,0)-3),#N/A)-$C$8/250</f>
        <v>#N/A</v>
      </c>
      <c r="M2219" s="394" t="e">
        <f ca="1">IF(NOT(OFFSET(Data!E2222,0,MATCH('Delta Beta'!$C$5,Data!$B$4:$Q$4,0)-1)=""),OFFSET(Data!E2222,0,MATCH('Delta Beta'!$C$5,Data!$B$4:$Q$4,0)-1),#N/A)-$C$8/250</f>
        <v>#N/A</v>
      </c>
      <c r="N2219" s="395"/>
      <c r="R2219" s="391"/>
    </row>
    <row r="2220" spans="12:18">
      <c r="L2220" s="394" t="e">
        <f ca="1">IF(NOT(OFFSET(Data!E2223,0,MATCH('Delta Beta'!$C$5,Data!$B$4:$Q$4,0)-3)=""),OFFSET(Data!E2223,0,MATCH('Delta Beta'!$C$5,Data!$B$4:$Q$4,0)-3),#N/A)-$C$8/250</f>
        <v>#N/A</v>
      </c>
      <c r="M2220" s="394" t="e">
        <f ca="1">IF(NOT(OFFSET(Data!E2223,0,MATCH('Delta Beta'!$C$5,Data!$B$4:$Q$4,0)-1)=""),OFFSET(Data!E2223,0,MATCH('Delta Beta'!$C$5,Data!$B$4:$Q$4,0)-1),#N/A)-$C$8/250</f>
        <v>#N/A</v>
      </c>
      <c r="N2220" s="395"/>
      <c r="R2220" s="391"/>
    </row>
    <row r="2221" spans="12:18">
      <c r="L2221" s="394" t="e">
        <f ca="1">IF(NOT(OFFSET(Data!E2224,0,MATCH('Delta Beta'!$C$5,Data!$B$4:$Q$4,0)-3)=""),OFFSET(Data!E2224,0,MATCH('Delta Beta'!$C$5,Data!$B$4:$Q$4,0)-3),#N/A)-$C$8/250</f>
        <v>#N/A</v>
      </c>
      <c r="M2221" s="394" t="e">
        <f ca="1">IF(NOT(OFFSET(Data!E2224,0,MATCH('Delta Beta'!$C$5,Data!$B$4:$Q$4,0)-1)=""),OFFSET(Data!E2224,0,MATCH('Delta Beta'!$C$5,Data!$B$4:$Q$4,0)-1),#N/A)-$C$8/250</f>
        <v>#N/A</v>
      </c>
      <c r="N2221" s="395"/>
      <c r="R2221" s="391"/>
    </row>
    <row r="2222" spans="12:18">
      <c r="L2222" s="394" t="e">
        <f ca="1">IF(NOT(OFFSET(Data!E2225,0,MATCH('Delta Beta'!$C$5,Data!$B$4:$Q$4,0)-3)=""),OFFSET(Data!E2225,0,MATCH('Delta Beta'!$C$5,Data!$B$4:$Q$4,0)-3),#N/A)-$C$8/250</f>
        <v>#N/A</v>
      </c>
      <c r="M2222" s="394" t="e">
        <f ca="1">IF(NOT(OFFSET(Data!E2225,0,MATCH('Delta Beta'!$C$5,Data!$B$4:$Q$4,0)-1)=""),OFFSET(Data!E2225,0,MATCH('Delta Beta'!$C$5,Data!$B$4:$Q$4,0)-1),#N/A)-$C$8/250</f>
        <v>#N/A</v>
      </c>
      <c r="N2222" s="395"/>
      <c r="R2222" s="391"/>
    </row>
    <row r="2223" spans="12:18">
      <c r="L2223" s="394" t="e">
        <f ca="1">IF(NOT(OFFSET(Data!E2226,0,MATCH('Delta Beta'!$C$5,Data!$B$4:$Q$4,0)-3)=""),OFFSET(Data!E2226,0,MATCH('Delta Beta'!$C$5,Data!$B$4:$Q$4,0)-3),#N/A)-$C$8/250</f>
        <v>#N/A</v>
      </c>
      <c r="M2223" s="394" t="e">
        <f ca="1">IF(NOT(OFFSET(Data!E2226,0,MATCH('Delta Beta'!$C$5,Data!$B$4:$Q$4,0)-1)=""),OFFSET(Data!E2226,0,MATCH('Delta Beta'!$C$5,Data!$B$4:$Q$4,0)-1),#N/A)-$C$8/250</f>
        <v>#N/A</v>
      </c>
      <c r="N2223" s="395"/>
      <c r="R2223" s="391"/>
    </row>
    <row r="2224" spans="12:18">
      <c r="L2224" s="394" t="e">
        <f ca="1">IF(NOT(OFFSET(Data!E2227,0,MATCH('Delta Beta'!$C$5,Data!$B$4:$Q$4,0)-3)=""),OFFSET(Data!E2227,0,MATCH('Delta Beta'!$C$5,Data!$B$4:$Q$4,0)-3),#N/A)-$C$8/250</f>
        <v>#N/A</v>
      </c>
      <c r="M2224" s="394" t="e">
        <f ca="1">IF(NOT(OFFSET(Data!E2227,0,MATCH('Delta Beta'!$C$5,Data!$B$4:$Q$4,0)-1)=""),OFFSET(Data!E2227,0,MATCH('Delta Beta'!$C$5,Data!$B$4:$Q$4,0)-1),#N/A)-$C$8/250</f>
        <v>#N/A</v>
      </c>
      <c r="N2224" s="395"/>
      <c r="R2224" s="391"/>
    </row>
    <row r="2225" spans="12:18">
      <c r="L2225" s="394" t="e">
        <f ca="1">IF(NOT(OFFSET(Data!E2228,0,MATCH('Delta Beta'!$C$5,Data!$B$4:$Q$4,0)-3)=""),OFFSET(Data!E2228,0,MATCH('Delta Beta'!$C$5,Data!$B$4:$Q$4,0)-3),#N/A)-$C$8/250</f>
        <v>#N/A</v>
      </c>
      <c r="M2225" s="394" t="e">
        <f ca="1">IF(NOT(OFFSET(Data!E2228,0,MATCH('Delta Beta'!$C$5,Data!$B$4:$Q$4,0)-1)=""),OFFSET(Data!E2228,0,MATCH('Delta Beta'!$C$5,Data!$B$4:$Q$4,0)-1),#N/A)-$C$8/250</f>
        <v>#N/A</v>
      </c>
      <c r="N2225" s="395"/>
      <c r="R2225" s="391"/>
    </row>
    <row r="2226" spans="12:18">
      <c r="L2226" s="394" t="e">
        <f ca="1">IF(NOT(OFFSET(Data!E2229,0,MATCH('Delta Beta'!$C$5,Data!$B$4:$Q$4,0)-3)=""),OFFSET(Data!E2229,0,MATCH('Delta Beta'!$C$5,Data!$B$4:$Q$4,0)-3),#N/A)-$C$8/250</f>
        <v>#N/A</v>
      </c>
      <c r="M2226" s="394" t="e">
        <f ca="1">IF(NOT(OFFSET(Data!E2229,0,MATCH('Delta Beta'!$C$5,Data!$B$4:$Q$4,0)-1)=""),OFFSET(Data!E2229,0,MATCH('Delta Beta'!$C$5,Data!$B$4:$Q$4,0)-1),#N/A)-$C$8/250</f>
        <v>#N/A</v>
      </c>
      <c r="N2226" s="395"/>
      <c r="R2226" s="391"/>
    </row>
    <row r="2227" spans="12:18">
      <c r="L2227" s="394" t="e">
        <f ca="1">IF(NOT(OFFSET(Data!E2230,0,MATCH('Delta Beta'!$C$5,Data!$B$4:$Q$4,0)-3)=""),OFFSET(Data!E2230,0,MATCH('Delta Beta'!$C$5,Data!$B$4:$Q$4,0)-3),#N/A)-$C$8/250</f>
        <v>#N/A</v>
      </c>
      <c r="M2227" s="394" t="e">
        <f ca="1">IF(NOT(OFFSET(Data!E2230,0,MATCH('Delta Beta'!$C$5,Data!$B$4:$Q$4,0)-1)=""),OFFSET(Data!E2230,0,MATCH('Delta Beta'!$C$5,Data!$B$4:$Q$4,0)-1),#N/A)-$C$8/250</f>
        <v>#N/A</v>
      </c>
      <c r="N2227" s="395"/>
      <c r="R2227" s="391"/>
    </row>
    <row r="2228" spans="12:18">
      <c r="L2228" s="394" t="e">
        <f ca="1">IF(NOT(OFFSET(Data!E2231,0,MATCH('Delta Beta'!$C$5,Data!$B$4:$Q$4,0)-3)=""),OFFSET(Data!E2231,0,MATCH('Delta Beta'!$C$5,Data!$B$4:$Q$4,0)-3),#N/A)-$C$8/250</f>
        <v>#N/A</v>
      </c>
      <c r="M2228" s="394" t="e">
        <f ca="1">IF(NOT(OFFSET(Data!E2231,0,MATCH('Delta Beta'!$C$5,Data!$B$4:$Q$4,0)-1)=""),OFFSET(Data!E2231,0,MATCH('Delta Beta'!$C$5,Data!$B$4:$Q$4,0)-1),#N/A)-$C$8/250</f>
        <v>#N/A</v>
      </c>
      <c r="N2228" s="395"/>
      <c r="R2228" s="391"/>
    </row>
    <row r="2229" spans="12:18">
      <c r="L2229" s="394" t="e">
        <f ca="1">IF(NOT(OFFSET(Data!E2232,0,MATCH('Delta Beta'!$C$5,Data!$B$4:$Q$4,0)-3)=""),OFFSET(Data!E2232,0,MATCH('Delta Beta'!$C$5,Data!$B$4:$Q$4,0)-3),#N/A)-$C$8/250</f>
        <v>#N/A</v>
      </c>
      <c r="M2229" s="394" t="e">
        <f ca="1">IF(NOT(OFFSET(Data!E2232,0,MATCH('Delta Beta'!$C$5,Data!$B$4:$Q$4,0)-1)=""),OFFSET(Data!E2232,0,MATCH('Delta Beta'!$C$5,Data!$B$4:$Q$4,0)-1),#N/A)-$C$8/250</f>
        <v>#N/A</v>
      </c>
      <c r="N2229" s="395"/>
      <c r="R2229" s="391"/>
    </row>
    <row r="2230" spans="12:18">
      <c r="L2230" s="394" t="e">
        <f ca="1">IF(NOT(OFFSET(Data!E2233,0,MATCH('Delta Beta'!$C$5,Data!$B$4:$Q$4,0)-3)=""),OFFSET(Data!E2233,0,MATCH('Delta Beta'!$C$5,Data!$B$4:$Q$4,0)-3),#N/A)-$C$8/250</f>
        <v>#N/A</v>
      </c>
      <c r="M2230" s="394" t="e">
        <f ca="1">IF(NOT(OFFSET(Data!E2233,0,MATCH('Delta Beta'!$C$5,Data!$B$4:$Q$4,0)-1)=""),OFFSET(Data!E2233,0,MATCH('Delta Beta'!$C$5,Data!$B$4:$Q$4,0)-1),#N/A)-$C$8/250</f>
        <v>#N/A</v>
      </c>
      <c r="N2230" s="395"/>
      <c r="R2230" s="391"/>
    </row>
    <row r="2231" spans="12:18">
      <c r="L2231" s="394" t="e">
        <f ca="1">IF(NOT(OFFSET(Data!E2234,0,MATCH('Delta Beta'!$C$5,Data!$B$4:$Q$4,0)-3)=""),OFFSET(Data!E2234,0,MATCH('Delta Beta'!$C$5,Data!$B$4:$Q$4,0)-3),#N/A)-$C$8/250</f>
        <v>#N/A</v>
      </c>
      <c r="M2231" s="394" t="e">
        <f ca="1">IF(NOT(OFFSET(Data!E2234,0,MATCH('Delta Beta'!$C$5,Data!$B$4:$Q$4,0)-1)=""),OFFSET(Data!E2234,0,MATCH('Delta Beta'!$C$5,Data!$B$4:$Q$4,0)-1),#N/A)-$C$8/250</f>
        <v>#N/A</v>
      </c>
      <c r="N2231" s="395"/>
      <c r="R2231" s="391"/>
    </row>
    <row r="2232" spans="12:18">
      <c r="L2232" s="394" t="e">
        <f ca="1">IF(NOT(OFFSET(Data!E2235,0,MATCH('Delta Beta'!$C$5,Data!$B$4:$Q$4,0)-3)=""),OFFSET(Data!E2235,0,MATCH('Delta Beta'!$C$5,Data!$B$4:$Q$4,0)-3),#N/A)-$C$8/250</f>
        <v>#N/A</v>
      </c>
      <c r="M2232" s="394" t="e">
        <f ca="1">IF(NOT(OFFSET(Data!E2235,0,MATCH('Delta Beta'!$C$5,Data!$B$4:$Q$4,0)-1)=""),OFFSET(Data!E2235,0,MATCH('Delta Beta'!$C$5,Data!$B$4:$Q$4,0)-1),#N/A)-$C$8/250</f>
        <v>#N/A</v>
      </c>
      <c r="N2232" s="395"/>
      <c r="R2232" s="391"/>
    </row>
    <row r="2233" spans="12:18">
      <c r="L2233" s="394" t="e">
        <f ca="1">IF(NOT(OFFSET(Data!E2236,0,MATCH('Delta Beta'!$C$5,Data!$B$4:$Q$4,0)-3)=""),OFFSET(Data!E2236,0,MATCH('Delta Beta'!$C$5,Data!$B$4:$Q$4,0)-3),#N/A)-$C$8/250</f>
        <v>#N/A</v>
      </c>
      <c r="M2233" s="394" t="e">
        <f ca="1">IF(NOT(OFFSET(Data!E2236,0,MATCH('Delta Beta'!$C$5,Data!$B$4:$Q$4,0)-1)=""),OFFSET(Data!E2236,0,MATCH('Delta Beta'!$C$5,Data!$B$4:$Q$4,0)-1),#N/A)-$C$8/250</f>
        <v>#N/A</v>
      </c>
      <c r="N2233" s="395"/>
      <c r="R2233" s="391"/>
    </row>
    <row r="2234" spans="12:18">
      <c r="L2234" s="394" t="e">
        <f ca="1">IF(NOT(OFFSET(Data!E2237,0,MATCH('Delta Beta'!$C$5,Data!$B$4:$Q$4,0)-3)=""),OFFSET(Data!E2237,0,MATCH('Delta Beta'!$C$5,Data!$B$4:$Q$4,0)-3),#N/A)-$C$8/250</f>
        <v>#N/A</v>
      </c>
      <c r="M2234" s="394" t="e">
        <f ca="1">IF(NOT(OFFSET(Data!E2237,0,MATCH('Delta Beta'!$C$5,Data!$B$4:$Q$4,0)-1)=""),OFFSET(Data!E2237,0,MATCH('Delta Beta'!$C$5,Data!$B$4:$Q$4,0)-1),#N/A)-$C$8/250</f>
        <v>#N/A</v>
      </c>
      <c r="N2234" s="395"/>
      <c r="R2234" s="391"/>
    </row>
    <row r="2235" spans="12:18">
      <c r="L2235" s="394" t="e">
        <f ca="1">IF(NOT(OFFSET(Data!E2238,0,MATCH('Delta Beta'!$C$5,Data!$B$4:$Q$4,0)-3)=""),OFFSET(Data!E2238,0,MATCH('Delta Beta'!$C$5,Data!$B$4:$Q$4,0)-3),#N/A)-$C$8/250</f>
        <v>#N/A</v>
      </c>
      <c r="M2235" s="394" t="e">
        <f ca="1">IF(NOT(OFFSET(Data!E2238,0,MATCH('Delta Beta'!$C$5,Data!$B$4:$Q$4,0)-1)=""),OFFSET(Data!E2238,0,MATCH('Delta Beta'!$C$5,Data!$B$4:$Q$4,0)-1),#N/A)-$C$8/250</f>
        <v>#N/A</v>
      </c>
      <c r="N2235" s="395"/>
      <c r="R2235" s="391"/>
    </row>
    <row r="2236" spans="12:18">
      <c r="L2236" s="394" t="e">
        <f ca="1">IF(NOT(OFFSET(Data!E2239,0,MATCH('Delta Beta'!$C$5,Data!$B$4:$Q$4,0)-3)=""),OFFSET(Data!E2239,0,MATCH('Delta Beta'!$C$5,Data!$B$4:$Q$4,0)-3),#N/A)-$C$8/250</f>
        <v>#N/A</v>
      </c>
      <c r="M2236" s="394" t="e">
        <f ca="1">IF(NOT(OFFSET(Data!E2239,0,MATCH('Delta Beta'!$C$5,Data!$B$4:$Q$4,0)-1)=""),OFFSET(Data!E2239,0,MATCH('Delta Beta'!$C$5,Data!$B$4:$Q$4,0)-1),#N/A)-$C$8/250</f>
        <v>#N/A</v>
      </c>
      <c r="N2236" s="395"/>
      <c r="R2236" s="391"/>
    </row>
    <row r="2237" spans="12:18">
      <c r="L2237" s="394" t="e">
        <f ca="1">IF(NOT(OFFSET(Data!E2240,0,MATCH('Delta Beta'!$C$5,Data!$B$4:$Q$4,0)-3)=""),OFFSET(Data!E2240,0,MATCH('Delta Beta'!$C$5,Data!$B$4:$Q$4,0)-3),#N/A)-$C$8/250</f>
        <v>#N/A</v>
      </c>
      <c r="M2237" s="394" t="e">
        <f ca="1">IF(NOT(OFFSET(Data!E2240,0,MATCH('Delta Beta'!$C$5,Data!$B$4:$Q$4,0)-1)=""),OFFSET(Data!E2240,0,MATCH('Delta Beta'!$C$5,Data!$B$4:$Q$4,0)-1),#N/A)-$C$8/250</f>
        <v>#N/A</v>
      </c>
      <c r="N2237" s="395"/>
      <c r="R2237" s="391"/>
    </row>
    <row r="2238" spans="12:18">
      <c r="L2238" s="394" t="e">
        <f ca="1">IF(NOT(OFFSET(Data!E2241,0,MATCH('Delta Beta'!$C$5,Data!$B$4:$Q$4,0)-3)=""),OFFSET(Data!E2241,0,MATCH('Delta Beta'!$C$5,Data!$B$4:$Q$4,0)-3),#N/A)-$C$8/250</f>
        <v>#N/A</v>
      </c>
      <c r="M2238" s="394" t="e">
        <f ca="1">IF(NOT(OFFSET(Data!E2241,0,MATCH('Delta Beta'!$C$5,Data!$B$4:$Q$4,0)-1)=""),OFFSET(Data!E2241,0,MATCH('Delta Beta'!$C$5,Data!$B$4:$Q$4,0)-1),#N/A)-$C$8/250</f>
        <v>#N/A</v>
      </c>
      <c r="N2238" s="395"/>
      <c r="R2238" s="391"/>
    </row>
    <row r="2239" spans="12:18">
      <c r="L2239" s="394" t="e">
        <f ca="1">IF(NOT(OFFSET(Data!E2242,0,MATCH('Delta Beta'!$C$5,Data!$B$4:$Q$4,0)-3)=""),OFFSET(Data!E2242,0,MATCH('Delta Beta'!$C$5,Data!$B$4:$Q$4,0)-3),#N/A)-$C$8/250</f>
        <v>#N/A</v>
      </c>
      <c r="M2239" s="394" t="e">
        <f ca="1">IF(NOT(OFFSET(Data!E2242,0,MATCH('Delta Beta'!$C$5,Data!$B$4:$Q$4,0)-1)=""),OFFSET(Data!E2242,0,MATCH('Delta Beta'!$C$5,Data!$B$4:$Q$4,0)-1),#N/A)-$C$8/250</f>
        <v>#N/A</v>
      </c>
      <c r="N2239" s="395"/>
      <c r="R2239" s="391"/>
    </row>
    <row r="2240" spans="12:18">
      <c r="L2240" s="394" t="e">
        <f ca="1">IF(NOT(OFFSET(Data!E2243,0,MATCH('Delta Beta'!$C$5,Data!$B$4:$Q$4,0)-3)=""),OFFSET(Data!E2243,0,MATCH('Delta Beta'!$C$5,Data!$B$4:$Q$4,0)-3),#N/A)-$C$8/250</f>
        <v>#N/A</v>
      </c>
      <c r="M2240" s="394" t="e">
        <f ca="1">IF(NOT(OFFSET(Data!E2243,0,MATCH('Delta Beta'!$C$5,Data!$B$4:$Q$4,0)-1)=""),OFFSET(Data!E2243,0,MATCH('Delta Beta'!$C$5,Data!$B$4:$Q$4,0)-1),#N/A)-$C$8/250</f>
        <v>#N/A</v>
      </c>
      <c r="N2240" s="395"/>
      <c r="R2240" s="391"/>
    </row>
    <row r="2241" spans="12:18">
      <c r="L2241" s="394" t="e">
        <f ca="1">IF(NOT(OFFSET(Data!E2244,0,MATCH('Delta Beta'!$C$5,Data!$B$4:$Q$4,0)-3)=""),OFFSET(Data!E2244,0,MATCH('Delta Beta'!$C$5,Data!$B$4:$Q$4,0)-3),#N/A)-$C$8/250</f>
        <v>#N/A</v>
      </c>
      <c r="M2241" s="394" t="e">
        <f ca="1">IF(NOT(OFFSET(Data!E2244,0,MATCH('Delta Beta'!$C$5,Data!$B$4:$Q$4,0)-1)=""),OFFSET(Data!E2244,0,MATCH('Delta Beta'!$C$5,Data!$B$4:$Q$4,0)-1),#N/A)-$C$8/250</f>
        <v>#N/A</v>
      </c>
      <c r="N2241" s="395"/>
      <c r="R2241" s="391"/>
    </row>
    <row r="2242" spans="12:18">
      <c r="L2242" s="394" t="e">
        <f ca="1">IF(NOT(OFFSET(Data!E2245,0,MATCH('Delta Beta'!$C$5,Data!$B$4:$Q$4,0)-3)=""),OFFSET(Data!E2245,0,MATCH('Delta Beta'!$C$5,Data!$B$4:$Q$4,0)-3),#N/A)-$C$8/250</f>
        <v>#N/A</v>
      </c>
      <c r="M2242" s="394" t="e">
        <f ca="1">IF(NOT(OFFSET(Data!E2245,0,MATCH('Delta Beta'!$C$5,Data!$B$4:$Q$4,0)-1)=""),OFFSET(Data!E2245,0,MATCH('Delta Beta'!$C$5,Data!$B$4:$Q$4,0)-1),#N/A)-$C$8/250</f>
        <v>#N/A</v>
      </c>
      <c r="N2242" s="395"/>
      <c r="R2242" s="391"/>
    </row>
    <row r="2243" spans="12:18">
      <c r="L2243" s="394" t="e">
        <f ca="1">IF(NOT(OFFSET(Data!E2246,0,MATCH('Delta Beta'!$C$5,Data!$B$4:$Q$4,0)-3)=""),OFFSET(Data!E2246,0,MATCH('Delta Beta'!$C$5,Data!$B$4:$Q$4,0)-3),#N/A)-$C$8/250</f>
        <v>#N/A</v>
      </c>
      <c r="M2243" s="394" t="e">
        <f ca="1">IF(NOT(OFFSET(Data!E2246,0,MATCH('Delta Beta'!$C$5,Data!$B$4:$Q$4,0)-1)=""),OFFSET(Data!E2246,0,MATCH('Delta Beta'!$C$5,Data!$B$4:$Q$4,0)-1),#N/A)-$C$8/250</f>
        <v>#N/A</v>
      </c>
      <c r="N2243" s="395"/>
      <c r="R2243" s="391"/>
    </row>
    <row r="2244" spans="12:18">
      <c r="L2244" s="394" t="e">
        <f ca="1">IF(NOT(OFFSET(Data!E2247,0,MATCH('Delta Beta'!$C$5,Data!$B$4:$Q$4,0)-3)=""),OFFSET(Data!E2247,0,MATCH('Delta Beta'!$C$5,Data!$B$4:$Q$4,0)-3),#N/A)-$C$8/250</f>
        <v>#N/A</v>
      </c>
      <c r="M2244" s="394" t="e">
        <f ca="1">IF(NOT(OFFSET(Data!E2247,0,MATCH('Delta Beta'!$C$5,Data!$B$4:$Q$4,0)-1)=""),OFFSET(Data!E2247,0,MATCH('Delta Beta'!$C$5,Data!$B$4:$Q$4,0)-1),#N/A)-$C$8/250</f>
        <v>#N/A</v>
      </c>
      <c r="N2244" s="395"/>
      <c r="R2244" s="391"/>
    </row>
    <row r="2245" spans="12:18">
      <c r="L2245" s="394" t="e">
        <f ca="1">IF(NOT(OFFSET(Data!E2248,0,MATCH('Delta Beta'!$C$5,Data!$B$4:$Q$4,0)-3)=""),OFFSET(Data!E2248,0,MATCH('Delta Beta'!$C$5,Data!$B$4:$Q$4,0)-3),#N/A)-$C$8/250</f>
        <v>#N/A</v>
      </c>
      <c r="M2245" s="394" t="e">
        <f ca="1">IF(NOT(OFFSET(Data!E2248,0,MATCH('Delta Beta'!$C$5,Data!$B$4:$Q$4,0)-1)=""),OFFSET(Data!E2248,0,MATCH('Delta Beta'!$C$5,Data!$B$4:$Q$4,0)-1),#N/A)-$C$8/250</f>
        <v>#N/A</v>
      </c>
      <c r="N2245" s="395"/>
      <c r="R2245" s="391"/>
    </row>
    <row r="2246" spans="12:18">
      <c r="L2246" s="394" t="e">
        <f ca="1">IF(NOT(OFFSET(Data!E2249,0,MATCH('Delta Beta'!$C$5,Data!$B$4:$Q$4,0)-3)=""),OFFSET(Data!E2249,0,MATCH('Delta Beta'!$C$5,Data!$B$4:$Q$4,0)-3),#N/A)-$C$8/250</f>
        <v>#N/A</v>
      </c>
      <c r="M2246" s="394" t="e">
        <f ca="1">IF(NOT(OFFSET(Data!E2249,0,MATCH('Delta Beta'!$C$5,Data!$B$4:$Q$4,0)-1)=""),OFFSET(Data!E2249,0,MATCH('Delta Beta'!$C$5,Data!$B$4:$Q$4,0)-1),#N/A)-$C$8/250</f>
        <v>#N/A</v>
      </c>
      <c r="N2246" s="395"/>
      <c r="R2246" s="391"/>
    </row>
    <row r="2247" spans="12:18">
      <c r="L2247" s="394" t="e">
        <f ca="1">IF(NOT(OFFSET(Data!E2250,0,MATCH('Delta Beta'!$C$5,Data!$B$4:$Q$4,0)-3)=""),OFFSET(Data!E2250,0,MATCH('Delta Beta'!$C$5,Data!$B$4:$Q$4,0)-3),#N/A)-$C$8/250</f>
        <v>#N/A</v>
      </c>
      <c r="M2247" s="394" t="e">
        <f ca="1">IF(NOT(OFFSET(Data!E2250,0,MATCH('Delta Beta'!$C$5,Data!$B$4:$Q$4,0)-1)=""),OFFSET(Data!E2250,0,MATCH('Delta Beta'!$C$5,Data!$B$4:$Q$4,0)-1),#N/A)-$C$8/250</f>
        <v>#N/A</v>
      </c>
      <c r="N2247" s="395"/>
      <c r="R2247" s="391"/>
    </row>
    <row r="2248" spans="12:18">
      <c r="L2248" s="394" t="e">
        <f ca="1">IF(NOT(OFFSET(Data!E2251,0,MATCH('Delta Beta'!$C$5,Data!$B$4:$Q$4,0)-3)=""),OFFSET(Data!E2251,0,MATCH('Delta Beta'!$C$5,Data!$B$4:$Q$4,0)-3),#N/A)-$C$8/250</f>
        <v>#N/A</v>
      </c>
      <c r="M2248" s="394" t="e">
        <f ca="1">IF(NOT(OFFSET(Data!E2251,0,MATCH('Delta Beta'!$C$5,Data!$B$4:$Q$4,0)-1)=""),OFFSET(Data!E2251,0,MATCH('Delta Beta'!$C$5,Data!$B$4:$Q$4,0)-1),#N/A)-$C$8/250</f>
        <v>#N/A</v>
      </c>
      <c r="N2248" s="395"/>
      <c r="R2248" s="391"/>
    </row>
    <row r="2249" spans="12:18">
      <c r="L2249" s="394" t="e">
        <f ca="1">IF(NOT(OFFSET(Data!E2252,0,MATCH('Delta Beta'!$C$5,Data!$B$4:$Q$4,0)-3)=""),OFFSET(Data!E2252,0,MATCH('Delta Beta'!$C$5,Data!$B$4:$Q$4,0)-3),#N/A)-$C$8/250</f>
        <v>#N/A</v>
      </c>
      <c r="M2249" s="394" t="e">
        <f ca="1">IF(NOT(OFFSET(Data!E2252,0,MATCH('Delta Beta'!$C$5,Data!$B$4:$Q$4,0)-1)=""),OFFSET(Data!E2252,0,MATCH('Delta Beta'!$C$5,Data!$B$4:$Q$4,0)-1),#N/A)-$C$8/250</f>
        <v>#N/A</v>
      </c>
      <c r="N2249" s="395"/>
      <c r="R2249" s="391"/>
    </row>
    <row r="2250" spans="12:18">
      <c r="L2250" s="394" t="e">
        <f ca="1">IF(NOT(OFFSET(Data!E2253,0,MATCH('Delta Beta'!$C$5,Data!$B$4:$Q$4,0)-3)=""),OFFSET(Data!E2253,0,MATCH('Delta Beta'!$C$5,Data!$B$4:$Q$4,0)-3),#N/A)-$C$8/250</f>
        <v>#N/A</v>
      </c>
      <c r="M2250" s="394" t="e">
        <f ca="1">IF(NOT(OFFSET(Data!E2253,0,MATCH('Delta Beta'!$C$5,Data!$B$4:$Q$4,0)-1)=""),OFFSET(Data!E2253,0,MATCH('Delta Beta'!$C$5,Data!$B$4:$Q$4,0)-1),#N/A)-$C$8/250</f>
        <v>#N/A</v>
      </c>
      <c r="N2250" s="395"/>
      <c r="R2250" s="391"/>
    </row>
    <row r="2251" spans="12:18">
      <c r="L2251" s="394" t="e">
        <f ca="1">IF(NOT(OFFSET(Data!E2254,0,MATCH('Delta Beta'!$C$5,Data!$B$4:$Q$4,0)-3)=""),OFFSET(Data!E2254,0,MATCH('Delta Beta'!$C$5,Data!$B$4:$Q$4,0)-3),#N/A)-$C$8/250</f>
        <v>#N/A</v>
      </c>
      <c r="M2251" s="394" t="e">
        <f ca="1">IF(NOT(OFFSET(Data!E2254,0,MATCH('Delta Beta'!$C$5,Data!$B$4:$Q$4,0)-1)=""),OFFSET(Data!E2254,0,MATCH('Delta Beta'!$C$5,Data!$B$4:$Q$4,0)-1),#N/A)-$C$8/250</f>
        <v>#N/A</v>
      </c>
      <c r="N2251" s="395"/>
      <c r="R2251" s="391"/>
    </row>
    <row r="2252" spans="12:18">
      <c r="L2252" s="394" t="e">
        <f ca="1">IF(NOT(OFFSET(Data!E2255,0,MATCH('Delta Beta'!$C$5,Data!$B$4:$Q$4,0)-3)=""),OFFSET(Data!E2255,0,MATCH('Delta Beta'!$C$5,Data!$B$4:$Q$4,0)-3),#N/A)-$C$8/250</f>
        <v>#N/A</v>
      </c>
      <c r="M2252" s="394" t="e">
        <f ca="1">IF(NOT(OFFSET(Data!E2255,0,MATCH('Delta Beta'!$C$5,Data!$B$4:$Q$4,0)-1)=""),OFFSET(Data!E2255,0,MATCH('Delta Beta'!$C$5,Data!$B$4:$Q$4,0)-1),#N/A)-$C$8/250</f>
        <v>#N/A</v>
      </c>
      <c r="N2252" s="395"/>
      <c r="R2252" s="391"/>
    </row>
    <row r="2253" spans="12:18">
      <c r="L2253" s="394" t="e">
        <f ca="1">IF(NOT(OFFSET(Data!E2256,0,MATCH('Delta Beta'!$C$5,Data!$B$4:$Q$4,0)-3)=""),OFFSET(Data!E2256,0,MATCH('Delta Beta'!$C$5,Data!$B$4:$Q$4,0)-3),#N/A)-$C$8/250</f>
        <v>#N/A</v>
      </c>
      <c r="M2253" s="394" t="e">
        <f ca="1">IF(NOT(OFFSET(Data!E2256,0,MATCH('Delta Beta'!$C$5,Data!$B$4:$Q$4,0)-1)=""),OFFSET(Data!E2256,0,MATCH('Delta Beta'!$C$5,Data!$B$4:$Q$4,0)-1),#N/A)-$C$8/250</f>
        <v>#N/A</v>
      </c>
      <c r="N2253" s="395"/>
      <c r="R2253" s="391"/>
    </row>
    <row r="2254" spans="12:18">
      <c r="L2254" s="394" t="e">
        <f ca="1">IF(NOT(OFFSET(Data!E2257,0,MATCH('Delta Beta'!$C$5,Data!$B$4:$Q$4,0)-3)=""),OFFSET(Data!E2257,0,MATCH('Delta Beta'!$C$5,Data!$B$4:$Q$4,0)-3),#N/A)-$C$8/250</f>
        <v>#N/A</v>
      </c>
      <c r="M2254" s="394" t="e">
        <f ca="1">IF(NOT(OFFSET(Data!E2257,0,MATCH('Delta Beta'!$C$5,Data!$B$4:$Q$4,0)-1)=""),OFFSET(Data!E2257,0,MATCH('Delta Beta'!$C$5,Data!$B$4:$Q$4,0)-1),#N/A)-$C$8/250</f>
        <v>#N/A</v>
      </c>
      <c r="N2254" s="395"/>
      <c r="R2254" s="391"/>
    </row>
    <row r="2255" spans="12:18">
      <c r="L2255" s="394" t="e">
        <f ca="1">IF(NOT(OFFSET(Data!E2258,0,MATCH('Delta Beta'!$C$5,Data!$B$4:$Q$4,0)-3)=""),OFFSET(Data!E2258,0,MATCH('Delta Beta'!$C$5,Data!$B$4:$Q$4,0)-3),#N/A)-$C$8/250</f>
        <v>#N/A</v>
      </c>
      <c r="M2255" s="394" t="e">
        <f ca="1">IF(NOT(OFFSET(Data!E2258,0,MATCH('Delta Beta'!$C$5,Data!$B$4:$Q$4,0)-1)=""),OFFSET(Data!E2258,0,MATCH('Delta Beta'!$C$5,Data!$B$4:$Q$4,0)-1),#N/A)-$C$8/250</f>
        <v>#N/A</v>
      </c>
      <c r="N2255" s="395"/>
      <c r="R2255" s="391"/>
    </row>
    <row r="2256" spans="12:18">
      <c r="L2256" s="394" t="e">
        <f ca="1">IF(NOT(OFFSET(Data!E2259,0,MATCH('Delta Beta'!$C$5,Data!$B$4:$Q$4,0)-3)=""),OFFSET(Data!E2259,0,MATCH('Delta Beta'!$C$5,Data!$B$4:$Q$4,0)-3),#N/A)-$C$8/250</f>
        <v>#N/A</v>
      </c>
      <c r="M2256" s="394" t="e">
        <f ca="1">IF(NOT(OFFSET(Data!E2259,0,MATCH('Delta Beta'!$C$5,Data!$B$4:$Q$4,0)-1)=""),OFFSET(Data!E2259,0,MATCH('Delta Beta'!$C$5,Data!$B$4:$Q$4,0)-1),#N/A)-$C$8/250</f>
        <v>#N/A</v>
      </c>
      <c r="N2256" s="395"/>
      <c r="R2256" s="391"/>
    </row>
    <row r="2257" spans="12:18">
      <c r="L2257" s="394" t="e">
        <f ca="1">IF(NOT(OFFSET(Data!E2260,0,MATCH('Delta Beta'!$C$5,Data!$B$4:$Q$4,0)-3)=""),OFFSET(Data!E2260,0,MATCH('Delta Beta'!$C$5,Data!$B$4:$Q$4,0)-3),#N/A)-$C$8/250</f>
        <v>#N/A</v>
      </c>
      <c r="M2257" s="394" t="e">
        <f ca="1">IF(NOT(OFFSET(Data!E2260,0,MATCH('Delta Beta'!$C$5,Data!$B$4:$Q$4,0)-1)=""),OFFSET(Data!E2260,0,MATCH('Delta Beta'!$C$5,Data!$B$4:$Q$4,0)-1),#N/A)-$C$8/250</f>
        <v>#N/A</v>
      </c>
      <c r="N2257" s="395"/>
      <c r="R2257" s="391"/>
    </row>
    <row r="2258" spans="12:18">
      <c r="L2258" s="394" t="e">
        <f ca="1">IF(NOT(OFFSET(Data!E2261,0,MATCH('Delta Beta'!$C$5,Data!$B$4:$Q$4,0)-3)=""),OFFSET(Data!E2261,0,MATCH('Delta Beta'!$C$5,Data!$B$4:$Q$4,0)-3),#N/A)-$C$8/250</f>
        <v>#N/A</v>
      </c>
      <c r="M2258" s="394" t="e">
        <f ca="1">IF(NOT(OFFSET(Data!E2261,0,MATCH('Delta Beta'!$C$5,Data!$B$4:$Q$4,0)-1)=""),OFFSET(Data!E2261,0,MATCH('Delta Beta'!$C$5,Data!$B$4:$Q$4,0)-1),#N/A)-$C$8/250</f>
        <v>#N/A</v>
      </c>
      <c r="N2258" s="395"/>
      <c r="R2258" s="391"/>
    </row>
    <row r="2259" spans="12:18">
      <c r="L2259" s="394" t="e">
        <f ca="1">IF(NOT(OFFSET(Data!E2262,0,MATCH('Delta Beta'!$C$5,Data!$B$4:$Q$4,0)-3)=""),OFFSET(Data!E2262,0,MATCH('Delta Beta'!$C$5,Data!$B$4:$Q$4,0)-3),#N/A)-$C$8/250</f>
        <v>#N/A</v>
      </c>
      <c r="M2259" s="394" t="e">
        <f ca="1">IF(NOT(OFFSET(Data!E2262,0,MATCH('Delta Beta'!$C$5,Data!$B$4:$Q$4,0)-1)=""),OFFSET(Data!E2262,0,MATCH('Delta Beta'!$C$5,Data!$B$4:$Q$4,0)-1),#N/A)-$C$8/250</f>
        <v>#N/A</v>
      </c>
      <c r="N2259" s="395"/>
      <c r="R2259" s="391"/>
    </row>
    <row r="2260" spans="12:18">
      <c r="L2260" s="394" t="e">
        <f ca="1">IF(NOT(OFFSET(Data!E2263,0,MATCH('Delta Beta'!$C$5,Data!$B$4:$Q$4,0)-3)=""),OFFSET(Data!E2263,0,MATCH('Delta Beta'!$C$5,Data!$B$4:$Q$4,0)-3),#N/A)-$C$8/250</f>
        <v>#N/A</v>
      </c>
      <c r="M2260" s="394" t="e">
        <f ca="1">IF(NOT(OFFSET(Data!E2263,0,MATCH('Delta Beta'!$C$5,Data!$B$4:$Q$4,0)-1)=""),OFFSET(Data!E2263,0,MATCH('Delta Beta'!$C$5,Data!$B$4:$Q$4,0)-1),#N/A)-$C$8/250</f>
        <v>#N/A</v>
      </c>
      <c r="N2260" s="395"/>
      <c r="R2260" s="391"/>
    </row>
    <row r="2261" spans="12:18">
      <c r="L2261" s="394" t="e">
        <f ca="1">IF(NOT(OFFSET(Data!E2264,0,MATCH('Delta Beta'!$C$5,Data!$B$4:$Q$4,0)-3)=""),OFFSET(Data!E2264,0,MATCH('Delta Beta'!$C$5,Data!$B$4:$Q$4,0)-3),#N/A)-$C$8/250</f>
        <v>#N/A</v>
      </c>
      <c r="M2261" s="394" t="e">
        <f ca="1">IF(NOT(OFFSET(Data!E2264,0,MATCH('Delta Beta'!$C$5,Data!$B$4:$Q$4,0)-1)=""),OFFSET(Data!E2264,0,MATCH('Delta Beta'!$C$5,Data!$B$4:$Q$4,0)-1),#N/A)-$C$8/250</f>
        <v>#N/A</v>
      </c>
      <c r="N2261" s="395"/>
      <c r="R2261" s="391"/>
    </row>
    <row r="2262" spans="12:18">
      <c r="L2262" s="394" t="e">
        <f ca="1">IF(NOT(OFFSET(Data!E2265,0,MATCH('Delta Beta'!$C$5,Data!$B$4:$Q$4,0)-3)=""),OFFSET(Data!E2265,0,MATCH('Delta Beta'!$C$5,Data!$B$4:$Q$4,0)-3),#N/A)-$C$8/250</f>
        <v>#N/A</v>
      </c>
      <c r="M2262" s="394" t="e">
        <f ca="1">IF(NOT(OFFSET(Data!E2265,0,MATCH('Delta Beta'!$C$5,Data!$B$4:$Q$4,0)-1)=""),OFFSET(Data!E2265,0,MATCH('Delta Beta'!$C$5,Data!$B$4:$Q$4,0)-1),#N/A)-$C$8/250</f>
        <v>#N/A</v>
      </c>
      <c r="N2262" s="395"/>
      <c r="R2262" s="391"/>
    </row>
    <row r="2263" spans="12:18">
      <c r="L2263" s="394" t="e">
        <f ca="1">IF(NOT(OFFSET(Data!E2266,0,MATCH('Delta Beta'!$C$5,Data!$B$4:$Q$4,0)-3)=""),OFFSET(Data!E2266,0,MATCH('Delta Beta'!$C$5,Data!$B$4:$Q$4,0)-3),#N/A)-$C$8/250</f>
        <v>#N/A</v>
      </c>
      <c r="M2263" s="394" t="e">
        <f ca="1">IF(NOT(OFFSET(Data!E2266,0,MATCH('Delta Beta'!$C$5,Data!$B$4:$Q$4,0)-1)=""),OFFSET(Data!E2266,0,MATCH('Delta Beta'!$C$5,Data!$B$4:$Q$4,0)-1),#N/A)-$C$8/250</f>
        <v>#N/A</v>
      </c>
      <c r="N2263" s="395"/>
      <c r="R2263" s="391"/>
    </row>
    <row r="2264" spans="12:18">
      <c r="L2264" s="394" t="e">
        <f ca="1">IF(NOT(OFFSET(Data!E2267,0,MATCH('Delta Beta'!$C$5,Data!$B$4:$Q$4,0)-3)=""),OFFSET(Data!E2267,0,MATCH('Delta Beta'!$C$5,Data!$B$4:$Q$4,0)-3),#N/A)-$C$8/250</f>
        <v>#N/A</v>
      </c>
      <c r="M2264" s="394" t="e">
        <f ca="1">IF(NOT(OFFSET(Data!E2267,0,MATCH('Delta Beta'!$C$5,Data!$B$4:$Q$4,0)-1)=""),OFFSET(Data!E2267,0,MATCH('Delta Beta'!$C$5,Data!$B$4:$Q$4,0)-1),#N/A)-$C$8/250</f>
        <v>#N/A</v>
      </c>
      <c r="N2264" s="395"/>
      <c r="R2264" s="391"/>
    </row>
    <row r="2265" spans="12:18">
      <c r="L2265" s="394" t="e">
        <f ca="1">IF(NOT(OFFSET(Data!E2268,0,MATCH('Delta Beta'!$C$5,Data!$B$4:$Q$4,0)-3)=""),OFFSET(Data!E2268,0,MATCH('Delta Beta'!$C$5,Data!$B$4:$Q$4,0)-3),#N/A)-$C$8/250</f>
        <v>#N/A</v>
      </c>
      <c r="M2265" s="394" t="e">
        <f ca="1">IF(NOT(OFFSET(Data!E2268,0,MATCH('Delta Beta'!$C$5,Data!$B$4:$Q$4,0)-1)=""),OFFSET(Data!E2268,0,MATCH('Delta Beta'!$C$5,Data!$B$4:$Q$4,0)-1),#N/A)-$C$8/250</f>
        <v>#N/A</v>
      </c>
      <c r="N2265" s="395"/>
      <c r="R2265" s="391"/>
    </row>
    <row r="2266" spans="12:18">
      <c r="L2266" s="394" t="e">
        <f ca="1">IF(NOT(OFFSET(Data!E2269,0,MATCH('Delta Beta'!$C$5,Data!$B$4:$Q$4,0)-3)=""),OFFSET(Data!E2269,0,MATCH('Delta Beta'!$C$5,Data!$B$4:$Q$4,0)-3),#N/A)-$C$8/250</f>
        <v>#N/A</v>
      </c>
      <c r="M2266" s="394" t="e">
        <f ca="1">IF(NOT(OFFSET(Data!E2269,0,MATCH('Delta Beta'!$C$5,Data!$B$4:$Q$4,0)-1)=""),OFFSET(Data!E2269,0,MATCH('Delta Beta'!$C$5,Data!$B$4:$Q$4,0)-1),#N/A)-$C$8/250</f>
        <v>#N/A</v>
      </c>
      <c r="N2266" s="395"/>
      <c r="R2266" s="391"/>
    </row>
    <row r="2267" spans="12:18">
      <c r="L2267" s="394" t="e">
        <f ca="1">IF(NOT(OFFSET(Data!E2270,0,MATCH('Delta Beta'!$C$5,Data!$B$4:$Q$4,0)-3)=""),OFFSET(Data!E2270,0,MATCH('Delta Beta'!$C$5,Data!$B$4:$Q$4,0)-3),#N/A)-$C$8/250</f>
        <v>#N/A</v>
      </c>
      <c r="M2267" s="394" t="e">
        <f ca="1">IF(NOT(OFFSET(Data!E2270,0,MATCH('Delta Beta'!$C$5,Data!$B$4:$Q$4,0)-1)=""),OFFSET(Data!E2270,0,MATCH('Delta Beta'!$C$5,Data!$B$4:$Q$4,0)-1),#N/A)-$C$8/250</f>
        <v>#N/A</v>
      </c>
      <c r="N2267" s="395"/>
      <c r="R2267" s="391"/>
    </row>
    <row r="2268" spans="12:18">
      <c r="L2268" s="394" t="e">
        <f ca="1">IF(NOT(OFFSET(Data!E2271,0,MATCH('Delta Beta'!$C$5,Data!$B$4:$Q$4,0)-3)=""),OFFSET(Data!E2271,0,MATCH('Delta Beta'!$C$5,Data!$B$4:$Q$4,0)-3),#N/A)-$C$8/250</f>
        <v>#N/A</v>
      </c>
      <c r="M2268" s="394" t="e">
        <f ca="1">IF(NOT(OFFSET(Data!E2271,0,MATCH('Delta Beta'!$C$5,Data!$B$4:$Q$4,0)-1)=""),OFFSET(Data!E2271,0,MATCH('Delta Beta'!$C$5,Data!$B$4:$Q$4,0)-1),#N/A)-$C$8/250</f>
        <v>#N/A</v>
      </c>
      <c r="N2268" s="395"/>
      <c r="R2268" s="391"/>
    </row>
    <row r="2269" spans="12:18">
      <c r="L2269" s="394" t="e">
        <f ca="1">IF(NOT(OFFSET(Data!E2272,0,MATCH('Delta Beta'!$C$5,Data!$B$4:$Q$4,0)-3)=""),OFFSET(Data!E2272,0,MATCH('Delta Beta'!$C$5,Data!$B$4:$Q$4,0)-3),#N/A)-$C$8/250</f>
        <v>#N/A</v>
      </c>
      <c r="M2269" s="394" t="e">
        <f ca="1">IF(NOT(OFFSET(Data!E2272,0,MATCH('Delta Beta'!$C$5,Data!$B$4:$Q$4,0)-1)=""),OFFSET(Data!E2272,0,MATCH('Delta Beta'!$C$5,Data!$B$4:$Q$4,0)-1),#N/A)-$C$8/250</f>
        <v>#N/A</v>
      </c>
      <c r="N2269" s="395"/>
      <c r="R2269" s="391"/>
    </row>
    <row r="2270" spans="12:18">
      <c r="L2270" s="394" t="e">
        <f ca="1">IF(NOT(OFFSET(Data!E2273,0,MATCH('Delta Beta'!$C$5,Data!$B$4:$Q$4,0)-3)=""),OFFSET(Data!E2273,0,MATCH('Delta Beta'!$C$5,Data!$B$4:$Q$4,0)-3),#N/A)-$C$8/250</f>
        <v>#N/A</v>
      </c>
      <c r="M2270" s="394" t="e">
        <f ca="1">IF(NOT(OFFSET(Data!E2273,0,MATCH('Delta Beta'!$C$5,Data!$B$4:$Q$4,0)-1)=""),OFFSET(Data!E2273,0,MATCH('Delta Beta'!$C$5,Data!$B$4:$Q$4,0)-1),#N/A)-$C$8/250</f>
        <v>#N/A</v>
      </c>
      <c r="N2270" s="395"/>
      <c r="R2270" s="391"/>
    </row>
    <row r="2271" spans="12:18">
      <c r="L2271" s="394" t="e">
        <f ca="1">IF(NOT(OFFSET(Data!E2274,0,MATCH('Delta Beta'!$C$5,Data!$B$4:$Q$4,0)-3)=""),OFFSET(Data!E2274,0,MATCH('Delta Beta'!$C$5,Data!$B$4:$Q$4,0)-3),#N/A)-$C$8/250</f>
        <v>#N/A</v>
      </c>
      <c r="M2271" s="394" t="e">
        <f ca="1">IF(NOT(OFFSET(Data!E2274,0,MATCH('Delta Beta'!$C$5,Data!$B$4:$Q$4,0)-1)=""),OFFSET(Data!E2274,0,MATCH('Delta Beta'!$C$5,Data!$B$4:$Q$4,0)-1),#N/A)-$C$8/250</f>
        <v>#N/A</v>
      </c>
      <c r="N2271" s="395"/>
      <c r="R2271" s="391"/>
    </row>
    <row r="2272" spans="12:18">
      <c r="L2272" s="394" t="e">
        <f ca="1">IF(NOT(OFFSET(Data!E2275,0,MATCH('Delta Beta'!$C$5,Data!$B$4:$Q$4,0)-3)=""),OFFSET(Data!E2275,0,MATCH('Delta Beta'!$C$5,Data!$B$4:$Q$4,0)-3),#N/A)-$C$8/250</f>
        <v>#N/A</v>
      </c>
      <c r="M2272" s="394" t="e">
        <f ca="1">IF(NOT(OFFSET(Data!E2275,0,MATCH('Delta Beta'!$C$5,Data!$B$4:$Q$4,0)-1)=""),OFFSET(Data!E2275,0,MATCH('Delta Beta'!$C$5,Data!$B$4:$Q$4,0)-1),#N/A)-$C$8/250</f>
        <v>#N/A</v>
      </c>
      <c r="N2272" s="395"/>
      <c r="R2272" s="391"/>
    </row>
    <row r="2273" spans="12:18">
      <c r="L2273" s="394" t="e">
        <f ca="1">IF(NOT(OFFSET(Data!E2276,0,MATCH('Delta Beta'!$C$5,Data!$B$4:$Q$4,0)-3)=""),OFFSET(Data!E2276,0,MATCH('Delta Beta'!$C$5,Data!$B$4:$Q$4,0)-3),#N/A)-$C$8/250</f>
        <v>#N/A</v>
      </c>
      <c r="M2273" s="394" t="e">
        <f ca="1">IF(NOT(OFFSET(Data!E2276,0,MATCH('Delta Beta'!$C$5,Data!$B$4:$Q$4,0)-1)=""),OFFSET(Data!E2276,0,MATCH('Delta Beta'!$C$5,Data!$B$4:$Q$4,0)-1),#N/A)-$C$8/250</f>
        <v>#N/A</v>
      </c>
      <c r="N2273" s="395"/>
      <c r="R2273" s="391"/>
    </row>
    <row r="2274" spans="12:18">
      <c r="L2274" s="394" t="e">
        <f ca="1">IF(NOT(OFFSET(Data!E2277,0,MATCH('Delta Beta'!$C$5,Data!$B$4:$Q$4,0)-3)=""),OFFSET(Data!E2277,0,MATCH('Delta Beta'!$C$5,Data!$B$4:$Q$4,0)-3),#N/A)-$C$8/250</f>
        <v>#N/A</v>
      </c>
      <c r="M2274" s="394" t="e">
        <f ca="1">IF(NOT(OFFSET(Data!E2277,0,MATCH('Delta Beta'!$C$5,Data!$B$4:$Q$4,0)-1)=""),OFFSET(Data!E2277,0,MATCH('Delta Beta'!$C$5,Data!$B$4:$Q$4,0)-1),#N/A)-$C$8/250</f>
        <v>#N/A</v>
      </c>
      <c r="N2274" s="395"/>
      <c r="R2274" s="391"/>
    </row>
    <row r="2275" spans="12:18">
      <c r="L2275" s="394" t="e">
        <f ca="1">IF(NOT(OFFSET(Data!E2278,0,MATCH('Delta Beta'!$C$5,Data!$B$4:$Q$4,0)-3)=""),OFFSET(Data!E2278,0,MATCH('Delta Beta'!$C$5,Data!$B$4:$Q$4,0)-3),#N/A)-$C$8/250</f>
        <v>#N/A</v>
      </c>
      <c r="M2275" s="394" t="e">
        <f ca="1">IF(NOT(OFFSET(Data!E2278,0,MATCH('Delta Beta'!$C$5,Data!$B$4:$Q$4,0)-1)=""),OFFSET(Data!E2278,0,MATCH('Delta Beta'!$C$5,Data!$B$4:$Q$4,0)-1),#N/A)-$C$8/250</f>
        <v>#N/A</v>
      </c>
      <c r="N2275" s="395"/>
      <c r="R2275" s="391"/>
    </row>
    <row r="2276" spans="12:18">
      <c r="L2276" s="394" t="e">
        <f ca="1">IF(NOT(OFFSET(Data!E2279,0,MATCH('Delta Beta'!$C$5,Data!$B$4:$Q$4,0)-3)=""),OFFSET(Data!E2279,0,MATCH('Delta Beta'!$C$5,Data!$B$4:$Q$4,0)-3),#N/A)-$C$8/250</f>
        <v>#N/A</v>
      </c>
      <c r="M2276" s="394" t="e">
        <f ca="1">IF(NOT(OFFSET(Data!E2279,0,MATCH('Delta Beta'!$C$5,Data!$B$4:$Q$4,0)-1)=""),OFFSET(Data!E2279,0,MATCH('Delta Beta'!$C$5,Data!$B$4:$Q$4,0)-1),#N/A)-$C$8/250</f>
        <v>#N/A</v>
      </c>
      <c r="N2276" s="395"/>
      <c r="R2276" s="391"/>
    </row>
    <row r="2277" spans="12:18">
      <c r="L2277" s="394" t="e">
        <f ca="1">IF(NOT(OFFSET(Data!E2280,0,MATCH('Delta Beta'!$C$5,Data!$B$4:$Q$4,0)-3)=""),OFFSET(Data!E2280,0,MATCH('Delta Beta'!$C$5,Data!$B$4:$Q$4,0)-3),#N/A)-$C$8/250</f>
        <v>#N/A</v>
      </c>
      <c r="M2277" s="394" t="e">
        <f ca="1">IF(NOT(OFFSET(Data!E2280,0,MATCH('Delta Beta'!$C$5,Data!$B$4:$Q$4,0)-1)=""),OFFSET(Data!E2280,0,MATCH('Delta Beta'!$C$5,Data!$B$4:$Q$4,0)-1),#N/A)-$C$8/250</f>
        <v>#N/A</v>
      </c>
      <c r="N2277" s="395"/>
      <c r="R2277" s="391"/>
    </row>
    <row r="2278" spans="12:18">
      <c r="L2278" s="394" t="e">
        <f ca="1">IF(NOT(OFFSET(Data!E2281,0,MATCH('Delta Beta'!$C$5,Data!$B$4:$Q$4,0)-3)=""),OFFSET(Data!E2281,0,MATCH('Delta Beta'!$C$5,Data!$B$4:$Q$4,0)-3),#N/A)-$C$8/250</f>
        <v>#N/A</v>
      </c>
      <c r="M2278" s="394" t="e">
        <f ca="1">IF(NOT(OFFSET(Data!E2281,0,MATCH('Delta Beta'!$C$5,Data!$B$4:$Q$4,0)-1)=""),OFFSET(Data!E2281,0,MATCH('Delta Beta'!$C$5,Data!$B$4:$Q$4,0)-1),#N/A)-$C$8/250</f>
        <v>#N/A</v>
      </c>
      <c r="N2278" s="395"/>
      <c r="R2278" s="391"/>
    </row>
    <row r="2279" spans="12:18">
      <c r="L2279" s="394" t="e">
        <f ca="1">IF(NOT(OFFSET(Data!E2282,0,MATCH('Delta Beta'!$C$5,Data!$B$4:$Q$4,0)-3)=""),OFFSET(Data!E2282,0,MATCH('Delta Beta'!$C$5,Data!$B$4:$Q$4,0)-3),#N/A)-$C$8/250</f>
        <v>#N/A</v>
      </c>
      <c r="M2279" s="394" t="e">
        <f ca="1">IF(NOT(OFFSET(Data!E2282,0,MATCH('Delta Beta'!$C$5,Data!$B$4:$Q$4,0)-1)=""),OFFSET(Data!E2282,0,MATCH('Delta Beta'!$C$5,Data!$B$4:$Q$4,0)-1),#N/A)-$C$8/250</f>
        <v>#N/A</v>
      </c>
      <c r="N2279" s="395"/>
      <c r="R2279" s="391"/>
    </row>
    <row r="2280" spans="12:18">
      <c r="L2280" s="394" t="e">
        <f ca="1">IF(NOT(OFFSET(Data!E2283,0,MATCH('Delta Beta'!$C$5,Data!$B$4:$Q$4,0)-3)=""),OFFSET(Data!E2283,0,MATCH('Delta Beta'!$C$5,Data!$B$4:$Q$4,0)-3),#N/A)-$C$8/250</f>
        <v>#N/A</v>
      </c>
      <c r="M2280" s="394" t="e">
        <f ca="1">IF(NOT(OFFSET(Data!E2283,0,MATCH('Delta Beta'!$C$5,Data!$B$4:$Q$4,0)-1)=""),OFFSET(Data!E2283,0,MATCH('Delta Beta'!$C$5,Data!$B$4:$Q$4,0)-1),#N/A)-$C$8/250</f>
        <v>#N/A</v>
      </c>
      <c r="N2280" s="395"/>
      <c r="R2280" s="391"/>
    </row>
    <row r="2281" spans="12:18">
      <c r="L2281" s="394" t="e">
        <f ca="1">IF(NOT(OFFSET(Data!E2284,0,MATCH('Delta Beta'!$C$5,Data!$B$4:$Q$4,0)-3)=""),OFFSET(Data!E2284,0,MATCH('Delta Beta'!$C$5,Data!$B$4:$Q$4,0)-3),#N/A)-$C$8/250</f>
        <v>#N/A</v>
      </c>
      <c r="M2281" s="394" t="e">
        <f ca="1">IF(NOT(OFFSET(Data!E2284,0,MATCH('Delta Beta'!$C$5,Data!$B$4:$Q$4,0)-1)=""),OFFSET(Data!E2284,0,MATCH('Delta Beta'!$C$5,Data!$B$4:$Q$4,0)-1),#N/A)-$C$8/250</f>
        <v>#N/A</v>
      </c>
      <c r="N2281" s="395"/>
      <c r="R2281" s="391"/>
    </row>
    <row r="2282" spans="12:18">
      <c r="L2282" s="394" t="e">
        <f ca="1">IF(NOT(OFFSET(Data!E2285,0,MATCH('Delta Beta'!$C$5,Data!$B$4:$Q$4,0)-3)=""),OFFSET(Data!E2285,0,MATCH('Delta Beta'!$C$5,Data!$B$4:$Q$4,0)-3),#N/A)-$C$8/250</f>
        <v>#N/A</v>
      </c>
      <c r="M2282" s="394" t="e">
        <f ca="1">IF(NOT(OFFSET(Data!E2285,0,MATCH('Delta Beta'!$C$5,Data!$B$4:$Q$4,0)-1)=""),OFFSET(Data!E2285,0,MATCH('Delta Beta'!$C$5,Data!$B$4:$Q$4,0)-1),#N/A)-$C$8/250</f>
        <v>#N/A</v>
      </c>
      <c r="N2282" s="395"/>
      <c r="R2282" s="391"/>
    </row>
    <row r="2283" spans="12:18">
      <c r="L2283" s="394" t="e">
        <f ca="1">IF(NOT(OFFSET(Data!E2286,0,MATCH('Delta Beta'!$C$5,Data!$B$4:$Q$4,0)-3)=""),OFFSET(Data!E2286,0,MATCH('Delta Beta'!$C$5,Data!$B$4:$Q$4,0)-3),#N/A)-$C$8/250</f>
        <v>#N/A</v>
      </c>
      <c r="M2283" s="394" t="e">
        <f ca="1">IF(NOT(OFFSET(Data!E2286,0,MATCH('Delta Beta'!$C$5,Data!$B$4:$Q$4,0)-1)=""),OFFSET(Data!E2286,0,MATCH('Delta Beta'!$C$5,Data!$B$4:$Q$4,0)-1),#N/A)-$C$8/250</f>
        <v>#N/A</v>
      </c>
      <c r="N2283" s="395"/>
      <c r="R2283" s="391"/>
    </row>
    <row r="2284" spans="12:18">
      <c r="L2284" s="394" t="e">
        <f ca="1">IF(NOT(OFFSET(Data!E2287,0,MATCH('Delta Beta'!$C$5,Data!$B$4:$Q$4,0)-3)=""),OFFSET(Data!E2287,0,MATCH('Delta Beta'!$C$5,Data!$B$4:$Q$4,0)-3),#N/A)-$C$8/250</f>
        <v>#N/A</v>
      </c>
      <c r="M2284" s="394" t="e">
        <f ca="1">IF(NOT(OFFSET(Data!E2287,0,MATCH('Delta Beta'!$C$5,Data!$B$4:$Q$4,0)-1)=""),OFFSET(Data!E2287,0,MATCH('Delta Beta'!$C$5,Data!$B$4:$Q$4,0)-1),#N/A)-$C$8/250</f>
        <v>#N/A</v>
      </c>
      <c r="N2284" s="395"/>
      <c r="R2284" s="391"/>
    </row>
    <row r="2285" spans="12:18">
      <c r="L2285" s="394" t="e">
        <f ca="1">IF(NOT(OFFSET(Data!E2288,0,MATCH('Delta Beta'!$C$5,Data!$B$4:$Q$4,0)-3)=""),OFFSET(Data!E2288,0,MATCH('Delta Beta'!$C$5,Data!$B$4:$Q$4,0)-3),#N/A)-$C$8/250</f>
        <v>#N/A</v>
      </c>
      <c r="M2285" s="394" t="e">
        <f ca="1">IF(NOT(OFFSET(Data!E2288,0,MATCH('Delta Beta'!$C$5,Data!$B$4:$Q$4,0)-1)=""),OFFSET(Data!E2288,0,MATCH('Delta Beta'!$C$5,Data!$B$4:$Q$4,0)-1),#N/A)-$C$8/250</f>
        <v>#N/A</v>
      </c>
      <c r="N2285" s="395"/>
      <c r="R2285" s="391"/>
    </row>
    <row r="2286" spans="12:18">
      <c r="L2286" s="394" t="e">
        <f ca="1">IF(NOT(OFFSET(Data!E2289,0,MATCH('Delta Beta'!$C$5,Data!$B$4:$Q$4,0)-3)=""),OFFSET(Data!E2289,0,MATCH('Delta Beta'!$C$5,Data!$B$4:$Q$4,0)-3),#N/A)-$C$8/250</f>
        <v>#N/A</v>
      </c>
      <c r="M2286" s="394" t="e">
        <f ca="1">IF(NOT(OFFSET(Data!E2289,0,MATCH('Delta Beta'!$C$5,Data!$B$4:$Q$4,0)-1)=""),OFFSET(Data!E2289,0,MATCH('Delta Beta'!$C$5,Data!$B$4:$Q$4,0)-1),#N/A)-$C$8/250</f>
        <v>#N/A</v>
      </c>
      <c r="N2286" s="395"/>
      <c r="R2286" s="391"/>
    </row>
    <row r="2287" spans="12:18">
      <c r="L2287" s="394" t="e">
        <f ca="1">IF(NOT(OFFSET(Data!E2290,0,MATCH('Delta Beta'!$C$5,Data!$B$4:$Q$4,0)-3)=""),OFFSET(Data!E2290,0,MATCH('Delta Beta'!$C$5,Data!$B$4:$Q$4,0)-3),#N/A)-$C$8/250</f>
        <v>#N/A</v>
      </c>
      <c r="M2287" s="394" t="e">
        <f ca="1">IF(NOT(OFFSET(Data!E2290,0,MATCH('Delta Beta'!$C$5,Data!$B$4:$Q$4,0)-1)=""),OFFSET(Data!E2290,0,MATCH('Delta Beta'!$C$5,Data!$B$4:$Q$4,0)-1),#N/A)-$C$8/250</f>
        <v>#N/A</v>
      </c>
      <c r="N2287" s="395"/>
      <c r="R2287" s="391"/>
    </row>
    <row r="2288" spans="12:18">
      <c r="L2288" s="394" t="e">
        <f ca="1">IF(NOT(OFFSET(Data!E2291,0,MATCH('Delta Beta'!$C$5,Data!$B$4:$Q$4,0)-3)=""),OFFSET(Data!E2291,0,MATCH('Delta Beta'!$C$5,Data!$B$4:$Q$4,0)-3),#N/A)-$C$8/250</f>
        <v>#N/A</v>
      </c>
      <c r="M2288" s="394" t="e">
        <f ca="1">IF(NOT(OFFSET(Data!E2291,0,MATCH('Delta Beta'!$C$5,Data!$B$4:$Q$4,0)-1)=""),OFFSET(Data!E2291,0,MATCH('Delta Beta'!$C$5,Data!$B$4:$Q$4,0)-1),#N/A)-$C$8/250</f>
        <v>#N/A</v>
      </c>
      <c r="N2288" s="395"/>
      <c r="R2288" s="391"/>
    </row>
    <row r="2289" spans="12:18">
      <c r="L2289" s="394" t="e">
        <f ca="1">IF(NOT(OFFSET(Data!E2292,0,MATCH('Delta Beta'!$C$5,Data!$B$4:$Q$4,0)-3)=""),OFFSET(Data!E2292,0,MATCH('Delta Beta'!$C$5,Data!$B$4:$Q$4,0)-3),#N/A)-$C$8/250</f>
        <v>#N/A</v>
      </c>
      <c r="M2289" s="394" t="e">
        <f ca="1">IF(NOT(OFFSET(Data!E2292,0,MATCH('Delta Beta'!$C$5,Data!$B$4:$Q$4,0)-1)=""),OFFSET(Data!E2292,0,MATCH('Delta Beta'!$C$5,Data!$B$4:$Q$4,0)-1),#N/A)-$C$8/250</f>
        <v>#N/A</v>
      </c>
      <c r="N2289" s="395"/>
      <c r="R2289" s="391"/>
    </row>
    <row r="2290" spans="12:18">
      <c r="L2290" s="394" t="e">
        <f ca="1">IF(NOT(OFFSET(Data!E2293,0,MATCH('Delta Beta'!$C$5,Data!$B$4:$Q$4,0)-3)=""),OFFSET(Data!E2293,0,MATCH('Delta Beta'!$C$5,Data!$B$4:$Q$4,0)-3),#N/A)-$C$8/250</f>
        <v>#N/A</v>
      </c>
      <c r="M2290" s="394" t="e">
        <f ca="1">IF(NOT(OFFSET(Data!E2293,0,MATCH('Delta Beta'!$C$5,Data!$B$4:$Q$4,0)-1)=""),OFFSET(Data!E2293,0,MATCH('Delta Beta'!$C$5,Data!$B$4:$Q$4,0)-1),#N/A)-$C$8/250</f>
        <v>#N/A</v>
      </c>
      <c r="N2290" s="395"/>
      <c r="R2290" s="391"/>
    </row>
    <row r="2291" spans="12:18">
      <c r="L2291" s="394" t="e">
        <f ca="1">IF(NOT(OFFSET(Data!E2294,0,MATCH('Delta Beta'!$C$5,Data!$B$4:$Q$4,0)-3)=""),OFFSET(Data!E2294,0,MATCH('Delta Beta'!$C$5,Data!$B$4:$Q$4,0)-3),#N/A)-$C$8/250</f>
        <v>#N/A</v>
      </c>
      <c r="M2291" s="394" t="e">
        <f ca="1">IF(NOT(OFFSET(Data!E2294,0,MATCH('Delta Beta'!$C$5,Data!$B$4:$Q$4,0)-1)=""),OFFSET(Data!E2294,0,MATCH('Delta Beta'!$C$5,Data!$B$4:$Q$4,0)-1),#N/A)-$C$8/250</f>
        <v>#N/A</v>
      </c>
      <c r="N2291" s="395"/>
      <c r="R2291" s="391"/>
    </row>
    <row r="2292" spans="12:18">
      <c r="L2292" s="394" t="e">
        <f ca="1">IF(NOT(OFFSET(Data!E2295,0,MATCH('Delta Beta'!$C$5,Data!$B$4:$Q$4,0)-3)=""),OFFSET(Data!E2295,0,MATCH('Delta Beta'!$C$5,Data!$B$4:$Q$4,0)-3),#N/A)-$C$8/250</f>
        <v>#N/A</v>
      </c>
      <c r="M2292" s="394" t="e">
        <f ca="1">IF(NOT(OFFSET(Data!E2295,0,MATCH('Delta Beta'!$C$5,Data!$B$4:$Q$4,0)-1)=""),OFFSET(Data!E2295,0,MATCH('Delta Beta'!$C$5,Data!$B$4:$Q$4,0)-1),#N/A)-$C$8/250</f>
        <v>#N/A</v>
      </c>
      <c r="N2292" s="395"/>
      <c r="R2292" s="391"/>
    </row>
    <row r="2293" spans="12:18">
      <c r="L2293" s="394" t="e">
        <f ca="1">IF(NOT(OFFSET(Data!E2296,0,MATCH('Delta Beta'!$C$5,Data!$B$4:$Q$4,0)-3)=""),OFFSET(Data!E2296,0,MATCH('Delta Beta'!$C$5,Data!$B$4:$Q$4,0)-3),#N/A)-$C$8/250</f>
        <v>#N/A</v>
      </c>
      <c r="M2293" s="394" t="e">
        <f ca="1">IF(NOT(OFFSET(Data!E2296,0,MATCH('Delta Beta'!$C$5,Data!$B$4:$Q$4,0)-1)=""),OFFSET(Data!E2296,0,MATCH('Delta Beta'!$C$5,Data!$B$4:$Q$4,0)-1),#N/A)-$C$8/250</f>
        <v>#N/A</v>
      </c>
      <c r="N2293" s="395"/>
      <c r="R2293" s="391"/>
    </row>
    <row r="2294" spans="12:18">
      <c r="L2294" s="394" t="e">
        <f ca="1">IF(NOT(OFFSET(Data!E2297,0,MATCH('Delta Beta'!$C$5,Data!$B$4:$Q$4,0)-3)=""),OFFSET(Data!E2297,0,MATCH('Delta Beta'!$C$5,Data!$B$4:$Q$4,0)-3),#N/A)-$C$8/250</f>
        <v>#N/A</v>
      </c>
      <c r="M2294" s="394" t="e">
        <f ca="1">IF(NOT(OFFSET(Data!E2297,0,MATCH('Delta Beta'!$C$5,Data!$B$4:$Q$4,0)-1)=""),OFFSET(Data!E2297,0,MATCH('Delta Beta'!$C$5,Data!$B$4:$Q$4,0)-1),#N/A)-$C$8/250</f>
        <v>#N/A</v>
      </c>
      <c r="N2294" s="395"/>
      <c r="R2294" s="391"/>
    </row>
    <row r="2295" spans="12:18">
      <c r="L2295" s="394" t="e">
        <f ca="1">IF(NOT(OFFSET(Data!E2298,0,MATCH('Delta Beta'!$C$5,Data!$B$4:$Q$4,0)-3)=""),OFFSET(Data!E2298,0,MATCH('Delta Beta'!$C$5,Data!$B$4:$Q$4,0)-3),#N/A)-$C$8/250</f>
        <v>#N/A</v>
      </c>
      <c r="M2295" s="394" t="e">
        <f ca="1">IF(NOT(OFFSET(Data!E2298,0,MATCH('Delta Beta'!$C$5,Data!$B$4:$Q$4,0)-1)=""),OFFSET(Data!E2298,0,MATCH('Delta Beta'!$C$5,Data!$B$4:$Q$4,0)-1),#N/A)-$C$8/250</f>
        <v>#N/A</v>
      </c>
      <c r="N2295" s="395"/>
      <c r="R2295" s="391"/>
    </row>
    <row r="2296" spans="12:18">
      <c r="L2296" s="394" t="e">
        <f ca="1">IF(NOT(OFFSET(Data!E2299,0,MATCH('Delta Beta'!$C$5,Data!$B$4:$Q$4,0)-3)=""),OFFSET(Data!E2299,0,MATCH('Delta Beta'!$C$5,Data!$B$4:$Q$4,0)-3),#N/A)-$C$8/250</f>
        <v>#N/A</v>
      </c>
      <c r="M2296" s="394" t="e">
        <f ca="1">IF(NOT(OFFSET(Data!E2299,0,MATCH('Delta Beta'!$C$5,Data!$B$4:$Q$4,0)-1)=""),OFFSET(Data!E2299,0,MATCH('Delta Beta'!$C$5,Data!$B$4:$Q$4,0)-1),#N/A)-$C$8/250</f>
        <v>#N/A</v>
      </c>
      <c r="N2296" s="395"/>
      <c r="R2296" s="391"/>
    </row>
    <row r="2297" spans="12:18">
      <c r="L2297" s="394" t="e">
        <f ca="1">IF(NOT(OFFSET(Data!E2300,0,MATCH('Delta Beta'!$C$5,Data!$B$4:$Q$4,0)-3)=""),OFFSET(Data!E2300,0,MATCH('Delta Beta'!$C$5,Data!$B$4:$Q$4,0)-3),#N/A)-$C$8/250</f>
        <v>#N/A</v>
      </c>
      <c r="M2297" s="394" t="e">
        <f ca="1">IF(NOT(OFFSET(Data!E2300,0,MATCH('Delta Beta'!$C$5,Data!$B$4:$Q$4,0)-1)=""),OFFSET(Data!E2300,0,MATCH('Delta Beta'!$C$5,Data!$B$4:$Q$4,0)-1),#N/A)-$C$8/250</f>
        <v>#N/A</v>
      </c>
      <c r="N2297" s="395"/>
      <c r="R2297" s="391"/>
    </row>
    <row r="2298" spans="12:18">
      <c r="L2298" s="394" t="e">
        <f ca="1">IF(NOT(OFFSET(Data!E2301,0,MATCH('Delta Beta'!$C$5,Data!$B$4:$Q$4,0)-3)=""),OFFSET(Data!E2301,0,MATCH('Delta Beta'!$C$5,Data!$B$4:$Q$4,0)-3),#N/A)-$C$8/250</f>
        <v>#N/A</v>
      </c>
      <c r="M2298" s="394" t="e">
        <f ca="1">IF(NOT(OFFSET(Data!E2301,0,MATCH('Delta Beta'!$C$5,Data!$B$4:$Q$4,0)-1)=""),OFFSET(Data!E2301,0,MATCH('Delta Beta'!$C$5,Data!$B$4:$Q$4,0)-1),#N/A)-$C$8/250</f>
        <v>#N/A</v>
      </c>
      <c r="N2298" s="395"/>
      <c r="R2298" s="391"/>
    </row>
    <row r="2299" spans="12:18">
      <c r="L2299" s="394" t="e">
        <f ca="1">IF(NOT(OFFSET(Data!E2302,0,MATCH('Delta Beta'!$C$5,Data!$B$4:$Q$4,0)-3)=""),OFFSET(Data!E2302,0,MATCH('Delta Beta'!$C$5,Data!$B$4:$Q$4,0)-3),#N/A)-$C$8/250</f>
        <v>#N/A</v>
      </c>
      <c r="M2299" s="394" t="e">
        <f ca="1">IF(NOT(OFFSET(Data!E2302,0,MATCH('Delta Beta'!$C$5,Data!$B$4:$Q$4,0)-1)=""),OFFSET(Data!E2302,0,MATCH('Delta Beta'!$C$5,Data!$B$4:$Q$4,0)-1),#N/A)-$C$8/250</f>
        <v>#N/A</v>
      </c>
      <c r="N2299" s="395"/>
      <c r="R2299" s="391"/>
    </row>
    <row r="2300" spans="12:18">
      <c r="L2300" s="394" t="e">
        <f ca="1">IF(NOT(OFFSET(Data!E2303,0,MATCH('Delta Beta'!$C$5,Data!$B$4:$Q$4,0)-3)=""),OFFSET(Data!E2303,0,MATCH('Delta Beta'!$C$5,Data!$B$4:$Q$4,0)-3),#N/A)-$C$8/250</f>
        <v>#N/A</v>
      </c>
      <c r="M2300" s="394" t="e">
        <f ca="1">IF(NOT(OFFSET(Data!E2303,0,MATCH('Delta Beta'!$C$5,Data!$B$4:$Q$4,0)-1)=""),OFFSET(Data!E2303,0,MATCH('Delta Beta'!$C$5,Data!$B$4:$Q$4,0)-1),#N/A)-$C$8/250</f>
        <v>#N/A</v>
      </c>
      <c r="N2300" s="395"/>
      <c r="R2300" s="391"/>
    </row>
    <row r="2301" spans="12:18">
      <c r="L2301" s="394" t="e">
        <f ca="1">IF(NOT(OFFSET(Data!E2304,0,MATCH('Delta Beta'!$C$5,Data!$B$4:$Q$4,0)-3)=""),OFFSET(Data!E2304,0,MATCH('Delta Beta'!$C$5,Data!$B$4:$Q$4,0)-3),#N/A)-$C$8/250</f>
        <v>#N/A</v>
      </c>
      <c r="M2301" s="394" t="e">
        <f ca="1">IF(NOT(OFFSET(Data!E2304,0,MATCH('Delta Beta'!$C$5,Data!$B$4:$Q$4,0)-1)=""),OFFSET(Data!E2304,0,MATCH('Delta Beta'!$C$5,Data!$B$4:$Q$4,0)-1),#N/A)-$C$8/250</f>
        <v>#N/A</v>
      </c>
      <c r="N2301" s="395"/>
      <c r="R2301" s="391"/>
    </row>
    <row r="2302" spans="12:18">
      <c r="L2302" s="394" t="e">
        <f ca="1">IF(NOT(OFFSET(Data!E2305,0,MATCH('Delta Beta'!$C$5,Data!$B$4:$Q$4,0)-3)=""),OFFSET(Data!E2305,0,MATCH('Delta Beta'!$C$5,Data!$B$4:$Q$4,0)-3),#N/A)-$C$8/250</f>
        <v>#N/A</v>
      </c>
      <c r="M2302" s="394" t="e">
        <f ca="1">IF(NOT(OFFSET(Data!E2305,0,MATCH('Delta Beta'!$C$5,Data!$B$4:$Q$4,0)-1)=""),OFFSET(Data!E2305,0,MATCH('Delta Beta'!$C$5,Data!$B$4:$Q$4,0)-1),#N/A)-$C$8/250</f>
        <v>#N/A</v>
      </c>
      <c r="N2302" s="395"/>
      <c r="R2302" s="391"/>
    </row>
    <row r="2303" spans="12:18">
      <c r="L2303" s="394" t="e">
        <f ca="1">IF(NOT(OFFSET(Data!E2306,0,MATCH('Delta Beta'!$C$5,Data!$B$4:$Q$4,0)-3)=""),OFFSET(Data!E2306,0,MATCH('Delta Beta'!$C$5,Data!$B$4:$Q$4,0)-3),#N/A)-$C$8/250</f>
        <v>#N/A</v>
      </c>
      <c r="M2303" s="394" t="e">
        <f ca="1">IF(NOT(OFFSET(Data!E2306,0,MATCH('Delta Beta'!$C$5,Data!$B$4:$Q$4,0)-1)=""),OFFSET(Data!E2306,0,MATCH('Delta Beta'!$C$5,Data!$B$4:$Q$4,0)-1),#N/A)-$C$8/250</f>
        <v>#N/A</v>
      </c>
      <c r="N2303" s="395"/>
      <c r="R2303" s="391"/>
    </row>
    <row r="2304" spans="12:18">
      <c r="L2304" s="394" t="e">
        <f ca="1">IF(NOT(OFFSET(Data!E2307,0,MATCH('Delta Beta'!$C$5,Data!$B$4:$Q$4,0)-3)=""),OFFSET(Data!E2307,0,MATCH('Delta Beta'!$C$5,Data!$B$4:$Q$4,0)-3),#N/A)-$C$8/250</f>
        <v>#N/A</v>
      </c>
      <c r="M2304" s="394" t="e">
        <f ca="1">IF(NOT(OFFSET(Data!E2307,0,MATCH('Delta Beta'!$C$5,Data!$B$4:$Q$4,0)-1)=""),OFFSET(Data!E2307,0,MATCH('Delta Beta'!$C$5,Data!$B$4:$Q$4,0)-1),#N/A)-$C$8/250</f>
        <v>#N/A</v>
      </c>
      <c r="N2304" s="395"/>
      <c r="R2304" s="391"/>
    </row>
    <row r="2305" spans="12:18">
      <c r="L2305" s="394" t="e">
        <f ca="1">IF(NOT(OFFSET(Data!E2308,0,MATCH('Delta Beta'!$C$5,Data!$B$4:$Q$4,0)-3)=""),OFFSET(Data!E2308,0,MATCH('Delta Beta'!$C$5,Data!$B$4:$Q$4,0)-3),#N/A)-$C$8/250</f>
        <v>#N/A</v>
      </c>
      <c r="M2305" s="394" t="e">
        <f ca="1">IF(NOT(OFFSET(Data!E2308,0,MATCH('Delta Beta'!$C$5,Data!$B$4:$Q$4,0)-1)=""),OFFSET(Data!E2308,0,MATCH('Delta Beta'!$C$5,Data!$B$4:$Q$4,0)-1),#N/A)-$C$8/250</f>
        <v>#N/A</v>
      </c>
      <c r="N2305" s="395"/>
      <c r="R2305" s="391"/>
    </row>
    <row r="2306" spans="12:18">
      <c r="L2306" s="394" t="e">
        <f ca="1">IF(NOT(OFFSET(Data!E2309,0,MATCH('Delta Beta'!$C$5,Data!$B$4:$Q$4,0)-3)=""),OFFSET(Data!E2309,0,MATCH('Delta Beta'!$C$5,Data!$B$4:$Q$4,0)-3),#N/A)-$C$8/250</f>
        <v>#N/A</v>
      </c>
      <c r="M2306" s="394" t="e">
        <f ca="1">IF(NOT(OFFSET(Data!E2309,0,MATCH('Delta Beta'!$C$5,Data!$B$4:$Q$4,0)-1)=""),OFFSET(Data!E2309,0,MATCH('Delta Beta'!$C$5,Data!$B$4:$Q$4,0)-1),#N/A)-$C$8/250</f>
        <v>#N/A</v>
      </c>
      <c r="N2306" s="395"/>
      <c r="R2306" s="391"/>
    </row>
    <row r="2307" spans="12:18">
      <c r="L2307" s="394" t="e">
        <f ca="1">IF(NOT(OFFSET(Data!E2310,0,MATCH('Delta Beta'!$C$5,Data!$B$4:$Q$4,0)-3)=""),OFFSET(Data!E2310,0,MATCH('Delta Beta'!$C$5,Data!$B$4:$Q$4,0)-3),#N/A)-$C$8/250</f>
        <v>#N/A</v>
      </c>
      <c r="M2307" s="394" t="e">
        <f ca="1">IF(NOT(OFFSET(Data!E2310,0,MATCH('Delta Beta'!$C$5,Data!$B$4:$Q$4,0)-1)=""),OFFSET(Data!E2310,0,MATCH('Delta Beta'!$C$5,Data!$B$4:$Q$4,0)-1),#N/A)-$C$8/250</f>
        <v>#N/A</v>
      </c>
      <c r="N2307" s="395"/>
      <c r="R2307" s="391"/>
    </row>
    <row r="2308" spans="12:18">
      <c r="L2308" s="394" t="e">
        <f ca="1">IF(NOT(OFFSET(Data!E2311,0,MATCH('Delta Beta'!$C$5,Data!$B$4:$Q$4,0)-3)=""),OFFSET(Data!E2311,0,MATCH('Delta Beta'!$C$5,Data!$B$4:$Q$4,0)-3),#N/A)-$C$8/250</f>
        <v>#N/A</v>
      </c>
      <c r="M2308" s="394" t="e">
        <f ca="1">IF(NOT(OFFSET(Data!E2311,0,MATCH('Delta Beta'!$C$5,Data!$B$4:$Q$4,0)-1)=""),OFFSET(Data!E2311,0,MATCH('Delta Beta'!$C$5,Data!$B$4:$Q$4,0)-1),#N/A)-$C$8/250</f>
        <v>#N/A</v>
      </c>
      <c r="N2308" s="395"/>
      <c r="R2308" s="391"/>
    </row>
    <row r="2309" spans="12:18">
      <c r="L2309" s="394" t="e">
        <f ca="1">IF(NOT(OFFSET(Data!E2312,0,MATCH('Delta Beta'!$C$5,Data!$B$4:$Q$4,0)-3)=""),OFFSET(Data!E2312,0,MATCH('Delta Beta'!$C$5,Data!$B$4:$Q$4,0)-3),#N/A)-$C$8/250</f>
        <v>#N/A</v>
      </c>
      <c r="M2309" s="394" t="e">
        <f ca="1">IF(NOT(OFFSET(Data!E2312,0,MATCH('Delta Beta'!$C$5,Data!$B$4:$Q$4,0)-1)=""),OFFSET(Data!E2312,0,MATCH('Delta Beta'!$C$5,Data!$B$4:$Q$4,0)-1),#N/A)-$C$8/250</f>
        <v>#N/A</v>
      </c>
      <c r="N2309" s="395"/>
      <c r="R2309" s="391"/>
    </row>
    <row r="2310" spans="12:18">
      <c r="L2310" s="394" t="e">
        <f ca="1">IF(NOT(OFFSET(Data!E2313,0,MATCH('Delta Beta'!$C$5,Data!$B$4:$Q$4,0)-3)=""),OFFSET(Data!E2313,0,MATCH('Delta Beta'!$C$5,Data!$B$4:$Q$4,0)-3),#N/A)-$C$8/250</f>
        <v>#N/A</v>
      </c>
      <c r="M2310" s="394" t="e">
        <f ca="1">IF(NOT(OFFSET(Data!E2313,0,MATCH('Delta Beta'!$C$5,Data!$B$4:$Q$4,0)-1)=""),OFFSET(Data!E2313,0,MATCH('Delta Beta'!$C$5,Data!$B$4:$Q$4,0)-1),#N/A)-$C$8/250</f>
        <v>#N/A</v>
      </c>
      <c r="N2310" s="395"/>
      <c r="R2310" s="391"/>
    </row>
    <row r="2311" spans="12:18">
      <c r="L2311" s="394" t="e">
        <f ca="1">IF(NOT(OFFSET(Data!E2314,0,MATCH('Delta Beta'!$C$5,Data!$B$4:$Q$4,0)-3)=""),OFFSET(Data!E2314,0,MATCH('Delta Beta'!$C$5,Data!$B$4:$Q$4,0)-3),#N/A)-$C$8/250</f>
        <v>#N/A</v>
      </c>
      <c r="M2311" s="394" t="e">
        <f ca="1">IF(NOT(OFFSET(Data!E2314,0,MATCH('Delta Beta'!$C$5,Data!$B$4:$Q$4,0)-1)=""),OFFSET(Data!E2314,0,MATCH('Delta Beta'!$C$5,Data!$B$4:$Q$4,0)-1),#N/A)-$C$8/250</f>
        <v>#N/A</v>
      </c>
      <c r="N2311" s="395"/>
      <c r="R2311" s="391"/>
    </row>
    <row r="2312" spans="12:18">
      <c r="L2312" s="394" t="e">
        <f ca="1">IF(NOT(OFFSET(Data!E2315,0,MATCH('Delta Beta'!$C$5,Data!$B$4:$Q$4,0)-3)=""),OFFSET(Data!E2315,0,MATCH('Delta Beta'!$C$5,Data!$B$4:$Q$4,0)-3),#N/A)-$C$8/250</f>
        <v>#N/A</v>
      </c>
      <c r="M2312" s="394" t="e">
        <f ca="1">IF(NOT(OFFSET(Data!E2315,0,MATCH('Delta Beta'!$C$5,Data!$B$4:$Q$4,0)-1)=""),OFFSET(Data!E2315,0,MATCH('Delta Beta'!$C$5,Data!$B$4:$Q$4,0)-1),#N/A)-$C$8/250</f>
        <v>#N/A</v>
      </c>
      <c r="N2312" s="395"/>
      <c r="R2312" s="391"/>
    </row>
    <row r="2313" spans="12:18">
      <c r="L2313" s="394" t="e">
        <f ca="1">IF(NOT(OFFSET(Data!E2316,0,MATCH('Delta Beta'!$C$5,Data!$B$4:$Q$4,0)-3)=""),OFFSET(Data!E2316,0,MATCH('Delta Beta'!$C$5,Data!$B$4:$Q$4,0)-3),#N/A)-$C$8/250</f>
        <v>#N/A</v>
      </c>
      <c r="M2313" s="394" t="e">
        <f ca="1">IF(NOT(OFFSET(Data!E2316,0,MATCH('Delta Beta'!$C$5,Data!$B$4:$Q$4,0)-1)=""),OFFSET(Data!E2316,0,MATCH('Delta Beta'!$C$5,Data!$B$4:$Q$4,0)-1),#N/A)-$C$8/250</f>
        <v>#N/A</v>
      </c>
      <c r="N2313" s="395"/>
      <c r="R2313" s="391"/>
    </row>
    <row r="2314" spans="12:18">
      <c r="L2314" s="394" t="e">
        <f ca="1">IF(NOT(OFFSET(Data!E2317,0,MATCH('Delta Beta'!$C$5,Data!$B$4:$Q$4,0)-3)=""),OFFSET(Data!E2317,0,MATCH('Delta Beta'!$C$5,Data!$B$4:$Q$4,0)-3),#N/A)-$C$8/250</f>
        <v>#N/A</v>
      </c>
      <c r="M2314" s="394" t="e">
        <f ca="1">IF(NOT(OFFSET(Data!E2317,0,MATCH('Delta Beta'!$C$5,Data!$B$4:$Q$4,0)-1)=""),OFFSET(Data!E2317,0,MATCH('Delta Beta'!$C$5,Data!$B$4:$Q$4,0)-1),#N/A)-$C$8/250</f>
        <v>#N/A</v>
      </c>
      <c r="N2314" s="395"/>
      <c r="R2314" s="391"/>
    </row>
    <row r="2315" spans="12:18">
      <c r="L2315" s="394" t="e">
        <f ca="1">IF(NOT(OFFSET(Data!E2318,0,MATCH('Delta Beta'!$C$5,Data!$B$4:$Q$4,0)-3)=""),OFFSET(Data!E2318,0,MATCH('Delta Beta'!$C$5,Data!$B$4:$Q$4,0)-3),#N/A)-$C$8/250</f>
        <v>#N/A</v>
      </c>
      <c r="M2315" s="394" t="e">
        <f ca="1">IF(NOT(OFFSET(Data!E2318,0,MATCH('Delta Beta'!$C$5,Data!$B$4:$Q$4,0)-1)=""),OFFSET(Data!E2318,0,MATCH('Delta Beta'!$C$5,Data!$B$4:$Q$4,0)-1),#N/A)-$C$8/250</f>
        <v>#N/A</v>
      </c>
      <c r="N2315" s="395"/>
      <c r="R2315" s="391"/>
    </row>
    <row r="2316" spans="12:18">
      <c r="L2316" s="394" t="e">
        <f ca="1">IF(NOT(OFFSET(Data!E2319,0,MATCH('Delta Beta'!$C$5,Data!$B$4:$Q$4,0)-3)=""),OFFSET(Data!E2319,0,MATCH('Delta Beta'!$C$5,Data!$B$4:$Q$4,0)-3),#N/A)-$C$8/250</f>
        <v>#N/A</v>
      </c>
      <c r="M2316" s="394" t="e">
        <f ca="1">IF(NOT(OFFSET(Data!E2319,0,MATCH('Delta Beta'!$C$5,Data!$B$4:$Q$4,0)-1)=""),OFFSET(Data!E2319,0,MATCH('Delta Beta'!$C$5,Data!$B$4:$Q$4,0)-1),#N/A)-$C$8/250</f>
        <v>#N/A</v>
      </c>
      <c r="N2316" s="395"/>
      <c r="R2316" s="391"/>
    </row>
    <row r="2317" spans="12:18">
      <c r="L2317" s="394" t="e">
        <f ca="1">IF(NOT(OFFSET(Data!E2320,0,MATCH('Delta Beta'!$C$5,Data!$B$4:$Q$4,0)-3)=""),OFFSET(Data!E2320,0,MATCH('Delta Beta'!$C$5,Data!$B$4:$Q$4,0)-3),#N/A)-$C$8/250</f>
        <v>#N/A</v>
      </c>
      <c r="M2317" s="394" t="e">
        <f ca="1">IF(NOT(OFFSET(Data!E2320,0,MATCH('Delta Beta'!$C$5,Data!$B$4:$Q$4,0)-1)=""),OFFSET(Data!E2320,0,MATCH('Delta Beta'!$C$5,Data!$B$4:$Q$4,0)-1),#N/A)-$C$8/250</f>
        <v>#N/A</v>
      </c>
      <c r="N2317" s="395"/>
      <c r="R2317" s="391"/>
    </row>
    <row r="2318" spans="12:18">
      <c r="L2318" s="394" t="e">
        <f ca="1">IF(NOT(OFFSET(Data!E2321,0,MATCH('Delta Beta'!$C$5,Data!$B$4:$Q$4,0)-3)=""),OFFSET(Data!E2321,0,MATCH('Delta Beta'!$C$5,Data!$B$4:$Q$4,0)-3),#N/A)-$C$8/250</f>
        <v>#N/A</v>
      </c>
      <c r="M2318" s="394" t="e">
        <f ca="1">IF(NOT(OFFSET(Data!E2321,0,MATCH('Delta Beta'!$C$5,Data!$B$4:$Q$4,0)-1)=""),OFFSET(Data!E2321,0,MATCH('Delta Beta'!$C$5,Data!$B$4:$Q$4,0)-1),#N/A)-$C$8/250</f>
        <v>#N/A</v>
      </c>
      <c r="N2318" s="395"/>
      <c r="R2318" s="391"/>
    </row>
    <row r="2319" spans="12:18">
      <c r="L2319" s="394" t="e">
        <f ca="1">IF(NOT(OFFSET(Data!E2322,0,MATCH('Delta Beta'!$C$5,Data!$B$4:$Q$4,0)-3)=""),OFFSET(Data!E2322,0,MATCH('Delta Beta'!$C$5,Data!$B$4:$Q$4,0)-3),#N/A)-$C$8/250</f>
        <v>#N/A</v>
      </c>
      <c r="M2319" s="394" t="e">
        <f ca="1">IF(NOT(OFFSET(Data!E2322,0,MATCH('Delta Beta'!$C$5,Data!$B$4:$Q$4,0)-1)=""),OFFSET(Data!E2322,0,MATCH('Delta Beta'!$C$5,Data!$B$4:$Q$4,0)-1),#N/A)-$C$8/250</f>
        <v>#N/A</v>
      </c>
      <c r="N2319" s="395"/>
      <c r="R2319" s="391"/>
    </row>
    <row r="2320" spans="12:18">
      <c r="L2320" s="394" t="e">
        <f ca="1">IF(NOT(OFFSET(Data!E2323,0,MATCH('Delta Beta'!$C$5,Data!$B$4:$Q$4,0)-3)=""),OFFSET(Data!E2323,0,MATCH('Delta Beta'!$C$5,Data!$B$4:$Q$4,0)-3),#N/A)-$C$8/250</f>
        <v>#N/A</v>
      </c>
      <c r="M2320" s="394" t="e">
        <f ca="1">IF(NOT(OFFSET(Data!E2323,0,MATCH('Delta Beta'!$C$5,Data!$B$4:$Q$4,0)-1)=""),OFFSET(Data!E2323,0,MATCH('Delta Beta'!$C$5,Data!$B$4:$Q$4,0)-1),#N/A)-$C$8/250</f>
        <v>#N/A</v>
      </c>
      <c r="N2320" s="395"/>
      <c r="R2320" s="391"/>
    </row>
    <row r="2321" spans="12:18">
      <c r="L2321" s="394" t="e">
        <f ca="1">IF(NOT(OFFSET(Data!E2324,0,MATCH('Delta Beta'!$C$5,Data!$B$4:$Q$4,0)-3)=""),OFFSET(Data!E2324,0,MATCH('Delta Beta'!$C$5,Data!$B$4:$Q$4,0)-3),#N/A)-$C$8/250</f>
        <v>#N/A</v>
      </c>
      <c r="M2321" s="394" t="e">
        <f ca="1">IF(NOT(OFFSET(Data!E2324,0,MATCH('Delta Beta'!$C$5,Data!$B$4:$Q$4,0)-1)=""),OFFSET(Data!E2324,0,MATCH('Delta Beta'!$C$5,Data!$B$4:$Q$4,0)-1),#N/A)-$C$8/250</f>
        <v>#N/A</v>
      </c>
      <c r="N2321" s="395"/>
      <c r="R2321" s="391"/>
    </row>
    <row r="2322" spans="12:18">
      <c r="L2322" s="394" t="e">
        <f ca="1">IF(NOT(OFFSET(Data!E2325,0,MATCH('Delta Beta'!$C$5,Data!$B$4:$Q$4,0)-3)=""),OFFSET(Data!E2325,0,MATCH('Delta Beta'!$C$5,Data!$B$4:$Q$4,0)-3),#N/A)-$C$8/250</f>
        <v>#N/A</v>
      </c>
      <c r="M2322" s="394" t="e">
        <f ca="1">IF(NOT(OFFSET(Data!E2325,0,MATCH('Delta Beta'!$C$5,Data!$B$4:$Q$4,0)-1)=""),OFFSET(Data!E2325,0,MATCH('Delta Beta'!$C$5,Data!$B$4:$Q$4,0)-1),#N/A)-$C$8/250</f>
        <v>#N/A</v>
      </c>
      <c r="N2322" s="395"/>
      <c r="R2322" s="391"/>
    </row>
    <row r="2323" spans="12:18">
      <c r="L2323" s="394" t="e">
        <f ca="1">IF(NOT(OFFSET(Data!E2326,0,MATCH('Delta Beta'!$C$5,Data!$B$4:$Q$4,0)-3)=""),OFFSET(Data!E2326,0,MATCH('Delta Beta'!$C$5,Data!$B$4:$Q$4,0)-3),#N/A)-$C$8/250</f>
        <v>#N/A</v>
      </c>
      <c r="M2323" s="394" t="e">
        <f ca="1">IF(NOT(OFFSET(Data!E2326,0,MATCH('Delta Beta'!$C$5,Data!$B$4:$Q$4,0)-1)=""),OFFSET(Data!E2326,0,MATCH('Delta Beta'!$C$5,Data!$B$4:$Q$4,0)-1),#N/A)-$C$8/250</f>
        <v>#N/A</v>
      </c>
      <c r="N2323" s="395"/>
      <c r="R2323" s="391"/>
    </row>
    <row r="2324" spans="12:18">
      <c r="L2324" s="394" t="e">
        <f ca="1">IF(NOT(OFFSET(Data!E2327,0,MATCH('Delta Beta'!$C$5,Data!$B$4:$Q$4,0)-3)=""),OFFSET(Data!E2327,0,MATCH('Delta Beta'!$C$5,Data!$B$4:$Q$4,0)-3),#N/A)-$C$8/250</f>
        <v>#N/A</v>
      </c>
      <c r="M2324" s="394" t="e">
        <f ca="1">IF(NOT(OFFSET(Data!E2327,0,MATCH('Delta Beta'!$C$5,Data!$B$4:$Q$4,0)-1)=""),OFFSET(Data!E2327,0,MATCH('Delta Beta'!$C$5,Data!$B$4:$Q$4,0)-1),#N/A)-$C$8/250</f>
        <v>#N/A</v>
      </c>
      <c r="N2324" s="395"/>
      <c r="R2324" s="391"/>
    </row>
    <row r="2325" spans="12:18">
      <c r="L2325" s="394" t="e">
        <f ca="1">IF(NOT(OFFSET(Data!E2328,0,MATCH('Delta Beta'!$C$5,Data!$B$4:$Q$4,0)-3)=""),OFFSET(Data!E2328,0,MATCH('Delta Beta'!$C$5,Data!$B$4:$Q$4,0)-3),#N/A)-$C$8/250</f>
        <v>#N/A</v>
      </c>
      <c r="M2325" s="394" t="e">
        <f ca="1">IF(NOT(OFFSET(Data!E2328,0,MATCH('Delta Beta'!$C$5,Data!$B$4:$Q$4,0)-1)=""),OFFSET(Data!E2328,0,MATCH('Delta Beta'!$C$5,Data!$B$4:$Q$4,0)-1),#N/A)-$C$8/250</f>
        <v>#N/A</v>
      </c>
      <c r="N2325" s="395"/>
      <c r="R2325" s="391"/>
    </row>
    <row r="2326" spans="12:18">
      <c r="L2326" s="394" t="e">
        <f ca="1">IF(NOT(OFFSET(Data!E2329,0,MATCH('Delta Beta'!$C$5,Data!$B$4:$Q$4,0)-3)=""),OFFSET(Data!E2329,0,MATCH('Delta Beta'!$C$5,Data!$B$4:$Q$4,0)-3),#N/A)-$C$8/250</f>
        <v>#N/A</v>
      </c>
      <c r="M2326" s="394" t="e">
        <f ca="1">IF(NOT(OFFSET(Data!E2329,0,MATCH('Delta Beta'!$C$5,Data!$B$4:$Q$4,0)-1)=""),OFFSET(Data!E2329,0,MATCH('Delta Beta'!$C$5,Data!$B$4:$Q$4,0)-1),#N/A)-$C$8/250</f>
        <v>#N/A</v>
      </c>
      <c r="N2326" s="395"/>
      <c r="R2326" s="391"/>
    </row>
    <row r="2327" spans="12:18">
      <c r="L2327" s="394" t="e">
        <f ca="1">IF(NOT(OFFSET(Data!E2330,0,MATCH('Delta Beta'!$C$5,Data!$B$4:$Q$4,0)-3)=""),OFFSET(Data!E2330,0,MATCH('Delta Beta'!$C$5,Data!$B$4:$Q$4,0)-3),#N/A)-$C$8/250</f>
        <v>#N/A</v>
      </c>
      <c r="M2327" s="394" t="e">
        <f ca="1">IF(NOT(OFFSET(Data!E2330,0,MATCH('Delta Beta'!$C$5,Data!$B$4:$Q$4,0)-1)=""),OFFSET(Data!E2330,0,MATCH('Delta Beta'!$C$5,Data!$B$4:$Q$4,0)-1),#N/A)-$C$8/250</f>
        <v>#N/A</v>
      </c>
      <c r="N2327" s="395"/>
      <c r="R2327" s="391"/>
    </row>
    <row r="2328" spans="12:18">
      <c r="L2328" s="394" t="e">
        <f ca="1">IF(NOT(OFFSET(Data!E2331,0,MATCH('Delta Beta'!$C$5,Data!$B$4:$Q$4,0)-3)=""),OFFSET(Data!E2331,0,MATCH('Delta Beta'!$C$5,Data!$B$4:$Q$4,0)-3),#N/A)-$C$8/250</f>
        <v>#N/A</v>
      </c>
      <c r="M2328" s="394" t="e">
        <f ca="1">IF(NOT(OFFSET(Data!E2331,0,MATCH('Delta Beta'!$C$5,Data!$B$4:$Q$4,0)-1)=""),OFFSET(Data!E2331,0,MATCH('Delta Beta'!$C$5,Data!$B$4:$Q$4,0)-1),#N/A)-$C$8/250</f>
        <v>#N/A</v>
      </c>
      <c r="N2328" s="395"/>
      <c r="R2328" s="391"/>
    </row>
    <row r="2329" spans="12:18">
      <c r="L2329" s="394" t="e">
        <f ca="1">IF(NOT(OFFSET(Data!E2332,0,MATCH('Delta Beta'!$C$5,Data!$B$4:$Q$4,0)-3)=""),OFFSET(Data!E2332,0,MATCH('Delta Beta'!$C$5,Data!$B$4:$Q$4,0)-3),#N/A)-$C$8/250</f>
        <v>#N/A</v>
      </c>
      <c r="M2329" s="394" t="e">
        <f ca="1">IF(NOT(OFFSET(Data!E2332,0,MATCH('Delta Beta'!$C$5,Data!$B$4:$Q$4,0)-1)=""),OFFSET(Data!E2332,0,MATCH('Delta Beta'!$C$5,Data!$B$4:$Q$4,0)-1),#N/A)-$C$8/250</f>
        <v>#N/A</v>
      </c>
      <c r="N2329" s="395"/>
      <c r="R2329" s="391"/>
    </row>
    <row r="2330" spans="12:18">
      <c r="L2330" s="394" t="e">
        <f ca="1">IF(NOT(OFFSET(Data!E2333,0,MATCH('Delta Beta'!$C$5,Data!$B$4:$Q$4,0)-3)=""),OFFSET(Data!E2333,0,MATCH('Delta Beta'!$C$5,Data!$B$4:$Q$4,0)-3),#N/A)-$C$8/250</f>
        <v>#N/A</v>
      </c>
      <c r="M2330" s="394" t="e">
        <f ca="1">IF(NOT(OFFSET(Data!E2333,0,MATCH('Delta Beta'!$C$5,Data!$B$4:$Q$4,0)-1)=""),OFFSET(Data!E2333,0,MATCH('Delta Beta'!$C$5,Data!$B$4:$Q$4,0)-1),#N/A)-$C$8/250</f>
        <v>#N/A</v>
      </c>
      <c r="N2330" s="395"/>
      <c r="R2330" s="391"/>
    </row>
    <row r="2331" spans="12:18">
      <c r="L2331" s="394" t="e">
        <f ca="1">IF(NOT(OFFSET(Data!E2334,0,MATCH('Delta Beta'!$C$5,Data!$B$4:$Q$4,0)-3)=""),OFFSET(Data!E2334,0,MATCH('Delta Beta'!$C$5,Data!$B$4:$Q$4,0)-3),#N/A)-$C$8/250</f>
        <v>#N/A</v>
      </c>
      <c r="M2331" s="394" t="e">
        <f ca="1">IF(NOT(OFFSET(Data!E2334,0,MATCH('Delta Beta'!$C$5,Data!$B$4:$Q$4,0)-1)=""),OFFSET(Data!E2334,0,MATCH('Delta Beta'!$C$5,Data!$B$4:$Q$4,0)-1),#N/A)-$C$8/250</f>
        <v>#N/A</v>
      </c>
      <c r="N2331" s="395"/>
      <c r="R2331" s="391"/>
    </row>
    <row r="2332" spans="12:18">
      <c r="L2332" s="394" t="e">
        <f ca="1">IF(NOT(OFFSET(Data!E2335,0,MATCH('Delta Beta'!$C$5,Data!$B$4:$Q$4,0)-3)=""),OFFSET(Data!E2335,0,MATCH('Delta Beta'!$C$5,Data!$B$4:$Q$4,0)-3),#N/A)-$C$8/250</f>
        <v>#N/A</v>
      </c>
      <c r="M2332" s="394" t="e">
        <f ca="1">IF(NOT(OFFSET(Data!E2335,0,MATCH('Delta Beta'!$C$5,Data!$B$4:$Q$4,0)-1)=""),OFFSET(Data!E2335,0,MATCH('Delta Beta'!$C$5,Data!$B$4:$Q$4,0)-1),#N/A)-$C$8/250</f>
        <v>#N/A</v>
      </c>
      <c r="N2332" s="395"/>
      <c r="R2332" s="391"/>
    </row>
    <row r="2333" spans="12:18">
      <c r="L2333" s="394" t="e">
        <f ca="1">IF(NOT(OFFSET(Data!E2336,0,MATCH('Delta Beta'!$C$5,Data!$B$4:$Q$4,0)-3)=""),OFFSET(Data!E2336,0,MATCH('Delta Beta'!$C$5,Data!$B$4:$Q$4,0)-3),#N/A)-$C$8/250</f>
        <v>#N/A</v>
      </c>
      <c r="M2333" s="394" t="e">
        <f ca="1">IF(NOT(OFFSET(Data!E2336,0,MATCH('Delta Beta'!$C$5,Data!$B$4:$Q$4,0)-1)=""),OFFSET(Data!E2336,0,MATCH('Delta Beta'!$C$5,Data!$B$4:$Q$4,0)-1),#N/A)-$C$8/250</f>
        <v>#N/A</v>
      </c>
      <c r="N2333" s="395"/>
      <c r="R2333" s="391"/>
    </row>
    <row r="2334" spans="12:18">
      <c r="L2334" s="394" t="e">
        <f ca="1">IF(NOT(OFFSET(Data!E2337,0,MATCH('Delta Beta'!$C$5,Data!$B$4:$Q$4,0)-3)=""),OFFSET(Data!E2337,0,MATCH('Delta Beta'!$C$5,Data!$B$4:$Q$4,0)-3),#N/A)-$C$8/250</f>
        <v>#N/A</v>
      </c>
      <c r="M2334" s="394" t="e">
        <f ca="1">IF(NOT(OFFSET(Data!E2337,0,MATCH('Delta Beta'!$C$5,Data!$B$4:$Q$4,0)-1)=""),OFFSET(Data!E2337,0,MATCH('Delta Beta'!$C$5,Data!$B$4:$Q$4,0)-1),#N/A)-$C$8/250</f>
        <v>#N/A</v>
      </c>
      <c r="N2334" s="395"/>
      <c r="R2334" s="391"/>
    </row>
    <row r="2335" spans="12:18">
      <c r="L2335" s="394" t="e">
        <f ca="1">IF(NOT(OFFSET(Data!E2338,0,MATCH('Delta Beta'!$C$5,Data!$B$4:$Q$4,0)-3)=""),OFFSET(Data!E2338,0,MATCH('Delta Beta'!$C$5,Data!$B$4:$Q$4,0)-3),#N/A)-$C$8/250</f>
        <v>#N/A</v>
      </c>
      <c r="M2335" s="394" t="e">
        <f ca="1">IF(NOT(OFFSET(Data!E2338,0,MATCH('Delta Beta'!$C$5,Data!$B$4:$Q$4,0)-1)=""),OFFSET(Data!E2338,0,MATCH('Delta Beta'!$C$5,Data!$B$4:$Q$4,0)-1),#N/A)-$C$8/250</f>
        <v>#N/A</v>
      </c>
      <c r="N2335" s="395"/>
      <c r="R2335" s="391"/>
    </row>
    <row r="2336" spans="12:18">
      <c r="L2336" s="394" t="e">
        <f ca="1">IF(NOT(OFFSET(Data!E2339,0,MATCH('Delta Beta'!$C$5,Data!$B$4:$Q$4,0)-3)=""),OFFSET(Data!E2339,0,MATCH('Delta Beta'!$C$5,Data!$B$4:$Q$4,0)-3),#N/A)-$C$8/250</f>
        <v>#N/A</v>
      </c>
      <c r="M2336" s="394" t="e">
        <f ca="1">IF(NOT(OFFSET(Data!E2339,0,MATCH('Delta Beta'!$C$5,Data!$B$4:$Q$4,0)-1)=""),OFFSET(Data!E2339,0,MATCH('Delta Beta'!$C$5,Data!$B$4:$Q$4,0)-1),#N/A)-$C$8/250</f>
        <v>#N/A</v>
      </c>
      <c r="N2336" s="395"/>
      <c r="R2336" s="391"/>
    </row>
    <row r="2337" spans="12:18">
      <c r="L2337" s="394" t="e">
        <f ca="1">IF(NOT(OFFSET(Data!E2340,0,MATCH('Delta Beta'!$C$5,Data!$B$4:$Q$4,0)-3)=""),OFFSET(Data!E2340,0,MATCH('Delta Beta'!$C$5,Data!$B$4:$Q$4,0)-3),#N/A)-$C$8/250</f>
        <v>#N/A</v>
      </c>
      <c r="M2337" s="394" t="e">
        <f ca="1">IF(NOT(OFFSET(Data!E2340,0,MATCH('Delta Beta'!$C$5,Data!$B$4:$Q$4,0)-1)=""),OFFSET(Data!E2340,0,MATCH('Delta Beta'!$C$5,Data!$B$4:$Q$4,0)-1),#N/A)-$C$8/250</f>
        <v>#N/A</v>
      </c>
      <c r="N2337" s="395"/>
      <c r="R2337" s="391"/>
    </row>
    <row r="2338" spans="12:18">
      <c r="L2338" s="394" t="e">
        <f ca="1">IF(NOT(OFFSET(Data!E2341,0,MATCH('Delta Beta'!$C$5,Data!$B$4:$Q$4,0)-3)=""),OFFSET(Data!E2341,0,MATCH('Delta Beta'!$C$5,Data!$B$4:$Q$4,0)-3),#N/A)-$C$8/250</f>
        <v>#N/A</v>
      </c>
      <c r="M2338" s="394" t="e">
        <f ca="1">IF(NOT(OFFSET(Data!E2341,0,MATCH('Delta Beta'!$C$5,Data!$B$4:$Q$4,0)-1)=""),OFFSET(Data!E2341,0,MATCH('Delta Beta'!$C$5,Data!$B$4:$Q$4,0)-1),#N/A)-$C$8/250</f>
        <v>#N/A</v>
      </c>
      <c r="N2338" s="395"/>
      <c r="R2338" s="391"/>
    </row>
    <row r="2339" spans="12:18">
      <c r="L2339" s="394" t="e">
        <f ca="1">IF(NOT(OFFSET(Data!E2342,0,MATCH('Delta Beta'!$C$5,Data!$B$4:$Q$4,0)-3)=""),OFFSET(Data!E2342,0,MATCH('Delta Beta'!$C$5,Data!$B$4:$Q$4,0)-3),#N/A)-$C$8/250</f>
        <v>#N/A</v>
      </c>
      <c r="M2339" s="394" t="e">
        <f ca="1">IF(NOT(OFFSET(Data!E2342,0,MATCH('Delta Beta'!$C$5,Data!$B$4:$Q$4,0)-1)=""),OFFSET(Data!E2342,0,MATCH('Delta Beta'!$C$5,Data!$B$4:$Q$4,0)-1),#N/A)-$C$8/250</f>
        <v>#N/A</v>
      </c>
      <c r="N2339" s="395"/>
      <c r="R2339" s="391"/>
    </row>
    <row r="2340" spans="12:18">
      <c r="L2340" s="394" t="e">
        <f ca="1">IF(NOT(OFFSET(Data!E2343,0,MATCH('Delta Beta'!$C$5,Data!$B$4:$Q$4,0)-3)=""),OFFSET(Data!E2343,0,MATCH('Delta Beta'!$C$5,Data!$B$4:$Q$4,0)-3),#N/A)-$C$8/250</f>
        <v>#N/A</v>
      </c>
      <c r="M2340" s="394" t="e">
        <f ca="1">IF(NOT(OFFSET(Data!E2343,0,MATCH('Delta Beta'!$C$5,Data!$B$4:$Q$4,0)-1)=""),OFFSET(Data!E2343,0,MATCH('Delta Beta'!$C$5,Data!$B$4:$Q$4,0)-1),#N/A)-$C$8/250</f>
        <v>#N/A</v>
      </c>
      <c r="N2340" s="395"/>
      <c r="R2340" s="391"/>
    </row>
    <row r="2341" spans="12:18">
      <c r="L2341" s="394" t="e">
        <f ca="1">IF(NOT(OFFSET(Data!E2344,0,MATCH('Delta Beta'!$C$5,Data!$B$4:$Q$4,0)-3)=""),OFFSET(Data!E2344,0,MATCH('Delta Beta'!$C$5,Data!$B$4:$Q$4,0)-3),#N/A)-$C$8/250</f>
        <v>#N/A</v>
      </c>
      <c r="M2341" s="394" t="e">
        <f ca="1">IF(NOT(OFFSET(Data!E2344,0,MATCH('Delta Beta'!$C$5,Data!$B$4:$Q$4,0)-1)=""),OFFSET(Data!E2344,0,MATCH('Delta Beta'!$C$5,Data!$B$4:$Q$4,0)-1),#N/A)-$C$8/250</f>
        <v>#N/A</v>
      </c>
      <c r="N2341" s="395"/>
      <c r="R2341" s="391"/>
    </row>
    <row r="2342" spans="12:18">
      <c r="L2342" s="394" t="e">
        <f ca="1">IF(NOT(OFFSET(Data!E2345,0,MATCH('Delta Beta'!$C$5,Data!$B$4:$Q$4,0)-3)=""),OFFSET(Data!E2345,0,MATCH('Delta Beta'!$C$5,Data!$B$4:$Q$4,0)-3),#N/A)-$C$8/250</f>
        <v>#N/A</v>
      </c>
      <c r="M2342" s="394" t="e">
        <f ca="1">IF(NOT(OFFSET(Data!E2345,0,MATCH('Delta Beta'!$C$5,Data!$B$4:$Q$4,0)-1)=""),OFFSET(Data!E2345,0,MATCH('Delta Beta'!$C$5,Data!$B$4:$Q$4,0)-1),#N/A)-$C$8/250</f>
        <v>#N/A</v>
      </c>
      <c r="N2342" s="395"/>
      <c r="R2342" s="391"/>
    </row>
    <row r="2343" spans="12:18">
      <c r="L2343" s="394" t="e">
        <f ca="1">IF(NOT(OFFSET(Data!E2346,0,MATCH('Delta Beta'!$C$5,Data!$B$4:$Q$4,0)-3)=""),OFFSET(Data!E2346,0,MATCH('Delta Beta'!$C$5,Data!$B$4:$Q$4,0)-3),#N/A)-$C$8/250</f>
        <v>#N/A</v>
      </c>
      <c r="M2343" s="394" t="e">
        <f ca="1">IF(NOT(OFFSET(Data!E2346,0,MATCH('Delta Beta'!$C$5,Data!$B$4:$Q$4,0)-1)=""),OFFSET(Data!E2346,0,MATCH('Delta Beta'!$C$5,Data!$B$4:$Q$4,0)-1),#N/A)-$C$8/250</f>
        <v>#N/A</v>
      </c>
      <c r="N2343" s="395"/>
      <c r="R2343" s="391"/>
    </row>
    <row r="2344" spans="12:18">
      <c r="L2344" s="394" t="e">
        <f ca="1">IF(NOT(OFFSET(Data!E2347,0,MATCH('Delta Beta'!$C$5,Data!$B$4:$Q$4,0)-3)=""),OFFSET(Data!E2347,0,MATCH('Delta Beta'!$C$5,Data!$B$4:$Q$4,0)-3),#N/A)-$C$8/250</f>
        <v>#N/A</v>
      </c>
      <c r="M2344" s="394" t="e">
        <f ca="1">IF(NOT(OFFSET(Data!E2347,0,MATCH('Delta Beta'!$C$5,Data!$B$4:$Q$4,0)-1)=""),OFFSET(Data!E2347,0,MATCH('Delta Beta'!$C$5,Data!$B$4:$Q$4,0)-1),#N/A)-$C$8/250</f>
        <v>#N/A</v>
      </c>
      <c r="N2344" s="395"/>
      <c r="R2344" s="391"/>
    </row>
    <row r="2345" spans="12:18">
      <c r="L2345" s="394" t="e">
        <f ca="1">IF(NOT(OFFSET(Data!E2348,0,MATCH('Delta Beta'!$C$5,Data!$B$4:$Q$4,0)-3)=""),OFFSET(Data!E2348,0,MATCH('Delta Beta'!$C$5,Data!$B$4:$Q$4,0)-3),#N/A)-$C$8/250</f>
        <v>#N/A</v>
      </c>
      <c r="M2345" s="394" t="e">
        <f ca="1">IF(NOT(OFFSET(Data!E2348,0,MATCH('Delta Beta'!$C$5,Data!$B$4:$Q$4,0)-1)=""),OFFSET(Data!E2348,0,MATCH('Delta Beta'!$C$5,Data!$B$4:$Q$4,0)-1),#N/A)-$C$8/250</f>
        <v>#N/A</v>
      </c>
      <c r="N2345" s="395"/>
      <c r="R2345" s="391"/>
    </row>
    <row r="2346" spans="12:18">
      <c r="L2346" s="394" t="e">
        <f ca="1">IF(NOT(OFFSET(Data!E2349,0,MATCH('Delta Beta'!$C$5,Data!$B$4:$Q$4,0)-3)=""),OFFSET(Data!E2349,0,MATCH('Delta Beta'!$C$5,Data!$B$4:$Q$4,0)-3),#N/A)-$C$8/250</f>
        <v>#N/A</v>
      </c>
      <c r="M2346" s="394" t="e">
        <f ca="1">IF(NOT(OFFSET(Data!E2349,0,MATCH('Delta Beta'!$C$5,Data!$B$4:$Q$4,0)-1)=""),OFFSET(Data!E2349,0,MATCH('Delta Beta'!$C$5,Data!$B$4:$Q$4,0)-1),#N/A)-$C$8/250</f>
        <v>#N/A</v>
      </c>
      <c r="N2346" s="395"/>
      <c r="R2346" s="391"/>
    </row>
    <row r="2347" spans="12:18">
      <c r="L2347" s="394" t="e">
        <f ca="1">IF(NOT(OFFSET(Data!E2350,0,MATCH('Delta Beta'!$C$5,Data!$B$4:$Q$4,0)-3)=""),OFFSET(Data!E2350,0,MATCH('Delta Beta'!$C$5,Data!$B$4:$Q$4,0)-3),#N/A)-$C$8/250</f>
        <v>#N/A</v>
      </c>
      <c r="M2347" s="394" t="e">
        <f ca="1">IF(NOT(OFFSET(Data!E2350,0,MATCH('Delta Beta'!$C$5,Data!$B$4:$Q$4,0)-1)=""),OFFSET(Data!E2350,0,MATCH('Delta Beta'!$C$5,Data!$B$4:$Q$4,0)-1),#N/A)-$C$8/250</f>
        <v>#N/A</v>
      </c>
      <c r="N2347" s="395"/>
      <c r="R2347" s="391"/>
    </row>
    <row r="2348" spans="12:18">
      <c r="L2348" s="394" t="e">
        <f ca="1">IF(NOT(OFFSET(Data!E2351,0,MATCH('Delta Beta'!$C$5,Data!$B$4:$Q$4,0)-3)=""),OFFSET(Data!E2351,0,MATCH('Delta Beta'!$C$5,Data!$B$4:$Q$4,0)-3),#N/A)-$C$8/250</f>
        <v>#N/A</v>
      </c>
      <c r="M2348" s="394" t="e">
        <f ca="1">IF(NOT(OFFSET(Data!E2351,0,MATCH('Delta Beta'!$C$5,Data!$B$4:$Q$4,0)-1)=""),OFFSET(Data!E2351,0,MATCH('Delta Beta'!$C$5,Data!$B$4:$Q$4,0)-1),#N/A)-$C$8/250</f>
        <v>#N/A</v>
      </c>
      <c r="N2348" s="395"/>
      <c r="R2348" s="391"/>
    </row>
    <row r="2349" spans="12:18">
      <c r="L2349" s="394" t="e">
        <f ca="1">IF(NOT(OFFSET(Data!E2352,0,MATCH('Delta Beta'!$C$5,Data!$B$4:$Q$4,0)-3)=""),OFFSET(Data!E2352,0,MATCH('Delta Beta'!$C$5,Data!$B$4:$Q$4,0)-3),#N/A)-$C$8/250</f>
        <v>#N/A</v>
      </c>
      <c r="M2349" s="394" t="e">
        <f ca="1">IF(NOT(OFFSET(Data!E2352,0,MATCH('Delta Beta'!$C$5,Data!$B$4:$Q$4,0)-1)=""),OFFSET(Data!E2352,0,MATCH('Delta Beta'!$C$5,Data!$B$4:$Q$4,0)-1),#N/A)-$C$8/250</f>
        <v>#N/A</v>
      </c>
      <c r="N2349" s="395"/>
      <c r="R2349" s="391"/>
    </row>
    <row r="2350" spans="12:18">
      <c r="L2350" s="394" t="e">
        <f ca="1">IF(NOT(OFFSET(Data!E2353,0,MATCH('Delta Beta'!$C$5,Data!$B$4:$Q$4,0)-3)=""),OFFSET(Data!E2353,0,MATCH('Delta Beta'!$C$5,Data!$B$4:$Q$4,0)-3),#N/A)-$C$8/250</f>
        <v>#N/A</v>
      </c>
      <c r="M2350" s="394" t="e">
        <f ca="1">IF(NOT(OFFSET(Data!E2353,0,MATCH('Delta Beta'!$C$5,Data!$B$4:$Q$4,0)-1)=""),OFFSET(Data!E2353,0,MATCH('Delta Beta'!$C$5,Data!$B$4:$Q$4,0)-1),#N/A)-$C$8/250</f>
        <v>#N/A</v>
      </c>
      <c r="N2350" s="395"/>
      <c r="R2350" s="391"/>
    </row>
    <row r="2351" spans="12:18">
      <c r="L2351" s="394" t="e">
        <f ca="1">IF(NOT(OFFSET(Data!E2354,0,MATCH('Delta Beta'!$C$5,Data!$B$4:$Q$4,0)-3)=""),OFFSET(Data!E2354,0,MATCH('Delta Beta'!$C$5,Data!$B$4:$Q$4,0)-3),#N/A)-$C$8/250</f>
        <v>#N/A</v>
      </c>
      <c r="M2351" s="394" t="e">
        <f ca="1">IF(NOT(OFFSET(Data!E2354,0,MATCH('Delta Beta'!$C$5,Data!$B$4:$Q$4,0)-1)=""),OFFSET(Data!E2354,0,MATCH('Delta Beta'!$C$5,Data!$B$4:$Q$4,0)-1),#N/A)-$C$8/250</f>
        <v>#N/A</v>
      </c>
      <c r="N2351" s="395"/>
      <c r="R2351" s="391"/>
    </row>
    <row r="2352" spans="12:18">
      <c r="L2352" s="394" t="e">
        <f ca="1">IF(NOT(OFFSET(Data!E2355,0,MATCH('Delta Beta'!$C$5,Data!$B$4:$Q$4,0)-3)=""),OFFSET(Data!E2355,0,MATCH('Delta Beta'!$C$5,Data!$B$4:$Q$4,0)-3),#N/A)-$C$8/250</f>
        <v>#N/A</v>
      </c>
      <c r="M2352" s="394" t="e">
        <f ca="1">IF(NOT(OFFSET(Data!E2355,0,MATCH('Delta Beta'!$C$5,Data!$B$4:$Q$4,0)-1)=""),OFFSET(Data!E2355,0,MATCH('Delta Beta'!$C$5,Data!$B$4:$Q$4,0)-1),#N/A)-$C$8/250</f>
        <v>#N/A</v>
      </c>
      <c r="N2352" s="395"/>
      <c r="R2352" s="391"/>
    </row>
    <row r="2353" spans="12:18">
      <c r="L2353" s="394" t="e">
        <f ca="1">IF(NOT(OFFSET(Data!E2356,0,MATCH('Delta Beta'!$C$5,Data!$B$4:$Q$4,0)-3)=""),OFFSET(Data!E2356,0,MATCH('Delta Beta'!$C$5,Data!$B$4:$Q$4,0)-3),#N/A)-$C$8/250</f>
        <v>#N/A</v>
      </c>
      <c r="M2353" s="394" t="e">
        <f ca="1">IF(NOT(OFFSET(Data!E2356,0,MATCH('Delta Beta'!$C$5,Data!$B$4:$Q$4,0)-1)=""),OFFSET(Data!E2356,0,MATCH('Delta Beta'!$C$5,Data!$B$4:$Q$4,0)-1),#N/A)-$C$8/250</f>
        <v>#N/A</v>
      </c>
      <c r="N2353" s="395"/>
      <c r="R2353" s="391"/>
    </row>
    <row r="2354" spans="12:18">
      <c r="L2354" s="394" t="e">
        <f ca="1">IF(NOT(OFFSET(Data!E2357,0,MATCH('Delta Beta'!$C$5,Data!$B$4:$Q$4,0)-3)=""),OFFSET(Data!E2357,0,MATCH('Delta Beta'!$C$5,Data!$B$4:$Q$4,0)-3),#N/A)-$C$8/250</f>
        <v>#N/A</v>
      </c>
      <c r="M2354" s="394" t="e">
        <f ca="1">IF(NOT(OFFSET(Data!E2357,0,MATCH('Delta Beta'!$C$5,Data!$B$4:$Q$4,0)-1)=""),OFFSET(Data!E2357,0,MATCH('Delta Beta'!$C$5,Data!$B$4:$Q$4,0)-1),#N/A)-$C$8/250</f>
        <v>#N/A</v>
      </c>
      <c r="N2354" s="395"/>
      <c r="R2354" s="391"/>
    </row>
    <row r="2355" spans="12:18">
      <c r="L2355" s="394" t="e">
        <f ca="1">IF(NOT(OFFSET(Data!E2358,0,MATCH('Delta Beta'!$C$5,Data!$B$4:$Q$4,0)-3)=""),OFFSET(Data!E2358,0,MATCH('Delta Beta'!$C$5,Data!$B$4:$Q$4,0)-3),#N/A)-$C$8/250</f>
        <v>#N/A</v>
      </c>
      <c r="M2355" s="394" t="e">
        <f ca="1">IF(NOT(OFFSET(Data!E2358,0,MATCH('Delta Beta'!$C$5,Data!$B$4:$Q$4,0)-1)=""),OFFSET(Data!E2358,0,MATCH('Delta Beta'!$C$5,Data!$B$4:$Q$4,0)-1),#N/A)-$C$8/250</f>
        <v>#N/A</v>
      </c>
      <c r="N2355" s="395"/>
      <c r="R2355" s="391"/>
    </row>
    <row r="2356" spans="12:18">
      <c r="L2356" s="394" t="e">
        <f ca="1">IF(NOT(OFFSET(Data!E2359,0,MATCH('Delta Beta'!$C$5,Data!$B$4:$Q$4,0)-3)=""),OFFSET(Data!E2359,0,MATCH('Delta Beta'!$C$5,Data!$B$4:$Q$4,0)-3),#N/A)-$C$8/250</f>
        <v>#N/A</v>
      </c>
      <c r="M2356" s="394" t="e">
        <f ca="1">IF(NOT(OFFSET(Data!E2359,0,MATCH('Delta Beta'!$C$5,Data!$B$4:$Q$4,0)-1)=""),OFFSET(Data!E2359,0,MATCH('Delta Beta'!$C$5,Data!$B$4:$Q$4,0)-1),#N/A)-$C$8/250</f>
        <v>#N/A</v>
      </c>
      <c r="N2356" s="395"/>
      <c r="R2356" s="391"/>
    </row>
    <row r="2357" spans="12:18">
      <c r="L2357" s="394" t="e">
        <f ca="1">IF(NOT(OFFSET(Data!E2360,0,MATCH('Delta Beta'!$C$5,Data!$B$4:$Q$4,0)-3)=""),OFFSET(Data!E2360,0,MATCH('Delta Beta'!$C$5,Data!$B$4:$Q$4,0)-3),#N/A)-$C$8/250</f>
        <v>#N/A</v>
      </c>
      <c r="M2357" s="394" t="e">
        <f ca="1">IF(NOT(OFFSET(Data!E2360,0,MATCH('Delta Beta'!$C$5,Data!$B$4:$Q$4,0)-1)=""),OFFSET(Data!E2360,0,MATCH('Delta Beta'!$C$5,Data!$B$4:$Q$4,0)-1),#N/A)-$C$8/250</f>
        <v>#N/A</v>
      </c>
      <c r="N2357" s="395"/>
      <c r="R2357" s="391"/>
    </row>
    <row r="2358" spans="12:18">
      <c r="L2358" s="394" t="e">
        <f ca="1">IF(NOT(OFFSET(Data!E2361,0,MATCH('Delta Beta'!$C$5,Data!$B$4:$Q$4,0)-3)=""),OFFSET(Data!E2361,0,MATCH('Delta Beta'!$C$5,Data!$B$4:$Q$4,0)-3),#N/A)-$C$8/250</f>
        <v>#N/A</v>
      </c>
      <c r="M2358" s="394" t="e">
        <f ca="1">IF(NOT(OFFSET(Data!E2361,0,MATCH('Delta Beta'!$C$5,Data!$B$4:$Q$4,0)-1)=""),OFFSET(Data!E2361,0,MATCH('Delta Beta'!$C$5,Data!$B$4:$Q$4,0)-1),#N/A)-$C$8/250</f>
        <v>#N/A</v>
      </c>
      <c r="N2358" s="395"/>
      <c r="R2358" s="391"/>
    </row>
    <row r="2359" spans="12:18">
      <c r="L2359" s="394" t="e">
        <f ca="1">IF(NOT(OFFSET(Data!E2362,0,MATCH('Delta Beta'!$C$5,Data!$B$4:$Q$4,0)-3)=""),OFFSET(Data!E2362,0,MATCH('Delta Beta'!$C$5,Data!$B$4:$Q$4,0)-3),#N/A)-$C$8/250</f>
        <v>#N/A</v>
      </c>
      <c r="M2359" s="394" t="e">
        <f ca="1">IF(NOT(OFFSET(Data!E2362,0,MATCH('Delta Beta'!$C$5,Data!$B$4:$Q$4,0)-1)=""),OFFSET(Data!E2362,0,MATCH('Delta Beta'!$C$5,Data!$B$4:$Q$4,0)-1),#N/A)-$C$8/250</f>
        <v>#N/A</v>
      </c>
      <c r="N2359" s="395"/>
      <c r="R2359" s="391"/>
    </row>
    <row r="2360" spans="12:18">
      <c r="L2360" s="394" t="e">
        <f ca="1">IF(NOT(OFFSET(Data!E2363,0,MATCH('Delta Beta'!$C$5,Data!$B$4:$Q$4,0)-3)=""),OFFSET(Data!E2363,0,MATCH('Delta Beta'!$C$5,Data!$B$4:$Q$4,0)-3),#N/A)-$C$8/250</f>
        <v>#N/A</v>
      </c>
      <c r="M2360" s="394" t="e">
        <f ca="1">IF(NOT(OFFSET(Data!E2363,0,MATCH('Delta Beta'!$C$5,Data!$B$4:$Q$4,0)-1)=""),OFFSET(Data!E2363,0,MATCH('Delta Beta'!$C$5,Data!$B$4:$Q$4,0)-1),#N/A)-$C$8/250</f>
        <v>#N/A</v>
      </c>
      <c r="N2360" s="395"/>
      <c r="R2360" s="391"/>
    </row>
    <row r="2361" spans="12:18">
      <c r="L2361" s="394" t="e">
        <f ca="1">IF(NOT(OFFSET(Data!E2364,0,MATCH('Delta Beta'!$C$5,Data!$B$4:$Q$4,0)-3)=""),OFFSET(Data!E2364,0,MATCH('Delta Beta'!$C$5,Data!$B$4:$Q$4,0)-3),#N/A)-$C$8/250</f>
        <v>#N/A</v>
      </c>
      <c r="M2361" s="394" t="e">
        <f ca="1">IF(NOT(OFFSET(Data!E2364,0,MATCH('Delta Beta'!$C$5,Data!$B$4:$Q$4,0)-1)=""),OFFSET(Data!E2364,0,MATCH('Delta Beta'!$C$5,Data!$B$4:$Q$4,0)-1),#N/A)-$C$8/250</f>
        <v>#N/A</v>
      </c>
      <c r="N2361" s="395"/>
      <c r="R2361" s="391"/>
    </row>
    <row r="2362" spans="12:18">
      <c r="L2362" s="394" t="e">
        <f ca="1">IF(NOT(OFFSET(Data!E2365,0,MATCH('Delta Beta'!$C$5,Data!$B$4:$Q$4,0)-3)=""),OFFSET(Data!E2365,0,MATCH('Delta Beta'!$C$5,Data!$B$4:$Q$4,0)-3),#N/A)-$C$8/250</f>
        <v>#N/A</v>
      </c>
      <c r="M2362" s="394" t="e">
        <f ca="1">IF(NOT(OFFSET(Data!E2365,0,MATCH('Delta Beta'!$C$5,Data!$B$4:$Q$4,0)-1)=""),OFFSET(Data!E2365,0,MATCH('Delta Beta'!$C$5,Data!$B$4:$Q$4,0)-1),#N/A)-$C$8/250</f>
        <v>#N/A</v>
      </c>
      <c r="N2362" s="395"/>
      <c r="R2362" s="391"/>
    </row>
    <row r="2363" spans="12:18">
      <c r="L2363" s="394" t="e">
        <f ca="1">IF(NOT(OFFSET(Data!E2366,0,MATCH('Delta Beta'!$C$5,Data!$B$4:$Q$4,0)-3)=""),OFFSET(Data!E2366,0,MATCH('Delta Beta'!$C$5,Data!$B$4:$Q$4,0)-3),#N/A)-$C$8/250</f>
        <v>#N/A</v>
      </c>
      <c r="M2363" s="394" t="e">
        <f ca="1">IF(NOT(OFFSET(Data!E2366,0,MATCH('Delta Beta'!$C$5,Data!$B$4:$Q$4,0)-1)=""),OFFSET(Data!E2366,0,MATCH('Delta Beta'!$C$5,Data!$B$4:$Q$4,0)-1),#N/A)-$C$8/250</f>
        <v>#N/A</v>
      </c>
      <c r="N2363" s="395"/>
      <c r="R2363" s="391"/>
    </row>
    <row r="2364" spans="12:18">
      <c r="L2364" s="394" t="e">
        <f ca="1">IF(NOT(OFFSET(Data!E2367,0,MATCH('Delta Beta'!$C$5,Data!$B$4:$Q$4,0)-3)=""),OFFSET(Data!E2367,0,MATCH('Delta Beta'!$C$5,Data!$B$4:$Q$4,0)-3),#N/A)-$C$8/250</f>
        <v>#N/A</v>
      </c>
      <c r="M2364" s="394" t="e">
        <f ca="1">IF(NOT(OFFSET(Data!E2367,0,MATCH('Delta Beta'!$C$5,Data!$B$4:$Q$4,0)-1)=""),OFFSET(Data!E2367,0,MATCH('Delta Beta'!$C$5,Data!$B$4:$Q$4,0)-1),#N/A)-$C$8/250</f>
        <v>#N/A</v>
      </c>
      <c r="N2364" s="395"/>
      <c r="R2364" s="391"/>
    </row>
    <row r="2365" spans="12:18">
      <c r="L2365" s="394" t="e">
        <f ca="1">IF(NOT(OFFSET(Data!E2368,0,MATCH('Delta Beta'!$C$5,Data!$B$4:$Q$4,0)-3)=""),OFFSET(Data!E2368,0,MATCH('Delta Beta'!$C$5,Data!$B$4:$Q$4,0)-3),#N/A)-$C$8/250</f>
        <v>#N/A</v>
      </c>
      <c r="M2365" s="394" t="e">
        <f ca="1">IF(NOT(OFFSET(Data!E2368,0,MATCH('Delta Beta'!$C$5,Data!$B$4:$Q$4,0)-1)=""),OFFSET(Data!E2368,0,MATCH('Delta Beta'!$C$5,Data!$B$4:$Q$4,0)-1),#N/A)-$C$8/250</f>
        <v>#N/A</v>
      </c>
      <c r="N2365" s="395"/>
      <c r="R2365" s="391"/>
    </row>
    <row r="2366" spans="12:18">
      <c r="L2366" s="394" t="e">
        <f ca="1">IF(NOT(OFFSET(Data!E2369,0,MATCH('Delta Beta'!$C$5,Data!$B$4:$Q$4,0)-3)=""),OFFSET(Data!E2369,0,MATCH('Delta Beta'!$C$5,Data!$B$4:$Q$4,0)-3),#N/A)-$C$8/250</f>
        <v>#N/A</v>
      </c>
      <c r="M2366" s="394" t="e">
        <f ca="1">IF(NOT(OFFSET(Data!E2369,0,MATCH('Delta Beta'!$C$5,Data!$B$4:$Q$4,0)-1)=""),OFFSET(Data!E2369,0,MATCH('Delta Beta'!$C$5,Data!$B$4:$Q$4,0)-1),#N/A)-$C$8/250</f>
        <v>#N/A</v>
      </c>
      <c r="N2366" s="395"/>
      <c r="R2366" s="391"/>
    </row>
    <row r="2367" spans="12:18">
      <c r="L2367" s="394" t="e">
        <f ca="1">IF(NOT(OFFSET(Data!E2370,0,MATCH('Delta Beta'!$C$5,Data!$B$4:$Q$4,0)-3)=""),OFFSET(Data!E2370,0,MATCH('Delta Beta'!$C$5,Data!$B$4:$Q$4,0)-3),#N/A)-$C$8/250</f>
        <v>#N/A</v>
      </c>
      <c r="M2367" s="394" t="e">
        <f ca="1">IF(NOT(OFFSET(Data!E2370,0,MATCH('Delta Beta'!$C$5,Data!$B$4:$Q$4,0)-1)=""),OFFSET(Data!E2370,0,MATCH('Delta Beta'!$C$5,Data!$B$4:$Q$4,0)-1),#N/A)-$C$8/250</f>
        <v>#N/A</v>
      </c>
      <c r="N2367" s="395"/>
      <c r="R2367" s="391"/>
    </row>
    <row r="2368" spans="12:18">
      <c r="L2368" s="394" t="e">
        <f ca="1">IF(NOT(OFFSET(Data!E2371,0,MATCH('Delta Beta'!$C$5,Data!$B$4:$Q$4,0)-3)=""),OFFSET(Data!E2371,0,MATCH('Delta Beta'!$C$5,Data!$B$4:$Q$4,0)-3),#N/A)-$C$8/250</f>
        <v>#N/A</v>
      </c>
      <c r="M2368" s="394" t="e">
        <f ca="1">IF(NOT(OFFSET(Data!E2371,0,MATCH('Delta Beta'!$C$5,Data!$B$4:$Q$4,0)-1)=""),OFFSET(Data!E2371,0,MATCH('Delta Beta'!$C$5,Data!$B$4:$Q$4,0)-1),#N/A)-$C$8/250</f>
        <v>#N/A</v>
      </c>
      <c r="N2368" s="395"/>
      <c r="R2368" s="391"/>
    </row>
    <row r="2369" spans="12:18">
      <c r="L2369" s="394" t="e">
        <f ca="1">IF(NOT(OFFSET(Data!E2372,0,MATCH('Delta Beta'!$C$5,Data!$B$4:$Q$4,0)-3)=""),OFFSET(Data!E2372,0,MATCH('Delta Beta'!$C$5,Data!$B$4:$Q$4,0)-3),#N/A)-$C$8/250</f>
        <v>#N/A</v>
      </c>
      <c r="M2369" s="394" t="e">
        <f ca="1">IF(NOT(OFFSET(Data!E2372,0,MATCH('Delta Beta'!$C$5,Data!$B$4:$Q$4,0)-1)=""),OFFSET(Data!E2372,0,MATCH('Delta Beta'!$C$5,Data!$B$4:$Q$4,0)-1),#N/A)-$C$8/250</f>
        <v>#N/A</v>
      </c>
      <c r="N2369" s="395"/>
      <c r="R2369" s="391"/>
    </row>
    <row r="2370" spans="12:18">
      <c r="L2370" s="394" t="e">
        <f ca="1">IF(NOT(OFFSET(Data!E2373,0,MATCH('Delta Beta'!$C$5,Data!$B$4:$Q$4,0)-3)=""),OFFSET(Data!E2373,0,MATCH('Delta Beta'!$C$5,Data!$B$4:$Q$4,0)-3),#N/A)-$C$8/250</f>
        <v>#N/A</v>
      </c>
      <c r="M2370" s="394" t="e">
        <f ca="1">IF(NOT(OFFSET(Data!E2373,0,MATCH('Delta Beta'!$C$5,Data!$B$4:$Q$4,0)-1)=""),OFFSET(Data!E2373,0,MATCH('Delta Beta'!$C$5,Data!$B$4:$Q$4,0)-1),#N/A)-$C$8/250</f>
        <v>#N/A</v>
      </c>
      <c r="N2370" s="395"/>
      <c r="R2370" s="391"/>
    </row>
    <row r="2371" spans="12:18">
      <c r="L2371" s="394" t="e">
        <f ca="1">IF(NOT(OFFSET(Data!E2374,0,MATCH('Delta Beta'!$C$5,Data!$B$4:$Q$4,0)-3)=""),OFFSET(Data!E2374,0,MATCH('Delta Beta'!$C$5,Data!$B$4:$Q$4,0)-3),#N/A)-$C$8/250</f>
        <v>#N/A</v>
      </c>
      <c r="M2371" s="394" t="e">
        <f ca="1">IF(NOT(OFFSET(Data!E2374,0,MATCH('Delta Beta'!$C$5,Data!$B$4:$Q$4,0)-1)=""),OFFSET(Data!E2374,0,MATCH('Delta Beta'!$C$5,Data!$B$4:$Q$4,0)-1),#N/A)-$C$8/250</f>
        <v>#N/A</v>
      </c>
      <c r="N2371" s="395"/>
      <c r="R2371" s="391"/>
    </row>
    <row r="2372" spans="12:18">
      <c r="L2372" s="394" t="e">
        <f ca="1">IF(NOT(OFFSET(Data!E2375,0,MATCH('Delta Beta'!$C$5,Data!$B$4:$Q$4,0)-3)=""),OFFSET(Data!E2375,0,MATCH('Delta Beta'!$C$5,Data!$B$4:$Q$4,0)-3),#N/A)-$C$8/250</f>
        <v>#N/A</v>
      </c>
      <c r="M2372" s="394" t="e">
        <f ca="1">IF(NOT(OFFSET(Data!E2375,0,MATCH('Delta Beta'!$C$5,Data!$B$4:$Q$4,0)-1)=""),OFFSET(Data!E2375,0,MATCH('Delta Beta'!$C$5,Data!$B$4:$Q$4,0)-1),#N/A)-$C$8/250</f>
        <v>#N/A</v>
      </c>
      <c r="N2372" s="395"/>
      <c r="R2372" s="391"/>
    </row>
    <row r="2373" spans="12:18">
      <c r="L2373" s="394" t="e">
        <f ca="1">IF(NOT(OFFSET(Data!E2376,0,MATCH('Delta Beta'!$C$5,Data!$B$4:$Q$4,0)-3)=""),OFFSET(Data!E2376,0,MATCH('Delta Beta'!$C$5,Data!$B$4:$Q$4,0)-3),#N/A)-$C$8/250</f>
        <v>#N/A</v>
      </c>
      <c r="M2373" s="394" t="e">
        <f ca="1">IF(NOT(OFFSET(Data!E2376,0,MATCH('Delta Beta'!$C$5,Data!$B$4:$Q$4,0)-1)=""),OFFSET(Data!E2376,0,MATCH('Delta Beta'!$C$5,Data!$B$4:$Q$4,0)-1),#N/A)-$C$8/250</f>
        <v>#N/A</v>
      </c>
      <c r="N2373" s="395"/>
      <c r="R2373" s="391"/>
    </row>
    <row r="2374" spans="12:18">
      <c r="L2374" s="394" t="e">
        <f ca="1">IF(NOT(OFFSET(Data!E2377,0,MATCH('Delta Beta'!$C$5,Data!$B$4:$Q$4,0)-3)=""),OFFSET(Data!E2377,0,MATCH('Delta Beta'!$C$5,Data!$B$4:$Q$4,0)-3),#N/A)-$C$8/250</f>
        <v>#N/A</v>
      </c>
      <c r="M2374" s="394" t="e">
        <f ca="1">IF(NOT(OFFSET(Data!E2377,0,MATCH('Delta Beta'!$C$5,Data!$B$4:$Q$4,0)-1)=""),OFFSET(Data!E2377,0,MATCH('Delta Beta'!$C$5,Data!$B$4:$Q$4,0)-1),#N/A)-$C$8/250</f>
        <v>#N/A</v>
      </c>
      <c r="N2374" s="395"/>
      <c r="R2374" s="391"/>
    </row>
    <row r="2375" spans="12:18">
      <c r="L2375" s="394" t="e">
        <f ca="1">IF(NOT(OFFSET(Data!E2378,0,MATCH('Delta Beta'!$C$5,Data!$B$4:$Q$4,0)-3)=""),OFFSET(Data!E2378,0,MATCH('Delta Beta'!$C$5,Data!$B$4:$Q$4,0)-3),#N/A)-$C$8/250</f>
        <v>#N/A</v>
      </c>
      <c r="M2375" s="394" t="e">
        <f ca="1">IF(NOT(OFFSET(Data!E2378,0,MATCH('Delta Beta'!$C$5,Data!$B$4:$Q$4,0)-1)=""),OFFSET(Data!E2378,0,MATCH('Delta Beta'!$C$5,Data!$B$4:$Q$4,0)-1),#N/A)-$C$8/250</f>
        <v>#N/A</v>
      </c>
      <c r="N2375" s="395"/>
      <c r="R2375" s="391"/>
    </row>
    <row r="2376" spans="12:18">
      <c r="L2376" s="394" t="e">
        <f ca="1">IF(NOT(OFFSET(Data!E2379,0,MATCH('Delta Beta'!$C$5,Data!$B$4:$Q$4,0)-3)=""),OFFSET(Data!E2379,0,MATCH('Delta Beta'!$C$5,Data!$B$4:$Q$4,0)-3),#N/A)-$C$8/250</f>
        <v>#N/A</v>
      </c>
      <c r="M2376" s="394" t="e">
        <f ca="1">IF(NOT(OFFSET(Data!E2379,0,MATCH('Delta Beta'!$C$5,Data!$B$4:$Q$4,0)-1)=""),OFFSET(Data!E2379,0,MATCH('Delta Beta'!$C$5,Data!$B$4:$Q$4,0)-1),#N/A)-$C$8/250</f>
        <v>#N/A</v>
      </c>
      <c r="N2376" s="395"/>
      <c r="R2376" s="391"/>
    </row>
    <row r="2377" spans="12:18">
      <c r="L2377" s="394" t="e">
        <f ca="1">IF(NOT(OFFSET(Data!E2380,0,MATCH('Delta Beta'!$C$5,Data!$B$4:$Q$4,0)-3)=""),OFFSET(Data!E2380,0,MATCH('Delta Beta'!$C$5,Data!$B$4:$Q$4,0)-3),#N/A)-$C$8/250</f>
        <v>#N/A</v>
      </c>
      <c r="M2377" s="394" t="e">
        <f ca="1">IF(NOT(OFFSET(Data!E2380,0,MATCH('Delta Beta'!$C$5,Data!$B$4:$Q$4,0)-1)=""),OFFSET(Data!E2380,0,MATCH('Delta Beta'!$C$5,Data!$B$4:$Q$4,0)-1),#N/A)-$C$8/250</f>
        <v>#N/A</v>
      </c>
      <c r="N2377" s="395"/>
      <c r="R2377" s="391"/>
    </row>
    <row r="2378" spans="12:18">
      <c r="L2378" s="394" t="e">
        <f ca="1">IF(NOT(OFFSET(Data!E2381,0,MATCH('Delta Beta'!$C$5,Data!$B$4:$Q$4,0)-3)=""),OFFSET(Data!E2381,0,MATCH('Delta Beta'!$C$5,Data!$B$4:$Q$4,0)-3),#N/A)-$C$8/250</f>
        <v>#N/A</v>
      </c>
      <c r="M2378" s="394" t="e">
        <f ca="1">IF(NOT(OFFSET(Data!E2381,0,MATCH('Delta Beta'!$C$5,Data!$B$4:$Q$4,0)-1)=""),OFFSET(Data!E2381,0,MATCH('Delta Beta'!$C$5,Data!$B$4:$Q$4,0)-1),#N/A)-$C$8/250</f>
        <v>#N/A</v>
      </c>
      <c r="N2378" s="395"/>
      <c r="R2378" s="391"/>
    </row>
    <row r="2379" spans="12:18">
      <c r="L2379" s="394" t="e">
        <f ca="1">IF(NOT(OFFSET(Data!E2382,0,MATCH('Delta Beta'!$C$5,Data!$B$4:$Q$4,0)-3)=""),OFFSET(Data!E2382,0,MATCH('Delta Beta'!$C$5,Data!$B$4:$Q$4,0)-3),#N/A)-$C$8/250</f>
        <v>#N/A</v>
      </c>
      <c r="M2379" s="394" t="e">
        <f ca="1">IF(NOT(OFFSET(Data!E2382,0,MATCH('Delta Beta'!$C$5,Data!$B$4:$Q$4,0)-1)=""),OFFSET(Data!E2382,0,MATCH('Delta Beta'!$C$5,Data!$B$4:$Q$4,0)-1),#N/A)-$C$8/250</f>
        <v>#N/A</v>
      </c>
      <c r="N2379" s="395"/>
      <c r="R2379" s="391"/>
    </row>
    <row r="2380" spans="12:18">
      <c r="L2380" s="394" t="e">
        <f ca="1">IF(NOT(OFFSET(Data!E2383,0,MATCH('Delta Beta'!$C$5,Data!$B$4:$Q$4,0)-3)=""),OFFSET(Data!E2383,0,MATCH('Delta Beta'!$C$5,Data!$B$4:$Q$4,0)-3),#N/A)-$C$8/250</f>
        <v>#N/A</v>
      </c>
      <c r="M2380" s="394" t="e">
        <f ca="1">IF(NOT(OFFSET(Data!E2383,0,MATCH('Delta Beta'!$C$5,Data!$B$4:$Q$4,0)-1)=""),OFFSET(Data!E2383,0,MATCH('Delta Beta'!$C$5,Data!$B$4:$Q$4,0)-1),#N/A)-$C$8/250</f>
        <v>#N/A</v>
      </c>
      <c r="N2380" s="395"/>
      <c r="R2380" s="391"/>
    </row>
    <row r="2381" spans="12:18">
      <c r="L2381" s="394" t="e">
        <f ca="1">IF(NOT(OFFSET(Data!E2384,0,MATCH('Delta Beta'!$C$5,Data!$B$4:$Q$4,0)-3)=""),OFFSET(Data!E2384,0,MATCH('Delta Beta'!$C$5,Data!$B$4:$Q$4,0)-3),#N/A)-$C$8/250</f>
        <v>#N/A</v>
      </c>
      <c r="M2381" s="394" t="e">
        <f ca="1">IF(NOT(OFFSET(Data!E2384,0,MATCH('Delta Beta'!$C$5,Data!$B$4:$Q$4,0)-1)=""),OFFSET(Data!E2384,0,MATCH('Delta Beta'!$C$5,Data!$B$4:$Q$4,0)-1),#N/A)-$C$8/250</f>
        <v>#N/A</v>
      </c>
      <c r="N2381" s="395"/>
      <c r="R2381" s="391"/>
    </row>
    <row r="2382" spans="12:18">
      <c r="L2382" s="394" t="e">
        <f ca="1">IF(NOT(OFFSET(Data!E2385,0,MATCH('Delta Beta'!$C$5,Data!$B$4:$Q$4,0)-3)=""),OFFSET(Data!E2385,0,MATCH('Delta Beta'!$C$5,Data!$B$4:$Q$4,0)-3),#N/A)-$C$8/250</f>
        <v>#N/A</v>
      </c>
      <c r="M2382" s="394" t="e">
        <f ca="1">IF(NOT(OFFSET(Data!E2385,0,MATCH('Delta Beta'!$C$5,Data!$B$4:$Q$4,0)-1)=""),OFFSET(Data!E2385,0,MATCH('Delta Beta'!$C$5,Data!$B$4:$Q$4,0)-1),#N/A)-$C$8/250</f>
        <v>#N/A</v>
      </c>
      <c r="N2382" s="395"/>
      <c r="R2382" s="391"/>
    </row>
    <row r="2383" spans="12:18">
      <c r="L2383" s="394" t="e">
        <f ca="1">IF(NOT(OFFSET(Data!E2386,0,MATCH('Delta Beta'!$C$5,Data!$B$4:$Q$4,0)-3)=""),OFFSET(Data!E2386,0,MATCH('Delta Beta'!$C$5,Data!$B$4:$Q$4,0)-3),#N/A)-$C$8/250</f>
        <v>#N/A</v>
      </c>
      <c r="M2383" s="394" t="e">
        <f ca="1">IF(NOT(OFFSET(Data!E2386,0,MATCH('Delta Beta'!$C$5,Data!$B$4:$Q$4,0)-1)=""),OFFSET(Data!E2386,0,MATCH('Delta Beta'!$C$5,Data!$B$4:$Q$4,0)-1),#N/A)-$C$8/250</f>
        <v>#N/A</v>
      </c>
      <c r="N2383" s="395"/>
      <c r="R2383" s="391"/>
    </row>
    <row r="2384" spans="12:18">
      <c r="L2384" s="394" t="e">
        <f ca="1">IF(NOT(OFFSET(Data!E2387,0,MATCH('Delta Beta'!$C$5,Data!$B$4:$Q$4,0)-3)=""),OFFSET(Data!E2387,0,MATCH('Delta Beta'!$C$5,Data!$B$4:$Q$4,0)-3),#N/A)-$C$8/250</f>
        <v>#N/A</v>
      </c>
      <c r="M2384" s="394" t="e">
        <f ca="1">IF(NOT(OFFSET(Data!E2387,0,MATCH('Delta Beta'!$C$5,Data!$B$4:$Q$4,0)-1)=""),OFFSET(Data!E2387,0,MATCH('Delta Beta'!$C$5,Data!$B$4:$Q$4,0)-1),#N/A)-$C$8/250</f>
        <v>#N/A</v>
      </c>
      <c r="N2384" s="395"/>
      <c r="R2384" s="391"/>
    </row>
    <row r="2385" spans="12:18">
      <c r="L2385" s="394" t="e">
        <f ca="1">IF(NOT(OFFSET(Data!E2388,0,MATCH('Delta Beta'!$C$5,Data!$B$4:$Q$4,0)-3)=""),OFFSET(Data!E2388,0,MATCH('Delta Beta'!$C$5,Data!$B$4:$Q$4,0)-3),#N/A)-$C$8/250</f>
        <v>#N/A</v>
      </c>
      <c r="M2385" s="394" t="e">
        <f ca="1">IF(NOT(OFFSET(Data!E2388,0,MATCH('Delta Beta'!$C$5,Data!$B$4:$Q$4,0)-1)=""),OFFSET(Data!E2388,0,MATCH('Delta Beta'!$C$5,Data!$B$4:$Q$4,0)-1),#N/A)-$C$8/250</f>
        <v>#N/A</v>
      </c>
      <c r="N2385" s="395"/>
      <c r="R2385" s="391"/>
    </row>
    <row r="2386" spans="12:18">
      <c r="L2386" s="394" t="e">
        <f ca="1">IF(NOT(OFFSET(Data!E2389,0,MATCH('Delta Beta'!$C$5,Data!$B$4:$Q$4,0)-3)=""),OFFSET(Data!E2389,0,MATCH('Delta Beta'!$C$5,Data!$B$4:$Q$4,0)-3),#N/A)-$C$8/250</f>
        <v>#N/A</v>
      </c>
      <c r="M2386" s="394" t="e">
        <f ca="1">IF(NOT(OFFSET(Data!E2389,0,MATCH('Delta Beta'!$C$5,Data!$B$4:$Q$4,0)-1)=""),OFFSET(Data!E2389,0,MATCH('Delta Beta'!$C$5,Data!$B$4:$Q$4,0)-1),#N/A)-$C$8/250</f>
        <v>#N/A</v>
      </c>
      <c r="N2386" s="395"/>
      <c r="R2386" s="391"/>
    </row>
    <row r="2387" spans="12:18">
      <c r="L2387" s="394" t="e">
        <f ca="1">IF(NOT(OFFSET(Data!E2390,0,MATCH('Delta Beta'!$C$5,Data!$B$4:$Q$4,0)-3)=""),OFFSET(Data!E2390,0,MATCH('Delta Beta'!$C$5,Data!$B$4:$Q$4,0)-3),#N/A)-$C$8/250</f>
        <v>#N/A</v>
      </c>
      <c r="M2387" s="394" t="e">
        <f ca="1">IF(NOT(OFFSET(Data!E2390,0,MATCH('Delta Beta'!$C$5,Data!$B$4:$Q$4,0)-1)=""),OFFSET(Data!E2390,0,MATCH('Delta Beta'!$C$5,Data!$B$4:$Q$4,0)-1),#N/A)-$C$8/250</f>
        <v>#N/A</v>
      </c>
      <c r="N2387" s="395"/>
      <c r="R2387" s="391"/>
    </row>
    <row r="2388" spans="12:18">
      <c r="L2388" s="394" t="e">
        <f ca="1">IF(NOT(OFFSET(Data!E2391,0,MATCH('Delta Beta'!$C$5,Data!$B$4:$Q$4,0)-3)=""),OFFSET(Data!E2391,0,MATCH('Delta Beta'!$C$5,Data!$B$4:$Q$4,0)-3),#N/A)-$C$8/250</f>
        <v>#N/A</v>
      </c>
      <c r="M2388" s="394" t="e">
        <f ca="1">IF(NOT(OFFSET(Data!E2391,0,MATCH('Delta Beta'!$C$5,Data!$B$4:$Q$4,0)-1)=""),OFFSET(Data!E2391,0,MATCH('Delta Beta'!$C$5,Data!$B$4:$Q$4,0)-1),#N/A)-$C$8/250</f>
        <v>#N/A</v>
      </c>
      <c r="N2388" s="395"/>
      <c r="R2388" s="391"/>
    </row>
    <row r="2389" spans="12:18">
      <c r="L2389" s="394" t="e">
        <f ca="1">IF(NOT(OFFSET(Data!E2392,0,MATCH('Delta Beta'!$C$5,Data!$B$4:$Q$4,0)-3)=""),OFFSET(Data!E2392,0,MATCH('Delta Beta'!$C$5,Data!$B$4:$Q$4,0)-3),#N/A)-$C$8/250</f>
        <v>#N/A</v>
      </c>
      <c r="M2389" s="394" t="e">
        <f ca="1">IF(NOT(OFFSET(Data!E2392,0,MATCH('Delta Beta'!$C$5,Data!$B$4:$Q$4,0)-1)=""),OFFSET(Data!E2392,0,MATCH('Delta Beta'!$C$5,Data!$B$4:$Q$4,0)-1),#N/A)-$C$8/250</f>
        <v>#N/A</v>
      </c>
      <c r="N2389" s="395"/>
      <c r="R2389" s="391"/>
    </row>
    <row r="2390" spans="12:18">
      <c r="L2390" s="394" t="e">
        <f ca="1">IF(NOT(OFFSET(Data!E2393,0,MATCH('Delta Beta'!$C$5,Data!$B$4:$Q$4,0)-3)=""),OFFSET(Data!E2393,0,MATCH('Delta Beta'!$C$5,Data!$B$4:$Q$4,0)-3),#N/A)-$C$8/250</f>
        <v>#N/A</v>
      </c>
      <c r="M2390" s="394" t="e">
        <f ca="1">IF(NOT(OFFSET(Data!E2393,0,MATCH('Delta Beta'!$C$5,Data!$B$4:$Q$4,0)-1)=""),OFFSET(Data!E2393,0,MATCH('Delta Beta'!$C$5,Data!$B$4:$Q$4,0)-1),#N/A)-$C$8/250</f>
        <v>#N/A</v>
      </c>
      <c r="N2390" s="395"/>
      <c r="R2390" s="391"/>
    </row>
    <row r="2391" spans="12:18">
      <c r="L2391" s="394" t="e">
        <f ca="1">IF(NOT(OFFSET(Data!E2394,0,MATCH('Delta Beta'!$C$5,Data!$B$4:$Q$4,0)-3)=""),OFFSET(Data!E2394,0,MATCH('Delta Beta'!$C$5,Data!$B$4:$Q$4,0)-3),#N/A)-$C$8/250</f>
        <v>#N/A</v>
      </c>
      <c r="M2391" s="394" t="e">
        <f ca="1">IF(NOT(OFFSET(Data!E2394,0,MATCH('Delta Beta'!$C$5,Data!$B$4:$Q$4,0)-1)=""),OFFSET(Data!E2394,0,MATCH('Delta Beta'!$C$5,Data!$B$4:$Q$4,0)-1),#N/A)-$C$8/250</f>
        <v>#N/A</v>
      </c>
      <c r="N2391" s="395"/>
      <c r="R2391" s="391"/>
    </row>
    <row r="2392" spans="12:18">
      <c r="L2392" s="394" t="e">
        <f ca="1">IF(NOT(OFFSET(Data!E2395,0,MATCH('Delta Beta'!$C$5,Data!$B$4:$Q$4,0)-3)=""),OFFSET(Data!E2395,0,MATCH('Delta Beta'!$C$5,Data!$B$4:$Q$4,0)-3),#N/A)-$C$8/250</f>
        <v>#N/A</v>
      </c>
      <c r="M2392" s="394" t="e">
        <f ca="1">IF(NOT(OFFSET(Data!E2395,0,MATCH('Delta Beta'!$C$5,Data!$B$4:$Q$4,0)-1)=""),OFFSET(Data!E2395,0,MATCH('Delta Beta'!$C$5,Data!$B$4:$Q$4,0)-1),#N/A)-$C$8/250</f>
        <v>#N/A</v>
      </c>
      <c r="N2392" s="395"/>
      <c r="R2392" s="391"/>
    </row>
    <row r="2393" spans="12:18">
      <c r="L2393" s="394" t="e">
        <f ca="1">IF(NOT(OFFSET(Data!E2396,0,MATCH('Delta Beta'!$C$5,Data!$B$4:$Q$4,0)-3)=""),OFFSET(Data!E2396,0,MATCH('Delta Beta'!$C$5,Data!$B$4:$Q$4,0)-3),#N/A)-$C$8/250</f>
        <v>#N/A</v>
      </c>
      <c r="M2393" s="394" t="e">
        <f ca="1">IF(NOT(OFFSET(Data!E2396,0,MATCH('Delta Beta'!$C$5,Data!$B$4:$Q$4,0)-1)=""),OFFSET(Data!E2396,0,MATCH('Delta Beta'!$C$5,Data!$B$4:$Q$4,0)-1),#N/A)-$C$8/250</f>
        <v>#N/A</v>
      </c>
      <c r="N2393" s="395"/>
      <c r="R2393" s="391"/>
    </row>
    <row r="2394" spans="12:18">
      <c r="L2394" s="394" t="e">
        <f ca="1">IF(NOT(OFFSET(Data!E2397,0,MATCH('Delta Beta'!$C$5,Data!$B$4:$Q$4,0)-3)=""),OFFSET(Data!E2397,0,MATCH('Delta Beta'!$C$5,Data!$B$4:$Q$4,0)-3),#N/A)-$C$8/250</f>
        <v>#N/A</v>
      </c>
      <c r="M2394" s="394" t="e">
        <f ca="1">IF(NOT(OFFSET(Data!E2397,0,MATCH('Delta Beta'!$C$5,Data!$B$4:$Q$4,0)-1)=""),OFFSET(Data!E2397,0,MATCH('Delta Beta'!$C$5,Data!$B$4:$Q$4,0)-1),#N/A)-$C$8/250</f>
        <v>#N/A</v>
      </c>
      <c r="N2394" s="395"/>
      <c r="R2394" s="391"/>
    </row>
    <row r="2395" spans="12:18">
      <c r="L2395" s="394" t="e">
        <f ca="1">IF(NOT(OFFSET(Data!E2398,0,MATCH('Delta Beta'!$C$5,Data!$B$4:$Q$4,0)-3)=""),OFFSET(Data!E2398,0,MATCH('Delta Beta'!$C$5,Data!$B$4:$Q$4,0)-3),#N/A)-$C$8/250</f>
        <v>#N/A</v>
      </c>
      <c r="M2395" s="394" t="e">
        <f ca="1">IF(NOT(OFFSET(Data!E2398,0,MATCH('Delta Beta'!$C$5,Data!$B$4:$Q$4,0)-1)=""),OFFSET(Data!E2398,0,MATCH('Delta Beta'!$C$5,Data!$B$4:$Q$4,0)-1),#N/A)-$C$8/250</f>
        <v>#N/A</v>
      </c>
      <c r="N2395" s="395"/>
      <c r="R2395" s="391"/>
    </row>
    <row r="2396" spans="12:18">
      <c r="L2396" s="394" t="e">
        <f ca="1">IF(NOT(OFFSET(Data!E2399,0,MATCH('Delta Beta'!$C$5,Data!$B$4:$Q$4,0)-3)=""),OFFSET(Data!E2399,0,MATCH('Delta Beta'!$C$5,Data!$B$4:$Q$4,0)-3),#N/A)-$C$8/250</f>
        <v>#N/A</v>
      </c>
      <c r="M2396" s="394" t="e">
        <f ca="1">IF(NOT(OFFSET(Data!E2399,0,MATCH('Delta Beta'!$C$5,Data!$B$4:$Q$4,0)-1)=""),OFFSET(Data!E2399,0,MATCH('Delta Beta'!$C$5,Data!$B$4:$Q$4,0)-1),#N/A)-$C$8/250</f>
        <v>#N/A</v>
      </c>
      <c r="N2396" s="395"/>
      <c r="R2396" s="391"/>
    </row>
    <row r="2397" spans="12:18">
      <c r="L2397" s="394" t="e">
        <f ca="1">IF(NOT(OFFSET(Data!E2400,0,MATCH('Delta Beta'!$C$5,Data!$B$4:$Q$4,0)-3)=""),OFFSET(Data!E2400,0,MATCH('Delta Beta'!$C$5,Data!$B$4:$Q$4,0)-3),#N/A)-$C$8/250</f>
        <v>#N/A</v>
      </c>
      <c r="M2397" s="394" t="e">
        <f ca="1">IF(NOT(OFFSET(Data!E2400,0,MATCH('Delta Beta'!$C$5,Data!$B$4:$Q$4,0)-1)=""),OFFSET(Data!E2400,0,MATCH('Delta Beta'!$C$5,Data!$B$4:$Q$4,0)-1),#N/A)-$C$8/250</f>
        <v>#N/A</v>
      </c>
      <c r="N2397" s="395"/>
      <c r="R2397" s="391"/>
    </row>
    <row r="2398" spans="12:18">
      <c r="L2398" s="394" t="e">
        <f ca="1">IF(NOT(OFFSET(Data!E2401,0,MATCH('Delta Beta'!$C$5,Data!$B$4:$Q$4,0)-3)=""),OFFSET(Data!E2401,0,MATCH('Delta Beta'!$C$5,Data!$B$4:$Q$4,0)-3),#N/A)-$C$8/250</f>
        <v>#N/A</v>
      </c>
      <c r="M2398" s="394" t="e">
        <f ca="1">IF(NOT(OFFSET(Data!E2401,0,MATCH('Delta Beta'!$C$5,Data!$B$4:$Q$4,0)-1)=""),OFFSET(Data!E2401,0,MATCH('Delta Beta'!$C$5,Data!$B$4:$Q$4,0)-1),#N/A)-$C$8/250</f>
        <v>#N/A</v>
      </c>
      <c r="N2398" s="395"/>
      <c r="R2398" s="391"/>
    </row>
    <row r="2399" spans="12:18">
      <c r="L2399" s="394" t="e">
        <f ca="1">IF(NOT(OFFSET(Data!E2402,0,MATCH('Delta Beta'!$C$5,Data!$B$4:$Q$4,0)-3)=""),OFFSET(Data!E2402,0,MATCH('Delta Beta'!$C$5,Data!$B$4:$Q$4,0)-3),#N/A)-$C$8/250</f>
        <v>#N/A</v>
      </c>
      <c r="M2399" s="394" t="e">
        <f ca="1">IF(NOT(OFFSET(Data!E2402,0,MATCH('Delta Beta'!$C$5,Data!$B$4:$Q$4,0)-1)=""),OFFSET(Data!E2402,0,MATCH('Delta Beta'!$C$5,Data!$B$4:$Q$4,0)-1),#N/A)-$C$8/250</f>
        <v>#N/A</v>
      </c>
      <c r="N2399" s="395"/>
      <c r="R2399" s="391"/>
    </row>
    <row r="2400" spans="12:18">
      <c r="L2400" s="394" t="e">
        <f ca="1">IF(NOT(OFFSET(Data!E2403,0,MATCH('Delta Beta'!$C$5,Data!$B$4:$Q$4,0)-3)=""),OFFSET(Data!E2403,0,MATCH('Delta Beta'!$C$5,Data!$B$4:$Q$4,0)-3),#N/A)-$C$8/250</f>
        <v>#N/A</v>
      </c>
      <c r="M2400" s="394" t="e">
        <f ca="1">IF(NOT(OFFSET(Data!E2403,0,MATCH('Delta Beta'!$C$5,Data!$B$4:$Q$4,0)-1)=""),OFFSET(Data!E2403,0,MATCH('Delta Beta'!$C$5,Data!$B$4:$Q$4,0)-1),#N/A)-$C$8/250</f>
        <v>#N/A</v>
      </c>
      <c r="N2400" s="395"/>
      <c r="R2400" s="391"/>
    </row>
    <row r="2401" spans="12:18">
      <c r="L2401" s="394" t="e">
        <f ca="1">IF(NOT(OFFSET(Data!E2404,0,MATCH('Delta Beta'!$C$5,Data!$B$4:$Q$4,0)-3)=""),OFFSET(Data!E2404,0,MATCH('Delta Beta'!$C$5,Data!$B$4:$Q$4,0)-3),#N/A)-$C$8/250</f>
        <v>#N/A</v>
      </c>
      <c r="M2401" s="394" t="e">
        <f ca="1">IF(NOT(OFFSET(Data!E2404,0,MATCH('Delta Beta'!$C$5,Data!$B$4:$Q$4,0)-1)=""),OFFSET(Data!E2404,0,MATCH('Delta Beta'!$C$5,Data!$B$4:$Q$4,0)-1),#N/A)-$C$8/250</f>
        <v>#N/A</v>
      </c>
      <c r="N2401" s="395"/>
      <c r="R2401" s="391"/>
    </row>
    <row r="2402" spans="12:18">
      <c r="L2402" s="394" t="e">
        <f ca="1">IF(NOT(OFFSET(Data!E2405,0,MATCH('Delta Beta'!$C$5,Data!$B$4:$Q$4,0)-3)=""),OFFSET(Data!E2405,0,MATCH('Delta Beta'!$C$5,Data!$B$4:$Q$4,0)-3),#N/A)-$C$8/250</f>
        <v>#N/A</v>
      </c>
      <c r="M2402" s="394" t="e">
        <f ca="1">IF(NOT(OFFSET(Data!E2405,0,MATCH('Delta Beta'!$C$5,Data!$B$4:$Q$4,0)-1)=""),OFFSET(Data!E2405,0,MATCH('Delta Beta'!$C$5,Data!$B$4:$Q$4,0)-1),#N/A)-$C$8/250</f>
        <v>#N/A</v>
      </c>
      <c r="N2402" s="395"/>
      <c r="R2402" s="391"/>
    </row>
    <row r="2403" spans="12:18">
      <c r="L2403" s="394" t="e">
        <f ca="1">IF(NOT(OFFSET(Data!E2406,0,MATCH('Delta Beta'!$C$5,Data!$B$4:$Q$4,0)-3)=""),OFFSET(Data!E2406,0,MATCH('Delta Beta'!$C$5,Data!$B$4:$Q$4,0)-3),#N/A)-$C$8/250</f>
        <v>#N/A</v>
      </c>
      <c r="M2403" s="394" t="e">
        <f ca="1">IF(NOT(OFFSET(Data!E2406,0,MATCH('Delta Beta'!$C$5,Data!$B$4:$Q$4,0)-1)=""),OFFSET(Data!E2406,0,MATCH('Delta Beta'!$C$5,Data!$B$4:$Q$4,0)-1),#N/A)-$C$8/250</f>
        <v>#N/A</v>
      </c>
      <c r="N2403" s="395"/>
      <c r="R2403" s="391"/>
    </row>
    <row r="2404" spans="12:18">
      <c r="L2404" s="394" t="e">
        <f ca="1">IF(NOT(OFFSET(Data!E2407,0,MATCH('Delta Beta'!$C$5,Data!$B$4:$Q$4,0)-3)=""),OFFSET(Data!E2407,0,MATCH('Delta Beta'!$C$5,Data!$B$4:$Q$4,0)-3),#N/A)-$C$8/250</f>
        <v>#N/A</v>
      </c>
      <c r="M2404" s="394" t="e">
        <f ca="1">IF(NOT(OFFSET(Data!E2407,0,MATCH('Delta Beta'!$C$5,Data!$B$4:$Q$4,0)-1)=""),OFFSET(Data!E2407,0,MATCH('Delta Beta'!$C$5,Data!$B$4:$Q$4,0)-1),#N/A)-$C$8/250</f>
        <v>#N/A</v>
      </c>
      <c r="N2404" s="395"/>
      <c r="R2404" s="391"/>
    </row>
    <row r="2405" spans="12:18">
      <c r="L2405" s="394" t="e">
        <f ca="1">IF(NOT(OFFSET(Data!E2408,0,MATCH('Delta Beta'!$C$5,Data!$B$4:$Q$4,0)-3)=""),OFFSET(Data!E2408,0,MATCH('Delta Beta'!$C$5,Data!$B$4:$Q$4,0)-3),#N/A)-$C$8/250</f>
        <v>#N/A</v>
      </c>
      <c r="M2405" s="394" t="e">
        <f ca="1">IF(NOT(OFFSET(Data!E2408,0,MATCH('Delta Beta'!$C$5,Data!$B$4:$Q$4,0)-1)=""),OFFSET(Data!E2408,0,MATCH('Delta Beta'!$C$5,Data!$B$4:$Q$4,0)-1),#N/A)-$C$8/250</f>
        <v>#N/A</v>
      </c>
      <c r="N2405" s="395"/>
      <c r="R2405" s="391"/>
    </row>
    <row r="2406" spans="12:18">
      <c r="L2406" s="394" t="e">
        <f ca="1">IF(NOT(OFFSET(Data!E2409,0,MATCH('Delta Beta'!$C$5,Data!$B$4:$Q$4,0)-3)=""),OFFSET(Data!E2409,0,MATCH('Delta Beta'!$C$5,Data!$B$4:$Q$4,0)-3),#N/A)-$C$8/250</f>
        <v>#N/A</v>
      </c>
      <c r="M2406" s="394" t="e">
        <f ca="1">IF(NOT(OFFSET(Data!E2409,0,MATCH('Delta Beta'!$C$5,Data!$B$4:$Q$4,0)-1)=""),OFFSET(Data!E2409,0,MATCH('Delta Beta'!$C$5,Data!$B$4:$Q$4,0)-1),#N/A)-$C$8/250</f>
        <v>#N/A</v>
      </c>
      <c r="N2406" s="395"/>
      <c r="R2406" s="391"/>
    </row>
    <row r="2407" spans="12:18">
      <c r="L2407" s="394" t="e">
        <f ca="1">IF(NOT(OFFSET(Data!E2410,0,MATCH('Delta Beta'!$C$5,Data!$B$4:$Q$4,0)-3)=""),OFFSET(Data!E2410,0,MATCH('Delta Beta'!$C$5,Data!$B$4:$Q$4,0)-3),#N/A)-$C$8/250</f>
        <v>#N/A</v>
      </c>
      <c r="M2407" s="394" t="e">
        <f ca="1">IF(NOT(OFFSET(Data!E2410,0,MATCH('Delta Beta'!$C$5,Data!$B$4:$Q$4,0)-1)=""),OFFSET(Data!E2410,0,MATCH('Delta Beta'!$C$5,Data!$B$4:$Q$4,0)-1),#N/A)-$C$8/250</f>
        <v>#N/A</v>
      </c>
      <c r="N2407" s="395"/>
      <c r="R2407" s="391"/>
    </row>
    <row r="2408" spans="12:18">
      <c r="L2408" s="394" t="e">
        <f ca="1">IF(NOT(OFFSET(Data!E2411,0,MATCH('Delta Beta'!$C$5,Data!$B$4:$Q$4,0)-3)=""),OFFSET(Data!E2411,0,MATCH('Delta Beta'!$C$5,Data!$B$4:$Q$4,0)-3),#N/A)-$C$8/250</f>
        <v>#N/A</v>
      </c>
      <c r="M2408" s="394" t="e">
        <f ca="1">IF(NOT(OFFSET(Data!E2411,0,MATCH('Delta Beta'!$C$5,Data!$B$4:$Q$4,0)-1)=""),OFFSET(Data!E2411,0,MATCH('Delta Beta'!$C$5,Data!$B$4:$Q$4,0)-1),#N/A)-$C$8/250</f>
        <v>#N/A</v>
      </c>
      <c r="N2408" s="395"/>
      <c r="R2408" s="391"/>
    </row>
    <row r="2409" spans="12:18">
      <c r="L2409" s="394" t="e">
        <f ca="1">IF(NOT(OFFSET(Data!E2412,0,MATCH('Delta Beta'!$C$5,Data!$B$4:$Q$4,0)-3)=""),OFFSET(Data!E2412,0,MATCH('Delta Beta'!$C$5,Data!$B$4:$Q$4,0)-3),#N/A)-$C$8/250</f>
        <v>#N/A</v>
      </c>
      <c r="M2409" s="394" t="e">
        <f ca="1">IF(NOT(OFFSET(Data!E2412,0,MATCH('Delta Beta'!$C$5,Data!$B$4:$Q$4,0)-1)=""),OFFSET(Data!E2412,0,MATCH('Delta Beta'!$C$5,Data!$B$4:$Q$4,0)-1),#N/A)-$C$8/250</f>
        <v>#N/A</v>
      </c>
      <c r="N2409" s="395"/>
      <c r="R2409" s="391"/>
    </row>
    <row r="2410" spans="12:18">
      <c r="L2410" s="394" t="e">
        <f ca="1">IF(NOT(OFFSET(Data!E2413,0,MATCH('Delta Beta'!$C$5,Data!$B$4:$Q$4,0)-3)=""),OFFSET(Data!E2413,0,MATCH('Delta Beta'!$C$5,Data!$B$4:$Q$4,0)-3),#N/A)-$C$8/250</f>
        <v>#N/A</v>
      </c>
      <c r="M2410" s="394" t="e">
        <f ca="1">IF(NOT(OFFSET(Data!E2413,0,MATCH('Delta Beta'!$C$5,Data!$B$4:$Q$4,0)-1)=""),OFFSET(Data!E2413,0,MATCH('Delta Beta'!$C$5,Data!$B$4:$Q$4,0)-1),#N/A)-$C$8/250</f>
        <v>#N/A</v>
      </c>
      <c r="N2410" s="395"/>
      <c r="R2410" s="391"/>
    </row>
    <row r="2411" spans="12:18">
      <c r="L2411" s="394" t="e">
        <f ca="1">IF(NOT(OFFSET(Data!E2414,0,MATCH('Delta Beta'!$C$5,Data!$B$4:$Q$4,0)-3)=""),OFFSET(Data!E2414,0,MATCH('Delta Beta'!$C$5,Data!$B$4:$Q$4,0)-3),#N/A)-$C$8/250</f>
        <v>#N/A</v>
      </c>
      <c r="M2411" s="394" t="e">
        <f ca="1">IF(NOT(OFFSET(Data!E2414,0,MATCH('Delta Beta'!$C$5,Data!$B$4:$Q$4,0)-1)=""),OFFSET(Data!E2414,0,MATCH('Delta Beta'!$C$5,Data!$B$4:$Q$4,0)-1),#N/A)-$C$8/250</f>
        <v>#N/A</v>
      </c>
      <c r="N2411" s="395"/>
      <c r="R2411" s="391"/>
    </row>
    <row r="2412" spans="12:18">
      <c r="L2412" s="394" t="e">
        <f ca="1">IF(NOT(OFFSET(Data!E2415,0,MATCH('Delta Beta'!$C$5,Data!$B$4:$Q$4,0)-3)=""),OFFSET(Data!E2415,0,MATCH('Delta Beta'!$C$5,Data!$B$4:$Q$4,0)-3),#N/A)-$C$8/250</f>
        <v>#N/A</v>
      </c>
      <c r="M2412" s="394" t="e">
        <f ca="1">IF(NOT(OFFSET(Data!E2415,0,MATCH('Delta Beta'!$C$5,Data!$B$4:$Q$4,0)-1)=""),OFFSET(Data!E2415,0,MATCH('Delta Beta'!$C$5,Data!$B$4:$Q$4,0)-1),#N/A)-$C$8/250</f>
        <v>#N/A</v>
      </c>
      <c r="N2412" s="395"/>
      <c r="R2412" s="391"/>
    </row>
    <row r="2413" spans="12:18">
      <c r="L2413" s="394" t="e">
        <f ca="1">IF(NOT(OFFSET(Data!E2416,0,MATCH('Delta Beta'!$C$5,Data!$B$4:$Q$4,0)-3)=""),OFFSET(Data!E2416,0,MATCH('Delta Beta'!$C$5,Data!$B$4:$Q$4,0)-3),#N/A)-$C$8/250</f>
        <v>#N/A</v>
      </c>
      <c r="M2413" s="394" t="e">
        <f ca="1">IF(NOT(OFFSET(Data!E2416,0,MATCH('Delta Beta'!$C$5,Data!$B$4:$Q$4,0)-1)=""),OFFSET(Data!E2416,0,MATCH('Delta Beta'!$C$5,Data!$B$4:$Q$4,0)-1),#N/A)-$C$8/250</f>
        <v>#N/A</v>
      </c>
      <c r="N2413" s="395"/>
      <c r="R2413" s="391"/>
    </row>
    <row r="2414" spans="12:18">
      <c r="L2414" s="394" t="e">
        <f ca="1">IF(NOT(OFFSET(Data!E2417,0,MATCH('Delta Beta'!$C$5,Data!$B$4:$Q$4,0)-3)=""),OFFSET(Data!E2417,0,MATCH('Delta Beta'!$C$5,Data!$B$4:$Q$4,0)-3),#N/A)-$C$8/250</f>
        <v>#N/A</v>
      </c>
      <c r="M2414" s="394" t="e">
        <f ca="1">IF(NOT(OFFSET(Data!E2417,0,MATCH('Delta Beta'!$C$5,Data!$B$4:$Q$4,0)-1)=""),OFFSET(Data!E2417,0,MATCH('Delta Beta'!$C$5,Data!$B$4:$Q$4,0)-1),#N/A)-$C$8/250</f>
        <v>#N/A</v>
      </c>
      <c r="N2414" s="395"/>
      <c r="R2414" s="391"/>
    </row>
    <row r="2415" spans="12:18">
      <c r="L2415" s="394" t="e">
        <f ca="1">IF(NOT(OFFSET(Data!E2418,0,MATCH('Delta Beta'!$C$5,Data!$B$4:$Q$4,0)-3)=""),OFFSET(Data!E2418,0,MATCH('Delta Beta'!$C$5,Data!$B$4:$Q$4,0)-3),#N/A)-$C$8/250</f>
        <v>#N/A</v>
      </c>
      <c r="M2415" s="394" t="e">
        <f ca="1">IF(NOT(OFFSET(Data!E2418,0,MATCH('Delta Beta'!$C$5,Data!$B$4:$Q$4,0)-1)=""),OFFSET(Data!E2418,0,MATCH('Delta Beta'!$C$5,Data!$B$4:$Q$4,0)-1),#N/A)-$C$8/250</f>
        <v>#N/A</v>
      </c>
      <c r="N2415" s="395"/>
      <c r="R2415" s="391"/>
    </row>
    <row r="2416" spans="12:18">
      <c r="L2416" s="394" t="e">
        <f ca="1">IF(NOT(OFFSET(Data!E2419,0,MATCH('Delta Beta'!$C$5,Data!$B$4:$Q$4,0)-3)=""),OFFSET(Data!E2419,0,MATCH('Delta Beta'!$C$5,Data!$B$4:$Q$4,0)-3),#N/A)-$C$8/250</f>
        <v>#N/A</v>
      </c>
      <c r="M2416" s="394" t="e">
        <f ca="1">IF(NOT(OFFSET(Data!E2419,0,MATCH('Delta Beta'!$C$5,Data!$B$4:$Q$4,0)-1)=""),OFFSET(Data!E2419,0,MATCH('Delta Beta'!$C$5,Data!$B$4:$Q$4,0)-1),#N/A)-$C$8/250</f>
        <v>#N/A</v>
      </c>
      <c r="N2416" s="395"/>
      <c r="R2416" s="391"/>
    </row>
    <row r="2417" spans="12:18">
      <c r="L2417" s="394" t="e">
        <f ca="1">IF(NOT(OFFSET(Data!E2420,0,MATCH('Delta Beta'!$C$5,Data!$B$4:$Q$4,0)-3)=""),OFFSET(Data!E2420,0,MATCH('Delta Beta'!$C$5,Data!$B$4:$Q$4,0)-3),#N/A)-$C$8/250</f>
        <v>#N/A</v>
      </c>
      <c r="M2417" s="394" t="e">
        <f ca="1">IF(NOT(OFFSET(Data!E2420,0,MATCH('Delta Beta'!$C$5,Data!$B$4:$Q$4,0)-1)=""),OFFSET(Data!E2420,0,MATCH('Delta Beta'!$C$5,Data!$B$4:$Q$4,0)-1),#N/A)-$C$8/250</f>
        <v>#N/A</v>
      </c>
      <c r="N2417" s="395"/>
      <c r="R2417" s="391"/>
    </row>
    <row r="2418" spans="12:18">
      <c r="L2418" s="394" t="e">
        <f ca="1">IF(NOT(OFFSET(Data!E2421,0,MATCH('Delta Beta'!$C$5,Data!$B$4:$Q$4,0)-3)=""),OFFSET(Data!E2421,0,MATCH('Delta Beta'!$C$5,Data!$B$4:$Q$4,0)-3),#N/A)-$C$8/250</f>
        <v>#N/A</v>
      </c>
      <c r="M2418" s="394" t="e">
        <f ca="1">IF(NOT(OFFSET(Data!E2421,0,MATCH('Delta Beta'!$C$5,Data!$B$4:$Q$4,0)-1)=""),OFFSET(Data!E2421,0,MATCH('Delta Beta'!$C$5,Data!$B$4:$Q$4,0)-1),#N/A)-$C$8/250</f>
        <v>#N/A</v>
      </c>
      <c r="N2418" s="395"/>
      <c r="R2418" s="391"/>
    </row>
    <row r="2419" spans="12:18">
      <c r="L2419" s="394" t="e">
        <f ca="1">IF(NOT(OFFSET(Data!E2422,0,MATCH('Delta Beta'!$C$5,Data!$B$4:$Q$4,0)-3)=""),OFFSET(Data!E2422,0,MATCH('Delta Beta'!$C$5,Data!$B$4:$Q$4,0)-3),#N/A)-$C$8/250</f>
        <v>#N/A</v>
      </c>
      <c r="M2419" s="394" t="e">
        <f ca="1">IF(NOT(OFFSET(Data!E2422,0,MATCH('Delta Beta'!$C$5,Data!$B$4:$Q$4,0)-1)=""),OFFSET(Data!E2422,0,MATCH('Delta Beta'!$C$5,Data!$B$4:$Q$4,0)-1),#N/A)-$C$8/250</f>
        <v>#N/A</v>
      </c>
      <c r="N2419" s="395"/>
      <c r="R2419" s="391"/>
    </row>
    <row r="2420" spans="12:18">
      <c r="L2420" s="394" t="e">
        <f ca="1">IF(NOT(OFFSET(Data!E2423,0,MATCH('Delta Beta'!$C$5,Data!$B$4:$Q$4,0)-3)=""),OFFSET(Data!E2423,0,MATCH('Delta Beta'!$C$5,Data!$B$4:$Q$4,0)-3),#N/A)-$C$8/250</f>
        <v>#N/A</v>
      </c>
      <c r="M2420" s="394" t="e">
        <f ca="1">IF(NOT(OFFSET(Data!E2423,0,MATCH('Delta Beta'!$C$5,Data!$B$4:$Q$4,0)-1)=""),OFFSET(Data!E2423,0,MATCH('Delta Beta'!$C$5,Data!$B$4:$Q$4,0)-1),#N/A)-$C$8/250</f>
        <v>#N/A</v>
      </c>
      <c r="N2420" s="395"/>
      <c r="R2420" s="391"/>
    </row>
    <row r="2421" spans="12:18">
      <c r="L2421" s="394" t="e">
        <f ca="1">IF(NOT(OFFSET(Data!E2424,0,MATCH('Delta Beta'!$C$5,Data!$B$4:$Q$4,0)-3)=""),OFFSET(Data!E2424,0,MATCH('Delta Beta'!$C$5,Data!$B$4:$Q$4,0)-3),#N/A)-$C$8/250</f>
        <v>#N/A</v>
      </c>
      <c r="M2421" s="394" t="e">
        <f ca="1">IF(NOT(OFFSET(Data!E2424,0,MATCH('Delta Beta'!$C$5,Data!$B$4:$Q$4,0)-1)=""),OFFSET(Data!E2424,0,MATCH('Delta Beta'!$C$5,Data!$B$4:$Q$4,0)-1),#N/A)-$C$8/250</f>
        <v>#N/A</v>
      </c>
      <c r="N2421" s="395"/>
      <c r="R2421" s="391"/>
    </row>
    <row r="2422" spans="12:18">
      <c r="L2422" s="394" t="e">
        <f ca="1">IF(NOT(OFFSET(Data!E2425,0,MATCH('Delta Beta'!$C$5,Data!$B$4:$Q$4,0)-3)=""),OFFSET(Data!E2425,0,MATCH('Delta Beta'!$C$5,Data!$B$4:$Q$4,0)-3),#N/A)-$C$8/250</f>
        <v>#N/A</v>
      </c>
      <c r="M2422" s="394" t="e">
        <f ca="1">IF(NOT(OFFSET(Data!E2425,0,MATCH('Delta Beta'!$C$5,Data!$B$4:$Q$4,0)-1)=""),OFFSET(Data!E2425,0,MATCH('Delta Beta'!$C$5,Data!$B$4:$Q$4,0)-1),#N/A)-$C$8/250</f>
        <v>#N/A</v>
      </c>
      <c r="N2422" s="395"/>
      <c r="R2422" s="391"/>
    </row>
    <row r="2423" spans="12:18">
      <c r="L2423" s="394" t="e">
        <f ca="1">IF(NOT(OFFSET(Data!E2426,0,MATCH('Delta Beta'!$C$5,Data!$B$4:$Q$4,0)-3)=""),OFFSET(Data!E2426,0,MATCH('Delta Beta'!$C$5,Data!$B$4:$Q$4,0)-3),#N/A)-$C$8/250</f>
        <v>#N/A</v>
      </c>
      <c r="M2423" s="394" t="e">
        <f ca="1">IF(NOT(OFFSET(Data!E2426,0,MATCH('Delta Beta'!$C$5,Data!$B$4:$Q$4,0)-1)=""),OFFSET(Data!E2426,0,MATCH('Delta Beta'!$C$5,Data!$B$4:$Q$4,0)-1),#N/A)-$C$8/250</f>
        <v>#N/A</v>
      </c>
      <c r="N2423" s="395"/>
      <c r="R2423" s="391"/>
    </row>
    <row r="2424" spans="12:18">
      <c r="L2424" s="394" t="e">
        <f ca="1">IF(NOT(OFFSET(Data!E2427,0,MATCH('Delta Beta'!$C$5,Data!$B$4:$Q$4,0)-3)=""),OFFSET(Data!E2427,0,MATCH('Delta Beta'!$C$5,Data!$B$4:$Q$4,0)-3),#N/A)-$C$8/250</f>
        <v>#N/A</v>
      </c>
      <c r="M2424" s="394" t="e">
        <f ca="1">IF(NOT(OFFSET(Data!E2427,0,MATCH('Delta Beta'!$C$5,Data!$B$4:$Q$4,0)-1)=""),OFFSET(Data!E2427,0,MATCH('Delta Beta'!$C$5,Data!$B$4:$Q$4,0)-1),#N/A)-$C$8/250</f>
        <v>#N/A</v>
      </c>
      <c r="N2424" s="395"/>
      <c r="R2424" s="391"/>
    </row>
    <row r="2425" spans="12:18">
      <c r="L2425" s="394" t="e">
        <f ca="1">IF(NOT(OFFSET(Data!E2428,0,MATCH('Delta Beta'!$C$5,Data!$B$4:$Q$4,0)-3)=""),OFFSET(Data!E2428,0,MATCH('Delta Beta'!$C$5,Data!$B$4:$Q$4,0)-3),#N/A)-$C$8/250</f>
        <v>#N/A</v>
      </c>
      <c r="M2425" s="394" t="e">
        <f ca="1">IF(NOT(OFFSET(Data!E2428,0,MATCH('Delta Beta'!$C$5,Data!$B$4:$Q$4,0)-1)=""),OFFSET(Data!E2428,0,MATCH('Delta Beta'!$C$5,Data!$B$4:$Q$4,0)-1),#N/A)-$C$8/250</f>
        <v>#N/A</v>
      </c>
      <c r="N2425" s="395"/>
      <c r="R2425" s="391"/>
    </row>
    <row r="2426" spans="12:18">
      <c r="L2426" s="394" t="e">
        <f ca="1">IF(NOT(OFFSET(Data!E2429,0,MATCH('Delta Beta'!$C$5,Data!$B$4:$Q$4,0)-3)=""),OFFSET(Data!E2429,0,MATCH('Delta Beta'!$C$5,Data!$B$4:$Q$4,0)-3),#N/A)-$C$8/250</f>
        <v>#N/A</v>
      </c>
      <c r="M2426" s="394" t="e">
        <f ca="1">IF(NOT(OFFSET(Data!E2429,0,MATCH('Delta Beta'!$C$5,Data!$B$4:$Q$4,0)-1)=""),OFFSET(Data!E2429,0,MATCH('Delta Beta'!$C$5,Data!$B$4:$Q$4,0)-1),#N/A)-$C$8/250</f>
        <v>#N/A</v>
      </c>
      <c r="N2426" s="395"/>
      <c r="R2426" s="391"/>
    </row>
    <row r="2427" spans="12:18">
      <c r="L2427" s="394" t="e">
        <f ca="1">IF(NOT(OFFSET(Data!E2430,0,MATCH('Delta Beta'!$C$5,Data!$B$4:$Q$4,0)-3)=""),OFFSET(Data!E2430,0,MATCH('Delta Beta'!$C$5,Data!$B$4:$Q$4,0)-3),#N/A)-$C$8/250</f>
        <v>#N/A</v>
      </c>
      <c r="M2427" s="394" t="e">
        <f ca="1">IF(NOT(OFFSET(Data!E2430,0,MATCH('Delta Beta'!$C$5,Data!$B$4:$Q$4,0)-1)=""),OFFSET(Data!E2430,0,MATCH('Delta Beta'!$C$5,Data!$B$4:$Q$4,0)-1),#N/A)-$C$8/250</f>
        <v>#N/A</v>
      </c>
      <c r="N2427" s="395"/>
      <c r="R2427" s="391"/>
    </row>
    <row r="2428" spans="12:18">
      <c r="L2428" s="394" t="e">
        <f ca="1">IF(NOT(OFFSET(Data!E2431,0,MATCH('Delta Beta'!$C$5,Data!$B$4:$Q$4,0)-3)=""),OFFSET(Data!E2431,0,MATCH('Delta Beta'!$C$5,Data!$B$4:$Q$4,0)-3),#N/A)-$C$8/250</f>
        <v>#N/A</v>
      </c>
      <c r="M2428" s="394" t="e">
        <f ca="1">IF(NOT(OFFSET(Data!E2431,0,MATCH('Delta Beta'!$C$5,Data!$B$4:$Q$4,0)-1)=""),OFFSET(Data!E2431,0,MATCH('Delta Beta'!$C$5,Data!$B$4:$Q$4,0)-1),#N/A)-$C$8/250</f>
        <v>#N/A</v>
      </c>
      <c r="N2428" s="395"/>
      <c r="R2428" s="391"/>
    </row>
    <row r="2429" spans="12:18">
      <c r="L2429" s="394" t="e">
        <f ca="1">IF(NOT(OFFSET(Data!E2432,0,MATCH('Delta Beta'!$C$5,Data!$B$4:$Q$4,0)-3)=""),OFFSET(Data!E2432,0,MATCH('Delta Beta'!$C$5,Data!$B$4:$Q$4,0)-3),#N/A)-$C$8/250</f>
        <v>#N/A</v>
      </c>
      <c r="M2429" s="394" t="e">
        <f ca="1">IF(NOT(OFFSET(Data!E2432,0,MATCH('Delta Beta'!$C$5,Data!$B$4:$Q$4,0)-1)=""),OFFSET(Data!E2432,0,MATCH('Delta Beta'!$C$5,Data!$B$4:$Q$4,0)-1),#N/A)-$C$8/250</f>
        <v>#N/A</v>
      </c>
      <c r="N2429" s="395"/>
      <c r="R2429" s="391"/>
    </row>
    <row r="2430" spans="12:18">
      <c r="L2430" s="394" t="e">
        <f ca="1">IF(NOT(OFFSET(Data!E2433,0,MATCH('Delta Beta'!$C$5,Data!$B$4:$Q$4,0)-3)=""),OFFSET(Data!E2433,0,MATCH('Delta Beta'!$C$5,Data!$B$4:$Q$4,0)-3),#N/A)-$C$8/250</f>
        <v>#N/A</v>
      </c>
      <c r="M2430" s="394" t="e">
        <f ca="1">IF(NOT(OFFSET(Data!E2433,0,MATCH('Delta Beta'!$C$5,Data!$B$4:$Q$4,0)-1)=""),OFFSET(Data!E2433,0,MATCH('Delta Beta'!$C$5,Data!$B$4:$Q$4,0)-1),#N/A)-$C$8/250</f>
        <v>#N/A</v>
      </c>
      <c r="N2430" s="395"/>
      <c r="R2430" s="391"/>
    </row>
    <row r="2431" spans="12:18">
      <c r="L2431" s="394" t="e">
        <f ca="1">IF(NOT(OFFSET(Data!E2434,0,MATCH('Delta Beta'!$C$5,Data!$B$4:$Q$4,0)-3)=""),OFFSET(Data!E2434,0,MATCH('Delta Beta'!$C$5,Data!$B$4:$Q$4,0)-3),#N/A)-$C$8/250</f>
        <v>#N/A</v>
      </c>
      <c r="M2431" s="394" t="e">
        <f ca="1">IF(NOT(OFFSET(Data!E2434,0,MATCH('Delta Beta'!$C$5,Data!$B$4:$Q$4,0)-1)=""),OFFSET(Data!E2434,0,MATCH('Delta Beta'!$C$5,Data!$B$4:$Q$4,0)-1),#N/A)-$C$8/250</f>
        <v>#N/A</v>
      </c>
      <c r="N2431" s="395"/>
      <c r="R2431" s="391"/>
    </row>
    <row r="2432" spans="12:18">
      <c r="L2432" s="394" t="e">
        <f ca="1">IF(NOT(OFFSET(Data!E2435,0,MATCH('Delta Beta'!$C$5,Data!$B$4:$Q$4,0)-3)=""),OFFSET(Data!E2435,0,MATCH('Delta Beta'!$C$5,Data!$B$4:$Q$4,0)-3),#N/A)-$C$8/250</f>
        <v>#N/A</v>
      </c>
      <c r="M2432" s="394" t="e">
        <f ca="1">IF(NOT(OFFSET(Data!E2435,0,MATCH('Delta Beta'!$C$5,Data!$B$4:$Q$4,0)-1)=""),OFFSET(Data!E2435,0,MATCH('Delta Beta'!$C$5,Data!$B$4:$Q$4,0)-1),#N/A)-$C$8/250</f>
        <v>#N/A</v>
      </c>
      <c r="N2432" s="395"/>
      <c r="R2432" s="391"/>
    </row>
    <row r="2433" spans="12:18">
      <c r="L2433" s="394" t="e">
        <f ca="1">IF(NOT(OFFSET(Data!E2436,0,MATCH('Delta Beta'!$C$5,Data!$B$4:$Q$4,0)-3)=""),OFFSET(Data!E2436,0,MATCH('Delta Beta'!$C$5,Data!$B$4:$Q$4,0)-3),#N/A)-$C$8/250</f>
        <v>#N/A</v>
      </c>
      <c r="M2433" s="394" t="e">
        <f ca="1">IF(NOT(OFFSET(Data!E2436,0,MATCH('Delta Beta'!$C$5,Data!$B$4:$Q$4,0)-1)=""),OFFSET(Data!E2436,0,MATCH('Delta Beta'!$C$5,Data!$B$4:$Q$4,0)-1),#N/A)-$C$8/250</f>
        <v>#N/A</v>
      </c>
      <c r="N2433" s="395"/>
      <c r="R2433" s="391"/>
    </row>
    <row r="2434" spans="12:18">
      <c r="L2434" s="394" t="e">
        <f ca="1">IF(NOT(OFFSET(Data!E2437,0,MATCH('Delta Beta'!$C$5,Data!$B$4:$Q$4,0)-3)=""),OFFSET(Data!E2437,0,MATCH('Delta Beta'!$C$5,Data!$B$4:$Q$4,0)-3),#N/A)-$C$8/250</f>
        <v>#N/A</v>
      </c>
      <c r="M2434" s="394" t="e">
        <f ca="1">IF(NOT(OFFSET(Data!E2437,0,MATCH('Delta Beta'!$C$5,Data!$B$4:$Q$4,0)-1)=""),OFFSET(Data!E2437,0,MATCH('Delta Beta'!$C$5,Data!$B$4:$Q$4,0)-1),#N/A)-$C$8/250</f>
        <v>#N/A</v>
      </c>
      <c r="N2434" s="395"/>
      <c r="R2434" s="391"/>
    </row>
    <row r="2435" spans="12:18">
      <c r="L2435" s="394" t="e">
        <f ca="1">IF(NOT(OFFSET(Data!E2438,0,MATCH('Delta Beta'!$C$5,Data!$B$4:$Q$4,0)-3)=""),OFFSET(Data!E2438,0,MATCH('Delta Beta'!$C$5,Data!$B$4:$Q$4,0)-3),#N/A)-$C$8/250</f>
        <v>#N/A</v>
      </c>
      <c r="M2435" s="394" t="e">
        <f ca="1">IF(NOT(OFFSET(Data!E2438,0,MATCH('Delta Beta'!$C$5,Data!$B$4:$Q$4,0)-1)=""),OFFSET(Data!E2438,0,MATCH('Delta Beta'!$C$5,Data!$B$4:$Q$4,0)-1),#N/A)-$C$8/250</f>
        <v>#N/A</v>
      </c>
      <c r="N2435" s="395"/>
      <c r="R2435" s="391"/>
    </row>
    <row r="2436" spans="12:18">
      <c r="L2436" s="394" t="e">
        <f ca="1">IF(NOT(OFFSET(Data!E2439,0,MATCH('Delta Beta'!$C$5,Data!$B$4:$Q$4,0)-3)=""),OFFSET(Data!E2439,0,MATCH('Delta Beta'!$C$5,Data!$B$4:$Q$4,0)-3),#N/A)-$C$8/250</f>
        <v>#N/A</v>
      </c>
      <c r="M2436" s="394" t="e">
        <f ca="1">IF(NOT(OFFSET(Data!E2439,0,MATCH('Delta Beta'!$C$5,Data!$B$4:$Q$4,0)-1)=""),OFFSET(Data!E2439,0,MATCH('Delta Beta'!$C$5,Data!$B$4:$Q$4,0)-1),#N/A)-$C$8/250</f>
        <v>#N/A</v>
      </c>
      <c r="N2436" s="395"/>
      <c r="R2436" s="391"/>
    </row>
    <row r="2437" spans="12:18">
      <c r="L2437" s="394" t="e">
        <f ca="1">IF(NOT(OFFSET(Data!E2440,0,MATCH('Delta Beta'!$C$5,Data!$B$4:$Q$4,0)-3)=""),OFFSET(Data!E2440,0,MATCH('Delta Beta'!$C$5,Data!$B$4:$Q$4,0)-3),#N/A)-$C$8/250</f>
        <v>#N/A</v>
      </c>
      <c r="M2437" s="394" t="e">
        <f ca="1">IF(NOT(OFFSET(Data!E2440,0,MATCH('Delta Beta'!$C$5,Data!$B$4:$Q$4,0)-1)=""),OFFSET(Data!E2440,0,MATCH('Delta Beta'!$C$5,Data!$B$4:$Q$4,0)-1),#N/A)-$C$8/250</f>
        <v>#N/A</v>
      </c>
      <c r="N2437" s="395"/>
      <c r="R2437" s="391"/>
    </row>
    <row r="2438" spans="12:18">
      <c r="L2438" s="394" t="e">
        <f ca="1">IF(NOT(OFFSET(Data!E2441,0,MATCH('Delta Beta'!$C$5,Data!$B$4:$Q$4,0)-3)=""),OFFSET(Data!E2441,0,MATCH('Delta Beta'!$C$5,Data!$B$4:$Q$4,0)-3),#N/A)-$C$8/250</f>
        <v>#N/A</v>
      </c>
      <c r="M2438" s="394" t="e">
        <f ca="1">IF(NOT(OFFSET(Data!E2441,0,MATCH('Delta Beta'!$C$5,Data!$B$4:$Q$4,0)-1)=""),OFFSET(Data!E2441,0,MATCH('Delta Beta'!$C$5,Data!$B$4:$Q$4,0)-1),#N/A)-$C$8/250</f>
        <v>#N/A</v>
      </c>
      <c r="N2438" s="395"/>
      <c r="R2438" s="391"/>
    </row>
    <row r="2439" spans="12:18">
      <c r="L2439" s="394" t="e">
        <f ca="1">IF(NOT(OFFSET(Data!E2442,0,MATCH('Delta Beta'!$C$5,Data!$B$4:$Q$4,0)-3)=""),OFFSET(Data!E2442,0,MATCH('Delta Beta'!$C$5,Data!$B$4:$Q$4,0)-3),#N/A)-$C$8/250</f>
        <v>#N/A</v>
      </c>
      <c r="M2439" s="394" t="e">
        <f ca="1">IF(NOT(OFFSET(Data!E2442,0,MATCH('Delta Beta'!$C$5,Data!$B$4:$Q$4,0)-1)=""),OFFSET(Data!E2442,0,MATCH('Delta Beta'!$C$5,Data!$B$4:$Q$4,0)-1),#N/A)-$C$8/250</f>
        <v>#N/A</v>
      </c>
      <c r="N2439" s="395"/>
      <c r="R2439" s="391"/>
    </row>
    <row r="2440" spans="12:18">
      <c r="L2440" s="394" t="e">
        <f ca="1">IF(NOT(OFFSET(Data!E2443,0,MATCH('Delta Beta'!$C$5,Data!$B$4:$Q$4,0)-3)=""),OFFSET(Data!E2443,0,MATCH('Delta Beta'!$C$5,Data!$B$4:$Q$4,0)-3),#N/A)-$C$8/250</f>
        <v>#N/A</v>
      </c>
      <c r="M2440" s="394" t="e">
        <f ca="1">IF(NOT(OFFSET(Data!E2443,0,MATCH('Delta Beta'!$C$5,Data!$B$4:$Q$4,0)-1)=""),OFFSET(Data!E2443,0,MATCH('Delta Beta'!$C$5,Data!$B$4:$Q$4,0)-1),#N/A)-$C$8/250</f>
        <v>#N/A</v>
      </c>
      <c r="N2440" s="395"/>
      <c r="R2440" s="391"/>
    </row>
    <row r="2441" spans="12:18">
      <c r="L2441" s="394" t="e">
        <f ca="1">IF(NOT(OFFSET(Data!E2444,0,MATCH('Delta Beta'!$C$5,Data!$B$4:$Q$4,0)-3)=""),OFFSET(Data!E2444,0,MATCH('Delta Beta'!$C$5,Data!$B$4:$Q$4,0)-3),#N/A)-$C$8/250</f>
        <v>#N/A</v>
      </c>
      <c r="M2441" s="394" t="e">
        <f ca="1">IF(NOT(OFFSET(Data!E2444,0,MATCH('Delta Beta'!$C$5,Data!$B$4:$Q$4,0)-1)=""),OFFSET(Data!E2444,0,MATCH('Delta Beta'!$C$5,Data!$B$4:$Q$4,0)-1),#N/A)-$C$8/250</f>
        <v>#N/A</v>
      </c>
      <c r="N2441" s="395"/>
      <c r="R2441" s="391"/>
    </row>
    <row r="2442" spans="12:18">
      <c r="L2442" s="394" t="e">
        <f ca="1">IF(NOT(OFFSET(Data!E2445,0,MATCH('Delta Beta'!$C$5,Data!$B$4:$Q$4,0)-3)=""),OFFSET(Data!E2445,0,MATCH('Delta Beta'!$C$5,Data!$B$4:$Q$4,0)-3),#N/A)-$C$8/250</f>
        <v>#N/A</v>
      </c>
      <c r="M2442" s="394" t="e">
        <f ca="1">IF(NOT(OFFSET(Data!E2445,0,MATCH('Delta Beta'!$C$5,Data!$B$4:$Q$4,0)-1)=""),OFFSET(Data!E2445,0,MATCH('Delta Beta'!$C$5,Data!$B$4:$Q$4,0)-1),#N/A)-$C$8/250</f>
        <v>#N/A</v>
      </c>
      <c r="N2442" s="395"/>
      <c r="R2442" s="391"/>
    </row>
    <row r="2443" spans="12:18">
      <c r="L2443" s="394" t="e">
        <f ca="1">IF(NOT(OFFSET(Data!E2446,0,MATCH('Delta Beta'!$C$5,Data!$B$4:$Q$4,0)-3)=""),OFFSET(Data!E2446,0,MATCH('Delta Beta'!$C$5,Data!$B$4:$Q$4,0)-3),#N/A)-$C$8/250</f>
        <v>#N/A</v>
      </c>
      <c r="M2443" s="394" t="e">
        <f ca="1">IF(NOT(OFFSET(Data!E2446,0,MATCH('Delta Beta'!$C$5,Data!$B$4:$Q$4,0)-1)=""),OFFSET(Data!E2446,0,MATCH('Delta Beta'!$C$5,Data!$B$4:$Q$4,0)-1),#N/A)-$C$8/250</f>
        <v>#N/A</v>
      </c>
      <c r="N2443" s="395"/>
      <c r="R2443" s="391"/>
    </row>
    <row r="2444" spans="12:18">
      <c r="L2444" s="394" t="e">
        <f ca="1">IF(NOT(OFFSET(Data!E2447,0,MATCH('Delta Beta'!$C$5,Data!$B$4:$Q$4,0)-3)=""),OFFSET(Data!E2447,0,MATCH('Delta Beta'!$C$5,Data!$B$4:$Q$4,0)-3),#N/A)-$C$8/250</f>
        <v>#N/A</v>
      </c>
      <c r="M2444" s="394" t="e">
        <f ca="1">IF(NOT(OFFSET(Data!E2447,0,MATCH('Delta Beta'!$C$5,Data!$B$4:$Q$4,0)-1)=""),OFFSET(Data!E2447,0,MATCH('Delta Beta'!$C$5,Data!$B$4:$Q$4,0)-1),#N/A)-$C$8/250</f>
        <v>#N/A</v>
      </c>
      <c r="N2444" s="395"/>
      <c r="R2444" s="391"/>
    </row>
    <row r="2445" spans="12:18">
      <c r="L2445" s="394" t="e">
        <f ca="1">IF(NOT(OFFSET(Data!E2448,0,MATCH('Delta Beta'!$C$5,Data!$B$4:$Q$4,0)-3)=""),OFFSET(Data!E2448,0,MATCH('Delta Beta'!$C$5,Data!$B$4:$Q$4,0)-3),#N/A)-$C$8/250</f>
        <v>#N/A</v>
      </c>
      <c r="M2445" s="394" t="e">
        <f ca="1">IF(NOT(OFFSET(Data!E2448,0,MATCH('Delta Beta'!$C$5,Data!$B$4:$Q$4,0)-1)=""),OFFSET(Data!E2448,0,MATCH('Delta Beta'!$C$5,Data!$B$4:$Q$4,0)-1),#N/A)-$C$8/250</f>
        <v>#N/A</v>
      </c>
      <c r="N2445" s="395"/>
      <c r="R2445" s="391"/>
    </row>
    <row r="2446" spans="12:18">
      <c r="L2446" s="394" t="e">
        <f ca="1">IF(NOT(OFFSET(Data!E2449,0,MATCH('Delta Beta'!$C$5,Data!$B$4:$Q$4,0)-3)=""),OFFSET(Data!E2449,0,MATCH('Delta Beta'!$C$5,Data!$B$4:$Q$4,0)-3),#N/A)-$C$8/250</f>
        <v>#N/A</v>
      </c>
      <c r="M2446" s="394" t="e">
        <f ca="1">IF(NOT(OFFSET(Data!E2449,0,MATCH('Delta Beta'!$C$5,Data!$B$4:$Q$4,0)-1)=""),OFFSET(Data!E2449,0,MATCH('Delta Beta'!$C$5,Data!$B$4:$Q$4,0)-1),#N/A)-$C$8/250</f>
        <v>#N/A</v>
      </c>
      <c r="N2446" s="395"/>
      <c r="R2446" s="391"/>
    </row>
    <row r="2447" spans="12:18">
      <c r="L2447" s="394" t="e">
        <f ca="1">IF(NOT(OFFSET(Data!E2450,0,MATCH('Delta Beta'!$C$5,Data!$B$4:$Q$4,0)-3)=""),OFFSET(Data!E2450,0,MATCH('Delta Beta'!$C$5,Data!$B$4:$Q$4,0)-3),#N/A)-$C$8/250</f>
        <v>#N/A</v>
      </c>
      <c r="M2447" s="394" t="e">
        <f ca="1">IF(NOT(OFFSET(Data!E2450,0,MATCH('Delta Beta'!$C$5,Data!$B$4:$Q$4,0)-1)=""),OFFSET(Data!E2450,0,MATCH('Delta Beta'!$C$5,Data!$B$4:$Q$4,0)-1),#N/A)-$C$8/250</f>
        <v>#N/A</v>
      </c>
      <c r="N2447" s="395"/>
      <c r="R2447" s="391"/>
    </row>
    <row r="2448" spans="12:18">
      <c r="L2448" s="394" t="e">
        <f ca="1">IF(NOT(OFFSET(Data!E2451,0,MATCH('Delta Beta'!$C$5,Data!$B$4:$Q$4,0)-3)=""),OFFSET(Data!E2451,0,MATCH('Delta Beta'!$C$5,Data!$B$4:$Q$4,0)-3),#N/A)-$C$8/250</f>
        <v>#N/A</v>
      </c>
      <c r="M2448" s="394" t="e">
        <f ca="1">IF(NOT(OFFSET(Data!E2451,0,MATCH('Delta Beta'!$C$5,Data!$B$4:$Q$4,0)-1)=""),OFFSET(Data!E2451,0,MATCH('Delta Beta'!$C$5,Data!$B$4:$Q$4,0)-1),#N/A)-$C$8/250</f>
        <v>#N/A</v>
      </c>
      <c r="N2448" s="395"/>
      <c r="R2448" s="391"/>
    </row>
    <row r="2449" spans="12:18">
      <c r="L2449" s="394" t="e">
        <f ca="1">IF(NOT(OFFSET(Data!E2452,0,MATCH('Delta Beta'!$C$5,Data!$B$4:$Q$4,0)-3)=""),OFFSET(Data!E2452,0,MATCH('Delta Beta'!$C$5,Data!$B$4:$Q$4,0)-3),#N/A)-$C$8/250</f>
        <v>#N/A</v>
      </c>
      <c r="M2449" s="394" t="e">
        <f ca="1">IF(NOT(OFFSET(Data!E2452,0,MATCH('Delta Beta'!$C$5,Data!$B$4:$Q$4,0)-1)=""),OFFSET(Data!E2452,0,MATCH('Delta Beta'!$C$5,Data!$B$4:$Q$4,0)-1),#N/A)-$C$8/250</f>
        <v>#N/A</v>
      </c>
      <c r="N2449" s="395"/>
      <c r="R2449" s="391"/>
    </row>
    <row r="2450" spans="12:18">
      <c r="L2450" s="394" t="e">
        <f ca="1">IF(NOT(OFFSET(Data!E2453,0,MATCH('Delta Beta'!$C$5,Data!$B$4:$Q$4,0)-3)=""),OFFSET(Data!E2453,0,MATCH('Delta Beta'!$C$5,Data!$B$4:$Q$4,0)-3),#N/A)-$C$8/250</f>
        <v>#N/A</v>
      </c>
      <c r="M2450" s="394" t="e">
        <f ca="1">IF(NOT(OFFSET(Data!E2453,0,MATCH('Delta Beta'!$C$5,Data!$B$4:$Q$4,0)-1)=""),OFFSET(Data!E2453,0,MATCH('Delta Beta'!$C$5,Data!$B$4:$Q$4,0)-1),#N/A)-$C$8/250</f>
        <v>#N/A</v>
      </c>
      <c r="N2450" s="395"/>
      <c r="R2450" s="391"/>
    </row>
    <row r="2451" spans="12:18">
      <c r="L2451" s="394" t="e">
        <f ca="1">IF(NOT(OFFSET(Data!E2454,0,MATCH('Delta Beta'!$C$5,Data!$B$4:$Q$4,0)-3)=""),OFFSET(Data!E2454,0,MATCH('Delta Beta'!$C$5,Data!$B$4:$Q$4,0)-3),#N/A)-$C$8/250</f>
        <v>#N/A</v>
      </c>
      <c r="M2451" s="394" t="e">
        <f ca="1">IF(NOT(OFFSET(Data!E2454,0,MATCH('Delta Beta'!$C$5,Data!$B$4:$Q$4,0)-1)=""),OFFSET(Data!E2454,0,MATCH('Delta Beta'!$C$5,Data!$B$4:$Q$4,0)-1),#N/A)-$C$8/250</f>
        <v>#N/A</v>
      </c>
      <c r="N2451" s="395"/>
      <c r="R2451" s="391"/>
    </row>
    <row r="2452" spans="12:18">
      <c r="L2452" s="394" t="e">
        <f ca="1">IF(NOT(OFFSET(Data!E2455,0,MATCH('Delta Beta'!$C$5,Data!$B$4:$Q$4,0)-3)=""),OFFSET(Data!E2455,0,MATCH('Delta Beta'!$C$5,Data!$B$4:$Q$4,0)-3),#N/A)-$C$8/250</f>
        <v>#N/A</v>
      </c>
      <c r="M2452" s="394" t="e">
        <f ca="1">IF(NOT(OFFSET(Data!E2455,0,MATCH('Delta Beta'!$C$5,Data!$B$4:$Q$4,0)-1)=""),OFFSET(Data!E2455,0,MATCH('Delta Beta'!$C$5,Data!$B$4:$Q$4,0)-1),#N/A)-$C$8/250</f>
        <v>#N/A</v>
      </c>
      <c r="N2452" s="395"/>
      <c r="R2452" s="391"/>
    </row>
    <row r="2453" spans="12:18">
      <c r="L2453" s="394" t="e">
        <f ca="1">IF(NOT(OFFSET(Data!E2456,0,MATCH('Delta Beta'!$C$5,Data!$B$4:$Q$4,0)-3)=""),OFFSET(Data!E2456,0,MATCH('Delta Beta'!$C$5,Data!$B$4:$Q$4,0)-3),#N/A)-$C$8/250</f>
        <v>#N/A</v>
      </c>
      <c r="M2453" s="394" t="e">
        <f ca="1">IF(NOT(OFFSET(Data!E2456,0,MATCH('Delta Beta'!$C$5,Data!$B$4:$Q$4,0)-1)=""),OFFSET(Data!E2456,0,MATCH('Delta Beta'!$C$5,Data!$B$4:$Q$4,0)-1),#N/A)-$C$8/250</f>
        <v>#N/A</v>
      </c>
      <c r="N2453" s="395"/>
      <c r="R2453" s="391"/>
    </row>
    <row r="2454" spans="12:18">
      <c r="L2454" s="394" t="e">
        <f ca="1">IF(NOT(OFFSET(Data!E2457,0,MATCH('Delta Beta'!$C$5,Data!$B$4:$Q$4,0)-3)=""),OFFSET(Data!E2457,0,MATCH('Delta Beta'!$C$5,Data!$B$4:$Q$4,0)-3),#N/A)-$C$8/250</f>
        <v>#N/A</v>
      </c>
      <c r="M2454" s="394" t="e">
        <f ca="1">IF(NOT(OFFSET(Data!E2457,0,MATCH('Delta Beta'!$C$5,Data!$B$4:$Q$4,0)-1)=""),OFFSET(Data!E2457,0,MATCH('Delta Beta'!$C$5,Data!$B$4:$Q$4,0)-1),#N/A)-$C$8/250</f>
        <v>#N/A</v>
      </c>
      <c r="N2454" s="395"/>
      <c r="R2454" s="391"/>
    </row>
    <row r="2455" spans="12:18">
      <c r="L2455" s="394" t="e">
        <f ca="1">IF(NOT(OFFSET(Data!E2458,0,MATCH('Delta Beta'!$C$5,Data!$B$4:$Q$4,0)-3)=""),OFFSET(Data!E2458,0,MATCH('Delta Beta'!$C$5,Data!$B$4:$Q$4,0)-3),#N/A)-$C$8/250</f>
        <v>#N/A</v>
      </c>
      <c r="M2455" s="394" t="e">
        <f ca="1">IF(NOT(OFFSET(Data!E2458,0,MATCH('Delta Beta'!$C$5,Data!$B$4:$Q$4,0)-1)=""),OFFSET(Data!E2458,0,MATCH('Delta Beta'!$C$5,Data!$B$4:$Q$4,0)-1),#N/A)-$C$8/250</f>
        <v>#N/A</v>
      </c>
      <c r="N2455" s="395"/>
      <c r="R2455" s="391"/>
    </row>
    <row r="2456" spans="12:18">
      <c r="L2456" s="394" t="e">
        <f ca="1">IF(NOT(OFFSET(Data!E2459,0,MATCH('Delta Beta'!$C$5,Data!$B$4:$Q$4,0)-3)=""),OFFSET(Data!E2459,0,MATCH('Delta Beta'!$C$5,Data!$B$4:$Q$4,0)-3),#N/A)-$C$8/250</f>
        <v>#N/A</v>
      </c>
      <c r="M2456" s="394" t="e">
        <f ca="1">IF(NOT(OFFSET(Data!E2459,0,MATCH('Delta Beta'!$C$5,Data!$B$4:$Q$4,0)-1)=""),OFFSET(Data!E2459,0,MATCH('Delta Beta'!$C$5,Data!$B$4:$Q$4,0)-1),#N/A)-$C$8/250</f>
        <v>#N/A</v>
      </c>
      <c r="N2456" s="395"/>
      <c r="R2456" s="391"/>
    </row>
    <row r="2457" spans="12:18">
      <c r="L2457" s="394" t="e">
        <f ca="1">IF(NOT(OFFSET(Data!E2460,0,MATCH('Delta Beta'!$C$5,Data!$B$4:$Q$4,0)-3)=""),OFFSET(Data!E2460,0,MATCH('Delta Beta'!$C$5,Data!$B$4:$Q$4,0)-3),#N/A)-$C$8/250</f>
        <v>#N/A</v>
      </c>
      <c r="M2457" s="394" t="e">
        <f ca="1">IF(NOT(OFFSET(Data!E2460,0,MATCH('Delta Beta'!$C$5,Data!$B$4:$Q$4,0)-1)=""),OFFSET(Data!E2460,0,MATCH('Delta Beta'!$C$5,Data!$B$4:$Q$4,0)-1),#N/A)-$C$8/250</f>
        <v>#N/A</v>
      </c>
      <c r="N2457" s="395"/>
      <c r="R2457" s="391"/>
    </row>
    <row r="2458" spans="12:18">
      <c r="L2458" s="394" t="e">
        <f ca="1">IF(NOT(OFFSET(Data!E2461,0,MATCH('Delta Beta'!$C$5,Data!$B$4:$Q$4,0)-3)=""),OFFSET(Data!E2461,0,MATCH('Delta Beta'!$C$5,Data!$B$4:$Q$4,0)-3),#N/A)-$C$8/250</f>
        <v>#N/A</v>
      </c>
      <c r="M2458" s="394" t="e">
        <f ca="1">IF(NOT(OFFSET(Data!E2461,0,MATCH('Delta Beta'!$C$5,Data!$B$4:$Q$4,0)-1)=""),OFFSET(Data!E2461,0,MATCH('Delta Beta'!$C$5,Data!$B$4:$Q$4,0)-1),#N/A)-$C$8/250</f>
        <v>#N/A</v>
      </c>
      <c r="N2458" s="395"/>
      <c r="R2458" s="391"/>
    </row>
    <row r="2459" spans="12:18">
      <c r="L2459" s="394" t="e">
        <f ca="1">IF(NOT(OFFSET(Data!E2462,0,MATCH('Delta Beta'!$C$5,Data!$B$4:$Q$4,0)-3)=""),OFFSET(Data!E2462,0,MATCH('Delta Beta'!$C$5,Data!$B$4:$Q$4,0)-3),#N/A)-$C$8/250</f>
        <v>#N/A</v>
      </c>
      <c r="M2459" s="394" t="e">
        <f ca="1">IF(NOT(OFFSET(Data!E2462,0,MATCH('Delta Beta'!$C$5,Data!$B$4:$Q$4,0)-1)=""),OFFSET(Data!E2462,0,MATCH('Delta Beta'!$C$5,Data!$B$4:$Q$4,0)-1),#N/A)-$C$8/250</f>
        <v>#N/A</v>
      </c>
      <c r="N2459" s="395"/>
      <c r="R2459" s="391"/>
    </row>
    <row r="2460" spans="12:18">
      <c r="L2460" s="394" t="e">
        <f ca="1">IF(NOT(OFFSET(Data!E2463,0,MATCH('Delta Beta'!$C$5,Data!$B$4:$Q$4,0)-3)=""),OFFSET(Data!E2463,0,MATCH('Delta Beta'!$C$5,Data!$B$4:$Q$4,0)-3),#N/A)-$C$8/250</f>
        <v>#N/A</v>
      </c>
      <c r="M2460" s="394" t="e">
        <f ca="1">IF(NOT(OFFSET(Data!E2463,0,MATCH('Delta Beta'!$C$5,Data!$B$4:$Q$4,0)-1)=""),OFFSET(Data!E2463,0,MATCH('Delta Beta'!$C$5,Data!$B$4:$Q$4,0)-1),#N/A)-$C$8/250</f>
        <v>#N/A</v>
      </c>
      <c r="N2460" s="395"/>
      <c r="R2460" s="391"/>
    </row>
    <row r="2461" spans="12:18">
      <c r="L2461" s="394" t="e">
        <f ca="1">IF(NOT(OFFSET(Data!E2464,0,MATCH('Delta Beta'!$C$5,Data!$B$4:$Q$4,0)-3)=""),OFFSET(Data!E2464,0,MATCH('Delta Beta'!$C$5,Data!$B$4:$Q$4,0)-3),#N/A)-$C$8/250</f>
        <v>#N/A</v>
      </c>
      <c r="M2461" s="394" t="e">
        <f ca="1">IF(NOT(OFFSET(Data!E2464,0,MATCH('Delta Beta'!$C$5,Data!$B$4:$Q$4,0)-1)=""),OFFSET(Data!E2464,0,MATCH('Delta Beta'!$C$5,Data!$B$4:$Q$4,0)-1),#N/A)-$C$8/250</f>
        <v>#N/A</v>
      </c>
      <c r="N2461" s="395"/>
      <c r="R2461" s="391"/>
    </row>
    <row r="2462" spans="12:18">
      <c r="L2462" s="394" t="e">
        <f ca="1">IF(NOT(OFFSET(Data!E2465,0,MATCH('Delta Beta'!$C$5,Data!$B$4:$Q$4,0)-3)=""),OFFSET(Data!E2465,0,MATCH('Delta Beta'!$C$5,Data!$B$4:$Q$4,0)-3),#N/A)-$C$8/250</f>
        <v>#N/A</v>
      </c>
      <c r="M2462" s="394" t="e">
        <f ca="1">IF(NOT(OFFSET(Data!E2465,0,MATCH('Delta Beta'!$C$5,Data!$B$4:$Q$4,0)-1)=""),OFFSET(Data!E2465,0,MATCH('Delta Beta'!$C$5,Data!$B$4:$Q$4,0)-1),#N/A)-$C$8/250</f>
        <v>#N/A</v>
      </c>
      <c r="N2462" s="395"/>
      <c r="R2462" s="391"/>
    </row>
    <row r="2463" spans="12:18">
      <c r="L2463" s="394" t="e">
        <f ca="1">IF(NOT(OFFSET(Data!E2466,0,MATCH('Delta Beta'!$C$5,Data!$B$4:$Q$4,0)-3)=""),OFFSET(Data!E2466,0,MATCH('Delta Beta'!$C$5,Data!$B$4:$Q$4,0)-3),#N/A)-$C$8/250</f>
        <v>#N/A</v>
      </c>
      <c r="M2463" s="394" t="e">
        <f ca="1">IF(NOT(OFFSET(Data!E2466,0,MATCH('Delta Beta'!$C$5,Data!$B$4:$Q$4,0)-1)=""),OFFSET(Data!E2466,0,MATCH('Delta Beta'!$C$5,Data!$B$4:$Q$4,0)-1),#N/A)-$C$8/250</f>
        <v>#N/A</v>
      </c>
      <c r="N2463" s="395"/>
      <c r="R2463" s="391"/>
    </row>
    <row r="2464" spans="12:18">
      <c r="L2464" s="394" t="e">
        <f ca="1">IF(NOT(OFFSET(Data!E2467,0,MATCH('Delta Beta'!$C$5,Data!$B$4:$Q$4,0)-3)=""),OFFSET(Data!E2467,0,MATCH('Delta Beta'!$C$5,Data!$B$4:$Q$4,0)-3),#N/A)-$C$8/250</f>
        <v>#N/A</v>
      </c>
      <c r="M2464" s="394" t="e">
        <f ca="1">IF(NOT(OFFSET(Data!E2467,0,MATCH('Delta Beta'!$C$5,Data!$B$4:$Q$4,0)-1)=""),OFFSET(Data!E2467,0,MATCH('Delta Beta'!$C$5,Data!$B$4:$Q$4,0)-1),#N/A)-$C$8/250</f>
        <v>#N/A</v>
      </c>
      <c r="N2464" s="395"/>
      <c r="R2464" s="391"/>
    </row>
    <row r="2465" spans="12:18">
      <c r="L2465" s="394" t="e">
        <f ca="1">IF(NOT(OFFSET(Data!E2468,0,MATCH('Delta Beta'!$C$5,Data!$B$4:$Q$4,0)-3)=""),OFFSET(Data!E2468,0,MATCH('Delta Beta'!$C$5,Data!$B$4:$Q$4,0)-3),#N/A)-$C$8/250</f>
        <v>#N/A</v>
      </c>
      <c r="M2465" s="394" t="e">
        <f ca="1">IF(NOT(OFFSET(Data!E2468,0,MATCH('Delta Beta'!$C$5,Data!$B$4:$Q$4,0)-1)=""),OFFSET(Data!E2468,0,MATCH('Delta Beta'!$C$5,Data!$B$4:$Q$4,0)-1),#N/A)-$C$8/250</f>
        <v>#N/A</v>
      </c>
      <c r="N2465" s="395"/>
      <c r="R2465" s="391"/>
    </row>
    <row r="2466" spans="12:18">
      <c r="L2466" s="394" t="e">
        <f ca="1">IF(NOT(OFFSET(Data!E2469,0,MATCH('Delta Beta'!$C$5,Data!$B$4:$Q$4,0)-3)=""),OFFSET(Data!E2469,0,MATCH('Delta Beta'!$C$5,Data!$B$4:$Q$4,0)-3),#N/A)-$C$8/250</f>
        <v>#N/A</v>
      </c>
      <c r="M2466" s="394" t="e">
        <f ca="1">IF(NOT(OFFSET(Data!E2469,0,MATCH('Delta Beta'!$C$5,Data!$B$4:$Q$4,0)-1)=""),OFFSET(Data!E2469,0,MATCH('Delta Beta'!$C$5,Data!$B$4:$Q$4,0)-1),#N/A)-$C$8/250</f>
        <v>#N/A</v>
      </c>
      <c r="N2466" s="395"/>
      <c r="R2466" s="391"/>
    </row>
    <row r="2467" spans="12:18">
      <c r="L2467" s="394" t="e">
        <f ca="1">IF(NOT(OFFSET(Data!E2470,0,MATCH('Delta Beta'!$C$5,Data!$B$4:$Q$4,0)-3)=""),OFFSET(Data!E2470,0,MATCH('Delta Beta'!$C$5,Data!$B$4:$Q$4,0)-3),#N/A)-$C$8/250</f>
        <v>#N/A</v>
      </c>
      <c r="M2467" s="394" t="e">
        <f ca="1">IF(NOT(OFFSET(Data!E2470,0,MATCH('Delta Beta'!$C$5,Data!$B$4:$Q$4,0)-1)=""),OFFSET(Data!E2470,0,MATCH('Delta Beta'!$C$5,Data!$B$4:$Q$4,0)-1),#N/A)-$C$8/250</f>
        <v>#N/A</v>
      </c>
      <c r="N2467" s="395"/>
      <c r="R2467" s="391"/>
    </row>
    <row r="2468" spans="12:18">
      <c r="L2468" s="394" t="e">
        <f ca="1">IF(NOT(OFFSET(Data!E2471,0,MATCH('Delta Beta'!$C$5,Data!$B$4:$Q$4,0)-3)=""),OFFSET(Data!E2471,0,MATCH('Delta Beta'!$C$5,Data!$B$4:$Q$4,0)-3),#N/A)-$C$8/250</f>
        <v>#N/A</v>
      </c>
      <c r="M2468" s="394" t="e">
        <f ca="1">IF(NOT(OFFSET(Data!E2471,0,MATCH('Delta Beta'!$C$5,Data!$B$4:$Q$4,0)-1)=""),OFFSET(Data!E2471,0,MATCH('Delta Beta'!$C$5,Data!$B$4:$Q$4,0)-1),#N/A)-$C$8/250</f>
        <v>#N/A</v>
      </c>
      <c r="N2468" s="395"/>
      <c r="R2468" s="391"/>
    </row>
    <row r="2469" spans="12:18">
      <c r="L2469" s="394" t="e">
        <f ca="1">IF(NOT(OFFSET(Data!E2472,0,MATCH('Delta Beta'!$C$5,Data!$B$4:$Q$4,0)-3)=""),OFFSET(Data!E2472,0,MATCH('Delta Beta'!$C$5,Data!$B$4:$Q$4,0)-3),#N/A)-$C$8/250</f>
        <v>#N/A</v>
      </c>
      <c r="M2469" s="394" t="e">
        <f ca="1">IF(NOT(OFFSET(Data!E2472,0,MATCH('Delta Beta'!$C$5,Data!$B$4:$Q$4,0)-1)=""),OFFSET(Data!E2472,0,MATCH('Delta Beta'!$C$5,Data!$B$4:$Q$4,0)-1),#N/A)-$C$8/250</f>
        <v>#N/A</v>
      </c>
      <c r="N2469" s="395"/>
      <c r="R2469" s="391"/>
    </row>
    <row r="2470" spans="12:18">
      <c r="L2470" s="394" t="e">
        <f ca="1">IF(NOT(OFFSET(Data!E2473,0,MATCH('Delta Beta'!$C$5,Data!$B$4:$Q$4,0)-3)=""),OFFSET(Data!E2473,0,MATCH('Delta Beta'!$C$5,Data!$B$4:$Q$4,0)-3),#N/A)-$C$8/250</f>
        <v>#N/A</v>
      </c>
      <c r="M2470" s="394" t="e">
        <f ca="1">IF(NOT(OFFSET(Data!E2473,0,MATCH('Delta Beta'!$C$5,Data!$B$4:$Q$4,0)-1)=""),OFFSET(Data!E2473,0,MATCH('Delta Beta'!$C$5,Data!$B$4:$Q$4,0)-1),#N/A)-$C$8/250</f>
        <v>#N/A</v>
      </c>
      <c r="N2470" s="395"/>
      <c r="R2470" s="391"/>
    </row>
    <row r="2471" spans="12:18">
      <c r="L2471" s="394" t="e">
        <f ca="1">IF(NOT(OFFSET(Data!E2474,0,MATCH('Delta Beta'!$C$5,Data!$B$4:$Q$4,0)-3)=""),OFFSET(Data!E2474,0,MATCH('Delta Beta'!$C$5,Data!$B$4:$Q$4,0)-3),#N/A)-$C$8/250</f>
        <v>#N/A</v>
      </c>
      <c r="M2471" s="394" t="e">
        <f ca="1">IF(NOT(OFFSET(Data!E2474,0,MATCH('Delta Beta'!$C$5,Data!$B$4:$Q$4,0)-1)=""),OFFSET(Data!E2474,0,MATCH('Delta Beta'!$C$5,Data!$B$4:$Q$4,0)-1),#N/A)-$C$8/250</f>
        <v>#N/A</v>
      </c>
      <c r="N2471" s="395"/>
      <c r="R2471" s="391"/>
    </row>
    <row r="2472" spans="12:18">
      <c r="L2472" s="394" t="e">
        <f ca="1">IF(NOT(OFFSET(Data!E2475,0,MATCH('Delta Beta'!$C$5,Data!$B$4:$Q$4,0)-3)=""),OFFSET(Data!E2475,0,MATCH('Delta Beta'!$C$5,Data!$B$4:$Q$4,0)-3),#N/A)-$C$8/250</f>
        <v>#N/A</v>
      </c>
      <c r="M2472" s="394" t="e">
        <f ca="1">IF(NOT(OFFSET(Data!E2475,0,MATCH('Delta Beta'!$C$5,Data!$B$4:$Q$4,0)-1)=""),OFFSET(Data!E2475,0,MATCH('Delta Beta'!$C$5,Data!$B$4:$Q$4,0)-1),#N/A)-$C$8/250</f>
        <v>#N/A</v>
      </c>
      <c r="N2472" s="395"/>
      <c r="R2472" s="391"/>
    </row>
    <row r="2473" spans="12:18">
      <c r="L2473" s="394" t="e">
        <f ca="1">IF(NOT(OFFSET(Data!E2476,0,MATCH('Delta Beta'!$C$5,Data!$B$4:$Q$4,0)-3)=""),OFFSET(Data!E2476,0,MATCH('Delta Beta'!$C$5,Data!$B$4:$Q$4,0)-3),#N/A)-$C$8/250</f>
        <v>#N/A</v>
      </c>
      <c r="M2473" s="394" t="e">
        <f ca="1">IF(NOT(OFFSET(Data!E2476,0,MATCH('Delta Beta'!$C$5,Data!$B$4:$Q$4,0)-1)=""),OFFSET(Data!E2476,0,MATCH('Delta Beta'!$C$5,Data!$B$4:$Q$4,0)-1),#N/A)-$C$8/250</f>
        <v>#N/A</v>
      </c>
      <c r="N2473" s="395"/>
      <c r="R2473" s="391"/>
    </row>
    <row r="2474" spans="12:18">
      <c r="L2474" s="394" t="e">
        <f ca="1">IF(NOT(OFFSET(Data!E2477,0,MATCH('Delta Beta'!$C$5,Data!$B$4:$Q$4,0)-3)=""),OFFSET(Data!E2477,0,MATCH('Delta Beta'!$C$5,Data!$B$4:$Q$4,0)-3),#N/A)-$C$8/250</f>
        <v>#N/A</v>
      </c>
      <c r="M2474" s="394" t="e">
        <f ca="1">IF(NOT(OFFSET(Data!E2477,0,MATCH('Delta Beta'!$C$5,Data!$B$4:$Q$4,0)-1)=""),OFFSET(Data!E2477,0,MATCH('Delta Beta'!$C$5,Data!$B$4:$Q$4,0)-1),#N/A)-$C$8/250</f>
        <v>#N/A</v>
      </c>
      <c r="N2474" s="395"/>
      <c r="R2474" s="391"/>
    </row>
    <row r="2475" spans="12:18">
      <c r="L2475" s="394" t="e">
        <f ca="1">IF(NOT(OFFSET(Data!E2478,0,MATCH('Delta Beta'!$C$5,Data!$B$4:$Q$4,0)-3)=""),OFFSET(Data!E2478,0,MATCH('Delta Beta'!$C$5,Data!$B$4:$Q$4,0)-3),#N/A)-$C$8/250</f>
        <v>#N/A</v>
      </c>
      <c r="M2475" s="394" t="e">
        <f ca="1">IF(NOT(OFFSET(Data!E2478,0,MATCH('Delta Beta'!$C$5,Data!$B$4:$Q$4,0)-1)=""),OFFSET(Data!E2478,0,MATCH('Delta Beta'!$C$5,Data!$B$4:$Q$4,0)-1),#N/A)-$C$8/250</f>
        <v>#N/A</v>
      </c>
      <c r="N2475" s="395"/>
      <c r="R2475" s="391"/>
    </row>
    <row r="2476" spans="12:18">
      <c r="L2476" s="394" t="e">
        <f ca="1">IF(NOT(OFFSET(Data!E2479,0,MATCH('Delta Beta'!$C$5,Data!$B$4:$Q$4,0)-3)=""),OFFSET(Data!E2479,0,MATCH('Delta Beta'!$C$5,Data!$B$4:$Q$4,0)-3),#N/A)-$C$8/250</f>
        <v>#N/A</v>
      </c>
      <c r="M2476" s="394" t="e">
        <f ca="1">IF(NOT(OFFSET(Data!E2479,0,MATCH('Delta Beta'!$C$5,Data!$B$4:$Q$4,0)-1)=""),OFFSET(Data!E2479,0,MATCH('Delta Beta'!$C$5,Data!$B$4:$Q$4,0)-1),#N/A)-$C$8/250</f>
        <v>#N/A</v>
      </c>
      <c r="N2476" s="395"/>
      <c r="R2476" s="391"/>
    </row>
    <row r="2477" spans="12:18">
      <c r="L2477" s="394" t="e">
        <f ca="1">IF(NOT(OFFSET(Data!E2480,0,MATCH('Delta Beta'!$C$5,Data!$B$4:$Q$4,0)-3)=""),OFFSET(Data!E2480,0,MATCH('Delta Beta'!$C$5,Data!$B$4:$Q$4,0)-3),#N/A)-$C$8/250</f>
        <v>#N/A</v>
      </c>
      <c r="M2477" s="394" t="e">
        <f ca="1">IF(NOT(OFFSET(Data!E2480,0,MATCH('Delta Beta'!$C$5,Data!$B$4:$Q$4,0)-1)=""),OFFSET(Data!E2480,0,MATCH('Delta Beta'!$C$5,Data!$B$4:$Q$4,0)-1),#N/A)-$C$8/250</f>
        <v>#N/A</v>
      </c>
      <c r="N2477" s="395"/>
      <c r="R2477" s="391"/>
    </row>
    <row r="2478" spans="12:18">
      <c r="L2478" s="394" t="e">
        <f ca="1">IF(NOT(OFFSET(Data!E2481,0,MATCH('Delta Beta'!$C$5,Data!$B$4:$Q$4,0)-3)=""),OFFSET(Data!E2481,0,MATCH('Delta Beta'!$C$5,Data!$B$4:$Q$4,0)-3),#N/A)-$C$8/250</f>
        <v>#N/A</v>
      </c>
      <c r="M2478" s="394" t="e">
        <f ca="1">IF(NOT(OFFSET(Data!E2481,0,MATCH('Delta Beta'!$C$5,Data!$B$4:$Q$4,0)-1)=""),OFFSET(Data!E2481,0,MATCH('Delta Beta'!$C$5,Data!$B$4:$Q$4,0)-1),#N/A)-$C$8/250</f>
        <v>#N/A</v>
      </c>
      <c r="N2478" s="395"/>
      <c r="R2478" s="391"/>
    </row>
    <row r="2479" spans="12:18">
      <c r="L2479" s="394" t="e">
        <f ca="1">IF(NOT(OFFSET(Data!E2482,0,MATCH('Delta Beta'!$C$5,Data!$B$4:$Q$4,0)-3)=""),OFFSET(Data!E2482,0,MATCH('Delta Beta'!$C$5,Data!$B$4:$Q$4,0)-3),#N/A)-$C$8/250</f>
        <v>#N/A</v>
      </c>
      <c r="M2479" s="394" t="e">
        <f ca="1">IF(NOT(OFFSET(Data!E2482,0,MATCH('Delta Beta'!$C$5,Data!$B$4:$Q$4,0)-1)=""),OFFSET(Data!E2482,0,MATCH('Delta Beta'!$C$5,Data!$B$4:$Q$4,0)-1),#N/A)-$C$8/250</f>
        <v>#N/A</v>
      </c>
      <c r="N2479" s="395"/>
      <c r="R2479" s="391"/>
    </row>
    <row r="2480" spans="12:18">
      <c r="L2480" s="394" t="e">
        <f ca="1">IF(NOT(OFFSET(Data!E2483,0,MATCH('Delta Beta'!$C$5,Data!$B$4:$Q$4,0)-3)=""),OFFSET(Data!E2483,0,MATCH('Delta Beta'!$C$5,Data!$B$4:$Q$4,0)-3),#N/A)-$C$8/250</f>
        <v>#N/A</v>
      </c>
      <c r="M2480" s="394" t="e">
        <f ca="1">IF(NOT(OFFSET(Data!E2483,0,MATCH('Delta Beta'!$C$5,Data!$B$4:$Q$4,0)-1)=""),OFFSET(Data!E2483,0,MATCH('Delta Beta'!$C$5,Data!$B$4:$Q$4,0)-1),#N/A)-$C$8/250</f>
        <v>#N/A</v>
      </c>
      <c r="N2480" s="395"/>
      <c r="R2480" s="391"/>
    </row>
    <row r="2481" spans="12:18">
      <c r="L2481" s="394" t="e">
        <f ca="1">IF(NOT(OFFSET(Data!E2484,0,MATCH('Delta Beta'!$C$5,Data!$B$4:$Q$4,0)-3)=""),OFFSET(Data!E2484,0,MATCH('Delta Beta'!$C$5,Data!$B$4:$Q$4,0)-3),#N/A)-$C$8/250</f>
        <v>#N/A</v>
      </c>
      <c r="M2481" s="394" t="e">
        <f ca="1">IF(NOT(OFFSET(Data!E2484,0,MATCH('Delta Beta'!$C$5,Data!$B$4:$Q$4,0)-1)=""),OFFSET(Data!E2484,0,MATCH('Delta Beta'!$C$5,Data!$B$4:$Q$4,0)-1),#N/A)-$C$8/250</f>
        <v>#N/A</v>
      </c>
      <c r="N2481" s="395"/>
      <c r="R2481" s="391"/>
    </row>
    <row r="2482" spans="12:18">
      <c r="L2482" s="394" t="e">
        <f ca="1">IF(NOT(OFFSET(Data!E2485,0,MATCH('Delta Beta'!$C$5,Data!$B$4:$Q$4,0)-3)=""),OFFSET(Data!E2485,0,MATCH('Delta Beta'!$C$5,Data!$B$4:$Q$4,0)-3),#N/A)-$C$8/250</f>
        <v>#N/A</v>
      </c>
      <c r="M2482" s="394" t="e">
        <f ca="1">IF(NOT(OFFSET(Data!E2485,0,MATCH('Delta Beta'!$C$5,Data!$B$4:$Q$4,0)-1)=""),OFFSET(Data!E2485,0,MATCH('Delta Beta'!$C$5,Data!$B$4:$Q$4,0)-1),#N/A)-$C$8/250</f>
        <v>#N/A</v>
      </c>
      <c r="N2482" s="395"/>
      <c r="R2482" s="391"/>
    </row>
    <row r="2483" spans="12:18">
      <c r="L2483" s="394" t="e">
        <f ca="1">IF(NOT(OFFSET(Data!E2486,0,MATCH('Delta Beta'!$C$5,Data!$B$4:$Q$4,0)-3)=""),OFFSET(Data!E2486,0,MATCH('Delta Beta'!$C$5,Data!$B$4:$Q$4,0)-3),#N/A)-$C$8/250</f>
        <v>#N/A</v>
      </c>
      <c r="M2483" s="394" t="e">
        <f ca="1">IF(NOT(OFFSET(Data!E2486,0,MATCH('Delta Beta'!$C$5,Data!$B$4:$Q$4,0)-1)=""),OFFSET(Data!E2486,0,MATCH('Delta Beta'!$C$5,Data!$B$4:$Q$4,0)-1),#N/A)-$C$8/250</f>
        <v>#N/A</v>
      </c>
      <c r="N2483" s="395"/>
      <c r="R2483" s="391"/>
    </row>
    <row r="2484" spans="12:18">
      <c r="L2484" s="394" t="e">
        <f ca="1">IF(NOT(OFFSET(Data!E2487,0,MATCH('Delta Beta'!$C$5,Data!$B$4:$Q$4,0)-3)=""),OFFSET(Data!E2487,0,MATCH('Delta Beta'!$C$5,Data!$B$4:$Q$4,0)-3),#N/A)-$C$8/250</f>
        <v>#N/A</v>
      </c>
      <c r="M2484" s="394" t="e">
        <f ca="1">IF(NOT(OFFSET(Data!E2487,0,MATCH('Delta Beta'!$C$5,Data!$B$4:$Q$4,0)-1)=""),OFFSET(Data!E2487,0,MATCH('Delta Beta'!$C$5,Data!$B$4:$Q$4,0)-1),#N/A)-$C$8/250</f>
        <v>#N/A</v>
      </c>
      <c r="N2484" s="395"/>
      <c r="R2484" s="391"/>
    </row>
    <row r="2485" spans="12:18">
      <c r="L2485" s="394" t="e">
        <f ca="1">IF(NOT(OFFSET(Data!E2488,0,MATCH('Delta Beta'!$C$5,Data!$B$4:$Q$4,0)-3)=""),OFFSET(Data!E2488,0,MATCH('Delta Beta'!$C$5,Data!$B$4:$Q$4,0)-3),#N/A)-$C$8/250</f>
        <v>#N/A</v>
      </c>
      <c r="M2485" s="394" t="e">
        <f ca="1">IF(NOT(OFFSET(Data!E2488,0,MATCH('Delta Beta'!$C$5,Data!$B$4:$Q$4,0)-1)=""),OFFSET(Data!E2488,0,MATCH('Delta Beta'!$C$5,Data!$B$4:$Q$4,0)-1),#N/A)-$C$8/250</f>
        <v>#N/A</v>
      </c>
      <c r="N2485" s="395"/>
      <c r="R2485" s="391"/>
    </row>
    <row r="2486" spans="12:18">
      <c r="L2486" s="394" t="e">
        <f ca="1">IF(NOT(OFFSET(Data!E2489,0,MATCH('Delta Beta'!$C$5,Data!$B$4:$Q$4,0)-3)=""),OFFSET(Data!E2489,0,MATCH('Delta Beta'!$C$5,Data!$B$4:$Q$4,0)-3),#N/A)-$C$8/250</f>
        <v>#N/A</v>
      </c>
      <c r="M2486" s="394" t="e">
        <f ca="1">IF(NOT(OFFSET(Data!E2489,0,MATCH('Delta Beta'!$C$5,Data!$B$4:$Q$4,0)-1)=""),OFFSET(Data!E2489,0,MATCH('Delta Beta'!$C$5,Data!$B$4:$Q$4,0)-1),#N/A)-$C$8/250</f>
        <v>#N/A</v>
      </c>
      <c r="N2486" s="395"/>
      <c r="R2486" s="391"/>
    </row>
    <row r="2487" spans="12:18">
      <c r="L2487" s="394" t="e">
        <f ca="1">IF(NOT(OFFSET(Data!E2490,0,MATCH('Delta Beta'!$C$5,Data!$B$4:$Q$4,0)-3)=""),OFFSET(Data!E2490,0,MATCH('Delta Beta'!$C$5,Data!$B$4:$Q$4,0)-3),#N/A)-$C$8/250</f>
        <v>#N/A</v>
      </c>
      <c r="M2487" s="394" t="e">
        <f ca="1">IF(NOT(OFFSET(Data!E2490,0,MATCH('Delta Beta'!$C$5,Data!$B$4:$Q$4,0)-1)=""),OFFSET(Data!E2490,0,MATCH('Delta Beta'!$C$5,Data!$B$4:$Q$4,0)-1),#N/A)-$C$8/250</f>
        <v>#N/A</v>
      </c>
      <c r="N2487" s="395"/>
      <c r="R2487" s="391"/>
    </row>
    <row r="2488" spans="12:18">
      <c r="L2488" s="394" t="e">
        <f ca="1">IF(NOT(OFFSET(Data!E2491,0,MATCH('Delta Beta'!$C$5,Data!$B$4:$Q$4,0)-3)=""),OFFSET(Data!E2491,0,MATCH('Delta Beta'!$C$5,Data!$B$4:$Q$4,0)-3),#N/A)-$C$8/250</f>
        <v>#N/A</v>
      </c>
      <c r="M2488" s="394" t="e">
        <f ca="1">IF(NOT(OFFSET(Data!E2491,0,MATCH('Delta Beta'!$C$5,Data!$B$4:$Q$4,0)-1)=""),OFFSET(Data!E2491,0,MATCH('Delta Beta'!$C$5,Data!$B$4:$Q$4,0)-1),#N/A)-$C$8/250</f>
        <v>#N/A</v>
      </c>
      <c r="N2488" s="395"/>
      <c r="R2488" s="391"/>
    </row>
    <row r="2489" spans="12:18">
      <c r="L2489" s="394" t="e">
        <f ca="1">IF(NOT(OFFSET(Data!E2492,0,MATCH('Delta Beta'!$C$5,Data!$B$4:$Q$4,0)-3)=""),OFFSET(Data!E2492,0,MATCH('Delta Beta'!$C$5,Data!$B$4:$Q$4,0)-3),#N/A)-$C$8/250</f>
        <v>#N/A</v>
      </c>
      <c r="M2489" s="394" t="e">
        <f ca="1">IF(NOT(OFFSET(Data!E2492,0,MATCH('Delta Beta'!$C$5,Data!$B$4:$Q$4,0)-1)=""),OFFSET(Data!E2492,0,MATCH('Delta Beta'!$C$5,Data!$B$4:$Q$4,0)-1),#N/A)-$C$8/250</f>
        <v>#N/A</v>
      </c>
      <c r="N2489" s="395"/>
      <c r="R2489" s="391"/>
    </row>
    <row r="2490" spans="12:18">
      <c r="L2490" s="394" t="e">
        <f ca="1">IF(NOT(OFFSET(Data!E2493,0,MATCH('Delta Beta'!$C$5,Data!$B$4:$Q$4,0)-3)=""),OFFSET(Data!E2493,0,MATCH('Delta Beta'!$C$5,Data!$B$4:$Q$4,0)-3),#N/A)-$C$8/250</f>
        <v>#N/A</v>
      </c>
      <c r="M2490" s="394" t="e">
        <f ca="1">IF(NOT(OFFSET(Data!E2493,0,MATCH('Delta Beta'!$C$5,Data!$B$4:$Q$4,0)-1)=""),OFFSET(Data!E2493,0,MATCH('Delta Beta'!$C$5,Data!$B$4:$Q$4,0)-1),#N/A)-$C$8/250</f>
        <v>#N/A</v>
      </c>
      <c r="N2490" s="395"/>
      <c r="R2490" s="391"/>
    </row>
    <row r="2491" spans="12:18">
      <c r="L2491" s="394" t="e">
        <f ca="1">IF(NOT(OFFSET(Data!E2494,0,MATCH('Delta Beta'!$C$5,Data!$B$4:$Q$4,0)-3)=""),OFFSET(Data!E2494,0,MATCH('Delta Beta'!$C$5,Data!$B$4:$Q$4,0)-3),#N/A)-$C$8/250</f>
        <v>#N/A</v>
      </c>
      <c r="M2491" s="394" t="e">
        <f ca="1">IF(NOT(OFFSET(Data!E2494,0,MATCH('Delta Beta'!$C$5,Data!$B$4:$Q$4,0)-1)=""),OFFSET(Data!E2494,0,MATCH('Delta Beta'!$C$5,Data!$B$4:$Q$4,0)-1),#N/A)-$C$8/250</f>
        <v>#N/A</v>
      </c>
      <c r="N2491" s="395"/>
      <c r="R2491" s="391"/>
    </row>
    <row r="2492" spans="12:18">
      <c r="L2492" s="394" t="e">
        <f ca="1">IF(NOT(OFFSET(Data!E2495,0,MATCH('Delta Beta'!$C$5,Data!$B$4:$Q$4,0)-3)=""),OFFSET(Data!E2495,0,MATCH('Delta Beta'!$C$5,Data!$B$4:$Q$4,0)-3),#N/A)-$C$8/250</f>
        <v>#N/A</v>
      </c>
      <c r="M2492" s="394" t="e">
        <f ca="1">IF(NOT(OFFSET(Data!E2495,0,MATCH('Delta Beta'!$C$5,Data!$B$4:$Q$4,0)-1)=""),OFFSET(Data!E2495,0,MATCH('Delta Beta'!$C$5,Data!$B$4:$Q$4,0)-1),#N/A)-$C$8/250</f>
        <v>#N/A</v>
      </c>
      <c r="N2492" s="395"/>
      <c r="R2492" s="391"/>
    </row>
    <row r="2493" spans="12:18">
      <c r="L2493" s="394" t="e">
        <f ca="1">IF(NOT(OFFSET(Data!E2496,0,MATCH('Delta Beta'!$C$5,Data!$B$4:$Q$4,0)-3)=""),OFFSET(Data!E2496,0,MATCH('Delta Beta'!$C$5,Data!$B$4:$Q$4,0)-3),#N/A)-$C$8/250</f>
        <v>#N/A</v>
      </c>
      <c r="M2493" s="394" t="e">
        <f ca="1">IF(NOT(OFFSET(Data!E2496,0,MATCH('Delta Beta'!$C$5,Data!$B$4:$Q$4,0)-1)=""),OFFSET(Data!E2496,0,MATCH('Delta Beta'!$C$5,Data!$B$4:$Q$4,0)-1),#N/A)-$C$8/250</f>
        <v>#N/A</v>
      </c>
      <c r="N2493" s="395"/>
      <c r="R2493" s="391"/>
    </row>
    <row r="2494" spans="12:18">
      <c r="L2494" s="394" t="e">
        <f ca="1">IF(NOT(OFFSET(Data!E2497,0,MATCH('Delta Beta'!$C$5,Data!$B$4:$Q$4,0)-3)=""),OFFSET(Data!E2497,0,MATCH('Delta Beta'!$C$5,Data!$B$4:$Q$4,0)-3),#N/A)-$C$8/250</f>
        <v>#N/A</v>
      </c>
      <c r="M2494" s="394" t="e">
        <f ca="1">IF(NOT(OFFSET(Data!E2497,0,MATCH('Delta Beta'!$C$5,Data!$B$4:$Q$4,0)-1)=""),OFFSET(Data!E2497,0,MATCH('Delta Beta'!$C$5,Data!$B$4:$Q$4,0)-1),#N/A)-$C$8/250</f>
        <v>#N/A</v>
      </c>
      <c r="N2494" s="395"/>
      <c r="R2494" s="391"/>
    </row>
    <row r="2495" spans="12:18">
      <c r="L2495" s="394" t="e">
        <f ca="1">IF(NOT(OFFSET(Data!E2498,0,MATCH('Delta Beta'!$C$5,Data!$B$4:$Q$4,0)-3)=""),OFFSET(Data!E2498,0,MATCH('Delta Beta'!$C$5,Data!$B$4:$Q$4,0)-3),#N/A)-$C$8/250</f>
        <v>#N/A</v>
      </c>
      <c r="M2495" s="394" t="e">
        <f ca="1">IF(NOT(OFFSET(Data!E2498,0,MATCH('Delta Beta'!$C$5,Data!$B$4:$Q$4,0)-1)=""),OFFSET(Data!E2498,0,MATCH('Delta Beta'!$C$5,Data!$B$4:$Q$4,0)-1),#N/A)-$C$8/250</f>
        <v>#N/A</v>
      </c>
      <c r="N2495" s="395"/>
      <c r="R2495" s="391"/>
    </row>
    <row r="2496" spans="12:18">
      <c r="L2496" s="394" t="e">
        <f ca="1">IF(NOT(OFFSET(Data!E2499,0,MATCH('Delta Beta'!$C$5,Data!$B$4:$Q$4,0)-3)=""),OFFSET(Data!E2499,0,MATCH('Delta Beta'!$C$5,Data!$B$4:$Q$4,0)-3),#N/A)-$C$8/250</f>
        <v>#N/A</v>
      </c>
      <c r="M2496" s="394" t="e">
        <f ca="1">IF(NOT(OFFSET(Data!E2499,0,MATCH('Delta Beta'!$C$5,Data!$B$4:$Q$4,0)-1)=""),OFFSET(Data!E2499,0,MATCH('Delta Beta'!$C$5,Data!$B$4:$Q$4,0)-1),#N/A)-$C$8/250</f>
        <v>#N/A</v>
      </c>
      <c r="N2496" s="395"/>
      <c r="R2496" s="391"/>
    </row>
    <row r="2497" spans="12:18">
      <c r="L2497" s="394" t="e">
        <f ca="1">IF(NOT(OFFSET(Data!E2500,0,MATCH('Delta Beta'!$C$5,Data!$B$4:$Q$4,0)-3)=""),OFFSET(Data!E2500,0,MATCH('Delta Beta'!$C$5,Data!$B$4:$Q$4,0)-3),#N/A)-$C$8/250</f>
        <v>#N/A</v>
      </c>
      <c r="M2497" s="394" t="e">
        <f ca="1">IF(NOT(OFFSET(Data!E2500,0,MATCH('Delta Beta'!$C$5,Data!$B$4:$Q$4,0)-1)=""),OFFSET(Data!E2500,0,MATCH('Delta Beta'!$C$5,Data!$B$4:$Q$4,0)-1),#N/A)-$C$8/250</f>
        <v>#N/A</v>
      </c>
      <c r="N2497" s="395"/>
      <c r="R2497" s="391"/>
    </row>
    <row r="2498" spans="12:18">
      <c r="L2498" s="394" t="e">
        <f ca="1">IF(NOT(OFFSET(Data!E2501,0,MATCH('Delta Beta'!$C$5,Data!$B$4:$Q$4,0)-3)=""),OFFSET(Data!E2501,0,MATCH('Delta Beta'!$C$5,Data!$B$4:$Q$4,0)-3),#N/A)-$C$8/250</f>
        <v>#N/A</v>
      </c>
      <c r="M2498" s="394" t="e">
        <f ca="1">IF(NOT(OFFSET(Data!E2501,0,MATCH('Delta Beta'!$C$5,Data!$B$4:$Q$4,0)-1)=""),OFFSET(Data!E2501,0,MATCH('Delta Beta'!$C$5,Data!$B$4:$Q$4,0)-1),#N/A)-$C$8/250</f>
        <v>#N/A</v>
      </c>
      <c r="N2498" s="395"/>
      <c r="R2498" s="391"/>
    </row>
    <row r="2499" spans="12:18">
      <c r="L2499" s="394" t="e">
        <f ca="1">IF(NOT(OFFSET(Data!E2502,0,MATCH('Delta Beta'!$C$5,Data!$B$4:$Q$4,0)-3)=""),OFFSET(Data!E2502,0,MATCH('Delta Beta'!$C$5,Data!$B$4:$Q$4,0)-3),#N/A)-$C$8/250</f>
        <v>#N/A</v>
      </c>
      <c r="M2499" s="394" t="e">
        <f ca="1">IF(NOT(OFFSET(Data!E2502,0,MATCH('Delta Beta'!$C$5,Data!$B$4:$Q$4,0)-1)=""),OFFSET(Data!E2502,0,MATCH('Delta Beta'!$C$5,Data!$B$4:$Q$4,0)-1),#N/A)-$C$8/250</f>
        <v>#N/A</v>
      </c>
      <c r="N2499" s="395"/>
      <c r="R2499" s="391"/>
    </row>
    <row r="2500" spans="12:18">
      <c r="L2500" s="394" t="e">
        <f ca="1">IF(NOT(OFFSET(Data!E2503,0,MATCH('Delta Beta'!$C$5,Data!$B$4:$Q$4,0)-3)=""),OFFSET(Data!E2503,0,MATCH('Delta Beta'!$C$5,Data!$B$4:$Q$4,0)-3),#N/A)-$C$8/250</f>
        <v>#N/A</v>
      </c>
      <c r="M2500" s="394" t="e">
        <f ca="1">IF(NOT(OFFSET(Data!E2503,0,MATCH('Delta Beta'!$C$5,Data!$B$4:$Q$4,0)-1)=""),OFFSET(Data!E2503,0,MATCH('Delta Beta'!$C$5,Data!$B$4:$Q$4,0)-1),#N/A)-$C$8/250</f>
        <v>#N/A</v>
      </c>
      <c r="N2500" s="395"/>
      <c r="R2500" s="391"/>
    </row>
    <row r="2501" spans="12:18">
      <c r="L2501" s="394" t="e">
        <f ca="1">IF(NOT(OFFSET(Data!E2504,0,MATCH('Delta Beta'!$C$5,Data!$B$4:$Q$4,0)-3)=""),OFFSET(Data!E2504,0,MATCH('Delta Beta'!$C$5,Data!$B$4:$Q$4,0)-3),#N/A)-$C$8/250</f>
        <v>#N/A</v>
      </c>
      <c r="M2501" s="394" t="e">
        <f ca="1">IF(NOT(OFFSET(Data!E2504,0,MATCH('Delta Beta'!$C$5,Data!$B$4:$Q$4,0)-1)=""),OFFSET(Data!E2504,0,MATCH('Delta Beta'!$C$5,Data!$B$4:$Q$4,0)-1),#N/A)-$C$8/250</f>
        <v>#N/A</v>
      </c>
      <c r="N2501" s="395"/>
      <c r="R2501" s="391"/>
    </row>
    <row r="2502" spans="12:18">
      <c r="L2502" s="394" t="e">
        <f ca="1">IF(NOT(OFFSET(Data!E2505,0,MATCH('Delta Beta'!$C$5,Data!$B$4:$Q$4,0)-3)=""),OFFSET(Data!E2505,0,MATCH('Delta Beta'!$C$5,Data!$B$4:$Q$4,0)-3),#N/A)-$C$8/250</f>
        <v>#N/A</v>
      </c>
      <c r="M2502" s="394" t="e">
        <f ca="1">IF(NOT(OFFSET(Data!E2505,0,MATCH('Delta Beta'!$C$5,Data!$B$4:$Q$4,0)-1)=""),OFFSET(Data!E2505,0,MATCH('Delta Beta'!$C$5,Data!$B$4:$Q$4,0)-1),#N/A)-$C$8/250</f>
        <v>#N/A</v>
      </c>
      <c r="N2502" s="395"/>
      <c r="R2502" s="391"/>
    </row>
    <row r="2503" spans="12:18">
      <c r="L2503" s="394" t="e">
        <f ca="1">IF(NOT(OFFSET(Data!E2506,0,MATCH('Delta Beta'!$C$5,Data!$B$4:$Q$4,0)-3)=""),OFFSET(Data!E2506,0,MATCH('Delta Beta'!$C$5,Data!$B$4:$Q$4,0)-3),#N/A)-$C$8/250</f>
        <v>#N/A</v>
      </c>
      <c r="M2503" s="394" t="e">
        <f ca="1">IF(NOT(OFFSET(Data!E2506,0,MATCH('Delta Beta'!$C$5,Data!$B$4:$Q$4,0)-1)=""),OFFSET(Data!E2506,0,MATCH('Delta Beta'!$C$5,Data!$B$4:$Q$4,0)-1),#N/A)-$C$8/250</f>
        <v>#N/A</v>
      </c>
      <c r="N2503" s="395"/>
      <c r="R2503" s="391"/>
    </row>
    <row r="2504" spans="12:18">
      <c r="L2504" s="394" t="e">
        <f ca="1">IF(NOT(OFFSET(Data!E2507,0,MATCH('Delta Beta'!$C$5,Data!$B$4:$Q$4,0)-3)=""),OFFSET(Data!E2507,0,MATCH('Delta Beta'!$C$5,Data!$B$4:$Q$4,0)-3),#N/A)-$C$8/250</f>
        <v>#N/A</v>
      </c>
      <c r="M2504" s="394" t="e">
        <f ca="1">IF(NOT(OFFSET(Data!E2507,0,MATCH('Delta Beta'!$C$5,Data!$B$4:$Q$4,0)-1)=""),OFFSET(Data!E2507,0,MATCH('Delta Beta'!$C$5,Data!$B$4:$Q$4,0)-1),#N/A)-$C$8/250</f>
        <v>#N/A</v>
      </c>
      <c r="N2504" s="395"/>
      <c r="R2504" s="391"/>
    </row>
    <row r="2505" spans="12:18">
      <c r="L2505" s="394" t="e">
        <f ca="1">IF(NOT(OFFSET(Data!E2508,0,MATCH('Delta Beta'!$C$5,Data!$B$4:$Q$4,0)-3)=""),OFFSET(Data!E2508,0,MATCH('Delta Beta'!$C$5,Data!$B$4:$Q$4,0)-3),#N/A)-$C$8/250</f>
        <v>#N/A</v>
      </c>
      <c r="M2505" s="394" t="e">
        <f ca="1">IF(NOT(OFFSET(Data!E2508,0,MATCH('Delta Beta'!$C$5,Data!$B$4:$Q$4,0)-1)=""),OFFSET(Data!E2508,0,MATCH('Delta Beta'!$C$5,Data!$B$4:$Q$4,0)-1),#N/A)-$C$8/250</f>
        <v>#N/A</v>
      </c>
      <c r="N2505" s="395"/>
      <c r="R2505" s="391"/>
    </row>
    <row r="2506" spans="12:18">
      <c r="L2506" s="394" t="e">
        <f ca="1">IF(NOT(OFFSET(Data!E2509,0,MATCH('Delta Beta'!$C$5,Data!$B$4:$Q$4,0)-3)=""),OFFSET(Data!E2509,0,MATCH('Delta Beta'!$C$5,Data!$B$4:$Q$4,0)-3),#N/A)-$C$8/250</f>
        <v>#N/A</v>
      </c>
      <c r="M2506" s="394" t="e">
        <f ca="1">IF(NOT(OFFSET(Data!E2509,0,MATCH('Delta Beta'!$C$5,Data!$B$4:$Q$4,0)-1)=""),OFFSET(Data!E2509,0,MATCH('Delta Beta'!$C$5,Data!$B$4:$Q$4,0)-1),#N/A)-$C$8/250</f>
        <v>#N/A</v>
      </c>
      <c r="N2506" s="395"/>
      <c r="R2506" s="391"/>
    </row>
    <row r="2507" spans="12:18">
      <c r="L2507" s="394" t="e">
        <f ca="1">IF(NOT(OFFSET(Data!E2510,0,MATCH('Delta Beta'!$C$5,Data!$B$4:$Q$4,0)-3)=""),OFFSET(Data!E2510,0,MATCH('Delta Beta'!$C$5,Data!$B$4:$Q$4,0)-3),#N/A)-$C$8/250</f>
        <v>#N/A</v>
      </c>
      <c r="M2507" s="394" t="e">
        <f ca="1">IF(NOT(OFFSET(Data!E2510,0,MATCH('Delta Beta'!$C$5,Data!$B$4:$Q$4,0)-1)=""),OFFSET(Data!E2510,0,MATCH('Delta Beta'!$C$5,Data!$B$4:$Q$4,0)-1),#N/A)-$C$8/250</f>
        <v>#N/A</v>
      </c>
      <c r="N2507" s="395"/>
      <c r="R2507" s="391"/>
    </row>
    <row r="2508" spans="12:18">
      <c r="L2508" s="394" t="e">
        <f ca="1">IF(NOT(OFFSET(Data!E2511,0,MATCH('Delta Beta'!$C$5,Data!$B$4:$Q$4,0)-3)=""),OFFSET(Data!E2511,0,MATCH('Delta Beta'!$C$5,Data!$B$4:$Q$4,0)-3),#N/A)-$C$8/250</f>
        <v>#N/A</v>
      </c>
      <c r="M2508" s="394" t="e">
        <f ca="1">IF(NOT(OFFSET(Data!E2511,0,MATCH('Delta Beta'!$C$5,Data!$B$4:$Q$4,0)-1)=""),OFFSET(Data!E2511,0,MATCH('Delta Beta'!$C$5,Data!$B$4:$Q$4,0)-1),#N/A)-$C$8/250</f>
        <v>#N/A</v>
      </c>
      <c r="N2508" s="395"/>
      <c r="R2508" s="391"/>
    </row>
    <row r="2509" spans="12:18">
      <c r="L2509" s="394" t="e">
        <f ca="1">IF(NOT(OFFSET(Data!E2512,0,MATCH('Delta Beta'!$C$5,Data!$B$4:$Q$4,0)-3)=""),OFFSET(Data!E2512,0,MATCH('Delta Beta'!$C$5,Data!$B$4:$Q$4,0)-3),#N/A)-$C$8/250</f>
        <v>#N/A</v>
      </c>
      <c r="M2509" s="394" t="e">
        <f ca="1">IF(NOT(OFFSET(Data!E2512,0,MATCH('Delta Beta'!$C$5,Data!$B$4:$Q$4,0)-1)=""),OFFSET(Data!E2512,0,MATCH('Delta Beta'!$C$5,Data!$B$4:$Q$4,0)-1),#N/A)-$C$8/250</f>
        <v>#N/A</v>
      </c>
      <c r="N2509" s="395"/>
      <c r="R2509" s="391"/>
    </row>
    <row r="2510" spans="12:18">
      <c r="L2510" s="394" t="e">
        <f ca="1">IF(NOT(OFFSET(Data!E2513,0,MATCH('Delta Beta'!$C$5,Data!$B$4:$Q$4,0)-3)=""),OFFSET(Data!E2513,0,MATCH('Delta Beta'!$C$5,Data!$B$4:$Q$4,0)-3),#N/A)-$C$8/250</f>
        <v>#N/A</v>
      </c>
      <c r="M2510" s="394" t="e">
        <f ca="1">IF(NOT(OFFSET(Data!E2513,0,MATCH('Delta Beta'!$C$5,Data!$B$4:$Q$4,0)-1)=""),OFFSET(Data!E2513,0,MATCH('Delta Beta'!$C$5,Data!$B$4:$Q$4,0)-1),#N/A)-$C$8/250</f>
        <v>#N/A</v>
      </c>
      <c r="N2510" s="395"/>
      <c r="R2510" s="391"/>
    </row>
    <row r="2511" spans="12:18">
      <c r="L2511" s="394" t="e">
        <f ca="1">IF(NOT(OFFSET(Data!E2514,0,MATCH('Delta Beta'!$C$5,Data!$B$4:$Q$4,0)-3)=""),OFFSET(Data!E2514,0,MATCH('Delta Beta'!$C$5,Data!$B$4:$Q$4,0)-3),#N/A)-$C$8/250</f>
        <v>#N/A</v>
      </c>
      <c r="M2511" s="394" t="e">
        <f ca="1">IF(NOT(OFFSET(Data!E2514,0,MATCH('Delta Beta'!$C$5,Data!$B$4:$Q$4,0)-1)=""),OFFSET(Data!E2514,0,MATCH('Delta Beta'!$C$5,Data!$B$4:$Q$4,0)-1),#N/A)-$C$8/250</f>
        <v>#N/A</v>
      </c>
      <c r="N2511" s="395"/>
      <c r="R2511" s="391"/>
    </row>
    <row r="2512" spans="12:18">
      <c r="L2512" s="394" t="e">
        <f ca="1">IF(NOT(OFFSET(Data!E2515,0,MATCH('Delta Beta'!$C$5,Data!$B$4:$Q$4,0)-3)=""),OFFSET(Data!E2515,0,MATCH('Delta Beta'!$C$5,Data!$B$4:$Q$4,0)-3),#N/A)-$C$8/250</f>
        <v>#N/A</v>
      </c>
      <c r="M2512" s="394" t="e">
        <f ca="1">IF(NOT(OFFSET(Data!E2515,0,MATCH('Delta Beta'!$C$5,Data!$B$4:$Q$4,0)-1)=""),OFFSET(Data!E2515,0,MATCH('Delta Beta'!$C$5,Data!$B$4:$Q$4,0)-1),#N/A)-$C$8/250</f>
        <v>#N/A</v>
      </c>
      <c r="N2512" s="395"/>
      <c r="R2512" s="391"/>
    </row>
    <row r="2513" spans="12:18">
      <c r="L2513" s="394" t="e">
        <f ca="1">IF(NOT(OFFSET(Data!E2516,0,MATCH('Delta Beta'!$C$5,Data!$B$4:$Q$4,0)-3)=""),OFFSET(Data!E2516,0,MATCH('Delta Beta'!$C$5,Data!$B$4:$Q$4,0)-3),#N/A)-$C$8/250</f>
        <v>#N/A</v>
      </c>
      <c r="M2513" s="394" t="e">
        <f ca="1">IF(NOT(OFFSET(Data!E2516,0,MATCH('Delta Beta'!$C$5,Data!$B$4:$Q$4,0)-1)=""),OFFSET(Data!E2516,0,MATCH('Delta Beta'!$C$5,Data!$B$4:$Q$4,0)-1),#N/A)-$C$8/250</f>
        <v>#N/A</v>
      </c>
      <c r="N2513" s="395"/>
      <c r="R2513" s="391"/>
    </row>
    <row r="2514" spans="12:18">
      <c r="L2514" s="394" t="e">
        <f ca="1">IF(NOT(OFFSET(Data!E2517,0,MATCH('Delta Beta'!$C$5,Data!$B$4:$Q$4,0)-3)=""),OFFSET(Data!E2517,0,MATCH('Delta Beta'!$C$5,Data!$B$4:$Q$4,0)-3),#N/A)-$C$8/250</f>
        <v>#N/A</v>
      </c>
      <c r="M2514" s="394" t="e">
        <f ca="1">IF(NOT(OFFSET(Data!E2517,0,MATCH('Delta Beta'!$C$5,Data!$B$4:$Q$4,0)-1)=""),OFFSET(Data!E2517,0,MATCH('Delta Beta'!$C$5,Data!$B$4:$Q$4,0)-1),#N/A)-$C$8/250</f>
        <v>#N/A</v>
      </c>
      <c r="N2514" s="395"/>
      <c r="R2514" s="391"/>
    </row>
    <row r="2515" spans="12:18">
      <c r="L2515" s="394" t="e">
        <f ca="1">IF(NOT(OFFSET(Data!E2518,0,MATCH('Delta Beta'!$C$5,Data!$B$4:$Q$4,0)-3)=""),OFFSET(Data!E2518,0,MATCH('Delta Beta'!$C$5,Data!$B$4:$Q$4,0)-3),#N/A)-$C$8/250</f>
        <v>#N/A</v>
      </c>
      <c r="M2515" s="394" t="e">
        <f ca="1">IF(NOT(OFFSET(Data!E2518,0,MATCH('Delta Beta'!$C$5,Data!$B$4:$Q$4,0)-1)=""),OFFSET(Data!E2518,0,MATCH('Delta Beta'!$C$5,Data!$B$4:$Q$4,0)-1),#N/A)-$C$8/250</f>
        <v>#N/A</v>
      </c>
      <c r="N2515" s="395"/>
      <c r="R2515" s="391"/>
    </row>
    <row r="2516" spans="12:18">
      <c r="L2516" s="394" t="e">
        <f ca="1">IF(NOT(OFFSET(Data!E2519,0,MATCH('Delta Beta'!$C$5,Data!$B$4:$Q$4,0)-3)=""),OFFSET(Data!E2519,0,MATCH('Delta Beta'!$C$5,Data!$B$4:$Q$4,0)-3),#N/A)-$C$8/250</f>
        <v>#N/A</v>
      </c>
      <c r="M2516" s="394" t="e">
        <f ca="1">IF(NOT(OFFSET(Data!E2519,0,MATCH('Delta Beta'!$C$5,Data!$B$4:$Q$4,0)-1)=""),OFFSET(Data!E2519,0,MATCH('Delta Beta'!$C$5,Data!$B$4:$Q$4,0)-1),#N/A)-$C$8/250</f>
        <v>#N/A</v>
      </c>
      <c r="N2516" s="395"/>
      <c r="R2516" s="391"/>
    </row>
    <row r="2517" spans="12:18">
      <c r="L2517" s="394" t="e">
        <f ca="1">IF(NOT(OFFSET(Data!E2520,0,MATCH('Delta Beta'!$C$5,Data!$B$4:$Q$4,0)-3)=""),OFFSET(Data!E2520,0,MATCH('Delta Beta'!$C$5,Data!$B$4:$Q$4,0)-3),#N/A)-$C$8/250</f>
        <v>#N/A</v>
      </c>
      <c r="M2517" s="394" t="e">
        <f ca="1">IF(NOT(OFFSET(Data!E2520,0,MATCH('Delta Beta'!$C$5,Data!$B$4:$Q$4,0)-1)=""),OFFSET(Data!E2520,0,MATCH('Delta Beta'!$C$5,Data!$B$4:$Q$4,0)-1),#N/A)-$C$8/250</f>
        <v>#N/A</v>
      </c>
      <c r="N2517" s="395"/>
      <c r="R2517" s="391"/>
    </row>
    <row r="2518" spans="12:18">
      <c r="L2518" s="394" t="e">
        <f ca="1">IF(NOT(OFFSET(Data!E2521,0,MATCH('Delta Beta'!$C$5,Data!$B$4:$Q$4,0)-3)=""),OFFSET(Data!E2521,0,MATCH('Delta Beta'!$C$5,Data!$B$4:$Q$4,0)-3),#N/A)-$C$8/250</f>
        <v>#N/A</v>
      </c>
      <c r="M2518" s="394" t="e">
        <f ca="1">IF(NOT(OFFSET(Data!E2521,0,MATCH('Delta Beta'!$C$5,Data!$B$4:$Q$4,0)-1)=""),OFFSET(Data!E2521,0,MATCH('Delta Beta'!$C$5,Data!$B$4:$Q$4,0)-1),#N/A)-$C$8/250</f>
        <v>#N/A</v>
      </c>
      <c r="N2518" s="395"/>
      <c r="R2518" s="391"/>
    </row>
    <row r="2519" spans="12:18">
      <c r="L2519" s="394" t="e">
        <f ca="1">IF(NOT(OFFSET(Data!E2522,0,MATCH('Delta Beta'!$C$5,Data!$B$4:$Q$4,0)-3)=""),OFFSET(Data!E2522,0,MATCH('Delta Beta'!$C$5,Data!$B$4:$Q$4,0)-3),#N/A)-$C$8/250</f>
        <v>#N/A</v>
      </c>
      <c r="M2519" s="394" t="e">
        <f ca="1">IF(NOT(OFFSET(Data!E2522,0,MATCH('Delta Beta'!$C$5,Data!$B$4:$Q$4,0)-1)=""),OFFSET(Data!E2522,0,MATCH('Delta Beta'!$C$5,Data!$B$4:$Q$4,0)-1),#N/A)-$C$8/250</f>
        <v>#N/A</v>
      </c>
    </row>
    <row r="2520" spans="12:18">
      <c r="L2520" s="394" t="e">
        <f ca="1">IF(NOT(OFFSET(Data!E2523,0,MATCH('Delta Beta'!$C$5,Data!$B$4:$Q$4,0)-3)=""),OFFSET(Data!E2523,0,MATCH('Delta Beta'!$C$5,Data!$B$4:$Q$4,0)-3),#N/A)-$C$8/250</f>
        <v>#N/A</v>
      </c>
      <c r="M2520" s="394" t="e">
        <f ca="1">IF(NOT(OFFSET(Data!E2523,0,MATCH('Delta Beta'!$C$5,Data!$B$4:$Q$4,0)-1)=""),OFFSET(Data!E2523,0,MATCH('Delta Beta'!$C$5,Data!$B$4:$Q$4,0)-1),#N/A)-$C$8/250</f>
        <v>#N/A</v>
      </c>
    </row>
    <row r="2521" spans="12:18">
      <c r="L2521" s="394" t="e">
        <f ca="1">IF(NOT(OFFSET(Data!E2524,0,MATCH('Delta Beta'!$C$5,Data!$B$4:$Q$4,0)-3)=""),OFFSET(Data!E2524,0,MATCH('Delta Beta'!$C$5,Data!$B$4:$Q$4,0)-3),#N/A)-$C$8/250</f>
        <v>#N/A</v>
      </c>
      <c r="M2521" s="394" t="e">
        <f ca="1">IF(NOT(OFFSET(Data!E2524,0,MATCH('Delta Beta'!$C$5,Data!$B$4:$Q$4,0)-1)=""),OFFSET(Data!E2524,0,MATCH('Delta Beta'!$C$5,Data!$B$4:$Q$4,0)-1),#N/A)-$C$8/250</f>
        <v>#N/A</v>
      </c>
    </row>
    <row r="2522" spans="12:18">
      <c r="L2522" s="394" t="e">
        <f ca="1">IF(NOT(OFFSET(Data!E2525,0,MATCH('Delta Beta'!$C$5,Data!$B$4:$Q$4,0)-3)=""),OFFSET(Data!E2525,0,MATCH('Delta Beta'!$C$5,Data!$B$4:$Q$4,0)-3),#N/A)-$C$8/250</f>
        <v>#N/A</v>
      </c>
      <c r="M2522" s="394" t="e">
        <f ca="1">IF(NOT(OFFSET(Data!E2525,0,MATCH('Delta Beta'!$C$5,Data!$B$4:$Q$4,0)-1)=""),OFFSET(Data!E2525,0,MATCH('Delta Beta'!$C$5,Data!$B$4:$Q$4,0)-1),#N/A)-$C$8/250</f>
        <v>#N/A</v>
      </c>
    </row>
    <row r="2523" spans="12:18">
      <c r="L2523" s="394" t="e">
        <f ca="1">IF(NOT(OFFSET(Data!E2526,0,MATCH('Delta Beta'!$C$5,Data!$B$4:$Q$4,0)-3)=""),OFFSET(Data!E2526,0,MATCH('Delta Beta'!$C$5,Data!$B$4:$Q$4,0)-3),#N/A)-$C$8/250</f>
        <v>#N/A</v>
      </c>
      <c r="M2523" s="394" t="e">
        <f ca="1">IF(NOT(OFFSET(Data!E2526,0,MATCH('Delta Beta'!$C$5,Data!$B$4:$Q$4,0)-1)=""),OFFSET(Data!E2526,0,MATCH('Delta Beta'!$C$5,Data!$B$4:$Q$4,0)-1),#N/A)-$C$8/250</f>
        <v>#N/A</v>
      </c>
    </row>
    <row r="2524" spans="12:18">
      <c r="L2524" s="394" t="e">
        <f ca="1">IF(NOT(OFFSET(Data!E2527,0,MATCH('Delta Beta'!$C$5,Data!$B$4:$Q$4,0)-3)=""),OFFSET(Data!E2527,0,MATCH('Delta Beta'!$C$5,Data!$B$4:$Q$4,0)-3),#N/A)-$C$8/250</f>
        <v>#N/A</v>
      </c>
      <c r="M2524" s="394" t="e">
        <f ca="1">IF(NOT(OFFSET(Data!E2527,0,MATCH('Delta Beta'!$C$5,Data!$B$4:$Q$4,0)-1)=""),OFFSET(Data!E2527,0,MATCH('Delta Beta'!$C$5,Data!$B$4:$Q$4,0)-1),#N/A)-$C$8/250</f>
        <v>#N/A</v>
      </c>
    </row>
    <row r="2525" spans="12:18">
      <c r="L2525" s="394" t="e">
        <f ca="1">IF(NOT(OFFSET(Data!E2528,0,MATCH('Delta Beta'!$C$5,Data!$B$4:$Q$4,0)-3)=""),OFFSET(Data!E2528,0,MATCH('Delta Beta'!$C$5,Data!$B$4:$Q$4,0)-3),#N/A)-$C$8/250</f>
        <v>#N/A</v>
      </c>
      <c r="M2525" s="394" t="e">
        <f ca="1">IF(NOT(OFFSET(Data!E2528,0,MATCH('Delta Beta'!$C$5,Data!$B$4:$Q$4,0)-1)=""),OFFSET(Data!E2528,0,MATCH('Delta Beta'!$C$5,Data!$B$4:$Q$4,0)-1),#N/A)-$C$8/250</f>
        <v>#N/A</v>
      </c>
    </row>
    <row r="2526" spans="12:18">
      <c r="L2526" s="394" t="e">
        <f ca="1">IF(NOT(OFFSET(Data!E2529,0,MATCH('Delta Beta'!$C$5,Data!$B$4:$Q$4,0)-3)=""),OFFSET(Data!E2529,0,MATCH('Delta Beta'!$C$5,Data!$B$4:$Q$4,0)-3),#N/A)-$C$8/250</f>
        <v>#N/A</v>
      </c>
      <c r="M2526" s="394" t="e">
        <f ca="1">IF(NOT(OFFSET(Data!E2529,0,MATCH('Delta Beta'!$C$5,Data!$B$4:$Q$4,0)-1)=""),OFFSET(Data!E2529,0,MATCH('Delta Beta'!$C$5,Data!$B$4:$Q$4,0)-1),#N/A)-$C$8/250</f>
        <v>#N/A</v>
      </c>
    </row>
    <row r="2527" spans="12:18">
      <c r="L2527" s="394" t="e">
        <f ca="1">IF(NOT(OFFSET(Data!E2530,0,MATCH('Delta Beta'!$C$5,Data!$B$4:$Q$4,0)-3)=""),OFFSET(Data!E2530,0,MATCH('Delta Beta'!$C$5,Data!$B$4:$Q$4,0)-3),#N/A)-$C$8/250</f>
        <v>#N/A</v>
      </c>
      <c r="M2527" s="394" t="e">
        <f ca="1">IF(NOT(OFFSET(Data!E2530,0,MATCH('Delta Beta'!$C$5,Data!$B$4:$Q$4,0)-1)=""),OFFSET(Data!E2530,0,MATCH('Delta Beta'!$C$5,Data!$B$4:$Q$4,0)-1),#N/A)-$C$8/250</f>
        <v>#N/A</v>
      </c>
    </row>
    <row r="2528" spans="12:18">
      <c r="L2528" s="394" t="e">
        <f ca="1">IF(NOT(OFFSET(Data!E2531,0,MATCH('Delta Beta'!$C$5,Data!$B$4:$Q$4,0)-3)=""),OFFSET(Data!E2531,0,MATCH('Delta Beta'!$C$5,Data!$B$4:$Q$4,0)-3),#N/A)-$C$8/250</f>
        <v>#N/A</v>
      </c>
      <c r="M2528" s="394" t="e">
        <f ca="1">IF(NOT(OFFSET(Data!E2531,0,MATCH('Delta Beta'!$C$5,Data!$B$4:$Q$4,0)-1)=""),OFFSET(Data!E2531,0,MATCH('Delta Beta'!$C$5,Data!$B$4:$Q$4,0)-1),#N/A)-$C$8/250</f>
        <v>#N/A</v>
      </c>
    </row>
    <row r="2529" spans="12:13">
      <c r="L2529" s="394" t="e">
        <f ca="1">IF(NOT(OFFSET(Data!E2532,0,MATCH('Delta Beta'!$C$5,Data!$B$4:$Q$4,0)-3)=""),OFFSET(Data!E2532,0,MATCH('Delta Beta'!$C$5,Data!$B$4:$Q$4,0)-3),#N/A)-$C$8/250</f>
        <v>#N/A</v>
      </c>
      <c r="M2529" s="394" t="e">
        <f ca="1">IF(NOT(OFFSET(Data!E2532,0,MATCH('Delta Beta'!$C$5,Data!$B$4:$Q$4,0)-1)=""),OFFSET(Data!E2532,0,MATCH('Delta Beta'!$C$5,Data!$B$4:$Q$4,0)-1),#N/A)-$C$8/250</f>
        <v>#N/A</v>
      </c>
    </row>
    <row r="2530" spans="12:13">
      <c r="L2530" s="394" t="e">
        <f ca="1">IF(NOT(OFFSET(Data!E2533,0,MATCH('Delta Beta'!$C$5,Data!$B$4:$Q$4,0)-3)=""),OFFSET(Data!E2533,0,MATCH('Delta Beta'!$C$5,Data!$B$4:$Q$4,0)-3),#N/A)-$C$8/250</f>
        <v>#N/A</v>
      </c>
      <c r="M2530" s="394" t="e">
        <f ca="1">IF(NOT(OFFSET(Data!E2533,0,MATCH('Delta Beta'!$C$5,Data!$B$4:$Q$4,0)-1)=""),OFFSET(Data!E2533,0,MATCH('Delta Beta'!$C$5,Data!$B$4:$Q$4,0)-1),#N/A)-$C$8/250</f>
        <v>#N/A</v>
      </c>
    </row>
    <row r="2531" spans="12:13">
      <c r="L2531" s="394" t="e">
        <f ca="1">IF(NOT(OFFSET(Data!E2534,0,MATCH('Delta Beta'!$C$5,Data!$B$4:$Q$4,0)-3)=""),OFFSET(Data!E2534,0,MATCH('Delta Beta'!$C$5,Data!$B$4:$Q$4,0)-3),#N/A)-$C$8/250</f>
        <v>#N/A</v>
      </c>
      <c r="M2531" s="394" t="e">
        <f ca="1">IF(NOT(OFFSET(Data!E2534,0,MATCH('Delta Beta'!$C$5,Data!$B$4:$Q$4,0)-1)=""),OFFSET(Data!E2534,0,MATCH('Delta Beta'!$C$5,Data!$B$4:$Q$4,0)-1),#N/A)-$C$8/250</f>
        <v>#N/A</v>
      </c>
    </row>
    <row r="2532" spans="12:13">
      <c r="L2532" s="394" t="e">
        <f ca="1">IF(NOT(OFFSET(Data!E2535,0,MATCH('Delta Beta'!$C$5,Data!$B$4:$Q$4,0)-3)=""),OFFSET(Data!E2535,0,MATCH('Delta Beta'!$C$5,Data!$B$4:$Q$4,0)-3),#N/A)-$C$8/250</f>
        <v>#N/A</v>
      </c>
      <c r="M2532" s="394" t="e">
        <f ca="1">IF(NOT(OFFSET(Data!E2535,0,MATCH('Delta Beta'!$C$5,Data!$B$4:$Q$4,0)-1)=""),OFFSET(Data!E2535,0,MATCH('Delta Beta'!$C$5,Data!$B$4:$Q$4,0)-1),#N/A)-$C$8/250</f>
        <v>#N/A</v>
      </c>
    </row>
    <row r="2533" spans="12:13">
      <c r="L2533" s="394" t="e">
        <f ca="1">IF(NOT(OFFSET(Data!E2536,0,MATCH('Delta Beta'!$C$5,Data!$B$4:$Q$4,0)-3)=""),OFFSET(Data!E2536,0,MATCH('Delta Beta'!$C$5,Data!$B$4:$Q$4,0)-3),#N/A)-$C$8/250</f>
        <v>#N/A</v>
      </c>
      <c r="M2533" s="394" t="e">
        <f ca="1">IF(NOT(OFFSET(Data!E2536,0,MATCH('Delta Beta'!$C$5,Data!$B$4:$Q$4,0)-1)=""),OFFSET(Data!E2536,0,MATCH('Delta Beta'!$C$5,Data!$B$4:$Q$4,0)-1),#N/A)-$C$8/250</f>
        <v>#N/A</v>
      </c>
    </row>
    <row r="2534" spans="12:13">
      <c r="L2534" s="394" t="e">
        <f ca="1">IF(NOT(OFFSET(Data!E2537,0,MATCH('Delta Beta'!$C$5,Data!$B$4:$Q$4,0)-3)=""),OFFSET(Data!E2537,0,MATCH('Delta Beta'!$C$5,Data!$B$4:$Q$4,0)-3),#N/A)-$C$8/250</f>
        <v>#N/A</v>
      </c>
      <c r="M2534" s="394" t="e">
        <f ca="1">IF(NOT(OFFSET(Data!E2537,0,MATCH('Delta Beta'!$C$5,Data!$B$4:$Q$4,0)-1)=""),OFFSET(Data!E2537,0,MATCH('Delta Beta'!$C$5,Data!$B$4:$Q$4,0)-1),#N/A)-$C$8/250</f>
        <v>#N/A</v>
      </c>
    </row>
    <row r="2535" spans="12:13">
      <c r="L2535" s="394" t="e">
        <f ca="1">IF(NOT(OFFSET(Data!E2538,0,MATCH('Delta Beta'!$C$5,Data!$B$4:$Q$4,0)-3)=""),OFFSET(Data!E2538,0,MATCH('Delta Beta'!$C$5,Data!$B$4:$Q$4,0)-3),#N/A)-$C$8/250</f>
        <v>#N/A</v>
      </c>
      <c r="M2535" s="394" t="e">
        <f ca="1">IF(NOT(OFFSET(Data!E2538,0,MATCH('Delta Beta'!$C$5,Data!$B$4:$Q$4,0)-1)=""),OFFSET(Data!E2538,0,MATCH('Delta Beta'!$C$5,Data!$B$4:$Q$4,0)-1),#N/A)-$C$8/250</f>
        <v>#N/A</v>
      </c>
    </row>
    <row r="2536" spans="12:13">
      <c r="L2536" s="394" t="e">
        <f ca="1">IF(NOT(OFFSET(Data!E2539,0,MATCH('Delta Beta'!$C$5,Data!$B$4:$Q$4,0)-3)=""),OFFSET(Data!E2539,0,MATCH('Delta Beta'!$C$5,Data!$B$4:$Q$4,0)-3),#N/A)-$C$8/250</f>
        <v>#N/A</v>
      </c>
      <c r="M2536" s="394" t="e">
        <f ca="1">IF(NOT(OFFSET(Data!E2539,0,MATCH('Delta Beta'!$C$5,Data!$B$4:$Q$4,0)-1)=""),OFFSET(Data!E2539,0,MATCH('Delta Beta'!$C$5,Data!$B$4:$Q$4,0)-1),#N/A)-$C$8/250</f>
        <v>#N/A</v>
      </c>
    </row>
    <row r="2537" spans="12:13">
      <c r="L2537" s="394" t="e">
        <f ca="1">IF(NOT(OFFSET(Data!E2540,0,MATCH('Delta Beta'!$C$5,Data!$B$4:$Q$4,0)-3)=""),OFFSET(Data!E2540,0,MATCH('Delta Beta'!$C$5,Data!$B$4:$Q$4,0)-3),#N/A)-$C$8/250</f>
        <v>#N/A</v>
      </c>
      <c r="M2537" s="394" t="e">
        <f ca="1">IF(NOT(OFFSET(Data!E2540,0,MATCH('Delta Beta'!$C$5,Data!$B$4:$Q$4,0)-1)=""),OFFSET(Data!E2540,0,MATCH('Delta Beta'!$C$5,Data!$B$4:$Q$4,0)-1),#N/A)-$C$8/250</f>
        <v>#N/A</v>
      </c>
    </row>
    <row r="2538" spans="12:13">
      <c r="L2538" s="394" t="e">
        <f ca="1">IF(NOT(OFFSET(Data!E2541,0,MATCH('Delta Beta'!$C$5,Data!$B$4:$Q$4,0)-3)=""),OFFSET(Data!E2541,0,MATCH('Delta Beta'!$C$5,Data!$B$4:$Q$4,0)-3),#N/A)-$C$8/250</f>
        <v>#N/A</v>
      </c>
      <c r="M2538" s="394" t="e">
        <f ca="1">IF(NOT(OFFSET(Data!E2541,0,MATCH('Delta Beta'!$C$5,Data!$B$4:$Q$4,0)-1)=""),OFFSET(Data!E2541,0,MATCH('Delta Beta'!$C$5,Data!$B$4:$Q$4,0)-1),#N/A)-$C$8/250</f>
        <v>#N/A</v>
      </c>
    </row>
    <row r="2539" spans="12:13">
      <c r="L2539" s="394" t="e">
        <f ca="1">IF(NOT(OFFSET(Data!E2542,0,MATCH('Delta Beta'!$C$5,Data!$B$4:$Q$4,0)-3)=""),OFFSET(Data!E2542,0,MATCH('Delta Beta'!$C$5,Data!$B$4:$Q$4,0)-3),#N/A)-$C$8/250</f>
        <v>#N/A</v>
      </c>
      <c r="M2539" s="394" t="e">
        <f ca="1">IF(NOT(OFFSET(Data!E2542,0,MATCH('Delta Beta'!$C$5,Data!$B$4:$Q$4,0)-1)=""),OFFSET(Data!E2542,0,MATCH('Delta Beta'!$C$5,Data!$B$4:$Q$4,0)-1),#N/A)-$C$8/250</f>
        <v>#N/A</v>
      </c>
    </row>
    <row r="2540" spans="12:13">
      <c r="L2540" s="394" t="e">
        <f ca="1">IF(NOT(OFFSET(Data!E2543,0,MATCH('Delta Beta'!$C$5,Data!$B$4:$Q$4,0)-3)=""),OFFSET(Data!E2543,0,MATCH('Delta Beta'!$C$5,Data!$B$4:$Q$4,0)-3),#N/A)-$C$8/250</f>
        <v>#N/A</v>
      </c>
      <c r="M2540" s="394" t="e">
        <f ca="1">IF(NOT(OFFSET(Data!E2543,0,MATCH('Delta Beta'!$C$5,Data!$B$4:$Q$4,0)-1)=""),OFFSET(Data!E2543,0,MATCH('Delta Beta'!$C$5,Data!$B$4:$Q$4,0)-1),#N/A)-$C$8/250</f>
        <v>#N/A</v>
      </c>
    </row>
    <row r="2541" spans="12:13">
      <c r="L2541" s="394" t="e">
        <f ca="1">IF(NOT(OFFSET(Data!E2544,0,MATCH('Delta Beta'!$C$5,Data!$B$4:$Q$4,0)-3)=""),OFFSET(Data!E2544,0,MATCH('Delta Beta'!$C$5,Data!$B$4:$Q$4,0)-3),#N/A)-$C$8/250</f>
        <v>#N/A</v>
      </c>
      <c r="M2541" s="394" t="e">
        <f ca="1">IF(NOT(OFFSET(Data!E2544,0,MATCH('Delta Beta'!$C$5,Data!$B$4:$Q$4,0)-1)=""),OFFSET(Data!E2544,0,MATCH('Delta Beta'!$C$5,Data!$B$4:$Q$4,0)-1),#N/A)-$C$8/250</f>
        <v>#N/A</v>
      </c>
    </row>
    <row r="2542" spans="12:13">
      <c r="L2542" s="394" t="e">
        <f ca="1">IF(NOT(OFFSET(Data!E2545,0,MATCH('Delta Beta'!$C$5,Data!$B$4:$Q$4,0)-3)=""),OFFSET(Data!E2545,0,MATCH('Delta Beta'!$C$5,Data!$B$4:$Q$4,0)-3),#N/A)-$C$8/250</f>
        <v>#N/A</v>
      </c>
      <c r="M2542" s="394" t="e">
        <f ca="1">IF(NOT(OFFSET(Data!E2545,0,MATCH('Delta Beta'!$C$5,Data!$B$4:$Q$4,0)-1)=""),OFFSET(Data!E2545,0,MATCH('Delta Beta'!$C$5,Data!$B$4:$Q$4,0)-1),#N/A)-$C$8/250</f>
        <v>#N/A</v>
      </c>
    </row>
    <row r="2543" spans="12:13">
      <c r="L2543" s="394" t="e">
        <f ca="1">IF(NOT(OFFSET(Data!E2546,0,MATCH('Delta Beta'!$C$5,Data!$B$4:$Q$4,0)-3)=""),OFFSET(Data!E2546,0,MATCH('Delta Beta'!$C$5,Data!$B$4:$Q$4,0)-3),#N/A)-$C$8/250</f>
        <v>#N/A</v>
      </c>
      <c r="M2543" s="394" t="e">
        <f ca="1">IF(NOT(OFFSET(Data!E2546,0,MATCH('Delta Beta'!$C$5,Data!$B$4:$Q$4,0)-1)=""),OFFSET(Data!E2546,0,MATCH('Delta Beta'!$C$5,Data!$B$4:$Q$4,0)-1),#N/A)-$C$8/250</f>
        <v>#N/A</v>
      </c>
    </row>
    <row r="2544" spans="12:13">
      <c r="L2544" s="394" t="e">
        <f ca="1">IF(NOT(OFFSET(Data!E2547,0,MATCH('Delta Beta'!$C$5,Data!$B$4:$Q$4,0)-3)=""),OFFSET(Data!E2547,0,MATCH('Delta Beta'!$C$5,Data!$B$4:$Q$4,0)-3),#N/A)-$C$8/250</f>
        <v>#N/A</v>
      </c>
      <c r="M2544" s="394" t="e">
        <f ca="1">IF(NOT(OFFSET(Data!E2547,0,MATCH('Delta Beta'!$C$5,Data!$B$4:$Q$4,0)-1)=""),OFFSET(Data!E2547,0,MATCH('Delta Beta'!$C$5,Data!$B$4:$Q$4,0)-1),#N/A)-$C$8/250</f>
        <v>#N/A</v>
      </c>
    </row>
    <row r="2545" spans="12:13">
      <c r="L2545" s="394" t="e">
        <f ca="1">IF(NOT(OFFSET(Data!E2548,0,MATCH('Delta Beta'!$C$5,Data!$B$4:$Q$4,0)-3)=""),OFFSET(Data!E2548,0,MATCH('Delta Beta'!$C$5,Data!$B$4:$Q$4,0)-3),#N/A)-$C$8/250</f>
        <v>#N/A</v>
      </c>
      <c r="M2545" s="394" t="e">
        <f ca="1">IF(NOT(OFFSET(Data!E2548,0,MATCH('Delta Beta'!$C$5,Data!$B$4:$Q$4,0)-1)=""),OFFSET(Data!E2548,0,MATCH('Delta Beta'!$C$5,Data!$B$4:$Q$4,0)-1),#N/A)-$C$8/250</f>
        <v>#N/A</v>
      </c>
    </row>
    <row r="2546" spans="12:13">
      <c r="L2546" s="394" t="e">
        <f ca="1">IF(NOT(OFFSET(Data!E2549,0,MATCH('Delta Beta'!$C$5,Data!$B$4:$Q$4,0)-3)=""),OFFSET(Data!E2549,0,MATCH('Delta Beta'!$C$5,Data!$B$4:$Q$4,0)-3),#N/A)-$C$8/250</f>
        <v>#N/A</v>
      </c>
      <c r="M2546" s="394" t="e">
        <f ca="1">IF(NOT(OFFSET(Data!E2549,0,MATCH('Delta Beta'!$C$5,Data!$B$4:$Q$4,0)-1)=""),OFFSET(Data!E2549,0,MATCH('Delta Beta'!$C$5,Data!$B$4:$Q$4,0)-1),#N/A)-$C$8/250</f>
        <v>#N/A</v>
      </c>
    </row>
    <row r="2547" spans="12:13">
      <c r="L2547" s="394" t="e">
        <f ca="1">IF(NOT(OFFSET(Data!E2550,0,MATCH('Delta Beta'!$C$5,Data!$B$4:$Q$4,0)-3)=""),OFFSET(Data!E2550,0,MATCH('Delta Beta'!$C$5,Data!$B$4:$Q$4,0)-3),#N/A)-$C$8/250</f>
        <v>#N/A</v>
      </c>
      <c r="M2547" s="394" t="e">
        <f ca="1">IF(NOT(OFFSET(Data!E2550,0,MATCH('Delta Beta'!$C$5,Data!$B$4:$Q$4,0)-1)=""),OFFSET(Data!E2550,0,MATCH('Delta Beta'!$C$5,Data!$B$4:$Q$4,0)-1),#N/A)-$C$8/250</f>
        <v>#N/A</v>
      </c>
    </row>
    <row r="2548" spans="12:13">
      <c r="L2548" s="394" t="e">
        <f ca="1">IF(NOT(OFFSET(Data!E2551,0,MATCH('Delta Beta'!$C$5,Data!$B$4:$Q$4,0)-3)=""),OFFSET(Data!E2551,0,MATCH('Delta Beta'!$C$5,Data!$B$4:$Q$4,0)-3),#N/A)-$C$8/250</f>
        <v>#N/A</v>
      </c>
      <c r="M2548" s="394" t="e">
        <f ca="1">IF(NOT(OFFSET(Data!E2551,0,MATCH('Delta Beta'!$C$5,Data!$B$4:$Q$4,0)-1)=""),OFFSET(Data!E2551,0,MATCH('Delta Beta'!$C$5,Data!$B$4:$Q$4,0)-1),#N/A)-$C$8/250</f>
        <v>#N/A</v>
      </c>
    </row>
    <row r="2549" spans="12:13">
      <c r="L2549" s="394" t="e">
        <f ca="1">IF(NOT(OFFSET(Data!E2552,0,MATCH('Delta Beta'!$C$5,Data!$B$4:$Q$4,0)-3)=""),OFFSET(Data!E2552,0,MATCH('Delta Beta'!$C$5,Data!$B$4:$Q$4,0)-3),#N/A)-$C$8/250</f>
        <v>#N/A</v>
      </c>
      <c r="M2549" s="394" t="e">
        <f ca="1">IF(NOT(OFFSET(Data!E2552,0,MATCH('Delta Beta'!$C$5,Data!$B$4:$Q$4,0)-1)=""),OFFSET(Data!E2552,0,MATCH('Delta Beta'!$C$5,Data!$B$4:$Q$4,0)-1),#N/A)-$C$8/250</f>
        <v>#N/A</v>
      </c>
    </row>
    <row r="2550" spans="12:13">
      <c r="L2550" s="394" t="e">
        <f ca="1">IF(NOT(OFFSET(Data!E2553,0,MATCH('Delta Beta'!$C$5,Data!$B$4:$Q$4,0)-3)=""),OFFSET(Data!E2553,0,MATCH('Delta Beta'!$C$5,Data!$B$4:$Q$4,0)-3),#N/A)-$C$8/250</f>
        <v>#N/A</v>
      </c>
      <c r="M2550" s="394" t="e">
        <f ca="1">IF(NOT(OFFSET(Data!E2553,0,MATCH('Delta Beta'!$C$5,Data!$B$4:$Q$4,0)-1)=""),OFFSET(Data!E2553,0,MATCH('Delta Beta'!$C$5,Data!$B$4:$Q$4,0)-1),#N/A)-$C$8/250</f>
        <v>#N/A</v>
      </c>
    </row>
    <row r="2551" spans="12:13">
      <c r="L2551" s="394" t="e">
        <f ca="1">IF(NOT(OFFSET(Data!E2554,0,MATCH('Delta Beta'!$C$5,Data!$B$4:$Q$4,0)-3)=""),OFFSET(Data!E2554,0,MATCH('Delta Beta'!$C$5,Data!$B$4:$Q$4,0)-3),#N/A)-$C$8/250</f>
        <v>#N/A</v>
      </c>
      <c r="M2551" s="394" t="e">
        <f ca="1">IF(NOT(OFFSET(Data!E2554,0,MATCH('Delta Beta'!$C$5,Data!$B$4:$Q$4,0)-1)=""),OFFSET(Data!E2554,0,MATCH('Delta Beta'!$C$5,Data!$B$4:$Q$4,0)-1),#N/A)-$C$8/250</f>
        <v>#N/A</v>
      </c>
    </row>
    <row r="2552" spans="12:13">
      <c r="L2552" s="394" t="e">
        <f ca="1">IF(NOT(OFFSET(Data!E2555,0,MATCH('Delta Beta'!$C$5,Data!$B$4:$Q$4,0)-3)=""),OFFSET(Data!E2555,0,MATCH('Delta Beta'!$C$5,Data!$B$4:$Q$4,0)-3),#N/A)-$C$8/250</f>
        <v>#N/A</v>
      </c>
      <c r="M2552" s="394" t="e">
        <f ca="1">IF(NOT(OFFSET(Data!E2555,0,MATCH('Delta Beta'!$C$5,Data!$B$4:$Q$4,0)-1)=""),OFFSET(Data!E2555,0,MATCH('Delta Beta'!$C$5,Data!$B$4:$Q$4,0)-1),#N/A)-$C$8/250</f>
        <v>#N/A</v>
      </c>
    </row>
    <row r="2553" spans="12:13">
      <c r="L2553" s="394" t="e">
        <f ca="1">IF(NOT(OFFSET(Data!E2556,0,MATCH('Delta Beta'!$C$5,Data!$B$4:$Q$4,0)-3)=""),OFFSET(Data!E2556,0,MATCH('Delta Beta'!$C$5,Data!$B$4:$Q$4,0)-3),#N/A)-$C$8/250</f>
        <v>#N/A</v>
      </c>
      <c r="M2553" s="394" t="e">
        <f ca="1">IF(NOT(OFFSET(Data!E2556,0,MATCH('Delta Beta'!$C$5,Data!$B$4:$Q$4,0)-1)=""),OFFSET(Data!E2556,0,MATCH('Delta Beta'!$C$5,Data!$B$4:$Q$4,0)-1),#N/A)-$C$8/250</f>
        <v>#N/A</v>
      </c>
    </row>
    <row r="2554" spans="12:13">
      <c r="L2554" s="394" t="e">
        <f ca="1">IF(NOT(OFFSET(Data!E2557,0,MATCH('Delta Beta'!$C$5,Data!$B$4:$Q$4,0)-3)=""),OFFSET(Data!E2557,0,MATCH('Delta Beta'!$C$5,Data!$B$4:$Q$4,0)-3),#N/A)-$C$8/250</f>
        <v>#N/A</v>
      </c>
      <c r="M2554" s="394" t="e">
        <f ca="1">IF(NOT(OFFSET(Data!E2557,0,MATCH('Delta Beta'!$C$5,Data!$B$4:$Q$4,0)-1)=""),OFFSET(Data!E2557,0,MATCH('Delta Beta'!$C$5,Data!$B$4:$Q$4,0)-1),#N/A)-$C$8/250</f>
        <v>#N/A</v>
      </c>
    </row>
    <row r="2555" spans="12:13">
      <c r="L2555" s="394" t="e">
        <f ca="1">IF(NOT(OFFSET(Data!E2558,0,MATCH('Delta Beta'!$C$5,Data!$B$4:$Q$4,0)-3)=""),OFFSET(Data!E2558,0,MATCH('Delta Beta'!$C$5,Data!$B$4:$Q$4,0)-3),#N/A)-$C$8/250</f>
        <v>#N/A</v>
      </c>
      <c r="M2555" s="394" t="e">
        <f ca="1">IF(NOT(OFFSET(Data!E2558,0,MATCH('Delta Beta'!$C$5,Data!$B$4:$Q$4,0)-1)=""),OFFSET(Data!E2558,0,MATCH('Delta Beta'!$C$5,Data!$B$4:$Q$4,0)-1),#N/A)-$C$8/250</f>
        <v>#N/A</v>
      </c>
    </row>
    <row r="2556" spans="12:13">
      <c r="L2556" s="394" t="e">
        <f ca="1">IF(NOT(OFFSET(Data!E2559,0,MATCH('Delta Beta'!$C$5,Data!$B$4:$Q$4,0)-3)=""),OFFSET(Data!E2559,0,MATCH('Delta Beta'!$C$5,Data!$B$4:$Q$4,0)-3),#N/A)-$C$8/250</f>
        <v>#N/A</v>
      </c>
      <c r="M2556" s="394" t="e">
        <f ca="1">IF(NOT(OFFSET(Data!E2559,0,MATCH('Delta Beta'!$C$5,Data!$B$4:$Q$4,0)-1)=""),OFFSET(Data!E2559,0,MATCH('Delta Beta'!$C$5,Data!$B$4:$Q$4,0)-1),#N/A)-$C$8/250</f>
        <v>#N/A</v>
      </c>
    </row>
    <row r="2557" spans="12:13">
      <c r="L2557" s="394" t="e">
        <f ca="1">IF(NOT(OFFSET(Data!E2560,0,MATCH('Delta Beta'!$C$5,Data!$B$4:$Q$4,0)-3)=""),OFFSET(Data!E2560,0,MATCH('Delta Beta'!$C$5,Data!$B$4:$Q$4,0)-3),#N/A)-$C$8/250</f>
        <v>#N/A</v>
      </c>
      <c r="M2557" s="394" t="e">
        <f ca="1">IF(NOT(OFFSET(Data!E2560,0,MATCH('Delta Beta'!$C$5,Data!$B$4:$Q$4,0)-1)=""),OFFSET(Data!E2560,0,MATCH('Delta Beta'!$C$5,Data!$B$4:$Q$4,0)-1),#N/A)-$C$8/250</f>
        <v>#N/A</v>
      </c>
    </row>
    <row r="2558" spans="12:13">
      <c r="L2558" s="394" t="e">
        <f ca="1">IF(NOT(OFFSET(Data!E2561,0,MATCH('Delta Beta'!$C$5,Data!$B$4:$Q$4,0)-3)=""),OFFSET(Data!E2561,0,MATCH('Delta Beta'!$C$5,Data!$B$4:$Q$4,0)-3),#N/A)-$C$8/250</f>
        <v>#N/A</v>
      </c>
      <c r="M2558" s="394" t="e">
        <f ca="1">IF(NOT(OFFSET(Data!E2561,0,MATCH('Delta Beta'!$C$5,Data!$B$4:$Q$4,0)-1)=""),OFFSET(Data!E2561,0,MATCH('Delta Beta'!$C$5,Data!$B$4:$Q$4,0)-1),#N/A)-$C$8/250</f>
        <v>#N/A</v>
      </c>
    </row>
    <row r="2559" spans="12:13">
      <c r="L2559" s="394" t="e">
        <f ca="1">IF(NOT(OFFSET(Data!E2562,0,MATCH('Delta Beta'!$C$5,Data!$B$4:$Q$4,0)-3)=""),OFFSET(Data!E2562,0,MATCH('Delta Beta'!$C$5,Data!$B$4:$Q$4,0)-3),#N/A)-$C$8/250</f>
        <v>#N/A</v>
      </c>
      <c r="M2559" s="394" t="e">
        <f ca="1">IF(NOT(OFFSET(Data!E2562,0,MATCH('Delta Beta'!$C$5,Data!$B$4:$Q$4,0)-1)=""),OFFSET(Data!E2562,0,MATCH('Delta Beta'!$C$5,Data!$B$4:$Q$4,0)-1),#N/A)-$C$8/250</f>
        <v>#N/A</v>
      </c>
    </row>
    <row r="2560" spans="12:13">
      <c r="L2560" s="394" t="e">
        <f ca="1">IF(NOT(OFFSET(Data!E2563,0,MATCH('Delta Beta'!$C$5,Data!$B$4:$Q$4,0)-3)=""),OFFSET(Data!E2563,0,MATCH('Delta Beta'!$C$5,Data!$B$4:$Q$4,0)-3),#N/A)-$C$8/250</f>
        <v>#N/A</v>
      </c>
      <c r="M2560" s="394" t="e">
        <f ca="1">IF(NOT(OFFSET(Data!E2563,0,MATCH('Delta Beta'!$C$5,Data!$B$4:$Q$4,0)-1)=""),OFFSET(Data!E2563,0,MATCH('Delta Beta'!$C$5,Data!$B$4:$Q$4,0)-1),#N/A)-$C$8/250</f>
        <v>#N/A</v>
      </c>
    </row>
    <row r="2561" spans="12:13">
      <c r="L2561" s="394" t="e">
        <f ca="1">IF(NOT(OFFSET(Data!E2564,0,MATCH('Delta Beta'!$C$5,Data!$B$4:$Q$4,0)-3)=""),OFFSET(Data!E2564,0,MATCH('Delta Beta'!$C$5,Data!$B$4:$Q$4,0)-3),#N/A)-$C$8/250</f>
        <v>#N/A</v>
      </c>
      <c r="M2561" s="394" t="e">
        <f ca="1">IF(NOT(OFFSET(Data!E2564,0,MATCH('Delta Beta'!$C$5,Data!$B$4:$Q$4,0)-1)=""),OFFSET(Data!E2564,0,MATCH('Delta Beta'!$C$5,Data!$B$4:$Q$4,0)-1),#N/A)-$C$8/250</f>
        <v>#N/A</v>
      </c>
    </row>
    <row r="2562" spans="12:13">
      <c r="L2562" s="394" t="e">
        <f ca="1">IF(NOT(OFFSET(Data!E2565,0,MATCH('Delta Beta'!$C$5,Data!$B$4:$Q$4,0)-3)=""),OFFSET(Data!E2565,0,MATCH('Delta Beta'!$C$5,Data!$B$4:$Q$4,0)-3),#N/A)-$C$8/250</f>
        <v>#N/A</v>
      </c>
      <c r="M2562" s="394" t="e">
        <f ca="1">IF(NOT(OFFSET(Data!E2565,0,MATCH('Delta Beta'!$C$5,Data!$B$4:$Q$4,0)-1)=""),OFFSET(Data!E2565,0,MATCH('Delta Beta'!$C$5,Data!$B$4:$Q$4,0)-1),#N/A)-$C$8/250</f>
        <v>#N/A</v>
      </c>
    </row>
    <row r="2563" spans="12:13">
      <c r="L2563" s="394" t="e">
        <f ca="1">IF(NOT(OFFSET(Data!E2566,0,MATCH('Delta Beta'!$C$5,Data!$B$4:$Q$4,0)-3)=""),OFFSET(Data!E2566,0,MATCH('Delta Beta'!$C$5,Data!$B$4:$Q$4,0)-3),#N/A)-$C$8/250</f>
        <v>#N/A</v>
      </c>
      <c r="M2563" s="394" t="e">
        <f ca="1">IF(NOT(OFFSET(Data!E2566,0,MATCH('Delta Beta'!$C$5,Data!$B$4:$Q$4,0)-1)=""),OFFSET(Data!E2566,0,MATCH('Delta Beta'!$C$5,Data!$B$4:$Q$4,0)-1),#N/A)-$C$8/250</f>
        <v>#N/A</v>
      </c>
    </row>
    <row r="2564" spans="12:13">
      <c r="L2564" s="394" t="e">
        <f ca="1">IF(NOT(OFFSET(Data!E2567,0,MATCH('Delta Beta'!$C$5,Data!$B$4:$Q$4,0)-3)=""),OFFSET(Data!E2567,0,MATCH('Delta Beta'!$C$5,Data!$B$4:$Q$4,0)-3),#N/A)-$C$8/250</f>
        <v>#N/A</v>
      </c>
      <c r="M2564" s="394" t="e">
        <f ca="1">IF(NOT(OFFSET(Data!E2567,0,MATCH('Delta Beta'!$C$5,Data!$B$4:$Q$4,0)-1)=""),OFFSET(Data!E2567,0,MATCH('Delta Beta'!$C$5,Data!$B$4:$Q$4,0)-1),#N/A)-$C$8/250</f>
        <v>#N/A</v>
      </c>
    </row>
    <row r="2565" spans="12:13">
      <c r="L2565" s="394" t="e">
        <f ca="1">IF(NOT(OFFSET(Data!E2568,0,MATCH('Delta Beta'!$C$5,Data!$B$4:$Q$4,0)-3)=""),OFFSET(Data!E2568,0,MATCH('Delta Beta'!$C$5,Data!$B$4:$Q$4,0)-3),#N/A)-$C$8/250</f>
        <v>#N/A</v>
      </c>
      <c r="M2565" s="394" t="e">
        <f ca="1">IF(NOT(OFFSET(Data!E2568,0,MATCH('Delta Beta'!$C$5,Data!$B$4:$Q$4,0)-1)=""),OFFSET(Data!E2568,0,MATCH('Delta Beta'!$C$5,Data!$B$4:$Q$4,0)-1),#N/A)-$C$8/250</f>
        <v>#N/A</v>
      </c>
    </row>
    <row r="2566" spans="12:13">
      <c r="L2566" s="394" t="e">
        <f ca="1">IF(NOT(OFFSET(Data!E2569,0,MATCH('Delta Beta'!$C$5,Data!$B$4:$Q$4,0)-3)=""),OFFSET(Data!E2569,0,MATCH('Delta Beta'!$C$5,Data!$B$4:$Q$4,0)-3),#N/A)-$C$8/250</f>
        <v>#N/A</v>
      </c>
      <c r="M2566" s="394" t="e">
        <f ca="1">IF(NOT(OFFSET(Data!E2569,0,MATCH('Delta Beta'!$C$5,Data!$B$4:$Q$4,0)-1)=""),OFFSET(Data!E2569,0,MATCH('Delta Beta'!$C$5,Data!$B$4:$Q$4,0)-1),#N/A)-$C$8/250</f>
        <v>#N/A</v>
      </c>
    </row>
    <row r="2567" spans="12:13">
      <c r="L2567" s="394" t="e">
        <f ca="1">IF(NOT(OFFSET(Data!E2570,0,MATCH('Delta Beta'!$C$5,Data!$B$4:$Q$4,0)-3)=""),OFFSET(Data!E2570,0,MATCH('Delta Beta'!$C$5,Data!$B$4:$Q$4,0)-3),#N/A)-$C$8/250</f>
        <v>#N/A</v>
      </c>
      <c r="M2567" s="394" t="e">
        <f ca="1">IF(NOT(OFFSET(Data!E2570,0,MATCH('Delta Beta'!$C$5,Data!$B$4:$Q$4,0)-1)=""),OFFSET(Data!E2570,0,MATCH('Delta Beta'!$C$5,Data!$B$4:$Q$4,0)-1),#N/A)-$C$8/250</f>
        <v>#N/A</v>
      </c>
    </row>
    <row r="2568" spans="12:13">
      <c r="L2568" s="394" t="e">
        <f ca="1">IF(NOT(OFFSET(Data!E2571,0,MATCH('Delta Beta'!$C$5,Data!$B$4:$Q$4,0)-3)=""),OFFSET(Data!E2571,0,MATCH('Delta Beta'!$C$5,Data!$B$4:$Q$4,0)-3),#N/A)-$C$8/250</f>
        <v>#N/A</v>
      </c>
      <c r="M2568" s="394" t="e">
        <f ca="1">IF(NOT(OFFSET(Data!E2571,0,MATCH('Delta Beta'!$C$5,Data!$B$4:$Q$4,0)-1)=""),OFFSET(Data!E2571,0,MATCH('Delta Beta'!$C$5,Data!$B$4:$Q$4,0)-1),#N/A)-$C$8/250</f>
        <v>#N/A</v>
      </c>
    </row>
    <row r="2569" spans="12:13">
      <c r="L2569" s="394" t="e">
        <f ca="1">IF(NOT(OFFSET(Data!E2572,0,MATCH('Delta Beta'!$C$5,Data!$B$4:$Q$4,0)-3)=""),OFFSET(Data!E2572,0,MATCH('Delta Beta'!$C$5,Data!$B$4:$Q$4,0)-3),#N/A)-$C$8/250</f>
        <v>#N/A</v>
      </c>
      <c r="M2569" s="394" t="e">
        <f ca="1">IF(NOT(OFFSET(Data!E2572,0,MATCH('Delta Beta'!$C$5,Data!$B$4:$Q$4,0)-1)=""),OFFSET(Data!E2572,0,MATCH('Delta Beta'!$C$5,Data!$B$4:$Q$4,0)-1),#N/A)-$C$8/250</f>
        <v>#N/A</v>
      </c>
    </row>
    <row r="2570" spans="12:13">
      <c r="L2570" s="394" t="e">
        <f ca="1">IF(NOT(OFFSET(Data!E2573,0,MATCH('Delta Beta'!$C$5,Data!$B$4:$Q$4,0)-3)=""),OFFSET(Data!E2573,0,MATCH('Delta Beta'!$C$5,Data!$B$4:$Q$4,0)-3),#N/A)-$C$8/250</f>
        <v>#N/A</v>
      </c>
      <c r="M2570" s="394" t="e">
        <f ca="1">IF(NOT(OFFSET(Data!E2573,0,MATCH('Delta Beta'!$C$5,Data!$B$4:$Q$4,0)-1)=""),OFFSET(Data!E2573,0,MATCH('Delta Beta'!$C$5,Data!$B$4:$Q$4,0)-1),#N/A)-$C$8/250</f>
        <v>#N/A</v>
      </c>
    </row>
    <row r="2571" spans="12:13">
      <c r="L2571" s="394" t="e">
        <f ca="1">IF(NOT(OFFSET(Data!E2574,0,MATCH('Delta Beta'!$C$5,Data!$B$4:$Q$4,0)-3)=""),OFFSET(Data!E2574,0,MATCH('Delta Beta'!$C$5,Data!$B$4:$Q$4,0)-3),#N/A)-$C$8/250</f>
        <v>#N/A</v>
      </c>
      <c r="M2571" s="394" t="e">
        <f ca="1">IF(NOT(OFFSET(Data!E2574,0,MATCH('Delta Beta'!$C$5,Data!$B$4:$Q$4,0)-1)=""),OFFSET(Data!E2574,0,MATCH('Delta Beta'!$C$5,Data!$B$4:$Q$4,0)-1),#N/A)-$C$8/250</f>
        <v>#N/A</v>
      </c>
    </row>
    <row r="2572" spans="12:13">
      <c r="L2572" s="394" t="e">
        <f ca="1">IF(NOT(OFFSET(Data!E2575,0,MATCH('Delta Beta'!$C$5,Data!$B$4:$Q$4,0)-3)=""),OFFSET(Data!E2575,0,MATCH('Delta Beta'!$C$5,Data!$B$4:$Q$4,0)-3),#N/A)-$C$8/250</f>
        <v>#N/A</v>
      </c>
      <c r="M2572" s="394" t="e">
        <f ca="1">IF(NOT(OFFSET(Data!E2575,0,MATCH('Delta Beta'!$C$5,Data!$B$4:$Q$4,0)-1)=""),OFFSET(Data!E2575,0,MATCH('Delta Beta'!$C$5,Data!$B$4:$Q$4,0)-1),#N/A)-$C$8/250</f>
        <v>#N/A</v>
      </c>
    </row>
    <row r="2573" spans="12:13">
      <c r="L2573" s="394" t="e">
        <f ca="1">IF(NOT(OFFSET(Data!E2576,0,MATCH('Delta Beta'!$C$5,Data!$B$4:$Q$4,0)-3)=""),OFFSET(Data!E2576,0,MATCH('Delta Beta'!$C$5,Data!$B$4:$Q$4,0)-3),#N/A)-$C$8/250</f>
        <v>#N/A</v>
      </c>
      <c r="M2573" s="394" t="e">
        <f ca="1">IF(NOT(OFFSET(Data!E2576,0,MATCH('Delta Beta'!$C$5,Data!$B$4:$Q$4,0)-1)=""),OFFSET(Data!E2576,0,MATCH('Delta Beta'!$C$5,Data!$B$4:$Q$4,0)-1),#N/A)-$C$8/250</f>
        <v>#N/A</v>
      </c>
    </row>
    <row r="2574" spans="12:13">
      <c r="L2574" s="394" t="e">
        <f ca="1">IF(NOT(OFFSET(Data!E2577,0,MATCH('Delta Beta'!$C$5,Data!$B$4:$Q$4,0)-3)=""),OFFSET(Data!E2577,0,MATCH('Delta Beta'!$C$5,Data!$B$4:$Q$4,0)-3),#N/A)-$C$8/250</f>
        <v>#N/A</v>
      </c>
      <c r="M2574" s="394" t="e">
        <f ca="1">IF(NOT(OFFSET(Data!E2577,0,MATCH('Delta Beta'!$C$5,Data!$B$4:$Q$4,0)-1)=""),OFFSET(Data!E2577,0,MATCH('Delta Beta'!$C$5,Data!$B$4:$Q$4,0)-1),#N/A)-$C$8/250</f>
        <v>#N/A</v>
      </c>
    </row>
    <row r="2575" spans="12:13">
      <c r="L2575" s="394" t="e">
        <f ca="1">IF(NOT(OFFSET(Data!E2578,0,MATCH('Delta Beta'!$C$5,Data!$B$4:$Q$4,0)-3)=""),OFFSET(Data!E2578,0,MATCH('Delta Beta'!$C$5,Data!$B$4:$Q$4,0)-3),#N/A)-$C$8/250</f>
        <v>#N/A</v>
      </c>
      <c r="M2575" s="394" t="e">
        <f ca="1">IF(NOT(OFFSET(Data!E2578,0,MATCH('Delta Beta'!$C$5,Data!$B$4:$Q$4,0)-1)=""),OFFSET(Data!E2578,0,MATCH('Delta Beta'!$C$5,Data!$B$4:$Q$4,0)-1),#N/A)-$C$8/250</f>
        <v>#N/A</v>
      </c>
    </row>
    <row r="2576" spans="12:13">
      <c r="L2576" s="394" t="e">
        <f ca="1">IF(NOT(OFFSET(Data!E2579,0,MATCH('Delta Beta'!$C$5,Data!$B$4:$Q$4,0)-3)=""),OFFSET(Data!E2579,0,MATCH('Delta Beta'!$C$5,Data!$B$4:$Q$4,0)-3),#N/A)-$C$8/250</f>
        <v>#N/A</v>
      </c>
      <c r="M2576" s="394" t="e">
        <f ca="1">IF(NOT(OFFSET(Data!E2579,0,MATCH('Delta Beta'!$C$5,Data!$B$4:$Q$4,0)-1)=""),OFFSET(Data!E2579,0,MATCH('Delta Beta'!$C$5,Data!$B$4:$Q$4,0)-1),#N/A)-$C$8/250</f>
        <v>#N/A</v>
      </c>
    </row>
    <row r="2577" spans="12:13">
      <c r="L2577" s="394" t="e">
        <f ca="1">IF(NOT(OFFSET(Data!E2580,0,MATCH('Delta Beta'!$C$5,Data!$B$4:$Q$4,0)-3)=""),OFFSET(Data!E2580,0,MATCH('Delta Beta'!$C$5,Data!$B$4:$Q$4,0)-3),#N/A)-$C$8/250</f>
        <v>#N/A</v>
      </c>
      <c r="M2577" s="394" t="e">
        <f ca="1">IF(NOT(OFFSET(Data!E2580,0,MATCH('Delta Beta'!$C$5,Data!$B$4:$Q$4,0)-1)=""),OFFSET(Data!E2580,0,MATCH('Delta Beta'!$C$5,Data!$B$4:$Q$4,0)-1),#N/A)-$C$8/250</f>
        <v>#N/A</v>
      </c>
    </row>
    <row r="2578" spans="12:13">
      <c r="L2578" s="394" t="e">
        <f ca="1">IF(NOT(OFFSET(Data!E2581,0,MATCH('Delta Beta'!$C$5,Data!$B$4:$Q$4,0)-3)=""),OFFSET(Data!E2581,0,MATCH('Delta Beta'!$C$5,Data!$B$4:$Q$4,0)-3),#N/A)-$C$8/250</f>
        <v>#N/A</v>
      </c>
      <c r="M2578" s="394" t="e">
        <f ca="1">IF(NOT(OFFSET(Data!E2581,0,MATCH('Delta Beta'!$C$5,Data!$B$4:$Q$4,0)-1)=""),OFFSET(Data!E2581,0,MATCH('Delta Beta'!$C$5,Data!$B$4:$Q$4,0)-1),#N/A)-$C$8/250</f>
        <v>#N/A</v>
      </c>
    </row>
    <row r="2579" spans="12:13">
      <c r="L2579" s="394" t="e">
        <f ca="1">IF(NOT(OFFSET(Data!E2582,0,MATCH('Delta Beta'!$C$5,Data!$B$4:$Q$4,0)-3)=""),OFFSET(Data!E2582,0,MATCH('Delta Beta'!$C$5,Data!$B$4:$Q$4,0)-3),#N/A)-$C$8/250</f>
        <v>#N/A</v>
      </c>
      <c r="M2579" s="394" t="e">
        <f ca="1">IF(NOT(OFFSET(Data!E2582,0,MATCH('Delta Beta'!$C$5,Data!$B$4:$Q$4,0)-1)=""),OFFSET(Data!E2582,0,MATCH('Delta Beta'!$C$5,Data!$B$4:$Q$4,0)-1),#N/A)-$C$8/250</f>
        <v>#N/A</v>
      </c>
    </row>
    <row r="2580" spans="12:13">
      <c r="L2580" s="394" t="e">
        <f ca="1">IF(NOT(OFFSET(Data!E2583,0,MATCH('Delta Beta'!$C$5,Data!$B$4:$Q$4,0)-3)=""),OFFSET(Data!E2583,0,MATCH('Delta Beta'!$C$5,Data!$B$4:$Q$4,0)-3),#N/A)-$C$8/250</f>
        <v>#N/A</v>
      </c>
      <c r="M2580" s="394" t="e">
        <f ca="1">IF(NOT(OFFSET(Data!E2583,0,MATCH('Delta Beta'!$C$5,Data!$B$4:$Q$4,0)-1)=""),OFFSET(Data!E2583,0,MATCH('Delta Beta'!$C$5,Data!$B$4:$Q$4,0)-1),#N/A)-$C$8/250</f>
        <v>#N/A</v>
      </c>
    </row>
    <row r="2581" spans="12:13">
      <c r="L2581" s="394" t="e">
        <f ca="1">IF(NOT(OFFSET(Data!E2584,0,MATCH('Delta Beta'!$C$5,Data!$B$4:$Q$4,0)-3)=""),OFFSET(Data!E2584,0,MATCH('Delta Beta'!$C$5,Data!$B$4:$Q$4,0)-3),#N/A)-$C$8/250</f>
        <v>#N/A</v>
      </c>
      <c r="M2581" s="394" t="e">
        <f ca="1">IF(NOT(OFFSET(Data!E2584,0,MATCH('Delta Beta'!$C$5,Data!$B$4:$Q$4,0)-1)=""),OFFSET(Data!E2584,0,MATCH('Delta Beta'!$C$5,Data!$B$4:$Q$4,0)-1),#N/A)-$C$8/250</f>
        <v>#N/A</v>
      </c>
    </row>
    <row r="2582" spans="12:13">
      <c r="L2582" s="394" t="e">
        <f ca="1">IF(NOT(OFFSET(Data!E2585,0,MATCH('Delta Beta'!$C$5,Data!$B$4:$Q$4,0)-3)=""),OFFSET(Data!E2585,0,MATCH('Delta Beta'!$C$5,Data!$B$4:$Q$4,0)-3),#N/A)-$C$8/250</f>
        <v>#N/A</v>
      </c>
      <c r="M2582" s="394" t="e">
        <f ca="1">IF(NOT(OFFSET(Data!E2585,0,MATCH('Delta Beta'!$C$5,Data!$B$4:$Q$4,0)-1)=""),OFFSET(Data!E2585,0,MATCH('Delta Beta'!$C$5,Data!$B$4:$Q$4,0)-1),#N/A)-$C$8/250</f>
        <v>#N/A</v>
      </c>
    </row>
    <row r="2583" spans="12:13">
      <c r="L2583" s="394" t="e">
        <f ca="1">IF(NOT(OFFSET(Data!E2586,0,MATCH('Delta Beta'!$C$5,Data!$B$4:$Q$4,0)-3)=""),OFFSET(Data!E2586,0,MATCH('Delta Beta'!$C$5,Data!$B$4:$Q$4,0)-3),#N/A)-$C$8/250</f>
        <v>#N/A</v>
      </c>
      <c r="M2583" s="394" t="e">
        <f ca="1">IF(NOT(OFFSET(Data!E2586,0,MATCH('Delta Beta'!$C$5,Data!$B$4:$Q$4,0)-1)=""),OFFSET(Data!E2586,0,MATCH('Delta Beta'!$C$5,Data!$B$4:$Q$4,0)-1),#N/A)-$C$8/250</f>
        <v>#N/A</v>
      </c>
    </row>
    <row r="2584" spans="12:13">
      <c r="L2584" s="394" t="e">
        <f ca="1">IF(NOT(OFFSET(Data!E2587,0,MATCH('Delta Beta'!$C$5,Data!$B$4:$Q$4,0)-3)=""),OFFSET(Data!E2587,0,MATCH('Delta Beta'!$C$5,Data!$B$4:$Q$4,0)-3),#N/A)-$C$8/250</f>
        <v>#N/A</v>
      </c>
      <c r="M2584" s="394" t="e">
        <f ca="1">IF(NOT(OFFSET(Data!E2587,0,MATCH('Delta Beta'!$C$5,Data!$B$4:$Q$4,0)-1)=""),OFFSET(Data!E2587,0,MATCH('Delta Beta'!$C$5,Data!$B$4:$Q$4,0)-1),#N/A)-$C$8/250</f>
        <v>#N/A</v>
      </c>
    </row>
    <row r="2585" spans="12:13">
      <c r="L2585" s="394" t="e">
        <f ca="1">IF(NOT(OFFSET(Data!E2588,0,MATCH('Delta Beta'!$C$5,Data!$B$4:$Q$4,0)-3)=""),OFFSET(Data!E2588,0,MATCH('Delta Beta'!$C$5,Data!$B$4:$Q$4,0)-3),#N/A)-$C$8/250</f>
        <v>#N/A</v>
      </c>
      <c r="M2585" s="394" t="e">
        <f ca="1">IF(NOT(OFFSET(Data!E2588,0,MATCH('Delta Beta'!$C$5,Data!$B$4:$Q$4,0)-1)=""),OFFSET(Data!E2588,0,MATCH('Delta Beta'!$C$5,Data!$B$4:$Q$4,0)-1),#N/A)-$C$8/250</f>
        <v>#N/A</v>
      </c>
    </row>
    <row r="2586" spans="12:13">
      <c r="L2586" s="394" t="e">
        <f ca="1">IF(NOT(OFFSET(Data!E2589,0,MATCH('Delta Beta'!$C$5,Data!$B$4:$Q$4,0)-3)=""),OFFSET(Data!E2589,0,MATCH('Delta Beta'!$C$5,Data!$B$4:$Q$4,0)-3),#N/A)-$C$8/250</f>
        <v>#N/A</v>
      </c>
      <c r="M2586" s="394" t="e">
        <f ca="1">IF(NOT(OFFSET(Data!E2589,0,MATCH('Delta Beta'!$C$5,Data!$B$4:$Q$4,0)-1)=""),OFFSET(Data!E2589,0,MATCH('Delta Beta'!$C$5,Data!$B$4:$Q$4,0)-1),#N/A)-$C$8/250</f>
        <v>#N/A</v>
      </c>
    </row>
    <row r="2587" spans="12:13">
      <c r="L2587" s="394" t="e">
        <f ca="1">IF(NOT(OFFSET(Data!E2590,0,MATCH('Delta Beta'!$C$5,Data!$B$4:$Q$4,0)-3)=""),OFFSET(Data!E2590,0,MATCH('Delta Beta'!$C$5,Data!$B$4:$Q$4,0)-3),#N/A)-$C$8/250</f>
        <v>#N/A</v>
      </c>
      <c r="M2587" s="394" t="e">
        <f ca="1">IF(NOT(OFFSET(Data!E2590,0,MATCH('Delta Beta'!$C$5,Data!$B$4:$Q$4,0)-1)=""),OFFSET(Data!E2590,0,MATCH('Delta Beta'!$C$5,Data!$B$4:$Q$4,0)-1),#N/A)-$C$8/250</f>
        <v>#N/A</v>
      </c>
    </row>
    <row r="2588" spans="12:13">
      <c r="L2588" s="394" t="e">
        <f ca="1">IF(NOT(OFFSET(Data!E2591,0,MATCH('Delta Beta'!$C$5,Data!$B$4:$Q$4,0)-3)=""),OFFSET(Data!E2591,0,MATCH('Delta Beta'!$C$5,Data!$B$4:$Q$4,0)-3),#N/A)-$C$8/250</f>
        <v>#N/A</v>
      </c>
      <c r="M2588" s="394" t="e">
        <f ca="1">IF(NOT(OFFSET(Data!E2591,0,MATCH('Delta Beta'!$C$5,Data!$B$4:$Q$4,0)-1)=""),OFFSET(Data!E2591,0,MATCH('Delta Beta'!$C$5,Data!$B$4:$Q$4,0)-1),#N/A)-$C$8/250</f>
        <v>#N/A</v>
      </c>
    </row>
    <row r="2589" spans="12:13">
      <c r="L2589" s="394" t="e">
        <f ca="1">IF(NOT(OFFSET(Data!E2592,0,MATCH('Delta Beta'!$C$5,Data!$B$4:$Q$4,0)-3)=""),OFFSET(Data!E2592,0,MATCH('Delta Beta'!$C$5,Data!$B$4:$Q$4,0)-3),#N/A)-$C$8/250</f>
        <v>#N/A</v>
      </c>
      <c r="M2589" s="394" t="e">
        <f ca="1">IF(NOT(OFFSET(Data!E2592,0,MATCH('Delta Beta'!$C$5,Data!$B$4:$Q$4,0)-1)=""),OFFSET(Data!E2592,0,MATCH('Delta Beta'!$C$5,Data!$B$4:$Q$4,0)-1),#N/A)-$C$8/250</f>
        <v>#N/A</v>
      </c>
    </row>
    <row r="2590" spans="12:13">
      <c r="L2590" s="394" t="e">
        <f ca="1">IF(NOT(OFFSET(Data!E2593,0,MATCH('Delta Beta'!$C$5,Data!$B$4:$Q$4,0)-3)=""),OFFSET(Data!E2593,0,MATCH('Delta Beta'!$C$5,Data!$B$4:$Q$4,0)-3),#N/A)-$C$8/250</f>
        <v>#N/A</v>
      </c>
      <c r="M2590" s="394" t="e">
        <f ca="1">IF(NOT(OFFSET(Data!E2593,0,MATCH('Delta Beta'!$C$5,Data!$B$4:$Q$4,0)-1)=""),OFFSET(Data!E2593,0,MATCH('Delta Beta'!$C$5,Data!$B$4:$Q$4,0)-1),#N/A)-$C$8/250</f>
        <v>#N/A</v>
      </c>
    </row>
    <row r="2591" spans="12:13">
      <c r="L2591" s="394" t="e">
        <f ca="1">IF(NOT(OFFSET(Data!E2594,0,MATCH('Delta Beta'!$C$5,Data!$B$4:$Q$4,0)-3)=""),OFFSET(Data!E2594,0,MATCH('Delta Beta'!$C$5,Data!$B$4:$Q$4,0)-3),#N/A)-$C$8/250</f>
        <v>#N/A</v>
      </c>
      <c r="M2591" s="394" t="e">
        <f ca="1">IF(NOT(OFFSET(Data!E2594,0,MATCH('Delta Beta'!$C$5,Data!$B$4:$Q$4,0)-1)=""),OFFSET(Data!E2594,0,MATCH('Delta Beta'!$C$5,Data!$B$4:$Q$4,0)-1),#N/A)-$C$8/250</f>
        <v>#N/A</v>
      </c>
    </row>
    <row r="2592" spans="12:13">
      <c r="L2592" s="394" t="e">
        <f ca="1">IF(NOT(OFFSET(Data!E2595,0,MATCH('Delta Beta'!$C$5,Data!$B$4:$Q$4,0)-3)=""),OFFSET(Data!E2595,0,MATCH('Delta Beta'!$C$5,Data!$B$4:$Q$4,0)-3),#N/A)-$C$8/250</f>
        <v>#N/A</v>
      </c>
      <c r="M2592" s="394" t="e">
        <f ca="1">IF(NOT(OFFSET(Data!E2595,0,MATCH('Delta Beta'!$C$5,Data!$B$4:$Q$4,0)-1)=""),OFFSET(Data!E2595,0,MATCH('Delta Beta'!$C$5,Data!$B$4:$Q$4,0)-1),#N/A)-$C$8/250</f>
        <v>#N/A</v>
      </c>
    </row>
    <row r="2593" spans="12:13">
      <c r="L2593" s="394" t="e">
        <f ca="1">IF(NOT(OFFSET(Data!E2596,0,MATCH('Delta Beta'!$C$5,Data!$B$4:$Q$4,0)-3)=""),OFFSET(Data!E2596,0,MATCH('Delta Beta'!$C$5,Data!$B$4:$Q$4,0)-3),#N/A)-$C$8/250</f>
        <v>#N/A</v>
      </c>
      <c r="M2593" s="394" t="e">
        <f ca="1">IF(NOT(OFFSET(Data!E2596,0,MATCH('Delta Beta'!$C$5,Data!$B$4:$Q$4,0)-1)=""),OFFSET(Data!E2596,0,MATCH('Delta Beta'!$C$5,Data!$B$4:$Q$4,0)-1),#N/A)-$C$8/250</f>
        <v>#N/A</v>
      </c>
    </row>
    <row r="2594" spans="12:13">
      <c r="L2594" s="394" t="e">
        <f ca="1">IF(NOT(OFFSET(Data!E2597,0,MATCH('Delta Beta'!$C$5,Data!$B$4:$Q$4,0)-3)=""),OFFSET(Data!E2597,0,MATCH('Delta Beta'!$C$5,Data!$B$4:$Q$4,0)-3),#N/A)-$C$8/250</f>
        <v>#N/A</v>
      </c>
      <c r="M2594" s="394" t="e">
        <f ca="1">IF(NOT(OFFSET(Data!E2597,0,MATCH('Delta Beta'!$C$5,Data!$B$4:$Q$4,0)-1)=""),OFFSET(Data!E2597,0,MATCH('Delta Beta'!$C$5,Data!$B$4:$Q$4,0)-1),#N/A)-$C$8/250</f>
        <v>#N/A</v>
      </c>
    </row>
    <row r="2595" spans="12:13">
      <c r="L2595" s="394" t="e">
        <f ca="1">IF(NOT(OFFSET(Data!E2598,0,MATCH('Delta Beta'!$C$5,Data!$B$4:$Q$4,0)-3)=""),OFFSET(Data!E2598,0,MATCH('Delta Beta'!$C$5,Data!$B$4:$Q$4,0)-3),#N/A)-$C$8/250</f>
        <v>#N/A</v>
      </c>
      <c r="M2595" s="394" t="e">
        <f ca="1">IF(NOT(OFFSET(Data!E2598,0,MATCH('Delta Beta'!$C$5,Data!$B$4:$Q$4,0)-1)=""),OFFSET(Data!E2598,0,MATCH('Delta Beta'!$C$5,Data!$B$4:$Q$4,0)-1),#N/A)-$C$8/250</f>
        <v>#N/A</v>
      </c>
    </row>
    <row r="2596" spans="12:13">
      <c r="L2596" s="394" t="e">
        <f ca="1">IF(NOT(OFFSET(Data!E2599,0,MATCH('Delta Beta'!$C$5,Data!$B$4:$Q$4,0)-3)=""),OFFSET(Data!E2599,0,MATCH('Delta Beta'!$C$5,Data!$B$4:$Q$4,0)-3),#N/A)-$C$8/250</f>
        <v>#N/A</v>
      </c>
      <c r="M2596" s="394" t="e">
        <f ca="1">IF(NOT(OFFSET(Data!E2599,0,MATCH('Delta Beta'!$C$5,Data!$B$4:$Q$4,0)-1)=""),OFFSET(Data!E2599,0,MATCH('Delta Beta'!$C$5,Data!$B$4:$Q$4,0)-1),#N/A)-$C$8/250</f>
        <v>#N/A</v>
      </c>
    </row>
    <row r="2597" spans="12:13">
      <c r="L2597" s="394" t="e">
        <f ca="1">IF(NOT(OFFSET(Data!E2600,0,MATCH('Delta Beta'!$C$5,Data!$B$4:$Q$4,0)-3)=""),OFFSET(Data!E2600,0,MATCH('Delta Beta'!$C$5,Data!$B$4:$Q$4,0)-3),#N/A)-$C$8/250</f>
        <v>#N/A</v>
      </c>
      <c r="M2597" s="394" t="e">
        <f ca="1">IF(NOT(OFFSET(Data!E2600,0,MATCH('Delta Beta'!$C$5,Data!$B$4:$Q$4,0)-1)=""),OFFSET(Data!E2600,0,MATCH('Delta Beta'!$C$5,Data!$B$4:$Q$4,0)-1),#N/A)-$C$8/250</f>
        <v>#N/A</v>
      </c>
    </row>
    <row r="2598" spans="12:13">
      <c r="L2598" s="394" t="e">
        <f ca="1">IF(NOT(OFFSET(Data!E2601,0,MATCH('Delta Beta'!$C$5,Data!$B$4:$Q$4,0)-3)=""),OFFSET(Data!E2601,0,MATCH('Delta Beta'!$C$5,Data!$B$4:$Q$4,0)-3),#N/A)-$C$8/250</f>
        <v>#N/A</v>
      </c>
      <c r="M2598" s="394" t="e">
        <f ca="1">IF(NOT(OFFSET(Data!E2601,0,MATCH('Delta Beta'!$C$5,Data!$B$4:$Q$4,0)-1)=""),OFFSET(Data!E2601,0,MATCH('Delta Beta'!$C$5,Data!$B$4:$Q$4,0)-1),#N/A)-$C$8/250</f>
        <v>#N/A</v>
      </c>
    </row>
    <row r="2599" spans="12:13">
      <c r="L2599" s="394" t="e">
        <f ca="1">IF(NOT(OFFSET(Data!E2602,0,MATCH('Delta Beta'!$C$5,Data!$B$4:$Q$4,0)-3)=""),OFFSET(Data!E2602,0,MATCH('Delta Beta'!$C$5,Data!$B$4:$Q$4,0)-3),#N/A)-$C$8/250</f>
        <v>#N/A</v>
      </c>
      <c r="M2599" s="394" t="e">
        <f ca="1">IF(NOT(OFFSET(Data!E2602,0,MATCH('Delta Beta'!$C$5,Data!$B$4:$Q$4,0)-1)=""),OFFSET(Data!E2602,0,MATCH('Delta Beta'!$C$5,Data!$B$4:$Q$4,0)-1),#N/A)-$C$8/250</f>
        <v>#N/A</v>
      </c>
    </row>
    <row r="2600" spans="12:13">
      <c r="L2600" s="394" t="e">
        <f ca="1">IF(NOT(OFFSET(Data!E2603,0,MATCH('Delta Beta'!$C$5,Data!$B$4:$Q$4,0)-3)=""),OFFSET(Data!E2603,0,MATCH('Delta Beta'!$C$5,Data!$B$4:$Q$4,0)-3),#N/A)-$C$8/250</f>
        <v>#N/A</v>
      </c>
      <c r="M2600" s="394" t="e">
        <f ca="1">IF(NOT(OFFSET(Data!E2603,0,MATCH('Delta Beta'!$C$5,Data!$B$4:$Q$4,0)-1)=""),OFFSET(Data!E2603,0,MATCH('Delta Beta'!$C$5,Data!$B$4:$Q$4,0)-1),#N/A)-$C$8/250</f>
        <v>#N/A</v>
      </c>
    </row>
    <row r="2601" spans="12:13">
      <c r="L2601" s="394" t="e">
        <f ca="1">IF(NOT(OFFSET(Data!E2604,0,MATCH('Delta Beta'!$C$5,Data!$B$4:$Q$4,0)-3)=""),OFFSET(Data!E2604,0,MATCH('Delta Beta'!$C$5,Data!$B$4:$Q$4,0)-3),#N/A)-$C$8/250</f>
        <v>#N/A</v>
      </c>
      <c r="M2601" s="394" t="e">
        <f ca="1">IF(NOT(OFFSET(Data!E2604,0,MATCH('Delta Beta'!$C$5,Data!$B$4:$Q$4,0)-1)=""),OFFSET(Data!E2604,0,MATCH('Delta Beta'!$C$5,Data!$B$4:$Q$4,0)-1),#N/A)-$C$8/250</f>
        <v>#N/A</v>
      </c>
    </row>
    <row r="2602" spans="12:13">
      <c r="L2602" s="394" t="e">
        <f ca="1">IF(NOT(OFFSET(Data!E2605,0,MATCH('Delta Beta'!$C$5,Data!$B$4:$Q$4,0)-3)=""),OFFSET(Data!E2605,0,MATCH('Delta Beta'!$C$5,Data!$B$4:$Q$4,0)-3),#N/A)-$C$8/250</f>
        <v>#N/A</v>
      </c>
      <c r="M2602" s="394" t="e">
        <f ca="1">IF(NOT(OFFSET(Data!E2605,0,MATCH('Delta Beta'!$C$5,Data!$B$4:$Q$4,0)-1)=""),OFFSET(Data!E2605,0,MATCH('Delta Beta'!$C$5,Data!$B$4:$Q$4,0)-1),#N/A)-$C$8/250</f>
        <v>#N/A</v>
      </c>
    </row>
    <row r="2603" spans="12:13">
      <c r="L2603" s="394" t="e">
        <f ca="1">IF(NOT(OFFSET(Data!E2606,0,MATCH('Delta Beta'!$C$5,Data!$B$4:$Q$4,0)-3)=""),OFFSET(Data!E2606,0,MATCH('Delta Beta'!$C$5,Data!$B$4:$Q$4,0)-3),#N/A)-$C$8/250</f>
        <v>#N/A</v>
      </c>
      <c r="M2603" s="394" t="e">
        <f ca="1">IF(NOT(OFFSET(Data!E2606,0,MATCH('Delta Beta'!$C$5,Data!$B$4:$Q$4,0)-1)=""),OFFSET(Data!E2606,0,MATCH('Delta Beta'!$C$5,Data!$B$4:$Q$4,0)-1),#N/A)-$C$8/250</f>
        <v>#N/A</v>
      </c>
    </row>
    <row r="2604" spans="12:13">
      <c r="L2604" s="394" t="e">
        <f ca="1">IF(NOT(OFFSET(Data!E2607,0,MATCH('Delta Beta'!$C$5,Data!$B$4:$Q$4,0)-3)=""),OFFSET(Data!E2607,0,MATCH('Delta Beta'!$C$5,Data!$B$4:$Q$4,0)-3),#N/A)-$C$8/250</f>
        <v>#N/A</v>
      </c>
      <c r="M2604" s="394" t="e">
        <f ca="1">IF(NOT(OFFSET(Data!E2607,0,MATCH('Delta Beta'!$C$5,Data!$B$4:$Q$4,0)-1)=""),OFFSET(Data!E2607,0,MATCH('Delta Beta'!$C$5,Data!$B$4:$Q$4,0)-1),#N/A)-$C$8/250</f>
        <v>#N/A</v>
      </c>
    </row>
    <row r="2605" spans="12:13">
      <c r="L2605" s="394" t="e">
        <f ca="1">IF(NOT(OFFSET(Data!E2608,0,MATCH('Delta Beta'!$C$5,Data!$B$4:$Q$4,0)-3)=""),OFFSET(Data!E2608,0,MATCH('Delta Beta'!$C$5,Data!$B$4:$Q$4,0)-3),#N/A)-$C$8/250</f>
        <v>#N/A</v>
      </c>
      <c r="M2605" s="394" t="e">
        <f ca="1">IF(NOT(OFFSET(Data!E2608,0,MATCH('Delta Beta'!$C$5,Data!$B$4:$Q$4,0)-1)=""),OFFSET(Data!E2608,0,MATCH('Delta Beta'!$C$5,Data!$B$4:$Q$4,0)-1),#N/A)-$C$8/250</f>
        <v>#N/A</v>
      </c>
    </row>
    <row r="2606" spans="12:13">
      <c r="L2606" s="394" t="e">
        <f ca="1">IF(NOT(OFFSET(Data!E2609,0,MATCH('Delta Beta'!$C$5,Data!$B$4:$Q$4,0)-3)=""),OFFSET(Data!E2609,0,MATCH('Delta Beta'!$C$5,Data!$B$4:$Q$4,0)-3),#N/A)-$C$8/250</f>
        <v>#N/A</v>
      </c>
      <c r="M2606" s="394" t="e">
        <f ca="1">IF(NOT(OFFSET(Data!E2609,0,MATCH('Delta Beta'!$C$5,Data!$B$4:$Q$4,0)-1)=""),OFFSET(Data!E2609,0,MATCH('Delta Beta'!$C$5,Data!$B$4:$Q$4,0)-1),#N/A)-$C$8/250</f>
        <v>#N/A</v>
      </c>
    </row>
    <row r="2607" spans="12:13">
      <c r="L2607" s="394" t="e">
        <f ca="1">IF(NOT(OFFSET(Data!E2610,0,MATCH('Delta Beta'!$C$5,Data!$B$4:$Q$4,0)-3)=""),OFFSET(Data!E2610,0,MATCH('Delta Beta'!$C$5,Data!$B$4:$Q$4,0)-3),#N/A)-$C$8/250</f>
        <v>#N/A</v>
      </c>
      <c r="M2607" s="394" t="e">
        <f ca="1">IF(NOT(OFFSET(Data!E2610,0,MATCH('Delta Beta'!$C$5,Data!$B$4:$Q$4,0)-1)=""),OFFSET(Data!E2610,0,MATCH('Delta Beta'!$C$5,Data!$B$4:$Q$4,0)-1),#N/A)-$C$8/250</f>
        <v>#N/A</v>
      </c>
    </row>
    <row r="2608" spans="12:13">
      <c r="L2608" s="394" t="e">
        <f ca="1">IF(NOT(OFFSET(Data!E2611,0,MATCH('Delta Beta'!$C$5,Data!$B$4:$Q$4,0)-3)=""),OFFSET(Data!E2611,0,MATCH('Delta Beta'!$C$5,Data!$B$4:$Q$4,0)-3),#N/A)-$C$8/250</f>
        <v>#N/A</v>
      </c>
      <c r="M2608" s="394" t="e">
        <f ca="1">IF(NOT(OFFSET(Data!E2611,0,MATCH('Delta Beta'!$C$5,Data!$B$4:$Q$4,0)-1)=""),OFFSET(Data!E2611,0,MATCH('Delta Beta'!$C$5,Data!$B$4:$Q$4,0)-1),#N/A)-$C$8/250</f>
        <v>#N/A</v>
      </c>
    </row>
    <row r="2609" spans="12:13">
      <c r="L2609" s="394" t="e">
        <f ca="1">IF(NOT(OFFSET(Data!E2612,0,MATCH('Delta Beta'!$C$5,Data!$B$4:$Q$4,0)-3)=""),OFFSET(Data!E2612,0,MATCH('Delta Beta'!$C$5,Data!$B$4:$Q$4,0)-3),#N/A)-$C$8/250</f>
        <v>#N/A</v>
      </c>
      <c r="M2609" s="394" t="e">
        <f ca="1">IF(NOT(OFFSET(Data!E2612,0,MATCH('Delta Beta'!$C$5,Data!$B$4:$Q$4,0)-1)=""),OFFSET(Data!E2612,0,MATCH('Delta Beta'!$C$5,Data!$B$4:$Q$4,0)-1),#N/A)-$C$8/250</f>
        <v>#N/A</v>
      </c>
    </row>
    <row r="2610" spans="12:13">
      <c r="L2610" s="394" t="e">
        <f ca="1">IF(NOT(OFFSET(Data!E2613,0,MATCH('Delta Beta'!$C$5,Data!$B$4:$Q$4,0)-3)=""),OFFSET(Data!E2613,0,MATCH('Delta Beta'!$C$5,Data!$B$4:$Q$4,0)-3),#N/A)-$C$8/250</f>
        <v>#N/A</v>
      </c>
      <c r="M2610" s="394" t="e">
        <f ca="1">IF(NOT(OFFSET(Data!E2613,0,MATCH('Delta Beta'!$C$5,Data!$B$4:$Q$4,0)-1)=""),OFFSET(Data!E2613,0,MATCH('Delta Beta'!$C$5,Data!$B$4:$Q$4,0)-1),#N/A)-$C$8/250</f>
        <v>#N/A</v>
      </c>
    </row>
    <row r="2611" spans="12:13">
      <c r="L2611" s="394" t="e">
        <f ca="1">IF(NOT(OFFSET(Data!E2614,0,MATCH('Delta Beta'!$C$5,Data!$B$4:$Q$4,0)-3)=""),OFFSET(Data!E2614,0,MATCH('Delta Beta'!$C$5,Data!$B$4:$Q$4,0)-3),#N/A)-$C$8/250</f>
        <v>#N/A</v>
      </c>
      <c r="M2611" s="394" t="e">
        <f ca="1">IF(NOT(OFFSET(Data!E2614,0,MATCH('Delta Beta'!$C$5,Data!$B$4:$Q$4,0)-1)=""),OFFSET(Data!E2614,0,MATCH('Delta Beta'!$C$5,Data!$B$4:$Q$4,0)-1),#N/A)-$C$8/250</f>
        <v>#N/A</v>
      </c>
    </row>
    <row r="2612" spans="12:13">
      <c r="L2612" s="394" t="e">
        <f ca="1">IF(NOT(OFFSET(Data!E2615,0,MATCH('Delta Beta'!$C$5,Data!$B$4:$Q$4,0)-3)=""),OFFSET(Data!E2615,0,MATCH('Delta Beta'!$C$5,Data!$B$4:$Q$4,0)-3),#N/A)-$C$8/250</f>
        <v>#N/A</v>
      </c>
      <c r="M2612" s="394" t="e">
        <f ca="1">IF(NOT(OFFSET(Data!E2615,0,MATCH('Delta Beta'!$C$5,Data!$B$4:$Q$4,0)-1)=""),OFFSET(Data!E2615,0,MATCH('Delta Beta'!$C$5,Data!$B$4:$Q$4,0)-1),#N/A)-$C$8/250</f>
        <v>#N/A</v>
      </c>
    </row>
    <row r="2613" spans="12:13">
      <c r="L2613" s="394" t="e">
        <f ca="1">IF(NOT(OFFSET(Data!E2616,0,MATCH('Delta Beta'!$C$5,Data!$B$4:$Q$4,0)-3)=""),OFFSET(Data!E2616,0,MATCH('Delta Beta'!$C$5,Data!$B$4:$Q$4,0)-3),#N/A)-$C$8/250</f>
        <v>#N/A</v>
      </c>
      <c r="M2613" s="394" t="e">
        <f ca="1">IF(NOT(OFFSET(Data!E2616,0,MATCH('Delta Beta'!$C$5,Data!$B$4:$Q$4,0)-1)=""),OFFSET(Data!E2616,0,MATCH('Delta Beta'!$C$5,Data!$B$4:$Q$4,0)-1),#N/A)-$C$8/250</f>
        <v>#N/A</v>
      </c>
    </row>
    <row r="2614" spans="12:13">
      <c r="L2614" s="394"/>
      <c r="M2614" s="394"/>
    </row>
    <row r="2615" spans="12:13">
      <c r="L2615" s="394"/>
      <c r="M2615" s="394"/>
    </row>
    <row r="2616" spans="12:13">
      <c r="L2616" s="394"/>
      <c r="M2616" s="394"/>
    </row>
    <row r="2617" spans="12:13">
      <c r="L2617" s="394"/>
      <c r="M2617" s="394"/>
    </row>
    <row r="2618" spans="12:13">
      <c r="L2618" s="394"/>
      <c r="M2618" s="394"/>
    </row>
    <row r="2619" spans="12:13">
      <c r="L2619" s="394"/>
      <c r="M2619" s="394"/>
    </row>
    <row r="2620" spans="12:13">
      <c r="L2620" s="394"/>
      <c r="M2620" s="394"/>
    </row>
    <row r="2621" spans="12:13">
      <c r="L2621" s="394"/>
      <c r="M2621" s="394"/>
    </row>
    <row r="2622" spans="12:13">
      <c r="L2622" s="394"/>
      <c r="M2622" s="394"/>
    </row>
    <row r="2623" spans="12:13">
      <c r="L2623" s="394"/>
      <c r="M2623" s="394"/>
    </row>
    <row r="2624" spans="12:13">
      <c r="L2624" s="394"/>
      <c r="M2624" s="394"/>
    </row>
    <row r="2625" spans="12:13">
      <c r="L2625" s="394"/>
      <c r="M2625" s="394"/>
    </row>
    <row r="2626" spans="12:13">
      <c r="L2626" s="394"/>
      <c r="M2626" s="394"/>
    </row>
    <row r="2627" spans="12:13">
      <c r="L2627" s="394"/>
      <c r="M2627" s="394"/>
    </row>
    <row r="2628" spans="12:13">
      <c r="L2628" s="394"/>
      <c r="M2628" s="394"/>
    </row>
    <row r="2629" spans="12:13">
      <c r="L2629" s="394"/>
      <c r="M2629" s="394"/>
    </row>
    <row r="2630" spans="12:13">
      <c r="L2630" s="394"/>
      <c r="M2630" s="394"/>
    </row>
    <row r="2631" spans="12:13">
      <c r="L2631" s="394"/>
      <c r="M2631" s="394"/>
    </row>
    <row r="2632" spans="12:13">
      <c r="L2632" s="394"/>
      <c r="M2632" s="394"/>
    </row>
    <row r="2633" spans="12:13">
      <c r="L2633" s="394"/>
      <c r="M2633" s="394"/>
    </row>
    <row r="2634" spans="12:13">
      <c r="L2634" s="394"/>
      <c r="M2634" s="394"/>
    </row>
    <row r="2635" spans="12:13">
      <c r="L2635" s="394"/>
      <c r="M2635" s="394"/>
    </row>
    <row r="2636" spans="12:13">
      <c r="L2636" s="394"/>
      <c r="M2636" s="394"/>
    </row>
    <row r="2637" spans="12:13">
      <c r="L2637" s="394"/>
      <c r="M2637" s="394"/>
    </row>
    <row r="2638" spans="12:13">
      <c r="L2638" s="394"/>
      <c r="M2638" s="394"/>
    </row>
    <row r="2639" spans="12:13">
      <c r="L2639" s="394"/>
      <c r="M2639" s="394"/>
    </row>
    <row r="2640" spans="12:13">
      <c r="L2640" s="394"/>
      <c r="M2640" s="394"/>
    </row>
    <row r="2641" spans="12:13">
      <c r="L2641" s="394"/>
      <c r="M2641" s="394"/>
    </row>
    <row r="2642" spans="12:13">
      <c r="L2642" s="394"/>
      <c r="M2642" s="394"/>
    </row>
    <row r="2643" spans="12:13">
      <c r="L2643" s="394"/>
      <c r="M2643" s="394"/>
    </row>
    <row r="2644" spans="12:13">
      <c r="L2644" s="394"/>
      <c r="M2644" s="394"/>
    </row>
    <row r="2645" spans="12:13">
      <c r="L2645" s="394"/>
      <c r="M2645" s="394"/>
    </row>
    <row r="2646" spans="12:13">
      <c r="L2646" s="394"/>
      <c r="M2646" s="394"/>
    </row>
    <row r="2647" spans="12:13">
      <c r="L2647" s="394"/>
      <c r="M2647" s="394"/>
    </row>
    <row r="2648" spans="12:13">
      <c r="L2648" s="394"/>
      <c r="M2648" s="394"/>
    </row>
    <row r="2649" spans="12:13">
      <c r="L2649" s="394"/>
      <c r="M2649" s="394"/>
    </row>
    <row r="2650" spans="12:13">
      <c r="L2650" s="394"/>
      <c r="M2650" s="394"/>
    </row>
    <row r="2651" spans="12:13">
      <c r="L2651" s="394"/>
      <c r="M2651" s="394"/>
    </row>
    <row r="2652" spans="12:13">
      <c r="L2652" s="394"/>
      <c r="M2652" s="394"/>
    </row>
    <row r="2653" spans="12:13">
      <c r="L2653" s="394"/>
      <c r="M2653" s="394"/>
    </row>
    <row r="2654" spans="12:13">
      <c r="L2654" s="394"/>
      <c r="M2654" s="394"/>
    </row>
    <row r="2655" spans="12:13">
      <c r="L2655" s="394"/>
      <c r="M2655" s="394"/>
    </row>
    <row r="2656" spans="12:13">
      <c r="L2656" s="394"/>
      <c r="M2656" s="394"/>
    </row>
    <row r="2657" spans="12:13">
      <c r="L2657" s="394"/>
      <c r="M2657" s="394"/>
    </row>
    <row r="2658" spans="12:13">
      <c r="L2658" s="394"/>
      <c r="M2658" s="394"/>
    </row>
    <row r="2659" spans="12:13">
      <c r="L2659" s="394"/>
      <c r="M2659" s="394"/>
    </row>
    <row r="2660" spans="12:13">
      <c r="L2660" s="394"/>
      <c r="M2660" s="394"/>
    </row>
    <row r="2661" spans="12:13">
      <c r="L2661" s="394"/>
      <c r="M2661" s="394"/>
    </row>
    <row r="2662" spans="12:13">
      <c r="L2662" s="394"/>
      <c r="M2662" s="394"/>
    </row>
    <row r="2663" spans="12:13">
      <c r="L2663" s="394"/>
      <c r="M2663" s="394"/>
    </row>
    <row r="2664" spans="12:13">
      <c r="L2664" s="394"/>
      <c r="M2664" s="394"/>
    </row>
    <row r="2665" spans="12:13">
      <c r="L2665" s="394"/>
      <c r="M2665" s="394"/>
    </row>
    <row r="2666" spans="12:13">
      <c r="L2666" s="394"/>
      <c r="M2666" s="394"/>
    </row>
    <row r="2667" spans="12:13">
      <c r="L2667" s="394"/>
      <c r="M2667" s="394"/>
    </row>
    <row r="2668" spans="12:13">
      <c r="L2668" s="394"/>
      <c r="M2668" s="394"/>
    </row>
    <row r="2669" spans="12:13">
      <c r="L2669" s="394"/>
      <c r="M2669" s="394"/>
    </row>
    <row r="2670" spans="12:13">
      <c r="L2670" s="394"/>
      <c r="M2670" s="394"/>
    </row>
    <row r="2671" spans="12:13">
      <c r="L2671" s="394"/>
      <c r="M2671" s="394"/>
    </row>
  </sheetData>
  <dataValidations count="1">
    <dataValidation type="list" allowBlank="1" showInputMessage="1" showErrorMessage="1" sqref="C5" xr:uid="{00000000-0002-0000-1500-000000000000}">
      <formula1>$P$4:$P$7</formula1>
    </dataValidation>
  </dataValidations>
  <pageMargins left="0.7" right="0.7" top="0.78740157499999996" bottom="0.78740157499999996"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14">
    <tabColor theme="7" tint="0.59999389629810485"/>
  </sheetPr>
  <dimension ref="A1:Q2617"/>
  <sheetViews>
    <sheetView topLeftCell="J127" zoomScaleNormal="100" workbookViewId="0">
      <selection activeCell="R8" sqref="R8"/>
    </sheetView>
  </sheetViews>
  <sheetFormatPr defaultColWidth="11.28515625" defaultRowHeight="15"/>
  <cols>
    <col min="1" max="1" width="11.28515625" style="405"/>
    <col min="2" max="2" width="11.28515625" style="3"/>
    <col min="3" max="3" width="11.28515625" style="388"/>
    <col min="4" max="4" width="15.7109375" style="3" customWidth="1"/>
    <col min="5" max="5" width="12" style="3" customWidth="1"/>
    <col min="6" max="16384" width="11.28515625" style="3"/>
  </cols>
  <sheetData>
    <row r="1" spans="1:17">
      <c r="A1" s="403"/>
      <c r="B1" s="3" t="s">
        <v>916</v>
      </c>
      <c r="D1" s="387">
        <f>_xlfn.VAR.P(C7:C2616)</f>
        <v>1.0698528910503418E-4</v>
      </c>
      <c r="G1" s="388"/>
      <c r="H1" s="387"/>
      <c r="K1" s="388"/>
      <c r="L1" s="387"/>
      <c r="O1" s="388"/>
      <c r="P1" s="387"/>
    </row>
    <row r="2" spans="1:17">
      <c r="A2" s="403"/>
      <c r="B2" s="3" t="s">
        <v>917</v>
      </c>
      <c r="D2" s="387">
        <f>_xlfn.COVARIANCE.P(C7:C2616,E7:E2616)</f>
        <v>1.33768720975645E-4</v>
      </c>
      <c r="G2" s="388"/>
      <c r="H2" s="387"/>
      <c r="K2" s="388"/>
      <c r="L2" s="387"/>
      <c r="O2" s="388"/>
      <c r="P2" s="387"/>
    </row>
    <row r="3" spans="1:17">
      <c r="A3" s="403"/>
      <c r="B3" s="3" t="s">
        <v>27</v>
      </c>
      <c r="D3" s="404">
        <f>D2/D1</f>
        <v>1.2503468663277233</v>
      </c>
      <c r="G3" s="388"/>
      <c r="H3" s="404"/>
      <c r="K3" s="388"/>
      <c r="L3" s="404"/>
      <c r="O3" s="388"/>
      <c r="P3" s="404"/>
      <c r="Q3" s="388"/>
    </row>
    <row r="4" spans="1:17">
      <c r="B4" s="1337" t="s">
        <v>905</v>
      </c>
      <c r="C4" s="1338"/>
      <c r="D4" s="1338"/>
      <c r="E4" s="1339"/>
      <c r="F4" s="1337" t="s">
        <v>902</v>
      </c>
      <c r="G4" s="1338"/>
      <c r="H4" s="1338"/>
      <c r="I4" s="1339"/>
      <c r="J4" s="1337" t="s">
        <v>899</v>
      </c>
      <c r="K4" s="1338"/>
      <c r="L4" s="1338"/>
      <c r="M4" s="1339"/>
      <c r="N4" s="1337" t="s">
        <v>895</v>
      </c>
      <c r="O4" s="1338"/>
      <c r="P4" s="1338"/>
      <c r="Q4" s="1339"/>
    </row>
    <row r="5" spans="1:17">
      <c r="A5" s="1332" t="s">
        <v>918</v>
      </c>
      <c r="B5" s="1334" t="s">
        <v>919</v>
      </c>
      <c r="C5" s="1335"/>
      <c r="D5" s="1334" t="s">
        <v>920</v>
      </c>
      <c r="E5" s="1336"/>
      <c r="F5" s="1334" t="s">
        <v>919</v>
      </c>
      <c r="G5" s="1335"/>
      <c r="H5" s="1334" t="s">
        <v>920</v>
      </c>
      <c r="I5" s="1336"/>
      <c r="J5" s="1334" t="s">
        <v>919</v>
      </c>
      <c r="K5" s="1335"/>
      <c r="L5" s="1334" t="s">
        <v>920</v>
      </c>
      <c r="M5" s="1336"/>
      <c r="N5" s="1334" t="s">
        <v>919</v>
      </c>
      <c r="O5" s="1335"/>
      <c r="P5" s="1334" t="s">
        <v>920</v>
      </c>
      <c r="Q5" s="1336"/>
    </row>
    <row r="6" spans="1:17">
      <c r="A6" s="1333"/>
      <c r="B6" s="995" t="s">
        <v>921</v>
      </c>
      <c r="C6" s="996" t="s">
        <v>922</v>
      </c>
      <c r="D6" s="995" t="s">
        <v>921</v>
      </c>
      <c r="E6" s="996" t="s">
        <v>922</v>
      </c>
      <c r="F6" s="995" t="s">
        <v>921</v>
      </c>
      <c r="G6" s="996" t="s">
        <v>922</v>
      </c>
      <c r="H6" s="995" t="s">
        <v>921</v>
      </c>
      <c r="I6" s="996" t="s">
        <v>922</v>
      </c>
      <c r="J6" s="995" t="s">
        <v>921</v>
      </c>
      <c r="K6" s="996" t="s">
        <v>922</v>
      </c>
      <c r="L6" s="995" t="s">
        <v>921</v>
      </c>
      <c r="M6" s="996" t="s">
        <v>922</v>
      </c>
      <c r="N6" s="995" t="s">
        <v>921</v>
      </c>
      <c r="O6" s="996" t="s">
        <v>922</v>
      </c>
      <c r="P6" s="995" t="s">
        <v>921</v>
      </c>
      <c r="Q6" s="996" t="s">
        <v>922</v>
      </c>
    </row>
    <row r="7" spans="1:17">
      <c r="A7" s="406">
        <f t="array" ref="A7:A2525">_xll.FDS('Delta Beta'!L2,"JULIAN(FG_PRICE(NOW,-10AY).dates)")</f>
        <v>44526</v>
      </c>
      <c r="B7" s="409">
        <f t="array" ref="B7:B2525">_xll.FDS('Delta Beta'!L2,"FG_PRICE(NOW,-10AY)")</f>
        <v>4594.62</v>
      </c>
      <c r="C7" s="412">
        <f>B7/B8-1</f>
        <v>-2.2724855683128209E-2</v>
      </c>
      <c r="D7" s="409">
        <f t="array" ref="D7:D2525">_xll.FDS('Delta Beta'!M2,"FG_PRICE(NOW,-10AY)")</f>
        <v>36.380000000000003</v>
      </c>
      <c r="E7" s="412">
        <f>D7/D8-1</f>
        <v>-8.3396321491559511E-2</v>
      </c>
      <c r="F7" s="409">
        <f t="array" ref="F7:F1267">_xll.FDS('Delta Beta'!L2,"FG_PRICE(NOW,-5AY)")</f>
        <v>4594.62</v>
      </c>
      <c r="G7" s="414">
        <f>F7/F8-1</f>
        <v>-2.2724855683128209E-2</v>
      </c>
      <c r="H7" s="409">
        <f t="array" ref="H7:H1267">_xll.FDS('Delta Beta'!M2,"FG_PRICE(NOW,-5AY)")</f>
        <v>36.380000000000003</v>
      </c>
      <c r="I7" s="414">
        <f>H7/H8-1</f>
        <v>-8.3396321491559511E-2</v>
      </c>
      <c r="J7" s="409">
        <f t="array" ref="J7:J764">_xll.FDS('Delta Beta'!L2,"FG_PRICE(NOW,-3AY)")</f>
        <v>4594.62</v>
      </c>
      <c r="K7" s="414">
        <f>J7/J8-1</f>
        <v>-2.2724855683128209E-2</v>
      </c>
      <c r="L7" s="409">
        <f t="array" ref="L7:L764">_xll.FDS('Delta Beta'!M2,"FG_PRICE(NOW,-3AY)")</f>
        <v>36.380000000000003</v>
      </c>
      <c r="M7" s="414">
        <f>L7/L8-1</f>
        <v>-8.3396321491559511E-2</v>
      </c>
      <c r="N7" s="409">
        <f t="array" ref="N7:N260">_xll.FDS('Delta Beta'!L2,"FG_PRICE(NOW,-1AY)")</f>
        <v>4594.62</v>
      </c>
      <c r="O7" s="414">
        <f>N7/N8-1</f>
        <v>-2.2724855683128209E-2</v>
      </c>
      <c r="P7" s="409">
        <f t="array" ref="P7:P260">_xll.FDS('Delta Beta'!M2,"FG_PRICE(NOW,-1AY)")</f>
        <v>36.380000000000003</v>
      </c>
      <c r="Q7" s="414">
        <f>P7/P8-1</f>
        <v>-8.3396321491559511E-2</v>
      </c>
    </row>
    <row r="8" spans="1:17">
      <c r="A8" s="407">
        <v>44524</v>
      </c>
      <c r="B8" s="410">
        <v>4701.46</v>
      </c>
      <c r="C8" s="417">
        <f t="shared" ref="C8:C71" si="0">B8/B9-1</f>
        <v>2.2939006971240961E-3</v>
      </c>
      <c r="D8" s="410">
        <v>39.69</v>
      </c>
      <c r="E8" s="417">
        <f t="shared" ref="E8:E71" si="1">D8/D9-1</f>
        <v>4.0475588160888698E-3</v>
      </c>
      <c r="F8" s="410">
        <v>4701.46</v>
      </c>
      <c r="G8" s="418">
        <f t="shared" ref="G8:G71" si="2">F8/F9-1</f>
        <v>2.2939006971240961E-3</v>
      </c>
      <c r="H8" s="410">
        <v>39.69</v>
      </c>
      <c r="I8" s="418">
        <f t="shared" ref="I8:I71" si="3">H8/H9-1</f>
        <v>4.0475588160888698E-3</v>
      </c>
      <c r="J8" s="410">
        <v>4701.46</v>
      </c>
      <c r="K8" s="418">
        <f t="shared" ref="K8:K71" si="4">J8/J9-1</f>
        <v>2.2939006971240961E-3</v>
      </c>
      <c r="L8" s="410">
        <v>39.69</v>
      </c>
      <c r="M8" s="418">
        <f t="shared" ref="M8:M71" si="5">L8/L9-1</f>
        <v>4.0475588160888698E-3</v>
      </c>
      <c r="N8" s="410">
        <v>4701.46</v>
      </c>
      <c r="O8" s="418">
        <f t="shared" ref="O8:O71" si="6">N8/N9-1</f>
        <v>2.2939006971240961E-3</v>
      </c>
      <c r="P8" s="410">
        <v>39.69</v>
      </c>
      <c r="Q8" s="418">
        <f t="shared" ref="Q8:Q71" si="7">P8/P9-1</f>
        <v>4.0475588160888698E-3</v>
      </c>
    </row>
    <row r="9" spans="1:17">
      <c r="A9" s="407">
        <v>44523</v>
      </c>
      <c r="B9" s="410">
        <v>4690.7</v>
      </c>
      <c r="C9" s="417">
        <f t="shared" si="0"/>
        <v>1.6570786727996278E-3</v>
      </c>
      <c r="D9" s="410">
        <v>39.53</v>
      </c>
      <c r="E9" s="417">
        <f t="shared" si="1"/>
        <v>-6.0346995222529953E-3</v>
      </c>
      <c r="F9" s="410">
        <v>4690.7</v>
      </c>
      <c r="G9" s="418">
        <f t="shared" si="2"/>
        <v>1.6570786727996278E-3</v>
      </c>
      <c r="H9" s="410">
        <v>39.53</v>
      </c>
      <c r="I9" s="418">
        <f t="shared" si="3"/>
        <v>-6.0346995222529953E-3</v>
      </c>
      <c r="J9" s="410">
        <v>4690.7</v>
      </c>
      <c r="K9" s="418">
        <f t="shared" si="4"/>
        <v>1.6570786727996278E-3</v>
      </c>
      <c r="L9" s="410">
        <v>39.53</v>
      </c>
      <c r="M9" s="418">
        <f t="shared" si="5"/>
        <v>-6.0346995222529953E-3</v>
      </c>
      <c r="N9" s="410">
        <v>4690.7</v>
      </c>
      <c r="O9" s="418">
        <f t="shared" si="6"/>
        <v>1.6570786727996278E-3</v>
      </c>
      <c r="P9" s="410">
        <v>39.53</v>
      </c>
      <c r="Q9" s="418">
        <f t="shared" si="7"/>
        <v>-6.0346995222529953E-3</v>
      </c>
    </row>
    <row r="10" spans="1:17">
      <c r="A10" s="407">
        <v>44522</v>
      </c>
      <c r="B10" s="410">
        <v>4682.9399999999996</v>
      </c>
      <c r="C10" s="417">
        <f t="shared" si="0"/>
        <v>-3.1971323723489764E-3</v>
      </c>
      <c r="D10" s="410">
        <v>39.770000000000003</v>
      </c>
      <c r="E10" s="417">
        <f t="shared" si="1"/>
        <v>2.0156210632402694E-3</v>
      </c>
      <c r="F10" s="410">
        <v>4682.9399999999996</v>
      </c>
      <c r="G10" s="418">
        <f t="shared" si="2"/>
        <v>-3.1971323723489764E-3</v>
      </c>
      <c r="H10" s="410">
        <v>39.770000000000003</v>
      </c>
      <c r="I10" s="418">
        <f t="shared" si="3"/>
        <v>2.0156210632402694E-3</v>
      </c>
      <c r="J10" s="410">
        <v>4682.9399999999996</v>
      </c>
      <c r="K10" s="418">
        <f t="shared" si="4"/>
        <v>-3.1971323723489764E-3</v>
      </c>
      <c r="L10" s="410">
        <v>39.770000000000003</v>
      </c>
      <c r="M10" s="418">
        <f t="shared" si="5"/>
        <v>2.0156210632402694E-3</v>
      </c>
      <c r="N10" s="410">
        <v>4682.9399999999996</v>
      </c>
      <c r="O10" s="418">
        <f t="shared" si="6"/>
        <v>-3.1971323723489764E-3</v>
      </c>
      <c r="P10" s="410">
        <v>39.770000000000003</v>
      </c>
      <c r="Q10" s="418">
        <f t="shared" si="7"/>
        <v>2.0156210632402694E-3</v>
      </c>
    </row>
    <row r="11" spans="1:17">
      <c r="A11" s="407">
        <v>44519</v>
      </c>
      <c r="B11" s="410">
        <v>4697.96</v>
      </c>
      <c r="C11" s="417">
        <f t="shared" si="0"/>
        <v>-1.3986489646171663E-3</v>
      </c>
      <c r="D11" s="410">
        <v>39.69</v>
      </c>
      <c r="E11" s="417">
        <f t="shared" si="1"/>
        <v>-1.071784646061813E-2</v>
      </c>
      <c r="F11" s="410">
        <v>4697.96</v>
      </c>
      <c r="G11" s="418">
        <f t="shared" si="2"/>
        <v>-1.3986489646171663E-3</v>
      </c>
      <c r="H11" s="410">
        <v>39.69</v>
      </c>
      <c r="I11" s="418">
        <f t="shared" si="3"/>
        <v>-1.071784646061813E-2</v>
      </c>
      <c r="J11" s="410">
        <v>4697.96</v>
      </c>
      <c r="K11" s="418">
        <f t="shared" si="4"/>
        <v>-1.3986489646171663E-3</v>
      </c>
      <c r="L11" s="410">
        <v>39.69</v>
      </c>
      <c r="M11" s="418">
        <f t="shared" si="5"/>
        <v>-1.071784646061813E-2</v>
      </c>
      <c r="N11" s="410">
        <v>4697.96</v>
      </c>
      <c r="O11" s="418">
        <f t="shared" si="6"/>
        <v>-1.3986489646171663E-3</v>
      </c>
      <c r="P11" s="410">
        <v>39.69</v>
      </c>
      <c r="Q11" s="418">
        <f t="shared" si="7"/>
        <v>-1.071784646061813E-2</v>
      </c>
    </row>
    <row r="12" spans="1:17">
      <c r="A12" s="407">
        <v>44518</v>
      </c>
      <c r="B12" s="410">
        <v>4704.54</v>
      </c>
      <c r="C12" s="417">
        <f t="shared" si="0"/>
        <v>3.3847551651107199E-3</v>
      </c>
      <c r="D12" s="410">
        <v>40.119999999999997</v>
      </c>
      <c r="E12" s="417">
        <f t="shared" si="1"/>
        <v>-1.449275362318847E-2</v>
      </c>
      <c r="F12" s="410">
        <v>4704.54</v>
      </c>
      <c r="G12" s="418">
        <f t="shared" si="2"/>
        <v>3.3847551651107199E-3</v>
      </c>
      <c r="H12" s="410">
        <v>40.119999999999997</v>
      </c>
      <c r="I12" s="418">
        <f t="shared" si="3"/>
        <v>-1.449275362318847E-2</v>
      </c>
      <c r="J12" s="410">
        <v>4704.54</v>
      </c>
      <c r="K12" s="418">
        <f t="shared" si="4"/>
        <v>3.3847551651107199E-3</v>
      </c>
      <c r="L12" s="410">
        <v>40.119999999999997</v>
      </c>
      <c r="M12" s="418">
        <f t="shared" si="5"/>
        <v>-1.449275362318847E-2</v>
      </c>
      <c r="N12" s="410">
        <v>4704.54</v>
      </c>
      <c r="O12" s="418">
        <f t="shared" si="6"/>
        <v>3.3847551651107199E-3</v>
      </c>
      <c r="P12" s="410">
        <v>40.119999999999997</v>
      </c>
      <c r="Q12" s="418">
        <f t="shared" si="7"/>
        <v>-1.449275362318847E-2</v>
      </c>
    </row>
    <row r="13" spans="1:17">
      <c r="A13" s="407">
        <v>44517</v>
      </c>
      <c r="B13" s="410">
        <v>4688.67</v>
      </c>
      <c r="C13" s="417">
        <f t="shared" si="0"/>
        <v>-2.6016294752068125E-3</v>
      </c>
      <c r="D13" s="410">
        <v>40.71</v>
      </c>
      <c r="E13" s="417">
        <f t="shared" si="1"/>
        <v>-8.0409356725146264E-3</v>
      </c>
      <c r="F13" s="410">
        <v>4688.67</v>
      </c>
      <c r="G13" s="418">
        <f t="shared" si="2"/>
        <v>-2.6016294752068125E-3</v>
      </c>
      <c r="H13" s="410">
        <v>40.71</v>
      </c>
      <c r="I13" s="418">
        <f t="shared" si="3"/>
        <v>-8.0409356725146264E-3</v>
      </c>
      <c r="J13" s="410">
        <v>4688.67</v>
      </c>
      <c r="K13" s="418">
        <f t="shared" si="4"/>
        <v>-2.6016294752068125E-3</v>
      </c>
      <c r="L13" s="410">
        <v>40.71</v>
      </c>
      <c r="M13" s="418">
        <f t="shared" si="5"/>
        <v>-8.0409356725146264E-3</v>
      </c>
      <c r="N13" s="410">
        <v>4688.67</v>
      </c>
      <c r="O13" s="418">
        <f t="shared" si="6"/>
        <v>-2.6016294752068125E-3</v>
      </c>
      <c r="P13" s="410">
        <v>40.71</v>
      </c>
      <c r="Q13" s="418">
        <f t="shared" si="7"/>
        <v>-8.0409356725146264E-3</v>
      </c>
    </row>
    <row r="14" spans="1:17">
      <c r="A14" s="407">
        <v>44516</v>
      </c>
      <c r="B14" s="410">
        <v>4700.8999999999996</v>
      </c>
      <c r="C14" s="417">
        <f t="shared" si="0"/>
        <v>3.8652088494062209E-3</v>
      </c>
      <c r="D14" s="410">
        <v>41.04</v>
      </c>
      <c r="E14" s="417">
        <f t="shared" si="1"/>
        <v>-3.1618688060405908E-2</v>
      </c>
      <c r="F14" s="410">
        <v>4700.8999999999996</v>
      </c>
      <c r="G14" s="418">
        <f t="shared" si="2"/>
        <v>3.8652088494062209E-3</v>
      </c>
      <c r="H14" s="410">
        <v>41.04</v>
      </c>
      <c r="I14" s="418">
        <f t="shared" si="3"/>
        <v>-3.1618688060405908E-2</v>
      </c>
      <c r="J14" s="410">
        <v>4700.8999999999996</v>
      </c>
      <c r="K14" s="418">
        <f t="shared" si="4"/>
        <v>3.8652088494062209E-3</v>
      </c>
      <c r="L14" s="410">
        <v>41.04</v>
      </c>
      <c r="M14" s="418">
        <f t="shared" si="5"/>
        <v>-3.1618688060405908E-2</v>
      </c>
      <c r="N14" s="410">
        <v>4700.8999999999996</v>
      </c>
      <c r="O14" s="418">
        <f t="shared" si="6"/>
        <v>3.8652088494062209E-3</v>
      </c>
      <c r="P14" s="410">
        <v>41.04</v>
      </c>
      <c r="Q14" s="418">
        <f t="shared" si="7"/>
        <v>-3.1618688060405908E-2</v>
      </c>
    </row>
    <row r="15" spans="1:17">
      <c r="A15" s="407">
        <v>44515</v>
      </c>
      <c r="B15" s="410">
        <v>4682.8</v>
      </c>
      <c r="C15" s="417">
        <f t="shared" si="0"/>
        <v>-1.0677258507119092E-5</v>
      </c>
      <c r="D15" s="410">
        <v>42.38</v>
      </c>
      <c r="E15" s="417">
        <f t="shared" si="1"/>
        <v>3.7896731406916739E-3</v>
      </c>
      <c r="F15" s="410">
        <v>4682.8</v>
      </c>
      <c r="G15" s="418">
        <f t="shared" si="2"/>
        <v>-1.0677258507119092E-5</v>
      </c>
      <c r="H15" s="410">
        <v>42.38</v>
      </c>
      <c r="I15" s="418">
        <f t="shared" si="3"/>
        <v>3.7896731406916739E-3</v>
      </c>
      <c r="J15" s="410">
        <v>4682.8</v>
      </c>
      <c r="K15" s="418">
        <f t="shared" si="4"/>
        <v>-1.0677258507119092E-5</v>
      </c>
      <c r="L15" s="410">
        <v>42.38</v>
      </c>
      <c r="M15" s="418">
        <f t="shared" si="5"/>
        <v>3.7896731406916739E-3</v>
      </c>
      <c r="N15" s="410">
        <v>4682.8</v>
      </c>
      <c r="O15" s="418">
        <f t="shared" si="6"/>
        <v>-1.0677258507119092E-5</v>
      </c>
      <c r="P15" s="410">
        <v>42.38</v>
      </c>
      <c r="Q15" s="418">
        <f t="shared" si="7"/>
        <v>3.7896731406916739E-3</v>
      </c>
    </row>
    <row r="16" spans="1:17">
      <c r="A16" s="407">
        <v>44512</v>
      </c>
      <c r="B16" s="410">
        <v>4682.8500000000004</v>
      </c>
      <c r="C16" s="417">
        <f t="shared" si="0"/>
        <v>7.2226392530441164E-3</v>
      </c>
      <c r="D16" s="410">
        <v>42.22</v>
      </c>
      <c r="E16" s="417">
        <f t="shared" si="1"/>
        <v>-2.8308400460299254E-2</v>
      </c>
      <c r="F16" s="410">
        <v>4682.8500000000004</v>
      </c>
      <c r="G16" s="418">
        <f t="shared" si="2"/>
        <v>7.2226392530441164E-3</v>
      </c>
      <c r="H16" s="410">
        <v>42.22</v>
      </c>
      <c r="I16" s="418">
        <f t="shared" si="3"/>
        <v>-2.8308400460299254E-2</v>
      </c>
      <c r="J16" s="410">
        <v>4682.8500000000004</v>
      </c>
      <c r="K16" s="418">
        <f t="shared" si="4"/>
        <v>7.2226392530441164E-3</v>
      </c>
      <c r="L16" s="410">
        <v>42.22</v>
      </c>
      <c r="M16" s="418">
        <f t="shared" si="5"/>
        <v>-2.8308400460299254E-2</v>
      </c>
      <c r="N16" s="410">
        <v>4682.8500000000004</v>
      </c>
      <c r="O16" s="418">
        <f t="shared" si="6"/>
        <v>7.2226392530441164E-3</v>
      </c>
      <c r="P16" s="410">
        <v>42.22</v>
      </c>
      <c r="Q16" s="418">
        <f t="shared" si="7"/>
        <v>-2.8308400460299254E-2</v>
      </c>
    </row>
    <row r="17" spans="1:17">
      <c r="A17" s="407">
        <v>44511</v>
      </c>
      <c r="B17" s="410">
        <v>4649.2700000000004</v>
      </c>
      <c r="C17" s="417">
        <f t="shared" si="0"/>
        <v>5.5092743037565839E-4</v>
      </c>
      <c r="D17" s="410">
        <v>43.45</v>
      </c>
      <c r="E17" s="417">
        <f t="shared" si="1"/>
        <v>-5.9482955845343577E-3</v>
      </c>
      <c r="F17" s="410">
        <v>4649.2700000000004</v>
      </c>
      <c r="G17" s="418">
        <f t="shared" si="2"/>
        <v>5.5092743037565839E-4</v>
      </c>
      <c r="H17" s="410">
        <v>43.45</v>
      </c>
      <c r="I17" s="418">
        <f t="shared" si="3"/>
        <v>-5.9482955845343577E-3</v>
      </c>
      <c r="J17" s="410">
        <v>4649.2700000000004</v>
      </c>
      <c r="K17" s="418">
        <f t="shared" si="4"/>
        <v>5.5092743037565839E-4</v>
      </c>
      <c r="L17" s="410">
        <v>43.45</v>
      </c>
      <c r="M17" s="418">
        <f t="shared" si="5"/>
        <v>-5.9482955845343577E-3</v>
      </c>
      <c r="N17" s="410">
        <v>4649.2700000000004</v>
      </c>
      <c r="O17" s="418">
        <f t="shared" si="6"/>
        <v>5.5092743037565839E-4</v>
      </c>
      <c r="P17" s="410">
        <v>43.45</v>
      </c>
      <c r="Q17" s="418">
        <f t="shared" si="7"/>
        <v>-5.9482955845343577E-3</v>
      </c>
    </row>
    <row r="18" spans="1:17">
      <c r="A18" s="407">
        <v>44510</v>
      </c>
      <c r="B18" s="410">
        <v>4646.71</v>
      </c>
      <c r="C18" s="417">
        <f t="shared" si="0"/>
        <v>-8.2258150578944367E-3</v>
      </c>
      <c r="D18" s="410">
        <v>43.71</v>
      </c>
      <c r="E18" s="417">
        <f t="shared" si="1"/>
        <v>-1.8414551987424255E-2</v>
      </c>
      <c r="F18" s="410">
        <v>4646.71</v>
      </c>
      <c r="G18" s="418">
        <f t="shared" si="2"/>
        <v>-8.2258150578944367E-3</v>
      </c>
      <c r="H18" s="410">
        <v>43.71</v>
      </c>
      <c r="I18" s="418">
        <f t="shared" si="3"/>
        <v>-1.8414551987424255E-2</v>
      </c>
      <c r="J18" s="410">
        <v>4646.71</v>
      </c>
      <c r="K18" s="418">
        <f t="shared" si="4"/>
        <v>-8.2258150578944367E-3</v>
      </c>
      <c r="L18" s="410">
        <v>43.71</v>
      </c>
      <c r="M18" s="418">
        <f t="shared" si="5"/>
        <v>-1.8414551987424255E-2</v>
      </c>
      <c r="N18" s="410">
        <v>4646.71</v>
      </c>
      <c r="O18" s="418">
        <f t="shared" si="6"/>
        <v>-8.2258150578944367E-3</v>
      </c>
      <c r="P18" s="410">
        <v>43.71</v>
      </c>
      <c r="Q18" s="418">
        <f t="shared" si="7"/>
        <v>-1.8414551987424255E-2</v>
      </c>
    </row>
    <row r="19" spans="1:17">
      <c r="A19" s="407">
        <v>44509</v>
      </c>
      <c r="B19" s="410">
        <v>4685.25</v>
      </c>
      <c r="C19" s="417">
        <f t="shared" si="0"/>
        <v>-3.4987345002870374E-3</v>
      </c>
      <c r="D19" s="410">
        <v>44.53</v>
      </c>
      <c r="E19" s="417">
        <f t="shared" si="1"/>
        <v>-2.6875699888017079E-3</v>
      </c>
      <c r="F19" s="410">
        <v>4685.25</v>
      </c>
      <c r="G19" s="418">
        <f t="shared" si="2"/>
        <v>-3.4987345002870374E-3</v>
      </c>
      <c r="H19" s="410">
        <v>44.53</v>
      </c>
      <c r="I19" s="418">
        <f t="shared" si="3"/>
        <v>-2.6875699888017079E-3</v>
      </c>
      <c r="J19" s="410">
        <v>4685.25</v>
      </c>
      <c r="K19" s="418">
        <f t="shared" si="4"/>
        <v>-3.4987345002870374E-3</v>
      </c>
      <c r="L19" s="410">
        <v>44.53</v>
      </c>
      <c r="M19" s="418">
        <f t="shared" si="5"/>
        <v>-2.6875699888017079E-3</v>
      </c>
      <c r="N19" s="410">
        <v>4685.25</v>
      </c>
      <c r="O19" s="418">
        <f t="shared" si="6"/>
        <v>-3.4987345002870374E-3</v>
      </c>
      <c r="P19" s="410">
        <v>44.53</v>
      </c>
      <c r="Q19" s="418">
        <f t="shared" si="7"/>
        <v>-2.6875699888017079E-3</v>
      </c>
    </row>
    <row r="20" spans="1:17">
      <c r="A20" s="407">
        <v>44508</v>
      </c>
      <c r="B20" s="410">
        <v>4701.7</v>
      </c>
      <c r="C20" s="417">
        <f t="shared" si="0"/>
        <v>8.8770055752696031E-4</v>
      </c>
      <c r="D20" s="410">
        <v>44.65</v>
      </c>
      <c r="E20" s="417">
        <f t="shared" si="1"/>
        <v>8.1282456536464487E-3</v>
      </c>
      <c r="F20" s="410">
        <v>4701.7</v>
      </c>
      <c r="G20" s="418">
        <f t="shared" si="2"/>
        <v>8.8770055752696031E-4</v>
      </c>
      <c r="H20" s="410">
        <v>44.65</v>
      </c>
      <c r="I20" s="418">
        <f t="shared" si="3"/>
        <v>8.1282456536464487E-3</v>
      </c>
      <c r="J20" s="410">
        <v>4701.7</v>
      </c>
      <c r="K20" s="418">
        <f t="shared" si="4"/>
        <v>8.8770055752696031E-4</v>
      </c>
      <c r="L20" s="410">
        <v>44.65</v>
      </c>
      <c r="M20" s="418">
        <f t="shared" si="5"/>
        <v>8.1282456536464487E-3</v>
      </c>
      <c r="N20" s="410">
        <v>4701.7</v>
      </c>
      <c r="O20" s="418">
        <f t="shared" si="6"/>
        <v>8.8770055752696031E-4</v>
      </c>
      <c r="P20" s="410">
        <v>44.65</v>
      </c>
      <c r="Q20" s="418">
        <f t="shared" si="7"/>
        <v>8.1282456536464487E-3</v>
      </c>
    </row>
    <row r="21" spans="1:17">
      <c r="A21" s="407">
        <v>44505</v>
      </c>
      <c r="B21" s="410">
        <v>4697.53</v>
      </c>
      <c r="C21" s="417">
        <f t="shared" si="0"/>
        <v>3.7328581257503046E-3</v>
      </c>
      <c r="D21" s="410">
        <v>44.29</v>
      </c>
      <c r="E21" s="417">
        <f t="shared" si="1"/>
        <v>8.0507440839229005E-2</v>
      </c>
      <c r="F21" s="410">
        <v>4697.53</v>
      </c>
      <c r="G21" s="418">
        <f t="shared" si="2"/>
        <v>3.7328581257503046E-3</v>
      </c>
      <c r="H21" s="410">
        <v>44.29</v>
      </c>
      <c r="I21" s="418">
        <f t="shared" si="3"/>
        <v>8.0507440839229005E-2</v>
      </c>
      <c r="J21" s="410">
        <v>4697.53</v>
      </c>
      <c r="K21" s="418">
        <f t="shared" si="4"/>
        <v>3.7328581257503046E-3</v>
      </c>
      <c r="L21" s="410">
        <v>44.29</v>
      </c>
      <c r="M21" s="418">
        <f t="shared" si="5"/>
        <v>8.0507440839229005E-2</v>
      </c>
      <c r="N21" s="410">
        <v>4697.53</v>
      </c>
      <c r="O21" s="418">
        <f t="shared" si="6"/>
        <v>3.7328581257503046E-3</v>
      </c>
      <c r="P21" s="410">
        <v>44.29</v>
      </c>
      <c r="Q21" s="418">
        <f t="shared" si="7"/>
        <v>8.0507440839229005E-2</v>
      </c>
    </row>
    <row r="22" spans="1:17">
      <c r="A22" s="407">
        <v>44504</v>
      </c>
      <c r="B22" s="410">
        <v>4680.0600000000004</v>
      </c>
      <c r="C22" s="417">
        <f t="shared" si="0"/>
        <v>4.1818919145084621E-3</v>
      </c>
      <c r="D22" s="410">
        <v>40.99</v>
      </c>
      <c r="E22" s="417">
        <f t="shared" si="1"/>
        <v>-6.0620756547041799E-3</v>
      </c>
      <c r="F22" s="410">
        <v>4680.0600000000004</v>
      </c>
      <c r="G22" s="418">
        <f t="shared" si="2"/>
        <v>4.1818919145084621E-3</v>
      </c>
      <c r="H22" s="410">
        <v>40.99</v>
      </c>
      <c r="I22" s="418">
        <f t="shared" si="3"/>
        <v>-6.0620756547041799E-3</v>
      </c>
      <c r="J22" s="410">
        <v>4680.0600000000004</v>
      </c>
      <c r="K22" s="418">
        <f t="shared" si="4"/>
        <v>4.1818919145084621E-3</v>
      </c>
      <c r="L22" s="410">
        <v>40.99</v>
      </c>
      <c r="M22" s="418">
        <f t="shared" si="5"/>
        <v>-6.0620756547041799E-3</v>
      </c>
      <c r="N22" s="410">
        <v>4680.0600000000004</v>
      </c>
      <c r="O22" s="418">
        <f t="shared" si="6"/>
        <v>4.1818919145084621E-3</v>
      </c>
      <c r="P22" s="410">
        <v>40.99</v>
      </c>
      <c r="Q22" s="418">
        <f t="shared" si="7"/>
        <v>-6.0620756547041799E-3</v>
      </c>
    </row>
    <row r="23" spans="1:17">
      <c r="A23" s="407">
        <v>44503</v>
      </c>
      <c r="B23" s="410">
        <v>4660.57</v>
      </c>
      <c r="C23" s="417">
        <f t="shared" si="0"/>
        <v>6.4612959303769202E-3</v>
      </c>
      <c r="D23" s="410">
        <v>41.24</v>
      </c>
      <c r="E23" s="417">
        <f t="shared" si="1"/>
        <v>2.104481307254269E-2</v>
      </c>
      <c r="F23" s="410">
        <v>4660.57</v>
      </c>
      <c r="G23" s="418">
        <f t="shared" si="2"/>
        <v>6.4612959303769202E-3</v>
      </c>
      <c r="H23" s="410">
        <v>41.24</v>
      </c>
      <c r="I23" s="418">
        <f t="shared" si="3"/>
        <v>2.104481307254269E-2</v>
      </c>
      <c r="J23" s="410">
        <v>4660.57</v>
      </c>
      <c r="K23" s="418">
        <f t="shared" si="4"/>
        <v>6.4612959303769202E-3</v>
      </c>
      <c r="L23" s="410">
        <v>41.24</v>
      </c>
      <c r="M23" s="418">
        <f t="shared" si="5"/>
        <v>2.104481307254269E-2</v>
      </c>
      <c r="N23" s="410">
        <v>4660.57</v>
      </c>
      <c r="O23" s="418">
        <f t="shared" si="6"/>
        <v>6.4612959303769202E-3</v>
      </c>
      <c r="P23" s="410">
        <v>41.24</v>
      </c>
      <c r="Q23" s="418">
        <f t="shared" si="7"/>
        <v>2.104481307254269E-2</v>
      </c>
    </row>
    <row r="24" spans="1:17">
      <c r="A24" s="407">
        <v>44502</v>
      </c>
      <c r="B24" s="410">
        <v>4630.6499999999996</v>
      </c>
      <c r="C24" s="417">
        <f t="shared" si="0"/>
        <v>3.6803672564356127E-3</v>
      </c>
      <c r="D24" s="410">
        <v>40.39</v>
      </c>
      <c r="E24" s="417">
        <f t="shared" si="1"/>
        <v>-7.4220682830283824E-4</v>
      </c>
      <c r="F24" s="410">
        <v>4630.6499999999996</v>
      </c>
      <c r="G24" s="418">
        <f t="shared" si="2"/>
        <v>3.6803672564356127E-3</v>
      </c>
      <c r="H24" s="410">
        <v>40.39</v>
      </c>
      <c r="I24" s="418">
        <f t="shared" si="3"/>
        <v>-7.4220682830283824E-4</v>
      </c>
      <c r="J24" s="410">
        <v>4630.6499999999996</v>
      </c>
      <c r="K24" s="418">
        <f t="shared" si="4"/>
        <v>3.6803672564356127E-3</v>
      </c>
      <c r="L24" s="410">
        <v>40.39</v>
      </c>
      <c r="M24" s="418">
        <f t="shared" si="5"/>
        <v>-7.4220682830283824E-4</v>
      </c>
      <c r="N24" s="410">
        <v>4630.6499999999996</v>
      </c>
      <c r="O24" s="418">
        <f t="shared" si="6"/>
        <v>3.6803672564356127E-3</v>
      </c>
      <c r="P24" s="410">
        <v>40.39</v>
      </c>
      <c r="Q24" s="418">
        <f t="shared" si="7"/>
        <v>-7.4220682830283824E-4</v>
      </c>
    </row>
    <row r="25" spans="1:17">
      <c r="A25" s="407">
        <v>44501</v>
      </c>
      <c r="B25" s="410">
        <v>4613.67</v>
      </c>
      <c r="C25" s="417">
        <f t="shared" si="0"/>
        <v>1.8000686154020507E-3</v>
      </c>
      <c r="D25" s="410">
        <v>40.42</v>
      </c>
      <c r="E25" s="417">
        <f t="shared" si="1"/>
        <v>3.296703296703285E-2</v>
      </c>
      <c r="F25" s="410">
        <v>4613.67</v>
      </c>
      <c r="G25" s="418">
        <f t="shared" si="2"/>
        <v>1.8000686154020507E-3</v>
      </c>
      <c r="H25" s="410">
        <v>40.42</v>
      </c>
      <c r="I25" s="418">
        <f t="shared" si="3"/>
        <v>3.296703296703285E-2</v>
      </c>
      <c r="J25" s="410">
        <v>4613.67</v>
      </c>
      <c r="K25" s="418">
        <f t="shared" si="4"/>
        <v>1.8000686154020507E-3</v>
      </c>
      <c r="L25" s="410">
        <v>40.42</v>
      </c>
      <c r="M25" s="418">
        <f t="shared" si="5"/>
        <v>3.296703296703285E-2</v>
      </c>
      <c r="N25" s="410">
        <v>4613.67</v>
      </c>
      <c r="O25" s="418">
        <f t="shared" si="6"/>
        <v>1.8000686154020507E-3</v>
      </c>
      <c r="P25" s="410">
        <v>40.42</v>
      </c>
      <c r="Q25" s="418">
        <f t="shared" si="7"/>
        <v>3.296703296703285E-2</v>
      </c>
    </row>
    <row r="26" spans="1:17">
      <c r="A26" s="407">
        <v>44498</v>
      </c>
      <c r="B26" s="410">
        <v>4605.38</v>
      </c>
      <c r="C26" s="417">
        <f t="shared" si="0"/>
        <v>1.9493431844783693E-3</v>
      </c>
      <c r="D26" s="410">
        <v>39.130000000000003</v>
      </c>
      <c r="E26" s="417">
        <f t="shared" si="1"/>
        <v>-5.1085568326936226E-4</v>
      </c>
      <c r="F26" s="410">
        <v>4605.38</v>
      </c>
      <c r="G26" s="418">
        <f t="shared" si="2"/>
        <v>1.9493431844783693E-3</v>
      </c>
      <c r="H26" s="410">
        <v>39.130000000000003</v>
      </c>
      <c r="I26" s="418">
        <f t="shared" si="3"/>
        <v>-5.1085568326936226E-4</v>
      </c>
      <c r="J26" s="410">
        <v>4605.38</v>
      </c>
      <c r="K26" s="418">
        <f t="shared" si="4"/>
        <v>1.9493431844783693E-3</v>
      </c>
      <c r="L26" s="410">
        <v>39.130000000000003</v>
      </c>
      <c r="M26" s="418">
        <f t="shared" si="5"/>
        <v>-5.1085568326936226E-4</v>
      </c>
      <c r="N26" s="410">
        <v>4605.38</v>
      </c>
      <c r="O26" s="418">
        <f t="shared" si="6"/>
        <v>1.9493431844783693E-3</v>
      </c>
      <c r="P26" s="410">
        <v>39.130000000000003</v>
      </c>
      <c r="Q26" s="418">
        <f t="shared" si="7"/>
        <v>-5.1085568326936226E-4</v>
      </c>
    </row>
    <row r="27" spans="1:17">
      <c r="A27" s="407">
        <v>44497</v>
      </c>
      <c r="B27" s="410">
        <v>4596.42</v>
      </c>
      <c r="C27" s="417">
        <f t="shared" si="0"/>
        <v>9.8293377390326064E-3</v>
      </c>
      <c r="D27" s="410">
        <v>39.15</v>
      </c>
      <c r="E27" s="417">
        <f t="shared" si="1"/>
        <v>2.0476068594830199E-3</v>
      </c>
      <c r="F27" s="410">
        <v>4596.42</v>
      </c>
      <c r="G27" s="418">
        <f t="shared" si="2"/>
        <v>9.8293377390326064E-3</v>
      </c>
      <c r="H27" s="410">
        <v>39.15</v>
      </c>
      <c r="I27" s="418">
        <f t="shared" si="3"/>
        <v>2.0476068594830199E-3</v>
      </c>
      <c r="J27" s="410">
        <v>4596.42</v>
      </c>
      <c r="K27" s="418">
        <f t="shared" si="4"/>
        <v>9.8293377390326064E-3</v>
      </c>
      <c r="L27" s="410">
        <v>39.15</v>
      </c>
      <c r="M27" s="418">
        <f t="shared" si="5"/>
        <v>2.0476068594830199E-3</v>
      </c>
      <c r="N27" s="410">
        <v>4596.42</v>
      </c>
      <c r="O27" s="418">
        <f t="shared" si="6"/>
        <v>9.8293377390326064E-3</v>
      </c>
      <c r="P27" s="410">
        <v>39.15</v>
      </c>
      <c r="Q27" s="418">
        <f t="shared" si="7"/>
        <v>2.0476068594830199E-3</v>
      </c>
    </row>
    <row r="28" spans="1:17">
      <c r="A28" s="407">
        <v>44496</v>
      </c>
      <c r="B28" s="410">
        <v>4551.68</v>
      </c>
      <c r="C28" s="417">
        <f t="shared" si="0"/>
        <v>-5.0515979968478453E-3</v>
      </c>
      <c r="D28" s="410">
        <v>39.07</v>
      </c>
      <c r="E28" s="417">
        <f t="shared" si="1"/>
        <v>-1.6116847141777857E-2</v>
      </c>
      <c r="F28" s="410">
        <v>4551.68</v>
      </c>
      <c r="G28" s="418">
        <f t="shared" si="2"/>
        <v>-5.0515979968478453E-3</v>
      </c>
      <c r="H28" s="410">
        <v>39.07</v>
      </c>
      <c r="I28" s="418">
        <f t="shared" si="3"/>
        <v>-1.6116847141777857E-2</v>
      </c>
      <c r="J28" s="410">
        <v>4551.68</v>
      </c>
      <c r="K28" s="418">
        <f t="shared" si="4"/>
        <v>-5.0515979968478453E-3</v>
      </c>
      <c r="L28" s="410">
        <v>39.07</v>
      </c>
      <c r="M28" s="418">
        <f t="shared" si="5"/>
        <v>-1.6116847141777857E-2</v>
      </c>
      <c r="N28" s="410">
        <v>4551.68</v>
      </c>
      <c r="O28" s="418">
        <f t="shared" si="6"/>
        <v>-5.0515979968478453E-3</v>
      </c>
      <c r="P28" s="410">
        <v>39.07</v>
      </c>
      <c r="Q28" s="418">
        <f t="shared" si="7"/>
        <v>-1.6116847141777857E-2</v>
      </c>
    </row>
    <row r="29" spans="1:17">
      <c r="A29" s="407">
        <v>44495</v>
      </c>
      <c r="B29" s="410">
        <v>4574.79</v>
      </c>
      <c r="C29" s="417">
        <f t="shared" si="0"/>
        <v>1.8197824144636776E-3</v>
      </c>
      <c r="D29" s="410">
        <v>39.71</v>
      </c>
      <c r="E29" s="417">
        <f t="shared" si="1"/>
        <v>5.0620096178184415E-3</v>
      </c>
      <c r="F29" s="410">
        <v>4574.79</v>
      </c>
      <c r="G29" s="418">
        <f t="shared" si="2"/>
        <v>1.8197824144636776E-3</v>
      </c>
      <c r="H29" s="410">
        <v>39.71</v>
      </c>
      <c r="I29" s="418">
        <f t="shared" si="3"/>
        <v>5.0620096178184415E-3</v>
      </c>
      <c r="J29" s="410">
        <v>4574.79</v>
      </c>
      <c r="K29" s="418">
        <f t="shared" si="4"/>
        <v>1.8197824144636776E-3</v>
      </c>
      <c r="L29" s="410">
        <v>39.71</v>
      </c>
      <c r="M29" s="418">
        <f t="shared" si="5"/>
        <v>5.0620096178184415E-3</v>
      </c>
      <c r="N29" s="410">
        <v>4574.79</v>
      </c>
      <c r="O29" s="418">
        <f t="shared" si="6"/>
        <v>1.8197824144636776E-3</v>
      </c>
      <c r="P29" s="410">
        <v>39.71</v>
      </c>
      <c r="Q29" s="418">
        <f t="shared" si="7"/>
        <v>5.0620096178184415E-3</v>
      </c>
    </row>
    <row r="30" spans="1:17">
      <c r="A30" s="407">
        <v>44494</v>
      </c>
      <c r="B30" s="410">
        <v>4566.4799999999996</v>
      </c>
      <c r="C30" s="417">
        <f t="shared" si="0"/>
        <v>4.7481792778718557E-3</v>
      </c>
      <c r="D30" s="410">
        <v>39.51</v>
      </c>
      <c r="E30" s="417">
        <f t="shared" si="1"/>
        <v>-5.7876195269250807E-3</v>
      </c>
      <c r="F30" s="410">
        <v>4566.4799999999996</v>
      </c>
      <c r="G30" s="418">
        <f t="shared" si="2"/>
        <v>4.7481792778718557E-3</v>
      </c>
      <c r="H30" s="410">
        <v>39.51</v>
      </c>
      <c r="I30" s="418">
        <f t="shared" si="3"/>
        <v>-5.7876195269250807E-3</v>
      </c>
      <c r="J30" s="410">
        <v>4566.4799999999996</v>
      </c>
      <c r="K30" s="418">
        <f t="shared" si="4"/>
        <v>4.7481792778718557E-3</v>
      </c>
      <c r="L30" s="410">
        <v>39.51</v>
      </c>
      <c r="M30" s="418">
        <f t="shared" si="5"/>
        <v>-5.7876195269250807E-3</v>
      </c>
      <c r="N30" s="410">
        <v>4566.4799999999996</v>
      </c>
      <c r="O30" s="418">
        <f t="shared" si="6"/>
        <v>4.7481792778718557E-3</v>
      </c>
      <c r="P30" s="410">
        <v>39.51</v>
      </c>
      <c r="Q30" s="418">
        <f t="shared" si="7"/>
        <v>-5.7876195269250807E-3</v>
      </c>
    </row>
    <row r="31" spans="1:17">
      <c r="A31" s="407">
        <v>44491</v>
      </c>
      <c r="B31" s="410">
        <v>4544.8999999999996</v>
      </c>
      <c r="C31" s="417">
        <f t="shared" si="0"/>
        <v>-1.0725793335062406E-3</v>
      </c>
      <c r="D31" s="410">
        <v>39.74</v>
      </c>
      <c r="E31" s="417">
        <f t="shared" si="1"/>
        <v>-1.633663366336624E-2</v>
      </c>
      <c r="F31" s="410">
        <v>4544.8999999999996</v>
      </c>
      <c r="G31" s="418">
        <f t="shared" si="2"/>
        <v>-1.0725793335062406E-3</v>
      </c>
      <c r="H31" s="410">
        <v>39.74</v>
      </c>
      <c r="I31" s="418">
        <f t="shared" si="3"/>
        <v>-1.633663366336624E-2</v>
      </c>
      <c r="J31" s="410">
        <v>4544.8999999999996</v>
      </c>
      <c r="K31" s="418">
        <f t="shared" si="4"/>
        <v>-1.0725793335062406E-3</v>
      </c>
      <c r="L31" s="410">
        <v>39.74</v>
      </c>
      <c r="M31" s="418">
        <f t="shared" si="5"/>
        <v>-1.633663366336624E-2</v>
      </c>
      <c r="N31" s="410">
        <v>4544.8999999999996</v>
      </c>
      <c r="O31" s="418">
        <f t="shared" si="6"/>
        <v>-1.0725793335062406E-3</v>
      </c>
      <c r="P31" s="410">
        <v>39.74</v>
      </c>
      <c r="Q31" s="418">
        <f t="shared" si="7"/>
        <v>-1.633663366336624E-2</v>
      </c>
    </row>
    <row r="32" spans="1:17">
      <c r="A32" s="407">
        <v>44490</v>
      </c>
      <c r="B32" s="410">
        <v>4549.78</v>
      </c>
      <c r="C32" s="417">
        <f t="shared" si="0"/>
        <v>2.995906256131331E-3</v>
      </c>
      <c r="D32" s="410">
        <v>40.4</v>
      </c>
      <c r="E32" s="417">
        <f t="shared" si="1"/>
        <v>2.4813895781639062E-3</v>
      </c>
      <c r="F32" s="410">
        <v>4549.78</v>
      </c>
      <c r="G32" s="418">
        <f t="shared" si="2"/>
        <v>2.995906256131331E-3</v>
      </c>
      <c r="H32" s="410">
        <v>40.4</v>
      </c>
      <c r="I32" s="418">
        <f t="shared" si="3"/>
        <v>2.4813895781639062E-3</v>
      </c>
      <c r="J32" s="410">
        <v>4549.78</v>
      </c>
      <c r="K32" s="418">
        <f t="shared" si="4"/>
        <v>2.995906256131331E-3</v>
      </c>
      <c r="L32" s="410">
        <v>40.4</v>
      </c>
      <c r="M32" s="418">
        <f t="shared" si="5"/>
        <v>2.4813895781639062E-3</v>
      </c>
      <c r="N32" s="410">
        <v>4549.78</v>
      </c>
      <c r="O32" s="418">
        <f t="shared" si="6"/>
        <v>2.995906256131331E-3</v>
      </c>
      <c r="P32" s="410">
        <v>40.4</v>
      </c>
      <c r="Q32" s="418">
        <f t="shared" si="7"/>
        <v>2.4813895781639062E-3</v>
      </c>
    </row>
    <row r="33" spans="1:17">
      <c r="A33" s="407">
        <v>44489</v>
      </c>
      <c r="B33" s="410">
        <v>4536.1899999999996</v>
      </c>
      <c r="C33" s="417">
        <f t="shared" si="0"/>
        <v>3.6640167447334893E-3</v>
      </c>
      <c r="D33" s="410">
        <v>40.299999999999997</v>
      </c>
      <c r="E33" s="417">
        <f t="shared" si="1"/>
        <v>-3.7082818294191799E-3</v>
      </c>
      <c r="F33" s="410">
        <v>4536.1899999999996</v>
      </c>
      <c r="G33" s="418">
        <f t="shared" si="2"/>
        <v>3.6640167447334893E-3</v>
      </c>
      <c r="H33" s="410">
        <v>40.299999999999997</v>
      </c>
      <c r="I33" s="418">
        <f t="shared" si="3"/>
        <v>-3.7082818294191799E-3</v>
      </c>
      <c r="J33" s="410">
        <v>4536.1899999999996</v>
      </c>
      <c r="K33" s="418">
        <f t="shared" si="4"/>
        <v>3.6640167447334893E-3</v>
      </c>
      <c r="L33" s="410">
        <v>40.299999999999997</v>
      </c>
      <c r="M33" s="418">
        <f t="shared" si="5"/>
        <v>-3.7082818294191799E-3</v>
      </c>
      <c r="N33" s="410">
        <v>4536.1899999999996</v>
      </c>
      <c r="O33" s="418">
        <f t="shared" si="6"/>
        <v>3.6640167447334893E-3</v>
      </c>
      <c r="P33" s="410">
        <v>40.299999999999997</v>
      </c>
      <c r="Q33" s="418">
        <f t="shared" si="7"/>
        <v>-3.7082818294191799E-3</v>
      </c>
    </row>
    <row r="34" spans="1:17">
      <c r="A34" s="407">
        <v>44488</v>
      </c>
      <c r="B34" s="410">
        <v>4519.63</v>
      </c>
      <c r="C34" s="417">
        <f t="shared" si="0"/>
        <v>7.3933569005406596E-3</v>
      </c>
      <c r="D34" s="410">
        <v>40.450000000000003</v>
      </c>
      <c r="E34" s="417">
        <f t="shared" si="1"/>
        <v>-1.3655206047305413E-2</v>
      </c>
      <c r="F34" s="410">
        <v>4519.63</v>
      </c>
      <c r="G34" s="418">
        <f t="shared" si="2"/>
        <v>7.3933569005406596E-3</v>
      </c>
      <c r="H34" s="410">
        <v>40.450000000000003</v>
      </c>
      <c r="I34" s="418">
        <f t="shared" si="3"/>
        <v>-1.3655206047305413E-2</v>
      </c>
      <c r="J34" s="410">
        <v>4519.63</v>
      </c>
      <c r="K34" s="418">
        <f t="shared" si="4"/>
        <v>7.3933569005406596E-3</v>
      </c>
      <c r="L34" s="410">
        <v>40.450000000000003</v>
      </c>
      <c r="M34" s="418">
        <f t="shared" si="5"/>
        <v>-1.3655206047305413E-2</v>
      </c>
      <c r="N34" s="410">
        <v>4519.63</v>
      </c>
      <c r="O34" s="418">
        <f t="shared" si="6"/>
        <v>7.3933569005406596E-3</v>
      </c>
      <c r="P34" s="410">
        <v>40.450000000000003</v>
      </c>
      <c r="Q34" s="418">
        <f t="shared" si="7"/>
        <v>-1.3655206047305413E-2</v>
      </c>
    </row>
    <row r="35" spans="1:17">
      <c r="A35" s="407">
        <v>44487</v>
      </c>
      <c r="B35" s="410">
        <v>4486.46</v>
      </c>
      <c r="C35" s="417">
        <f t="shared" si="0"/>
        <v>3.3748045900920953E-3</v>
      </c>
      <c r="D35" s="410">
        <v>41.01</v>
      </c>
      <c r="E35" s="417">
        <f t="shared" si="1"/>
        <v>4.8792388387397523E-4</v>
      </c>
      <c r="F35" s="410">
        <v>4486.46</v>
      </c>
      <c r="G35" s="418">
        <f t="shared" si="2"/>
        <v>3.3748045900920953E-3</v>
      </c>
      <c r="H35" s="410">
        <v>41.01</v>
      </c>
      <c r="I35" s="418">
        <f t="shared" si="3"/>
        <v>4.8792388387397523E-4</v>
      </c>
      <c r="J35" s="410">
        <v>4486.46</v>
      </c>
      <c r="K35" s="418">
        <f t="shared" si="4"/>
        <v>3.3748045900920953E-3</v>
      </c>
      <c r="L35" s="410">
        <v>41.01</v>
      </c>
      <c r="M35" s="418">
        <f t="shared" si="5"/>
        <v>4.8792388387397523E-4</v>
      </c>
      <c r="N35" s="410">
        <v>4486.46</v>
      </c>
      <c r="O35" s="418">
        <f t="shared" si="6"/>
        <v>3.3748045900920953E-3</v>
      </c>
      <c r="P35" s="410">
        <v>41.01</v>
      </c>
      <c r="Q35" s="418">
        <f t="shared" si="7"/>
        <v>4.8792388387397523E-4</v>
      </c>
    </row>
    <row r="36" spans="1:17">
      <c r="A36" s="407">
        <v>44484</v>
      </c>
      <c r="B36" s="410">
        <v>4471.37</v>
      </c>
      <c r="C36" s="417">
        <f t="shared" si="0"/>
        <v>7.4601307719690535E-3</v>
      </c>
      <c r="D36" s="410">
        <v>40.99</v>
      </c>
      <c r="E36" s="417">
        <f t="shared" si="1"/>
        <v>-5.0970873786407855E-3</v>
      </c>
      <c r="F36" s="410">
        <v>4471.37</v>
      </c>
      <c r="G36" s="418">
        <f t="shared" si="2"/>
        <v>7.4601307719690535E-3</v>
      </c>
      <c r="H36" s="410">
        <v>40.99</v>
      </c>
      <c r="I36" s="418">
        <f t="shared" si="3"/>
        <v>-5.0970873786407855E-3</v>
      </c>
      <c r="J36" s="410">
        <v>4471.37</v>
      </c>
      <c r="K36" s="418">
        <f t="shared" si="4"/>
        <v>7.4601307719690535E-3</v>
      </c>
      <c r="L36" s="410">
        <v>40.99</v>
      </c>
      <c r="M36" s="418">
        <f t="shared" si="5"/>
        <v>-5.0970873786407855E-3</v>
      </c>
      <c r="N36" s="410">
        <v>4471.37</v>
      </c>
      <c r="O36" s="418">
        <f t="shared" si="6"/>
        <v>7.4601307719690535E-3</v>
      </c>
      <c r="P36" s="410">
        <v>40.99</v>
      </c>
      <c r="Q36" s="418">
        <f t="shared" si="7"/>
        <v>-5.0970873786407855E-3</v>
      </c>
    </row>
    <row r="37" spans="1:17">
      <c r="A37" s="407">
        <v>44483</v>
      </c>
      <c r="B37" s="410">
        <v>4438.26</v>
      </c>
      <c r="C37" s="417">
        <f t="shared" si="0"/>
        <v>1.706311013337003E-2</v>
      </c>
      <c r="D37" s="410">
        <v>41.2</v>
      </c>
      <c r="E37" s="417">
        <f t="shared" si="1"/>
        <v>4.1433097733365454E-3</v>
      </c>
      <c r="F37" s="410">
        <v>4438.26</v>
      </c>
      <c r="G37" s="418">
        <f t="shared" si="2"/>
        <v>1.706311013337003E-2</v>
      </c>
      <c r="H37" s="410">
        <v>41.2</v>
      </c>
      <c r="I37" s="418">
        <f t="shared" si="3"/>
        <v>4.1433097733365454E-3</v>
      </c>
      <c r="J37" s="410">
        <v>4438.26</v>
      </c>
      <c r="K37" s="418">
        <f t="shared" si="4"/>
        <v>1.706311013337003E-2</v>
      </c>
      <c r="L37" s="410">
        <v>41.2</v>
      </c>
      <c r="M37" s="418">
        <f t="shared" si="5"/>
        <v>4.1433097733365454E-3</v>
      </c>
      <c r="N37" s="410">
        <v>4438.26</v>
      </c>
      <c r="O37" s="418">
        <f t="shared" si="6"/>
        <v>1.706311013337003E-2</v>
      </c>
      <c r="P37" s="410">
        <v>41.2</v>
      </c>
      <c r="Q37" s="418">
        <f t="shared" si="7"/>
        <v>4.1433097733365454E-3</v>
      </c>
    </row>
    <row r="38" spans="1:17">
      <c r="A38" s="407">
        <v>44482</v>
      </c>
      <c r="B38" s="410">
        <v>4363.8</v>
      </c>
      <c r="C38" s="417">
        <f t="shared" si="0"/>
        <v>3.0225368623080229E-3</v>
      </c>
      <c r="D38" s="410">
        <v>41.03</v>
      </c>
      <c r="E38" s="417">
        <f t="shared" si="1"/>
        <v>-5.7648139641708784E-2</v>
      </c>
      <c r="F38" s="410">
        <v>4363.8</v>
      </c>
      <c r="G38" s="418">
        <f t="shared" si="2"/>
        <v>3.0225368623080229E-3</v>
      </c>
      <c r="H38" s="410">
        <v>41.03</v>
      </c>
      <c r="I38" s="418">
        <f t="shared" si="3"/>
        <v>-5.7648139641708784E-2</v>
      </c>
      <c r="J38" s="410">
        <v>4363.8</v>
      </c>
      <c r="K38" s="418">
        <f t="shared" si="4"/>
        <v>3.0225368623080229E-3</v>
      </c>
      <c r="L38" s="410">
        <v>41.03</v>
      </c>
      <c r="M38" s="418">
        <f t="shared" si="5"/>
        <v>-5.7648139641708784E-2</v>
      </c>
      <c r="N38" s="410">
        <v>4363.8</v>
      </c>
      <c r="O38" s="418">
        <f t="shared" si="6"/>
        <v>3.0225368623080229E-3</v>
      </c>
      <c r="P38" s="410">
        <v>41.03</v>
      </c>
      <c r="Q38" s="418">
        <f t="shared" si="7"/>
        <v>-5.7648139641708784E-2</v>
      </c>
    </row>
    <row r="39" spans="1:17">
      <c r="A39" s="407">
        <v>44481</v>
      </c>
      <c r="B39" s="410">
        <v>4350.6499999999996</v>
      </c>
      <c r="C39" s="417">
        <f t="shared" si="0"/>
        <v>-2.4167715692277048E-3</v>
      </c>
      <c r="D39" s="410">
        <v>43.54</v>
      </c>
      <c r="E39" s="417">
        <f t="shared" si="1"/>
        <v>8.1037277147488762E-3</v>
      </c>
      <c r="F39" s="410">
        <v>4350.6499999999996</v>
      </c>
      <c r="G39" s="418">
        <f t="shared" si="2"/>
        <v>-2.4167715692277048E-3</v>
      </c>
      <c r="H39" s="410">
        <v>43.54</v>
      </c>
      <c r="I39" s="418">
        <f t="shared" si="3"/>
        <v>8.1037277147488762E-3</v>
      </c>
      <c r="J39" s="410">
        <v>4350.6499999999996</v>
      </c>
      <c r="K39" s="418">
        <f t="shared" si="4"/>
        <v>-2.4167715692277048E-3</v>
      </c>
      <c r="L39" s="410">
        <v>43.54</v>
      </c>
      <c r="M39" s="418">
        <f t="shared" si="5"/>
        <v>8.1037277147488762E-3</v>
      </c>
      <c r="N39" s="410">
        <v>4350.6499999999996</v>
      </c>
      <c r="O39" s="418">
        <f t="shared" si="6"/>
        <v>-2.4167715692277048E-3</v>
      </c>
      <c r="P39" s="410">
        <v>43.54</v>
      </c>
      <c r="Q39" s="418">
        <f t="shared" si="7"/>
        <v>8.1037277147488762E-3</v>
      </c>
    </row>
    <row r="40" spans="1:17">
      <c r="A40" s="407">
        <v>44480</v>
      </c>
      <c r="B40" s="410">
        <v>4361.1899999999996</v>
      </c>
      <c r="C40" s="417">
        <f t="shared" si="0"/>
        <v>-6.8657858421348195E-3</v>
      </c>
      <c r="D40" s="410">
        <v>43.19</v>
      </c>
      <c r="E40" s="417">
        <f t="shared" si="1"/>
        <v>-4.3798985707700355E-3</v>
      </c>
      <c r="F40" s="410">
        <v>4361.1899999999996</v>
      </c>
      <c r="G40" s="418">
        <f t="shared" si="2"/>
        <v>-6.8657858421348195E-3</v>
      </c>
      <c r="H40" s="410">
        <v>43.19</v>
      </c>
      <c r="I40" s="418">
        <f t="shared" si="3"/>
        <v>-4.3798985707700355E-3</v>
      </c>
      <c r="J40" s="410">
        <v>4361.1899999999996</v>
      </c>
      <c r="K40" s="418">
        <f t="shared" si="4"/>
        <v>-6.8657858421348195E-3</v>
      </c>
      <c r="L40" s="410">
        <v>43.19</v>
      </c>
      <c r="M40" s="418">
        <f t="shared" si="5"/>
        <v>-4.3798985707700355E-3</v>
      </c>
      <c r="N40" s="410">
        <v>4361.1899999999996</v>
      </c>
      <c r="O40" s="418">
        <f t="shared" si="6"/>
        <v>-6.8657858421348195E-3</v>
      </c>
      <c r="P40" s="410">
        <v>43.19</v>
      </c>
      <c r="Q40" s="418">
        <f t="shared" si="7"/>
        <v>-4.3798985707700355E-3</v>
      </c>
    </row>
    <row r="41" spans="1:17">
      <c r="A41" s="407">
        <v>44477</v>
      </c>
      <c r="B41" s="410">
        <v>4391.34</v>
      </c>
      <c r="C41" s="417">
        <f t="shared" si="0"/>
        <v>-1.9137407494954628E-3</v>
      </c>
      <c r="D41" s="410">
        <v>43.38</v>
      </c>
      <c r="E41" s="417">
        <f t="shared" si="1"/>
        <v>-6.8681318681318437E-3</v>
      </c>
      <c r="F41" s="410">
        <v>4391.34</v>
      </c>
      <c r="G41" s="418">
        <f t="shared" si="2"/>
        <v>-1.9137407494954628E-3</v>
      </c>
      <c r="H41" s="410">
        <v>43.38</v>
      </c>
      <c r="I41" s="418">
        <f t="shared" si="3"/>
        <v>-6.8681318681318437E-3</v>
      </c>
      <c r="J41" s="410">
        <v>4391.34</v>
      </c>
      <c r="K41" s="418">
        <f t="shared" si="4"/>
        <v>-1.9137407494954628E-3</v>
      </c>
      <c r="L41" s="410">
        <v>43.38</v>
      </c>
      <c r="M41" s="418">
        <f t="shared" si="5"/>
        <v>-6.8681318681318437E-3</v>
      </c>
      <c r="N41" s="410">
        <v>4391.34</v>
      </c>
      <c r="O41" s="418">
        <f t="shared" si="6"/>
        <v>-1.9137407494954628E-3</v>
      </c>
      <c r="P41" s="410">
        <v>43.38</v>
      </c>
      <c r="Q41" s="418">
        <f t="shared" si="7"/>
        <v>-6.8681318681318437E-3</v>
      </c>
    </row>
    <row r="42" spans="1:17">
      <c r="A42" s="407">
        <v>44476</v>
      </c>
      <c r="B42" s="410">
        <v>4399.76</v>
      </c>
      <c r="C42" s="417">
        <f t="shared" si="0"/>
        <v>8.2982892369745098E-3</v>
      </c>
      <c r="D42" s="410">
        <v>43.68</v>
      </c>
      <c r="E42" s="417">
        <f t="shared" si="1"/>
        <v>-7.7237619263971213E-3</v>
      </c>
      <c r="F42" s="410">
        <v>4399.76</v>
      </c>
      <c r="G42" s="418">
        <f t="shared" si="2"/>
        <v>8.2982892369745098E-3</v>
      </c>
      <c r="H42" s="410">
        <v>43.68</v>
      </c>
      <c r="I42" s="418">
        <f t="shared" si="3"/>
        <v>-7.7237619263971213E-3</v>
      </c>
      <c r="J42" s="410">
        <v>4399.76</v>
      </c>
      <c r="K42" s="418">
        <f t="shared" si="4"/>
        <v>8.2982892369745098E-3</v>
      </c>
      <c r="L42" s="410">
        <v>43.68</v>
      </c>
      <c r="M42" s="418">
        <f t="shared" si="5"/>
        <v>-7.7237619263971213E-3</v>
      </c>
      <c r="N42" s="410">
        <v>4399.76</v>
      </c>
      <c r="O42" s="418">
        <f t="shared" si="6"/>
        <v>8.2982892369745098E-3</v>
      </c>
      <c r="P42" s="410">
        <v>43.68</v>
      </c>
      <c r="Q42" s="418">
        <f t="shared" si="7"/>
        <v>-7.7237619263971213E-3</v>
      </c>
    </row>
    <row r="43" spans="1:17">
      <c r="A43" s="407">
        <v>44475</v>
      </c>
      <c r="B43" s="410">
        <v>4363.55</v>
      </c>
      <c r="C43" s="417">
        <f t="shared" si="0"/>
        <v>4.1028874386752623E-3</v>
      </c>
      <c r="D43" s="410">
        <v>44.02</v>
      </c>
      <c r="E43" s="417">
        <f t="shared" si="1"/>
        <v>-1.6092981671882001E-2</v>
      </c>
      <c r="F43" s="410">
        <v>4363.55</v>
      </c>
      <c r="G43" s="418">
        <f t="shared" si="2"/>
        <v>4.1028874386752623E-3</v>
      </c>
      <c r="H43" s="410">
        <v>44.02</v>
      </c>
      <c r="I43" s="418">
        <f t="shared" si="3"/>
        <v>-1.6092981671882001E-2</v>
      </c>
      <c r="J43" s="410">
        <v>4363.55</v>
      </c>
      <c r="K43" s="418">
        <f t="shared" si="4"/>
        <v>4.1028874386752623E-3</v>
      </c>
      <c r="L43" s="410">
        <v>44.02</v>
      </c>
      <c r="M43" s="418">
        <f t="shared" si="5"/>
        <v>-1.6092981671882001E-2</v>
      </c>
      <c r="N43" s="410">
        <v>4363.55</v>
      </c>
      <c r="O43" s="418">
        <f t="shared" si="6"/>
        <v>4.1028874386752623E-3</v>
      </c>
      <c r="P43" s="410">
        <v>44.02</v>
      </c>
      <c r="Q43" s="418">
        <f t="shared" si="7"/>
        <v>-1.6092981671882001E-2</v>
      </c>
    </row>
    <row r="44" spans="1:17">
      <c r="A44" s="407">
        <v>44474</v>
      </c>
      <c r="B44" s="410">
        <v>4345.72</v>
      </c>
      <c r="C44" s="417">
        <f t="shared" si="0"/>
        <v>1.0524455523362564E-2</v>
      </c>
      <c r="D44" s="410">
        <v>44.74</v>
      </c>
      <c r="E44" s="417">
        <f t="shared" si="1"/>
        <v>-4.8932384341636714E-3</v>
      </c>
      <c r="F44" s="410">
        <v>4345.72</v>
      </c>
      <c r="G44" s="418">
        <f t="shared" si="2"/>
        <v>1.0524455523362564E-2</v>
      </c>
      <c r="H44" s="410">
        <v>44.74</v>
      </c>
      <c r="I44" s="418">
        <f t="shared" si="3"/>
        <v>-4.8932384341636714E-3</v>
      </c>
      <c r="J44" s="410">
        <v>4345.72</v>
      </c>
      <c r="K44" s="418">
        <f t="shared" si="4"/>
        <v>1.0524455523362564E-2</v>
      </c>
      <c r="L44" s="410">
        <v>44.74</v>
      </c>
      <c r="M44" s="418">
        <f t="shared" si="5"/>
        <v>-4.8932384341636714E-3</v>
      </c>
      <c r="N44" s="410">
        <v>4345.72</v>
      </c>
      <c r="O44" s="418">
        <f t="shared" si="6"/>
        <v>1.0524455523362564E-2</v>
      </c>
      <c r="P44" s="410">
        <v>44.74</v>
      </c>
      <c r="Q44" s="418">
        <f t="shared" si="7"/>
        <v>-4.8932384341636714E-3</v>
      </c>
    </row>
    <row r="45" spans="1:17">
      <c r="A45" s="407">
        <v>44473</v>
      </c>
      <c r="B45" s="410">
        <v>4300.46</v>
      </c>
      <c r="C45" s="417">
        <f t="shared" si="0"/>
        <v>-1.2985880322420762E-2</v>
      </c>
      <c r="D45" s="410">
        <v>44.96</v>
      </c>
      <c r="E45" s="417">
        <f t="shared" si="1"/>
        <v>-9.2551784927281666E-3</v>
      </c>
      <c r="F45" s="410">
        <v>4300.46</v>
      </c>
      <c r="G45" s="418">
        <f t="shared" si="2"/>
        <v>-1.2985880322420762E-2</v>
      </c>
      <c r="H45" s="410">
        <v>44.96</v>
      </c>
      <c r="I45" s="418">
        <f t="shared" si="3"/>
        <v>-9.2551784927281666E-3</v>
      </c>
      <c r="J45" s="410">
        <v>4300.46</v>
      </c>
      <c r="K45" s="418">
        <f t="shared" si="4"/>
        <v>-1.2985880322420762E-2</v>
      </c>
      <c r="L45" s="410">
        <v>44.96</v>
      </c>
      <c r="M45" s="418">
        <f t="shared" si="5"/>
        <v>-9.2551784927281666E-3</v>
      </c>
      <c r="N45" s="410">
        <v>4300.46</v>
      </c>
      <c r="O45" s="418">
        <f t="shared" si="6"/>
        <v>-1.2985880322420762E-2</v>
      </c>
      <c r="P45" s="410">
        <v>44.96</v>
      </c>
      <c r="Q45" s="418">
        <f t="shared" si="7"/>
        <v>-9.2551784927281666E-3</v>
      </c>
    </row>
    <row r="46" spans="1:17">
      <c r="A46" s="407">
        <v>44470</v>
      </c>
      <c r="B46" s="410">
        <v>4357.04</v>
      </c>
      <c r="C46" s="417">
        <f t="shared" si="0"/>
        <v>1.1491477734391298E-2</v>
      </c>
      <c r="D46" s="410">
        <v>45.38</v>
      </c>
      <c r="E46" s="417">
        <f t="shared" si="1"/>
        <v>6.5008214034264267E-2</v>
      </c>
      <c r="F46" s="410">
        <v>4357.04</v>
      </c>
      <c r="G46" s="418">
        <f t="shared" si="2"/>
        <v>1.1491477734391298E-2</v>
      </c>
      <c r="H46" s="410">
        <v>45.38</v>
      </c>
      <c r="I46" s="418">
        <f t="shared" si="3"/>
        <v>6.5008214034264267E-2</v>
      </c>
      <c r="J46" s="410">
        <v>4357.04</v>
      </c>
      <c r="K46" s="418">
        <f t="shared" si="4"/>
        <v>1.1491477734391298E-2</v>
      </c>
      <c r="L46" s="410">
        <v>45.38</v>
      </c>
      <c r="M46" s="418">
        <f t="shared" si="5"/>
        <v>6.5008214034264267E-2</v>
      </c>
      <c r="N46" s="410">
        <v>4357.04</v>
      </c>
      <c r="O46" s="418">
        <f t="shared" si="6"/>
        <v>1.1491477734391298E-2</v>
      </c>
      <c r="P46" s="410">
        <v>45.38</v>
      </c>
      <c r="Q46" s="418">
        <f t="shared" si="7"/>
        <v>6.5008214034264267E-2</v>
      </c>
    </row>
    <row r="47" spans="1:17">
      <c r="A47" s="407">
        <v>44469</v>
      </c>
      <c r="B47" s="410">
        <v>4307.54</v>
      </c>
      <c r="C47" s="417">
        <f t="shared" si="0"/>
        <v>-1.1909958593505077E-2</v>
      </c>
      <c r="D47" s="410">
        <v>42.61</v>
      </c>
      <c r="E47" s="417">
        <f t="shared" si="1"/>
        <v>-1.7297047970479706E-2</v>
      </c>
      <c r="F47" s="410">
        <v>4307.54</v>
      </c>
      <c r="G47" s="418">
        <f t="shared" si="2"/>
        <v>-1.1909958593505077E-2</v>
      </c>
      <c r="H47" s="410">
        <v>42.61</v>
      </c>
      <c r="I47" s="418">
        <f t="shared" si="3"/>
        <v>-1.7297047970479706E-2</v>
      </c>
      <c r="J47" s="410">
        <v>4307.54</v>
      </c>
      <c r="K47" s="418">
        <f t="shared" si="4"/>
        <v>-1.1909958593505077E-2</v>
      </c>
      <c r="L47" s="410">
        <v>42.61</v>
      </c>
      <c r="M47" s="418">
        <f t="shared" si="5"/>
        <v>-1.7297047970479706E-2</v>
      </c>
      <c r="N47" s="410">
        <v>4307.54</v>
      </c>
      <c r="O47" s="418">
        <f t="shared" si="6"/>
        <v>-1.1909958593505077E-2</v>
      </c>
      <c r="P47" s="410">
        <v>42.61</v>
      </c>
      <c r="Q47" s="418">
        <f t="shared" si="7"/>
        <v>-1.7297047970479706E-2</v>
      </c>
    </row>
    <row r="48" spans="1:17">
      <c r="A48" s="407">
        <v>44468</v>
      </c>
      <c r="B48" s="410">
        <v>4359.4610000000002</v>
      </c>
      <c r="C48" s="417">
        <f t="shared" si="0"/>
        <v>1.5693959743878771E-3</v>
      </c>
      <c r="D48" s="410">
        <v>43.36</v>
      </c>
      <c r="E48" s="417">
        <f t="shared" si="1"/>
        <v>-1.8416206261510082E-3</v>
      </c>
      <c r="F48" s="410">
        <v>4359.4610000000002</v>
      </c>
      <c r="G48" s="418">
        <f t="shared" si="2"/>
        <v>1.5693959743878771E-3</v>
      </c>
      <c r="H48" s="410">
        <v>43.36</v>
      </c>
      <c r="I48" s="418">
        <f t="shared" si="3"/>
        <v>-1.8416206261510082E-3</v>
      </c>
      <c r="J48" s="410">
        <v>4359.4610000000002</v>
      </c>
      <c r="K48" s="418">
        <f t="shared" si="4"/>
        <v>1.5693959743878771E-3</v>
      </c>
      <c r="L48" s="410">
        <v>43.36</v>
      </c>
      <c r="M48" s="418">
        <f t="shared" si="5"/>
        <v>-1.8416206261510082E-3</v>
      </c>
      <c r="N48" s="410">
        <v>4359.4610000000002</v>
      </c>
      <c r="O48" s="418">
        <f t="shared" si="6"/>
        <v>1.5693959743878771E-3</v>
      </c>
      <c r="P48" s="410">
        <v>43.36</v>
      </c>
      <c r="Q48" s="418">
        <f t="shared" si="7"/>
        <v>-1.8416206261510082E-3</v>
      </c>
    </row>
    <row r="49" spans="1:17">
      <c r="A49" s="407">
        <v>44467</v>
      </c>
      <c r="B49" s="410">
        <v>4352.63</v>
      </c>
      <c r="C49" s="417">
        <f t="shared" si="0"/>
        <v>-2.0364114325326033E-2</v>
      </c>
      <c r="D49" s="410">
        <v>43.44</v>
      </c>
      <c r="E49" s="417">
        <f t="shared" si="1"/>
        <v>-7.7661032434902522E-3</v>
      </c>
      <c r="F49" s="410">
        <v>4352.63</v>
      </c>
      <c r="G49" s="418">
        <f t="shared" si="2"/>
        <v>-2.0364114325326033E-2</v>
      </c>
      <c r="H49" s="410">
        <v>43.44</v>
      </c>
      <c r="I49" s="418">
        <f t="shared" si="3"/>
        <v>-7.7661032434902522E-3</v>
      </c>
      <c r="J49" s="410">
        <v>4352.63</v>
      </c>
      <c r="K49" s="418">
        <f t="shared" si="4"/>
        <v>-2.0364114325326033E-2</v>
      </c>
      <c r="L49" s="410">
        <v>43.44</v>
      </c>
      <c r="M49" s="418">
        <f t="shared" si="5"/>
        <v>-7.7661032434902522E-3</v>
      </c>
      <c r="N49" s="410">
        <v>4352.63</v>
      </c>
      <c r="O49" s="418">
        <f t="shared" si="6"/>
        <v>-2.0364114325326033E-2</v>
      </c>
      <c r="P49" s="410">
        <v>43.44</v>
      </c>
      <c r="Q49" s="418">
        <f t="shared" si="7"/>
        <v>-7.7661032434902522E-3</v>
      </c>
    </row>
    <row r="50" spans="1:17">
      <c r="A50" s="407">
        <v>44466</v>
      </c>
      <c r="B50" s="410">
        <v>4443.1099999999997</v>
      </c>
      <c r="C50" s="417">
        <f t="shared" si="0"/>
        <v>-2.7763563072890074E-3</v>
      </c>
      <c r="D50" s="410">
        <v>43.78</v>
      </c>
      <c r="E50" s="417">
        <f t="shared" si="1"/>
        <v>5.7431656328967851E-3</v>
      </c>
      <c r="F50" s="410">
        <v>4443.1099999999997</v>
      </c>
      <c r="G50" s="418">
        <f t="shared" si="2"/>
        <v>-2.7763563072890074E-3</v>
      </c>
      <c r="H50" s="410">
        <v>43.78</v>
      </c>
      <c r="I50" s="418">
        <f t="shared" si="3"/>
        <v>5.7431656328967851E-3</v>
      </c>
      <c r="J50" s="410">
        <v>4443.1099999999997</v>
      </c>
      <c r="K50" s="418">
        <f t="shared" si="4"/>
        <v>-2.7763563072890074E-3</v>
      </c>
      <c r="L50" s="410">
        <v>43.78</v>
      </c>
      <c r="M50" s="418">
        <f t="shared" si="5"/>
        <v>5.7431656328967851E-3</v>
      </c>
      <c r="N50" s="410">
        <v>4443.1099999999997</v>
      </c>
      <c r="O50" s="418">
        <f t="shared" si="6"/>
        <v>-2.7763563072890074E-3</v>
      </c>
      <c r="P50" s="410">
        <v>43.78</v>
      </c>
      <c r="Q50" s="418">
        <f t="shared" si="7"/>
        <v>5.7431656328967851E-3</v>
      </c>
    </row>
    <row r="51" spans="1:17">
      <c r="A51" s="407">
        <v>44463</v>
      </c>
      <c r="B51" s="410">
        <v>4455.4799999999996</v>
      </c>
      <c r="C51" s="417">
        <f t="shared" si="0"/>
        <v>1.4610090402744635E-3</v>
      </c>
      <c r="D51" s="410">
        <v>43.53</v>
      </c>
      <c r="E51" s="417">
        <f t="shared" si="1"/>
        <v>2.2070908664005628E-2</v>
      </c>
      <c r="F51" s="410">
        <v>4455.4799999999996</v>
      </c>
      <c r="G51" s="418">
        <f t="shared" si="2"/>
        <v>1.4610090402744635E-3</v>
      </c>
      <c r="H51" s="410">
        <v>43.53</v>
      </c>
      <c r="I51" s="418">
        <f t="shared" si="3"/>
        <v>2.2070908664005628E-2</v>
      </c>
      <c r="J51" s="410">
        <v>4455.4799999999996</v>
      </c>
      <c r="K51" s="418">
        <f t="shared" si="4"/>
        <v>1.4610090402744635E-3</v>
      </c>
      <c r="L51" s="410">
        <v>43.53</v>
      </c>
      <c r="M51" s="418">
        <f t="shared" si="5"/>
        <v>2.2070908664005628E-2</v>
      </c>
      <c r="N51" s="410">
        <v>4455.4799999999996</v>
      </c>
      <c r="O51" s="418">
        <f t="shared" si="6"/>
        <v>1.4610090402744635E-3</v>
      </c>
      <c r="P51" s="410">
        <v>43.53</v>
      </c>
      <c r="Q51" s="418">
        <f t="shared" si="7"/>
        <v>2.2070908664005628E-2</v>
      </c>
    </row>
    <row r="52" spans="1:17">
      <c r="A52" s="407">
        <v>44462</v>
      </c>
      <c r="B52" s="410">
        <v>4448.9799999999996</v>
      </c>
      <c r="C52" s="417">
        <f t="shared" si="0"/>
        <v>1.2134751708511082E-2</v>
      </c>
      <c r="D52" s="410">
        <v>42.59</v>
      </c>
      <c r="E52" s="417">
        <f t="shared" si="1"/>
        <v>2.4044241404183708E-2</v>
      </c>
      <c r="F52" s="410">
        <v>4448.9799999999996</v>
      </c>
      <c r="G52" s="418">
        <f t="shared" si="2"/>
        <v>1.2134751708511082E-2</v>
      </c>
      <c r="H52" s="410">
        <v>42.59</v>
      </c>
      <c r="I52" s="418">
        <f t="shared" si="3"/>
        <v>2.4044241404183708E-2</v>
      </c>
      <c r="J52" s="410">
        <v>4448.9799999999996</v>
      </c>
      <c r="K52" s="418">
        <f t="shared" si="4"/>
        <v>1.2134751708511082E-2</v>
      </c>
      <c r="L52" s="410">
        <v>42.59</v>
      </c>
      <c r="M52" s="418">
        <f t="shared" si="5"/>
        <v>2.4044241404183708E-2</v>
      </c>
      <c r="N52" s="410">
        <v>4448.9799999999996</v>
      </c>
      <c r="O52" s="418">
        <f t="shared" si="6"/>
        <v>1.2134751708511082E-2</v>
      </c>
      <c r="P52" s="410">
        <v>42.59</v>
      </c>
      <c r="Q52" s="418">
        <f t="shared" si="7"/>
        <v>2.4044241404183708E-2</v>
      </c>
    </row>
    <row r="53" spans="1:17">
      <c r="A53" s="407">
        <v>44461</v>
      </c>
      <c r="B53" s="410">
        <v>4395.6400000000003</v>
      </c>
      <c r="C53" s="417">
        <f t="shared" si="0"/>
        <v>9.5195662109373025E-3</v>
      </c>
      <c r="D53" s="410">
        <v>41.59</v>
      </c>
      <c r="E53" s="417">
        <f t="shared" si="1"/>
        <v>3.047571853320119E-2</v>
      </c>
      <c r="F53" s="410">
        <v>4395.6400000000003</v>
      </c>
      <c r="G53" s="418">
        <f t="shared" si="2"/>
        <v>9.5195662109373025E-3</v>
      </c>
      <c r="H53" s="410">
        <v>41.59</v>
      </c>
      <c r="I53" s="418">
        <f t="shared" si="3"/>
        <v>3.047571853320119E-2</v>
      </c>
      <c r="J53" s="410">
        <v>4395.6400000000003</v>
      </c>
      <c r="K53" s="418">
        <f t="shared" si="4"/>
        <v>9.5195662109373025E-3</v>
      </c>
      <c r="L53" s="410">
        <v>41.59</v>
      </c>
      <c r="M53" s="418">
        <f t="shared" si="5"/>
        <v>3.047571853320119E-2</v>
      </c>
      <c r="N53" s="410">
        <v>4395.6400000000003</v>
      </c>
      <c r="O53" s="418">
        <f t="shared" si="6"/>
        <v>9.5195662109373025E-3</v>
      </c>
      <c r="P53" s="410">
        <v>41.59</v>
      </c>
      <c r="Q53" s="418">
        <f t="shared" si="7"/>
        <v>3.047571853320119E-2</v>
      </c>
    </row>
    <row r="54" spans="1:17">
      <c r="A54" s="407">
        <v>44460</v>
      </c>
      <c r="B54" s="410">
        <v>4354.1899999999996</v>
      </c>
      <c r="C54" s="417">
        <f t="shared" si="0"/>
        <v>-8.1234954896236555E-4</v>
      </c>
      <c r="D54" s="410">
        <v>40.36</v>
      </c>
      <c r="E54" s="417">
        <f t="shared" si="1"/>
        <v>-1.0299166257969672E-2</v>
      </c>
      <c r="F54" s="410">
        <v>4354.1899999999996</v>
      </c>
      <c r="G54" s="418">
        <f t="shared" si="2"/>
        <v>-8.1234954896236555E-4</v>
      </c>
      <c r="H54" s="410">
        <v>40.36</v>
      </c>
      <c r="I54" s="418">
        <f t="shared" si="3"/>
        <v>-1.0299166257969672E-2</v>
      </c>
      <c r="J54" s="410">
        <v>4354.1899999999996</v>
      </c>
      <c r="K54" s="418">
        <f t="shared" si="4"/>
        <v>-8.1234954896236555E-4</v>
      </c>
      <c r="L54" s="410">
        <v>40.36</v>
      </c>
      <c r="M54" s="418">
        <f t="shared" si="5"/>
        <v>-1.0299166257969672E-2</v>
      </c>
      <c r="N54" s="410">
        <v>4354.1899999999996</v>
      </c>
      <c r="O54" s="418">
        <f t="shared" si="6"/>
        <v>-8.1234954896236555E-4</v>
      </c>
      <c r="P54" s="410">
        <v>40.36</v>
      </c>
      <c r="Q54" s="418">
        <f t="shared" si="7"/>
        <v>-1.0299166257969672E-2</v>
      </c>
    </row>
    <row r="55" spans="1:17">
      <c r="A55" s="407">
        <v>44459</v>
      </c>
      <c r="B55" s="410">
        <v>4357.7299999999996</v>
      </c>
      <c r="C55" s="417">
        <f t="shared" si="0"/>
        <v>-1.6977254629493954E-2</v>
      </c>
      <c r="D55" s="410">
        <v>40.78</v>
      </c>
      <c r="E55" s="417">
        <f t="shared" si="1"/>
        <v>1.670406382448264E-2</v>
      </c>
      <c r="F55" s="410">
        <v>4357.7299999999996</v>
      </c>
      <c r="G55" s="418">
        <f t="shared" si="2"/>
        <v>-1.6977254629493954E-2</v>
      </c>
      <c r="H55" s="410">
        <v>40.78</v>
      </c>
      <c r="I55" s="418">
        <f t="shared" si="3"/>
        <v>1.670406382448264E-2</v>
      </c>
      <c r="J55" s="410">
        <v>4357.7299999999996</v>
      </c>
      <c r="K55" s="418">
        <f t="shared" si="4"/>
        <v>-1.6977254629493954E-2</v>
      </c>
      <c r="L55" s="410">
        <v>40.78</v>
      </c>
      <c r="M55" s="418">
        <f t="shared" si="5"/>
        <v>1.670406382448264E-2</v>
      </c>
      <c r="N55" s="410">
        <v>4357.7299999999996</v>
      </c>
      <c r="O55" s="418">
        <f t="shared" si="6"/>
        <v>-1.6977254629493954E-2</v>
      </c>
      <c r="P55" s="410">
        <v>40.78</v>
      </c>
      <c r="Q55" s="418">
        <f t="shared" si="7"/>
        <v>1.670406382448264E-2</v>
      </c>
    </row>
    <row r="56" spans="1:17">
      <c r="A56" s="407">
        <v>44456</v>
      </c>
      <c r="B56" s="410">
        <v>4432.99</v>
      </c>
      <c r="C56" s="417">
        <f t="shared" si="0"/>
        <v>-9.1109248393406173E-3</v>
      </c>
      <c r="D56" s="410">
        <v>40.11</v>
      </c>
      <c r="E56" s="417">
        <f t="shared" si="1"/>
        <v>-2.7349577324713437E-3</v>
      </c>
      <c r="F56" s="410">
        <v>4432.99</v>
      </c>
      <c r="G56" s="418">
        <f t="shared" si="2"/>
        <v>-9.1109248393406173E-3</v>
      </c>
      <c r="H56" s="410">
        <v>40.11</v>
      </c>
      <c r="I56" s="418">
        <f t="shared" si="3"/>
        <v>-2.7349577324713437E-3</v>
      </c>
      <c r="J56" s="410">
        <v>4432.99</v>
      </c>
      <c r="K56" s="418">
        <f t="shared" si="4"/>
        <v>-9.1109248393406173E-3</v>
      </c>
      <c r="L56" s="410">
        <v>40.11</v>
      </c>
      <c r="M56" s="418">
        <f t="shared" si="5"/>
        <v>-2.7349577324713437E-3</v>
      </c>
      <c r="N56" s="410">
        <v>4432.99</v>
      </c>
      <c r="O56" s="418">
        <f t="shared" si="6"/>
        <v>-9.1109248393406173E-3</v>
      </c>
      <c r="P56" s="410">
        <v>40.11</v>
      </c>
      <c r="Q56" s="418">
        <f t="shared" si="7"/>
        <v>-2.7349577324713437E-3</v>
      </c>
    </row>
    <row r="57" spans="1:17">
      <c r="A57" s="407">
        <v>44455</v>
      </c>
      <c r="B57" s="410">
        <v>4473.75</v>
      </c>
      <c r="C57" s="417">
        <f t="shared" si="0"/>
        <v>-1.5510969268194286E-3</v>
      </c>
      <c r="D57" s="410">
        <v>40.22</v>
      </c>
      <c r="E57" s="417">
        <f t="shared" si="1"/>
        <v>1.4631685166498487E-2</v>
      </c>
      <c r="F57" s="410">
        <v>4473.75</v>
      </c>
      <c r="G57" s="418">
        <f t="shared" si="2"/>
        <v>-1.5510969268194286E-3</v>
      </c>
      <c r="H57" s="410">
        <v>40.22</v>
      </c>
      <c r="I57" s="418">
        <f t="shared" si="3"/>
        <v>1.4631685166498487E-2</v>
      </c>
      <c r="J57" s="410">
        <v>4473.75</v>
      </c>
      <c r="K57" s="418">
        <f t="shared" si="4"/>
        <v>-1.5510969268194286E-3</v>
      </c>
      <c r="L57" s="410">
        <v>40.22</v>
      </c>
      <c r="M57" s="418">
        <f t="shared" si="5"/>
        <v>1.4631685166498487E-2</v>
      </c>
      <c r="N57" s="410">
        <v>4473.75</v>
      </c>
      <c r="O57" s="418">
        <f t="shared" si="6"/>
        <v>-1.5510969268194286E-3</v>
      </c>
      <c r="P57" s="410">
        <v>40.22</v>
      </c>
      <c r="Q57" s="418">
        <f t="shared" si="7"/>
        <v>1.4631685166498487E-2</v>
      </c>
    </row>
    <row r="58" spans="1:17">
      <c r="A58" s="407">
        <v>44454</v>
      </c>
      <c r="B58" s="410">
        <v>4480.7</v>
      </c>
      <c r="C58" s="417">
        <f t="shared" si="0"/>
        <v>8.4739086888510062E-3</v>
      </c>
      <c r="D58" s="410">
        <v>39.64</v>
      </c>
      <c r="E58" s="417">
        <f t="shared" si="1"/>
        <v>5.0709939148074756E-3</v>
      </c>
      <c r="F58" s="410">
        <v>4480.7</v>
      </c>
      <c r="G58" s="418">
        <f t="shared" si="2"/>
        <v>8.4739086888510062E-3</v>
      </c>
      <c r="H58" s="410">
        <v>39.64</v>
      </c>
      <c r="I58" s="418">
        <f t="shared" si="3"/>
        <v>5.0709939148074756E-3</v>
      </c>
      <c r="J58" s="410">
        <v>4480.7</v>
      </c>
      <c r="K58" s="418">
        <f t="shared" si="4"/>
        <v>8.4739086888510062E-3</v>
      </c>
      <c r="L58" s="410">
        <v>39.64</v>
      </c>
      <c r="M58" s="418">
        <f t="shared" si="5"/>
        <v>5.0709939148074756E-3</v>
      </c>
      <c r="N58" s="410">
        <v>4480.7</v>
      </c>
      <c r="O58" s="418">
        <f t="shared" si="6"/>
        <v>8.4739086888510062E-3</v>
      </c>
      <c r="P58" s="410">
        <v>39.64</v>
      </c>
      <c r="Q58" s="418">
        <f t="shared" si="7"/>
        <v>5.0709939148074756E-3</v>
      </c>
    </row>
    <row r="59" spans="1:17">
      <c r="A59" s="407">
        <v>44453</v>
      </c>
      <c r="B59" s="410">
        <v>4443.05</v>
      </c>
      <c r="C59" s="417">
        <f t="shared" si="0"/>
        <v>-5.7465991456183696E-3</v>
      </c>
      <c r="D59" s="410">
        <v>39.44</v>
      </c>
      <c r="E59" s="417">
        <f t="shared" si="1"/>
        <v>-1.8417122946739695E-2</v>
      </c>
      <c r="F59" s="410">
        <v>4443.05</v>
      </c>
      <c r="G59" s="418">
        <f t="shared" si="2"/>
        <v>-5.7465991456183696E-3</v>
      </c>
      <c r="H59" s="410">
        <v>39.44</v>
      </c>
      <c r="I59" s="418">
        <f t="shared" si="3"/>
        <v>-1.8417122946739695E-2</v>
      </c>
      <c r="J59" s="410">
        <v>4443.05</v>
      </c>
      <c r="K59" s="418">
        <f t="shared" si="4"/>
        <v>-5.7465991456183696E-3</v>
      </c>
      <c r="L59" s="410">
        <v>39.44</v>
      </c>
      <c r="M59" s="418">
        <f t="shared" si="5"/>
        <v>-1.8417122946739695E-2</v>
      </c>
      <c r="N59" s="410">
        <v>4443.05</v>
      </c>
      <c r="O59" s="418">
        <f t="shared" si="6"/>
        <v>-5.7465991456183696E-3</v>
      </c>
      <c r="P59" s="410">
        <v>39.44</v>
      </c>
      <c r="Q59" s="418">
        <f t="shared" si="7"/>
        <v>-1.8417122946739695E-2</v>
      </c>
    </row>
    <row r="60" spans="1:17">
      <c r="A60" s="407">
        <v>44452</v>
      </c>
      <c r="B60" s="410">
        <v>4468.7299999999996</v>
      </c>
      <c r="C60" s="417">
        <f t="shared" si="0"/>
        <v>2.2765095613401787E-3</v>
      </c>
      <c r="D60" s="410">
        <v>40.18</v>
      </c>
      <c r="E60" s="417">
        <f t="shared" si="1"/>
        <v>2.0833333333333259E-2</v>
      </c>
      <c r="F60" s="410">
        <v>4468.7299999999996</v>
      </c>
      <c r="G60" s="418">
        <f t="shared" si="2"/>
        <v>2.2765095613401787E-3</v>
      </c>
      <c r="H60" s="410">
        <v>40.18</v>
      </c>
      <c r="I60" s="418">
        <f t="shared" si="3"/>
        <v>2.0833333333333259E-2</v>
      </c>
      <c r="J60" s="410">
        <v>4468.7299999999996</v>
      </c>
      <c r="K60" s="418">
        <f t="shared" si="4"/>
        <v>2.2765095613401787E-3</v>
      </c>
      <c r="L60" s="410">
        <v>40.18</v>
      </c>
      <c r="M60" s="418">
        <f t="shared" si="5"/>
        <v>2.0833333333333259E-2</v>
      </c>
      <c r="N60" s="410">
        <v>4468.7299999999996</v>
      </c>
      <c r="O60" s="418">
        <f t="shared" si="6"/>
        <v>2.2765095613401787E-3</v>
      </c>
      <c r="P60" s="410">
        <v>40.18</v>
      </c>
      <c r="Q60" s="418">
        <f t="shared" si="7"/>
        <v>2.0833333333333259E-2</v>
      </c>
    </row>
    <row r="61" spans="1:17">
      <c r="A61" s="407">
        <v>44449</v>
      </c>
      <c r="B61" s="410">
        <v>4458.58</v>
      </c>
      <c r="C61" s="417">
        <f t="shared" si="0"/>
        <v>-7.7226435922087555E-3</v>
      </c>
      <c r="D61" s="410">
        <v>39.36</v>
      </c>
      <c r="E61" s="417">
        <f t="shared" si="1"/>
        <v>-4.210270138719896E-2</v>
      </c>
      <c r="F61" s="410">
        <v>4458.58</v>
      </c>
      <c r="G61" s="418">
        <f t="shared" si="2"/>
        <v>-7.7226435922087555E-3</v>
      </c>
      <c r="H61" s="410">
        <v>39.36</v>
      </c>
      <c r="I61" s="418">
        <f t="shared" si="3"/>
        <v>-4.210270138719896E-2</v>
      </c>
      <c r="J61" s="410">
        <v>4458.58</v>
      </c>
      <c r="K61" s="418">
        <f t="shared" si="4"/>
        <v>-7.7226435922087555E-3</v>
      </c>
      <c r="L61" s="410">
        <v>39.36</v>
      </c>
      <c r="M61" s="418">
        <f t="shared" si="5"/>
        <v>-4.210270138719896E-2</v>
      </c>
      <c r="N61" s="410">
        <v>4458.58</v>
      </c>
      <c r="O61" s="418">
        <f t="shared" si="6"/>
        <v>-7.7226435922087555E-3</v>
      </c>
      <c r="P61" s="410">
        <v>39.36</v>
      </c>
      <c r="Q61" s="418">
        <f t="shared" si="7"/>
        <v>-4.210270138719896E-2</v>
      </c>
    </row>
    <row r="62" spans="1:17">
      <c r="A62" s="407">
        <v>44448</v>
      </c>
      <c r="B62" s="410">
        <v>4493.28</v>
      </c>
      <c r="C62" s="417">
        <f t="shared" si="0"/>
        <v>-4.6055998245485563E-3</v>
      </c>
      <c r="D62" s="410">
        <v>41.09</v>
      </c>
      <c r="E62" s="417">
        <f t="shared" si="1"/>
        <v>3.6317780580075842E-2</v>
      </c>
      <c r="F62" s="410">
        <v>4493.28</v>
      </c>
      <c r="G62" s="418">
        <f t="shared" si="2"/>
        <v>-4.6055998245485563E-3</v>
      </c>
      <c r="H62" s="410">
        <v>41.09</v>
      </c>
      <c r="I62" s="418">
        <f t="shared" si="3"/>
        <v>3.6317780580075842E-2</v>
      </c>
      <c r="J62" s="410">
        <v>4493.28</v>
      </c>
      <c r="K62" s="418">
        <f t="shared" si="4"/>
        <v>-4.6055998245485563E-3</v>
      </c>
      <c r="L62" s="410">
        <v>41.09</v>
      </c>
      <c r="M62" s="418">
        <f t="shared" si="5"/>
        <v>3.6317780580075842E-2</v>
      </c>
      <c r="N62" s="410">
        <v>4493.28</v>
      </c>
      <c r="O62" s="418">
        <f t="shared" si="6"/>
        <v>-4.6055998245485563E-3</v>
      </c>
      <c r="P62" s="410">
        <v>41.09</v>
      </c>
      <c r="Q62" s="418">
        <f t="shared" si="7"/>
        <v>3.6317780580075842E-2</v>
      </c>
    </row>
    <row r="63" spans="1:17">
      <c r="A63" s="407">
        <v>44447</v>
      </c>
      <c r="B63" s="410">
        <v>4514.07</v>
      </c>
      <c r="C63" s="417">
        <f t="shared" si="0"/>
        <v>-1.3185753191903293E-3</v>
      </c>
      <c r="D63" s="410">
        <v>39.65</v>
      </c>
      <c r="E63" s="417">
        <f t="shared" si="1"/>
        <v>-1.7348203221809189E-2</v>
      </c>
      <c r="F63" s="410">
        <v>4514.07</v>
      </c>
      <c r="G63" s="418">
        <f t="shared" si="2"/>
        <v>-1.3185753191903293E-3</v>
      </c>
      <c r="H63" s="410">
        <v>39.65</v>
      </c>
      <c r="I63" s="418">
        <f t="shared" si="3"/>
        <v>-1.7348203221809189E-2</v>
      </c>
      <c r="J63" s="410">
        <v>4514.07</v>
      </c>
      <c r="K63" s="418">
        <f t="shared" si="4"/>
        <v>-1.3185753191903293E-3</v>
      </c>
      <c r="L63" s="410">
        <v>39.65</v>
      </c>
      <c r="M63" s="418">
        <f t="shared" si="5"/>
        <v>-1.7348203221809189E-2</v>
      </c>
      <c r="N63" s="410">
        <v>4514.07</v>
      </c>
      <c r="O63" s="418">
        <f t="shared" si="6"/>
        <v>-1.3185753191903293E-3</v>
      </c>
      <c r="P63" s="410">
        <v>39.65</v>
      </c>
      <c r="Q63" s="418">
        <f t="shared" si="7"/>
        <v>-1.7348203221809189E-2</v>
      </c>
    </row>
    <row r="64" spans="1:17">
      <c r="A64" s="407">
        <v>44446</v>
      </c>
      <c r="B64" s="410">
        <v>4520.03</v>
      </c>
      <c r="C64" s="417">
        <f t="shared" si="0"/>
        <v>-3.3954884101398131E-3</v>
      </c>
      <c r="D64" s="410">
        <v>40.35</v>
      </c>
      <c r="E64" s="417">
        <f t="shared" si="1"/>
        <v>2.4844720496894901E-3</v>
      </c>
      <c r="F64" s="410">
        <v>4520.03</v>
      </c>
      <c r="G64" s="418">
        <f t="shared" si="2"/>
        <v>-3.3954884101398131E-3</v>
      </c>
      <c r="H64" s="410">
        <v>40.35</v>
      </c>
      <c r="I64" s="418">
        <f t="shared" si="3"/>
        <v>2.4844720496894901E-3</v>
      </c>
      <c r="J64" s="410">
        <v>4520.03</v>
      </c>
      <c r="K64" s="418">
        <f t="shared" si="4"/>
        <v>-3.3954884101398131E-3</v>
      </c>
      <c r="L64" s="410">
        <v>40.35</v>
      </c>
      <c r="M64" s="418">
        <f t="shared" si="5"/>
        <v>2.4844720496894901E-3</v>
      </c>
      <c r="N64" s="410">
        <v>4520.03</v>
      </c>
      <c r="O64" s="418">
        <f t="shared" si="6"/>
        <v>-3.3954884101398131E-3</v>
      </c>
      <c r="P64" s="410">
        <v>40.35</v>
      </c>
      <c r="Q64" s="418">
        <f t="shared" si="7"/>
        <v>2.4844720496894901E-3</v>
      </c>
    </row>
    <row r="65" spans="1:17">
      <c r="A65" s="407">
        <v>44442</v>
      </c>
      <c r="B65" s="410">
        <v>4535.43</v>
      </c>
      <c r="C65" s="417">
        <f t="shared" si="0"/>
        <v>-3.3502683520858501E-4</v>
      </c>
      <c r="D65" s="410">
        <v>40.25</v>
      </c>
      <c r="E65" s="417">
        <f t="shared" si="1"/>
        <v>-1.3963743263106343E-2</v>
      </c>
      <c r="F65" s="410">
        <v>4535.43</v>
      </c>
      <c r="G65" s="418">
        <f t="shared" si="2"/>
        <v>-3.3502683520858501E-4</v>
      </c>
      <c r="H65" s="410">
        <v>40.25</v>
      </c>
      <c r="I65" s="418">
        <f t="shared" si="3"/>
        <v>-1.3963743263106343E-2</v>
      </c>
      <c r="J65" s="410">
        <v>4535.43</v>
      </c>
      <c r="K65" s="418">
        <f t="shared" si="4"/>
        <v>-3.3502683520858501E-4</v>
      </c>
      <c r="L65" s="410">
        <v>40.25</v>
      </c>
      <c r="M65" s="418">
        <f t="shared" si="5"/>
        <v>-1.3963743263106343E-2</v>
      </c>
      <c r="N65" s="410">
        <v>4535.43</v>
      </c>
      <c r="O65" s="418">
        <f t="shared" si="6"/>
        <v>-3.3502683520858501E-4</v>
      </c>
      <c r="P65" s="410">
        <v>40.25</v>
      </c>
      <c r="Q65" s="418">
        <f t="shared" si="7"/>
        <v>-1.3963743263106343E-2</v>
      </c>
    </row>
    <row r="66" spans="1:17">
      <c r="A66" s="407">
        <v>44441</v>
      </c>
      <c r="B66" s="410">
        <v>4536.95</v>
      </c>
      <c r="C66" s="417">
        <f t="shared" si="0"/>
        <v>2.8425606033477546E-3</v>
      </c>
      <c r="D66" s="410">
        <v>40.82</v>
      </c>
      <c r="E66" s="417">
        <f t="shared" si="1"/>
        <v>1.0396039603960405E-2</v>
      </c>
      <c r="F66" s="410">
        <v>4536.95</v>
      </c>
      <c r="G66" s="418">
        <f t="shared" si="2"/>
        <v>2.8425606033477546E-3</v>
      </c>
      <c r="H66" s="410">
        <v>40.82</v>
      </c>
      <c r="I66" s="418">
        <f t="shared" si="3"/>
        <v>1.0396039603960405E-2</v>
      </c>
      <c r="J66" s="410">
        <v>4536.95</v>
      </c>
      <c r="K66" s="418">
        <f t="shared" si="4"/>
        <v>2.8425606033477546E-3</v>
      </c>
      <c r="L66" s="410">
        <v>40.82</v>
      </c>
      <c r="M66" s="418">
        <f t="shared" si="5"/>
        <v>1.0396039603960405E-2</v>
      </c>
      <c r="N66" s="410">
        <v>4536.95</v>
      </c>
      <c r="O66" s="418">
        <f t="shared" si="6"/>
        <v>2.8425606033477546E-3</v>
      </c>
      <c r="P66" s="410">
        <v>40.82</v>
      </c>
      <c r="Q66" s="418">
        <f t="shared" si="7"/>
        <v>1.0396039603960405E-2</v>
      </c>
    </row>
    <row r="67" spans="1:17">
      <c r="A67" s="407">
        <v>44440</v>
      </c>
      <c r="B67" s="410">
        <v>4524.09</v>
      </c>
      <c r="C67" s="417">
        <f t="shared" si="0"/>
        <v>3.117620525883158E-4</v>
      </c>
      <c r="D67" s="410">
        <v>40.4</v>
      </c>
      <c r="E67" s="417">
        <f t="shared" si="1"/>
        <v>-9.8911968348169843E-4</v>
      </c>
      <c r="F67" s="410">
        <v>4524.09</v>
      </c>
      <c r="G67" s="418">
        <f t="shared" si="2"/>
        <v>3.117620525883158E-4</v>
      </c>
      <c r="H67" s="410">
        <v>40.4</v>
      </c>
      <c r="I67" s="418">
        <f t="shared" si="3"/>
        <v>-9.8911968348169843E-4</v>
      </c>
      <c r="J67" s="410">
        <v>4524.09</v>
      </c>
      <c r="K67" s="418">
        <f t="shared" si="4"/>
        <v>3.117620525883158E-4</v>
      </c>
      <c r="L67" s="410">
        <v>40.4</v>
      </c>
      <c r="M67" s="418">
        <f t="shared" si="5"/>
        <v>-9.8911968348169843E-4</v>
      </c>
      <c r="N67" s="410">
        <v>4524.09</v>
      </c>
      <c r="O67" s="418">
        <f t="shared" si="6"/>
        <v>3.117620525883158E-4</v>
      </c>
      <c r="P67" s="410">
        <v>40.4</v>
      </c>
      <c r="Q67" s="418">
        <f t="shared" si="7"/>
        <v>-9.8911968348169843E-4</v>
      </c>
    </row>
    <row r="68" spans="1:17">
      <c r="A68" s="407">
        <v>44439</v>
      </c>
      <c r="B68" s="410">
        <v>4522.68</v>
      </c>
      <c r="C68" s="417">
        <f t="shared" si="0"/>
        <v>-1.349146239944865E-3</v>
      </c>
      <c r="D68" s="410">
        <v>40.44</v>
      </c>
      <c r="E68" s="417">
        <f t="shared" si="1"/>
        <v>1.3279879729391153E-2</v>
      </c>
      <c r="F68" s="410">
        <v>4522.68</v>
      </c>
      <c r="G68" s="418">
        <f t="shared" si="2"/>
        <v>-1.349146239944865E-3</v>
      </c>
      <c r="H68" s="410">
        <v>40.44</v>
      </c>
      <c r="I68" s="418">
        <f t="shared" si="3"/>
        <v>1.3279879729391153E-2</v>
      </c>
      <c r="J68" s="410">
        <v>4522.68</v>
      </c>
      <c r="K68" s="418">
        <f t="shared" si="4"/>
        <v>-1.349146239944865E-3</v>
      </c>
      <c r="L68" s="410">
        <v>40.44</v>
      </c>
      <c r="M68" s="418">
        <f t="shared" si="5"/>
        <v>1.3279879729391153E-2</v>
      </c>
      <c r="N68" s="410">
        <v>4522.68</v>
      </c>
      <c r="O68" s="418">
        <f t="shared" si="6"/>
        <v>-1.349146239944865E-3</v>
      </c>
      <c r="P68" s="410">
        <v>40.44</v>
      </c>
      <c r="Q68" s="418">
        <f t="shared" si="7"/>
        <v>1.3279879729391153E-2</v>
      </c>
    </row>
    <row r="69" spans="1:17">
      <c r="A69" s="407">
        <v>44438</v>
      </c>
      <c r="B69" s="410">
        <v>4528.79</v>
      </c>
      <c r="C69" s="417">
        <f t="shared" si="0"/>
        <v>4.30658828173347E-3</v>
      </c>
      <c r="D69" s="410">
        <v>39.909999999999997</v>
      </c>
      <c r="E69" s="417">
        <f t="shared" si="1"/>
        <v>-3.8776493256262201E-2</v>
      </c>
      <c r="F69" s="410">
        <v>4528.79</v>
      </c>
      <c r="G69" s="418">
        <f t="shared" si="2"/>
        <v>4.30658828173347E-3</v>
      </c>
      <c r="H69" s="410">
        <v>39.909999999999997</v>
      </c>
      <c r="I69" s="418">
        <f t="shared" si="3"/>
        <v>-3.8776493256262201E-2</v>
      </c>
      <c r="J69" s="410">
        <v>4528.79</v>
      </c>
      <c r="K69" s="418">
        <f t="shared" si="4"/>
        <v>4.30658828173347E-3</v>
      </c>
      <c r="L69" s="410">
        <v>39.909999999999997</v>
      </c>
      <c r="M69" s="418">
        <f t="shared" si="5"/>
        <v>-3.8776493256262201E-2</v>
      </c>
      <c r="N69" s="410">
        <v>4528.79</v>
      </c>
      <c r="O69" s="418">
        <f t="shared" si="6"/>
        <v>4.30658828173347E-3</v>
      </c>
      <c r="P69" s="410">
        <v>39.909999999999997</v>
      </c>
      <c r="Q69" s="418">
        <f t="shared" si="7"/>
        <v>-3.8776493256262201E-2</v>
      </c>
    </row>
    <row r="70" spans="1:17">
      <c r="A70" s="407">
        <v>44435</v>
      </c>
      <c r="B70" s="410">
        <v>4509.37</v>
      </c>
      <c r="C70" s="417">
        <f t="shared" si="0"/>
        <v>8.8076062639821373E-3</v>
      </c>
      <c r="D70" s="410">
        <v>41.52</v>
      </c>
      <c r="E70" s="417">
        <f t="shared" si="1"/>
        <v>1.8395879323031661E-2</v>
      </c>
      <c r="F70" s="410">
        <v>4509.37</v>
      </c>
      <c r="G70" s="418">
        <f t="shared" si="2"/>
        <v>8.8076062639821373E-3</v>
      </c>
      <c r="H70" s="410">
        <v>41.52</v>
      </c>
      <c r="I70" s="418">
        <f t="shared" si="3"/>
        <v>1.8395879323031661E-2</v>
      </c>
      <c r="J70" s="410">
        <v>4509.37</v>
      </c>
      <c r="K70" s="418">
        <f t="shared" si="4"/>
        <v>8.8076062639821373E-3</v>
      </c>
      <c r="L70" s="410">
        <v>41.52</v>
      </c>
      <c r="M70" s="418">
        <f t="shared" si="5"/>
        <v>1.8395879323031661E-2</v>
      </c>
      <c r="N70" s="410">
        <v>4509.37</v>
      </c>
      <c r="O70" s="418">
        <f t="shared" si="6"/>
        <v>8.8076062639821373E-3</v>
      </c>
      <c r="P70" s="410">
        <v>41.52</v>
      </c>
      <c r="Q70" s="418">
        <f t="shared" si="7"/>
        <v>1.8395879323031661E-2</v>
      </c>
    </row>
    <row r="71" spans="1:17">
      <c r="A71" s="407">
        <v>44434</v>
      </c>
      <c r="B71" s="410">
        <v>4470</v>
      </c>
      <c r="C71" s="417">
        <f t="shared" si="0"/>
        <v>-5.8249317755698637E-3</v>
      </c>
      <c r="D71" s="410">
        <v>40.770000000000003</v>
      </c>
      <c r="E71" s="417">
        <f t="shared" si="1"/>
        <v>-1.283292978208217E-2</v>
      </c>
      <c r="F71" s="410">
        <v>4470</v>
      </c>
      <c r="G71" s="418">
        <f t="shared" si="2"/>
        <v>-5.8249317755698637E-3</v>
      </c>
      <c r="H71" s="410">
        <v>40.770000000000003</v>
      </c>
      <c r="I71" s="418">
        <f t="shared" si="3"/>
        <v>-1.283292978208217E-2</v>
      </c>
      <c r="J71" s="410">
        <v>4470</v>
      </c>
      <c r="K71" s="418">
        <f t="shared" si="4"/>
        <v>-5.8249317755698637E-3</v>
      </c>
      <c r="L71" s="410">
        <v>40.770000000000003</v>
      </c>
      <c r="M71" s="418">
        <f t="shared" si="5"/>
        <v>-1.283292978208217E-2</v>
      </c>
      <c r="N71" s="410">
        <v>4470</v>
      </c>
      <c r="O71" s="418">
        <f t="shared" si="6"/>
        <v>-5.8249317755698637E-3</v>
      </c>
      <c r="P71" s="410">
        <v>40.770000000000003</v>
      </c>
      <c r="Q71" s="418">
        <f t="shared" si="7"/>
        <v>-1.283292978208217E-2</v>
      </c>
    </row>
    <row r="72" spans="1:17">
      <c r="A72" s="407">
        <v>44433</v>
      </c>
      <c r="B72" s="410">
        <v>4496.1899999999996</v>
      </c>
      <c r="C72" s="417">
        <f t="shared" ref="C72:C135" si="8">B72/B73-1</f>
        <v>2.2201269217136943E-3</v>
      </c>
      <c r="D72" s="410">
        <v>41.3</v>
      </c>
      <c r="E72" s="417">
        <f t="shared" ref="E72:E135" si="9">D72/D73-1</f>
        <v>1.899827288428324E-2</v>
      </c>
      <c r="F72" s="410">
        <v>4496.1899999999996</v>
      </c>
      <c r="G72" s="418">
        <f t="shared" ref="G72:G135" si="10">F72/F73-1</f>
        <v>2.2201269217136943E-3</v>
      </c>
      <c r="H72" s="410">
        <v>41.3</v>
      </c>
      <c r="I72" s="418">
        <f t="shared" ref="I72:I135" si="11">H72/H73-1</f>
        <v>1.899827288428324E-2</v>
      </c>
      <c r="J72" s="410">
        <v>4496.1899999999996</v>
      </c>
      <c r="K72" s="418">
        <f t="shared" ref="K72:K135" si="12">J72/J73-1</f>
        <v>2.2201269217136943E-3</v>
      </c>
      <c r="L72" s="410">
        <v>41.3</v>
      </c>
      <c r="M72" s="418">
        <f t="shared" ref="M72:M135" si="13">L72/L73-1</f>
        <v>1.899827288428324E-2</v>
      </c>
      <c r="N72" s="410">
        <v>4496.1899999999996</v>
      </c>
      <c r="O72" s="418">
        <f t="shared" ref="O72:O135" si="14">N72/N73-1</f>
        <v>2.2201269217136943E-3</v>
      </c>
      <c r="P72" s="410">
        <v>41.3</v>
      </c>
      <c r="Q72" s="418">
        <f t="shared" ref="Q72:Q135" si="15">P72/P73-1</f>
        <v>1.899827288428324E-2</v>
      </c>
    </row>
    <row r="73" spans="1:17">
      <c r="A73" s="407">
        <v>44432</v>
      </c>
      <c r="B73" s="410">
        <v>4486.2299999999996</v>
      </c>
      <c r="C73" s="417">
        <f t="shared" si="8"/>
        <v>1.4956926284677152E-3</v>
      </c>
      <c r="D73" s="410">
        <v>40.53</v>
      </c>
      <c r="E73" s="417">
        <f t="shared" si="9"/>
        <v>3.3664881407804215E-2</v>
      </c>
      <c r="F73" s="410">
        <v>4486.2299999999996</v>
      </c>
      <c r="G73" s="418">
        <f t="shared" si="10"/>
        <v>1.4956926284677152E-3</v>
      </c>
      <c r="H73" s="410">
        <v>40.53</v>
      </c>
      <c r="I73" s="418">
        <f t="shared" si="11"/>
        <v>3.3664881407804215E-2</v>
      </c>
      <c r="J73" s="410">
        <v>4486.2299999999996</v>
      </c>
      <c r="K73" s="418">
        <f t="shared" si="12"/>
        <v>1.4956926284677152E-3</v>
      </c>
      <c r="L73" s="410">
        <v>40.53</v>
      </c>
      <c r="M73" s="418">
        <f t="shared" si="13"/>
        <v>3.3664881407804215E-2</v>
      </c>
      <c r="N73" s="410">
        <v>4486.2299999999996</v>
      </c>
      <c r="O73" s="418">
        <f t="shared" si="14"/>
        <v>1.4956926284677152E-3</v>
      </c>
      <c r="P73" s="410">
        <v>40.53</v>
      </c>
      <c r="Q73" s="418">
        <f t="shared" si="15"/>
        <v>3.3664881407804215E-2</v>
      </c>
    </row>
    <row r="74" spans="1:17">
      <c r="A74" s="407">
        <v>44431</v>
      </c>
      <c r="B74" s="410">
        <v>4479.53</v>
      </c>
      <c r="C74" s="417">
        <f t="shared" si="8"/>
        <v>8.5238209952562816E-3</v>
      </c>
      <c r="D74" s="410">
        <v>39.21</v>
      </c>
      <c r="E74" s="417">
        <f t="shared" si="9"/>
        <v>2.8593913955928807E-2</v>
      </c>
      <c r="F74" s="410">
        <v>4479.53</v>
      </c>
      <c r="G74" s="418">
        <f t="shared" si="10"/>
        <v>8.5238209952562816E-3</v>
      </c>
      <c r="H74" s="410">
        <v>39.21</v>
      </c>
      <c r="I74" s="418">
        <f t="shared" si="11"/>
        <v>2.8593913955928807E-2</v>
      </c>
      <c r="J74" s="410">
        <v>4479.53</v>
      </c>
      <c r="K74" s="418">
        <f t="shared" si="12"/>
        <v>8.5238209952562816E-3</v>
      </c>
      <c r="L74" s="410">
        <v>39.21</v>
      </c>
      <c r="M74" s="418">
        <f t="shared" si="13"/>
        <v>2.8593913955928807E-2</v>
      </c>
      <c r="N74" s="410">
        <v>4479.53</v>
      </c>
      <c r="O74" s="418">
        <f t="shared" si="14"/>
        <v>8.5238209952562816E-3</v>
      </c>
      <c r="P74" s="410">
        <v>39.21</v>
      </c>
      <c r="Q74" s="418">
        <f t="shared" si="15"/>
        <v>2.8593913955928807E-2</v>
      </c>
    </row>
    <row r="75" spans="1:17">
      <c r="A75" s="407">
        <v>44428</v>
      </c>
      <c r="B75" s="410">
        <v>4441.67</v>
      </c>
      <c r="C75" s="417">
        <f t="shared" si="8"/>
        <v>8.1415406963547543E-3</v>
      </c>
      <c r="D75" s="410">
        <v>38.119999999999997</v>
      </c>
      <c r="E75" s="417">
        <f t="shared" si="9"/>
        <v>5.0092275243869278E-3</v>
      </c>
      <c r="F75" s="410">
        <v>4441.67</v>
      </c>
      <c r="G75" s="418">
        <f t="shared" si="10"/>
        <v>8.1415406963547543E-3</v>
      </c>
      <c r="H75" s="410">
        <v>38.119999999999997</v>
      </c>
      <c r="I75" s="418">
        <f t="shared" si="11"/>
        <v>5.0092275243869278E-3</v>
      </c>
      <c r="J75" s="410">
        <v>4441.67</v>
      </c>
      <c r="K75" s="418">
        <f t="shared" si="12"/>
        <v>8.1415406963547543E-3</v>
      </c>
      <c r="L75" s="410">
        <v>38.119999999999997</v>
      </c>
      <c r="M75" s="418">
        <f t="shared" si="13"/>
        <v>5.0092275243869278E-3</v>
      </c>
      <c r="N75" s="410">
        <v>4441.67</v>
      </c>
      <c r="O75" s="418">
        <f t="shared" si="14"/>
        <v>8.1415406963547543E-3</v>
      </c>
      <c r="P75" s="410">
        <v>38.119999999999997</v>
      </c>
      <c r="Q75" s="418">
        <f t="shared" si="15"/>
        <v>5.0092275243869278E-3</v>
      </c>
    </row>
    <row r="76" spans="1:17">
      <c r="A76" s="407">
        <v>44427</v>
      </c>
      <c r="B76" s="410">
        <v>4405.8</v>
      </c>
      <c r="C76" s="417">
        <f t="shared" si="8"/>
        <v>1.2567410636163956E-3</v>
      </c>
      <c r="D76" s="410">
        <v>37.93</v>
      </c>
      <c r="E76" s="417">
        <f t="shared" si="9"/>
        <v>-1.8628719275549765E-2</v>
      </c>
      <c r="F76" s="410">
        <v>4405.8</v>
      </c>
      <c r="G76" s="418">
        <f t="shared" si="10"/>
        <v>1.2567410636163956E-3</v>
      </c>
      <c r="H76" s="410">
        <v>37.93</v>
      </c>
      <c r="I76" s="418">
        <f t="shared" si="11"/>
        <v>-1.8628719275549765E-2</v>
      </c>
      <c r="J76" s="410">
        <v>4405.8</v>
      </c>
      <c r="K76" s="418">
        <f t="shared" si="12"/>
        <v>1.2567410636163956E-3</v>
      </c>
      <c r="L76" s="410">
        <v>37.93</v>
      </c>
      <c r="M76" s="418">
        <f t="shared" si="13"/>
        <v>-1.8628719275549765E-2</v>
      </c>
      <c r="N76" s="410">
        <v>4405.8</v>
      </c>
      <c r="O76" s="418">
        <f t="shared" si="14"/>
        <v>1.2567410636163956E-3</v>
      </c>
      <c r="P76" s="410">
        <v>37.93</v>
      </c>
      <c r="Q76" s="418">
        <f t="shared" si="15"/>
        <v>-1.8628719275549765E-2</v>
      </c>
    </row>
    <row r="77" spans="1:17">
      <c r="A77" s="407">
        <v>44426</v>
      </c>
      <c r="B77" s="410">
        <v>4400.2700000000004</v>
      </c>
      <c r="C77" s="417">
        <f t="shared" si="8"/>
        <v>-1.0748457761550978E-2</v>
      </c>
      <c r="D77" s="410">
        <v>38.65</v>
      </c>
      <c r="E77" s="417">
        <f t="shared" si="9"/>
        <v>-3.3522434244456223E-3</v>
      </c>
      <c r="F77" s="410">
        <v>4400.2700000000004</v>
      </c>
      <c r="G77" s="418">
        <f t="shared" si="10"/>
        <v>-1.0748457761550978E-2</v>
      </c>
      <c r="H77" s="410">
        <v>38.65</v>
      </c>
      <c r="I77" s="418">
        <f t="shared" si="11"/>
        <v>-3.3522434244456223E-3</v>
      </c>
      <c r="J77" s="410">
        <v>4400.2700000000004</v>
      </c>
      <c r="K77" s="418">
        <f t="shared" si="12"/>
        <v>-1.0748457761550978E-2</v>
      </c>
      <c r="L77" s="410">
        <v>38.65</v>
      </c>
      <c r="M77" s="418">
        <f t="shared" si="13"/>
        <v>-3.3522434244456223E-3</v>
      </c>
      <c r="N77" s="410">
        <v>4400.2700000000004</v>
      </c>
      <c r="O77" s="418">
        <f t="shared" si="14"/>
        <v>-1.0748457761550978E-2</v>
      </c>
      <c r="P77" s="410">
        <v>38.65</v>
      </c>
      <c r="Q77" s="418">
        <f t="shared" si="15"/>
        <v>-3.3522434244456223E-3</v>
      </c>
    </row>
    <row r="78" spans="1:17">
      <c r="A78" s="407">
        <v>44425</v>
      </c>
      <c r="B78" s="410">
        <v>4448.08</v>
      </c>
      <c r="C78" s="417">
        <f t="shared" si="8"/>
        <v>-7.0607249129965854E-3</v>
      </c>
      <c r="D78" s="410">
        <v>38.78</v>
      </c>
      <c r="E78" s="417">
        <f t="shared" si="9"/>
        <v>-2.8800400701227136E-2</v>
      </c>
      <c r="F78" s="410">
        <v>4448.08</v>
      </c>
      <c r="G78" s="418">
        <f t="shared" si="10"/>
        <v>-7.0607249129965854E-3</v>
      </c>
      <c r="H78" s="410">
        <v>38.78</v>
      </c>
      <c r="I78" s="418">
        <f t="shared" si="11"/>
        <v>-2.8800400701227136E-2</v>
      </c>
      <c r="J78" s="410">
        <v>4448.08</v>
      </c>
      <c r="K78" s="418">
        <f t="shared" si="12"/>
        <v>-7.0607249129965854E-3</v>
      </c>
      <c r="L78" s="410">
        <v>38.78</v>
      </c>
      <c r="M78" s="418">
        <f t="shared" si="13"/>
        <v>-2.8800400701227136E-2</v>
      </c>
      <c r="N78" s="410">
        <v>4448.08</v>
      </c>
      <c r="O78" s="418">
        <f t="shared" si="14"/>
        <v>-7.0607249129965854E-3</v>
      </c>
      <c r="P78" s="410">
        <v>38.78</v>
      </c>
      <c r="Q78" s="418">
        <f t="shared" si="15"/>
        <v>-2.8800400701227136E-2</v>
      </c>
    </row>
    <row r="79" spans="1:17">
      <c r="A79" s="407">
        <v>44424</v>
      </c>
      <c r="B79" s="410">
        <v>4479.71</v>
      </c>
      <c r="C79" s="417">
        <f t="shared" si="8"/>
        <v>2.6208594449417255E-3</v>
      </c>
      <c r="D79" s="410">
        <v>39.93</v>
      </c>
      <c r="E79" s="417">
        <f t="shared" si="9"/>
        <v>7.518796992480592E-4</v>
      </c>
      <c r="F79" s="410">
        <v>4479.71</v>
      </c>
      <c r="G79" s="418">
        <f t="shared" si="10"/>
        <v>2.6208594449417255E-3</v>
      </c>
      <c r="H79" s="410">
        <v>39.93</v>
      </c>
      <c r="I79" s="418">
        <f t="shared" si="11"/>
        <v>7.518796992480592E-4</v>
      </c>
      <c r="J79" s="410">
        <v>4479.71</v>
      </c>
      <c r="K79" s="418">
        <f t="shared" si="12"/>
        <v>2.6208594449417255E-3</v>
      </c>
      <c r="L79" s="410">
        <v>39.93</v>
      </c>
      <c r="M79" s="418">
        <f t="shared" si="13"/>
        <v>7.518796992480592E-4</v>
      </c>
      <c r="N79" s="410">
        <v>4479.71</v>
      </c>
      <c r="O79" s="418">
        <f t="shared" si="14"/>
        <v>2.6208594449417255E-3</v>
      </c>
      <c r="P79" s="410">
        <v>39.93</v>
      </c>
      <c r="Q79" s="418">
        <f t="shared" si="15"/>
        <v>7.518796992480592E-4</v>
      </c>
    </row>
    <row r="80" spans="1:17">
      <c r="A80" s="407">
        <v>44421</v>
      </c>
      <c r="B80" s="410">
        <v>4468</v>
      </c>
      <c r="C80" s="417">
        <f t="shared" si="8"/>
        <v>1.6073241975147479E-3</v>
      </c>
      <c r="D80" s="410">
        <v>39.9</v>
      </c>
      <c r="E80" s="417">
        <f t="shared" si="9"/>
        <v>-1.5544041450777257E-2</v>
      </c>
      <c r="F80" s="410">
        <v>4468</v>
      </c>
      <c r="G80" s="418">
        <f t="shared" si="10"/>
        <v>1.6073241975147479E-3</v>
      </c>
      <c r="H80" s="410">
        <v>39.9</v>
      </c>
      <c r="I80" s="418">
        <f t="shared" si="11"/>
        <v>-1.5544041450777257E-2</v>
      </c>
      <c r="J80" s="410">
        <v>4468</v>
      </c>
      <c r="K80" s="418">
        <f t="shared" si="12"/>
        <v>1.6073241975147479E-3</v>
      </c>
      <c r="L80" s="410">
        <v>39.9</v>
      </c>
      <c r="M80" s="418">
        <f t="shared" si="13"/>
        <v>-1.5544041450777257E-2</v>
      </c>
      <c r="N80" s="410">
        <v>4468</v>
      </c>
      <c r="O80" s="418">
        <f t="shared" si="14"/>
        <v>1.6073241975147479E-3</v>
      </c>
      <c r="P80" s="410">
        <v>39.9</v>
      </c>
      <c r="Q80" s="418">
        <f t="shared" si="15"/>
        <v>-1.5544041450777257E-2</v>
      </c>
    </row>
    <row r="81" spans="1:17">
      <c r="A81" s="407">
        <v>44420</v>
      </c>
      <c r="B81" s="410">
        <v>4460.83</v>
      </c>
      <c r="C81" s="417">
        <f t="shared" si="8"/>
        <v>2.9520875958359838E-3</v>
      </c>
      <c r="D81" s="410">
        <v>40.53</v>
      </c>
      <c r="E81" s="417">
        <f t="shared" si="9"/>
        <v>-1.8644067796610098E-2</v>
      </c>
      <c r="F81" s="410">
        <v>4460.83</v>
      </c>
      <c r="G81" s="418">
        <f t="shared" si="10"/>
        <v>2.9520875958359838E-3</v>
      </c>
      <c r="H81" s="410">
        <v>40.53</v>
      </c>
      <c r="I81" s="418">
        <f t="shared" si="11"/>
        <v>-1.8644067796610098E-2</v>
      </c>
      <c r="J81" s="410">
        <v>4460.83</v>
      </c>
      <c r="K81" s="418">
        <f t="shared" si="12"/>
        <v>2.9520875958359838E-3</v>
      </c>
      <c r="L81" s="410">
        <v>40.53</v>
      </c>
      <c r="M81" s="418">
        <f t="shared" si="13"/>
        <v>-1.8644067796610098E-2</v>
      </c>
      <c r="N81" s="410">
        <v>4460.83</v>
      </c>
      <c r="O81" s="418">
        <f t="shared" si="14"/>
        <v>2.9520875958359838E-3</v>
      </c>
      <c r="P81" s="410">
        <v>40.53</v>
      </c>
      <c r="Q81" s="418">
        <f t="shared" si="15"/>
        <v>-1.8644067796610098E-2</v>
      </c>
    </row>
    <row r="82" spans="1:17">
      <c r="A82" s="407">
        <v>44419</v>
      </c>
      <c r="B82" s="410">
        <v>4447.7</v>
      </c>
      <c r="C82" s="417">
        <f t="shared" si="8"/>
        <v>2.4680227644109376E-3</v>
      </c>
      <c r="D82" s="410">
        <v>41.3</v>
      </c>
      <c r="E82" s="417">
        <f t="shared" si="9"/>
        <v>2.0761245674740358E-2</v>
      </c>
      <c r="F82" s="410">
        <v>4447.7</v>
      </c>
      <c r="G82" s="418">
        <f t="shared" si="10"/>
        <v>2.4680227644109376E-3</v>
      </c>
      <c r="H82" s="410">
        <v>41.3</v>
      </c>
      <c r="I82" s="418">
        <f t="shared" si="11"/>
        <v>2.0761245674740358E-2</v>
      </c>
      <c r="J82" s="410">
        <v>4447.7</v>
      </c>
      <c r="K82" s="418">
        <f t="shared" si="12"/>
        <v>2.4680227644109376E-3</v>
      </c>
      <c r="L82" s="410">
        <v>41.3</v>
      </c>
      <c r="M82" s="418">
        <f t="shared" si="13"/>
        <v>2.0761245674740358E-2</v>
      </c>
      <c r="N82" s="410">
        <v>4447.7</v>
      </c>
      <c r="O82" s="418">
        <f t="shared" si="14"/>
        <v>2.4680227644109376E-3</v>
      </c>
      <c r="P82" s="410">
        <v>41.3</v>
      </c>
      <c r="Q82" s="418">
        <f t="shared" si="15"/>
        <v>2.0761245674740358E-2</v>
      </c>
    </row>
    <row r="83" spans="1:17">
      <c r="A83" s="407">
        <v>44418</v>
      </c>
      <c r="B83" s="410">
        <v>4436.75</v>
      </c>
      <c r="C83" s="417">
        <f t="shared" si="8"/>
        <v>9.9270138865370505E-4</v>
      </c>
      <c r="D83" s="410">
        <v>40.46</v>
      </c>
      <c r="E83" s="417">
        <f t="shared" si="9"/>
        <v>2.9778569610587891E-2</v>
      </c>
      <c r="F83" s="410">
        <v>4436.75</v>
      </c>
      <c r="G83" s="418">
        <f t="shared" si="10"/>
        <v>9.9270138865370505E-4</v>
      </c>
      <c r="H83" s="410">
        <v>40.46</v>
      </c>
      <c r="I83" s="418">
        <f t="shared" si="11"/>
        <v>2.9778569610587891E-2</v>
      </c>
      <c r="J83" s="410">
        <v>4436.75</v>
      </c>
      <c r="K83" s="418">
        <f t="shared" si="12"/>
        <v>9.9270138865370505E-4</v>
      </c>
      <c r="L83" s="410">
        <v>40.46</v>
      </c>
      <c r="M83" s="418">
        <f t="shared" si="13"/>
        <v>2.9778569610587891E-2</v>
      </c>
      <c r="N83" s="410">
        <v>4436.75</v>
      </c>
      <c r="O83" s="418">
        <f t="shared" si="14"/>
        <v>9.9270138865370505E-4</v>
      </c>
      <c r="P83" s="410">
        <v>40.46</v>
      </c>
      <c r="Q83" s="418">
        <f t="shared" si="15"/>
        <v>2.9778569610587891E-2</v>
      </c>
    </row>
    <row r="84" spans="1:17">
      <c r="A84" s="407">
        <v>44417</v>
      </c>
      <c r="B84" s="410">
        <v>4432.3500000000004</v>
      </c>
      <c r="C84" s="417">
        <f t="shared" si="8"/>
        <v>-9.3992588785807296E-4</v>
      </c>
      <c r="D84" s="410">
        <v>39.29</v>
      </c>
      <c r="E84" s="417">
        <f t="shared" si="9"/>
        <v>-2.5545634920634996E-2</v>
      </c>
      <c r="F84" s="410">
        <v>4432.3500000000004</v>
      </c>
      <c r="G84" s="418">
        <f t="shared" si="10"/>
        <v>-9.3992588785807296E-4</v>
      </c>
      <c r="H84" s="410">
        <v>39.29</v>
      </c>
      <c r="I84" s="418">
        <f t="shared" si="11"/>
        <v>-2.5545634920634996E-2</v>
      </c>
      <c r="J84" s="410">
        <v>4432.3500000000004</v>
      </c>
      <c r="K84" s="418">
        <f t="shared" si="12"/>
        <v>-9.3992588785807296E-4</v>
      </c>
      <c r="L84" s="410">
        <v>39.29</v>
      </c>
      <c r="M84" s="418">
        <f t="shared" si="13"/>
        <v>-2.5545634920634996E-2</v>
      </c>
      <c r="N84" s="410">
        <v>4432.3500000000004</v>
      </c>
      <c r="O84" s="418">
        <f t="shared" si="14"/>
        <v>-9.3992588785807296E-4</v>
      </c>
      <c r="P84" s="410">
        <v>39.29</v>
      </c>
      <c r="Q84" s="418">
        <f t="shared" si="15"/>
        <v>-2.5545634920634996E-2</v>
      </c>
    </row>
    <row r="85" spans="1:17">
      <c r="A85" s="407">
        <v>44414</v>
      </c>
      <c r="B85" s="410">
        <v>4436.5200000000004</v>
      </c>
      <c r="C85" s="417">
        <f t="shared" si="8"/>
        <v>1.6752839177258672E-3</v>
      </c>
      <c r="D85" s="410">
        <v>40.32</v>
      </c>
      <c r="E85" s="417">
        <f t="shared" si="9"/>
        <v>8.2520630157538744E-3</v>
      </c>
      <c r="F85" s="410">
        <v>4436.5200000000004</v>
      </c>
      <c r="G85" s="418">
        <f t="shared" si="10"/>
        <v>1.6752839177258672E-3</v>
      </c>
      <c r="H85" s="410">
        <v>40.32</v>
      </c>
      <c r="I85" s="418">
        <f t="shared" si="11"/>
        <v>8.2520630157538744E-3</v>
      </c>
      <c r="J85" s="410">
        <v>4436.5200000000004</v>
      </c>
      <c r="K85" s="418">
        <f t="shared" si="12"/>
        <v>1.6752839177258672E-3</v>
      </c>
      <c r="L85" s="410">
        <v>40.32</v>
      </c>
      <c r="M85" s="418">
        <f t="shared" si="13"/>
        <v>8.2520630157538744E-3</v>
      </c>
      <c r="N85" s="410">
        <v>4436.5200000000004</v>
      </c>
      <c r="O85" s="418">
        <f t="shared" si="14"/>
        <v>1.6752839177258672E-3</v>
      </c>
      <c r="P85" s="410">
        <v>40.32</v>
      </c>
      <c r="Q85" s="418">
        <f t="shared" si="15"/>
        <v>8.2520630157538744E-3</v>
      </c>
    </row>
    <row r="86" spans="1:17">
      <c r="A86" s="407">
        <v>44413</v>
      </c>
      <c r="B86" s="410">
        <v>4429.1000000000004</v>
      </c>
      <c r="C86" s="417">
        <f t="shared" si="8"/>
        <v>6.0054603353427716E-3</v>
      </c>
      <c r="D86" s="410">
        <v>39.99</v>
      </c>
      <c r="E86" s="417">
        <f t="shared" si="9"/>
        <v>4.2764015645371689E-2</v>
      </c>
      <c r="F86" s="410">
        <v>4429.1000000000004</v>
      </c>
      <c r="G86" s="418">
        <f t="shared" si="10"/>
        <v>6.0054603353427716E-3</v>
      </c>
      <c r="H86" s="410">
        <v>39.99</v>
      </c>
      <c r="I86" s="418">
        <f t="shared" si="11"/>
        <v>4.2764015645371689E-2</v>
      </c>
      <c r="J86" s="410">
        <v>4429.1000000000004</v>
      </c>
      <c r="K86" s="418">
        <f t="shared" si="12"/>
        <v>6.0054603353427716E-3</v>
      </c>
      <c r="L86" s="410">
        <v>39.99</v>
      </c>
      <c r="M86" s="418">
        <f t="shared" si="13"/>
        <v>4.2764015645371689E-2</v>
      </c>
      <c r="N86" s="410">
        <v>4429.1000000000004</v>
      </c>
      <c r="O86" s="418">
        <f t="shared" si="14"/>
        <v>6.0054603353427716E-3</v>
      </c>
      <c r="P86" s="410">
        <v>39.99</v>
      </c>
      <c r="Q86" s="418">
        <f t="shared" si="15"/>
        <v>4.2764015645371689E-2</v>
      </c>
    </row>
    <row r="87" spans="1:17">
      <c r="A87" s="407">
        <v>44412</v>
      </c>
      <c r="B87" s="410">
        <v>4402.66</v>
      </c>
      <c r="C87" s="417">
        <f t="shared" si="8"/>
        <v>-4.6324452030791496E-3</v>
      </c>
      <c r="D87" s="410">
        <v>38.35</v>
      </c>
      <c r="E87" s="417">
        <f t="shared" si="9"/>
        <v>-3.5705305506663398E-2</v>
      </c>
      <c r="F87" s="410">
        <v>4402.66</v>
      </c>
      <c r="G87" s="418">
        <f t="shared" si="10"/>
        <v>-4.6324452030791496E-3</v>
      </c>
      <c r="H87" s="410">
        <v>38.35</v>
      </c>
      <c r="I87" s="418">
        <f t="shared" si="11"/>
        <v>-3.5705305506663398E-2</v>
      </c>
      <c r="J87" s="410">
        <v>4402.66</v>
      </c>
      <c r="K87" s="418">
        <f t="shared" si="12"/>
        <v>-4.6324452030791496E-3</v>
      </c>
      <c r="L87" s="410">
        <v>38.35</v>
      </c>
      <c r="M87" s="418">
        <f t="shared" si="13"/>
        <v>-3.5705305506663398E-2</v>
      </c>
      <c r="N87" s="410">
        <v>4402.66</v>
      </c>
      <c r="O87" s="418">
        <f t="shared" si="14"/>
        <v>-4.6324452030791496E-3</v>
      </c>
      <c r="P87" s="410">
        <v>38.35</v>
      </c>
      <c r="Q87" s="418">
        <f t="shared" si="15"/>
        <v>-3.5705305506663398E-2</v>
      </c>
    </row>
    <row r="88" spans="1:17">
      <c r="A88" s="407">
        <v>44411</v>
      </c>
      <c r="B88" s="410">
        <v>4423.1499999999996</v>
      </c>
      <c r="C88" s="417">
        <f t="shared" si="8"/>
        <v>8.2034847144849543E-3</v>
      </c>
      <c r="D88" s="410">
        <v>39.770000000000003</v>
      </c>
      <c r="E88" s="417">
        <f t="shared" si="9"/>
        <v>8.1115335868187088E-3</v>
      </c>
      <c r="F88" s="410">
        <v>4423.1499999999996</v>
      </c>
      <c r="G88" s="418">
        <f t="shared" si="10"/>
        <v>8.2034847144849543E-3</v>
      </c>
      <c r="H88" s="410">
        <v>39.770000000000003</v>
      </c>
      <c r="I88" s="418">
        <f t="shared" si="11"/>
        <v>8.1115335868187088E-3</v>
      </c>
      <c r="J88" s="410">
        <v>4423.1499999999996</v>
      </c>
      <c r="K88" s="418">
        <f t="shared" si="12"/>
        <v>8.2034847144849543E-3</v>
      </c>
      <c r="L88" s="410">
        <v>39.770000000000003</v>
      </c>
      <c r="M88" s="418">
        <f t="shared" si="13"/>
        <v>8.1115335868187088E-3</v>
      </c>
      <c r="N88" s="410">
        <v>4423.1499999999996</v>
      </c>
      <c r="O88" s="418">
        <f t="shared" si="14"/>
        <v>8.2034847144849543E-3</v>
      </c>
      <c r="P88" s="410">
        <v>39.770000000000003</v>
      </c>
      <c r="Q88" s="418">
        <f t="shared" si="15"/>
        <v>8.1115335868187088E-3</v>
      </c>
    </row>
    <row r="89" spans="1:17">
      <c r="A89" s="407">
        <v>44410</v>
      </c>
      <c r="B89" s="410">
        <v>4387.16</v>
      </c>
      <c r="C89" s="417">
        <f t="shared" si="8"/>
        <v>-1.8428943907755624E-3</v>
      </c>
      <c r="D89" s="410">
        <v>39.450000000000003</v>
      </c>
      <c r="E89" s="417">
        <f t="shared" si="9"/>
        <v>-1.1278195488721665E-2</v>
      </c>
      <c r="F89" s="410">
        <v>4387.16</v>
      </c>
      <c r="G89" s="418">
        <f t="shared" si="10"/>
        <v>-1.8428943907755624E-3</v>
      </c>
      <c r="H89" s="410">
        <v>39.450000000000003</v>
      </c>
      <c r="I89" s="418">
        <f t="shared" si="11"/>
        <v>-1.1278195488721665E-2</v>
      </c>
      <c r="J89" s="410">
        <v>4387.16</v>
      </c>
      <c r="K89" s="418">
        <f t="shared" si="12"/>
        <v>-1.8428943907755624E-3</v>
      </c>
      <c r="L89" s="410">
        <v>39.450000000000003</v>
      </c>
      <c r="M89" s="418">
        <f t="shared" si="13"/>
        <v>-1.1278195488721665E-2</v>
      </c>
      <c r="N89" s="410">
        <v>4387.16</v>
      </c>
      <c r="O89" s="418">
        <f t="shared" si="14"/>
        <v>-1.8428943907755624E-3</v>
      </c>
      <c r="P89" s="410">
        <v>39.450000000000003</v>
      </c>
      <c r="Q89" s="418">
        <f t="shared" si="15"/>
        <v>-1.1278195488721665E-2</v>
      </c>
    </row>
    <row r="90" spans="1:17">
      <c r="A90" s="407">
        <v>44407</v>
      </c>
      <c r="B90" s="410">
        <v>4395.26</v>
      </c>
      <c r="C90" s="417">
        <f t="shared" si="8"/>
        <v>-5.4060169942181657E-3</v>
      </c>
      <c r="D90" s="410">
        <v>39.9</v>
      </c>
      <c r="E90" s="417">
        <f t="shared" si="9"/>
        <v>-3.2258064516129004E-2</v>
      </c>
      <c r="F90" s="410">
        <v>4395.26</v>
      </c>
      <c r="G90" s="418">
        <f t="shared" si="10"/>
        <v>-5.4060169942181657E-3</v>
      </c>
      <c r="H90" s="410">
        <v>39.9</v>
      </c>
      <c r="I90" s="418">
        <f t="shared" si="11"/>
        <v>-3.2258064516129004E-2</v>
      </c>
      <c r="J90" s="410">
        <v>4395.26</v>
      </c>
      <c r="K90" s="418">
        <f t="shared" si="12"/>
        <v>-5.4060169942181657E-3</v>
      </c>
      <c r="L90" s="410">
        <v>39.9</v>
      </c>
      <c r="M90" s="418">
        <f t="shared" si="13"/>
        <v>-3.2258064516129004E-2</v>
      </c>
      <c r="N90" s="410">
        <v>4395.26</v>
      </c>
      <c r="O90" s="418">
        <f t="shared" si="14"/>
        <v>-5.4060169942181657E-3</v>
      </c>
      <c r="P90" s="410">
        <v>39.9</v>
      </c>
      <c r="Q90" s="418">
        <f t="shared" si="15"/>
        <v>-3.2258064516129004E-2</v>
      </c>
    </row>
    <row r="91" spans="1:17">
      <c r="A91" s="407">
        <v>44406</v>
      </c>
      <c r="B91" s="410">
        <v>4419.1499999999996</v>
      </c>
      <c r="C91" s="417">
        <f t="shared" si="8"/>
        <v>4.2062063699823682E-3</v>
      </c>
      <c r="D91" s="410">
        <v>41.23</v>
      </c>
      <c r="E91" s="417">
        <f t="shared" si="9"/>
        <v>-1.6949152542372614E-3</v>
      </c>
      <c r="F91" s="410">
        <v>4419.1499999999996</v>
      </c>
      <c r="G91" s="418">
        <f t="shared" si="10"/>
        <v>4.2062063699823682E-3</v>
      </c>
      <c r="H91" s="410">
        <v>41.23</v>
      </c>
      <c r="I91" s="418">
        <f t="shared" si="11"/>
        <v>-1.6949152542372614E-3</v>
      </c>
      <c r="J91" s="410">
        <v>4419.1499999999996</v>
      </c>
      <c r="K91" s="418">
        <f t="shared" si="12"/>
        <v>4.2062063699823682E-3</v>
      </c>
      <c r="L91" s="410">
        <v>41.23</v>
      </c>
      <c r="M91" s="418">
        <f t="shared" si="13"/>
        <v>-1.6949152542372614E-3</v>
      </c>
      <c r="N91" s="410">
        <v>4419.1499999999996</v>
      </c>
      <c r="O91" s="418">
        <f t="shared" si="14"/>
        <v>4.2062063699823682E-3</v>
      </c>
      <c r="P91" s="410">
        <v>41.23</v>
      </c>
      <c r="Q91" s="418">
        <f t="shared" si="15"/>
        <v>-1.6949152542372614E-3</v>
      </c>
    </row>
    <row r="92" spans="1:17">
      <c r="A92" s="407">
        <v>44405</v>
      </c>
      <c r="B92" s="410">
        <v>4400.6400000000003</v>
      </c>
      <c r="C92" s="417">
        <f t="shared" si="8"/>
        <v>-1.8630181803303003E-4</v>
      </c>
      <c r="D92" s="410">
        <v>41.3</v>
      </c>
      <c r="E92" s="417">
        <f t="shared" si="9"/>
        <v>8.30078125E-3</v>
      </c>
      <c r="F92" s="410">
        <v>4400.6400000000003</v>
      </c>
      <c r="G92" s="418">
        <f t="shared" si="10"/>
        <v>-1.8630181803303003E-4</v>
      </c>
      <c r="H92" s="410">
        <v>41.3</v>
      </c>
      <c r="I92" s="418">
        <f t="shared" si="11"/>
        <v>8.30078125E-3</v>
      </c>
      <c r="J92" s="410">
        <v>4400.6400000000003</v>
      </c>
      <c r="K92" s="418">
        <f t="shared" si="12"/>
        <v>-1.8630181803303003E-4</v>
      </c>
      <c r="L92" s="410">
        <v>41.3</v>
      </c>
      <c r="M92" s="418">
        <f t="shared" si="13"/>
        <v>8.30078125E-3</v>
      </c>
      <c r="N92" s="410">
        <v>4400.6400000000003</v>
      </c>
      <c r="O92" s="418">
        <f t="shared" si="14"/>
        <v>-1.8630181803303003E-4</v>
      </c>
      <c r="P92" s="410">
        <v>41.3</v>
      </c>
      <c r="Q92" s="418">
        <f t="shared" si="15"/>
        <v>8.30078125E-3</v>
      </c>
    </row>
    <row r="93" spans="1:17">
      <c r="A93" s="407">
        <v>44404</v>
      </c>
      <c r="B93" s="410">
        <v>4401.46</v>
      </c>
      <c r="C93" s="417">
        <f t="shared" si="8"/>
        <v>-4.7124799312575627E-3</v>
      </c>
      <c r="D93" s="410">
        <v>40.96</v>
      </c>
      <c r="E93" s="417">
        <f t="shared" si="9"/>
        <v>-1.7038636909047278E-2</v>
      </c>
      <c r="F93" s="410">
        <v>4401.46</v>
      </c>
      <c r="G93" s="418">
        <f t="shared" si="10"/>
        <v>-4.7124799312575627E-3</v>
      </c>
      <c r="H93" s="410">
        <v>40.96</v>
      </c>
      <c r="I93" s="418">
        <f t="shared" si="11"/>
        <v>-1.7038636909047278E-2</v>
      </c>
      <c r="J93" s="410">
        <v>4401.46</v>
      </c>
      <c r="K93" s="418">
        <f t="shared" si="12"/>
        <v>-4.7124799312575627E-3</v>
      </c>
      <c r="L93" s="410">
        <v>40.96</v>
      </c>
      <c r="M93" s="418">
        <f t="shared" si="13"/>
        <v>-1.7038636909047278E-2</v>
      </c>
      <c r="N93" s="410">
        <v>4401.46</v>
      </c>
      <c r="O93" s="418">
        <f t="shared" si="14"/>
        <v>-4.7124799312575627E-3</v>
      </c>
      <c r="P93" s="410">
        <v>40.96</v>
      </c>
      <c r="Q93" s="418">
        <f t="shared" si="15"/>
        <v>-1.7038636909047278E-2</v>
      </c>
    </row>
    <row r="94" spans="1:17">
      <c r="A94" s="407">
        <v>44403</v>
      </c>
      <c r="B94" s="410">
        <v>4422.3</v>
      </c>
      <c r="C94" s="417">
        <f t="shared" si="8"/>
        <v>2.382253008416102E-3</v>
      </c>
      <c r="D94" s="410">
        <v>41.67</v>
      </c>
      <c r="E94" s="417">
        <f t="shared" si="9"/>
        <v>3.1180400890868709E-2</v>
      </c>
      <c r="F94" s="410">
        <v>4422.3</v>
      </c>
      <c r="G94" s="418">
        <f t="shared" si="10"/>
        <v>2.382253008416102E-3</v>
      </c>
      <c r="H94" s="410">
        <v>41.67</v>
      </c>
      <c r="I94" s="418">
        <f t="shared" si="11"/>
        <v>3.1180400890868709E-2</v>
      </c>
      <c r="J94" s="410">
        <v>4422.3</v>
      </c>
      <c r="K94" s="418">
        <f t="shared" si="12"/>
        <v>2.382253008416102E-3</v>
      </c>
      <c r="L94" s="410">
        <v>41.67</v>
      </c>
      <c r="M94" s="418">
        <f t="shared" si="13"/>
        <v>3.1180400890868709E-2</v>
      </c>
      <c r="N94" s="410">
        <v>4422.3</v>
      </c>
      <c r="O94" s="418">
        <f t="shared" si="14"/>
        <v>2.382253008416102E-3</v>
      </c>
      <c r="P94" s="410">
        <v>41.67</v>
      </c>
      <c r="Q94" s="418">
        <f t="shared" si="15"/>
        <v>3.1180400890868709E-2</v>
      </c>
    </row>
    <row r="95" spans="1:17">
      <c r="A95" s="407">
        <v>44400</v>
      </c>
      <c r="B95" s="410">
        <v>4411.79</v>
      </c>
      <c r="C95" s="417">
        <f t="shared" si="8"/>
        <v>1.0145438559535647E-2</v>
      </c>
      <c r="D95" s="410">
        <v>40.409999999999997</v>
      </c>
      <c r="E95" s="417">
        <f t="shared" si="9"/>
        <v>-1.5830491962981141E-2</v>
      </c>
      <c r="F95" s="410">
        <v>4411.79</v>
      </c>
      <c r="G95" s="418">
        <f t="shared" si="10"/>
        <v>1.0145438559535647E-2</v>
      </c>
      <c r="H95" s="410">
        <v>40.409999999999997</v>
      </c>
      <c r="I95" s="418">
        <f t="shared" si="11"/>
        <v>-1.5830491962981141E-2</v>
      </c>
      <c r="J95" s="410">
        <v>4411.79</v>
      </c>
      <c r="K95" s="418">
        <f t="shared" si="12"/>
        <v>1.0145438559535647E-2</v>
      </c>
      <c r="L95" s="410">
        <v>40.409999999999997</v>
      </c>
      <c r="M95" s="418">
        <f t="shared" si="13"/>
        <v>-1.5830491962981141E-2</v>
      </c>
      <c r="N95" s="410">
        <v>4411.79</v>
      </c>
      <c r="O95" s="418">
        <f t="shared" si="14"/>
        <v>1.0145438559535647E-2</v>
      </c>
      <c r="P95" s="410">
        <v>40.409999999999997</v>
      </c>
      <c r="Q95" s="418">
        <f t="shared" si="15"/>
        <v>-1.5830491962981141E-2</v>
      </c>
    </row>
    <row r="96" spans="1:17">
      <c r="A96" s="407">
        <v>44399</v>
      </c>
      <c r="B96" s="410">
        <v>4367.4799999999996</v>
      </c>
      <c r="C96" s="417">
        <f t="shared" si="8"/>
        <v>2.0166609692362503E-3</v>
      </c>
      <c r="D96" s="410">
        <v>41.06</v>
      </c>
      <c r="E96" s="417">
        <f t="shared" si="9"/>
        <v>-1.3217976447969182E-2</v>
      </c>
      <c r="F96" s="410">
        <v>4367.4799999999996</v>
      </c>
      <c r="G96" s="418">
        <f t="shared" si="10"/>
        <v>2.0166609692362503E-3</v>
      </c>
      <c r="H96" s="410">
        <v>41.06</v>
      </c>
      <c r="I96" s="418">
        <f t="shared" si="11"/>
        <v>-1.3217976447969182E-2</v>
      </c>
      <c r="J96" s="410">
        <v>4367.4799999999996</v>
      </c>
      <c r="K96" s="418">
        <f t="shared" si="12"/>
        <v>2.0166609692362503E-3</v>
      </c>
      <c r="L96" s="410">
        <v>41.06</v>
      </c>
      <c r="M96" s="418">
        <f t="shared" si="13"/>
        <v>-1.3217976447969182E-2</v>
      </c>
      <c r="N96" s="410">
        <v>4367.4799999999996</v>
      </c>
      <c r="O96" s="418">
        <f t="shared" si="14"/>
        <v>2.0166609692362503E-3</v>
      </c>
      <c r="P96" s="410">
        <v>41.06</v>
      </c>
      <c r="Q96" s="418">
        <f t="shared" si="15"/>
        <v>-1.3217976447969182E-2</v>
      </c>
    </row>
    <row r="97" spans="1:17">
      <c r="A97" s="407">
        <v>44398</v>
      </c>
      <c r="B97" s="410">
        <v>4358.6899999999996</v>
      </c>
      <c r="C97" s="417">
        <f t="shared" si="8"/>
        <v>8.2418472100778128E-3</v>
      </c>
      <c r="D97" s="410">
        <v>41.61</v>
      </c>
      <c r="E97" s="417">
        <f t="shared" si="9"/>
        <v>2.3364485981308469E-2</v>
      </c>
      <c r="F97" s="410">
        <v>4358.6899999999996</v>
      </c>
      <c r="G97" s="418">
        <f t="shared" si="10"/>
        <v>8.2418472100778128E-3</v>
      </c>
      <c r="H97" s="410">
        <v>41.61</v>
      </c>
      <c r="I97" s="418">
        <f t="shared" si="11"/>
        <v>2.3364485981308469E-2</v>
      </c>
      <c r="J97" s="410">
        <v>4358.6899999999996</v>
      </c>
      <c r="K97" s="418">
        <f t="shared" si="12"/>
        <v>8.2418472100778128E-3</v>
      </c>
      <c r="L97" s="410">
        <v>41.61</v>
      </c>
      <c r="M97" s="418">
        <f t="shared" si="13"/>
        <v>2.3364485981308469E-2</v>
      </c>
      <c r="N97" s="410">
        <v>4358.6899999999996</v>
      </c>
      <c r="O97" s="418">
        <f t="shared" si="14"/>
        <v>8.2418472100778128E-3</v>
      </c>
      <c r="P97" s="410">
        <v>41.61</v>
      </c>
      <c r="Q97" s="418">
        <f t="shared" si="15"/>
        <v>2.3364485981308469E-2</v>
      </c>
    </row>
    <row r="98" spans="1:17">
      <c r="A98" s="407">
        <v>44397</v>
      </c>
      <c r="B98" s="410">
        <v>4323.0600000000004</v>
      </c>
      <c r="C98" s="417">
        <f t="shared" si="8"/>
        <v>1.516265155019747E-2</v>
      </c>
      <c r="D98" s="410">
        <v>40.659999999999997</v>
      </c>
      <c r="E98" s="417">
        <f t="shared" si="9"/>
        <v>5.4460580912862877E-2</v>
      </c>
      <c r="F98" s="410">
        <v>4323.0600000000004</v>
      </c>
      <c r="G98" s="418">
        <f t="shared" si="10"/>
        <v>1.516265155019747E-2</v>
      </c>
      <c r="H98" s="410">
        <v>40.659999999999997</v>
      </c>
      <c r="I98" s="418">
        <f t="shared" si="11"/>
        <v>5.4460580912862877E-2</v>
      </c>
      <c r="J98" s="410">
        <v>4323.0600000000004</v>
      </c>
      <c r="K98" s="418">
        <f t="shared" si="12"/>
        <v>1.516265155019747E-2</v>
      </c>
      <c r="L98" s="410">
        <v>40.659999999999997</v>
      </c>
      <c r="M98" s="418">
        <f t="shared" si="13"/>
        <v>5.4460580912862877E-2</v>
      </c>
      <c r="N98" s="410">
        <v>4323.0600000000004</v>
      </c>
      <c r="O98" s="418">
        <f t="shared" si="14"/>
        <v>1.516265155019747E-2</v>
      </c>
      <c r="P98" s="410">
        <v>40.659999999999997</v>
      </c>
      <c r="Q98" s="418">
        <f t="shared" si="15"/>
        <v>5.4460580912862877E-2</v>
      </c>
    </row>
    <row r="99" spans="1:17">
      <c r="A99" s="407">
        <v>44396</v>
      </c>
      <c r="B99" s="410">
        <v>4258.49</v>
      </c>
      <c r="C99" s="417">
        <f t="shared" si="8"/>
        <v>-1.5869531055010655E-2</v>
      </c>
      <c r="D99" s="410">
        <v>38.56</v>
      </c>
      <c r="E99" s="417">
        <f t="shared" si="9"/>
        <v>-3.7443834248627073E-2</v>
      </c>
      <c r="F99" s="410">
        <v>4258.49</v>
      </c>
      <c r="G99" s="418">
        <f t="shared" si="10"/>
        <v>-1.5869531055010655E-2</v>
      </c>
      <c r="H99" s="410">
        <v>38.56</v>
      </c>
      <c r="I99" s="418">
        <f t="shared" si="11"/>
        <v>-3.7443834248627073E-2</v>
      </c>
      <c r="J99" s="410">
        <v>4258.49</v>
      </c>
      <c r="K99" s="418">
        <f t="shared" si="12"/>
        <v>-1.5869531055010655E-2</v>
      </c>
      <c r="L99" s="410">
        <v>38.56</v>
      </c>
      <c r="M99" s="418">
        <f t="shared" si="13"/>
        <v>-3.7443834248627073E-2</v>
      </c>
      <c r="N99" s="410">
        <v>4258.49</v>
      </c>
      <c r="O99" s="418">
        <f t="shared" si="14"/>
        <v>-1.5869531055010655E-2</v>
      </c>
      <c r="P99" s="410">
        <v>38.56</v>
      </c>
      <c r="Q99" s="418">
        <f t="shared" si="15"/>
        <v>-3.7443834248627073E-2</v>
      </c>
    </row>
    <row r="100" spans="1:17">
      <c r="A100" s="407">
        <v>44393</v>
      </c>
      <c r="B100" s="410">
        <v>4327.16</v>
      </c>
      <c r="C100" s="417">
        <f t="shared" si="8"/>
        <v>-7.5389389522548811E-3</v>
      </c>
      <c r="D100" s="410">
        <v>40.06</v>
      </c>
      <c r="E100" s="417">
        <f t="shared" si="9"/>
        <v>-3.1197097944377195E-2</v>
      </c>
      <c r="F100" s="410">
        <v>4327.16</v>
      </c>
      <c r="G100" s="418">
        <f t="shared" si="10"/>
        <v>-7.5389389522548811E-3</v>
      </c>
      <c r="H100" s="410">
        <v>40.06</v>
      </c>
      <c r="I100" s="418">
        <f t="shared" si="11"/>
        <v>-3.1197097944377195E-2</v>
      </c>
      <c r="J100" s="410">
        <v>4327.16</v>
      </c>
      <c r="K100" s="418">
        <f t="shared" si="12"/>
        <v>-7.5389389522548811E-3</v>
      </c>
      <c r="L100" s="410">
        <v>40.06</v>
      </c>
      <c r="M100" s="418">
        <f t="shared" si="13"/>
        <v>-3.1197097944377195E-2</v>
      </c>
      <c r="N100" s="410">
        <v>4327.16</v>
      </c>
      <c r="O100" s="418">
        <f t="shared" si="14"/>
        <v>-7.5389389522548811E-3</v>
      </c>
      <c r="P100" s="410">
        <v>40.06</v>
      </c>
      <c r="Q100" s="418">
        <f t="shared" si="15"/>
        <v>-3.1197097944377195E-2</v>
      </c>
    </row>
    <row r="101" spans="1:17">
      <c r="A101" s="407">
        <v>44392</v>
      </c>
      <c r="B101" s="410">
        <v>4360.03</v>
      </c>
      <c r="C101" s="417">
        <f t="shared" si="8"/>
        <v>-3.2622362435132946E-3</v>
      </c>
      <c r="D101" s="410">
        <v>41.35</v>
      </c>
      <c r="E101" s="417">
        <f t="shared" si="9"/>
        <v>1.6470009832841637E-2</v>
      </c>
      <c r="F101" s="410">
        <v>4360.03</v>
      </c>
      <c r="G101" s="418">
        <f t="shared" si="10"/>
        <v>-3.2622362435132946E-3</v>
      </c>
      <c r="H101" s="410">
        <v>41.35</v>
      </c>
      <c r="I101" s="418">
        <f t="shared" si="11"/>
        <v>1.6470009832841637E-2</v>
      </c>
      <c r="J101" s="410">
        <v>4360.03</v>
      </c>
      <c r="K101" s="418">
        <f t="shared" si="12"/>
        <v>-3.2622362435132946E-3</v>
      </c>
      <c r="L101" s="410">
        <v>41.35</v>
      </c>
      <c r="M101" s="418">
        <f t="shared" si="13"/>
        <v>1.6470009832841637E-2</v>
      </c>
      <c r="N101" s="410">
        <v>4360.03</v>
      </c>
      <c r="O101" s="418">
        <f t="shared" si="14"/>
        <v>-3.2622362435132946E-3</v>
      </c>
      <c r="P101" s="410">
        <v>41.35</v>
      </c>
      <c r="Q101" s="418">
        <f t="shared" si="15"/>
        <v>1.6470009832841637E-2</v>
      </c>
    </row>
    <row r="102" spans="1:17">
      <c r="A102" s="407">
        <v>44391</v>
      </c>
      <c r="B102" s="410">
        <v>4374.3</v>
      </c>
      <c r="C102" s="417">
        <f t="shared" si="8"/>
        <v>1.1649703264435818E-3</v>
      </c>
      <c r="D102" s="410">
        <v>40.68</v>
      </c>
      <c r="E102" s="417">
        <f t="shared" si="9"/>
        <v>-1.5727074764093851E-2</v>
      </c>
      <c r="F102" s="410">
        <v>4374.3</v>
      </c>
      <c r="G102" s="418">
        <f t="shared" si="10"/>
        <v>1.1649703264435818E-3</v>
      </c>
      <c r="H102" s="410">
        <v>40.68</v>
      </c>
      <c r="I102" s="418">
        <f t="shared" si="11"/>
        <v>-1.5727074764093851E-2</v>
      </c>
      <c r="J102" s="410">
        <v>4374.3</v>
      </c>
      <c r="K102" s="418">
        <f t="shared" si="12"/>
        <v>1.1649703264435818E-3</v>
      </c>
      <c r="L102" s="410">
        <v>40.68</v>
      </c>
      <c r="M102" s="418">
        <f t="shared" si="13"/>
        <v>-1.5727074764093851E-2</v>
      </c>
      <c r="N102" s="410">
        <v>4374.3</v>
      </c>
      <c r="O102" s="418">
        <f t="shared" si="14"/>
        <v>1.1649703264435818E-3</v>
      </c>
      <c r="P102" s="410">
        <v>40.68</v>
      </c>
      <c r="Q102" s="418">
        <f t="shared" si="15"/>
        <v>-1.5727074764093851E-2</v>
      </c>
    </row>
    <row r="103" spans="1:17">
      <c r="A103" s="407">
        <v>44390</v>
      </c>
      <c r="B103" s="410">
        <v>4369.21</v>
      </c>
      <c r="C103" s="417">
        <f t="shared" si="8"/>
        <v>-3.516830382495284E-3</v>
      </c>
      <c r="D103" s="410">
        <v>41.33</v>
      </c>
      <c r="E103" s="417">
        <f t="shared" si="9"/>
        <v>-3.547257876312726E-2</v>
      </c>
      <c r="F103" s="410">
        <v>4369.21</v>
      </c>
      <c r="G103" s="418">
        <f t="shared" si="10"/>
        <v>-3.516830382495284E-3</v>
      </c>
      <c r="H103" s="410">
        <v>41.33</v>
      </c>
      <c r="I103" s="418">
        <f t="shared" si="11"/>
        <v>-3.547257876312726E-2</v>
      </c>
      <c r="J103" s="410">
        <v>4369.21</v>
      </c>
      <c r="K103" s="418">
        <f t="shared" si="12"/>
        <v>-3.516830382495284E-3</v>
      </c>
      <c r="L103" s="410">
        <v>41.33</v>
      </c>
      <c r="M103" s="418">
        <f t="shared" si="13"/>
        <v>-3.547257876312726E-2</v>
      </c>
      <c r="N103" s="410">
        <v>4369.21</v>
      </c>
      <c r="O103" s="418">
        <f t="shared" si="14"/>
        <v>-3.516830382495284E-3</v>
      </c>
      <c r="P103" s="410">
        <v>41.33</v>
      </c>
      <c r="Q103" s="418">
        <f t="shared" si="15"/>
        <v>-3.547257876312726E-2</v>
      </c>
    </row>
    <row r="104" spans="1:17">
      <c r="A104" s="407">
        <v>44389</v>
      </c>
      <c r="B104" s="410">
        <v>4384.63</v>
      </c>
      <c r="C104" s="417">
        <f t="shared" si="8"/>
        <v>3.4511562975592103E-3</v>
      </c>
      <c r="D104" s="410">
        <v>42.85</v>
      </c>
      <c r="E104" s="417">
        <f t="shared" si="9"/>
        <v>-1.6309412861137407E-3</v>
      </c>
      <c r="F104" s="410">
        <v>4384.63</v>
      </c>
      <c r="G104" s="418">
        <f t="shared" si="10"/>
        <v>3.4511562975592103E-3</v>
      </c>
      <c r="H104" s="410">
        <v>42.85</v>
      </c>
      <c r="I104" s="418">
        <f t="shared" si="11"/>
        <v>-1.6309412861137407E-3</v>
      </c>
      <c r="J104" s="410">
        <v>4384.63</v>
      </c>
      <c r="K104" s="418">
        <f t="shared" si="12"/>
        <v>3.4511562975592103E-3</v>
      </c>
      <c r="L104" s="410">
        <v>42.85</v>
      </c>
      <c r="M104" s="418">
        <f t="shared" si="13"/>
        <v>-1.6309412861137407E-3</v>
      </c>
      <c r="N104" s="410">
        <v>4384.63</v>
      </c>
      <c r="O104" s="418">
        <f t="shared" si="14"/>
        <v>3.4511562975592103E-3</v>
      </c>
      <c r="P104" s="410">
        <v>42.85</v>
      </c>
      <c r="Q104" s="418">
        <f t="shared" si="15"/>
        <v>-1.6309412861137407E-3</v>
      </c>
    </row>
    <row r="105" spans="1:17">
      <c r="A105" s="407">
        <v>44386</v>
      </c>
      <c r="B105" s="410">
        <v>4369.55</v>
      </c>
      <c r="C105" s="417">
        <f t="shared" si="8"/>
        <v>1.1277951870247049E-2</v>
      </c>
      <c r="D105" s="410">
        <v>42.92</v>
      </c>
      <c r="E105" s="417">
        <f t="shared" si="9"/>
        <v>2.020442120275745E-2</v>
      </c>
      <c r="F105" s="410">
        <v>4369.55</v>
      </c>
      <c r="G105" s="418">
        <f t="shared" si="10"/>
        <v>1.1277951870247049E-2</v>
      </c>
      <c r="H105" s="410">
        <v>42.92</v>
      </c>
      <c r="I105" s="418">
        <f t="shared" si="11"/>
        <v>2.020442120275745E-2</v>
      </c>
      <c r="J105" s="410">
        <v>4369.55</v>
      </c>
      <c r="K105" s="418">
        <f t="shared" si="12"/>
        <v>1.1277951870247049E-2</v>
      </c>
      <c r="L105" s="410">
        <v>42.92</v>
      </c>
      <c r="M105" s="418">
        <f t="shared" si="13"/>
        <v>2.020442120275745E-2</v>
      </c>
      <c r="N105" s="410">
        <v>4369.55</v>
      </c>
      <c r="O105" s="418">
        <f t="shared" si="14"/>
        <v>1.1277951870247049E-2</v>
      </c>
      <c r="P105" s="410">
        <v>42.92</v>
      </c>
      <c r="Q105" s="418">
        <f t="shared" si="15"/>
        <v>2.020442120275745E-2</v>
      </c>
    </row>
    <row r="106" spans="1:17">
      <c r="A106" s="407">
        <v>44385</v>
      </c>
      <c r="B106" s="410">
        <v>4320.82</v>
      </c>
      <c r="C106" s="417">
        <f t="shared" si="8"/>
        <v>-8.56101125941644E-3</v>
      </c>
      <c r="D106" s="410">
        <v>42.07</v>
      </c>
      <c r="E106" s="417">
        <f t="shared" si="9"/>
        <v>-1.1048425011753626E-2</v>
      </c>
      <c r="F106" s="410">
        <v>4320.82</v>
      </c>
      <c r="G106" s="418">
        <f t="shared" si="10"/>
        <v>-8.56101125941644E-3</v>
      </c>
      <c r="H106" s="410">
        <v>42.07</v>
      </c>
      <c r="I106" s="418">
        <f t="shared" si="11"/>
        <v>-1.1048425011753626E-2</v>
      </c>
      <c r="J106" s="410">
        <v>4320.82</v>
      </c>
      <c r="K106" s="418">
        <f t="shared" si="12"/>
        <v>-8.56101125941644E-3</v>
      </c>
      <c r="L106" s="410">
        <v>42.07</v>
      </c>
      <c r="M106" s="418">
        <f t="shared" si="13"/>
        <v>-1.1048425011753626E-2</v>
      </c>
      <c r="N106" s="410">
        <v>4320.82</v>
      </c>
      <c r="O106" s="418">
        <f t="shared" si="14"/>
        <v>-8.56101125941644E-3</v>
      </c>
      <c r="P106" s="410">
        <v>42.07</v>
      </c>
      <c r="Q106" s="418">
        <f t="shared" si="15"/>
        <v>-1.1048425011753626E-2</v>
      </c>
    </row>
    <row r="107" spans="1:17">
      <c r="A107" s="407">
        <v>44384</v>
      </c>
      <c r="B107" s="410">
        <v>4358.13</v>
      </c>
      <c r="C107" s="417">
        <f t="shared" si="8"/>
        <v>3.359011313352811E-3</v>
      </c>
      <c r="D107" s="410">
        <v>42.54</v>
      </c>
      <c r="E107" s="417">
        <f t="shared" si="9"/>
        <v>-1.6188714153561601E-2</v>
      </c>
      <c r="F107" s="410">
        <v>4358.13</v>
      </c>
      <c r="G107" s="418">
        <f t="shared" si="10"/>
        <v>3.359011313352811E-3</v>
      </c>
      <c r="H107" s="410">
        <v>42.54</v>
      </c>
      <c r="I107" s="418">
        <f t="shared" si="11"/>
        <v>-1.6188714153561601E-2</v>
      </c>
      <c r="J107" s="410">
        <v>4358.13</v>
      </c>
      <c r="K107" s="418">
        <f t="shared" si="12"/>
        <v>3.359011313352811E-3</v>
      </c>
      <c r="L107" s="410">
        <v>42.54</v>
      </c>
      <c r="M107" s="418">
        <f t="shared" si="13"/>
        <v>-1.6188714153561601E-2</v>
      </c>
      <c r="N107" s="410">
        <v>4358.13</v>
      </c>
      <c r="O107" s="418">
        <f t="shared" si="14"/>
        <v>3.359011313352811E-3</v>
      </c>
      <c r="P107" s="410">
        <v>42.54</v>
      </c>
      <c r="Q107" s="418">
        <f t="shared" si="15"/>
        <v>-1.6188714153561601E-2</v>
      </c>
    </row>
    <row r="108" spans="1:17">
      <c r="A108" s="408">
        <v>44383</v>
      </c>
      <c r="B108" s="411">
        <v>4343.54</v>
      </c>
      <c r="C108" s="418">
        <f t="shared" si="8"/>
        <v>-2.0219008625245172E-3</v>
      </c>
      <c r="D108" s="411">
        <v>43.24</v>
      </c>
      <c r="E108" s="418">
        <f t="shared" si="9"/>
        <v>-2.0611551528878724E-2</v>
      </c>
      <c r="F108" s="411">
        <v>4343.54</v>
      </c>
      <c r="G108" s="418">
        <f t="shared" si="10"/>
        <v>-2.0219008625245172E-3</v>
      </c>
      <c r="H108" s="411">
        <v>43.24</v>
      </c>
      <c r="I108" s="418">
        <f t="shared" si="11"/>
        <v>-2.0611551528878724E-2</v>
      </c>
      <c r="J108" s="411">
        <v>4343.54</v>
      </c>
      <c r="K108" s="418">
        <f t="shared" si="12"/>
        <v>-2.0219008625245172E-3</v>
      </c>
      <c r="L108" s="411">
        <v>43.24</v>
      </c>
      <c r="M108" s="418">
        <f t="shared" si="13"/>
        <v>-2.0611551528878724E-2</v>
      </c>
      <c r="N108" s="411">
        <v>4343.54</v>
      </c>
      <c r="O108" s="418">
        <f t="shared" si="14"/>
        <v>-2.0219008625245172E-3</v>
      </c>
      <c r="P108" s="411">
        <v>43.24</v>
      </c>
      <c r="Q108" s="418">
        <f t="shared" si="15"/>
        <v>-2.0611551528878724E-2</v>
      </c>
    </row>
    <row r="109" spans="1:17">
      <c r="A109" s="408">
        <v>44379</v>
      </c>
      <c r="B109" s="411">
        <v>4352.34</v>
      </c>
      <c r="C109" s="418">
        <f t="shared" si="8"/>
        <v>7.5001041681135305E-3</v>
      </c>
      <c r="D109" s="411">
        <v>44.15</v>
      </c>
      <c r="E109" s="418">
        <f t="shared" si="9"/>
        <v>-1.8087271082974921E-3</v>
      </c>
      <c r="F109" s="411">
        <v>4352.34</v>
      </c>
      <c r="G109" s="418">
        <f t="shared" si="10"/>
        <v>7.5001041681135305E-3</v>
      </c>
      <c r="H109" s="411">
        <v>44.15</v>
      </c>
      <c r="I109" s="418">
        <f t="shared" si="11"/>
        <v>-1.8087271082974921E-3</v>
      </c>
      <c r="J109" s="411">
        <v>4352.34</v>
      </c>
      <c r="K109" s="418">
        <f t="shared" si="12"/>
        <v>7.5001041681135305E-3</v>
      </c>
      <c r="L109" s="411">
        <v>44.15</v>
      </c>
      <c r="M109" s="418">
        <f t="shared" si="13"/>
        <v>-1.8087271082974921E-3</v>
      </c>
      <c r="N109" s="411">
        <v>4352.34</v>
      </c>
      <c r="O109" s="418">
        <f t="shared" si="14"/>
        <v>7.5001041681135305E-3</v>
      </c>
      <c r="P109" s="411">
        <v>44.15</v>
      </c>
      <c r="Q109" s="418">
        <f t="shared" si="15"/>
        <v>-1.8087271082974921E-3</v>
      </c>
    </row>
    <row r="110" spans="1:17">
      <c r="A110" s="408">
        <v>44378</v>
      </c>
      <c r="B110" s="411">
        <v>4319.9399999999996</v>
      </c>
      <c r="C110" s="418">
        <f t="shared" si="8"/>
        <v>5.2216404886560319E-3</v>
      </c>
      <c r="D110" s="411">
        <v>44.23</v>
      </c>
      <c r="E110" s="418">
        <f t="shared" si="9"/>
        <v>2.242256125751263E-2</v>
      </c>
      <c r="F110" s="411">
        <v>4319.9399999999996</v>
      </c>
      <c r="G110" s="418">
        <f t="shared" si="10"/>
        <v>5.2216404886560319E-3</v>
      </c>
      <c r="H110" s="411">
        <v>44.23</v>
      </c>
      <c r="I110" s="418">
        <f t="shared" si="11"/>
        <v>2.242256125751263E-2</v>
      </c>
      <c r="J110" s="411">
        <v>4319.9399999999996</v>
      </c>
      <c r="K110" s="418">
        <f t="shared" si="12"/>
        <v>5.2216404886560319E-3</v>
      </c>
      <c r="L110" s="411">
        <v>44.23</v>
      </c>
      <c r="M110" s="418">
        <f t="shared" si="13"/>
        <v>2.242256125751263E-2</v>
      </c>
      <c r="N110" s="411">
        <v>4319.9399999999996</v>
      </c>
      <c r="O110" s="418">
        <f t="shared" si="14"/>
        <v>5.2216404886560319E-3</v>
      </c>
      <c r="P110" s="411">
        <v>44.23</v>
      </c>
      <c r="Q110" s="418">
        <f t="shared" si="15"/>
        <v>2.242256125751263E-2</v>
      </c>
    </row>
    <row r="111" spans="1:17">
      <c r="A111" s="408">
        <v>44377</v>
      </c>
      <c r="B111" s="411">
        <v>4297.5</v>
      </c>
      <c r="C111" s="418">
        <f t="shared" si="8"/>
        <v>1.3281140780092571E-3</v>
      </c>
      <c r="D111" s="411">
        <v>43.26</v>
      </c>
      <c r="E111" s="418">
        <f t="shared" si="9"/>
        <v>9.0972708187544438E-3</v>
      </c>
      <c r="F111" s="411">
        <v>4297.5</v>
      </c>
      <c r="G111" s="418">
        <f t="shared" si="10"/>
        <v>1.3281140780092571E-3</v>
      </c>
      <c r="H111" s="411">
        <v>43.26</v>
      </c>
      <c r="I111" s="418">
        <f t="shared" si="11"/>
        <v>9.0972708187544438E-3</v>
      </c>
      <c r="J111" s="411">
        <v>4297.5</v>
      </c>
      <c r="K111" s="418">
        <f t="shared" si="12"/>
        <v>1.3281140780092571E-3</v>
      </c>
      <c r="L111" s="411">
        <v>43.26</v>
      </c>
      <c r="M111" s="418">
        <f t="shared" si="13"/>
        <v>9.0972708187544438E-3</v>
      </c>
      <c r="N111" s="411">
        <v>4297.5</v>
      </c>
      <c r="O111" s="418">
        <f t="shared" si="14"/>
        <v>1.3281140780092571E-3</v>
      </c>
      <c r="P111" s="411">
        <v>43.26</v>
      </c>
      <c r="Q111" s="418">
        <f t="shared" si="15"/>
        <v>9.0972708187544438E-3</v>
      </c>
    </row>
    <row r="112" spans="1:17">
      <c r="A112" s="408">
        <v>44376</v>
      </c>
      <c r="B112" s="411">
        <v>4291.8</v>
      </c>
      <c r="C112" s="418">
        <f t="shared" si="8"/>
        <v>2.7734984069871516E-4</v>
      </c>
      <c r="D112" s="411">
        <v>42.87</v>
      </c>
      <c r="E112" s="418">
        <f t="shared" si="9"/>
        <v>-5.797773654916516E-3</v>
      </c>
      <c r="F112" s="411">
        <v>4291.8</v>
      </c>
      <c r="G112" s="418">
        <f t="shared" si="10"/>
        <v>2.7734984069871516E-4</v>
      </c>
      <c r="H112" s="411">
        <v>42.87</v>
      </c>
      <c r="I112" s="418">
        <f t="shared" si="11"/>
        <v>-5.797773654916516E-3</v>
      </c>
      <c r="J112" s="411">
        <v>4291.8</v>
      </c>
      <c r="K112" s="418">
        <f t="shared" si="12"/>
        <v>2.7734984069871516E-4</v>
      </c>
      <c r="L112" s="411">
        <v>42.87</v>
      </c>
      <c r="M112" s="418">
        <f t="shared" si="13"/>
        <v>-5.797773654916516E-3</v>
      </c>
      <c r="N112" s="411">
        <v>4291.8</v>
      </c>
      <c r="O112" s="418">
        <f t="shared" si="14"/>
        <v>2.7734984069871516E-4</v>
      </c>
      <c r="P112" s="411">
        <v>42.87</v>
      </c>
      <c r="Q112" s="418">
        <f t="shared" si="15"/>
        <v>-5.797773654916516E-3</v>
      </c>
    </row>
    <row r="113" spans="1:17">
      <c r="A113" s="408">
        <v>44375</v>
      </c>
      <c r="B113" s="411">
        <v>4290.6099999999997</v>
      </c>
      <c r="C113" s="418">
        <f t="shared" si="8"/>
        <v>2.3150419323942906E-3</v>
      </c>
      <c r="D113" s="411">
        <v>43.12</v>
      </c>
      <c r="E113" s="418">
        <f t="shared" si="9"/>
        <v>-2.9484582489309075E-2</v>
      </c>
      <c r="F113" s="411">
        <v>4290.6099999999997</v>
      </c>
      <c r="G113" s="418">
        <f t="shared" si="10"/>
        <v>2.3150419323942906E-3</v>
      </c>
      <c r="H113" s="411">
        <v>43.12</v>
      </c>
      <c r="I113" s="418">
        <f t="shared" si="11"/>
        <v>-2.9484582489309075E-2</v>
      </c>
      <c r="J113" s="411">
        <v>4290.6099999999997</v>
      </c>
      <c r="K113" s="418">
        <f t="shared" si="12"/>
        <v>2.3150419323942906E-3</v>
      </c>
      <c r="L113" s="411">
        <v>43.12</v>
      </c>
      <c r="M113" s="418">
        <f t="shared" si="13"/>
        <v>-2.9484582489309075E-2</v>
      </c>
      <c r="N113" s="411">
        <v>4290.6099999999997</v>
      </c>
      <c r="O113" s="418">
        <f t="shared" si="14"/>
        <v>2.3150419323942906E-3</v>
      </c>
      <c r="P113" s="411">
        <v>43.12</v>
      </c>
      <c r="Q113" s="418">
        <f t="shared" si="15"/>
        <v>-2.9484582489309075E-2</v>
      </c>
    </row>
    <row r="114" spans="1:17">
      <c r="A114" s="408">
        <v>44372</v>
      </c>
      <c r="B114" s="411">
        <v>4280.7</v>
      </c>
      <c r="C114" s="418">
        <f t="shared" si="8"/>
        <v>3.3306066579319449E-3</v>
      </c>
      <c r="D114" s="411">
        <v>44.43</v>
      </c>
      <c r="E114" s="418">
        <f t="shared" si="9"/>
        <v>-1.0688042752170945E-2</v>
      </c>
      <c r="F114" s="411">
        <v>4280.7</v>
      </c>
      <c r="G114" s="418">
        <f t="shared" si="10"/>
        <v>3.3306066579319449E-3</v>
      </c>
      <c r="H114" s="411">
        <v>44.43</v>
      </c>
      <c r="I114" s="418">
        <f t="shared" si="11"/>
        <v>-1.0688042752170945E-2</v>
      </c>
      <c r="J114" s="411">
        <v>4280.7</v>
      </c>
      <c r="K114" s="418">
        <f t="shared" si="12"/>
        <v>3.3306066579319449E-3</v>
      </c>
      <c r="L114" s="411">
        <v>44.43</v>
      </c>
      <c r="M114" s="418">
        <f t="shared" si="13"/>
        <v>-1.0688042752170945E-2</v>
      </c>
      <c r="N114" s="411">
        <v>4280.7</v>
      </c>
      <c r="O114" s="418">
        <f t="shared" si="14"/>
        <v>3.3306066579319449E-3</v>
      </c>
      <c r="P114" s="411">
        <v>44.43</v>
      </c>
      <c r="Q114" s="418">
        <f t="shared" si="15"/>
        <v>-1.0688042752170945E-2</v>
      </c>
    </row>
    <row r="115" spans="1:17">
      <c r="A115" s="408">
        <v>44371</v>
      </c>
      <c r="B115" s="411">
        <v>4266.49</v>
      </c>
      <c r="C115" s="418">
        <f t="shared" si="8"/>
        <v>5.8111574222505791E-3</v>
      </c>
      <c r="D115" s="411">
        <v>44.91</v>
      </c>
      <c r="E115" s="418">
        <f t="shared" si="9"/>
        <v>-7.9522862823062646E-3</v>
      </c>
      <c r="F115" s="411">
        <v>4266.49</v>
      </c>
      <c r="G115" s="418">
        <f t="shared" si="10"/>
        <v>5.8111574222505791E-3</v>
      </c>
      <c r="H115" s="411">
        <v>44.91</v>
      </c>
      <c r="I115" s="418">
        <f t="shared" si="11"/>
        <v>-7.9522862823062646E-3</v>
      </c>
      <c r="J115" s="411">
        <v>4266.49</v>
      </c>
      <c r="K115" s="418">
        <f t="shared" si="12"/>
        <v>5.8111574222505791E-3</v>
      </c>
      <c r="L115" s="411">
        <v>44.91</v>
      </c>
      <c r="M115" s="418">
        <f t="shared" si="13"/>
        <v>-7.9522862823062646E-3</v>
      </c>
      <c r="N115" s="411">
        <v>4266.49</v>
      </c>
      <c r="O115" s="418">
        <f t="shared" si="14"/>
        <v>5.8111574222505791E-3</v>
      </c>
      <c r="P115" s="411">
        <v>44.91</v>
      </c>
      <c r="Q115" s="418">
        <f t="shared" si="15"/>
        <v>-7.9522862823062646E-3</v>
      </c>
    </row>
    <row r="116" spans="1:17">
      <c r="A116" s="408">
        <v>44370</v>
      </c>
      <c r="B116" s="411">
        <v>4241.84</v>
      </c>
      <c r="C116" s="418">
        <f t="shared" si="8"/>
        <v>-1.0832603310065858E-3</v>
      </c>
      <c r="D116" s="411">
        <v>45.27</v>
      </c>
      <c r="E116" s="418">
        <f t="shared" si="9"/>
        <v>-2.204099625302991E-3</v>
      </c>
      <c r="F116" s="411">
        <v>4241.84</v>
      </c>
      <c r="G116" s="418">
        <f t="shared" si="10"/>
        <v>-1.0832603310065858E-3</v>
      </c>
      <c r="H116" s="411">
        <v>45.27</v>
      </c>
      <c r="I116" s="418">
        <f t="shared" si="11"/>
        <v>-2.204099625302991E-3</v>
      </c>
      <c r="J116" s="411">
        <v>4241.84</v>
      </c>
      <c r="K116" s="418">
        <f t="shared" si="12"/>
        <v>-1.0832603310065858E-3</v>
      </c>
      <c r="L116" s="411">
        <v>45.27</v>
      </c>
      <c r="M116" s="418">
        <f t="shared" si="13"/>
        <v>-2.204099625302991E-3</v>
      </c>
      <c r="N116" s="411">
        <v>4241.84</v>
      </c>
      <c r="O116" s="418">
        <f t="shared" si="14"/>
        <v>-1.0832603310065858E-3</v>
      </c>
      <c r="P116" s="411">
        <v>45.27</v>
      </c>
      <c r="Q116" s="418">
        <f t="shared" si="15"/>
        <v>-2.204099625302991E-3</v>
      </c>
    </row>
    <row r="117" spans="1:17">
      <c r="A117" s="408">
        <v>44369</v>
      </c>
      <c r="B117" s="411">
        <v>4246.4399999999996</v>
      </c>
      <c r="C117" s="418">
        <f t="shared" si="8"/>
        <v>5.124515064653945E-3</v>
      </c>
      <c r="D117" s="411">
        <v>45.37</v>
      </c>
      <c r="E117" s="418">
        <f t="shared" si="9"/>
        <v>-8.7393489185056961E-3</v>
      </c>
      <c r="F117" s="411">
        <v>4246.4399999999996</v>
      </c>
      <c r="G117" s="418">
        <f t="shared" si="10"/>
        <v>5.124515064653945E-3</v>
      </c>
      <c r="H117" s="411">
        <v>45.37</v>
      </c>
      <c r="I117" s="418">
        <f t="shared" si="11"/>
        <v>-8.7393489185056961E-3</v>
      </c>
      <c r="J117" s="411">
        <v>4246.4399999999996</v>
      </c>
      <c r="K117" s="418">
        <f t="shared" si="12"/>
        <v>5.124515064653945E-3</v>
      </c>
      <c r="L117" s="411">
        <v>45.37</v>
      </c>
      <c r="M117" s="418">
        <f t="shared" si="13"/>
        <v>-8.7393489185056961E-3</v>
      </c>
      <c r="N117" s="411">
        <v>4246.4399999999996</v>
      </c>
      <c r="O117" s="418">
        <f t="shared" si="14"/>
        <v>5.124515064653945E-3</v>
      </c>
      <c r="P117" s="411">
        <v>45.37</v>
      </c>
      <c r="Q117" s="418">
        <f t="shared" si="15"/>
        <v>-8.7393489185056961E-3</v>
      </c>
    </row>
    <row r="118" spans="1:17">
      <c r="A118" s="408">
        <v>44368</v>
      </c>
      <c r="B118" s="411">
        <v>4224.79</v>
      </c>
      <c r="C118" s="418">
        <f t="shared" si="8"/>
        <v>1.4002328121062391E-2</v>
      </c>
      <c r="D118" s="411">
        <v>45.77</v>
      </c>
      <c r="E118" s="418">
        <f t="shared" si="9"/>
        <v>1.8016014234875533E-2</v>
      </c>
      <c r="F118" s="411">
        <v>4224.79</v>
      </c>
      <c r="G118" s="418">
        <f t="shared" si="10"/>
        <v>1.4002328121062391E-2</v>
      </c>
      <c r="H118" s="411">
        <v>45.77</v>
      </c>
      <c r="I118" s="418">
        <f t="shared" si="11"/>
        <v>1.8016014234875533E-2</v>
      </c>
      <c r="J118" s="411">
        <v>4224.79</v>
      </c>
      <c r="K118" s="418">
        <f t="shared" si="12"/>
        <v>1.4002328121062391E-2</v>
      </c>
      <c r="L118" s="411">
        <v>45.77</v>
      </c>
      <c r="M118" s="418">
        <f t="shared" si="13"/>
        <v>1.8016014234875533E-2</v>
      </c>
      <c r="N118" s="411">
        <v>4224.79</v>
      </c>
      <c r="O118" s="418">
        <f t="shared" si="14"/>
        <v>1.4002328121062391E-2</v>
      </c>
      <c r="P118" s="411">
        <v>45.77</v>
      </c>
      <c r="Q118" s="418">
        <f t="shared" si="15"/>
        <v>1.8016014234875533E-2</v>
      </c>
    </row>
    <row r="119" spans="1:17">
      <c r="A119" s="408">
        <v>44365</v>
      </c>
      <c r="B119" s="411">
        <v>4166.45</v>
      </c>
      <c r="C119" s="418">
        <f t="shared" si="8"/>
        <v>-1.3124547000611053E-2</v>
      </c>
      <c r="D119" s="411">
        <v>44.96</v>
      </c>
      <c r="E119" s="418">
        <f t="shared" si="9"/>
        <v>8.7502804577070936E-3</v>
      </c>
      <c r="F119" s="411">
        <v>4166.45</v>
      </c>
      <c r="G119" s="418">
        <f t="shared" si="10"/>
        <v>-1.3124547000611053E-2</v>
      </c>
      <c r="H119" s="411">
        <v>44.96</v>
      </c>
      <c r="I119" s="418">
        <f t="shared" si="11"/>
        <v>8.7502804577070936E-3</v>
      </c>
      <c r="J119" s="411">
        <v>4166.45</v>
      </c>
      <c r="K119" s="418">
        <f t="shared" si="12"/>
        <v>-1.3124547000611053E-2</v>
      </c>
      <c r="L119" s="411">
        <v>44.96</v>
      </c>
      <c r="M119" s="418">
        <f t="shared" si="13"/>
        <v>8.7502804577070936E-3</v>
      </c>
      <c r="N119" s="411">
        <v>4166.45</v>
      </c>
      <c r="O119" s="418">
        <f t="shared" si="14"/>
        <v>-1.3124547000611053E-2</v>
      </c>
      <c r="P119" s="411">
        <v>44.96</v>
      </c>
      <c r="Q119" s="418">
        <f t="shared" si="15"/>
        <v>8.7502804577070936E-3</v>
      </c>
    </row>
    <row r="120" spans="1:17">
      <c r="A120" s="408">
        <v>44364</v>
      </c>
      <c r="B120" s="411">
        <v>4221.8599999999997</v>
      </c>
      <c r="C120" s="418">
        <f t="shared" si="8"/>
        <v>-4.3563700073401268E-4</v>
      </c>
      <c r="D120" s="411">
        <v>44.57</v>
      </c>
      <c r="E120" s="418">
        <f t="shared" si="9"/>
        <v>-2.0869947275922729E-2</v>
      </c>
      <c r="F120" s="411">
        <v>4221.8599999999997</v>
      </c>
      <c r="G120" s="418">
        <f t="shared" si="10"/>
        <v>-4.3563700073401268E-4</v>
      </c>
      <c r="H120" s="411">
        <v>44.57</v>
      </c>
      <c r="I120" s="418">
        <f t="shared" si="11"/>
        <v>-2.0869947275922729E-2</v>
      </c>
      <c r="J120" s="411">
        <v>4221.8599999999997</v>
      </c>
      <c r="K120" s="418">
        <f t="shared" si="12"/>
        <v>-4.3563700073401268E-4</v>
      </c>
      <c r="L120" s="411">
        <v>44.57</v>
      </c>
      <c r="M120" s="418">
        <f t="shared" si="13"/>
        <v>-2.0869947275922729E-2</v>
      </c>
      <c r="N120" s="411">
        <v>4221.8599999999997</v>
      </c>
      <c r="O120" s="418">
        <f t="shared" si="14"/>
        <v>-4.3563700073401268E-4</v>
      </c>
      <c r="P120" s="411">
        <v>44.57</v>
      </c>
      <c r="Q120" s="418">
        <f t="shared" si="15"/>
        <v>-2.0869947275922729E-2</v>
      </c>
    </row>
    <row r="121" spans="1:17">
      <c r="A121" s="408">
        <v>44363</v>
      </c>
      <c r="B121" s="411">
        <v>4223.7</v>
      </c>
      <c r="C121" s="418">
        <f t="shared" si="8"/>
        <v>-5.3902072015429292E-3</v>
      </c>
      <c r="D121" s="411">
        <v>45.52</v>
      </c>
      <c r="E121" s="418">
        <f t="shared" si="9"/>
        <v>-2.1963540522729197E-4</v>
      </c>
      <c r="F121" s="411">
        <v>4223.7</v>
      </c>
      <c r="G121" s="418">
        <f t="shared" si="10"/>
        <v>-5.3902072015429292E-3</v>
      </c>
      <c r="H121" s="411">
        <v>45.52</v>
      </c>
      <c r="I121" s="418">
        <f t="shared" si="11"/>
        <v>-2.1963540522729197E-4</v>
      </c>
      <c r="J121" s="411">
        <v>4223.7</v>
      </c>
      <c r="K121" s="418">
        <f t="shared" si="12"/>
        <v>-5.3902072015429292E-3</v>
      </c>
      <c r="L121" s="411">
        <v>45.52</v>
      </c>
      <c r="M121" s="418">
        <f t="shared" si="13"/>
        <v>-2.1963540522729197E-4</v>
      </c>
      <c r="N121" s="411">
        <v>4223.7</v>
      </c>
      <c r="O121" s="418">
        <f t="shared" si="14"/>
        <v>-5.3902072015429292E-3</v>
      </c>
      <c r="P121" s="411">
        <v>45.52</v>
      </c>
      <c r="Q121" s="418">
        <f t="shared" si="15"/>
        <v>-2.1963540522729197E-4</v>
      </c>
    </row>
    <row r="122" spans="1:17">
      <c r="A122" s="408">
        <v>44362</v>
      </c>
      <c r="B122" s="411">
        <v>4246.59</v>
      </c>
      <c r="C122" s="418">
        <f t="shared" si="8"/>
        <v>-2.0116799642784233E-3</v>
      </c>
      <c r="D122" s="411">
        <v>45.53</v>
      </c>
      <c r="E122" s="418">
        <f t="shared" si="9"/>
        <v>-8.0610021786491348E-3</v>
      </c>
      <c r="F122" s="411">
        <v>4246.59</v>
      </c>
      <c r="G122" s="418">
        <f t="shared" si="10"/>
        <v>-2.0116799642784233E-3</v>
      </c>
      <c r="H122" s="411">
        <v>45.53</v>
      </c>
      <c r="I122" s="418">
        <f t="shared" si="11"/>
        <v>-8.0610021786491348E-3</v>
      </c>
      <c r="J122" s="411">
        <v>4246.59</v>
      </c>
      <c r="K122" s="418">
        <f t="shared" si="12"/>
        <v>-2.0116799642784233E-3</v>
      </c>
      <c r="L122" s="411">
        <v>45.53</v>
      </c>
      <c r="M122" s="418">
        <f t="shared" si="13"/>
        <v>-8.0610021786491348E-3</v>
      </c>
      <c r="N122" s="411">
        <v>4246.59</v>
      </c>
      <c r="O122" s="418">
        <f t="shared" si="14"/>
        <v>-2.0116799642784233E-3</v>
      </c>
      <c r="P122" s="411">
        <v>45.53</v>
      </c>
      <c r="Q122" s="418">
        <f t="shared" si="15"/>
        <v>-8.0610021786491348E-3</v>
      </c>
    </row>
    <row r="123" spans="1:17">
      <c r="A123" s="408">
        <v>44361</v>
      </c>
      <c r="B123" s="411">
        <v>4255.1499999999996</v>
      </c>
      <c r="C123" s="418">
        <f t="shared" si="8"/>
        <v>1.8152110447704484E-3</v>
      </c>
      <c r="D123" s="411">
        <v>45.9</v>
      </c>
      <c r="E123" s="418">
        <f t="shared" si="9"/>
        <v>-1.2903225806451646E-2</v>
      </c>
      <c r="F123" s="411">
        <v>4255.1499999999996</v>
      </c>
      <c r="G123" s="418">
        <f t="shared" si="10"/>
        <v>1.8152110447704484E-3</v>
      </c>
      <c r="H123" s="411">
        <v>45.9</v>
      </c>
      <c r="I123" s="418">
        <f t="shared" si="11"/>
        <v>-1.2903225806451646E-2</v>
      </c>
      <c r="J123" s="411">
        <v>4255.1499999999996</v>
      </c>
      <c r="K123" s="418">
        <f t="shared" si="12"/>
        <v>1.8152110447704484E-3</v>
      </c>
      <c r="L123" s="411">
        <v>45.9</v>
      </c>
      <c r="M123" s="418">
        <f t="shared" si="13"/>
        <v>-1.2903225806451646E-2</v>
      </c>
      <c r="N123" s="411">
        <v>4255.1499999999996</v>
      </c>
      <c r="O123" s="418">
        <f t="shared" si="14"/>
        <v>1.8152110447704484E-3</v>
      </c>
      <c r="P123" s="411">
        <v>45.9</v>
      </c>
      <c r="Q123" s="418">
        <f t="shared" si="15"/>
        <v>-1.2903225806451646E-2</v>
      </c>
    </row>
    <row r="124" spans="1:17">
      <c r="A124" s="408">
        <v>44358</v>
      </c>
      <c r="B124" s="411">
        <v>4247.4399999999996</v>
      </c>
      <c r="C124" s="418">
        <f t="shared" si="8"/>
        <v>1.9484900381676606E-3</v>
      </c>
      <c r="D124" s="411">
        <v>46.5</v>
      </c>
      <c r="E124" s="418">
        <f t="shared" si="9"/>
        <v>4.7536732929991388E-3</v>
      </c>
      <c r="F124" s="411">
        <v>4247.4399999999996</v>
      </c>
      <c r="G124" s="418">
        <f t="shared" si="10"/>
        <v>1.9484900381676606E-3</v>
      </c>
      <c r="H124" s="411">
        <v>46.5</v>
      </c>
      <c r="I124" s="418">
        <f t="shared" si="11"/>
        <v>4.7536732929991388E-3</v>
      </c>
      <c r="J124" s="411">
        <v>4247.4399999999996</v>
      </c>
      <c r="K124" s="418">
        <f t="shared" si="12"/>
        <v>1.9484900381676606E-3</v>
      </c>
      <c r="L124" s="411">
        <v>46.5</v>
      </c>
      <c r="M124" s="418">
        <f t="shared" si="13"/>
        <v>4.7536732929991388E-3</v>
      </c>
      <c r="N124" s="411">
        <v>4247.4399999999996</v>
      </c>
      <c r="O124" s="418">
        <f t="shared" si="14"/>
        <v>1.9484900381676606E-3</v>
      </c>
      <c r="P124" s="411">
        <v>46.5</v>
      </c>
      <c r="Q124" s="418">
        <f t="shared" si="15"/>
        <v>4.7536732929991388E-3</v>
      </c>
    </row>
    <row r="125" spans="1:17">
      <c r="A125" s="408">
        <v>44357</v>
      </c>
      <c r="B125" s="411">
        <v>4239.18</v>
      </c>
      <c r="C125" s="418">
        <f t="shared" si="8"/>
        <v>4.652154850635748E-3</v>
      </c>
      <c r="D125" s="411">
        <v>46.28</v>
      </c>
      <c r="E125" s="418">
        <f t="shared" si="9"/>
        <v>-5.159071367153989E-3</v>
      </c>
      <c r="F125" s="411">
        <v>4239.18</v>
      </c>
      <c r="G125" s="418">
        <f t="shared" si="10"/>
        <v>4.652154850635748E-3</v>
      </c>
      <c r="H125" s="411">
        <v>46.28</v>
      </c>
      <c r="I125" s="418">
        <f t="shared" si="11"/>
        <v>-5.159071367153989E-3</v>
      </c>
      <c r="J125" s="411">
        <v>4239.18</v>
      </c>
      <c r="K125" s="418">
        <f t="shared" si="12"/>
        <v>4.652154850635748E-3</v>
      </c>
      <c r="L125" s="411">
        <v>46.28</v>
      </c>
      <c r="M125" s="418">
        <f t="shared" si="13"/>
        <v>-5.159071367153989E-3</v>
      </c>
      <c r="N125" s="411">
        <v>4239.18</v>
      </c>
      <c r="O125" s="418">
        <f t="shared" si="14"/>
        <v>4.652154850635748E-3</v>
      </c>
      <c r="P125" s="411">
        <v>46.28</v>
      </c>
      <c r="Q125" s="418">
        <f t="shared" si="15"/>
        <v>-5.159071367153989E-3</v>
      </c>
    </row>
    <row r="126" spans="1:17">
      <c r="A126" s="408">
        <v>44356</v>
      </c>
      <c r="B126" s="411">
        <v>4219.55</v>
      </c>
      <c r="C126" s="418">
        <f t="shared" si="8"/>
        <v>-1.8238764589828538E-3</v>
      </c>
      <c r="D126" s="411">
        <v>46.52</v>
      </c>
      <c r="E126" s="418">
        <f t="shared" si="9"/>
        <v>-1.1054421768707412E-2</v>
      </c>
      <c r="F126" s="411">
        <v>4219.55</v>
      </c>
      <c r="G126" s="418">
        <f t="shared" si="10"/>
        <v>-1.8238764589828538E-3</v>
      </c>
      <c r="H126" s="411">
        <v>46.52</v>
      </c>
      <c r="I126" s="418">
        <f t="shared" si="11"/>
        <v>-1.1054421768707412E-2</v>
      </c>
      <c r="J126" s="411">
        <v>4219.55</v>
      </c>
      <c r="K126" s="418">
        <f t="shared" si="12"/>
        <v>-1.8238764589828538E-3</v>
      </c>
      <c r="L126" s="411">
        <v>46.52</v>
      </c>
      <c r="M126" s="418">
        <f t="shared" si="13"/>
        <v>-1.1054421768707412E-2</v>
      </c>
      <c r="N126" s="411">
        <v>4219.55</v>
      </c>
      <c r="O126" s="418">
        <f t="shared" si="14"/>
        <v>-1.8238764589828538E-3</v>
      </c>
      <c r="P126" s="411">
        <v>46.52</v>
      </c>
      <c r="Q126" s="418">
        <f t="shared" si="15"/>
        <v>-1.1054421768707412E-2</v>
      </c>
    </row>
    <row r="127" spans="1:17">
      <c r="A127" s="408">
        <v>44355</v>
      </c>
      <c r="B127" s="411">
        <v>4227.26</v>
      </c>
      <c r="C127" s="418">
        <f t="shared" si="8"/>
        <v>1.7508493985585183E-4</v>
      </c>
      <c r="D127" s="411">
        <v>47.04</v>
      </c>
      <c r="E127" s="418">
        <f t="shared" si="9"/>
        <v>2.0833333333333259E-2</v>
      </c>
      <c r="F127" s="411">
        <v>4227.26</v>
      </c>
      <c r="G127" s="418">
        <f t="shared" si="10"/>
        <v>1.7508493985585183E-4</v>
      </c>
      <c r="H127" s="411">
        <v>47.04</v>
      </c>
      <c r="I127" s="418">
        <f t="shared" si="11"/>
        <v>2.0833333333333259E-2</v>
      </c>
      <c r="J127" s="411">
        <v>4227.26</v>
      </c>
      <c r="K127" s="418">
        <f t="shared" si="12"/>
        <v>1.7508493985585183E-4</v>
      </c>
      <c r="L127" s="411">
        <v>47.04</v>
      </c>
      <c r="M127" s="418">
        <f t="shared" si="13"/>
        <v>2.0833333333333259E-2</v>
      </c>
      <c r="N127" s="411">
        <v>4227.26</v>
      </c>
      <c r="O127" s="418">
        <f t="shared" si="14"/>
        <v>1.7508493985585183E-4</v>
      </c>
      <c r="P127" s="411">
        <v>47.04</v>
      </c>
      <c r="Q127" s="418">
        <f t="shared" si="15"/>
        <v>2.0833333333333259E-2</v>
      </c>
    </row>
    <row r="128" spans="1:17">
      <c r="A128" s="408">
        <v>44354</v>
      </c>
      <c r="B128" s="411">
        <v>4226.5200000000004</v>
      </c>
      <c r="C128" s="418">
        <f t="shared" si="8"/>
        <v>-7.9671102558220852E-4</v>
      </c>
      <c r="D128" s="411">
        <v>46.08</v>
      </c>
      <c r="E128" s="418">
        <f t="shared" si="9"/>
        <v>2.1748586341887588E-3</v>
      </c>
      <c r="F128" s="411">
        <v>4226.5200000000004</v>
      </c>
      <c r="G128" s="418">
        <f t="shared" si="10"/>
        <v>-7.9671102558220852E-4</v>
      </c>
      <c r="H128" s="411">
        <v>46.08</v>
      </c>
      <c r="I128" s="418">
        <f t="shared" si="11"/>
        <v>2.1748586341887588E-3</v>
      </c>
      <c r="J128" s="411">
        <v>4226.5200000000004</v>
      </c>
      <c r="K128" s="418">
        <f t="shared" si="12"/>
        <v>-7.9671102558220852E-4</v>
      </c>
      <c r="L128" s="411">
        <v>46.08</v>
      </c>
      <c r="M128" s="418">
        <f t="shared" si="13"/>
        <v>2.1748586341887588E-3</v>
      </c>
      <c r="N128" s="411">
        <v>4226.5200000000004</v>
      </c>
      <c r="O128" s="418">
        <f t="shared" si="14"/>
        <v>-7.9671102558220852E-4</v>
      </c>
      <c r="P128" s="411">
        <v>46.08</v>
      </c>
      <c r="Q128" s="418">
        <f t="shared" si="15"/>
        <v>2.1748586341887588E-3</v>
      </c>
    </row>
    <row r="129" spans="1:17">
      <c r="A129" s="408">
        <v>44351</v>
      </c>
      <c r="B129" s="411">
        <v>4229.8900000000003</v>
      </c>
      <c r="C129" s="418">
        <f t="shared" si="8"/>
        <v>8.8340865998068896E-3</v>
      </c>
      <c r="D129" s="411">
        <v>45.98</v>
      </c>
      <c r="E129" s="418">
        <f t="shared" si="9"/>
        <v>-3.2516800346846786E-3</v>
      </c>
      <c r="F129" s="411">
        <v>4229.8900000000003</v>
      </c>
      <c r="G129" s="418">
        <f t="shared" si="10"/>
        <v>8.8340865998068896E-3</v>
      </c>
      <c r="H129" s="411">
        <v>45.98</v>
      </c>
      <c r="I129" s="418">
        <f t="shared" si="11"/>
        <v>-3.2516800346846786E-3</v>
      </c>
      <c r="J129" s="411">
        <v>4229.8900000000003</v>
      </c>
      <c r="K129" s="418">
        <f t="shared" si="12"/>
        <v>8.8340865998068896E-3</v>
      </c>
      <c r="L129" s="411">
        <v>45.98</v>
      </c>
      <c r="M129" s="418">
        <f t="shared" si="13"/>
        <v>-3.2516800346846786E-3</v>
      </c>
      <c r="N129" s="411">
        <v>4229.8900000000003</v>
      </c>
      <c r="O129" s="418">
        <f t="shared" si="14"/>
        <v>8.8340865998068896E-3</v>
      </c>
      <c r="P129" s="411">
        <v>45.98</v>
      </c>
      <c r="Q129" s="418">
        <f t="shared" si="15"/>
        <v>-3.2516800346846786E-3</v>
      </c>
    </row>
    <row r="130" spans="1:17">
      <c r="A130" s="408">
        <v>44350</v>
      </c>
      <c r="B130" s="411">
        <v>4192.8500000000004</v>
      </c>
      <c r="C130" s="418">
        <f t="shared" si="8"/>
        <v>-3.6286988013648491E-3</v>
      </c>
      <c r="D130" s="411">
        <v>46.13</v>
      </c>
      <c r="E130" s="418">
        <f t="shared" si="9"/>
        <v>-3.4331170190496141E-2</v>
      </c>
      <c r="F130" s="411">
        <v>4192.8500000000004</v>
      </c>
      <c r="G130" s="418">
        <f t="shared" si="10"/>
        <v>-3.6286988013648491E-3</v>
      </c>
      <c r="H130" s="411">
        <v>46.13</v>
      </c>
      <c r="I130" s="418">
        <f t="shared" si="11"/>
        <v>-3.4331170190496141E-2</v>
      </c>
      <c r="J130" s="411">
        <v>4192.8500000000004</v>
      </c>
      <c r="K130" s="418">
        <f t="shared" si="12"/>
        <v>-3.6286988013648491E-3</v>
      </c>
      <c r="L130" s="411">
        <v>46.13</v>
      </c>
      <c r="M130" s="418">
        <f t="shared" si="13"/>
        <v>-3.4331170190496141E-2</v>
      </c>
      <c r="N130" s="411">
        <v>4192.8500000000004</v>
      </c>
      <c r="O130" s="418">
        <f t="shared" si="14"/>
        <v>-3.6286988013648491E-3</v>
      </c>
      <c r="P130" s="411">
        <v>46.13</v>
      </c>
      <c r="Q130" s="418">
        <f t="shared" si="15"/>
        <v>-3.4331170190496141E-2</v>
      </c>
    </row>
    <row r="131" spans="1:17">
      <c r="A131" s="408">
        <v>44349</v>
      </c>
      <c r="B131" s="411">
        <v>4208.12</v>
      </c>
      <c r="C131" s="418">
        <f t="shared" si="8"/>
        <v>1.4469162597214869E-3</v>
      </c>
      <c r="D131" s="411">
        <v>47.77</v>
      </c>
      <c r="E131" s="418">
        <f t="shared" si="9"/>
        <v>1.4675052410901834E-3</v>
      </c>
      <c r="F131" s="411">
        <v>4208.12</v>
      </c>
      <c r="G131" s="418">
        <f t="shared" si="10"/>
        <v>1.4469162597214869E-3</v>
      </c>
      <c r="H131" s="411">
        <v>47.77</v>
      </c>
      <c r="I131" s="418">
        <f t="shared" si="11"/>
        <v>1.4675052410901834E-3</v>
      </c>
      <c r="J131" s="411">
        <v>4208.12</v>
      </c>
      <c r="K131" s="418">
        <f t="shared" si="12"/>
        <v>1.4469162597214869E-3</v>
      </c>
      <c r="L131" s="411">
        <v>47.77</v>
      </c>
      <c r="M131" s="418">
        <f t="shared" si="13"/>
        <v>1.4675052410901834E-3</v>
      </c>
      <c r="N131" s="411">
        <v>4208.12</v>
      </c>
      <c r="O131" s="418">
        <f t="shared" si="14"/>
        <v>1.4469162597214869E-3</v>
      </c>
      <c r="P131" s="411">
        <v>47.77</v>
      </c>
      <c r="Q131" s="418">
        <f t="shared" si="15"/>
        <v>1.4675052410901834E-3</v>
      </c>
    </row>
    <row r="132" spans="1:17">
      <c r="A132" s="408">
        <v>44348</v>
      </c>
      <c r="B132" s="411">
        <v>4202.04</v>
      </c>
      <c r="C132" s="418">
        <f t="shared" si="8"/>
        <v>-4.923753184382651E-4</v>
      </c>
      <c r="D132" s="411">
        <v>47.7</v>
      </c>
      <c r="E132" s="418">
        <f t="shared" si="9"/>
        <v>4.1946308724849501E-4</v>
      </c>
      <c r="F132" s="411">
        <v>4202.04</v>
      </c>
      <c r="G132" s="418">
        <f t="shared" si="10"/>
        <v>-4.923753184382651E-4</v>
      </c>
      <c r="H132" s="411">
        <v>47.7</v>
      </c>
      <c r="I132" s="418">
        <f t="shared" si="11"/>
        <v>4.1946308724849501E-4</v>
      </c>
      <c r="J132" s="411">
        <v>4202.04</v>
      </c>
      <c r="K132" s="418">
        <f t="shared" si="12"/>
        <v>-4.923753184382651E-4</v>
      </c>
      <c r="L132" s="411">
        <v>47.7</v>
      </c>
      <c r="M132" s="418">
        <f t="shared" si="13"/>
        <v>4.1946308724849501E-4</v>
      </c>
      <c r="N132" s="411">
        <v>4202.04</v>
      </c>
      <c r="O132" s="418">
        <f t="shared" si="14"/>
        <v>-4.923753184382651E-4</v>
      </c>
      <c r="P132" s="411">
        <v>47.7</v>
      </c>
      <c r="Q132" s="418">
        <f t="shared" si="15"/>
        <v>4.1946308724849501E-4</v>
      </c>
    </row>
    <row r="133" spans="1:17">
      <c r="A133" s="408">
        <v>44344</v>
      </c>
      <c r="B133" s="411">
        <v>4204.1099999999997</v>
      </c>
      <c r="C133" s="418">
        <f t="shared" si="8"/>
        <v>7.688865190149663E-4</v>
      </c>
      <c r="D133" s="411">
        <v>47.68</v>
      </c>
      <c r="E133" s="418">
        <f t="shared" si="9"/>
        <v>-7.7003121748178138E-3</v>
      </c>
      <c r="F133" s="411">
        <v>4204.1099999999997</v>
      </c>
      <c r="G133" s="418">
        <f t="shared" si="10"/>
        <v>7.688865190149663E-4</v>
      </c>
      <c r="H133" s="411">
        <v>47.68</v>
      </c>
      <c r="I133" s="418">
        <f t="shared" si="11"/>
        <v>-7.7003121748178138E-3</v>
      </c>
      <c r="J133" s="411">
        <v>4204.1099999999997</v>
      </c>
      <c r="K133" s="418">
        <f t="shared" si="12"/>
        <v>7.688865190149663E-4</v>
      </c>
      <c r="L133" s="411">
        <v>47.68</v>
      </c>
      <c r="M133" s="418">
        <f t="shared" si="13"/>
        <v>-7.7003121748178138E-3</v>
      </c>
      <c r="N133" s="411">
        <v>4204.1099999999997</v>
      </c>
      <c r="O133" s="418">
        <f t="shared" si="14"/>
        <v>7.688865190149663E-4</v>
      </c>
      <c r="P133" s="411">
        <v>47.68</v>
      </c>
      <c r="Q133" s="418">
        <f t="shared" si="15"/>
        <v>-7.7003121748178138E-3</v>
      </c>
    </row>
    <row r="134" spans="1:17">
      <c r="A134" s="408">
        <v>44343</v>
      </c>
      <c r="B134" s="411">
        <v>4200.88</v>
      </c>
      <c r="C134" s="418">
        <f t="shared" si="8"/>
        <v>1.1653983922745859E-3</v>
      </c>
      <c r="D134" s="411">
        <v>48.05</v>
      </c>
      <c r="E134" s="418">
        <f t="shared" si="9"/>
        <v>1.1791956201305354E-2</v>
      </c>
      <c r="F134" s="411">
        <v>4200.88</v>
      </c>
      <c r="G134" s="418">
        <f t="shared" si="10"/>
        <v>1.1653983922745859E-3</v>
      </c>
      <c r="H134" s="411">
        <v>48.05</v>
      </c>
      <c r="I134" s="418">
        <f t="shared" si="11"/>
        <v>1.1791956201305354E-2</v>
      </c>
      <c r="J134" s="411">
        <v>4200.88</v>
      </c>
      <c r="K134" s="418">
        <f t="shared" si="12"/>
        <v>1.1653983922745859E-3</v>
      </c>
      <c r="L134" s="411">
        <v>48.05</v>
      </c>
      <c r="M134" s="418">
        <f t="shared" si="13"/>
        <v>1.1791956201305354E-2</v>
      </c>
      <c r="N134" s="411">
        <v>4200.88</v>
      </c>
      <c r="O134" s="418">
        <f t="shared" si="14"/>
        <v>1.1653983922745859E-3</v>
      </c>
      <c r="P134" s="411">
        <v>48.05</v>
      </c>
      <c r="Q134" s="418">
        <f t="shared" si="15"/>
        <v>1.1791956201305354E-2</v>
      </c>
    </row>
    <row r="135" spans="1:17">
      <c r="A135" s="408">
        <v>44342</v>
      </c>
      <c r="B135" s="411">
        <v>4195.99</v>
      </c>
      <c r="C135" s="418">
        <f t="shared" si="8"/>
        <v>1.876732575158746E-3</v>
      </c>
      <c r="D135" s="411">
        <v>47.49</v>
      </c>
      <c r="E135" s="418">
        <f t="shared" si="9"/>
        <v>1.7570173559031455E-2</v>
      </c>
      <c r="F135" s="411">
        <v>4195.99</v>
      </c>
      <c r="G135" s="418">
        <f t="shared" si="10"/>
        <v>1.876732575158746E-3</v>
      </c>
      <c r="H135" s="411">
        <v>47.49</v>
      </c>
      <c r="I135" s="418">
        <f t="shared" si="11"/>
        <v>1.7570173559031455E-2</v>
      </c>
      <c r="J135" s="411">
        <v>4195.99</v>
      </c>
      <c r="K135" s="418">
        <f t="shared" si="12"/>
        <v>1.876732575158746E-3</v>
      </c>
      <c r="L135" s="411">
        <v>47.49</v>
      </c>
      <c r="M135" s="418">
        <f t="shared" si="13"/>
        <v>1.7570173559031455E-2</v>
      </c>
      <c r="N135" s="411">
        <v>4195.99</v>
      </c>
      <c r="O135" s="418">
        <f t="shared" si="14"/>
        <v>1.876732575158746E-3</v>
      </c>
      <c r="P135" s="411">
        <v>47.49</v>
      </c>
      <c r="Q135" s="418">
        <f t="shared" si="15"/>
        <v>1.7570173559031455E-2</v>
      </c>
    </row>
    <row r="136" spans="1:17">
      <c r="A136" s="408">
        <v>44341</v>
      </c>
      <c r="B136" s="411">
        <v>4188.13</v>
      </c>
      <c r="C136" s="418">
        <f t="shared" ref="C136:C199" si="16">B136/B137-1</f>
        <v>-2.1253022956601031E-3</v>
      </c>
      <c r="D136" s="411">
        <v>46.67</v>
      </c>
      <c r="E136" s="418">
        <f t="shared" ref="E136:E199" si="17">D136/D137-1</f>
        <v>1.0829542993285646E-2</v>
      </c>
      <c r="F136" s="411">
        <v>4188.13</v>
      </c>
      <c r="G136" s="418">
        <f t="shared" ref="G136:G199" si="18">F136/F137-1</f>
        <v>-2.1253022956601031E-3</v>
      </c>
      <c r="H136" s="411">
        <v>46.67</v>
      </c>
      <c r="I136" s="418">
        <f t="shared" ref="I136:I199" si="19">H136/H137-1</f>
        <v>1.0829542993285646E-2</v>
      </c>
      <c r="J136" s="411">
        <v>4188.13</v>
      </c>
      <c r="K136" s="418">
        <f t="shared" ref="K136:K199" si="20">J136/J137-1</f>
        <v>-2.1253022956601031E-3</v>
      </c>
      <c r="L136" s="411">
        <v>46.67</v>
      </c>
      <c r="M136" s="418">
        <f t="shared" ref="M136:M199" si="21">L136/L137-1</f>
        <v>1.0829542993285646E-2</v>
      </c>
      <c r="N136" s="411">
        <v>4188.13</v>
      </c>
      <c r="O136" s="418">
        <f t="shared" ref="O136:O199" si="22">N136/N137-1</f>
        <v>-2.1253022956601031E-3</v>
      </c>
      <c r="P136" s="411">
        <v>46.67</v>
      </c>
      <c r="Q136" s="418">
        <f t="shared" ref="Q136:Q199" si="23">P136/P137-1</f>
        <v>1.0829542993285646E-2</v>
      </c>
    </row>
    <row r="137" spans="1:17">
      <c r="A137" s="408">
        <v>44340</v>
      </c>
      <c r="B137" s="411">
        <v>4197.05</v>
      </c>
      <c r="C137" s="418">
        <f t="shared" si="16"/>
        <v>9.9113059631461553E-3</v>
      </c>
      <c r="D137" s="411">
        <v>46.17</v>
      </c>
      <c r="E137" s="418">
        <f t="shared" si="17"/>
        <v>2.1234240212342437E-2</v>
      </c>
      <c r="F137" s="411">
        <v>4197.05</v>
      </c>
      <c r="G137" s="418">
        <f t="shared" si="18"/>
        <v>9.9113059631461553E-3</v>
      </c>
      <c r="H137" s="411">
        <v>46.17</v>
      </c>
      <c r="I137" s="418">
        <f t="shared" si="19"/>
        <v>2.1234240212342437E-2</v>
      </c>
      <c r="J137" s="411">
        <v>4197.05</v>
      </c>
      <c r="K137" s="418">
        <f t="shared" si="20"/>
        <v>9.9113059631461553E-3</v>
      </c>
      <c r="L137" s="411">
        <v>46.17</v>
      </c>
      <c r="M137" s="418">
        <f t="shared" si="21"/>
        <v>2.1234240212342437E-2</v>
      </c>
      <c r="N137" s="411">
        <v>4197.05</v>
      </c>
      <c r="O137" s="418">
        <f t="shared" si="22"/>
        <v>9.9113059631461553E-3</v>
      </c>
      <c r="P137" s="411">
        <v>46.17</v>
      </c>
      <c r="Q137" s="418">
        <f t="shared" si="23"/>
        <v>2.1234240212342437E-2</v>
      </c>
    </row>
    <row r="138" spans="1:17">
      <c r="A138" s="408">
        <v>44337</v>
      </c>
      <c r="B138" s="411">
        <v>4155.8599999999997</v>
      </c>
      <c r="C138" s="418">
        <f t="shared" si="16"/>
        <v>-7.8381965415763588E-4</v>
      </c>
      <c r="D138" s="411">
        <v>45.21</v>
      </c>
      <c r="E138" s="418">
        <f t="shared" si="17"/>
        <v>-4.4043162299052252E-3</v>
      </c>
      <c r="F138" s="411">
        <v>4155.8599999999997</v>
      </c>
      <c r="G138" s="418">
        <f t="shared" si="18"/>
        <v>-7.8381965415763588E-4</v>
      </c>
      <c r="H138" s="411">
        <v>45.21</v>
      </c>
      <c r="I138" s="418">
        <f t="shared" si="19"/>
        <v>-4.4043162299052252E-3</v>
      </c>
      <c r="J138" s="411">
        <v>4155.8599999999997</v>
      </c>
      <c r="K138" s="418">
        <f t="shared" si="20"/>
        <v>-7.8381965415763588E-4</v>
      </c>
      <c r="L138" s="411">
        <v>45.21</v>
      </c>
      <c r="M138" s="418">
        <f t="shared" si="21"/>
        <v>-4.4043162299052252E-3</v>
      </c>
      <c r="N138" s="411">
        <v>4155.8599999999997</v>
      </c>
      <c r="O138" s="418">
        <f t="shared" si="22"/>
        <v>-7.8381965415763588E-4</v>
      </c>
      <c r="P138" s="411">
        <v>45.21</v>
      </c>
      <c r="Q138" s="418">
        <f t="shared" si="23"/>
        <v>-4.4043162299052252E-3</v>
      </c>
    </row>
    <row r="139" spans="1:17">
      <c r="A139" s="408">
        <v>44336</v>
      </c>
      <c r="B139" s="411">
        <v>4159.12</v>
      </c>
      <c r="C139" s="418">
        <f t="shared" si="16"/>
        <v>1.0554756443649449E-2</v>
      </c>
      <c r="D139" s="411">
        <v>45.41</v>
      </c>
      <c r="E139" s="418">
        <f t="shared" si="17"/>
        <v>-1.5821413090593928E-2</v>
      </c>
      <c r="F139" s="411">
        <v>4159.12</v>
      </c>
      <c r="G139" s="418">
        <f t="shared" si="18"/>
        <v>1.0554756443649449E-2</v>
      </c>
      <c r="H139" s="411">
        <v>45.41</v>
      </c>
      <c r="I139" s="418">
        <f t="shared" si="19"/>
        <v>-1.5821413090593928E-2</v>
      </c>
      <c r="J139" s="411">
        <v>4159.12</v>
      </c>
      <c r="K139" s="418">
        <f t="shared" si="20"/>
        <v>1.0554756443649449E-2</v>
      </c>
      <c r="L139" s="411">
        <v>45.41</v>
      </c>
      <c r="M139" s="418">
        <f t="shared" si="21"/>
        <v>-1.5821413090593928E-2</v>
      </c>
      <c r="N139" s="411">
        <v>4159.12</v>
      </c>
      <c r="O139" s="418">
        <f t="shared" si="22"/>
        <v>1.0554756443649449E-2</v>
      </c>
      <c r="P139" s="411">
        <v>45.41</v>
      </c>
      <c r="Q139" s="418">
        <f t="shared" si="23"/>
        <v>-1.5821413090593928E-2</v>
      </c>
    </row>
    <row r="140" spans="1:17">
      <c r="A140" s="408">
        <v>44335</v>
      </c>
      <c r="B140" s="411">
        <v>4115.68</v>
      </c>
      <c r="C140" s="418">
        <f t="shared" si="16"/>
        <v>-2.9434351705374118E-3</v>
      </c>
      <c r="D140" s="411">
        <v>46.14</v>
      </c>
      <c r="E140" s="418">
        <f t="shared" si="17"/>
        <v>-1.2625722234110737E-2</v>
      </c>
      <c r="F140" s="411">
        <v>4115.68</v>
      </c>
      <c r="G140" s="418">
        <f t="shared" si="18"/>
        <v>-2.9434351705374118E-3</v>
      </c>
      <c r="H140" s="411">
        <v>46.14</v>
      </c>
      <c r="I140" s="418">
        <f t="shared" si="19"/>
        <v>-1.2625722234110737E-2</v>
      </c>
      <c r="J140" s="411">
        <v>4115.68</v>
      </c>
      <c r="K140" s="418">
        <f t="shared" si="20"/>
        <v>-2.9434351705374118E-3</v>
      </c>
      <c r="L140" s="411">
        <v>46.14</v>
      </c>
      <c r="M140" s="418">
        <f t="shared" si="21"/>
        <v>-1.2625722234110737E-2</v>
      </c>
      <c r="N140" s="411">
        <v>4115.68</v>
      </c>
      <c r="O140" s="418">
        <f t="shared" si="22"/>
        <v>-2.9434351705374118E-3</v>
      </c>
      <c r="P140" s="411">
        <v>46.14</v>
      </c>
      <c r="Q140" s="418">
        <f t="shared" si="23"/>
        <v>-1.2625722234110737E-2</v>
      </c>
    </row>
    <row r="141" spans="1:17">
      <c r="A141" s="408">
        <v>44334</v>
      </c>
      <c r="B141" s="411">
        <v>4127.83</v>
      </c>
      <c r="C141" s="418">
        <f t="shared" si="16"/>
        <v>-8.5173024218827553E-3</v>
      </c>
      <c r="D141" s="411">
        <v>46.73</v>
      </c>
      <c r="E141" s="418">
        <f t="shared" si="17"/>
        <v>-4.2780748663107104E-4</v>
      </c>
      <c r="F141" s="411">
        <v>4127.83</v>
      </c>
      <c r="G141" s="418">
        <f t="shared" si="18"/>
        <v>-8.5173024218827553E-3</v>
      </c>
      <c r="H141" s="411">
        <v>46.73</v>
      </c>
      <c r="I141" s="418">
        <f t="shared" si="19"/>
        <v>-4.2780748663107104E-4</v>
      </c>
      <c r="J141" s="411">
        <v>4127.83</v>
      </c>
      <c r="K141" s="418">
        <f t="shared" si="20"/>
        <v>-8.5173024218827553E-3</v>
      </c>
      <c r="L141" s="411">
        <v>46.73</v>
      </c>
      <c r="M141" s="418">
        <f t="shared" si="21"/>
        <v>-4.2780748663107104E-4</v>
      </c>
      <c r="N141" s="411">
        <v>4127.83</v>
      </c>
      <c r="O141" s="418">
        <f t="shared" si="22"/>
        <v>-8.5173024218827553E-3</v>
      </c>
      <c r="P141" s="411">
        <v>46.73</v>
      </c>
      <c r="Q141" s="418">
        <f t="shared" si="23"/>
        <v>-4.2780748663107104E-4</v>
      </c>
    </row>
    <row r="142" spans="1:17">
      <c r="A142" s="408">
        <v>44333</v>
      </c>
      <c r="B142" s="411">
        <v>4163.29</v>
      </c>
      <c r="C142" s="418">
        <f t="shared" si="16"/>
        <v>-2.5300382141189015E-3</v>
      </c>
      <c r="D142" s="411">
        <v>46.75</v>
      </c>
      <c r="E142" s="418">
        <f t="shared" si="17"/>
        <v>9.5011876484560887E-3</v>
      </c>
      <c r="F142" s="411">
        <v>4163.29</v>
      </c>
      <c r="G142" s="418">
        <f t="shared" si="18"/>
        <v>-2.5300382141189015E-3</v>
      </c>
      <c r="H142" s="411">
        <v>46.75</v>
      </c>
      <c r="I142" s="418">
        <f t="shared" si="19"/>
        <v>9.5011876484560887E-3</v>
      </c>
      <c r="J142" s="411">
        <v>4163.29</v>
      </c>
      <c r="K142" s="418">
        <f t="shared" si="20"/>
        <v>-2.5300382141189015E-3</v>
      </c>
      <c r="L142" s="411">
        <v>46.75</v>
      </c>
      <c r="M142" s="418">
        <f t="shared" si="21"/>
        <v>9.5011876484560887E-3</v>
      </c>
      <c r="N142" s="411">
        <v>4163.29</v>
      </c>
      <c r="O142" s="418">
        <f t="shared" si="22"/>
        <v>-2.5300382141189015E-3</v>
      </c>
      <c r="P142" s="411">
        <v>46.75</v>
      </c>
      <c r="Q142" s="418">
        <f t="shared" si="23"/>
        <v>9.5011876484560887E-3</v>
      </c>
    </row>
    <row r="143" spans="1:17">
      <c r="A143" s="408">
        <v>44330</v>
      </c>
      <c r="B143" s="411">
        <v>4173.8500000000004</v>
      </c>
      <c r="C143" s="418">
        <f t="shared" si="16"/>
        <v>1.4917933130699224E-2</v>
      </c>
      <c r="D143" s="411">
        <v>46.31</v>
      </c>
      <c r="E143" s="418">
        <f t="shared" si="17"/>
        <v>5.321810325221743E-2</v>
      </c>
      <c r="F143" s="411">
        <v>4173.8500000000004</v>
      </c>
      <c r="G143" s="418">
        <f t="shared" si="18"/>
        <v>1.4917933130699224E-2</v>
      </c>
      <c r="H143" s="411">
        <v>46.31</v>
      </c>
      <c r="I143" s="418">
        <f t="shared" si="19"/>
        <v>5.321810325221743E-2</v>
      </c>
      <c r="J143" s="411">
        <v>4173.8500000000004</v>
      </c>
      <c r="K143" s="418">
        <f t="shared" si="20"/>
        <v>1.4917933130699224E-2</v>
      </c>
      <c r="L143" s="411">
        <v>46.31</v>
      </c>
      <c r="M143" s="418">
        <f t="shared" si="21"/>
        <v>5.321810325221743E-2</v>
      </c>
      <c r="N143" s="411">
        <v>4173.8500000000004</v>
      </c>
      <c r="O143" s="418">
        <f t="shared" si="22"/>
        <v>1.4917933130699224E-2</v>
      </c>
      <c r="P143" s="411">
        <v>46.31</v>
      </c>
      <c r="Q143" s="418">
        <f t="shared" si="23"/>
        <v>5.321810325221743E-2</v>
      </c>
    </row>
    <row r="144" spans="1:17">
      <c r="A144" s="408">
        <v>44329</v>
      </c>
      <c r="B144" s="411">
        <v>4112.5</v>
      </c>
      <c r="C144" s="418">
        <f t="shared" si="16"/>
        <v>1.2173151138064053E-2</v>
      </c>
      <c r="D144" s="411">
        <v>43.97</v>
      </c>
      <c r="E144" s="418">
        <f t="shared" si="17"/>
        <v>2.1845224262142748E-2</v>
      </c>
      <c r="F144" s="411">
        <v>4112.5</v>
      </c>
      <c r="G144" s="418">
        <f t="shared" si="18"/>
        <v>1.2173151138064053E-2</v>
      </c>
      <c r="H144" s="411">
        <v>43.97</v>
      </c>
      <c r="I144" s="418">
        <f t="shared" si="19"/>
        <v>2.1845224262142748E-2</v>
      </c>
      <c r="J144" s="411">
        <v>4112.5</v>
      </c>
      <c r="K144" s="418">
        <f t="shared" si="20"/>
        <v>1.2173151138064053E-2</v>
      </c>
      <c r="L144" s="411">
        <v>43.97</v>
      </c>
      <c r="M144" s="418">
        <f t="shared" si="21"/>
        <v>2.1845224262142748E-2</v>
      </c>
      <c r="N144" s="411">
        <v>4112.5</v>
      </c>
      <c r="O144" s="418">
        <f t="shared" si="22"/>
        <v>1.2173151138064053E-2</v>
      </c>
      <c r="P144" s="411">
        <v>43.97</v>
      </c>
      <c r="Q144" s="418">
        <f t="shared" si="23"/>
        <v>2.1845224262142748E-2</v>
      </c>
    </row>
    <row r="145" spans="1:17">
      <c r="A145" s="408">
        <v>44328</v>
      </c>
      <c r="B145" s="411">
        <v>4063.04</v>
      </c>
      <c r="C145" s="418">
        <f t="shared" si="16"/>
        <v>-2.1449387057151936E-2</v>
      </c>
      <c r="D145" s="411">
        <v>43.03</v>
      </c>
      <c r="E145" s="418">
        <f t="shared" si="17"/>
        <v>-3.3468104222821204E-2</v>
      </c>
      <c r="F145" s="411">
        <v>4063.04</v>
      </c>
      <c r="G145" s="418">
        <f t="shared" si="18"/>
        <v>-2.1449387057151936E-2</v>
      </c>
      <c r="H145" s="411">
        <v>43.03</v>
      </c>
      <c r="I145" s="418">
        <f t="shared" si="19"/>
        <v>-3.3468104222821204E-2</v>
      </c>
      <c r="J145" s="411">
        <v>4063.04</v>
      </c>
      <c r="K145" s="418">
        <f t="shared" si="20"/>
        <v>-2.1449387057151936E-2</v>
      </c>
      <c r="L145" s="411">
        <v>43.03</v>
      </c>
      <c r="M145" s="418">
        <f t="shared" si="21"/>
        <v>-3.3468104222821204E-2</v>
      </c>
      <c r="N145" s="411">
        <v>4063.04</v>
      </c>
      <c r="O145" s="418">
        <f t="shared" si="22"/>
        <v>-2.1449387057151936E-2</v>
      </c>
      <c r="P145" s="411">
        <v>43.03</v>
      </c>
      <c r="Q145" s="418">
        <f t="shared" si="23"/>
        <v>-3.3468104222821204E-2</v>
      </c>
    </row>
    <row r="146" spans="1:17">
      <c r="A146" s="408">
        <v>44327</v>
      </c>
      <c r="B146" s="411">
        <v>4152.1000000000004</v>
      </c>
      <c r="C146" s="418">
        <f t="shared" si="16"/>
        <v>-8.6738945141735524E-3</v>
      </c>
      <c r="D146" s="411">
        <v>44.52</v>
      </c>
      <c r="E146" s="418">
        <f t="shared" si="17"/>
        <v>-2.0030816640986049E-2</v>
      </c>
      <c r="F146" s="411">
        <v>4152.1000000000004</v>
      </c>
      <c r="G146" s="418">
        <f t="shared" si="18"/>
        <v>-8.6738945141735524E-3</v>
      </c>
      <c r="H146" s="411">
        <v>44.52</v>
      </c>
      <c r="I146" s="418">
        <f t="shared" si="19"/>
        <v>-2.0030816640986049E-2</v>
      </c>
      <c r="J146" s="411">
        <v>4152.1000000000004</v>
      </c>
      <c r="K146" s="418">
        <f t="shared" si="20"/>
        <v>-8.6738945141735524E-3</v>
      </c>
      <c r="L146" s="411">
        <v>44.52</v>
      </c>
      <c r="M146" s="418">
        <f t="shared" si="21"/>
        <v>-2.0030816640986049E-2</v>
      </c>
      <c r="N146" s="411">
        <v>4152.1000000000004</v>
      </c>
      <c r="O146" s="418">
        <f t="shared" si="22"/>
        <v>-8.6738945141735524E-3</v>
      </c>
      <c r="P146" s="411">
        <v>44.52</v>
      </c>
      <c r="Q146" s="418">
        <f t="shared" si="23"/>
        <v>-2.0030816640986049E-2</v>
      </c>
    </row>
    <row r="147" spans="1:17">
      <c r="A147" s="408">
        <v>44326</v>
      </c>
      <c r="B147" s="411">
        <v>4188.43</v>
      </c>
      <c r="C147" s="418">
        <f t="shared" si="16"/>
        <v>-1.0435666020885526E-2</v>
      </c>
      <c r="D147" s="411">
        <v>45.43</v>
      </c>
      <c r="E147" s="418">
        <f t="shared" si="17"/>
        <v>-1.4747343309477356E-2</v>
      </c>
      <c r="F147" s="411">
        <v>4188.43</v>
      </c>
      <c r="G147" s="418">
        <f t="shared" si="18"/>
        <v>-1.0435666020885526E-2</v>
      </c>
      <c r="H147" s="411">
        <v>45.43</v>
      </c>
      <c r="I147" s="418">
        <f t="shared" si="19"/>
        <v>-1.4747343309477356E-2</v>
      </c>
      <c r="J147" s="411">
        <v>4188.43</v>
      </c>
      <c r="K147" s="418">
        <f t="shared" si="20"/>
        <v>-1.0435666020885526E-2</v>
      </c>
      <c r="L147" s="411">
        <v>45.43</v>
      </c>
      <c r="M147" s="418">
        <f t="shared" si="21"/>
        <v>-1.4747343309477356E-2</v>
      </c>
      <c r="N147" s="411">
        <v>4188.43</v>
      </c>
      <c r="O147" s="418">
        <f t="shared" si="22"/>
        <v>-1.0435666020885526E-2</v>
      </c>
      <c r="P147" s="411">
        <v>45.43</v>
      </c>
      <c r="Q147" s="418">
        <f t="shared" si="23"/>
        <v>-1.4747343309477356E-2</v>
      </c>
    </row>
    <row r="148" spans="1:17">
      <c r="A148" s="408">
        <v>44323</v>
      </c>
      <c r="B148" s="411">
        <v>4232.6000000000004</v>
      </c>
      <c r="C148" s="418">
        <f t="shared" si="16"/>
        <v>7.3733464711231989E-3</v>
      </c>
      <c r="D148" s="411">
        <v>46.11</v>
      </c>
      <c r="E148" s="418">
        <f t="shared" si="17"/>
        <v>2.6263075895837984E-2</v>
      </c>
      <c r="F148" s="411">
        <v>4232.6000000000004</v>
      </c>
      <c r="G148" s="418">
        <f t="shared" si="18"/>
        <v>7.3733464711231989E-3</v>
      </c>
      <c r="H148" s="411">
        <v>46.11</v>
      </c>
      <c r="I148" s="418">
        <f t="shared" si="19"/>
        <v>2.6263075895837984E-2</v>
      </c>
      <c r="J148" s="411">
        <v>4232.6000000000004</v>
      </c>
      <c r="K148" s="418">
        <f t="shared" si="20"/>
        <v>7.3733464711231989E-3</v>
      </c>
      <c r="L148" s="411">
        <v>46.11</v>
      </c>
      <c r="M148" s="418">
        <f t="shared" si="21"/>
        <v>2.6263075895837984E-2</v>
      </c>
      <c r="N148" s="411">
        <v>4232.6000000000004</v>
      </c>
      <c r="O148" s="418">
        <f t="shared" si="22"/>
        <v>7.3733464711231989E-3</v>
      </c>
      <c r="P148" s="411">
        <v>46.11</v>
      </c>
      <c r="Q148" s="418">
        <f t="shared" si="23"/>
        <v>2.6263075895837984E-2</v>
      </c>
    </row>
    <row r="149" spans="1:17">
      <c r="A149" s="408">
        <v>44322</v>
      </c>
      <c r="B149" s="411">
        <v>4201.62</v>
      </c>
      <c r="C149" s="418">
        <f t="shared" si="16"/>
        <v>8.1653905494540879E-3</v>
      </c>
      <c r="D149" s="411">
        <v>44.93</v>
      </c>
      <c r="E149" s="418">
        <f t="shared" si="17"/>
        <v>-5.9734513274336543E-3</v>
      </c>
      <c r="F149" s="411">
        <v>4201.62</v>
      </c>
      <c r="G149" s="418">
        <f t="shared" si="18"/>
        <v>8.1653905494540879E-3</v>
      </c>
      <c r="H149" s="411">
        <v>44.93</v>
      </c>
      <c r="I149" s="418">
        <f t="shared" si="19"/>
        <v>-5.9734513274336543E-3</v>
      </c>
      <c r="J149" s="411">
        <v>4201.62</v>
      </c>
      <c r="K149" s="418">
        <f t="shared" si="20"/>
        <v>8.1653905494540879E-3</v>
      </c>
      <c r="L149" s="411">
        <v>44.93</v>
      </c>
      <c r="M149" s="418">
        <f t="shared" si="21"/>
        <v>-5.9734513274336543E-3</v>
      </c>
      <c r="N149" s="411">
        <v>4201.62</v>
      </c>
      <c r="O149" s="418">
        <f t="shared" si="22"/>
        <v>8.1653905494540879E-3</v>
      </c>
      <c r="P149" s="411">
        <v>44.93</v>
      </c>
      <c r="Q149" s="418">
        <f t="shared" si="23"/>
        <v>-5.9734513274336543E-3</v>
      </c>
    </row>
    <row r="150" spans="1:17">
      <c r="A150" s="408">
        <v>44321</v>
      </c>
      <c r="B150" s="411">
        <v>4167.59</v>
      </c>
      <c r="C150" s="418">
        <f t="shared" si="16"/>
        <v>7.0353882429774472E-4</v>
      </c>
      <c r="D150" s="411">
        <v>45.2</v>
      </c>
      <c r="E150" s="418">
        <f t="shared" si="17"/>
        <v>1.2091356918943363E-2</v>
      </c>
      <c r="F150" s="411">
        <v>4167.59</v>
      </c>
      <c r="G150" s="418">
        <f t="shared" si="18"/>
        <v>7.0353882429774472E-4</v>
      </c>
      <c r="H150" s="411">
        <v>45.2</v>
      </c>
      <c r="I150" s="418">
        <f t="shared" si="19"/>
        <v>1.2091356918943363E-2</v>
      </c>
      <c r="J150" s="411">
        <v>4167.59</v>
      </c>
      <c r="K150" s="418">
        <f t="shared" si="20"/>
        <v>7.0353882429774472E-4</v>
      </c>
      <c r="L150" s="411">
        <v>45.2</v>
      </c>
      <c r="M150" s="418">
        <f t="shared" si="21"/>
        <v>1.2091356918943363E-2</v>
      </c>
      <c r="N150" s="411">
        <v>4167.59</v>
      </c>
      <c r="O150" s="418">
        <f t="shared" si="22"/>
        <v>7.0353882429774472E-4</v>
      </c>
      <c r="P150" s="411">
        <v>45.2</v>
      </c>
      <c r="Q150" s="418">
        <f t="shared" si="23"/>
        <v>1.2091356918943363E-2</v>
      </c>
    </row>
    <row r="151" spans="1:17">
      <c r="A151" s="408">
        <v>44320</v>
      </c>
      <c r="B151" s="411">
        <v>4164.66</v>
      </c>
      <c r="C151" s="418">
        <f t="shared" si="16"/>
        <v>-6.6783378571121377E-3</v>
      </c>
      <c r="D151" s="411">
        <v>44.66</v>
      </c>
      <c r="E151" s="418">
        <f t="shared" si="17"/>
        <v>-4.1013528022332046E-2</v>
      </c>
      <c r="F151" s="411">
        <v>4164.66</v>
      </c>
      <c r="G151" s="418">
        <f t="shared" si="18"/>
        <v>-6.6783378571121377E-3</v>
      </c>
      <c r="H151" s="411">
        <v>44.66</v>
      </c>
      <c r="I151" s="418">
        <f t="shared" si="19"/>
        <v>-4.1013528022332046E-2</v>
      </c>
      <c r="J151" s="411">
        <v>4164.66</v>
      </c>
      <c r="K151" s="418">
        <f t="shared" si="20"/>
        <v>-6.6783378571121377E-3</v>
      </c>
      <c r="L151" s="411">
        <v>44.66</v>
      </c>
      <c r="M151" s="418">
        <f t="shared" si="21"/>
        <v>-4.1013528022332046E-2</v>
      </c>
      <c r="N151" s="411">
        <v>4164.66</v>
      </c>
      <c r="O151" s="418">
        <f t="shared" si="22"/>
        <v>-6.6783378571121377E-3</v>
      </c>
      <c r="P151" s="411">
        <v>44.66</v>
      </c>
      <c r="Q151" s="418">
        <f t="shared" si="23"/>
        <v>-4.1013528022332046E-2</v>
      </c>
    </row>
    <row r="152" spans="1:17">
      <c r="A152" s="408">
        <v>44319</v>
      </c>
      <c r="B152" s="411">
        <v>4192.66</v>
      </c>
      <c r="C152" s="418">
        <f t="shared" si="16"/>
        <v>2.7480346410215795E-3</v>
      </c>
      <c r="D152" s="411">
        <v>46.57</v>
      </c>
      <c r="E152" s="418">
        <f t="shared" si="17"/>
        <v>-7.4595055413470002E-3</v>
      </c>
      <c r="F152" s="411">
        <v>4192.66</v>
      </c>
      <c r="G152" s="418">
        <f t="shared" si="18"/>
        <v>2.7480346410215795E-3</v>
      </c>
      <c r="H152" s="411">
        <v>46.57</v>
      </c>
      <c r="I152" s="418">
        <f t="shared" si="19"/>
        <v>-7.4595055413470002E-3</v>
      </c>
      <c r="J152" s="411">
        <v>4192.66</v>
      </c>
      <c r="K152" s="418">
        <f t="shared" si="20"/>
        <v>2.7480346410215795E-3</v>
      </c>
      <c r="L152" s="411">
        <v>46.57</v>
      </c>
      <c r="M152" s="418">
        <f t="shared" si="21"/>
        <v>-7.4595055413470002E-3</v>
      </c>
      <c r="N152" s="411">
        <v>4192.66</v>
      </c>
      <c r="O152" s="418">
        <f t="shared" si="22"/>
        <v>2.7480346410215795E-3</v>
      </c>
      <c r="P152" s="411">
        <v>46.57</v>
      </c>
      <c r="Q152" s="418">
        <f t="shared" si="23"/>
        <v>-7.4595055413470002E-3</v>
      </c>
    </row>
    <row r="153" spans="1:17">
      <c r="A153" s="408">
        <v>44316</v>
      </c>
      <c r="B153" s="411">
        <v>4181.17</v>
      </c>
      <c r="C153" s="418">
        <f t="shared" si="16"/>
        <v>-7.1946375018698827E-3</v>
      </c>
      <c r="D153" s="411">
        <v>46.92</v>
      </c>
      <c r="E153" s="418">
        <f t="shared" si="17"/>
        <v>1.1642949547218562E-2</v>
      </c>
      <c r="F153" s="411">
        <v>4181.17</v>
      </c>
      <c r="G153" s="418">
        <f t="shared" si="18"/>
        <v>-7.1946375018698827E-3</v>
      </c>
      <c r="H153" s="411">
        <v>46.92</v>
      </c>
      <c r="I153" s="418">
        <f t="shared" si="19"/>
        <v>1.1642949547218562E-2</v>
      </c>
      <c r="J153" s="411">
        <v>4181.17</v>
      </c>
      <c r="K153" s="418">
        <f t="shared" si="20"/>
        <v>-7.1946375018698827E-3</v>
      </c>
      <c r="L153" s="411">
        <v>46.92</v>
      </c>
      <c r="M153" s="418">
        <f t="shared" si="21"/>
        <v>1.1642949547218562E-2</v>
      </c>
      <c r="N153" s="411">
        <v>4181.17</v>
      </c>
      <c r="O153" s="418">
        <f t="shared" si="22"/>
        <v>-7.1946375018698827E-3</v>
      </c>
      <c r="P153" s="411">
        <v>46.92</v>
      </c>
      <c r="Q153" s="418">
        <f t="shared" si="23"/>
        <v>1.1642949547218562E-2</v>
      </c>
    </row>
    <row r="154" spans="1:17">
      <c r="A154" s="408">
        <v>44315</v>
      </c>
      <c r="B154" s="411">
        <v>4211.47</v>
      </c>
      <c r="C154" s="418">
        <f t="shared" si="16"/>
        <v>6.7627976802335787E-3</v>
      </c>
      <c r="D154" s="411">
        <v>46.38</v>
      </c>
      <c r="E154" s="418">
        <f t="shared" si="17"/>
        <v>-1.2919896640826156E-3</v>
      </c>
      <c r="F154" s="411">
        <v>4211.47</v>
      </c>
      <c r="G154" s="418">
        <f t="shared" si="18"/>
        <v>6.7627976802335787E-3</v>
      </c>
      <c r="H154" s="411">
        <v>46.38</v>
      </c>
      <c r="I154" s="418">
        <f t="shared" si="19"/>
        <v>-1.2919896640826156E-3</v>
      </c>
      <c r="J154" s="411">
        <v>4211.47</v>
      </c>
      <c r="K154" s="418">
        <f t="shared" si="20"/>
        <v>6.7627976802335787E-3</v>
      </c>
      <c r="L154" s="411">
        <v>46.38</v>
      </c>
      <c r="M154" s="418">
        <f t="shared" si="21"/>
        <v>-1.2919896640826156E-3</v>
      </c>
      <c r="N154" s="411">
        <v>4211.47</v>
      </c>
      <c r="O154" s="418">
        <f t="shared" si="22"/>
        <v>6.7627976802335787E-3</v>
      </c>
      <c r="P154" s="411">
        <v>46.38</v>
      </c>
      <c r="Q154" s="418">
        <f t="shared" si="23"/>
        <v>-1.2919896640826156E-3</v>
      </c>
    </row>
    <row r="155" spans="1:17">
      <c r="A155" s="408">
        <v>44314</v>
      </c>
      <c r="B155" s="411">
        <v>4183.18</v>
      </c>
      <c r="C155" s="418">
        <f t="shared" si="16"/>
        <v>-8.4553063018300012E-4</v>
      </c>
      <c r="D155" s="411">
        <v>46.44</v>
      </c>
      <c r="E155" s="418">
        <f t="shared" si="17"/>
        <v>2.1579628830383779E-3</v>
      </c>
      <c r="F155" s="411">
        <v>4183.18</v>
      </c>
      <c r="G155" s="418">
        <f t="shared" si="18"/>
        <v>-8.4553063018300012E-4</v>
      </c>
      <c r="H155" s="411">
        <v>46.44</v>
      </c>
      <c r="I155" s="418">
        <f t="shared" si="19"/>
        <v>2.1579628830383779E-3</v>
      </c>
      <c r="J155" s="411">
        <v>4183.18</v>
      </c>
      <c r="K155" s="418">
        <f t="shared" si="20"/>
        <v>-8.4553063018300012E-4</v>
      </c>
      <c r="L155" s="411">
        <v>46.44</v>
      </c>
      <c r="M155" s="418">
        <f t="shared" si="21"/>
        <v>2.1579628830383779E-3</v>
      </c>
      <c r="N155" s="411">
        <v>4183.18</v>
      </c>
      <c r="O155" s="418">
        <f t="shared" si="22"/>
        <v>-8.4553063018300012E-4</v>
      </c>
      <c r="P155" s="411">
        <v>46.44</v>
      </c>
      <c r="Q155" s="418">
        <f t="shared" si="23"/>
        <v>2.1579628830383779E-3</v>
      </c>
    </row>
    <row r="156" spans="1:17">
      <c r="A156" s="408">
        <v>44313</v>
      </c>
      <c r="B156" s="411">
        <v>4186.72</v>
      </c>
      <c r="C156" s="418">
        <f t="shared" si="16"/>
        <v>-2.1491921425531579E-4</v>
      </c>
      <c r="D156" s="411">
        <v>46.34</v>
      </c>
      <c r="E156" s="418">
        <f t="shared" si="17"/>
        <v>-5.7927483372666178E-3</v>
      </c>
      <c r="F156" s="411">
        <v>4186.72</v>
      </c>
      <c r="G156" s="418">
        <f t="shared" si="18"/>
        <v>-2.1491921425531579E-4</v>
      </c>
      <c r="H156" s="411">
        <v>46.34</v>
      </c>
      <c r="I156" s="418">
        <f t="shared" si="19"/>
        <v>-5.7927483372666178E-3</v>
      </c>
      <c r="J156" s="411">
        <v>4186.72</v>
      </c>
      <c r="K156" s="418">
        <f t="shared" si="20"/>
        <v>-2.1491921425531579E-4</v>
      </c>
      <c r="L156" s="411">
        <v>46.34</v>
      </c>
      <c r="M156" s="418">
        <f t="shared" si="21"/>
        <v>-5.7927483372666178E-3</v>
      </c>
      <c r="N156" s="411">
        <v>4186.72</v>
      </c>
      <c r="O156" s="418">
        <f t="shared" si="22"/>
        <v>-2.1491921425531579E-4</v>
      </c>
      <c r="P156" s="411">
        <v>46.34</v>
      </c>
      <c r="Q156" s="418">
        <f t="shared" si="23"/>
        <v>-5.7927483372666178E-3</v>
      </c>
    </row>
    <row r="157" spans="1:17">
      <c r="A157" s="408">
        <v>44312</v>
      </c>
      <c r="B157" s="411">
        <v>4187.62</v>
      </c>
      <c r="C157" s="418">
        <f t="shared" si="16"/>
        <v>1.782224167916624E-3</v>
      </c>
      <c r="D157" s="411">
        <v>46.61</v>
      </c>
      <c r="E157" s="418">
        <f t="shared" si="17"/>
        <v>1.7685589519650602E-2</v>
      </c>
      <c r="F157" s="411">
        <v>4187.62</v>
      </c>
      <c r="G157" s="418">
        <f t="shared" si="18"/>
        <v>1.782224167916624E-3</v>
      </c>
      <c r="H157" s="411">
        <v>46.61</v>
      </c>
      <c r="I157" s="418">
        <f t="shared" si="19"/>
        <v>1.7685589519650602E-2</v>
      </c>
      <c r="J157" s="411">
        <v>4187.62</v>
      </c>
      <c r="K157" s="418">
        <f t="shared" si="20"/>
        <v>1.782224167916624E-3</v>
      </c>
      <c r="L157" s="411">
        <v>46.61</v>
      </c>
      <c r="M157" s="418">
        <f t="shared" si="21"/>
        <v>1.7685589519650602E-2</v>
      </c>
      <c r="N157" s="411">
        <v>4187.62</v>
      </c>
      <c r="O157" s="418">
        <f t="shared" si="22"/>
        <v>1.782224167916624E-3</v>
      </c>
      <c r="P157" s="411">
        <v>46.61</v>
      </c>
      <c r="Q157" s="418">
        <f t="shared" si="23"/>
        <v>1.7685589519650602E-2</v>
      </c>
    </row>
    <row r="158" spans="1:17">
      <c r="A158" s="408">
        <v>44309</v>
      </c>
      <c r="B158" s="411">
        <v>4180.17</v>
      </c>
      <c r="C158" s="418">
        <f t="shared" si="16"/>
        <v>1.0928710658818286E-2</v>
      </c>
      <c r="D158" s="411">
        <v>45.8</v>
      </c>
      <c r="E158" s="418">
        <f t="shared" si="17"/>
        <v>2.5755879059350395E-2</v>
      </c>
      <c r="F158" s="411">
        <v>4180.17</v>
      </c>
      <c r="G158" s="418">
        <f t="shared" si="18"/>
        <v>1.0928710658818286E-2</v>
      </c>
      <c r="H158" s="411">
        <v>45.8</v>
      </c>
      <c r="I158" s="418">
        <f t="shared" si="19"/>
        <v>2.5755879059350395E-2</v>
      </c>
      <c r="J158" s="411">
        <v>4180.17</v>
      </c>
      <c r="K158" s="418">
        <f t="shared" si="20"/>
        <v>1.0928710658818286E-2</v>
      </c>
      <c r="L158" s="411">
        <v>45.8</v>
      </c>
      <c r="M158" s="418">
        <f t="shared" si="21"/>
        <v>2.5755879059350395E-2</v>
      </c>
      <c r="N158" s="411">
        <v>4180.17</v>
      </c>
      <c r="O158" s="418">
        <f t="shared" si="22"/>
        <v>1.0928710658818286E-2</v>
      </c>
      <c r="P158" s="411">
        <v>45.8</v>
      </c>
      <c r="Q158" s="418">
        <f t="shared" si="23"/>
        <v>2.5755879059350395E-2</v>
      </c>
    </row>
    <row r="159" spans="1:17">
      <c r="A159" s="408">
        <v>44308</v>
      </c>
      <c r="B159" s="411">
        <v>4134.9799999999996</v>
      </c>
      <c r="C159" s="418">
        <f t="shared" si="16"/>
        <v>-9.2106713438859789E-3</v>
      </c>
      <c r="D159" s="411">
        <v>44.65</v>
      </c>
      <c r="E159" s="418">
        <f t="shared" si="17"/>
        <v>-2.2975929978118259E-2</v>
      </c>
      <c r="F159" s="411">
        <v>4134.9799999999996</v>
      </c>
      <c r="G159" s="418">
        <f t="shared" si="18"/>
        <v>-9.2106713438859789E-3</v>
      </c>
      <c r="H159" s="411">
        <v>44.65</v>
      </c>
      <c r="I159" s="418">
        <f t="shared" si="19"/>
        <v>-2.2975929978118259E-2</v>
      </c>
      <c r="J159" s="411">
        <v>4134.9799999999996</v>
      </c>
      <c r="K159" s="418">
        <f t="shared" si="20"/>
        <v>-9.2106713438859789E-3</v>
      </c>
      <c r="L159" s="411">
        <v>44.65</v>
      </c>
      <c r="M159" s="418">
        <f t="shared" si="21"/>
        <v>-2.2975929978118259E-2</v>
      </c>
      <c r="N159" s="411">
        <v>4134.9799999999996</v>
      </c>
      <c r="O159" s="418">
        <f t="shared" si="22"/>
        <v>-9.2106713438859789E-3</v>
      </c>
      <c r="P159" s="411">
        <v>44.65</v>
      </c>
      <c r="Q159" s="418">
        <f t="shared" si="23"/>
        <v>-2.2975929978118259E-2</v>
      </c>
    </row>
    <row r="160" spans="1:17">
      <c r="A160" s="408">
        <v>44307</v>
      </c>
      <c r="B160" s="411">
        <v>4173.42</v>
      </c>
      <c r="C160" s="418">
        <f t="shared" si="16"/>
        <v>9.3060600637495661E-3</v>
      </c>
      <c r="D160" s="411">
        <v>45.7</v>
      </c>
      <c r="E160" s="418">
        <f t="shared" si="17"/>
        <v>2.8121484814398245E-2</v>
      </c>
      <c r="F160" s="411">
        <v>4173.42</v>
      </c>
      <c r="G160" s="418">
        <f t="shared" si="18"/>
        <v>9.3060600637495661E-3</v>
      </c>
      <c r="H160" s="411">
        <v>45.7</v>
      </c>
      <c r="I160" s="418">
        <f t="shared" si="19"/>
        <v>2.8121484814398245E-2</v>
      </c>
      <c r="J160" s="411">
        <v>4173.42</v>
      </c>
      <c r="K160" s="418">
        <f t="shared" si="20"/>
        <v>9.3060600637495661E-3</v>
      </c>
      <c r="L160" s="411">
        <v>45.7</v>
      </c>
      <c r="M160" s="418">
        <f t="shared" si="21"/>
        <v>2.8121484814398245E-2</v>
      </c>
      <c r="N160" s="411">
        <v>4173.42</v>
      </c>
      <c r="O160" s="418">
        <f t="shared" si="22"/>
        <v>9.3060600637495661E-3</v>
      </c>
      <c r="P160" s="411">
        <v>45.7</v>
      </c>
      <c r="Q160" s="418">
        <f t="shared" si="23"/>
        <v>2.8121484814398245E-2</v>
      </c>
    </row>
    <row r="161" spans="1:17">
      <c r="A161" s="408">
        <v>44306</v>
      </c>
      <c r="B161" s="411">
        <v>4134.9399999999996</v>
      </c>
      <c r="C161" s="418">
        <f t="shared" si="16"/>
        <v>-6.8023616108532359E-3</v>
      </c>
      <c r="D161" s="411">
        <v>44.45</v>
      </c>
      <c r="E161" s="418">
        <f t="shared" si="17"/>
        <v>-3.683640303358604E-2</v>
      </c>
      <c r="F161" s="411">
        <v>4134.9399999999996</v>
      </c>
      <c r="G161" s="418">
        <f t="shared" si="18"/>
        <v>-6.8023616108532359E-3</v>
      </c>
      <c r="H161" s="411">
        <v>44.45</v>
      </c>
      <c r="I161" s="418">
        <f t="shared" si="19"/>
        <v>-3.683640303358604E-2</v>
      </c>
      <c r="J161" s="411">
        <v>4134.9399999999996</v>
      </c>
      <c r="K161" s="418">
        <f t="shared" si="20"/>
        <v>-6.8023616108532359E-3</v>
      </c>
      <c r="L161" s="411">
        <v>44.45</v>
      </c>
      <c r="M161" s="418">
        <f t="shared" si="21"/>
        <v>-3.683640303358604E-2</v>
      </c>
      <c r="N161" s="411">
        <v>4134.9399999999996</v>
      </c>
      <c r="O161" s="418">
        <f t="shared" si="22"/>
        <v>-6.8023616108532359E-3</v>
      </c>
      <c r="P161" s="411">
        <v>44.45</v>
      </c>
      <c r="Q161" s="418">
        <f t="shared" si="23"/>
        <v>-3.683640303358604E-2</v>
      </c>
    </row>
    <row r="162" spans="1:17">
      <c r="A162" s="408">
        <v>44305</v>
      </c>
      <c r="B162" s="411">
        <v>4163.26</v>
      </c>
      <c r="C162" s="418">
        <f t="shared" si="16"/>
        <v>-5.3064530387267883E-3</v>
      </c>
      <c r="D162" s="411">
        <v>46.15</v>
      </c>
      <c r="E162" s="418">
        <f t="shared" si="17"/>
        <v>-1.0506003430531763E-2</v>
      </c>
      <c r="F162" s="411">
        <v>4163.26</v>
      </c>
      <c r="G162" s="418">
        <f t="shared" si="18"/>
        <v>-5.3064530387267883E-3</v>
      </c>
      <c r="H162" s="411">
        <v>46.15</v>
      </c>
      <c r="I162" s="418">
        <f t="shared" si="19"/>
        <v>-1.0506003430531763E-2</v>
      </c>
      <c r="J162" s="411">
        <v>4163.26</v>
      </c>
      <c r="K162" s="418">
        <f t="shared" si="20"/>
        <v>-5.3064530387267883E-3</v>
      </c>
      <c r="L162" s="411">
        <v>46.15</v>
      </c>
      <c r="M162" s="418">
        <f t="shared" si="21"/>
        <v>-1.0506003430531763E-2</v>
      </c>
      <c r="N162" s="411">
        <v>4163.26</v>
      </c>
      <c r="O162" s="418">
        <f t="shared" si="22"/>
        <v>-5.3064530387267883E-3</v>
      </c>
      <c r="P162" s="411">
        <v>46.15</v>
      </c>
      <c r="Q162" s="418">
        <f t="shared" si="23"/>
        <v>-1.0506003430531763E-2</v>
      </c>
    </row>
    <row r="163" spans="1:17">
      <c r="A163" s="408">
        <v>44302</v>
      </c>
      <c r="B163" s="411">
        <v>4185.47</v>
      </c>
      <c r="C163" s="418">
        <f t="shared" si="16"/>
        <v>3.6087492386858155E-3</v>
      </c>
      <c r="D163" s="411">
        <v>46.64</v>
      </c>
      <c r="E163" s="418">
        <f t="shared" si="17"/>
        <v>-3.8445108927808169E-3</v>
      </c>
      <c r="F163" s="411">
        <v>4185.47</v>
      </c>
      <c r="G163" s="418">
        <f t="shared" si="18"/>
        <v>3.6087492386858155E-3</v>
      </c>
      <c r="H163" s="411">
        <v>46.64</v>
      </c>
      <c r="I163" s="418">
        <f t="shared" si="19"/>
        <v>-3.8445108927808169E-3</v>
      </c>
      <c r="J163" s="411">
        <v>4185.47</v>
      </c>
      <c r="K163" s="418">
        <f t="shared" si="20"/>
        <v>3.6087492386858155E-3</v>
      </c>
      <c r="L163" s="411">
        <v>46.64</v>
      </c>
      <c r="M163" s="418">
        <f t="shared" si="21"/>
        <v>-3.8445108927808169E-3</v>
      </c>
      <c r="N163" s="411">
        <v>4185.47</v>
      </c>
      <c r="O163" s="418">
        <f t="shared" si="22"/>
        <v>3.6087492386858155E-3</v>
      </c>
      <c r="P163" s="411">
        <v>46.64</v>
      </c>
      <c r="Q163" s="418">
        <f t="shared" si="23"/>
        <v>-3.8445108927808169E-3</v>
      </c>
    </row>
    <row r="164" spans="1:17">
      <c r="A164" s="408">
        <v>44301</v>
      </c>
      <c r="B164" s="411">
        <v>4170.42</v>
      </c>
      <c r="C164" s="418">
        <f t="shared" si="16"/>
        <v>1.1094247768300924E-2</v>
      </c>
      <c r="D164" s="411">
        <v>46.82</v>
      </c>
      <c r="E164" s="418">
        <f t="shared" si="17"/>
        <v>-2.8025742163172107E-2</v>
      </c>
      <c r="F164" s="411">
        <v>4170.42</v>
      </c>
      <c r="G164" s="418">
        <f t="shared" si="18"/>
        <v>1.1094247768300924E-2</v>
      </c>
      <c r="H164" s="411">
        <v>46.82</v>
      </c>
      <c r="I164" s="418">
        <f t="shared" si="19"/>
        <v>-2.8025742163172107E-2</v>
      </c>
      <c r="J164" s="411">
        <v>4170.42</v>
      </c>
      <c r="K164" s="418">
        <f t="shared" si="20"/>
        <v>1.1094247768300924E-2</v>
      </c>
      <c r="L164" s="411">
        <v>46.82</v>
      </c>
      <c r="M164" s="418">
        <f t="shared" si="21"/>
        <v>-2.8025742163172107E-2</v>
      </c>
      <c r="N164" s="411">
        <v>4170.42</v>
      </c>
      <c r="O164" s="418">
        <f t="shared" si="22"/>
        <v>1.1094247768300924E-2</v>
      </c>
      <c r="P164" s="411">
        <v>46.82</v>
      </c>
      <c r="Q164" s="418">
        <f t="shared" si="23"/>
        <v>-2.8025742163172107E-2</v>
      </c>
    </row>
    <row r="165" spans="1:17">
      <c r="A165" s="408">
        <v>44300</v>
      </c>
      <c r="B165" s="411">
        <v>4124.66</v>
      </c>
      <c r="C165" s="418">
        <f t="shared" si="16"/>
        <v>-4.0878020277237415E-3</v>
      </c>
      <c r="D165" s="411">
        <v>48.17</v>
      </c>
      <c r="E165" s="418">
        <f t="shared" si="17"/>
        <v>-1.8648984666389534E-3</v>
      </c>
      <c r="F165" s="411">
        <v>4124.66</v>
      </c>
      <c r="G165" s="418">
        <f t="shared" si="18"/>
        <v>-4.0878020277237415E-3</v>
      </c>
      <c r="H165" s="411">
        <v>48.17</v>
      </c>
      <c r="I165" s="418">
        <f t="shared" si="19"/>
        <v>-1.8648984666389534E-3</v>
      </c>
      <c r="J165" s="411">
        <v>4124.66</v>
      </c>
      <c r="K165" s="418">
        <f t="shared" si="20"/>
        <v>-4.0878020277237415E-3</v>
      </c>
      <c r="L165" s="411">
        <v>48.17</v>
      </c>
      <c r="M165" s="418">
        <f t="shared" si="21"/>
        <v>-1.8648984666389534E-3</v>
      </c>
      <c r="N165" s="411">
        <v>4124.66</v>
      </c>
      <c r="O165" s="418">
        <f t="shared" si="22"/>
        <v>-4.0878020277237415E-3</v>
      </c>
      <c r="P165" s="411">
        <v>48.17</v>
      </c>
      <c r="Q165" s="418">
        <f t="shared" si="23"/>
        <v>-1.8648984666389534E-3</v>
      </c>
    </row>
    <row r="166" spans="1:17">
      <c r="A166" s="408">
        <v>44299</v>
      </c>
      <c r="B166" s="411">
        <v>4141.59</v>
      </c>
      <c r="C166" s="418">
        <f t="shared" si="16"/>
        <v>3.2945816244711601E-3</v>
      </c>
      <c r="D166" s="411">
        <v>48.26</v>
      </c>
      <c r="E166" s="418">
        <f t="shared" si="17"/>
        <v>-1.1470708725932033E-2</v>
      </c>
      <c r="F166" s="411">
        <v>4141.59</v>
      </c>
      <c r="G166" s="418">
        <f t="shared" si="18"/>
        <v>3.2945816244711601E-3</v>
      </c>
      <c r="H166" s="411">
        <v>48.26</v>
      </c>
      <c r="I166" s="418">
        <f t="shared" si="19"/>
        <v>-1.1470708725932033E-2</v>
      </c>
      <c r="J166" s="411">
        <v>4141.59</v>
      </c>
      <c r="K166" s="418">
        <f t="shared" si="20"/>
        <v>3.2945816244711601E-3</v>
      </c>
      <c r="L166" s="411">
        <v>48.26</v>
      </c>
      <c r="M166" s="418">
        <f t="shared" si="21"/>
        <v>-1.1470708725932033E-2</v>
      </c>
      <c r="N166" s="411">
        <v>4141.59</v>
      </c>
      <c r="O166" s="418">
        <f t="shared" si="22"/>
        <v>3.2945816244711601E-3</v>
      </c>
      <c r="P166" s="411">
        <v>48.26</v>
      </c>
      <c r="Q166" s="418">
        <f t="shared" si="23"/>
        <v>-1.1470708725932033E-2</v>
      </c>
    </row>
    <row r="167" spans="1:17">
      <c r="A167" s="408">
        <v>44298</v>
      </c>
      <c r="B167" s="411">
        <v>4127.99</v>
      </c>
      <c r="C167" s="418">
        <f t="shared" si="16"/>
        <v>-1.9618291028877799E-4</v>
      </c>
      <c r="D167" s="411">
        <v>48.82</v>
      </c>
      <c r="E167" s="418">
        <f t="shared" si="17"/>
        <v>-9.1333468642176285E-3</v>
      </c>
      <c r="F167" s="411">
        <v>4127.99</v>
      </c>
      <c r="G167" s="418">
        <f t="shared" si="18"/>
        <v>-1.9618291028877799E-4</v>
      </c>
      <c r="H167" s="411">
        <v>48.82</v>
      </c>
      <c r="I167" s="418">
        <f t="shared" si="19"/>
        <v>-9.1333468642176285E-3</v>
      </c>
      <c r="J167" s="411">
        <v>4127.99</v>
      </c>
      <c r="K167" s="418">
        <f t="shared" si="20"/>
        <v>-1.9618291028877799E-4</v>
      </c>
      <c r="L167" s="411">
        <v>48.82</v>
      </c>
      <c r="M167" s="418">
        <f t="shared" si="21"/>
        <v>-9.1333468642176285E-3</v>
      </c>
      <c r="N167" s="411">
        <v>4127.99</v>
      </c>
      <c r="O167" s="418">
        <f t="shared" si="22"/>
        <v>-1.9618291028877799E-4</v>
      </c>
      <c r="P167" s="411">
        <v>48.82</v>
      </c>
      <c r="Q167" s="418">
        <f t="shared" si="23"/>
        <v>-9.1333468642176285E-3</v>
      </c>
    </row>
    <row r="168" spans="1:17">
      <c r="A168" s="408">
        <v>44295</v>
      </c>
      <c r="B168" s="411">
        <v>4128.8</v>
      </c>
      <c r="C168" s="418">
        <f t="shared" si="16"/>
        <v>7.7199628035937717E-3</v>
      </c>
      <c r="D168" s="411">
        <v>49.27</v>
      </c>
      <c r="E168" s="418">
        <f t="shared" si="17"/>
        <v>-1.0841196546878096E-2</v>
      </c>
      <c r="F168" s="411">
        <v>4128.8</v>
      </c>
      <c r="G168" s="418">
        <f t="shared" si="18"/>
        <v>7.7199628035937717E-3</v>
      </c>
      <c r="H168" s="411">
        <v>49.27</v>
      </c>
      <c r="I168" s="418">
        <f t="shared" si="19"/>
        <v>-1.0841196546878096E-2</v>
      </c>
      <c r="J168" s="411">
        <v>4128.8</v>
      </c>
      <c r="K168" s="418">
        <f t="shared" si="20"/>
        <v>7.7199628035937717E-3</v>
      </c>
      <c r="L168" s="411">
        <v>49.27</v>
      </c>
      <c r="M168" s="418">
        <f t="shared" si="21"/>
        <v>-1.0841196546878096E-2</v>
      </c>
      <c r="N168" s="411">
        <v>4128.8</v>
      </c>
      <c r="O168" s="418">
        <f t="shared" si="22"/>
        <v>7.7199628035937717E-3</v>
      </c>
      <c r="P168" s="411">
        <v>49.27</v>
      </c>
      <c r="Q168" s="418">
        <f t="shared" si="23"/>
        <v>-1.0841196546878096E-2</v>
      </c>
    </row>
    <row r="169" spans="1:17">
      <c r="A169" s="408">
        <v>44294</v>
      </c>
      <c r="B169" s="411">
        <v>4097.17</v>
      </c>
      <c r="C169" s="418">
        <f t="shared" si="16"/>
        <v>4.220639958823158E-3</v>
      </c>
      <c r="D169" s="411">
        <v>49.81</v>
      </c>
      <c r="E169" s="418">
        <f t="shared" si="17"/>
        <v>-7.7689243027888599E-3</v>
      </c>
      <c r="F169" s="411">
        <v>4097.17</v>
      </c>
      <c r="G169" s="418">
        <f t="shared" si="18"/>
        <v>4.220639958823158E-3</v>
      </c>
      <c r="H169" s="411">
        <v>49.81</v>
      </c>
      <c r="I169" s="418">
        <f t="shared" si="19"/>
        <v>-7.7689243027888599E-3</v>
      </c>
      <c r="J169" s="411">
        <v>4097.17</v>
      </c>
      <c r="K169" s="418">
        <f t="shared" si="20"/>
        <v>4.220639958823158E-3</v>
      </c>
      <c r="L169" s="411">
        <v>49.81</v>
      </c>
      <c r="M169" s="418">
        <f t="shared" si="21"/>
        <v>-7.7689243027888599E-3</v>
      </c>
      <c r="N169" s="411">
        <v>4097.17</v>
      </c>
      <c r="O169" s="418">
        <f t="shared" si="22"/>
        <v>4.220639958823158E-3</v>
      </c>
      <c r="P169" s="411">
        <v>49.81</v>
      </c>
      <c r="Q169" s="418">
        <f t="shared" si="23"/>
        <v>-7.7689243027888599E-3</v>
      </c>
    </row>
    <row r="170" spans="1:17">
      <c r="A170" s="408">
        <v>44293</v>
      </c>
      <c r="B170" s="411">
        <v>4079.95</v>
      </c>
      <c r="C170" s="418">
        <f t="shared" si="16"/>
        <v>1.4752303666720756E-3</v>
      </c>
      <c r="D170" s="411">
        <v>50.2</v>
      </c>
      <c r="E170" s="418">
        <f t="shared" si="17"/>
        <v>-2.8073572120038692E-2</v>
      </c>
      <c r="F170" s="411">
        <v>4079.95</v>
      </c>
      <c r="G170" s="418">
        <f t="shared" si="18"/>
        <v>1.4752303666720756E-3</v>
      </c>
      <c r="H170" s="411">
        <v>50.2</v>
      </c>
      <c r="I170" s="418">
        <f t="shared" si="19"/>
        <v>-2.8073572120038692E-2</v>
      </c>
      <c r="J170" s="411">
        <v>4079.95</v>
      </c>
      <c r="K170" s="418">
        <f t="shared" si="20"/>
        <v>1.4752303666720756E-3</v>
      </c>
      <c r="L170" s="411">
        <v>50.2</v>
      </c>
      <c r="M170" s="418">
        <f t="shared" si="21"/>
        <v>-2.8073572120038692E-2</v>
      </c>
      <c r="N170" s="411">
        <v>4079.95</v>
      </c>
      <c r="O170" s="418">
        <f t="shared" si="22"/>
        <v>1.4752303666720756E-3</v>
      </c>
      <c r="P170" s="411">
        <v>50.2</v>
      </c>
      <c r="Q170" s="418">
        <f t="shared" si="23"/>
        <v>-2.8073572120038692E-2</v>
      </c>
    </row>
    <row r="171" spans="1:17">
      <c r="A171" s="408">
        <v>44292</v>
      </c>
      <c r="B171" s="411">
        <v>4073.94</v>
      </c>
      <c r="C171" s="418">
        <f t="shared" si="16"/>
        <v>-9.7353791525556233E-4</v>
      </c>
      <c r="D171" s="411">
        <v>51.65</v>
      </c>
      <c r="E171" s="418">
        <f t="shared" si="17"/>
        <v>2.7860696517412853E-2</v>
      </c>
      <c r="F171" s="411">
        <v>4073.94</v>
      </c>
      <c r="G171" s="418">
        <f t="shared" si="18"/>
        <v>-9.7353791525556233E-4</v>
      </c>
      <c r="H171" s="411">
        <v>51.65</v>
      </c>
      <c r="I171" s="418">
        <f t="shared" si="19"/>
        <v>2.7860696517412853E-2</v>
      </c>
      <c r="J171" s="411">
        <v>4073.94</v>
      </c>
      <c r="K171" s="418">
        <f t="shared" si="20"/>
        <v>-9.7353791525556233E-4</v>
      </c>
      <c r="L171" s="411">
        <v>51.65</v>
      </c>
      <c r="M171" s="418">
        <f t="shared" si="21"/>
        <v>2.7860696517412853E-2</v>
      </c>
      <c r="N171" s="411">
        <v>4073.94</v>
      </c>
      <c r="O171" s="418">
        <f t="shared" si="22"/>
        <v>-9.7353791525556233E-4</v>
      </c>
      <c r="P171" s="411">
        <v>51.65</v>
      </c>
      <c r="Q171" s="418">
        <f t="shared" si="23"/>
        <v>2.7860696517412853E-2</v>
      </c>
    </row>
    <row r="172" spans="1:17">
      <c r="A172" s="408">
        <v>44291</v>
      </c>
      <c r="B172" s="411">
        <v>4077.91</v>
      </c>
      <c r="C172" s="418">
        <f t="shared" si="16"/>
        <v>1.4438277854756487E-2</v>
      </c>
      <c r="D172" s="411">
        <v>50.25</v>
      </c>
      <c r="E172" s="418">
        <f t="shared" si="17"/>
        <v>2.9080483309440908E-2</v>
      </c>
      <c r="F172" s="411">
        <v>4077.91</v>
      </c>
      <c r="G172" s="418">
        <f t="shared" si="18"/>
        <v>1.4438277854756487E-2</v>
      </c>
      <c r="H172" s="411">
        <v>50.25</v>
      </c>
      <c r="I172" s="418">
        <f t="shared" si="19"/>
        <v>2.9080483309440908E-2</v>
      </c>
      <c r="J172" s="411">
        <v>4077.91</v>
      </c>
      <c r="K172" s="418">
        <f t="shared" si="20"/>
        <v>1.4438277854756487E-2</v>
      </c>
      <c r="L172" s="411">
        <v>50.25</v>
      </c>
      <c r="M172" s="418">
        <f t="shared" si="21"/>
        <v>2.9080483309440908E-2</v>
      </c>
      <c r="N172" s="411">
        <v>4077.91</v>
      </c>
      <c r="O172" s="418">
        <f t="shared" si="22"/>
        <v>1.4438277854756487E-2</v>
      </c>
      <c r="P172" s="411">
        <v>50.25</v>
      </c>
      <c r="Q172" s="418">
        <f t="shared" si="23"/>
        <v>2.9080483309440908E-2</v>
      </c>
    </row>
    <row r="173" spans="1:17">
      <c r="A173" s="408">
        <v>44287</v>
      </c>
      <c r="B173" s="411">
        <v>4019.87</v>
      </c>
      <c r="C173" s="418">
        <f t="shared" si="16"/>
        <v>1.1825144919693331E-2</v>
      </c>
      <c r="D173" s="411">
        <v>48.83</v>
      </c>
      <c r="E173" s="418">
        <f t="shared" si="17"/>
        <v>1.1391880695940326E-2</v>
      </c>
      <c r="F173" s="411">
        <v>4019.87</v>
      </c>
      <c r="G173" s="418">
        <f t="shared" si="18"/>
        <v>1.1825144919693331E-2</v>
      </c>
      <c r="H173" s="411">
        <v>48.83</v>
      </c>
      <c r="I173" s="418">
        <f t="shared" si="19"/>
        <v>1.1391880695940326E-2</v>
      </c>
      <c r="J173" s="411">
        <v>4019.87</v>
      </c>
      <c r="K173" s="418">
        <f t="shared" si="20"/>
        <v>1.1825144919693331E-2</v>
      </c>
      <c r="L173" s="411">
        <v>48.83</v>
      </c>
      <c r="M173" s="418">
        <f t="shared" si="21"/>
        <v>1.1391880695940326E-2</v>
      </c>
      <c r="N173" s="411">
        <v>4019.87</v>
      </c>
      <c r="O173" s="418">
        <f t="shared" si="22"/>
        <v>1.1825144919693331E-2</v>
      </c>
      <c r="P173" s="411">
        <v>48.83</v>
      </c>
      <c r="Q173" s="418">
        <f t="shared" si="23"/>
        <v>1.1391880695940326E-2</v>
      </c>
    </row>
    <row r="174" spans="1:17">
      <c r="A174" s="408">
        <v>44286</v>
      </c>
      <c r="B174" s="411">
        <v>3972.89</v>
      </c>
      <c r="C174" s="418">
        <f t="shared" si="16"/>
        <v>3.6225385557842049E-3</v>
      </c>
      <c r="D174" s="411">
        <v>48.28</v>
      </c>
      <c r="E174" s="418">
        <f t="shared" si="17"/>
        <v>-1.2678936605316937E-2</v>
      </c>
      <c r="F174" s="411">
        <v>3972.89</v>
      </c>
      <c r="G174" s="418">
        <f t="shared" si="18"/>
        <v>3.6225385557842049E-3</v>
      </c>
      <c r="H174" s="411">
        <v>48.28</v>
      </c>
      <c r="I174" s="418">
        <f t="shared" si="19"/>
        <v>-1.2678936605316937E-2</v>
      </c>
      <c r="J174" s="411">
        <v>3972.89</v>
      </c>
      <c r="K174" s="418">
        <f t="shared" si="20"/>
        <v>3.6225385557842049E-3</v>
      </c>
      <c r="L174" s="411">
        <v>48.28</v>
      </c>
      <c r="M174" s="418">
        <f t="shared" si="21"/>
        <v>-1.2678936605316937E-2</v>
      </c>
      <c r="N174" s="411">
        <v>3972.89</v>
      </c>
      <c r="O174" s="418">
        <f t="shared" si="22"/>
        <v>3.6225385557842049E-3</v>
      </c>
      <c r="P174" s="411">
        <v>48.28</v>
      </c>
      <c r="Q174" s="418">
        <f t="shared" si="23"/>
        <v>-1.2678936605316937E-2</v>
      </c>
    </row>
    <row r="175" spans="1:17">
      <c r="A175" s="408">
        <v>44285</v>
      </c>
      <c r="B175" s="411">
        <v>3958.55</v>
      </c>
      <c r="C175" s="418">
        <f t="shared" si="16"/>
        <v>-3.1578231669390222E-3</v>
      </c>
      <c r="D175" s="411">
        <v>48.9</v>
      </c>
      <c r="E175" s="418">
        <f t="shared" si="17"/>
        <v>3.3389687235841015E-2</v>
      </c>
      <c r="F175" s="411">
        <v>3958.55</v>
      </c>
      <c r="G175" s="418">
        <f t="shared" si="18"/>
        <v>-3.1578231669390222E-3</v>
      </c>
      <c r="H175" s="411">
        <v>48.9</v>
      </c>
      <c r="I175" s="418">
        <f t="shared" si="19"/>
        <v>3.3389687235841015E-2</v>
      </c>
      <c r="J175" s="411">
        <v>3958.55</v>
      </c>
      <c r="K175" s="418">
        <f t="shared" si="20"/>
        <v>-3.1578231669390222E-3</v>
      </c>
      <c r="L175" s="411">
        <v>48.9</v>
      </c>
      <c r="M175" s="418">
        <f t="shared" si="21"/>
        <v>3.3389687235841015E-2</v>
      </c>
      <c r="N175" s="411">
        <v>3958.55</v>
      </c>
      <c r="O175" s="418">
        <f t="shared" si="22"/>
        <v>-3.1578231669390222E-3</v>
      </c>
      <c r="P175" s="411">
        <v>48.9</v>
      </c>
      <c r="Q175" s="418">
        <f t="shared" si="23"/>
        <v>3.3389687235841015E-2</v>
      </c>
    </row>
    <row r="176" spans="1:17">
      <c r="A176" s="408">
        <v>44284</v>
      </c>
      <c r="B176" s="411">
        <v>3971.09</v>
      </c>
      <c r="C176" s="418">
        <f t="shared" si="16"/>
        <v>-8.6802497899118869E-4</v>
      </c>
      <c r="D176" s="411">
        <v>47.32</v>
      </c>
      <c r="E176" s="418">
        <f t="shared" si="17"/>
        <v>-7.133864876206375E-3</v>
      </c>
      <c r="F176" s="411">
        <v>3971.09</v>
      </c>
      <c r="G176" s="418">
        <f t="shared" si="18"/>
        <v>-8.6802497899118869E-4</v>
      </c>
      <c r="H176" s="411">
        <v>47.32</v>
      </c>
      <c r="I176" s="418">
        <f t="shared" si="19"/>
        <v>-7.133864876206375E-3</v>
      </c>
      <c r="J176" s="411">
        <v>3971.09</v>
      </c>
      <c r="K176" s="418">
        <f t="shared" si="20"/>
        <v>-8.6802497899118869E-4</v>
      </c>
      <c r="L176" s="411">
        <v>47.32</v>
      </c>
      <c r="M176" s="418">
        <f t="shared" si="21"/>
        <v>-7.133864876206375E-3</v>
      </c>
      <c r="N176" s="411">
        <v>3971.09</v>
      </c>
      <c r="O176" s="418">
        <f t="shared" si="22"/>
        <v>-8.6802497899118869E-4</v>
      </c>
      <c r="P176" s="411">
        <v>47.32</v>
      </c>
      <c r="Q176" s="418">
        <f t="shared" si="23"/>
        <v>-7.133864876206375E-3</v>
      </c>
    </row>
    <row r="177" spans="1:17">
      <c r="A177" s="408">
        <v>44281</v>
      </c>
      <c r="B177" s="411">
        <v>3974.54</v>
      </c>
      <c r="C177" s="418">
        <f t="shared" si="16"/>
        <v>1.6631197691788335E-2</v>
      </c>
      <c r="D177" s="411">
        <v>47.66</v>
      </c>
      <c r="E177" s="418">
        <f t="shared" si="17"/>
        <v>1.3826845352052697E-2</v>
      </c>
      <c r="F177" s="411">
        <v>3974.54</v>
      </c>
      <c r="G177" s="418">
        <f t="shared" si="18"/>
        <v>1.6631197691788335E-2</v>
      </c>
      <c r="H177" s="411">
        <v>47.66</v>
      </c>
      <c r="I177" s="418">
        <f t="shared" si="19"/>
        <v>1.3826845352052697E-2</v>
      </c>
      <c r="J177" s="411">
        <v>3974.54</v>
      </c>
      <c r="K177" s="418">
        <f t="shared" si="20"/>
        <v>1.6631197691788335E-2</v>
      </c>
      <c r="L177" s="411">
        <v>47.66</v>
      </c>
      <c r="M177" s="418">
        <f t="shared" si="21"/>
        <v>1.3826845352052697E-2</v>
      </c>
      <c r="N177" s="411">
        <v>3974.54</v>
      </c>
      <c r="O177" s="418">
        <f t="shared" si="22"/>
        <v>1.6631197691788335E-2</v>
      </c>
      <c r="P177" s="411">
        <v>47.66</v>
      </c>
      <c r="Q177" s="418">
        <f t="shared" si="23"/>
        <v>1.3826845352052697E-2</v>
      </c>
    </row>
    <row r="178" spans="1:17">
      <c r="A178" s="408">
        <v>44280</v>
      </c>
      <c r="B178" s="411">
        <v>3909.52</v>
      </c>
      <c r="C178" s="418">
        <f t="shared" si="16"/>
        <v>5.2402330592367097E-3</v>
      </c>
      <c r="D178" s="411">
        <v>47.01</v>
      </c>
      <c r="E178" s="418">
        <f t="shared" si="17"/>
        <v>3.0695023021267254E-2</v>
      </c>
      <c r="F178" s="411">
        <v>3909.52</v>
      </c>
      <c r="G178" s="418">
        <f t="shared" si="18"/>
        <v>5.2402330592367097E-3</v>
      </c>
      <c r="H178" s="411">
        <v>47.01</v>
      </c>
      <c r="I178" s="418">
        <f t="shared" si="19"/>
        <v>3.0695023021267254E-2</v>
      </c>
      <c r="J178" s="411">
        <v>3909.52</v>
      </c>
      <c r="K178" s="418">
        <f t="shared" si="20"/>
        <v>5.2402330592367097E-3</v>
      </c>
      <c r="L178" s="411">
        <v>47.01</v>
      </c>
      <c r="M178" s="418">
        <f t="shared" si="21"/>
        <v>3.0695023021267254E-2</v>
      </c>
      <c r="N178" s="411">
        <v>3909.52</v>
      </c>
      <c r="O178" s="418">
        <f t="shared" si="22"/>
        <v>5.2402330592367097E-3</v>
      </c>
      <c r="P178" s="411">
        <v>47.01</v>
      </c>
      <c r="Q178" s="418">
        <f t="shared" si="23"/>
        <v>3.0695023021267254E-2</v>
      </c>
    </row>
    <row r="179" spans="1:17">
      <c r="A179" s="408">
        <v>44279</v>
      </c>
      <c r="B179" s="411">
        <v>3889.14</v>
      </c>
      <c r="C179" s="418">
        <f t="shared" si="16"/>
        <v>-5.4673035811094728E-3</v>
      </c>
      <c r="D179" s="411">
        <v>45.61</v>
      </c>
      <c r="E179" s="418">
        <f t="shared" si="17"/>
        <v>-6.5731814198077831E-4</v>
      </c>
      <c r="F179" s="411">
        <v>3889.14</v>
      </c>
      <c r="G179" s="418">
        <f t="shared" si="18"/>
        <v>-5.4673035811094728E-3</v>
      </c>
      <c r="H179" s="411">
        <v>45.61</v>
      </c>
      <c r="I179" s="418">
        <f t="shared" si="19"/>
        <v>-6.5731814198077831E-4</v>
      </c>
      <c r="J179" s="411">
        <v>3889.14</v>
      </c>
      <c r="K179" s="418">
        <f t="shared" si="20"/>
        <v>-5.4673035811094728E-3</v>
      </c>
      <c r="L179" s="411">
        <v>45.61</v>
      </c>
      <c r="M179" s="418">
        <f t="shared" si="21"/>
        <v>-6.5731814198077831E-4</v>
      </c>
      <c r="N179" s="411">
        <v>3889.14</v>
      </c>
      <c r="O179" s="418">
        <f t="shared" si="22"/>
        <v>-5.4673035811094728E-3</v>
      </c>
      <c r="P179" s="411">
        <v>45.61</v>
      </c>
      <c r="Q179" s="418">
        <f t="shared" si="23"/>
        <v>-6.5731814198077831E-4</v>
      </c>
    </row>
    <row r="180" spans="1:17">
      <c r="A180" s="408">
        <v>44278</v>
      </c>
      <c r="B180" s="411">
        <v>3910.52</v>
      </c>
      <c r="C180" s="418">
        <f t="shared" si="16"/>
        <v>-7.6308370066411335E-3</v>
      </c>
      <c r="D180" s="411">
        <v>45.64</v>
      </c>
      <c r="E180" s="418">
        <f t="shared" si="17"/>
        <v>-4.8572024181780193E-2</v>
      </c>
      <c r="F180" s="411">
        <v>3910.52</v>
      </c>
      <c r="G180" s="418">
        <f t="shared" si="18"/>
        <v>-7.6308370066411335E-3</v>
      </c>
      <c r="H180" s="411">
        <v>45.64</v>
      </c>
      <c r="I180" s="418">
        <f t="shared" si="19"/>
        <v>-4.8572024181780193E-2</v>
      </c>
      <c r="J180" s="411">
        <v>3910.52</v>
      </c>
      <c r="K180" s="418">
        <f t="shared" si="20"/>
        <v>-7.6308370066411335E-3</v>
      </c>
      <c r="L180" s="411">
        <v>45.64</v>
      </c>
      <c r="M180" s="418">
        <f t="shared" si="21"/>
        <v>-4.8572024181780193E-2</v>
      </c>
      <c r="N180" s="411">
        <v>3910.52</v>
      </c>
      <c r="O180" s="418">
        <f t="shared" si="22"/>
        <v>-7.6308370066411335E-3</v>
      </c>
      <c r="P180" s="411">
        <v>45.64</v>
      </c>
      <c r="Q180" s="418">
        <f t="shared" si="23"/>
        <v>-4.8572024181780193E-2</v>
      </c>
    </row>
    <row r="181" spans="1:17">
      <c r="A181" s="408">
        <v>44277</v>
      </c>
      <c r="B181" s="411">
        <v>3940.59</v>
      </c>
      <c r="C181" s="418">
        <f t="shared" si="16"/>
        <v>7.0251207482558975E-3</v>
      </c>
      <c r="D181" s="411">
        <v>47.97</v>
      </c>
      <c r="E181" s="418">
        <f t="shared" si="17"/>
        <v>-2.1020408163265336E-2</v>
      </c>
      <c r="F181" s="411">
        <v>3940.59</v>
      </c>
      <c r="G181" s="418">
        <f t="shared" si="18"/>
        <v>7.0251207482558975E-3</v>
      </c>
      <c r="H181" s="411">
        <v>47.97</v>
      </c>
      <c r="I181" s="418">
        <f t="shared" si="19"/>
        <v>-2.1020408163265336E-2</v>
      </c>
      <c r="J181" s="411">
        <v>3940.59</v>
      </c>
      <c r="K181" s="418">
        <f t="shared" si="20"/>
        <v>7.0251207482558975E-3</v>
      </c>
      <c r="L181" s="411">
        <v>47.97</v>
      </c>
      <c r="M181" s="418">
        <f t="shared" si="21"/>
        <v>-2.1020408163265336E-2</v>
      </c>
      <c r="N181" s="411">
        <v>3940.59</v>
      </c>
      <c r="O181" s="418">
        <f t="shared" si="22"/>
        <v>7.0251207482558975E-3</v>
      </c>
      <c r="P181" s="411">
        <v>47.97</v>
      </c>
      <c r="Q181" s="418">
        <f t="shared" si="23"/>
        <v>-2.1020408163265336E-2</v>
      </c>
    </row>
    <row r="182" spans="1:17">
      <c r="A182" s="408">
        <v>44274</v>
      </c>
      <c r="B182" s="411">
        <v>3913.1</v>
      </c>
      <c r="C182" s="418">
        <f t="shared" si="16"/>
        <v>-6.0273888636330764E-4</v>
      </c>
      <c r="D182" s="411">
        <v>49</v>
      </c>
      <c r="E182" s="418">
        <f t="shared" si="17"/>
        <v>-3.6600244001626647E-3</v>
      </c>
      <c r="F182" s="411">
        <v>3913.1</v>
      </c>
      <c r="G182" s="418">
        <f t="shared" si="18"/>
        <v>-6.0273888636330764E-4</v>
      </c>
      <c r="H182" s="411">
        <v>49</v>
      </c>
      <c r="I182" s="418">
        <f t="shared" si="19"/>
        <v>-3.6600244001626647E-3</v>
      </c>
      <c r="J182" s="411">
        <v>3913.1</v>
      </c>
      <c r="K182" s="418">
        <f t="shared" si="20"/>
        <v>-6.0273888636330764E-4</v>
      </c>
      <c r="L182" s="411">
        <v>49</v>
      </c>
      <c r="M182" s="418">
        <f t="shared" si="21"/>
        <v>-3.6600244001626647E-3</v>
      </c>
      <c r="N182" s="411">
        <v>3913.1</v>
      </c>
      <c r="O182" s="418">
        <f t="shared" si="22"/>
        <v>-6.0273888636330764E-4</v>
      </c>
      <c r="P182" s="411">
        <v>49</v>
      </c>
      <c r="Q182" s="418">
        <f t="shared" si="23"/>
        <v>-3.6600244001626647E-3</v>
      </c>
    </row>
    <row r="183" spans="1:17">
      <c r="A183" s="408">
        <v>44273</v>
      </c>
      <c r="B183" s="411">
        <v>3915.46</v>
      </c>
      <c r="C183" s="418">
        <f t="shared" si="16"/>
        <v>-1.4760500437832724E-2</v>
      </c>
      <c r="D183" s="411">
        <v>49.18</v>
      </c>
      <c r="E183" s="418">
        <f t="shared" si="17"/>
        <v>-2.4980174464710458E-2</v>
      </c>
      <c r="F183" s="411">
        <v>3915.46</v>
      </c>
      <c r="G183" s="418">
        <f t="shared" si="18"/>
        <v>-1.4760500437832724E-2</v>
      </c>
      <c r="H183" s="411">
        <v>49.18</v>
      </c>
      <c r="I183" s="418">
        <f t="shared" si="19"/>
        <v>-2.4980174464710458E-2</v>
      </c>
      <c r="J183" s="411">
        <v>3915.46</v>
      </c>
      <c r="K183" s="418">
        <f t="shared" si="20"/>
        <v>-1.4760500437832724E-2</v>
      </c>
      <c r="L183" s="411">
        <v>49.18</v>
      </c>
      <c r="M183" s="418">
        <f t="shared" si="21"/>
        <v>-2.4980174464710458E-2</v>
      </c>
      <c r="N183" s="411">
        <v>3915.46</v>
      </c>
      <c r="O183" s="418">
        <f t="shared" si="22"/>
        <v>-1.4760500437832724E-2</v>
      </c>
      <c r="P183" s="411">
        <v>49.18</v>
      </c>
      <c r="Q183" s="418">
        <f t="shared" si="23"/>
        <v>-2.4980174464710458E-2</v>
      </c>
    </row>
    <row r="184" spans="1:17">
      <c r="A184" s="408">
        <v>44272</v>
      </c>
      <c r="B184" s="411">
        <v>3974.12</v>
      </c>
      <c r="C184" s="418">
        <f t="shared" si="16"/>
        <v>2.8793426720601367E-3</v>
      </c>
      <c r="D184" s="411">
        <v>50.44</v>
      </c>
      <c r="E184" s="418">
        <f t="shared" si="17"/>
        <v>2.1259364243773948E-2</v>
      </c>
      <c r="F184" s="411">
        <v>3974.12</v>
      </c>
      <c r="G184" s="418">
        <f t="shared" si="18"/>
        <v>2.8793426720601367E-3</v>
      </c>
      <c r="H184" s="411">
        <v>50.44</v>
      </c>
      <c r="I184" s="418">
        <f t="shared" si="19"/>
        <v>2.1259364243773948E-2</v>
      </c>
      <c r="J184" s="411">
        <v>3974.12</v>
      </c>
      <c r="K184" s="418">
        <f t="shared" si="20"/>
        <v>2.8793426720601367E-3</v>
      </c>
      <c r="L184" s="411">
        <v>50.44</v>
      </c>
      <c r="M184" s="418">
        <f t="shared" si="21"/>
        <v>2.1259364243773948E-2</v>
      </c>
      <c r="N184" s="411">
        <v>3974.12</v>
      </c>
      <c r="O184" s="418">
        <f t="shared" si="22"/>
        <v>2.8793426720601367E-3</v>
      </c>
      <c r="P184" s="411">
        <v>50.44</v>
      </c>
      <c r="Q184" s="418">
        <f t="shared" si="23"/>
        <v>2.1259364243773948E-2</v>
      </c>
    </row>
    <row r="185" spans="1:17">
      <c r="A185" s="408">
        <v>44271</v>
      </c>
      <c r="B185" s="411">
        <v>3962.71</v>
      </c>
      <c r="C185" s="418">
        <f t="shared" si="16"/>
        <v>-1.5696886322292825E-3</v>
      </c>
      <c r="D185" s="411">
        <v>49.39</v>
      </c>
      <c r="E185" s="418">
        <f t="shared" si="17"/>
        <v>-3.1378701706216927E-2</v>
      </c>
      <c r="F185" s="411">
        <v>3962.71</v>
      </c>
      <c r="G185" s="418">
        <f t="shared" si="18"/>
        <v>-1.5696886322292825E-3</v>
      </c>
      <c r="H185" s="411">
        <v>49.39</v>
      </c>
      <c r="I185" s="418">
        <f t="shared" si="19"/>
        <v>-3.1378701706216927E-2</v>
      </c>
      <c r="J185" s="411">
        <v>3962.71</v>
      </c>
      <c r="K185" s="418">
        <f t="shared" si="20"/>
        <v>-1.5696886322292825E-3</v>
      </c>
      <c r="L185" s="411">
        <v>49.39</v>
      </c>
      <c r="M185" s="418">
        <f t="shared" si="21"/>
        <v>-3.1378701706216927E-2</v>
      </c>
      <c r="N185" s="411">
        <v>3962.71</v>
      </c>
      <c r="O185" s="418">
        <f t="shared" si="22"/>
        <v>-1.5696886322292825E-3</v>
      </c>
      <c r="P185" s="411">
        <v>49.39</v>
      </c>
      <c r="Q185" s="418">
        <f t="shared" si="23"/>
        <v>-3.1378701706216927E-2</v>
      </c>
    </row>
    <row r="186" spans="1:17">
      <c r="A186" s="408">
        <v>44270</v>
      </c>
      <c r="B186" s="411">
        <v>3968.94</v>
      </c>
      <c r="C186" s="418">
        <f t="shared" si="16"/>
        <v>6.4919585934766211E-3</v>
      </c>
      <c r="D186" s="411">
        <v>50.99</v>
      </c>
      <c r="E186" s="418">
        <f t="shared" si="17"/>
        <v>2.3279149106963715E-2</v>
      </c>
      <c r="F186" s="411">
        <v>3968.94</v>
      </c>
      <c r="G186" s="418">
        <f t="shared" si="18"/>
        <v>6.4919585934766211E-3</v>
      </c>
      <c r="H186" s="411">
        <v>50.99</v>
      </c>
      <c r="I186" s="418">
        <f t="shared" si="19"/>
        <v>2.3279149106963715E-2</v>
      </c>
      <c r="J186" s="411">
        <v>3968.94</v>
      </c>
      <c r="K186" s="418">
        <f t="shared" si="20"/>
        <v>6.4919585934766211E-3</v>
      </c>
      <c r="L186" s="411">
        <v>50.99</v>
      </c>
      <c r="M186" s="418">
        <f t="shared" si="21"/>
        <v>2.3279149106963715E-2</v>
      </c>
      <c r="N186" s="411">
        <v>3968.94</v>
      </c>
      <c r="O186" s="418">
        <f t="shared" si="22"/>
        <v>6.4919585934766211E-3</v>
      </c>
      <c r="P186" s="411">
        <v>50.99</v>
      </c>
      <c r="Q186" s="418">
        <f t="shared" si="23"/>
        <v>2.3279149106963715E-2</v>
      </c>
    </row>
    <row r="187" spans="1:17">
      <c r="A187" s="408">
        <v>44267</v>
      </c>
      <c r="B187" s="411">
        <v>3943.34</v>
      </c>
      <c r="C187" s="418">
        <f t="shared" si="16"/>
        <v>1.0153985185334946E-3</v>
      </c>
      <c r="D187" s="411">
        <v>49.83</v>
      </c>
      <c r="E187" s="418">
        <f t="shared" si="17"/>
        <v>3.125E-2</v>
      </c>
      <c r="F187" s="411">
        <v>3943.34</v>
      </c>
      <c r="G187" s="418">
        <f t="shared" si="18"/>
        <v>1.0153985185334946E-3</v>
      </c>
      <c r="H187" s="411">
        <v>49.83</v>
      </c>
      <c r="I187" s="418">
        <f t="shared" si="19"/>
        <v>3.125E-2</v>
      </c>
      <c r="J187" s="411">
        <v>3943.34</v>
      </c>
      <c r="K187" s="418">
        <f t="shared" si="20"/>
        <v>1.0153985185334946E-3</v>
      </c>
      <c r="L187" s="411">
        <v>49.83</v>
      </c>
      <c r="M187" s="418">
        <f t="shared" si="21"/>
        <v>3.125E-2</v>
      </c>
      <c r="N187" s="411">
        <v>3943.34</v>
      </c>
      <c r="O187" s="418">
        <f t="shared" si="22"/>
        <v>1.0153985185334946E-3</v>
      </c>
      <c r="P187" s="411">
        <v>49.83</v>
      </c>
      <c r="Q187" s="418">
        <f t="shared" si="23"/>
        <v>3.125E-2</v>
      </c>
    </row>
    <row r="188" spans="1:17">
      <c r="A188" s="408">
        <v>44266</v>
      </c>
      <c r="B188" s="411">
        <v>3939.34</v>
      </c>
      <c r="C188" s="418">
        <f t="shared" si="16"/>
        <v>1.0395479646353678E-2</v>
      </c>
      <c r="D188" s="411">
        <v>48.32</v>
      </c>
      <c r="E188" s="418">
        <f t="shared" si="17"/>
        <v>1.087866108786617E-2</v>
      </c>
      <c r="F188" s="411">
        <v>3939.34</v>
      </c>
      <c r="G188" s="418">
        <f t="shared" si="18"/>
        <v>1.0395479646353678E-2</v>
      </c>
      <c r="H188" s="411">
        <v>48.32</v>
      </c>
      <c r="I188" s="418">
        <f t="shared" si="19"/>
        <v>1.087866108786617E-2</v>
      </c>
      <c r="J188" s="411">
        <v>3939.34</v>
      </c>
      <c r="K188" s="418">
        <f t="shared" si="20"/>
        <v>1.0395479646353678E-2</v>
      </c>
      <c r="L188" s="411">
        <v>48.32</v>
      </c>
      <c r="M188" s="418">
        <f t="shared" si="21"/>
        <v>1.087866108786617E-2</v>
      </c>
      <c r="N188" s="411">
        <v>3939.34</v>
      </c>
      <c r="O188" s="418">
        <f t="shared" si="22"/>
        <v>1.0395479646353678E-2</v>
      </c>
      <c r="P188" s="411">
        <v>48.32</v>
      </c>
      <c r="Q188" s="418">
        <f t="shared" si="23"/>
        <v>1.087866108786617E-2</v>
      </c>
    </row>
    <row r="189" spans="1:17">
      <c r="A189" s="408">
        <v>44265</v>
      </c>
      <c r="B189" s="411">
        <v>3898.81</v>
      </c>
      <c r="C189" s="418">
        <f t="shared" si="16"/>
        <v>6.0302830130256613E-3</v>
      </c>
      <c r="D189" s="411">
        <v>47.8</v>
      </c>
      <c r="E189" s="418">
        <f t="shared" si="17"/>
        <v>3.7799244015119804E-3</v>
      </c>
      <c r="F189" s="411">
        <v>3898.81</v>
      </c>
      <c r="G189" s="418">
        <f t="shared" si="18"/>
        <v>6.0302830130256613E-3</v>
      </c>
      <c r="H189" s="411">
        <v>47.8</v>
      </c>
      <c r="I189" s="418">
        <f t="shared" si="19"/>
        <v>3.7799244015119804E-3</v>
      </c>
      <c r="J189" s="411">
        <v>3898.81</v>
      </c>
      <c r="K189" s="418">
        <f t="shared" si="20"/>
        <v>6.0302830130256613E-3</v>
      </c>
      <c r="L189" s="411">
        <v>47.8</v>
      </c>
      <c r="M189" s="418">
        <f t="shared" si="21"/>
        <v>3.7799244015119804E-3</v>
      </c>
      <c r="N189" s="411">
        <v>3898.81</v>
      </c>
      <c r="O189" s="418">
        <f t="shared" si="22"/>
        <v>6.0302830130256613E-3</v>
      </c>
      <c r="P189" s="411">
        <v>47.8</v>
      </c>
      <c r="Q189" s="418">
        <f t="shared" si="23"/>
        <v>3.7799244015119804E-3</v>
      </c>
    </row>
    <row r="190" spans="1:17">
      <c r="A190" s="408">
        <v>44264</v>
      </c>
      <c r="B190" s="411">
        <v>3875.44</v>
      </c>
      <c r="C190" s="418">
        <f t="shared" si="16"/>
        <v>1.4154683554241432E-2</v>
      </c>
      <c r="D190" s="411">
        <v>47.62</v>
      </c>
      <c r="E190" s="418">
        <f t="shared" si="17"/>
        <v>-5.430242272347674E-3</v>
      </c>
      <c r="F190" s="411">
        <v>3875.44</v>
      </c>
      <c r="G190" s="418">
        <f t="shared" si="18"/>
        <v>1.4154683554241432E-2</v>
      </c>
      <c r="H190" s="411">
        <v>47.62</v>
      </c>
      <c r="I190" s="418">
        <f t="shared" si="19"/>
        <v>-5.430242272347674E-3</v>
      </c>
      <c r="J190" s="411">
        <v>3875.44</v>
      </c>
      <c r="K190" s="418">
        <f t="shared" si="20"/>
        <v>1.4154683554241432E-2</v>
      </c>
      <c r="L190" s="411">
        <v>47.62</v>
      </c>
      <c r="M190" s="418">
        <f t="shared" si="21"/>
        <v>-5.430242272347674E-3</v>
      </c>
      <c r="N190" s="411">
        <v>3875.44</v>
      </c>
      <c r="O190" s="418">
        <f t="shared" si="22"/>
        <v>1.4154683554241432E-2</v>
      </c>
      <c r="P190" s="411">
        <v>47.62</v>
      </c>
      <c r="Q190" s="418">
        <f t="shared" si="23"/>
        <v>-5.430242272347674E-3</v>
      </c>
    </row>
    <row r="191" spans="1:17">
      <c r="A191" s="408">
        <v>44263</v>
      </c>
      <c r="B191" s="411">
        <v>3821.35</v>
      </c>
      <c r="C191" s="418">
        <f t="shared" si="16"/>
        <v>-5.3592716179846622E-3</v>
      </c>
      <c r="D191" s="411">
        <v>47.88</v>
      </c>
      <c r="E191" s="418">
        <f t="shared" si="17"/>
        <v>3.6139363774075006E-2</v>
      </c>
      <c r="F191" s="411">
        <v>3821.35</v>
      </c>
      <c r="G191" s="418">
        <f t="shared" si="18"/>
        <v>-5.3592716179846622E-3</v>
      </c>
      <c r="H191" s="411">
        <v>47.88</v>
      </c>
      <c r="I191" s="418">
        <f t="shared" si="19"/>
        <v>3.6139363774075006E-2</v>
      </c>
      <c r="J191" s="411">
        <v>3821.35</v>
      </c>
      <c r="K191" s="418">
        <f t="shared" si="20"/>
        <v>-5.3592716179846622E-3</v>
      </c>
      <c r="L191" s="411">
        <v>47.88</v>
      </c>
      <c r="M191" s="418">
        <f t="shared" si="21"/>
        <v>3.6139363774075006E-2</v>
      </c>
      <c r="N191" s="411">
        <v>3821.35</v>
      </c>
      <c r="O191" s="418">
        <f t="shared" si="22"/>
        <v>-5.3592716179846622E-3</v>
      </c>
      <c r="P191" s="411">
        <v>47.88</v>
      </c>
      <c r="Q191" s="418">
        <f t="shared" si="23"/>
        <v>3.6139363774075006E-2</v>
      </c>
    </row>
    <row r="192" spans="1:17">
      <c r="A192" s="408">
        <v>44260</v>
      </c>
      <c r="B192" s="411">
        <v>3841.94</v>
      </c>
      <c r="C192" s="418">
        <f t="shared" si="16"/>
        <v>1.9495975820425837E-2</v>
      </c>
      <c r="D192" s="411">
        <v>46.21</v>
      </c>
      <c r="E192" s="418">
        <f t="shared" si="17"/>
        <v>-1.597103918228282E-2</v>
      </c>
      <c r="F192" s="411">
        <v>3841.94</v>
      </c>
      <c r="G192" s="418">
        <f t="shared" si="18"/>
        <v>1.9495975820425837E-2</v>
      </c>
      <c r="H192" s="411">
        <v>46.21</v>
      </c>
      <c r="I192" s="418">
        <f t="shared" si="19"/>
        <v>-1.597103918228282E-2</v>
      </c>
      <c r="J192" s="411">
        <v>3841.94</v>
      </c>
      <c r="K192" s="418">
        <f t="shared" si="20"/>
        <v>1.9495975820425837E-2</v>
      </c>
      <c r="L192" s="411">
        <v>46.21</v>
      </c>
      <c r="M192" s="418">
        <f t="shared" si="21"/>
        <v>-1.597103918228282E-2</v>
      </c>
      <c r="N192" s="411">
        <v>3841.94</v>
      </c>
      <c r="O192" s="418">
        <f t="shared" si="22"/>
        <v>1.9495975820425837E-2</v>
      </c>
      <c r="P192" s="411">
        <v>46.21</v>
      </c>
      <c r="Q192" s="418">
        <f t="shared" si="23"/>
        <v>-1.597103918228282E-2</v>
      </c>
    </row>
    <row r="193" spans="1:17">
      <c r="A193" s="408">
        <v>44259</v>
      </c>
      <c r="B193" s="411">
        <v>3768.47</v>
      </c>
      <c r="C193" s="418">
        <f t="shared" si="16"/>
        <v>-1.3417213827191521E-2</v>
      </c>
      <c r="D193" s="411">
        <v>46.96</v>
      </c>
      <c r="E193" s="418">
        <f t="shared" si="17"/>
        <v>-2.8748707342295732E-2</v>
      </c>
      <c r="F193" s="411">
        <v>3768.47</v>
      </c>
      <c r="G193" s="418">
        <f t="shared" si="18"/>
        <v>-1.3417213827191521E-2</v>
      </c>
      <c r="H193" s="411">
        <v>46.96</v>
      </c>
      <c r="I193" s="418">
        <f t="shared" si="19"/>
        <v>-2.8748707342295732E-2</v>
      </c>
      <c r="J193" s="411">
        <v>3768.47</v>
      </c>
      <c r="K193" s="418">
        <f t="shared" si="20"/>
        <v>-1.3417213827191521E-2</v>
      </c>
      <c r="L193" s="411">
        <v>46.96</v>
      </c>
      <c r="M193" s="418">
        <f t="shared" si="21"/>
        <v>-2.8748707342295732E-2</v>
      </c>
      <c r="N193" s="411">
        <v>3768.47</v>
      </c>
      <c r="O193" s="418">
        <f t="shared" si="22"/>
        <v>-1.3417213827191521E-2</v>
      </c>
      <c r="P193" s="411">
        <v>46.96</v>
      </c>
      <c r="Q193" s="418">
        <f t="shared" si="23"/>
        <v>-2.8748707342295732E-2</v>
      </c>
    </row>
    <row r="194" spans="1:17">
      <c r="A194" s="408">
        <v>44258</v>
      </c>
      <c r="B194" s="411">
        <v>3819.72</v>
      </c>
      <c r="C194" s="418">
        <f t="shared" si="16"/>
        <v>-1.306620434127681E-2</v>
      </c>
      <c r="D194" s="411">
        <v>48.35</v>
      </c>
      <c r="E194" s="418">
        <f t="shared" si="17"/>
        <v>2.4880779597762359E-3</v>
      </c>
      <c r="F194" s="411">
        <v>3819.72</v>
      </c>
      <c r="G194" s="418">
        <f t="shared" si="18"/>
        <v>-1.306620434127681E-2</v>
      </c>
      <c r="H194" s="411">
        <v>48.35</v>
      </c>
      <c r="I194" s="418">
        <f t="shared" si="19"/>
        <v>2.4880779597762359E-3</v>
      </c>
      <c r="J194" s="411">
        <v>3819.72</v>
      </c>
      <c r="K194" s="418">
        <f t="shared" si="20"/>
        <v>-1.306620434127681E-2</v>
      </c>
      <c r="L194" s="411">
        <v>48.35</v>
      </c>
      <c r="M194" s="418">
        <f t="shared" si="21"/>
        <v>2.4880779597762359E-3</v>
      </c>
      <c r="N194" s="411">
        <v>3819.72</v>
      </c>
      <c r="O194" s="418">
        <f t="shared" si="22"/>
        <v>-1.306620434127681E-2</v>
      </c>
      <c r="P194" s="411">
        <v>48.35</v>
      </c>
      <c r="Q194" s="418">
        <f t="shared" si="23"/>
        <v>2.4880779597762359E-3</v>
      </c>
    </row>
    <row r="195" spans="1:17">
      <c r="A195" s="408">
        <v>44257</v>
      </c>
      <c r="B195" s="411">
        <v>3870.29</v>
      </c>
      <c r="C195" s="418">
        <f t="shared" si="16"/>
        <v>-8.0808443239309691E-3</v>
      </c>
      <c r="D195" s="411">
        <v>48.23</v>
      </c>
      <c r="E195" s="418">
        <f t="shared" si="17"/>
        <v>3.5372451102786417E-3</v>
      </c>
      <c r="F195" s="411">
        <v>3870.29</v>
      </c>
      <c r="G195" s="418">
        <f t="shared" si="18"/>
        <v>-8.0808443239309691E-3</v>
      </c>
      <c r="H195" s="411">
        <v>48.23</v>
      </c>
      <c r="I195" s="418">
        <f t="shared" si="19"/>
        <v>3.5372451102786417E-3</v>
      </c>
      <c r="J195" s="411">
        <v>3870.29</v>
      </c>
      <c r="K195" s="418">
        <f t="shared" si="20"/>
        <v>-8.0808443239309691E-3</v>
      </c>
      <c r="L195" s="411">
        <v>48.23</v>
      </c>
      <c r="M195" s="418">
        <f t="shared" si="21"/>
        <v>3.5372451102786417E-3</v>
      </c>
      <c r="N195" s="411">
        <v>3870.29</v>
      </c>
      <c r="O195" s="418">
        <f t="shared" si="22"/>
        <v>-8.0808443239309691E-3</v>
      </c>
      <c r="P195" s="411">
        <v>48.23</v>
      </c>
      <c r="Q195" s="418">
        <f t="shared" si="23"/>
        <v>3.5372451102786417E-3</v>
      </c>
    </row>
    <row r="196" spans="1:17">
      <c r="A196" s="408">
        <v>44256</v>
      </c>
      <c r="B196" s="411">
        <v>3901.82</v>
      </c>
      <c r="C196" s="418">
        <f t="shared" si="16"/>
        <v>2.3790719336683086E-2</v>
      </c>
      <c r="D196" s="411">
        <v>48.06</v>
      </c>
      <c r="E196" s="418">
        <f t="shared" si="17"/>
        <v>2.5031289111390187E-3</v>
      </c>
      <c r="F196" s="411">
        <v>3901.82</v>
      </c>
      <c r="G196" s="418">
        <f t="shared" si="18"/>
        <v>2.3790719336683086E-2</v>
      </c>
      <c r="H196" s="411">
        <v>48.06</v>
      </c>
      <c r="I196" s="418">
        <f t="shared" si="19"/>
        <v>2.5031289111390187E-3</v>
      </c>
      <c r="J196" s="411">
        <v>3901.82</v>
      </c>
      <c r="K196" s="418">
        <f t="shared" si="20"/>
        <v>2.3790719336683086E-2</v>
      </c>
      <c r="L196" s="411">
        <v>48.06</v>
      </c>
      <c r="M196" s="418">
        <f t="shared" si="21"/>
        <v>2.5031289111390187E-3</v>
      </c>
      <c r="N196" s="411">
        <v>3901.82</v>
      </c>
      <c r="O196" s="418">
        <f t="shared" si="22"/>
        <v>2.3790719336683086E-2</v>
      </c>
      <c r="P196" s="411">
        <v>48.06</v>
      </c>
      <c r="Q196" s="418">
        <f t="shared" si="23"/>
        <v>2.5031289111390187E-3</v>
      </c>
    </row>
    <row r="197" spans="1:17">
      <c r="A197" s="408">
        <v>44253</v>
      </c>
      <c r="B197" s="411">
        <v>3811.15</v>
      </c>
      <c r="C197" s="418">
        <f t="shared" si="16"/>
        <v>-4.7501658249202716E-3</v>
      </c>
      <c r="D197" s="411">
        <v>47.94</v>
      </c>
      <c r="E197" s="418">
        <f t="shared" si="17"/>
        <v>-6.4248704663213418E-3</v>
      </c>
      <c r="F197" s="411">
        <v>3811.15</v>
      </c>
      <c r="G197" s="418">
        <f t="shared" si="18"/>
        <v>-4.7501658249202716E-3</v>
      </c>
      <c r="H197" s="411">
        <v>47.94</v>
      </c>
      <c r="I197" s="418">
        <f t="shared" si="19"/>
        <v>-6.4248704663213418E-3</v>
      </c>
      <c r="J197" s="411">
        <v>3811.15</v>
      </c>
      <c r="K197" s="418">
        <f t="shared" si="20"/>
        <v>-4.7501658249202716E-3</v>
      </c>
      <c r="L197" s="411">
        <v>47.94</v>
      </c>
      <c r="M197" s="418">
        <f t="shared" si="21"/>
        <v>-6.4248704663213418E-3</v>
      </c>
      <c r="N197" s="411">
        <v>3811.15</v>
      </c>
      <c r="O197" s="418">
        <f t="shared" si="22"/>
        <v>-4.7501658249202716E-3</v>
      </c>
      <c r="P197" s="411">
        <v>47.94</v>
      </c>
      <c r="Q197" s="418">
        <f t="shared" si="23"/>
        <v>-6.4248704663213418E-3</v>
      </c>
    </row>
    <row r="198" spans="1:17">
      <c r="A198" s="408">
        <v>44252</v>
      </c>
      <c r="B198" s="411">
        <v>3829.34</v>
      </c>
      <c r="C198" s="418">
        <f t="shared" si="16"/>
        <v>-2.4478846903396523E-2</v>
      </c>
      <c r="D198" s="411">
        <v>48.25</v>
      </c>
      <c r="E198" s="418">
        <f t="shared" si="17"/>
        <v>-2.7217741935483875E-2</v>
      </c>
      <c r="F198" s="411">
        <v>3829.34</v>
      </c>
      <c r="G198" s="418">
        <f t="shared" si="18"/>
        <v>-2.4478846903396523E-2</v>
      </c>
      <c r="H198" s="411">
        <v>48.25</v>
      </c>
      <c r="I198" s="418">
        <f t="shared" si="19"/>
        <v>-2.7217741935483875E-2</v>
      </c>
      <c r="J198" s="411">
        <v>3829.34</v>
      </c>
      <c r="K198" s="418">
        <f t="shared" si="20"/>
        <v>-2.4478846903396523E-2</v>
      </c>
      <c r="L198" s="411">
        <v>48.25</v>
      </c>
      <c r="M198" s="418">
        <f t="shared" si="21"/>
        <v>-2.7217741935483875E-2</v>
      </c>
      <c r="N198" s="411">
        <v>3829.34</v>
      </c>
      <c r="O198" s="418">
        <f t="shared" si="22"/>
        <v>-2.4478846903396523E-2</v>
      </c>
      <c r="P198" s="411">
        <v>48.25</v>
      </c>
      <c r="Q198" s="418">
        <f t="shared" si="23"/>
        <v>-2.7217741935483875E-2</v>
      </c>
    </row>
    <row r="199" spans="1:17">
      <c r="A199" s="408">
        <v>44251</v>
      </c>
      <c r="B199" s="411">
        <v>3925.43</v>
      </c>
      <c r="C199" s="418">
        <f t="shared" si="16"/>
        <v>1.135166191319037E-2</v>
      </c>
      <c r="D199" s="411">
        <v>49.6</v>
      </c>
      <c r="E199" s="418">
        <f t="shared" si="17"/>
        <v>2.6065370293752554E-2</v>
      </c>
      <c r="F199" s="411">
        <v>3925.43</v>
      </c>
      <c r="G199" s="418">
        <f t="shared" si="18"/>
        <v>1.135166191319037E-2</v>
      </c>
      <c r="H199" s="411">
        <v>49.6</v>
      </c>
      <c r="I199" s="418">
        <f t="shared" si="19"/>
        <v>2.6065370293752554E-2</v>
      </c>
      <c r="J199" s="411">
        <v>3925.43</v>
      </c>
      <c r="K199" s="418">
        <f t="shared" si="20"/>
        <v>1.135166191319037E-2</v>
      </c>
      <c r="L199" s="411">
        <v>49.6</v>
      </c>
      <c r="M199" s="418">
        <f t="shared" si="21"/>
        <v>2.6065370293752554E-2</v>
      </c>
      <c r="N199" s="411">
        <v>3925.43</v>
      </c>
      <c r="O199" s="418">
        <f t="shared" si="22"/>
        <v>1.135166191319037E-2</v>
      </c>
      <c r="P199" s="411">
        <v>49.6</v>
      </c>
      <c r="Q199" s="418">
        <f t="shared" si="23"/>
        <v>2.6065370293752554E-2</v>
      </c>
    </row>
    <row r="200" spans="1:17">
      <c r="A200" s="408">
        <v>44250</v>
      </c>
      <c r="B200" s="411">
        <v>3881.37</v>
      </c>
      <c r="C200" s="418">
        <f t="shared" ref="C200:C263" si="24">B200/B201-1</f>
        <v>1.2562878885591378E-3</v>
      </c>
      <c r="D200" s="411">
        <v>48.34</v>
      </c>
      <c r="E200" s="418">
        <f t="shared" ref="E200:E263" si="25">D200/D201-1</f>
        <v>1.2568077084206042E-2</v>
      </c>
      <c r="F200" s="411">
        <v>3881.37</v>
      </c>
      <c r="G200" s="418">
        <f t="shared" ref="G200:G263" si="26">F200/F201-1</f>
        <v>1.2562878885591378E-3</v>
      </c>
      <c r="H200" s="411">
        <v>48.34</v>
      </c>
      <c r="I200" s="418">
        <f t="shared" ref="I200:I263" si="27">H200/H201-1</f>
        <v>1.2568077084206042E-2</v>
      </c>
      <c r="J200" s="411">
        <v>3881.37</v>
      </c>
      <c r="K200" s="418">
        <f t="shared" ref="K200:K263" si="28">J200/J201-1</f>
        <v>1.2562878885591378E-3</v>
      </c>
      <c r="L200" s="411">
        <v>48.34</v>
      </c>
      <c r="M200" s="418">
        <f t="shared" ref="M200:M263" si="29">L200/L201-1</f>
        <v>1.2568077084206042E-2</v>
      </c>
      <c r="N200" s="411">
        <v>3881.37</v>
      </c>
      <c r="O200" s="418">
        <f t="shared" ref="O200:O255" si="30">N200/N201-1</f>
        <v>1.2562878885591378E-3</v>
      </c>
      <c r="P200" s="411">
        <v>48.34</v>
      </c>
      <c r="Q200" s="418">
        <f t="shared" ref="Q200:Q255" si="31">P200/P201-1</f>
        <v>1.2568077084206042E-2</v>
      </c>
    </row>
    <row r="201" spans="1:17">
      <c r="A201" s="408">
        <v>44249</v>
      </c>
      <c r="B201" s="411">
        <v>3876.5</v>
      </c>
      <c r="C201" s="418">
        <f t="shared" si="24"/>
        <v>-7.7328493796570141E-3</v>
      </c>
      <c r="D201" s="411">
        <v>47.74</v>
      </c>
      <c r="E201" s="418">
        <f t="shared" si="25"/>
        <v>4.5325158747536731E-2</v>
      </c>
      <c r="F201" s="411">
        <v>3876.5</v>
      </c>
      <c r="G201" s="418">
        <f t="shared" si="26"/>
        <v>-7.7328493796570141E-3</v>
      </c>
      <c r="H201" s="411">
        <v>47.74</v>
      </c>
      <c r="I201" s="418">
        <f t="shared" si="27"/>
        <v>4.5325158747536731E-2</v>
      </c>
      <c r="J201" s="411">
        <v>3876.5</v>
      </c>
      <c r="K201" s="418">
        <f t="shared" si="28"/>
        <v>-7.7328493796570141E-3</v>
      </c>
      <c r="L201" s="411">
        <v>47.74</v>
      </c>
      <c r="M201" s="418">
        <f t="shared" si="29"/>
        <v>4.5325158747536731E-2</v>
      </c>
      <c r="N201" s="411">
        <v>3876.5</v>
      </c>
      <c r="O201" s="418">
        <f t="shared" si="30"/>
        <v>-7.7328493796570141E-3</v>
      </c>
      <c r="P201" s="411">
        <v>47.74</v>
      </c>
      <c r="Q201" s="418">
        <f t="shared" si="31"/>
        <v>4.5325158747536731E-2</v>
      </c>
    </row>
    <row r="202" spans="1:17">
      <c r="A202" s="408">
        <v>44246</v>
      </c>
      <c r="B202" s="411">
        <v>3906.71</v>
      </c>
      <c r="C202" s="418">
        <f t="shared" si="24"/>
        <v>-1.8548941356217874E-3</v>
      </c>
      <c r="D202" s="411">
        <v>45.67</v>
      </c>
      <c r="E202" s="418">
        <f t="shared" si="25"/>
        <v>2.9067147363677215E-2</v>
      </c>
      <c r="F202" s="411">
        <v>3906.71</v>
      </c>
      <c r="G202" s="418">
        <f t="shared" si="26"/>
        <v>-1.8548941356217874E-3</v>
      </c>
      <c r="H202" s="411">
        <v>45.67</v>
      </c>
      <c r="I202" s="418">
        <f t="shared" si="27"/>
        <v>2.9067147363677215E-2</v>
      </c>
      <c r="J202" s="411">
        <v>3906.71</v>
      </c>
      <c r="K202" s="418">
        <f t="shared" si="28"/>
        <v>-1.8548941356217874E-3</v>
      </c>
      <c r="L202" s="411">
        <v>45.67</v>
      </c>
      <c r="M202" s="418">
        <f t="shared" si="29"/>
        <v>2.9067147363677215E-2</v>
      </c>
      <c r="N202" s="411">
        <v>3906.71</v>
      </c>
      <c r="O202" s="418">
        <f t="shared" si="30"/>
        <v>-1.8548941356217874E-3</v>
      </c>
      <c r="P202" s="411">
        <v>45.67</v>
      </c>
      <c r="Q202" s="418">
        <f t="shared" si="31"/>
        <v>2.9067147363677215E-2</v>
      </c>
    </row>
    <row r="203" spans="1:17">
      <c r="A203" s="408">
        <v>44245</v>
      </c>
      <c r="B203" s="411">
        <v>3913.97</v>
      </c>
      <c r="C203" s="418">
        <f t="shared" si="24"/>
        <v>-4.4158083905446732E-3</v>
      </c>
      <c r="D203" s="411">
        <v>44.38</v>
      </c>
      <c r="E203" s="418">
        <f t="shared" si="25"/>
        <v>-2.252759630546608E-4</v>
      </c>
      <c r="F203" s="411">
        <v>3913.97</v>
      </c>
      <c r="G203" s="418">
        <f t="shared" si="26"/>
        <v>-4.4158083905446732E-3</v>
      </c>
      <c r="H203" s="411">
        <v>44.38</v>
      </c>
      <c r="I203" s="418">
        <f t="shared" si="27"/>
        <v>-2.252759630546608E-4</v>
      </c>
      <c r="J203" s="411">
        <v>3913.97</v>
      </c>
      <c r="K203" s="418">
        <f t="shared" si="28"/>
        <v>-4.4158083905446732E-3</v>
      </c>
      <c r="L203" s="411">
        <v>44.38</v>
      </c>
      <c r="M203" s="418">
        <f t="shared" si="29"/>
        <v>-2.252759630546608E-4</v>
      </c>
      <c r="N203" s="411">
        <v>3913.97</v>
      </c>
      <c r="O203" s="418">
        <f t="shared" si="30"/>
        <v>-4.4158083905446732E-3</v>
      </c>
      <c r="P203" s="411">
        <v>44.38</v>
      </c>
      <c r="Q203" s="418">
        <f t="shared" si="31"/>
        <v>-2.252759630546608E-4</v>
      </c>
    </row>
    <row r="204" spans="1:17">
      <c r="A204" s="408">
        <v>44244</v>
      </c>
      <c r="B204" s="411">
        <v>3931.33</v>
      </c>
      <c r="C204" s="418">
        <f t="shared" si="24"/>
        <v>-3.2039953313212077E-4</v>
      </c>
      <c r="D204" s="411">
        <v>44.39</v>
      </c>
      <c r="E204" s="418">
        <f t="shared" si="25"/>
        <v>-5.8230683090705337E-3</v>
      </c>
      <c r="F204" s="411">
        <v>3931.33</v>
      </c>
      <c r="G204" s="418">
        <f t="shared" si="26"/>
        <v>-3.2039953313212077E-4</v>
      </c>
      <c r="H204" s="411">
        <v>44.39</v>
      </c>
      <c r="I204" s="418">
        <f t="shared" si="27"/>
        <v>-5.8230683090705337E-3</v>
      </c>
      <c r="J204" s="411">
        <v>3931.33</v>
      </c>
      <c r="K204" s="418">
        <f t="shared" si="28"/>
        <v>-3.2039953313212077E-4</v>
      </c>
      <c r="L204" s="411">
        <v>44.39</v>
      </c>
      <c r="M204" s="418">
        <f t="shared" si="29"/>
        <v>-5.8230683090705337E-3</v>
      </c>
      <c r="N204" s="411">
        <v>3931.33</v>
      </c>
      <c r="O204" s="418">
        <f t="shared" si="30"/>
        <v>-3.2039953313212077E-4</v>
      </c>
      <c r="P204" s="411">
        <v>44.39</v>
      </c>
      <c r="Q204" s="418">
        <f t="shared" si="31"/>
        <v>-5.8230683090705337E-3</v>
      </c>
    </row>
    <row r="205" spans="1:17">
      <c r="A205" s="408">
        <v>44243</v>
      </c>
      <c r="B205" s="411">
        <v>3932.59</v>
      </c>
      <c r="C205" s="418">
        <f t="shared" si="24"/>
        <v>-5.6927491149549869E-4</v>
      </c>
      <c r="D205" s="411">
        <v>44.65</v>
      </c>
      <c r="E205" s="418">
        <f t="shared" si="25"/>
        <v>3.1416031416031442E-2</v>
      </c>
      <c r="F205" s="411">
        <v>3932.59</v>
      </c>
      <c r="G205" s="418">
        <f t="shared" si="26"/>
        <v>-5.6927491149549869E-4</v>
      </c>
      <c r="H205" s="411">
        <v>44.65</v>
      </c>
      <c r="I205" s="418">
        <f t="shared" si="27"/>
        <v>3.1416031416031442E-2</v>
      </c>
      <c r="J205" s="411">
        <v>3932.59</v>
      </c>
      <c r="K205" s="418">
        <f t="shared" si="28"/>
        <v>-5.6927491149549869E-4</v>
      </c>
      <c r="L205" s="411">
        <v>44.65</v>
      </c>
      <c r="M205" s="418">
        <f t="shared" si="29"/>
        <v>3.1416031416031442E-2</v>
      </c>
      <c r="N205" s="411">
        <v>3932.59</v>
      </c>
      <c r="O205" s="418">
        <f t="shared" si="30"/>
        <v>-5.6927491149549869E-4</v>
      </c>
      <c r="P205" s="411">
        <v>44.65</v>
      </c>
      <c r="Q205" s="418">
        <f t="shared" si="31"/>
        <v>3.1416031416031442E-2</v>
      </c>
    </row>
    <row r="206" spans="1:17">
      <c r="A206" s="408">
        <v>44239</v>
      </c>
      <c r="B206" s="411">
        <v>3934.83</v>
      </c>
      <c r="C206" s="418">
        <f t="shared" si="24"/>
        <v>4.7109831017417836E-3</v>
      </c>
      <c r="D206" s="411">
        <v>43.29</v>
      </c>
      <c r="E206" s="418">
        <f t="shared" si="25"/>
        <v>1.3342696629213391E-2</v>
      </c>
      <c r="F206" s="411">
        <v>3934.83</v>
      </c>
      <c r="G206" s="418">
        <f t="shared" si="26"/>
        <v>4.7109831017417836E-3</v>
      </c>
      <c r="H206" s="411">
        <v>43.29</v>
      </c>
      <c r="I206" s="418">
        <f t="shared" si="27"/>
        <v>1.3342696629213391E-2</v>
      </c>
      <c r="J206" s="411">
        <v>3934.83</v>
      </c>
      <c r="K206" s="418">
        <f t="shared" si="28"/>
        <v>4.7109831017417836E-3</v>
      </c>
      <c r="L206" s="411">
        <v>43.29</v>
      </c>
      <c r="M206" s="418">
        <f t="shared" si="29"/>
        <v>1.3342696629213391E-2</v>
      </c>
      <c r="N206" s="411">
        <v>3934.83</v>
      </c>
      <c r="O206" s="418">
        <f t="shared" si="30"/>
        <v>4.7109831017417836E-3</v>
      </c>
      <c r="P206" s="411">
        <v>43.29</v>
      </c>
      <c r="Q206" s="418">
        <f t="shared" si="31"/>
        <v>1.3342696629213391E-2</v>
      </c>
    </row>
    <row r="207" spans="1:17">
      <c r="A207" s="408">
        <v>44238</v>
      </c>
      <c r="B207" s="411">
        <v>3916.38</v>
      </c>
      <c r="C207" s="418">
        <f t="shared" si="24"/>
        <v>1.6624551137118804E-3</v>
      </c>
      <c r="D207" s="411">
        <v>42.72</v>
      </c>
      <c r="E207" s="418">
        <f t="shared" si="25"/>
        <v>-4.1958041958042314E-3</v>
      </c>
      <c r="F207" s="411">
        <v>3916.38</v>
      </c>
      <c r="G207" s="418">
        <f t="shared" si="26"/>
        <v>1.6624551137118804E-3</v>
      </c>
      <c r="H207" s="411">
        <v>42.72</v>
      </c>
      <c r="I207" s="418">
        <f t="shared" si="27"/>
        <v>-4.1958041958042314E-3</v>
      </c>
      <c r="J207" s="411">
        <v>3916.38</v>
      </c>
      <c r="K207" s="418">
        <f t="shared" si="28"/>
        <v>1.6624551137118804E-3</v>
      </c>
      <c r="L207" s="411">
        <v>42.72</v>
      </c>
      <c r="M207" s="418">
        <f t="shared" si="29"/>
        <v>-4.1958041958042314E-3</v>
      </c>
      <c r="N207" s="411">
        <v>3916.38</v>
      </c>
      <c r="O207" s="418">
        <f t="shared" si="30"/>
        <v>1.6624551137118804E-3</v>
      </c>
      <c r="P207" s="411">
        <v>42.72</v>
      </c>
      <c r="Q207" s="418">
        <f t="shared" si="31"/>
        <v>-4.1958041958042314E-3</v>
      </c>
    </row>
    <row r="208" spans="1:17">
      <c r="A208" s="408">
        <v>44237</v>
      </c>
      <c r="B208" s="411">
        <v>3909.88</v>
      </c>
      <c r="C208" s="418">
        <f t="shared" si="24"/>
        <v>-3.4515996246697878E-4</v>
      </c>
      <c r="D208" s="411">
        <v>42.9</v>
      </c>
      <c r="E208" s="418">
        <f t="shared" si="25"/>
        <v>9.1743119266054496E-3</v>
      </c>
      <c r="F208" s="411">
        <v>3909.88</v>
      </c>
      <c r="G208" s="418">
        <f t="shared" si="26"/>
        <v>-3.4515996246697878E-4</v>
      </c>
      <c r="H208" s="411">
        <v>42.9</v>
      </c>
      <c r="I208" s="418">
        <f t="shared" si="27"/>
        <v>9.1743119266054496E-3</v>
      </c>
      <c r="J208" s="411">
        <v>3909.88</v>
      </c>
      <c r="K208" s="418">
        <f t="shared" si="28"/>
        <v>-3.4515996246697878E-4</v>
      </c>
      <c r="L208" s="411">
        <v>42.9</v>
      </c>
      <c r="M208" s="418">
        <f t="shared" si="29"/>
        <v>9.1743119266054496E-3</v>
      </c>
      <c r="N208" s="411">
        <v>3909.88</v>
      </c>
      <c r="O208" s="418">
        <f t="shared" si="30"/>
        <v>-3.4515996246697878E-4</v>
      </c>
      <c r="P208" s="411">
        <v>42.9</v>
      </c>
      <c r="Q208" s="418">
        <f t="shared" si="31"/>
        <v>9.1743119266054496E-3</v>
      </c>
    </row>
    <row r="209" spans="1:17">
      <c r="A209" s="408">
        <v>44236</v>
      </c>
      <c r="B209" s="411">
        <v>3911.23</v>
      </c>
      <c r="C209" s="418">
        <f t="shared" si="24"/>
        <v>-1.1134975827398197E-3</v>
      </c>
      <c r="D209" s="411">
        <v>42.51</v>
      </c>
      <c r="E209" s="418">
        <f t="shared" si="25"/>
        <v>-1.6882516188714281E-2</v>
      </c>
      <c r="F209" s="411">
        <v>3911.23</v>
      </c>
      <c r="G209" s="418">
        <f t="shared" si="26"/>
        <v>-1.1134975827398197E-3</v>
      </c>
      <c r="H209" s="411">
        <v>42.51</v>
      </c>
      <c r="I209" s="418">
        <f t="shared" si="27"/>
        <v>-1.6882516188714281E-2</v>
      </c>
      <c r="J209" s="411">
        <v>3911.23</v>
      </c>
      <c r="K209" s="418">
        <f t="shared" si="28"/>
        <v>-1.1134975827398197E-3</v>
      </c>
      <c r="L209" s="411">
        <v>42.51</v>
      </c>
      <c r="M209" s="418">
        <f t="shared" si="29"/>
        <v>-1.6882516188714281E-2</v>
      </c>
      <c r="N209" s="411">
        <v>3911.23</v>
      </c>
      <c r="O209" s="418">
        <f t="shared" si="30"/>
        <v>-1.1134975827398197E-3</v>
      </c>
      <c r="P209" s="411">
        <v>42.51</v>
      </c>
      <c r="Q209" s="418">
        <f t="shared" si="31"/>
        <v>-1.6882516188714281E-2</v>
      </c>
    </row>
    <row r="210" spans="1:17">
      <c r="A210" s="408">
        <v>44235</v>
      </c>
      <c r="B210" s="411">
        <v>3915.59</v>
      </c>
      <c r="C210" s="418">
        <f t="shared" si="24"/>
        <v>7.3993459966090747E-3</v>
      </c>
      <c r="D210" s="411">
        <v>43.24</v>
      </c>
      <c r="E210" s="418">
        <f t="shared" si="25"/>
        <v>5.0789793438639208E-2</v>
      </c>
      <c r="F210" s="411">
        <v>3915.59</v>
      </c>
      <c r="G210" s="418">
        <f t="shared" si="26"/>
        <v>7.3993459966090747E-3</v>
      </c>
      <c r="H210" s="411">
        <v>43.24</v>
      </c>
      <c r="I210" s="418">
        <f t="shared" si="27"/>
        <v>5.0789793438639208E-2</v>
      </c>
      <c r="J210" s="411">
        <v>3915.59</v>
      </c>
      <c r="K210" s="418">
        <f t="shared" si="28"/>
        <v>7.3993459966090747E-3</v>
      </c>
      <c r="L210" s="411">
        <v>43.24</v>
      </c>
      <c r="M210" s="418">
        <f t="shared" si="29"/>
        <v>5.0789793438639208E-2</v>
      </c>
      <c r="N210" s="411">
        <v>3915.59</v>
      </c>
      <c r="O210" s="418">
        <f t="shared" si="30"/>
        <v>7.3993459966090747E-3</v>
      </c>
      <c r="P210" s="411">
        <v>43.24</v>
      </c>
      <c r="Q210" s="418">
        <f t="shared" si="31"/>
        <v>5.0789793438639208E-2</v>
      </c>
    </row>
    <row r="211" spans="1:17">
      <c r="A211" s="408">
        <v>44232</v>
      </c>
      <c r="B211" s="411">
        <v>3886.83</v>
      </c>
      <c r="C211" s="418">
        <f t="shared" si="24"/>
        <v>3.897472454245321E-3</v>
      </c>
      <c r="D211" s="411">
        <v>41.15</v>
      </c>
      <c r="E211" s="418">
        <f t="shared" si="25"/>
        <v>5.3750305399462572E-3</v>
      </c>
      <c r="F211" s="411">
        <v>3886.83</v>
      </c>
      <c r="G211" s="418">
        <f t="shared" si="26"/>
        <v>3.897472454245321E-3</v>
      </c>
      <c r="H211" s="411">
        <v>41.15</v>
      </c>
      <c r="I211" s="418">
        <f t="shared" si="27"/>
        <v>5.3750305399462572E-3</v>
      </c>
      <c r="J211" s="411">
        <v>3886.83</v>
      </c>
      <c r="K211" s="418">
        <f t="shared" si="28"/>
        <v>3.897472454245321E-3</v>
      </c>
      <c r="L211" s="411">
        <v>41.15</v>
      </c>
      <c r="M211" s="418">
        <f t="shared" si="29"/>
        <v>5.3750305399462572E-3</v>
      </c>
      <c r="N211" s="411">
        <v>3886.83</v>
      </c>
      <c r="O211" s="418">
        <f t="shared" si="30"/>
        <v>3.897472454245321E-3</v>
      </c>
      <c r="P211" s="411">
        <v>41.15</v>
      </c>
      <c r="Q211" s="418">
        <f t="shared" si="31"/>
        <v>5.3750305399462572E-3</v>
      </c>
    </row>
    <row r="212" spans="1:17">
      <c r="A212" s="408">
        <v>44231</v>
      </c>
      <c r="B212" s="411">
        <v>3871.74</v>
      </c>
      <c r="C212" s="418">
        <f t="shared" si="24"/>
        <v>1.0853304161434041E-2</v>
      </c>
      <c r="D212" s="411">
        <v>40.93</v>
      </c>
      <c r="E212" s="418">
        <f t="shared" si="25"/>
        <v>2.8908999497234689E-2</v>
      </c>
      <c r="F212" s="411">
        <v>3871.74</v>
      </c>
      <c r="G212" s="418">
        <f t="shared" si="26"/>
        <v>1.0853304161434041E-2</v>
      </c>
      <c r="H212" s="411">
        <v>40.93</v>
      </c>
      <c r="I212" s="418">
        <f t="shared" si="27"/>
        <v>2.8908999497234689E-2</v>
      </c>
      <c r="J212" s="411">
        <v>3871.74</v>
      </c>
      <c r="K212" s="418">
        <f t="shared" si="28"/>
        <v>1.0853304161434041E-2</v>
      </c>
      <c r="L212" s="411">
        <v>40.93</v>
      </c>
      <c r="M212" s="418">
        <f t="shared" si="29"/>
        <v>2.8908999497234689E-2</v>
      </c>
      <c r="N212" s="411">
        <v>3871.74</v>
      </c>
      <c r="O212" s="418">
        <f t="shared" si="30"/>
        <v>1.0853304161434041E-2</v>
      </c>
      <c r="P212" s="411">
        <v>40.93</v>
      </c>
      <c r="Q212" s="418">
        <f t="shared" si="31"/>
        <v>2.8908999497234689E-2</v>
      </c>
    </row>
    <row r="213" spans="1:17">
      <c r="A213" s="408">
        <v>44230</v>
      </c>
      <c r="B213" s="411">
        <v>3830.17</v>
      </c>
      <c r="C213" s="418">
        <f t="shared" si="24"/>
        <v>1.0088048276277739E-3</v>
      </c>
      <c r="D213" s="411">
        <v>39.78</v>
      </c>
      <c r="E213" s="418">
        <f t="shared" si="25"/>
        <v>2.5257731958763019E-2</v>
      </c>
      <c r="F213" s="411">
        <v>3830.17</v>
      </c>
      <c r="G213" s="418">
        <f t="shared" si="26"/>
        <v>1.0088048276277739E-3</v>
      </c>
      <c r="H213" s="411">
        <v>39.78</v>
      </c>
      <c r="I213" s="418">
        <f t="shared" si="27"/>
        <v>2.5257731958763019E-2</v>
      </c>
      <c r="J213" s="411">
        <v>3830.17</v>
      </c>
      <c r="K213" s="418">
        <f t="shared" si="28"/>
        <v>1.0088048276277739E-3</v>
      </c>
      <c r="L213" s="411">
        <v>39.78</v>
      </c>
      <c r="M213" s="418">
        <f t="shared" si="29"/>
        <v>2.5257731958763019E-2</v>
      </c>
      <c r="N213" s="411">
        <v>3830.17</v>
      </c>
      <c r="O213" s="418">
        <f t="shared" si="30"/>
        <v>1.0088048276277739E-3</v>
      </c>
      <c r="P213" s="411">
        <v>39.78</v>
      </c>
      <c r="Q213" s="418">
        <f t="shared" si="31"/>
        <v>2.5257731958763019E-2</v>
      </c>
    </row>
    <row r="214" spans="1:17">
      <c r="A214" s="408">
        <v>44229</v>
      </c>
      <c r="B214" s="411">
        <v>3826.31</v>
      </c>
      <c r="C214" s="418">
        <f t="shared" si="24"/>
        <v>1.3898236818535858E-2</v>
      </c>
      <c r="D214" s="411">
        <v>38.799999999999997</v>
      </c>
      <c r="E214" s="418">
        <f t="shared" si="25"/>
        <v>2.5912215758857604E-2</v>
      </c>
      <c r="F214" s="411">
        <v>3826.31</v>
      </c>
      <c r="G214" s="418">
        <f t="shared" si="26"/>
        <v>1.3898236818535858E-2</v>
      </c>
      <c r="H214" s="411">
        <v>38.799999999999997</v>
      </c>
      <c r="I214" s="418">
        <f t="shared" si="27"/>
        <v>2.5912215758857604E-2</v>
      </c>
      <c r="J214" s="411">
        <v>3826.31</v>
      </c>
      <c r="K214" s="418">
        <f t="shared" si="28"/>
        <v>1.3898236818535858E-2</v>
      </c>
      <c r="L214" s="411">
        <v>38.799999999999997</v>
      </c>
      <c r="M214" s="418">
        <f t="shared" si="29"/>
        <v>2.5912215758857604E-2</v>
      </c>
      <c r="N214" s="411">
        <v>3826.31</v>
      </c>
      <c r="O214" s="418">
        <f t="shared" si="30"/>
        <v>1.3898236818535858E-2</v>
      </c>
      <c r="P214" s="411">
        <v>38.799999999999997</v>
      </c>
      <c r="Q214" s="418">
        <f t="shared" si="31"/>
        <v>2.5912215758857604E-2</v>
      </c>
    </row>
    <row r="215" spans="1:17">
      <c r="A215" s="408">
        <v>44228</v>
      </c>
      <c r="B215" s="411">
        <v>3773.86</v>
      </c>
      <c r="C215" s="418">
        <f t="shared" si="24"/>
        <v>1.6051736021366558E-2</v>
      </c>
      <c r="D215" s="411">
        <v>37.82</v>
      </c>
      <c r="E215" s="418">
        <f t="shared" si="25"/>
        <v>-3.6880927291886856E-3</v>
      </c>
      <c r="F215" s="411">
        <v>3773.86</v>
      </c>
      <c r="G215" s="418">
        <f t="shared" si="26"/>
        <v>1.6051736021366558E-2</v>
      </c>
      <c r="H215" s="411">
        <v>37.82</v>
      </c>
      <c r="I215" s="418">
        <f t="shared" si="27"/>
        <v>-3.6880927291886856E-3</v>
      </c>
      <c r="J215" s="411">
        <v>3773.86</v>
      </c>
      <c r="K215" s="418">
        <f t="shared" si="28"/>
        <v>1.6051736021366558E-2</v>
      </c>
      <c r="L215" s="411">
        <v>37.82</v>
      </c>
      <c r="M215" s="418">
        <f t="shared" si="29"/>
        <v>-3.6880927291886856E-3</v>
      </c>
      <c r="N215" s="411">
        <v>3773.86</v>
      </c>
      <c r="O215" s="418">
        <f t="shared" si="30"/>
        <v>1.6051736021366558E-2</v>
      </c>
      <c r="P215" s="411">
        <v>37.82</v>
      </c>
      <c r="Q215" s="418">
        <f t="shared" si="31"/>
        <v>-3.6880927291886856E-3</v>
      </c>
    </row>
    <row r="216" spans="1:17">
      <c r="A216" s="408">
        <v>44225</v>
      </c>
      <c r="B216" s="411">
        <v>3714.24</v>
      </c>
      <c r="C216" s="418">
        <f t="shared" si="24"/>
        <v>-1.9311502938707092E-2</v>
      </c>
      <c r="D216" s="411">
        <v>37.96</v>
      </c>
      <c r="E216" s="418">
        <f t="shared" si="25"/>
        <v>-5.2894211576846262E-2</v>
      </c>
      <c r="F216" s="411">
        <v>3714.24</v>
      </c>
      <c r="G216" s="418">
        <f t="shared" si="26"/>
        <v>-1.9311502938707092E-2</v>
      </c>
      <c r="H216" s="411">
        <v>37.96</v>
      </c>
      <c r="I216" s="418">
        <f t="shared" si="27"/>
        <v>-5.2894211576846262E-2</v>
      </c>
      <c r="J216" s="411">
        <v>3714.24</v>
      </c>
      <c r="K216" s="418">
        <f t="shared" si="28"/>
        <v>-1.9311502938707092E-2</v>
      </c>
      <c r="L216" s="411">
        <v>37.96</v>
      </c>
      <c r="M216" s="418">
        <f t="shared" si="29"/>
        <v>-5.2894211576846262E-2</v>
      </c>
      <c r="N216" s="411">
        <v>3714.24</v>
      </c>
      <c r="O216" s="418">
        <f t="shared" si="30"/>
        <v>-1.9311502938707092E-2</v>
      </c>
      <c r="P216" s="411">
        <v>37.96</v>
      </c>
      <c r="Q216" s="418">
        <f t="shared" si="31"/>
        <v>-5.2894211576846262E-2</v>
      </c>
    </row>
    <row r="217" spans="1:17">
      <c r="A217" s="408">
        <v>44224</v>
      </c>
      <c r="B217" s="411">
        <v>3787.38</v>
      </c>
      <c r="C217" s="418">
        <f t="shared" si="24"/>
        <v>9.7606624773047823E-3</v>
      </c>
      <c r="D217" s="411">
        <v>40.08</v>
      </c>
      <c r="E217" s="418">
        <f t="shared" si="25"/>
        <v>4.049844236760114E-2</v>
      </c>
      <c r="F217" s="411">
        <v>3787.38</v>
      </c>
      <c r="G217" s="418">
        <f t="shared" si="26"/>
        <v>9.7606624773047823E-3</v>
      </c>
      <c r="H217" s="411">
        <v>40.08</v>
      </c>
      <c r="I217" s="418">
        <f t="shared" si="27"/>
        <v>4.049844236760114E-2</v>
      </c>
      <c r="J217" s="411">
        <v>3787.38</v>
      </c>
      <c r="K217" s="418">
        <f t="shared" si="28"/>
        <v>9.7606624773047823E-3</v>
      </c>
      <c r="L217" s="411">
        <v>40.08</v>
      </c>
      <c r="M217" s="418">
        <f t="shared" si="29"/>
        <v>4.049844236760114E-2</v>
      </c>
      <c r="N217" s="411">
        <v>3787.38</v>
      </c>
      <c r="O217" s="418">
        <f t="shared" si="30"/>
        <v>9.7606624773047823E-3</v>
      </c>
      <c r="P217" s="411">
        <v>40.08</v>
      </c>
      <c r="Q217" s="418">
        <f t="shared" si="31"/>
        <v>4.049844236760114E-2</v>
      </c>
    </row>
    <row r="218" spans="1:17">
      <c r="A218" s="408">
        <v>44223</v>
      </c>
      <c r="B218" s="411">
        <v>3750.77</v>
      </c>
      <c r="C218" s="418">
        <f t="shared" si="24"/>
        <v>-2.5677859113367063E-2</v>
      </c>
      <c r="D218" s="411">
        <v>38.520000000000003</v>
      </c>
      <c r="E218" s="418">
        <f t="shared" si="25"/>
        <v>-2.0345879959308144E-2</v>
      </c>
      <c r="F218" s="411">
        <v>3750.77</v>
      </c>
      <c r="G218" s="418">
        <f t="shared" si="26"/>
        <v>-2.5677859113367063E-2</v>
      </c>
      <c r="H218" s="411">
        <v>38.520000000000003</v>
      </c>
      <c r="I218" s="418">
        <f t="shared" si="27"/>
        <v>-2.0345879959308144E-2</v>
      </c>
      <c r="J218" s="411">
        <v>3750.77</v>
      </c>
      <c r="K218" s="418">
        <f t="shared" si="28"/>
        <v>-2.5677859113367063E-2</v>
      </c>
      <c r="L218" s="411">
        <v>38.520000000000003</v>
      </c>
      <c r="M218" s="418">
        <f t="shared" si="29"/>
        <v>-2.0345879959308144E-2</v>
      </c>
      <c r="N218" s="411">
        <v>3750.77</v>
      </c>
      <c r="O218" s="418">
        <f t="shared" si="30"/>
        <v>-2.5677859113367063E-2</v>
      </c>
      <c r="P218" s="411">
        <v>38.520000000000003</v>
      </c>
      <c r="Q218" s="418">
        <f t="shared" si="31"/>
        <v>-2.0345879959308144E-2</v>
      </c>
    </row>
    <row r="219" spans="1:17">
      <c r="A219" s="408">
        <v>44222</v>
      </c>
      <c r="B219" s="411">
        <v>3849.62</v>
      </c>
      <c r="C219" s="418">
        <f t="shared" si="24"/>
        <v>-1.4888363213811928E-3</v>
      </c>
      <c r="D219" s="411">
        <v>39.32</v>
      </c>
      <c r="E219" s="418">
        <f t="shared" si="25"/>
        <v>1.0796915167095245E-2</v>
      </c>
      <c r="F219" s="411">
        <v>3849.62</v>
      </c>
      <c r="G219" s="418">
        <f t="shared" si="26"/>
        <v>-1.4888363213811928E-3</v>
      </c>
      <c r="H219" s="411">
        <v>39.32</v>
      </c>
      <c r="I219" s="418">
        <f t="shared" si="27"/>
        <v>1.0796915167095245E-2</v>
      </c>
      <c r="J219" s="411">
        <v>3849.62</v>
      </c>
      <c r="K219" s="418">
        <f t="shared" si="28"/>
        <v>-1.4888363213811928E-3</v>
      </c>
      <c r="L219" s="411">
        <v>39.32</v>
      </c>
      <c r="M219" s="418">
        <f t="shared" si="29"/>
        <v>1.0796915167095245E-2</v>
      </c>
      <c r="N219" s="411">
        <v>3849.62</v>
      </c>
      <c r="O219" s="418">
        <f t="shared" si="30"/>
        <v>-1.4888363213811928E-3</v>
      </c>
      <c r="P219" s="411">
        <v>39.32</v>
      </c>
      <c r="Q219" s="418">
        <f t="shared" si="31"/>
        <v>1.0796915167095245E-2</v>
      </c>
    </row>
    <row r="220" spans="1:17">
      <c r="A220" s="408">
        <v>44221</v>
      </c>
      <c r="B220" s="411">
        <v>3855.36</v>
      </c>
      <c r="C220" s="418">
        <f t="shared" si="24"/>
        <v>3.6158033252895461E-3</v>
      </c>
      <c r="D220" s="411">
        <v>38.9</v>
      </c>
      <c r="E220" s="418">
        <f t="shared" si="25"/>
        <v>-2.750000000000008E-2</v>
      </c>
      <c r="F220" s="411">
        <v>3855.36</v>
      </c>
      <c r="G220" s="418">
        <f t="shared" si="26"/>
        <v>3.6158033252895461E-3</v>
      </c>
      <c r="H220" s="411">
        <v>38.9</v>
      </c>
      <c r="I220" s="418">
        <f t="shared" si="27"/>
        <v>-2.750000000000008E-2</v>
      </c>
      <c r="J220" s="411">
        <v>3855.36</v>
      </c>
      <c r="K220" s="418">
        <f t="shared" si="28"/>
        <v>3.6158033252895461E-3</v>
      </c>
      <c r="L220" s="411">
        <v>38.9</v>
      </c>
      <c r="M220" s="418">
        <f t="shared" si="29"/>
        <v>-2.750000000000008E-2</v>
      </c>
      <c r="N220" s="411">
        <v>3855.36</v>
      </c>
      <c r="O220" s="418">
        <f t="shared" si="30"/>
        <v>3.6158033252895461E-3</v>
      </c>
      <c r="P220" s="411">
        <v>38.9</v>
      </c>
      <c r="Q220" s="418">
        <f t="shared" si="31"/>
        <v>-2.750000000000008E-2</v>
      </c>
    </row>
    <row r="221" spans="1:17">
      <c r="A221" s="408">
        <v>44218</v>
      </c>
      <c r="B221" s="411">
        <v>3841.47</v>
      </c>
      <c r="C221" s="418">
        <f t="shared" si="24"/>
        <v>-3.0105863636010755E-3</v>
      </c>
      <c r="D221" s="411">
        <v>40</v>
      </c>
      <c r="E221" s="418">
        <f t="shared" si="25"/>
        <v>-1.6474059503319483E-2</v>
      </c>
      <c r="F221" s="411">
        <v>3841.47</v>
      </c>
      <c r="G221" s="418">
        <f t="shared" si="26"/>
        <v>-3.0105863636010755E-3</v>
      </c>
      <c r="H221" s="411">
        <v>40</v>
      </c>
      <c r="I221" s="418">
        <f t="shared" si="27"/>
        <v>-1.6474059503319483E-2</v>
      </c>
      <c r="J221" s="411">
        <v>3841.47</v>
      </c>
      <c r="K221" s="418">
        <f t="shared" si="28"/>
        <v>-3.0105863636010755E-3</v>
      </c>
      <c r="L221" s="411">
        <v>40</v>
      </c>
      <c r="M221" s="418">
        <f t="shared" si="29"/>
        <v>-1.6474059503319483E-2</v>
      </c>
      <c r="N221" s="411">
        <v>3841.47</v>
      </c>
      <c r="O221" s="418">
        <f t="shared" si="30"/>
        <v>-3.0105863636010755E-3</v>
      </c>
      <c r="P221" s="411">
        <v>40</v>
      </c>
      <c r="Q221" s="418">
        <f t="shared" si="31"/>
        <v>-1.6474059503319483E-2</v>
      </c>
    </row>
    <row r="222" spans="1:17">
      <c r="A222" s="408">
        <v>44217</v>
      </c>
      <c r="B222" s="411">
        <v>3853.07</v>
      </c>
      <c r="C222" s="418">
        <f t="shared" si="24"/>
        <v>3.167309215053038E-4</v>
      </c>
      <c r="D222" s="411">
        <v>40.67</v>
      </c>
      <c r="E222" s="418">
        <f t="shared" si="25"/>
        <v>-2.2825564632388162E-2</v>
      </c>
      <c r="F222" s="411">
        <v>3853.07</v>
      </c>
      <c r="G222" s="418">
        <f t="shared" si="26"/>
        <v>3.167309215053038E-4</v>
      </c>
      <c r="H222" s="411">
        <v>40.67</v>
      </c>
      <c r="I222" s="418">
        <f t="shared" si="27"/>
        <v>-2.2825564632388162E-2</v>
      </c>
      <c r="J222" s="411">
        <v>3853.07</v>
      </c>
      <c r="K222" s="418">
        <f t="shared" si="28"/>
        <v>3.167309215053038E-4</v>
      </c>
      <c r="L222" s="411">
        <v>40.67</v>
      </c>
      <c r="M222" s="418">
        <f t="shared" si="29"/>
        <v>-2.2825564632388162E-2</v>
      </c>
      <c r="N222" s="411">
        <v>3853.07</v>
      </c>
      <c r="O222" s="418">
        <f t="shared" si="30"/>
        <v>3.167309215053038E-4</v>
      </c>
      <c r="P222" s="411">
        <v>40.67</v>
      </c>
      <c r="Q222" s="418">
        <f t="shared" si="31"/>
        <v>-2.2825564632388162E-2</v>
      </c>
    </row>
    <row r="223" spans="1:17">
      <c r="A223" s="408">
        <v>44216</v>
      </c>
      <c r="B223" s="411">
        <v>3851.85</v>
      </c>
      <c r="C223" s="418">
        <f t="shared" si="24"/>
        <v>1.3935576257400273E-2</v>
      </c>
      <c r="D223" s="411">
        <v>41.62</v>
      </c>
      <c r="E223" s="418">
        <f t="shared" si="25"/>
        <v>3.2498139419498751E-2</v>
      </c>
      <c r="F223" s="411">
        <v>3851.85</v>
      </c>
      <c r="G223" s="418">
        <f t="shared" si="26"/>
        <v>1.3935576257400273E-2</v>
      </c>
      <c r="H223" s="411">
        <v>41.62</v>
      </c>
      <c r="I223" s="418">
        <f t="shared" si="27"/>
        <v>3.2498139419498751E-2</v>
      </c>
      <c r="J223" s="411">
        <v>3851.85</v>
      </c>
      <c r="K223" s="418">
        <f t="shared" si="28"/>
        <v>1.3935576257400273E-2</v>
      </c>
      <c r="L223" s="411">
        <v>41.62</v>
      </c>
      <c r="M223" s="418">
        <f t="shared" si="29"/>
        <v>3.2498139419498751E-2</v>
      </c>
      <c r="N223" s="411">
        <v>3851.85</v>
      </c>
      <c r="O223" s="418">
        <f t="shared" si="30"/>
        <v>1.3935576257400273E-2</v>
      </c>
      <c r="P223" s="411">
        <v>41.62</v>
      </c>
      <c r="Q223" s="418">
        <f t="shared" si="31"/>
        <v>3.2498139419498751E-2</v>
      </c>
    </row>
    <row r="224" spans="1:17">
      <c r="A224" s="408">
        <v>44215</v>
      </c>
      <c r="B224" s="411">
        <v>3798.91</v>
      </c>
      <c r="C224" s="418">
        <f t="shared" si="24"/>
        <v>8.136402839514334E-3</v>
      </c>
      <c r="D224" s="411">
        <v>40.31</v>
      </c>
      <c r="E224" s="418">
        <f t="shared" si="25"/>
        <v>8.254127063531902E-3</v>
      </c>
      <c r="F224" s="411">
        <v>3798.91</v>
      </c>
      <c r="G224" s="418">
        <f t="shared" si="26"/>
        <v>8.136402839514334E-3</v>
      </c>
      <c r="H224" s="411">
        <v>40.31</v>
      </c>
      <c r="I224" s="418">
        <f t="shared" si="27"/>
        <v>8.254127063531902E-3</v>
      </c>
      <c r="J224" s="411">
        <v>3798.91</v>
      </c>
      <c r="K224" s="418">
        <f t="shared" si="28"/>
        <v>8.136402839514334E-3</v>
      </c>
      <c r="L224" s="411">
        <v>40.31</v>
      </c>
      <c r="M224" s="418">
        <f t="shared" si="29"/>
        <v>8.254127063531902E-3</v>
      </c>
      <c r="N224" s="411">
        <v>3798.91</v>
      </c>
      <c r="O224" s="418">
        <f t="shared" si="30"/>
        <v>8.136402839514334E-3</v>
      </c>
      <c r="P224" s="411">
        <v>40.31</v>
      </c>
      <c r="Q224" s="418">
        <f t="shared" si="31"/>
        <v>8.254127063531902E-3</v>
      </c>
    </row>
    <row r="225" spans="1:17">
      <c r="A225" s="408">
        <v>44211</v>
      </c>
      <c r="B225" s="411">
        <v>3768.25</v>
      </c>
      <c r="C225" s="418">
        <f t="shared" si="24"/>
        <v>-7.1900177576840196E-3</v>
      </c>
      <c r="D225" s="411">
        <v>39.979999999999997</v>
      </c>
      <c r="E225" s="418">
        <f t="shared" si="25"/>
        <v>-3.592958765372567E-2</v>
      </c>
      <c r="F225" s="411">
        <v>3768.25</v>
      </c>
      <c r="G225" s="418">
        <f t="shared" si="26"/>
        <v>-7.1900177576840196E-3</v>
      </c>
      <c r="H225" s="411">
        <v>39.979999999999997</v>
      </c>
      <c r="I225" s="418">
        <f t="shared" si="27"/>
        <v>-3.592958765372567E-2</v>
      </c>
      <c r="J225" s="411">
        <v>3768.25</v>
      </c>
      <c r="K225" s="418">
        <f t="shared" si="28"/>
        <v>-7.1900177576840196E-3</v>
      </c>
      <c r="L225" s="411">
        <v>39.979999999999997</v>
      </c>
      <c r="M225" s="418">
        <f t="shared" si="29"/>
        <v>-3.592958765372567E-2</v>
      </c>
      <c r="N225" s="411">
        <v>3768.25</v>
      </c>
      <c r="O225" s="418">
        <f t="shared" si="30"/>
        <v>-7.1900177576840196E-3</v>
      </c>
      <c r="P225" s="411">
        <v>39.979999999999997</v>
      </c>
      <c r="Q225" s="418">
        <f t="shared" si="31"/>
        <v>-3.592958765372567E-2</v>
      </c>
    </row>
    <row r="226" spans="1:17">
      <c r="A226" s="408">
        <v>44210</v>
      </c>
      <c r="B226" s="411">
        <v>3795.54</v>
      </c>
      <c r="C226" s="418">
        <f t="shared" si="24"/>
        <v>-3.753438464607517E-3</v>
      </c>
      <c r="D226" s="411">
        <v>41.47</v>
      </c>
      <c r="E226" s="418">
        <f t="shared" si="25"/>
        <v>2.5216316440049402E-2</v>
      </c>
      <c r="F226" s="411">
        <v>3795.54</v>
      </c>
      <c r="G226" s="418">
        <f t="shared" si="26"/>
        <v>-3.753438464607517E-3</v>
      </c>
      <c r="H226" s="411">
        <v>41.47</v>
      </c>
      <c r="I226" s="418">
        <f t="shared" si="27"/>
        <v>2.5216316440049402E-2</v>
      </c>
      <c r="J226" s="411">
        <v>3795.54</v>
      </c>
      <c r="K226" s="418">
        <f t="shared" si="28"/>
        <v>-3.753438464607517E-3</v>
      </c>
      <c r="L226" s="411">
        <v>41.47</v>
      </c>
      <c r="M226" s="418">
        <f t="shared" si="29"/>
        <v>2.5216316440049402E-2</v>
      </c>
      <c r="N226" s="411">
        <v>3795.54</v>
      </c>
      <c r="O226" s="418">
        <f t="shared" si="30"/>
        <v>-3.753438464607517E-3</v>
      </c>
      <c r="P226" s="411">
        <v>41.47</v>
      </c>
      <c r="Q226" s="418">
        <f t="shared" si="31"/>
        <v>2.5216316440049402E-2</v>
      </c>
    </row>
    <row r="227" spans="1:17">
      <c r="A227" s="408">
        <v>44209</v>
      </c>
      <c r="B227" s="411">
        <v>3809.84</v>
      </c>
      <c r="C227" s="418">
        <f t="shared" si="24"/>
        <v>2.2756031663768717E-3</v>
      </c>
      <c r="D227" s="411">
        <v>40.450000000000003</v>
      </c>
      <c r="E227" s="418">
        <f t="shared" si="25"/>
        <v>3.7220843672458592E-3</v>
      </c>
      <c r="F227" s="411">
        <v>3809.84</v>
      </c>
      <c r="G227" s="418">
        <f t="shared" si="26"/>
        <v>2.2756031663768717E-3</v>
      </c>
      <c r="H227" s="411">
        <v>40.450000000000003</v>
      </c>
      <c r="I227" s="418">
        <f t="shared" si="27"/>
        <v>3.7220843672458592E-3</v>
      </c>
      <c r="J227" s="411">
        <v>3809.84</v>
      </c>
      <c r="K227" s="418">
        <f t="shared" si="28"/>
        <v>2.2756031663768717E-3</v>
      </c>
      <c r="L227" s="411">
        <v>40.450000000000003</v>
      </c>
      <c r="M227" s="418">
        <f t="shared" si="29"/>
        <v>3.7220843672458592E-3</v>
      </c>
      <c r="N227" s="411">
        <v>3809.84</v>
      </c>
      <c r="O227" s="418">
        <f t="shared" si="30"/>
        <v>2.2756031663768717E-3</v>
      </c>
      <c r="P227" s="411">
        <v>40.450000000000003</v>
      </c>
      <c r="Q227" s="418">
        <f t="shared" si="31"/>
        <v>3.7220843672458592E-3</v>
      </c>
    </row>
    <row r="228" spans="1:17">
      <c r="A228" s="408">
        <v>44208</v>
      </c>
      <c r="B228" s="411">
        <v>3801.19</v>
      </c>
      <c r="C228" s="418">
        <f t="shared" si="24"/>
        <v>4.1583215119445072E-4</v>
      </c>
      <c r="D228" s="411">
        <v>40.299999999999997</v>
      </c>
      <c r="E228" s="418">
        <f t="shared" si="25"/>
        <v>2.25831007358539E-2</v>
      </c>
      <c r="F228" s="411">
        <v>3801.19</v>
      </c>
      <c r="G228" s="418">
        <f t="shared" si="26"/>
        <v>4.1583215119445072E-4</v>
      </c>
      <c r="H228" s="411">
        <v>40.299999999999997</v>
      </c>
      <c r="I228" s="418">
        <f t="shared" si="27"/>
        <v>2.25831007358539E-2</v>
      </c>
      <c r="J228" s="411">
        <v>3801.19</v>
      </c>
      <c r="K228" s="418">
        <f t="shared" si="28"/>
        <v>4.1583215119445072E-4</v>
      </c>
      <c r="L228" s="411">
        <v>40.299999999999997</v>
      </c>
      <c r="M228" s="418">
        <f t="shared" si="29"/>
        <v>2.25831007358539E-2</v>
      </c>
      <c r="N228" s="411">
        <v>3801.19</v>
      </c>
      <c r="O228" s="418">
        <f t="shared" si="30"/>
        <v>4.1583215119445072E-4</v>
      </c>
      <c r="P228" s="411">
        <v>40.299999999999997</v>
      </c>
      <c r="Q228" s="418">
        <f t="shared" si="31"/>
        <v>2.25831007358539E-2</v>
      </c>
    </row>
    <row r="229" spans="1:17">
      <c r="A229" s="408">
        <v>44207</v>
      </c>
      <c r="B229" s="411">
        <v>3799.61</v>
      </c>
      <c r="C229" s="418">
        <f t="shared" si="24"/>
        <v>-6.5547967411652142E-3</v>
      </c>
      <c r="D229" s="411">
        <v>39.409999999999997</v>
      </c>
      <c r="E229" s="418">
        <f t="shared" si="25"/>
        <v>-1.524237881059487E-2</v>
      </c>
      <c r="F229" s="411">
        <v>3799.61</v>
      </c>
      <c r="G229" s="418">
        <f t="shared" si="26"/>
        <v>-6.5547967411652142E-3</v>
      </c>
      <c r="H229" s="411">
        <v>39.409999999999997</v>
      </c>
      <c r="I229" s="418">
        <f t="shared" si="27"/>
        <v>-1.524237881059487E-2</v>
      </c>
      <c r="J229" s="411">
        <v>3799.61</v>
      </c>
      <c r="K229" s="418">
        <f t="shared" si="28"/>
        <v>-6.5547967411652142E-3</v>
      </c>
      <c r="L229" s="411">
        <v>39.409999999999997</v>
      </c>
      <c r="M229" s="418">
        <f t="shared" si="29"/>
        <v>-1.524237881059487E-2</v>
      </c>
      <c r="N229" s="411">
        <v>3799.61</v>
      </c>
      <c r="O229" s="418">
        <f t="shared" si="30"/>
        <v>-6.5547967411652142E-3</v>
      </c>
      <c r="P229" s="411">
        <v>39.409999999999997</v>
      </c>
      <c r="Q229" s="418">
        <f t="shared" si="31"/>
        <v>-1.524237881059487E-2</v>
      </c>
    </row>
    <row r="230" spans="1:17">
      <c r="A230" s="408">
        <v>44204</v>
      </c>
      <c r="B230" s="411">
        <v>3824.68</v>
      </c>
      <c r="C230" s="418">
        <f t="shared" si="24"/>
        <v>5.4918909824148709E-3</v>
      </c>
      <c r="D230" s="411">
        <v>40.020000000000003</v>
      </c>
      <c r="E230" s="418">
        <f t="shared" si="25"/>
        <v>-5.2199850857567176E-3</v>
      </c>
      <c r="F230" s="411">
        <v>3824.68</v>
      </c>
      <c r="G230" s="418">
        <f t="shared" si="26"/>
        <v>5.4918909824148709E-3</v>
      </c>
      <c r="H230" s="411">
        <v>40.020000000000003</v>
      </c>
      <c r="I230" s="418">
        <f t="shared" si="27"/>
        <v>-5.2199850857567176E-3</v>
      </c>
      <c r="J230" s="411">
        <v>3824.68</v>
      </c>
      <c r="K230" s="418">
        <f t="shared" si="28"/>
        <v>5.4918909824148709E-3</v>
      </c>
      <c r="L230" s="411">
        <v>40.020000000000003</v>
      </c>
      <c r="M230" s="418">
        <f t="shared" si="29"/>
        <v>-5.2199850857567176E-3</v>
      </c>
      <c r="N230" s="411">
        <v>3824.68</v>
      </c>
      <c r="O230" s="418">
        <f t="shared" si="30"/>
        <v>5.4918909824148709E-3</v>
      </c>
      <c r="P230" s="411">
        <v>40.020000000000003</v>
      </c>
      <c r="Q230" s="418">
        <f t="shared" si="31"/>
        <v>-5.2199850857567176E-3</v>
      </c>
    </row>
    <row r="231" spans="1:17">
      <c r="A231" s="408">
        <v>44203</v>
      </c>
      <c r="B231" s="411">
        <v>3803.79</v>
      </c>
      <c r="C231" s="418">
        <f t="shared" si="24"/>
        <v>1.484736429268918E-2</v>
      </c>
      <c r="D231" s="411">
        <v>40.229999999999997</v>
      </c>
      <c r="E231" s="418">
        <f t="shared" si="25"/>
        <v>-3.714710252600395E-3</v>
      </c>
      <c r="F231" s="411">
        <v>3803.79</v>
      </c>
      <c r="G231" s="418">
        <f t="shared" si="26"/>
        <v>1.484736429268918E-2</v>
      </c>
      <c r="H231" s="411">
        <v>40.229999999999997</v>
      </c>
      <c r="I231" s="418">
        <f t="shared" si="27"/>
        <v>-3.714710252600395E-3</v>
      </c>
      <c r="J231" s="411">
        <v>3803.79</v>
      </c>
      <c r="K231" s="418">
        <f t="shared" si="28"/>
        <v>1.484736429268918E-2</v>
      </c>
      <c r="L231" s="411">
        <v>40.229999999999997</v>
      </c>
      <c r="M231" s="418">
        <f t="shared" si="29"/>
        <v>-3.714710252600395E-3</v>
      </c>
      <c r="N231" s="416">
        <v>3803.79</v>
      </c>
      <c r="O231" s="419">
        <f t="shared" si="30"/>
        <v>1.484736429268918E-2</v>
      </c>
      <c r="P231" s="415">
        <v>40.229999999999997</v>
      </c>
      <c r="Q231" s="419">
        <f t="shared" si="31"/>
        <v>-3.714710252600395E-3</v>
      </c>
    </row>
    <row r="232" spans="1:17">
      <c r="A232" s="408">
        <v>44202</v>
      </c>
      <c r="B232" s="411">
        <v>3748.14</v>
      </c>
      <c r="C232" s="418">
        <f t="shared" si="24"/>
        <v>5.7099005597205377E-3</v>
      </c>
      <c r="D232" s="411">
        <v>40.380000000000003</v>
      </c>
      <c r="E232" s="418">
        <f t="shared" si="25"/>
        <v>2.0986093552465279E-2</v>
      </c>
      <c r="F232" s="411">
        <v>3748.14</v>
      </c>
      <c r="G232" s="418">
        <f t="shared" si="26"/>
        <v>5.7099005597205377E-3</v>
      </c>
      <c r="H232" s="411">
        <v>40.380000000000003</v>
      </c>
      <c r="I232" s="418">
        <f t="shared" si="27"/>
        <v>2.0986093552465279E-2</v>
      </c>
      <c r="J232" s="411">
        <v>3748.14</v>
      </c>
      <c r="K232" s="418">
        <f t="shared" si="28"/>
        <v>5.7099005597205377E-3</v>
      </c>
      <c r="L232" s="411">
        <v>40.380000000000003</v>
      </c>
      <c r="M232" s="418">
        <f t="shared" si="29"/>
        <v>2.0986093552465279E-2</v>
      </c>
      <c r="N232" s="411">
        <v>3748.14</v>
      </c>
      <c r="O232" s="388">
        <f t="shared" si="30"/>
        <v>5.7099005597205377E-3</v>
      </c>
      <c r="P232" s="3">
        <v>40.380000000000003</v>
      </c>
      <c r="Q232" s="388">
        <f t="shared" si="31"/>
        <v>2.0986093552465279E-2</v>
      </c>
    </row>
    <row r="233" spans="1:17">
      <c r="A233" s="408">
        <v>44201</v>
      </c>
      <c r="B233" s="411">
        <v>3726.86</v>
      </c>
      <c r="C233" s="418">
        <f t="shared" si="24"/>
        <v>7.0825395538620661E-3</v>
      </c>
      <c r="D233" s="411">
        <v>39.549999999999997</v>
      </c>
      <c r="E233" s="418">
        <f t="shared" si="25"/>
        <v>2.1172217918925984E-2</v>
      </c>
      <c r="F233" s="411">
        <v>3726.86</v>
      </c>
      <c r="G233" s="418">
        <f t="shared" si="26"/>
        <v>7.0825395538620661E-3</v>
      </c>
      <c r="H233" s="411">
        <v>39.549999999999997</v>
      </c>
      <c r="I233" s="418">
        <f t="shared" si="27"/>
        <v>2.1172217918925984E-2</v>
      </c>
      <c r="J233" s="411">
        <v>3726.86</v>
      </c>
      <c r="K233" s="418">
        <f t="shared" si="28"/>
        <v>7.0825395538620661E-3</v>
      </c>
      <c r="L233" s="411">
        <v>39.549999999999997</v>
      </c>
      <c r="M233" s="418">
        <f t="shared" si="29"/>
        <v>2.1172217918925984E-2</v>
      </c>
      <c r="N233" s="411">
        <v>3726.86</v>
      </c>
      <c r="O233" s="388">
        <f t="shared" si="30"/>
        <v>7.0825395538620661E-3</v>
      </c>
      <c r="P233" s="3">
        <v>39.549999999999997</v>
      </c>
      <c r="Q233" s="388">
        <f t="shared" si="31"/>
        <v>2.1172217918925984E-2</v>
      </c>
    </row>
    <row r="234" spans="1:17">
      <c r="A234" s="408">
        <v>44200</v>
      </c>
      <c r="B234" s="411">
        <v>3700.65</v>
      </c>
      <c r="C234" s="418">
        <f t="shared" si="24"/>
        <v>-1.475478359029514E-2</v>
      </c>
      <c r="D234" s="411">
        <v>38.729999999999997</v>
      </c>
      <c r="E234" s="418">
        <f t="shared" si="25"/>
        <v>-3.6806764486446264E-2</v>
      </c>
      <c r="F234" s="411">
        <v>3700.65</v>
      </c>
      <c r="G234" s="418">
        <f t="shared" si="26"/>
        <v>-1.475478359029514E-2</v>
      </c>
      <c r="H234" s="411">
        <v>38.729999999999997</v>
      </c>
      <c r="I234" s="418">
        <f t="shared" si="27"/>
        <v>-3.6806764486446264E-2</v>
      </c>
      <c r="J234" s="411">
        <v>3700.65</v>
      </c>
      <c r="K234" s="418">
        <f t="shared" si="28"/>
        <v>-1.475478359029514E-2</v>
      </c>
      <c r="L234" s="411">
        <v>38.729999999999997</v>
      </c>
      <c r="M234" s="418">
        <f t="shared" si="29"/>
        <v>-3.6806764486446264E-2</v>
      </c>
      <c r="N234" s="411">
        <v>3700.65</v>
      </c>
      <c r="O234" s="388">
        <f t="shared" si="30"/>
        <v>-1.475478359029514E-2</v>
      </c>
      <c r="P234" s="3">
        <v>38.729999999999997</v>
      </c>
      <c r="Q234" s="388">
        <f t="shared" si="31"/>
        <v>-3.6806764486446264E-2</v>
      </c>
    </row>
    <row r="235" spans="1:17">
      <c r="A235" s="408">
        <v>44196</v>
      </c>
      <c r="B235" s="411">
        <v>3756.07</v>
      </c>
      <c r="C235" s="418">
        <f t="shared" si="24"/>
        <v>6.4388377402171404E-3</v>
      </c>
      <c r="D235" s="411">
        <v>40.21</v>
      </c>
      <c r="E235" s="418">
        <f t="shared" si="25"/>
        <v>-8.6291913214990856E-3</v>
      </c>
      <c r="F235" s="411">
        <v>3756.07</v>
      </c>
      <c r="G235" s="418">
        <f t="shared" si="26"/>
        <v>6.4388377402171404E-3</v>
      </c>
      <c r="H235" s="411">
        <v>40.21</v>
      </c>
      <c r="I235" s="418">
        <f t="shared" si="27"/>
        <v>-8.6291913214990856E-3</v>
      </c>
      <c r="J235" s="411">
        <v>3756.07</v>
      </c>
      <c r="K235" s="418">
        <f t="shared" si="28"/>
        <v>6.4388377402171404E-3</v>
      </c>
      <c r="L235" s="411">
        <v>40.21</v>
      </c>
      <c r="M235" s="418">
        <f t="shared" si="29"/>
        <v>-8.6291913214990856E-3</v>
      </c>
      <c r="N235" s="411">
        <v>3756.07</v>
      </c>
      <c r="O235" s="388">
        <f t="shared" si="30"/>
        <v>6.4388377402171404E-3</v>
      </c>
      <c r="P235" s="3">
        <v>40.21</v>
      </c>
      <c r="Q235" s="388">
        <f t="shared" si="31"/>
        <v>-8.6291913214990856E-3</v>
      </c>
    </row>
    <row r="236" spans="1:17">
      <c r="A236" s="408">
        <v>44195</v>
      </c>
      <c r="B236" s="411">
        <v>3732.04</v>
      </c>
      <c r="C236" s="418">
        <f t="shared" si="24"/>
        <v>1.3415471795312772E-3</v>
      </c>
      <c r="D236" s="411">
        <v>40.56</v>
      </c>
      <c r="E236" s="418">
        <f t="shared" si="25"/>
        <v>1.3240069947539457E-2</v>
      </c>
      <c r="F236" s="411">
        <v>3732.04</v>
      </c>
      <c r="G236" s="418">
        <f t="shared" si="26"/>
        <v>1.3415471795312772E-3</v>
      </c>
      <c r="H236" s="411">
        <v>40.56</v>
      </c>
      <c r="I236" s="418">
        <f t="shared" si="27"/>
        <v>1.3240069947539457E-2</v>
      </c>
      <c r="J236" s="411">
        <v>3732.04</v>
      </c>
      <c r="K236" s="418">
        <f t="shared" si="28"/>
        <v>1.3415471795312772E-3</v>
      </c>
      <c r="L236" s="411">
        <v>40.56</v>
      </c>
      <c r="M236" s="418">
        <f t="shared" si="29"/>
        <v>1.3240069947539457E-2</v>
      </c>
      <c r="N236" s="411">
        <v>3732.04</v>
      </c>
      <c r="O236" s="388">
        <f t="shared" si="30"/>
        <v>1.3415471795312772E-3</v>
      </c>
      <c r="P236" s="3">
        <v>40.56</v>
      </c>
      <c r="Q236" s="388">
        <f t="shared" si="31"/>
        <v>1.3240069947539457E-2</v>
      </c>
    </row>
    <row r="237" spans="1:17">
      <c r="A237" s="408">
        <v>44194</v>
      </c>
      <c r="B237" s="411">
        <v>3727.04</v>
      </c>
      <c r="C237" s="418">
        <f t="shared" si="24"/>
        <v>-2.2273622890431888E-3</v>
      </c>
      <c r="D237" s="411">
        <v>40.03</v>
      </c>
      <c r="E237" s="418">
        <f t="shared" si="25"/>
        <v>-2.9887920298878878E-3</v>
      </c>
      <c r="F237" s="411">
        <v>3727.04</v>
      </c>
      <c r="G237" s="418">
        <f t="shared" si="26"/>
        <v>-2.2273622890431888E-3</v>
      </c>
      <c r="H237" s="411">
        <v>40.03</v>
      </c>
      <c r="I237" s="418">
        <f t="shared" si="27"/>
        <v>-2.9887920298878878E-3</v>
      </c>
      <c r="J237" s="411">
        <v>3727.04</v>
      </c>
      <c r="K237" s="418">
        <f t="shared" si="28"/>
        <v>-2.2273622890431888E-3</v>
      </c>
      <c r="L237" s="411">
        <v>40.03</v>
      </c>
      <c r="M237" s="418">
        <f t="shared" si="29"/>
        <v>-2.9887920298878878E-3</v>
      </c>
      <c r="N237" s="411">
        <v>3727.04</v>
      </c>
      <c r="O237" s="388">
        <f t="shared" si="30"/>
        <v>-2.2273622890431888E-3</v>
      </c>
      <c r="P237" s="3">
        <v>40.03</v>
      </c>
      <c r="Q237" s="388">
        <f t="shared" si="31"/>
        <v>-2.9887920298878878E-3</v>
      </c>
    </row>
    <row r="238" spans="1:17">
      <c r="A238" s="408">
        <v>44193</v>
      </c>
      <c r="B238" s="411">
        <v>3735.36</v>
      </c>
      <c r="C238" s="418">
        <f t="shared" si="24"/>
        <v>8.7225159732762236E-3</v>
      </c>
      <c r="D238" s="411">
        <v>40.15</v>
      </c>
      <c r="E238" s="418">
        <f t="shared" si="25"/>
        <v>1.0571356657437692E-2</v>
      </c>
      <c r="F238" s="411">
        <v>3735.36</v>
      </c>
      <c r="G238" s="418">
        <f t="shared" si="26"/>
        <v>8.7225159732762236E-3</v>
      </c>
      <c r="H238" s="411">
        <v>40.15</v>
      </c>
      <c r="I238" s="418">
        <f t="shared" si="27"/>
        <v>1.0571356657437692E-2</v>
      </c>
      <c r="J238" s="411">
        <v>3735.36</v>
      </c>
      <c r="K238" s="418">
        <f t="shared" si="28"/>
        <v>8.7225159732762236E-3</v>
      </c>
      <c r="L238" s="411">
        <v>40.15</v>
      </c>
      <c r="M238" s="418">
        <f t="shared" si="29"/>
        <v>1.0571356657437692E-2</v>
      </c>
      <c r="N238" s="411">
        <v>3735.36</v>
      </c>
      <c r="O238" s="388">
        <f t="shared" si="30"/>
        <v>8.7225159732762236E-3</v>
      </c>
      <c r="P238" s="3">
        <v>40.15</v>
      </c>
      <c r="Q238" s="388">
        <f t="shared" si="31"/>
        <v>1.0571356657437692E-2</v>
      </c>
    </row>
    <row r="239" spans="1:17">
      <c r="A239" s="408">
        <v>44189</v>
      </c>
      <c r="B239" s="411">
        <v>3703.06</v>
      </c>
      <c r="C239" s="418">
        <f t="shared" si="24"/>
        <v>3.5365757816374632E-3</v>
      </c>
      <c r="D239" s="411">
        <v>39.729999999999997</v>
      </c>
      <c r="E239" s="418">
        <f t="shared" si="25"/>
        <v>-1.2673956262425623E-2</v>
      </c>
      <c r="F239" s="411">
        <v>3703.06</v>
      </c>
      <c r="G239" s="418">
        <f t="shared" si="26"/>
        <v>3.5365757816374632E-3</v>
      </c>
      <c r="H239" s="411">
        <v>39.729999999999997</v>
      </c>
      <c r="I239" s="418">
        <f t="shared" si="27"/>
        <v>-1.2673956262425623E-2</v>
      </c>
      <c r="J239" s="411">
        <v>3703.06</v>
      </c>
      <c r="K239" s="418">
        <f t="shared" si="28"/>
        <v>3.5365757816374632E-3</v>
      </c>
      <c r="L239" s="411">
        <v>39.729999999999997</v>
      </c>
      <c r="M239" s="418">
        <f t="shared" si="29"/>
        <v>-1.2673956262425623E-2</v>
      </c>
      <c r="N239" s="411">
        <v>3703.06</v>
      </c>
      <c r="O239" s="388">
        <f t="shared" si="30"/>
        <v>3.5365757816374632E-3</v>
      </c>
      <c r="P239" s="3">
        <v>39.729999999999997</v>
      </c>
      <c r="Q239" s="388">
        <f t="shared" si="31"/>
        <v>-1.2673956262425623E-2</v>
      </c>
    </row>
    <row r="240" spans="1:17">
      <c r="A240" s="408">
        <v>44188</v>
      </c>
      <c r="B240" s="411">
        <v>3690.01</v>
      </c>
      <c r="C240" s="418">
        <f t="shared" si="24"/>
        <v>7.4581125280026583E-4</v>
      </c>
      <c r="D240" s="411">
        <v>40.24</v>
      </c>
      <c r="E240" s="418">
        <f t="shared" si="25"/>
        <v>3.33846944016436E-2</v>
      </c>
      <c r="F240" s="411">
        <v>3690.01</v>
      </c>
      <c r="G240" s="418">
        <f t="shared" si="26"/>
        <v>7.4581125280026583E-4</v>
      </c>
      <c r="H240" s="411">
        <v>40.24</v>
      </c>
      <c r="I240" s="418">
        <f t="shared" si="27"/>
        <v>3.33846944016436E-2</v>
      </c>
      <c r="J240" s="411">
        <v>3690.01</v>
      </c>
      <c r="K240" s="418">
        <f t="shared" si="28"/>
        <v>7.4581125280026583E-4</v>
      </c>
      <c r="L240" s="411">
        <v>40.24</v>
      </c>
      <c r="M240" s="418">
        <f t="shared" si="29"/>
        <v>3.33846944016436E-2</v>
      </c>
      <c r="N240" s="411">
        <v>3690.01</v>
      </c>
      <c r="O240" s="388">
        <f t="shared" si="30"/>
        <v>7.4581125280026583E-4</v>
      </c>
      <c r="P240" s="3">
        <v>40.24</v>
      </c>
      <c r="Q240" s="388">
        <f t="shared" si="31"/>
        <v>3.33846944016436E-2</v>
      </c>
    </row>
    <row r="241" spans="1:17">
      <c r="A241" s="408">
        <v>44187</v>
      </c>
      <c r="B241" s="411">
        <v>3687.26</v>
      </c>
      <c r="C241" s="418">
        <f t="shared" si="24"/>
        <v>-2.0731166033364223E-3</v>
      </c>
      <c r="D241" s="411">
        <v>38.94</v>
      </c>
      <c r="E241" s="418">
        <f t="shared" si="25"/>
        <v>-2.9895366218236297E-2</v>
      </c>
      <c r="F241" s="411">
        <v>3687.26</v>
      </c>
      <c r="G241" s="418">
        <f t="shared" si="26"/>
        <v>-2.0731166033364223E-3</v>
      </c>
      <c r="H241" s="411">
        <v>38.94</v>
      </c>
      <c r="I241" s="418">
        <f t="shared" si="27"/>
        <v>-2.9895366218236297E-2</v>
      </c>
      <c r="J241" s="411">
        <v>3687.26</v>
      </c>
      <c r="K241" s="418">
        <f t="shared" si="28"/>
        <v>-2.0731166033364223E-3</v>
      </c>
      <c r="L241" s="411">
        <v>38.94</v>
      </c>
      <c r="M241" s="418">
        <f t="shared" si="29"/>
        <v>-2.9895366218236297E-2</v>
      </c>
      <c r="N241" s="411">
        <v>3687.26</v>
      </c>
      <c r="O241" s="388">
        <f t="shared" si="30"/>
        <v>-2.0731166033364223E-3</v>
      </c>
      <c r="P241" s="3">
        <v>38.94</v>
      </c>
      <c r="Q241" s="388">
        <f t="shared" si="31"/>
        <v>-2.9895366218236297E-2</v>
      </c>
    </row>
    <row r="242" spans="1:17">
      <c r="A242" s="408">
        <v>44186</v>
      </c>
      <c r="B242" s="411">
        <v>3694.92</v>
      </c>
      <c r="C242" s="418">
        <f t="shared" si="24"/>
        <v>-3.9062815919512772E-3</v>
      </c>
      <c r="D242" s="411">
        <v>40.14</v>
      </c>
      <c r="E242" s="418">
        <f t="shared" si="25"/>
        <v>-1.3274336283185861E-2</v>
      </c>
      <c r="F242" s="411">
        <v>3694.92</v>
      </c>
      <c r="G242" s="418">
        <f t="shared" si="26"/>
        <v>-3.9062815919512772E-3</v>
      </c>
      <c r="H242" s="411">
        <v>40.14</v>
      </c>
      <c r="I242" s="418">
        <f t="shared" si="27"/>
        <v>-1.3274336283185861E-2</v>
      </c>
      <c r="J242" s="411">
        <v>3694.92</v>
      </c>
      <c r="K242" s="418">
        <f t="shared" si="28"/>
        <v>-3.9062815919512772E-3</v>
      </c>
      <c r="L242" s="411">
        <v>40.14</v>
      </c>
      <c r="M242" s="418">
        <f t="shared" si="29"/>
        <v>-1.3274336283185861E-2</v>
      </c>
      <c r="N242" s="411">
        <v>3694.92</v>
      </c>
      <c r="O242" s="388">
        <f t="shared" si="30"/>
        <v>-3.9062815919512772E-3</v>
      </c>
      <c r="P242" s="3">
        <v>40.14</v>
      </c>
      <c r="Q242" s="388">
        <f t="shared" si="31"/>
        <v>-1.3274336283185861E-2</v>
      </c>
    </row>
    <row r="243" spans="1:17">
      <c r="A243" s="408">
        <v>44183</v>
      </c>
      <c r="B243" s="411">
        <v>3709.41</v>
      </c>
      <c r="C243" s="418">
        <f t="shared" si="24"/>
        <v>-3.5111001267972286E-3</v>
      </c>
      <c r="D243" s="411">
        <v>40.68</v>
      </c>
      <c r="E243" s="418">
        <f t="shared" si="25"/>
        <v>-1.0459742155193408E-2</v>
      </c>
      <c r="F243" s="411">
        <v>3709.41</v>
      </c>
      <c r="G243" s="418">
        <f t="shared" si="26"/>
        <v>-3.5111001267972286E-3</v>
      </c>
      <c r="H243" s="411">
        <v>40.68</v>
      </c>
      <c r="I243" s="418">
        <f t="shared" si="27"/>
        <v>-1.0459742155193408E-2</v>
      </c>
      <c r="J243" s="411">
        <v>3709.41</v>
      </c>
      <c r="K243" s="418">
        <f t="shared" si="28"/>
        <v>-3.5111001267972286E-3</v>
      </c>
      <c r="L243" s="411">
        <v>40.68</v>
      </c>
      <c r="M243" s="418">
        <f t="shared" si="29"/>
        <v>-1.0459742155193408E-2</v>
      </c>
      <c r="N243" s="411">
        <v>3709.41</v>
      </c>
      <c r="O243" s="388">
        <f t="shared" si="30"/>
        <v>-3.5111001267972286E-3</v>
      </c>
      <c r="P243" s="3">
        <v>40.68</v>
      </c>
      <c r="Q243" s="388">
        <f t="shared" si="31"/>
        <v>-1.0459742155193408E-2</v>
      </c>
    </row>
    <row r="244" spans="1:17">
      <c r="A244" s="408">
        <v>44182</v>
      </c>
      <c r="B244" s="411">
        <v>3722.48</v>
      </c>
      <c r="C244" s="418">
        <f t="shared" si="24"/>
        <v>5.7576388007034573E-3</v>
      </c>
      <c r="D244" s="411">
        <v>41.11</v>
      </c>
      <c r="E244" s="418">
        <f t="shared" si="25"/>
        <v>7.3028237585193168E-4</v>
      </c>
      <c r="F244" s="411">
        <v>3722.48</v>
      </c>
      <c r="G244" s="418">
        <f t="shared" si="26"/>
        <v>5.7576388007034573E-3</v>
      </c>
      <c r="H244" s="411">
        <v>41.11</v>
      </c>
      <c r="I244" s="418">
        <f t="shared" si="27"/>
        <v>7.3028237585193168E-4</v>
      </c>
      <c r="J244" s="411">
        <v>3722.48</v>
      </c>
      <c r="K244" s="418">
        <f t="shared" si="28"/>
        <v>5.7576388007034573E-3</v>
      </c>
      <c r="L244" s="411">
        <v>41.11</v>
      </c>
      <c r="M244" s="418">
        <f t="shared" si="29"/>
        <v>7.3028237585193168E-4</v>
      </c>
      <c r="N244" s="411">
        <v>3722.48</v>
      </c>
      <c r="O244" s="388">
        <f t="shared" si="30"/>
        <v>5.7576388007034573E-3</v>
      </c>
      <c r="P244" s="3">
        <v>41.11</v>
      </c>
      <c r="Q244" s="388">
        <f t="shared" si="31"/>
        <v>7.3028237585193168E-4</v>
      </c>
    </row>
    <row r="245" spans="1:17">
      <c r="A245" s="408">
        <v>44181</v>
      </c>
      <c r="B245" s="411">
        <v>3701.17</v>
      </c>
      <c r="C245" s="418">
        <f t="shared" si="24"/>
        <v>1.7728480872187813E-3</v>
      </c>
      <c r="D245" s="411">
        <v>41.08</v>
      </c>
      <c r="E245" s="418">
        <f t="shared" si="25"/>
        <v>-1.8399044205495874E-2</v>
      </c>
      <c r="F245" s="411">
        <v>3701.17</v>
      </c>
      <c r="G245" s="418">
        <f t="shared" si="26"/>
        <v>1.7728480872187813E-3</v>
      </c>
      <c r="H245" s="411">
        <v>41.08</v>
      </c>
      <c r="I245" s="418">
        <f t="shared" si="27"/>
        <v>-1.8399044205495874E-2</v>
      </c>
      <c r="J245" s="411">
        <v>3701.17</v>
      </c>
      <c r="K245" s="418">
        <f t="shared" si="28"/>
        <v>1.7728480872187813E-3</v>
      </c>
      <c r="L245" s="411">
        <v>41.08</v>
      </c>
      <c r="M245" s="418">
        <f t="shared" si="29"/>
        <v>-1.8399044205495874E-2</v>
      </c>
      <c r="N245" s="411">
        <v>3701.17</v>
      </c>
      <c r="O245" s="388">
        <f t="shared" si="30"/>
        <v>1.7728480872187813E-3</v>
      </c>
      <c r="P245" s="3">
        <v>41.08</v>
      </c>
      <c r="Q245" s="388">
        <f t="shared" si="31"/>
        <v>-1.8399044205495874E-2</v>
      </c>
    </row>
    <row r="246" spans="1:17">
      <c r="A246" s="408">
        <v>44180</v>
      </c>
      <c r="B246" s="411">
        <v>3694.62</v>
      </c>
      <c r="C246" s="418">
        <f t="shared" si="24"/>
        <v>1.2921214314501217E-2</v>
      </c>
      <c r="D246" s="411">
        <v>41.85</v>
      </c>
      <c r="E246" s="418">
        <f t="shared" si="25"/>
        <v>2.8508232981076631E-2</v>
      </c>
      <c r="F246" s="411">
        <v>3694.62</v>
      </c>
      <c r="G246" s="418">
        <f t="shared" si="26"/>
        <v>1.2921214314501217E-2</v>
      </c>
      <c r="H246" s="411">
        <v>41.85</v>
      </c>
      <c r="I246" s="418">
        <f t="shared" si="27"/>
        <v>2.8508232981076631E-2</v>
      </c>
      <c r="J246" s="411">
        <v>3694.62</v>
      </c>
      <c r="K246" s="418">
        <f t="shared" si="28"/>
        <v>1.2921214314501217E-2</v>
      </c>
      <c r="L246" s="411">
        <v>41.85</v>
      </c>
      <c r="M246" s="418">
        <f t="shared" si="29"/>
        <v>2.8508232981076631E-2</v>
      </c>
      <c r="N246" s="411">
        <v>3694.62</v>
      </c>
      <c r="O246" s="388">
        <f t="shared" si="30"/>
        <v>1.2921214314501217E-2</v>
      </c>
      <c r="P246" s="3">
        <v>41.85</v>
      </c>
      <c r="Q246" s="388">
        <f t="shared" si="31"/>
        <v>2.8508232981076631E-2</v>
      </c>
    </row>
    <row r="247" spans="1:17">
      <c r="A247" s="408">
        <v>44179</v>
      </c>
      <c r="B247" s="411">
        <v>3647.49</v>
      </c>
      <c r="C247" s="418">
        <f t="shared" si="24"/>
        <v>-4.359266922526861E-3</v>
      </c>
      <c r="D247" s="411">
        <v>40.69</v>
      </c>
      <c r="E247" s="418">
        <f t="shared" si="25"/>
        <v>-2.5155725922376693E-2</v>
      </c>
      <c r="F247" s="411">
        <v>3647.49</v>
      </c>
      <c r="G247" s="418">
        <f t="shared" si="26"/>
        <v>-4.359266922526861E-3</v>
      </c>
      <c r="H247" s="411">
        <v>40.69</v>
      </c>
      <c r="I247" s="418">
        <f t="shared" si="27"/>
        <v>-2.5155725922376693E-2</v>
      </c>
      <c r="J247" s="411">
        <v>3647.49</v>
      </c>
      <c r="K247" s="418">
        <f t="shared" si="28"/>
        <v>-4.359266922526861E-3</v>
      </c>
      <c r="L247" s="411">
        <v>40.69</v>
      </c>
      <c r="M247" s="418">
        <f t="shared" si="29"/>
        <v>-2.5155725922376693E-2</v>
      </c>
      <c r="N247" s="411">
        <v>3647.49</v>
      </c>
      <c r="O247" s="388">
        <f t="shared" si="30"/>
        <v>-4.359266922526861E-3</v>
      </c>
      <c r="P247" s="3">
        <v>40.69</v>
      </c>
      <c r="Q247" s="388">
        <f t="shared" si="31"/>
        <v>-2.5155725922376693E-2</v>
      </c>
    </row>
    <row r="248" spans="1:17">
      <c r="A248" s="408">
        <v>44176</v>
      </c>
      <c r="B248" s="411">
        <v>3663.46</v>
      </c>
      <c r="C248" s="418">
        <f t="shared" si="24"/>
        <v>-1.264960061067022E-3</v>
      </c>
      <c r="D248" s="411">
        <v>41.74</v>
      </c>
      <c r="E248" s="418">
        <f t="shared" si="25"/>
        <v>-2.0647583294228E-2</v>
      </c>
      <c r="F248" s="411">
        <v>3663.46</v>
      </c>
      <c r="G248" s="418">
        <f t="shared" si="26"/>
        <v>-1.264960061067022E-3</v>
      </c>
      <c r="H248" s="411">
        <v>41.74</v>
      </c>
      <c r="I248" s="418">
        <f t="shared" si="27"/>
        <v>-2.0647583294228E-2</v>
      </c>
      <c r="J248" s="411">
        <v>3663.46</v>
      </c>
      <c r="K248" s="418">
        <f t="shared" si="28"/>
        <v>-1.264960061067022E-3</v>
      </c>
      <c r="L248" s="411">
        <v>41.74</v>
      </c>
      <c r="M248" s="418">
        <f t="shared" si="29"/>
        <v>-2.0647583294228E-2</v>
      </c>
      <c r="N248" s="411">
        <v>3663.46</v>
      </c>
      <c r="O248" s="388">
        <f t="shared" si="30"/>
        <v>-1.264960061067022E-3</v>
      </c>
      <c r="P248" s="3">
        <v>41.74</v>
      </c>
      <c r="Q248" s="388">
        <f t="shared" si="31"/>
        <v>-2.0647583294228E-2</v>
      </c>
    </row>
    <row r="249" spans="1:17">
      <c r="A249" s="408">
        <v>44175</v>
      </c>
      <c r="B249" s="411">
        <v>3668.1</v>
      </c>
      <c r="C249" s="418">
        <f t="shared" si="24"/>
        <v>-1.2851160688518437E-3</v>
      </c>
      <c r="D249" s="411">
        <v>42.62</v>
      </c>
      <c r="E249" s="418">
        <f t="shared" si="25"/>
        <v>1.2111137497031521E-2</v>
      </c>
      <c r="F249" s="411">
        <v>3668.1</v>
      </c>
      <c r="G249" s="418">
        <f t="shared" si="26"/>
        <v>-1.2851160688518437E-3</v>
      </c>
      <c r="H249" s="411">
        <v>42.62</v>
      </c>
      <c r="I249" s="418">
        <f t="shared" si="27"/>
        <v>1.2111137497031521E-2</v>
      </c>
      <c r="J249" s="411">
        <v>3668.1</v>
      </c>
      <c r="K249" s="418">
        <f t="shared" si="28"/>
        <v>-1.2851160688518437E-3</v>
      </c>
      <c r="L249" s="411">
        <v>42.62</v>
      </c>
      <c r="M249" s="418">
        <f t="shared" si="29"/>
        <v>1.2111137497031521E-2</v>
      </c>
      <c r="N249" s="411">
        <v>3668.1</v>
      </c>
      <c r="O249" s="388">
        <f t="shared" si="30"/>
        <v>-1.2851160688518437E-3</v>
      </c>
      <c r="P249" s="3">
        <v>42.62</v>
      </c>
      <c r="Q249" s="388">
        <f t="shared" si="31"/>
        <v>1.2111137497031521E-2</v>
      </c>
    </row>
    <row r="250" spans="1:17">
      <c r="A250" s="408">
        <v>44174</v>
      </c>
      <c r="B250" s="411">
        <v>3672.82</v>
      </c>
      <c r="C250" s="418">
        <f t="shared" si="24"/>
        <v>-7.9492200688769943E-3</v>
      </c>
      <c r="D250" s="411">
        <v>42.11</v>
      </c>
      <c r="E250" s="418">
        <f t="shared" si="25"/>
        <v>-7.0738033482669049E-3</v>
      </c>
      <c r="F250" s="411">
        <v>3672.82</v>
      </c>
      <c r="G250" s="418">
        <f t="shared" si="26"/>
        <v>-7.9492200688769943E-3</v>
      </c>
      <c r="H250" s="411">
        <v>42.11</v>
      </c>
      <c r="I250" s="418">
        <f t="shared" si="27"/>
        <v>-7.0738033482669049E-3</v>
      </c>
      <c r="J250" s="411">
        <v>3672.82</v>
      </c>
      <c r="K250" s="418">
        <f t="shared" si="28"/>
        <v>-7.9492200688769943E-3</v>
      </c>
      <c r="L250" s="411">
        <v>42.11</v>
      </c>
      <c r="M250" s="418">
        <f t="shared" si="29"/>
        <v>-7.0738033482669049E-3</v>
      </c>
      <c r="N250" s="411">
        <v>3672.82</v>
      </c>
      <c r="O250" s="388">
        <f t="shared" si="30"/>
        <v>-7.9492200688769943E-3</v>
      </c>
      <c r="P250" s="3">
        <v>42.11</v>
      </c>
      <c r="Q250" s="388">
        <f t="shared" si="31"/>
        <v>-7.0738033482669049E-3</v>
      </c>
    </row>
    <row r="251" spans="1:17">
      <c r="A251" s="408">
        <v>44173</v>
      </c>
      <c r="B251" s="411">
        <v>3702.25</v>
      </c>
      <c r="C251" s="418">
        <f t="shared" si="24"/>
        <v>2.7871374554437889E-3</v>
      </c>
      <c r="D251" s="411">
        <v>42.41</v>
      </c>
      <c r="E251" s="418">
        <f t="shared" si="25"/>
        <v>1.4167650531284881E-3</v>
      </c>
      <c r="F251" s="411">
        <v>3702.25</v>
      </c>
      <c r="G251" s="418">
        <f t="shared" si="26"/>
        <v>2.7871374554437889E-3</v>
      </c>
      <c r="H251" s="411">
        <v>42.41</v>
      </c>
      <c r="I251" s="418">
        <f t="shared" si="27"/>
        <v>1.4167650531284881E-3</v>
      </c>
      <c r="J251" s="411">
        <v>3702.25</v>
      </c>
      <c r="K251" s="418">
        <f t="shared" si="28"/>
        <v>2.7871374554437889E-3</v>
      </c>
      <c r="L251" s="411">
        <v>42.41</v>
      </c>
      <c r="M251" s="418">
        <f t="shared" si="29"/>
        <v>1.4167650531284881E-3</v>
      </c>
      <c r="N251" s="411">
        <v>3702.25</v>
      </c>
      <c r="O251" s="388">
        <f t="shared" si="30"/>
        <v>2.7871374554437889E-3</v>
      </c>
      <c r="P251" s="3">
        <v>42.41</v>
      </c>
      <c r="Q251" s="388">
        <f t="shared" si="31"/>
        <v>1.4167650531284881E-3</v>
      </c>
    </row>
    <row r="252" spans="1:17">
      <c r="A252" s="408">
        <v>44172</v>
      </c>
      <c r="B252" s="411">
        <v>3691.96</v>
      </c>
      <c r="C252" s="418">
        <f t="shared" si="24"/>
        <v>-1.9355954929820562E-3</v>
      </c>
      <c r="D252" s="411">
        <v>42.35</v>
      </c>
      <c r="E252" s="418">
        <f t="shared" si="25"/>
        <v>-2.3607176581674771E-4</v>
      </c>
      <c r="F252" s="411">
        <v>3691.96</v>
      </c>
      <c r="G252" s="418">
        <f t="shared" si="26"/>
        <v>-1.9355954929820562E-3</v>
      </c>
      <c r="H252" s="411">
        <v>42.35</v>
      </c>
      <c r="I252" s="418">
        <f t="shared" si="27"/>
        <v>-2.3607176581674771E-4</v>
      </c>
      <c r="J252" s="411">
        <v>3691.96</v>
      </c>
      <c r="K252" s="418">
        <f t="shared" si="28"/>
        <v>-1.9355954929820562E-3</v>
      </c>
      <c r="L252" s="411">
        <v>42.35</v>
      </c>
      <c r="M252" s="418">
        <f t="shared" si="29"/>
        <v>-2.3607176581674771E-4</v>
      </c>
      <c r="N252" s="411">
        <v>3691.96</v>
      </c>
      <c r="O252" s="388">
        <f t="shared" si="30"/>
        <v>-1.9355954929820562E-3</v>
      </c>
      <c r="P252" s="3">
        <v>42.35</v>
      </c>
      <c r="Q252" s="388">
        <f t="shared" si="31"/>
        <v>-2.3607176581674771E-4</v>
      </c>
    </row>
    <row r="253" spans="1:17">
      <c r="A253" s="408">
        <v>44169</v>
      </c>
      <c r="B253" s="411">
        <v>3699.12</v>
      </c>
      <c r="C253" s="418">
        <f t="shared" si="24"/>
        <v>8.8362351093074221E-3</v>
      </c>
      <c r="D253" s="411">
        <v>42.36</v>
      </c>
      <c r="E253" s="418">
        <f t="shared" si="25"/>
        <v>-1.3736903376018739E-2</v>
      </c>
      <c r="F253" s="411">
        <v>3699.12</v>
      </c>
      <c r="G253" s="418">
        <f t="shared" si="26"/>
        <v>8.8362351093074221E-3</v>
      </c>
      <c r="H253" s="411">
        <v>42.36</v>
      </c>
      <c r="I253" s="418">
        <f t="shared" si="27"/>
        <v>-1.3736903376018739E-2</v>
      </c>
      <c r="J253" s="411">
        <v>3699.12</v>
      </c>
      <c r="K253" s="418">
        <f t="shared" si="28"/>
        <v>8.8362351093074221E-3</v>
      </c>
      <c r="L253" s="411">
        <v>42.36</v>
      </c>
      <c r="M253" s="418">
        <f t="shared" si="29"/>
        <v>-1.3736903376018739E-2</v>
      </c>
      <c r="N253" s="411">
        <v>3699.12</v>
      </c>
      <c r="O253" s="388">
        <f t="shared" si="30"/>
        <v>8.8362351093074221E-3</v>
      </c>
      <c r="P253" s="3">
        <v>42.36</v>
      </c>
      <c r="Q253" s="388">
        <f t="shared" si="31"/>
        <v>-1.3736903376018739E-2</v>
      </c>
    </row>
    <row r="254" spans="1:17">
      <c r="A254" s="408">
        <v>44168</v>
      </c>
      <c r="B254" s="411">
        <v>3666.72</v>
      </c>
      <c r="C254" s="418">
        <f t="shared" si="24"/>
        <v>-6.241465681479097E-4</v>
      </c>
      <c r="D254" s="411">
        <v>42.95</v>
      </c>
      <c r="E254" s="418">
        <f t="shared" si="25"/>
        <v>4.5775505234964653E-2</v>
      </c>
      <c r="F254" s="411">
        <v>3666.72</v>
      </c>
      <c r="G254" s="418">
        <f t="shared" si="26"/>
        <v>-6.241465681479097E-4</v>
      </c>
      <c r="H254" s="411">
        <v>42.95</v>
      </c>
      <c r="I254" s="418">
        <f t="shared" si="27"/>
        <v>4.5775505234964653E-2</v>
      </c>
      <c r="J254" s="411">
        <v>3666.72</v>
      </c>
      <c r="K254" s="418">
        <f t="shared" si="28"/>
        <v>-6.241465681479097E-4</v>
      </c>
      <c r="L254" s="411">
        <v>42.95</v>
      </c>
      <c r="M254" s="418">
        <f t="shared" si="29"/>
        <v>4.5775505234964653E-2</v>
      </c>
      <c r="N254" s="411">
        <v>3666.72</v>
      </c>
      <c r="O254" s="388">
        <f t="shared" si="30"/>
        <v>-6.241465681479097E-4</v>
      </c>
      <c r="P254" s="3">
        <v>42.95</v>
      </c>
      <c r="Q254" s="388">
        <f t="shared" si="31"/>
        <v>4.5775505234964653E-2</v>
      </c>
    </row>
    <row r="255" spans="1:17">
      <c r="A255" s="408">
        <v>44167</v>
      </c>
      <c r="B255" s="411">
        <v>3669.01</v>
      </c>
      <c r="C255" s="418">
        <f t="shared" si="24"/>
        <v>1.7911507324332998E-3</v>
      </c>
      <c r="D255" s="411">
        <v>41.07</v>
      </c>
      <c r="E255" s="418">
        <f t="shared" si="25"/>
        <v>2.7777777777777679E-2</v>
      </c>
      <c r="F255" s="411">
        <v>3669.01</v>
      </c>
      <c r="G255" s="418">
        <f t="shared" si="26"/>
        <v>1.7911507324332998E-3</v>
      </c>
      <c r="H255" s="411">
        <v>41.07</v>
      </c>
      <c r="I255" s="418">
        <f t="shared" si="27"/>
        <v>2.7777777777777679E-2</v>
      </c>
      <c r="J255" s="411">
        <v>3669.01</v>
      </c>
      <c r="K255" s="418">
        <f t="shared" si="28"/>
        <v>1.7911507324332998E-3</v>
      </c>
      <c r="L255" s="411">
        <v>41.07</v>
      </c>
      <c r="M255" s="418">
        <f t="shared" si="29"/>
        <v>2.7777777777777679E-2</v>
      </c>
      <c r="N255" s="411">
        <v>3669.01</v>
      </c>
      <c r="O255" s="388">
        <f t="shared" si="30"/>
        <v>1.7911507324332998E-3</v>
      </c>
      <c r="P255" s="3">
        <v>41.07</v>
      </c>
      <c r="Q255" s="388">
        <f t="shared" si="31"/>
        <v>2.7777777777777679E-2</v>
      </c>
    </row>
    <row r="256" spans="1:17">
      <c r="A256" s="408">
        <v>44166</v>
      </c>
      <c r="B256" s="411">
        <v>3662.45</v>
      </c>
      <c r="C256" s="418">
        <f t="shared" si="24"/>
        <v>1.1271167954760575E-2</v>
      </c>
      <c r="D256" s="411">
        <v>39.96</v>
      </c>
      <c r="E256" s="418">
        <f t="shared" si="25"/>
        <v>-7.204968944099388E-3</v>
      </c>
      <c r="F256" s="411">
        <v>3662.45</v>
      </c>
      <c r="G256" s="418">
        <f t="shared" si="26"/>
        <v>1.1271167954760575E-2</v>
      </c>
      <c r="H256" s="411">
        <v>39.96</v>
      </c>
      <c r="I256" s="418">
        <f t="shared" si="27"/>
        <v>-7.204968944099388E-3</v>
      </c>
      <c r="J256" s="411">
        <v>3662.45</v>
      </c>
      <c r="K256" s="418">
        <f t="shared" si="28"/>
        <v>1.1271167954760575E-2</v>
      </c>
      <c r="L256" s="411">
        <v>39.96</v>
      </c>
      <c r="M256" s="418">
        <f t="shared" si="29"/>
        <v>-7.204968944099388E-3</v>
      </c>
      <c r="N256" s="411">
        <v>3662.45</v>
      </c>
      <c r="O256" s="418">
        <f>IFERROR(N256/N257-1,"")</f>
        <v>1.1271167954760575E-2</v>
      </c>
      <c r="P256" s="3">
        <v>39.96</v>
      </c>
      <c r="Q256" s="418">
        <f>IFERROR(P256/P257-1,"")</f>
        <v>-7.204968944099388E-3</v>
      </c>
    </row>
    <row r="257" spans="1:17">
      <c r="A257" s="408">
        <v>44165</v>
      </c>
      <c r="B257" s="411">
        <v>3621.63</v>
      </c>
      <c r="C257" s="418">
        <f t="shared" si="24"/>
        <v>-4.5954897137437944E-3</v>
      </c>
      <c r="D257" s="411">
        <v>40.25</v>
      </c>
      <c r="E257" s="418">
        <f t="shared" si="25"/>
        <v>-1.9727228446176359E-2</v>
      </c>
      <c r="F257" s="411">
        <v>3621.63</v>
      </c>
      <c r="G257" s="418">
        <f t="shared" si="26"/>
        <v>-4.5954897137437944E-3</v>
      </c>
      <c r="H257" s="411">
        <v>40.25</v>
      </c>
      <c r="I257" s="418">
        <f t="shared" si="27"/>
        <v>-1.9727228446176359E-2</v>
      </c>
      <c r="J257" s="411">
        <v>3621.63</v>
      </c>
      <c r="K257" s="418">
        <f t="shared" si="28"/>
        <v>-4.5954897137437944E-3</v>
      </c>
      <c r="L257" s="411">
        <v>40.25</v>
      </c>
      <c r="M257" s="418">
        <f t="shared" si="29"/>
        <v>-1.9727228446176359E-2</v>
      </c>
      <c r="N257" s="411">
        <v>3621.63</v>
      </c>
      <c r="O257" s="418">
        <f t="shared" ref="O257" si="32">IFERROR(N257/N258-1,"")</f>
        <v>-4.5954897137437944E-3</v>
      </c>
      <c r="P257" s="3">
        <v>40.25</v>
      </c>
      <c r="Q257" s="418">
        <f t="shared" ref="Q257" si="33">IFERROR(P257/P258-1,"")</f>
        <v>-1.9727228446176359E-2</v>
      </c>
    </row>
    <row r="258" spans="1:17">
      <c r="A258" s="408">
        <v>44162</v>
      </c>
      <c r="B258" s="411">
        <v>3638.35</v>
      </c>
      <c r="C258" s="418">
        <f t="shared" si="24"/>
        <v>2.3969253233782073E-3</v>
      </c>
      <c r="D258" s="411">
        <v>41.06</v>
      </c>
      <c r="E258" s="418">
        <f t="shared" si="25"/>
        <v>-5.570356018406275E-3</v>
      </c>
      <c r="F258" s="411">
        <v>3638.35</v>
      </c>
      <c r="G258" s="418">
        <f t="shared" si="26"/>
        <v>2.3969253233782073E-3</v>
      </c>
      <c r="H258" s="411">
        <v>41.06</v>
      </c>
      <c r="I258" s="418">
        <f t="shared" si="27"/>
        <v>-5.570356018406275E-3</v>
      </c>
      <c r="J258" s="411">
        <v>3638.35</v>
      </c>
      <c r="K258" s="418">
        <f t="shared" si="28"/>
        <v>2.3969253233782073E-3</v>
      </c>
      <c r="L258" s="411">
        <v>41.06</v>
      </c>
      <c r="M258" s="418">
        <f t="shared" si="29"/>
        <v>-5.570356018406275E-3</v>
      </c>
      <c r="N258" s="411">
        <v>3638.35</v>
      </c>
      <c r="O258" s="418">
        <f t="shared" ref="O258" si="34">IFERROR(N258/N259-1,"")</f>
        <v>2.3969253233782073E-3</v>
      </c>
      <c r="P258" s="3">
        <v>41.06</v>
      </c>
      <c r="Q258" s="418">
        <f t="shared" ref="Q258" si="35">IFERROR(P258/P259-1,"")</f>
        <v>-5.570356018406275E-3</v>
      </c>
    </row>
    <row r="259" spans="1:17">
      <c r="A259" s="408">
        <v>44160</v>
      </c>
      <c r="B259" s="411">
        <v>3629.65</v>
      </c>
      <c r="C259" s="418">
        <f t="shared" si="24"/>
        <v>-1.5844155129681736E-3</v>
      </c>
      <c r="D259" s="411">
        <v>41.29</v>
      </c>
      <c r="E259" s="418">
        <f t="shared" si="25"/>
        <v>7.2709646146384976E-4</v>
      </c>
      <c r="F259" s="411">
        <v>3629.65</v>
      </c>
      <c r="G259" s="418">
        <f t="shared" si="26"/>
        <v>-1.5844155129681736E-3</v>
      </c>
      <c r="H259" s="411">
        <v>41.29</v>
      </c>
      <c r="I259" s="418">
        <f t="shared" si="27"/>
        <v>7.2709646146384976E-4</v>
      </c>
      <c r="J259" s="411">
        <v>3629.65</v>
      </c>
      <c r="K259" s="418">
        <f t="shared" si="28"/>
        <v>-1.5844155129681736E-3</v>
      </c>
      <c r="L259" s="411">
        <v>41.29</v>
      </c>
      <c r="M259" s="418">
        <f t="shared" si="29"/>
        <v>7.2709646146384976E-4</v>
      </c>
      <c r="N259" s="411">
        <v>3629.65</v>
      </c>
      <c r="O259" s="418">
        <f t="shared" ref="O259" si="36">IFERROR(N259/N260-1,"")</f>
        <v>-1.5844155129681736E-3</v>
      </c>
      <c r="P259" s="3">
        <v>41.29</v>
      </c>
      <c r="Q259" s="418">
        <f t="shared" ref="Q259" si="37">IFERROR(P259/P260-1,"")</f>
        <v>7.2709646146384976E-4</v>
      </c>
    </row>
    <row r="260" spans="1:17">
      <c r="A260" s="408">
        <v>44159</v>
      </c>
      <c r="B260" s="411">
        <v>3635.41</v>
      </c>
      <c r="C260" s="418">
        <f t="shared" si="24"/>
        <v>1.6161717804443754E-2</v>
      </c>
      <c r="D260" s="411">
        <v>41.26</v>
      </c>
      <c r="E260" s="418">
        <f t="shared" si="25"/>
        <v>6.3676205207527703E-2</v>
      </c>
      <c r="F260" s="411">
        <v>3635.41</v>
      </c>
      <c r="G260" s="418">
        <f t="shared" si="26"/>
        <v>1.6161717804443754E-2</v>
      </c>
      <c r="H260" s="411">
        <v>41.26</v>
      </c>
      <c r="I260" s="418">
        <f t="shared" si="27"/>
        <v>6.3676205207527703E-2</v>
      </c>
      <c r="J260" s="411">
        <v>3635.41</v>
      </c>
      <c r="K260" s="418">
        <f t="shared" si="28"/>
        <v>1.6161717804443754E-2</v>
      </c>
      <c r="L260" s="411">
        <v>41.26</v>
      </c>
      <c r="M260" s="418">
        <f t="shared" si="29"/>
        <v>6.3676205207527703E-2</v>
      </c>
      <c r="N260" s="411">
        <v>3635.41</v>
      </c>
      <c r="O260" s="418" t="str">
        <f t="shared" ref="O260" si="38">IFERROR(N260/N261-1,"")</f>
        <v/>
      </c>
      <c r="P260" s="3">
        <v>41.26</v>
      </c>
      <c r="Q260" s="418" t="str">
        <f t="shared" ref="Q260" si="39">IFERROR(P260/P261-1,"")</f>
        <v/>
      </c>
    </row>
    <row r="261" spans="1:17">
      <c r="A261" s="408">
        <v>44158</v>
      </c>
      <c r="B261" s="411">
        <v>3577.59</v>
      </c>
      <c r="C261" s="418">
        <f t="shared" si="24"/>
        <v>5.6359169538502396E-3</v>
      </c>
      <c r="D261" s="411">
        <v>38.79</v>
      </c>
      <c r="E261" s="418">
        <f t="shared" si="25"/>
        <v>4.4707783463506567E-2</v>
      </c>
      <c r="F261" s="411">
        <v>3577.59</v>
      </c>
      <c r="G261" s="418">
        <f t="shared" si="26"/>
        <v>5.6359169538502396E-3</v>
      </c>
      <c r="H261" s="411">
        <v>38.79</v>
      </c>
      <c r="I261" s="418">
        <f t="shared" si="27"/>
        <v>4.4707783463506567E-2</v>
      </c>
      <c r="J261" s="411">
        <v>3577.59</v>
      </c>
      <c r="K261" s="418">
        <f t="shared" si="28"/>
        <v>5.6359169538502396E-3</v>
      </c>
      <c r="L261" s="411">
        <v>38.79</v>
      </c>
      <c r="M261" s="418">
        <f t="shared" si="29"/>
        <v>4.4707783463506567E-2</v>
      </c>
      <c r="N261" s="411"/>
      <c r="O261" s="418" t="str">
        <f t="shared" ref="O261" si="40">IFERROR(N261/N262-1,"")</f>
        <v/>
      </c>
      <c r="Q261" s="418" t="str">
        <f t="shared" ref="Q261" si="41">IFERROR(P261/P262-1,"")</f>
        <v/>
      </c>
    </row>
    <row r="262" spans="1:17">
      <c r="A262" s="408">
        <v>44155</v>
      </c>
      <c r="B262" s="411">
        <v>3557.54</v>
      </c>
      <c r="C262" s="418">
        <f t="shared" si="24"/>
        <v>-6.7925413261787915E-3</v>
      </c>
      <c r="D262" s="411">
        <v>37.130000000000003</v>
      </c>
      <c r="E262" s="418">
        <f t="shared" si="25"/>
        <v>-2.0575046161962374E-2</v>
      </c>
      <c r="F262" s="411">
        <v>3557.54</v>
      </c>
      <c r="G262" s="418">
        <f t="shared" si="26"/>
        <v>-6.7925413261787915E-3</v>
      </c>
      <c r="H262" s="411">
        <v>37.130000000000003</v>
      </c>
      <c r="I262" s="418">
        <f t="shared" si="27"/>
        <v>-2.0575046161962374E-2</v>
      </c>
      <c r="J262" s="411">
        <v>3557.54</v>
      </c>
      <c r="K262" s="418">
        <f t="shared" si="28"/>
        <v>-6.7925413261787915E-3</v>
      </c>
      <c r="L262" s="411">
        <v>37.130000000000003</v>
      </c>
      <c r="M262" s="418">
        <f t="shared" si="29"/>
        <v>-2.0575046161962374E-2</v>
      </c>
      <c r="N262" s="411"/>
      <c r="O262" s="418" t="str">
        <f t="shared" ref="O262" si="42">IFERROR(N262/N263-1,"")</f>
        <v/>
      </c>
      <c r="Q262" s="418" t="str">
        <f t="shared" ref="Q262" si="43">IFERROR(P262/P263-1,"")</f>
        <v/>
      </c>
    </row>
    <row r="263" spans="1:17">
      <c r="A263" s="408">
        <v>44154</v>
      </c>
      <c r="B263" s="411">
        <v>3581.87</v>
      </c>
      <c r="C263" s="418">
        <f t="shared" si="24"/>
        <v>3.9464206133208446E-3</v>
      </c>
      <c r="D263" s="411">
        <v>37.909999999999997</v>
      </c>
      <c r="E263" s="418">
        <f t="shared" si="25"/>
        <v>0</v>
      </c>
      <c r="F263" s="411">
        <v>3581.87</v>
      </c>
      <c r="G263" s="418">
        <f t="shared" si="26"/>
        <v>3.9464206133208446E-3</v>
      </c>
      <c r="H263" s="411">
        <v>37.909999999999997</v>
      </c>
      <c r="I263" s="418">
        <f t="shared" si="27"/>
        <v>0</v>
      </c>
      <c r="J263" s="411">
        <v>3581.87</v>
      </c>
      <c r="K263" s="418">
        <f t="shared" si="28"/>
        <v>3.9464206133208446E-3</v>
      </c>
      <c r="L263" s="411">
        <v>37.909999999999997</v>
      </c>
      <c r="M263" s="418">
        <f t="shared" si="29"/>
        <v>0</v>
      </c>
      <c r="N263" s="411"/>
      <c r="O263" s="418" t="str">
        <f t="shared" ref="O263" si="44">IFERROR(N263/N264-1,"")</f>
        <v/>
      </c>
      <c r="Q263" s="418" t="str">
        <f t="shared" ref="Q263" si="45">IFERROR(P263/P264-1,"")</f>
        <v/>
      </c>
    </row>
    <row r="264" spans="1:17">
      <c r="A264" s="408">
        <v>44153</v>
      </c>
      <c r="B264" s="411">
        <v>3567.79</v>
      </c>
      <c r="C264" s="418">
        <f t="shared" ref="C264:C327" si="46">B264/B265-1</f>
        <v>-1.156383241031389E-2</v>
      </c>
      <c r="D264" s="411">
        <v>37.909999999999997</v>
      </c>
      <c r="E264" s="418">
        <f t="shared" ref="E264:E327" si="47">D264/D265-1</f>
        <v>8.2446808510636682E-3</v>
      </c>
      <c r="F264" s="411">
        <v>3567.79</v>
      </c>
      <c r="G264" s="418">
        <f t="shared" ref="G264:G327" si="48">F264/F265-1</f>
        <v>-1.156383241031389E-2</v>
      </c>
      <c r="H264" s="411">
        <v>37.909999999999997</v>
      </c>
      <c r="I264" s="418">
        <f t="shared" ref="I264:I327" si="49">H264/H265-1</f>
        <v>8.2446808510636682E-3</v>
      </c>
      <c r="J264" s="411">
        <v>3567.79</v>
      </c>
      <c r="K264" s="418">
        <f t="shared" ref="K264:K327" si="50">J264/J265-1</f>
        <v>-1.156383241031389E-2</v>
      </c>
      <c r="L264" s="411">
        <v>37.909999999999997</v>
      </c>
      <c r="M264" s="418">
        <f t="shared" ref="M264:M327" si="51">L264/L265-1</f>
        <v>8.2446808510636682E-3</v>
      </c>
      <c r="N264" s="411"/>
      <c r="O264" s="418" t="str">
        <f t="shared" ref="O264" si="52">IFERROR(N264/N265-1,"")</f>
        <v/>
      </c>
      <c r="Q264" s="418" t="str">
        <f t="shared" ref="Q264" si="53">IFERROR(P264/P265-1,"")</f>
        <v/>
      </c>
    </row>
    <row r="265" spans="1:17">
      <c r="A265" s="408">
        <v>44152</v>
      </c>
      <c r="B265" s="411">
        <v>3609.53</v>
      </c>
      <c r="C265" s="418">
        <f t="shared" si="46"/>
        <v>-4.7919578925310624E-3</v>
      </c>
      <c r="D265" s="411">
        <v>37.6</v>
      </c>
      <c r="E265" s="418">
        <f t="shared" si="47"/>
        <v>-1.0526315789473606E-2</v>
      </c>
      <c r="F265" s="411">
        <v>3609.53</v>
      </c>
      <c r="G265" s="418">
        <f t="shared" si="48"/>
        <v>-4.7919578925310624E-3</v>
      </c>
      <c r="H265" s="411">
        <v>37.6</v>
      </c>
      <c r="I265" s="418">
        <f t="shared" si="49"/>
        <v>-1.0526315789473606E-2</v>
      </c>
      <c r="J265" s="411">
        <v>3609.53</v>
      </c>
      <c r="K265" s="418">
        <f t="shared" si="50"/>
        <v>-4.7919578925310624E-3</v>
      </c>
      <c r="L265" s="411">
        <v>37.6</v>
      </c>
      <c r="M265" s="418">
        <f t="shared" si="51"/>
        <v>-1.0526315789473606E-2</v>
      </c>
      <c r="N265" s="411"/>
      <c r="O265" s="418" t="str">
        <f t="shared" ref="O265" si="54">IFERROR(N265/N266-1,"")</f>
        <v/>
      </c>
      <c r="Q265" s="418" t="str">
        <f t="shared" ref="Q265" si="55">IFERROR(P265/P266-1,"")</f>
        <v/>
      </c>
    </row>
    <row r="266" spans="1:17">
      <c r="A266" s="408">
        <v>44151</v>
      </c>
      <c r="B266" s="411">
        <v>3626.91</v>
      </c>
      <c r="C266" s="418">
        <f t="shared" si="46"/>
        <v>1.1648048198820149E-2</v>
      </c>
      <c r="D266" s="411">
        <v>38</v>
      </c>
      <c r="E266" s="418">
        <f t="shared" si="47"/>
        <v>4.2238069116840249E-2</v>
      </c>
      <c r="F266" s="411">
        <v>3626.91</v>
      </c>
      <c r="G266" s="418">
        <f t="shared" si="48"/>
        <v>1.1648048198820149E-2</v>
      </c>
      <c r="H266" s="411">
        <v>38</v>
      </c>
      <c r="I266" s="418">
        <f t="shared" si="49"/>
        <v>4.2238069116840249E-2</v>
      </c>
      <c r="J266" s="411">
        <v>3626.91</v>
      </c>
      <c r="K266" s="418">
        <f t="shared" si="50"/>
        <v>1.1648048198820149E-2</v>
      </c>
      <c r="L266" s="411">
        <v>38</v>
      </c>
      <c r="M266" s="418">
        <f t="shared" si="51"/>
        <v>4.2238069116840249E-2</v>
      </c>
      <c r="N266" s="411"/>
      <c r="O266" s="418" t="str">
        <f t="shared" ref="O266" si="56">IFERROR(N266/N267-1,"")</f>
        <v/>
      </c>
      <c r="Q266" s="418" t="str">
        <f t="shared" ref="Q266" si="57">IFERROR(P266/P267-1,"")</f>
        <v/>
      </c>
    </row>
    <row r="267" spans="1:17">
      <c r="A267" s="408">
        <v>44148</v>
      </c>
      <c r="B267" s="411">
        <v>3585.15</v>
      </c>
      <c r="C267" s="418">
        <f t="shared" si="46"/>
        <v>1.3610365817456005E-2</v>
      </c>
      <c r="D267" s="411">
        <v>36.46</v>
      </c>
      <c r="E267" s="418">
        <f t="shared" si="47"/>
        <v>6.050029086678288E-2</v>
      </c>
      <c r="F267" s="411">
        <v>3585.15</v>
      </c>
      <c r="G267" s="418">
        <f t="shared" si="48"/>
        <v>1.3610365817456005E-2</v>
      </c>
      <c r="H267" s="411">
        <v>36.46</v>
      </c>
      <c r="I267" s="418">
        <f t="shared" si="49"/>
        <v>6.050029086678288E-2</v>
      </c>
      <c r="J267" s="411">
        <v>3585.15</v>
      </c>
      <c r="K267" s="418">
        <f t="shared" si="50"/>
        <v>1.3610365817456005E-2</v>
      </c>
      <c r="L267" s="411">
        <v>36.46</v>
      </c>
      <c r="M267" s="418">
        <f t="shared" si="51"/>
        <v>6.050029086678288E-2</v>
      </c>
      <c r="N267" s="411"/>
      <c r="O267" s="418" t="str">
        <f t="shared" ref="O267" si="58">IFERROR(N267/N268-1,"")</f>
        <v/>
      </c>
      <c r="Q267" s="418" t="str">
        <f t="shared" ref="Q267" si="59">IFERROR(P267/P268-1,"")</f>
        <v/>
      </c>
    </row>
    <row r="268" spans="1:17">
      <c r="A268" s="408">
        <v>44147</v>
      </c>
      <c r="B268" s="411">
        <v>3537.01</v>
      </c>
      <c r="C268" s="418">
        <f t="shared" si="46"/>
        <v>-9.9785593927212979E-3</v>
      </c>
      <c r="D268" s="411">
        <v>34.380000000000003</v>
      </c>
      <c r="E268" s="418">
        <f t="shared" si="47"/>
        <v>-1.8275271273557991E-2</v>
      </c>
      <c r="F268" s="411">
        <v>3537.01</v>
      </c>
      <c r="G268" s="418">
        <f t="shared" si="48"/>
        <v>-9.9785593927212979E-3</v>
      </c>
      <c r="H268" s="411">
        <v>34.380000000000003</v>
      </c>
      <c r="I268" s="418">
        <f t="shared" si="49"/>
        <v>-1.8275271273557991E-2</v>
      </c>
      <c r="J268" s="411">
        <v>3537.01</v>
      </c>
      <c r="K268" s="418">
        <f t="shared" si="50"/>
        <v>-9.9785593927212979E-3</v>
      </c>
      <c r="L268" s="411">
        <v>34.380000000000003</v>
      </c>
      <c r="M268" s="418">
        <f t="shared" si="51"/>
        <v>-1.8275271273557991E-2</v>
      </c>
      <c r="N268" s="411"/>
      <c r="O268" s="418" t="str">
        <f t="shared" ref="O268" si="60">IFERROR(N268/N269-1,"")</f>
        <v/>
      </c>
      <c r="Q268" s="418" t="str">
        <f t="shared" ref="Q268" si="61">IFERROR(P268/P269-1,"")</f>
        <v/>
      </c>
    </row>
    <row r="269" spans="1:17">
      <c r="A269" s="408">
        <v>44146</v>
      </c>
      <c r="B269" s="411">
        <v>3572.66</v>
      </c>
      <c r="C269" s="418">
        <f t="shared" si="46"/>
        <v>7.6518884341691962E-3</v>
      </c>
      <c r="D269" s="411">
        <v>35.020000000000003</v>
      </c>
      <c r="E269" s="418">
        <f t="shared" si="47"/>
        <v>-5.4535637149027982E-2</v>
      </c>
      <c r="F269" s="411">
        <v>3572.66</v>
      </c>
      <c r="G269" s="418">
        <f t="shared" si="48"/>
        <v>7.6518884341691962E-3</v>
      </c>
      <c r="H269" s="411">
        <v>35.020000000000003</v>
      </c>
      <c r="I269" s="418">
        <f t="shared" si="49"/>
        <v>-5.4535637149027982E-2</v>
      </c>
      <c r="J269" s="411">
        <v>3572.66</v>
      </c>
      <c r="K269" s="418">
        <f t="shared" si="50"/>
        <v>7.6518884341691962E-3</v>
      </c>
      <c r="L269" s="411">
        <v>35.020000000000003</v>
      </c>
      <c r="M269" s="418">
        <f t="shared" si="51"/>
        <v>-5.4535637149027982E-2</v>
      </c>
      <c r="N269" s="411"/>
      <c r="O269" s="388"/>
      <c r="Q269" s="388"/>
    </row>
    <row r="270" spans="1:17">
      <c r="A270" s="408">
        <v>44145</v>
      </c>
      <c r="B270" s="411">
        <v>3545.53</v>
      </c>
      <c r="C270" s="418">
        <f t="shared" si="46"/>
        <v>-1.3998028446696731E-3</v>
      </c>
      <c r="D270" s="411">
        <v>37.04</v>
      </c>
      <c r="E270" s="418">
        <f t="shared" si="47"/>
        <v>7.3429426162632261E-3</v>
      </c>
      <c r="F270" s="411">
        <v>3545.53</v>
      </c>
      <c r="G270" s="418">
        <f t="shared" si="48"/>
        <v>-1.3998028446696731E-3</v>
      </c>
      <c r="H270" s="411">
        <v>37.04</v>
      </c>
      <c r="I270" s="418">
        <f t="shared" si="49"/>
        <v>7.3429426162632261E-3</v>
      </c>
      <c r="J270" s="411">
        <v>3545.53</v>
      </c>
      <c r="K270" s="418">
        <f t="shared" si="50"/>
        <v>-1.3998028446696731E-3</v>
      </c>
      <c r="L270" s="411">
        <v>37.04</v>
      </c>
      <c r="M270" s="418">
        <f t="shared" si="51"/>
        <v>7.3429426162632261E-3</v>
      </c>
      <c r="N270" s="411"/>
      <c r="O270" s="388"/>
      <c r="Q270" s="388"/>
    </row>
    <row r="271" spans="1:17">
      <c r="A271" s="408">
        <v>44144</v>
      </c>
      <c r="B271" s="411">
        <v>3550.5</v>
      </c>
      <c r="C271" s="418">
        <f t="shared" si="46"/>
        <v>1.1699872344305584E-2</v>
      </c>
      <c r="D271" s="411">
        <v>36.770000000000003</v>
      </c>
      <c r="E271" s="418">
        <f t="shared" si="47"/>
        <v>0.17027371101209421</v>
      </c>
      <c r="F271" s="411">
        <v>3550.5</v>
      </c>
      <c r="G271" s="418">
        <f t="shared" si="48"/>
        <v>1.1699872344305584E-2</v>
      </c>
      <c r="H271" s="411">
        <v>36.770000000000003</v>
      </c>
      <c r="I271" s="418">
        <f t="shared" si="49"/>
        <v>0.17027371101209421</v>
      </c>
      <c r="J271" s="411">
        <v>3550.5</v>
      </c>
      <c r="K271" s="418">
        <f t="shared" si="50"/>
        <v>1.1699872344305584E-2</v>
      </c>
      <c r="L271" s="411">
        <v>36.770000000000003</v>
      </c>
      <c r="M271" s="418">
        <f t="shared" si="51"/>
        <v>0.17027371101209421</v>
      </c>
      <c r="N271" s="411"/>
      <c r="O271" s="388"/>
      <c r="Q271" s="388"/>
    </row>
    <row r="272" spans="1:17">
      <c r="A272" s="408">
        <v>44141</v>
      </c>
      <c r="B272" s="411">
        <v>3509.44</v>
      </c>
      <c r="C272" s="418">
        <f t="shared" si="46"/>
        <v>-2.8771240154390476E-4</v>
      </c>
      <c r="D272" s="411">
        <v>31.42</v>
      </c>
      <c r="E272" s="418">
        <f t="shared" si="47"/>
        <v>-1.7510944340212609E-2</v>
      </c>
      <c r="F272" s="411">
        <v>3509.44</v>
      </c>
      <c r="G272" s="418">
        <f t="shared" si="48"/>
        <v>-2.8771240154390476E-4</v>
      </c>
      <c r="H272" s="411">
        <v>31.42</v>
      </c>
      <c r="I272" s="418">
        <f t="shared" si="49"/>
        <v>-1.7510944340212609E-2</v>
      </c>
      <c r="J272" s="411">
        <v>3509.44</v>
      </c>
      <c r="K272" s="418">
        <f t="shared" si="50"/>
        <v>-2.8771240154390476E-4</v>
      </c>
      <c r="L272" s="411">
        <v>31.42</v>
      </c>
      <c r="M272" s="418">
        <f t="shared" si="51"/>
        <v>-1.7510944340212609E-2</v>
      </c>
      <c r="N272" s="411"/>
      <c r="O272" s="388"/>
      <c r="Q272" s="388"/>
    </row>
    <row r="273" spans="1:17">
      <c r="A273" s="408">
        <v>44140</v>
      </c>
      <c r="B273" s="411">
        <v>3510.45</v>
      </c>
      <c r="C273" s="418">
        <f t="shared" si="46"/>
        <v>1.9460190971818836E-2</v>
      </c>
      <c r="D273" s="411">
        <v>31.98</v>
      </c>
      <c r="E273" s="418">
        <f t="shared" si="47"/>
        <v>5.0936575747617452E-2</v>
      </c>
      <c r="F273" s="411">
        <v>3510.45</v>
      </c>
      <c r="G273" s="418">
        <f t="shared" si="48"/>
        <v>1.9460190971818836E-2</v>
      </c>
      <c r="H273" s="411">
        <v>31.98</v>
      </c>
      <c r="I273" s="418">
        <f t="shared" si="49"/>
        <v>5.0936575747617452E-2</v>
      </c>
      <c r="J273" s="411">
        <v>3510.45</v>
      </c>
      <c r="K273" s="418">
        <f t="shared" si="50"/>
        <v>1.9460190971818836E-2</v>
      </c>
      <c r="L273" s="411">
        <v>31.98</v>
      </c>
      <c r="M273" s="418">
        <f t="shared" si="51"/>
        <v>5.0936575747617452E-2</v>
      </c>
      <c r="N273" s="411"/>
      <c r="O273" s="388"/>
      <c r="Q273" s="388"/>
    </row>
    <row r="274" spans="1:17">
      <c r="A274" s="408">
        <v>44139</v>
      </c>
      <c r="B274" s="411">
        <v>3443.44</v>
      </c>
      <c r="C274" s="418">
        <f t="shared" si="46"/>
        <v>2.2048039499023675E-2</v>
      </c>
      <c r="D274" s="411">
        <v>30.43</v>
      </c>
      <c r="E274" s="418">
        <f t="shared" si="47"/>
        <v>-1.5210355987055002E-2</v>
      </c>
      <c r="F274" s="411">
        <v>3443.44</v>
      </c>
      <c r="G274" s="418">
        <f t="shared" si="48"/>
        <v>2.2048039499023675E-2</v>
      </c>
      <c r="H274" s="411">
        <v>30.43</v>
      </c>
      <c r="I274" s="418">
        <f t="shared" si="49"/>
        <v>-1.5210355987055002E-2</v>
      </c>
      <c r="J274" s="411">
        <v>3443.44</v>
      </c>
      <c r="K274" s="418">
        <f t="shared" si="50"/>
        <v>2.2048039499023675E-2</v>
      </c>
      <c r="L274" s="411">
        <v>30.43</v>
      </c>
      <c r="M274" s="418">
        <f t="shared" si="51"/>
        <v>-1.5210355987055002E-2</v>
      </c>
      <c r="N274" s="411"/>
      <c r="O274" s="388"/>
      <c r="Q274" s="388"/>
    </row>
    <row r="275" spans="1:17">
      <c r="A275" s="408">
        <v>44138</v>
      </c>
      <c r="B275" s="411">
        <v>3369.1567</v>
      </c>
      <c r="C275" s="418">
        <f t="shared" si="46"/>
        <v>1.7798316738363518E-2</v>
      </c>
      <c r="D275" s="411">
        <v>30.9</v>
      </c>
      <c r="E275" s="418">
        <f t="shared" si="47"/>
        <v>2.2501654533421567E-2</v>
      </c>
      <c r="F275" s="411">
        <v>3369.1567</v>
      </c>
      <c r="G275" s="418">
        <f t="shared" si="48"/>
        <v>1.7798316738363518E-2</v>
      </c>
      <c r="H275" s="411">
        <v>30.9</v>
      </c>
      <c r="I275" s="418">
        <f t="shared" si="49"/>
        <v>2.2501654533421567E-2</v>
      </c>
      <c r="J275" s="411">
        <v>3369.1567</v>
      </c>
      <c r="K275" s="418">
        <f t="shared" si="50"/>
        <v>1.7798316738363518E-2</v>
      </c>
      <c r="L275" s="411">
        <v>30.9</v>
      </c>
      <c r="M275" s="418">
        <f t="shared" si="51"/>
        <v>2.2501654533421567E-2</v>
      </c>
      <c r="N275" s="411"/>
      <c r="O275" s="388"/>
      <c r="Q275" s="388"/>
    </row>
    <row r="276" spans="1:17">
      <c r="A276" s="408">
        <v>44137</v>
      </c>
      <c r="B276" s="411">
        <v>3310.24</v>
      </c>
      <c r="C276" s="418">
        <f t="shared" si="46"/>
        <v>1.231819349472163E-2</v>
      </c>
      <c r="D276" s="411">
        <v>30.22</v>
      </c>
      <c r="E276" s="418">
        <f t="shared" si="47"/>
        <v>-1.3707571801566676E-2</v>
      </c>
      <c r="F276" s="411">
        <v>3310.24</v>
      </c>
      <c r="G276" s="418">
        <f t="shared" si="48"/>
        <v>1.231819349472163E-2</v>
      </c>
      <c r="H276" s="411">
        <v>30.22</v>
      </c>
      <c r="I276" s="418">
        <f t="shared" si="49"/>
        <v>-1.3707571801566676E-2</v>
      </c>
      <c r="J276" s="411">
        <v>3310.24</v>
      </c>
      <c r="K276" s="418">
        <f t="shared" si="50"/>
        <v>1.231819349472163E-2</v>
      </c>
      <c r="L276" s="411">
        <v>30.22</v>
      </c>
      <c r="M276" s="418">
        <f t="shared" si="51"/>
        <v>-1.3707571801566676E-2</v>
      </c>
      <c r="N276" s="411"/>
      <c r="O276" s="388"/>
      <c r="Q276" s="388"/>
    </row>
    <row r="277" spans="1:17">
      <c r="A277" s="408">
        <v>44134</v>
      </c>
      <c r="B277" s="411">
        <v>3269.96</v>
      </c>
      <c r="C277" s="418">
        <f t="shared" si="46"/>
        <v>-1.2129506270184387E-2</v>
      </c>
      <c r="D277" s="411">
        <v>30.64</v>
      </c>
      <c r="E277" s="418">
        <f t="shared" si="47"/>
        <v>-3.9011703511053764E-3</v>
      </c>
      <c r="F277" s="411">
        <v>3269.96</v>
      </c>
      <c r="G277" s="418">
        <f t="shared" si="48"/>
        <v>-1.2129506270184387E-2</v>
      </c>
      <c r="H277" s="411">
        <v>30.64</v>
      </c>
      <c r="I277" s="418">
        <f t="shared" si="49"/>
        <v>-3.9011703511053764E-3</v>
      </c>
      <c r="J277" s="411">
        <v>3269.96</v>
      </c>
      <c r="K277" s="418">
        <f t="shared" si="50"/>
        <v>-1.2129506270184387E-2</v>
      </c>
      <c r="L277" s="411">
        <v>30.64</v>
      </c>
      <c r="M277" s="418">
        <f t="shared" si="51"/>
        <v>-3.9011703511053764E-3</v>
      </c>
      <c r="N277" s="411"/>
      <c r="O277" s="388"/>
      <c r="Q277" s="388"/>
    </row>
    <row r="278" spans="1:17">
      <c r="A278" s="408">
        <v>44133</v>
      </c>
      <c r="B278" s="411">
        <v>3310.11</v>
      </c>
      <c r="C278" s="418">
        <f t="shared" si="46"/>
        <v>1.1947307117329942E-2</v>
      </c>
      <c r="D278" s="411">
        <v>30.76</v>
      </c>
      <c r="E278" s="418">
        <f t="shared" si="47"/>
        <v>3.74367622259697E-2</v>
      </c>
      <c r="F278" s="411">
        <v>3310.11</v>
      </c>
      <c r="G278" s="418">
        <f t="shared" si="48"/>
        <v>1.1947307117329942E-2</v>
      </c>
      <c r="H278" s="411">
        <v>30.76</v>
      </c>
      <c r="I278" s="418">
        <f t="shared" si="49"/>
        <v>3.74367622259697E-2</v>
      </c>
      <c r="J278" s="411">
        <v>3310.11</v>
      </c>
      <c r="K278" s="418">
        <f t="shared" si="50"/>
        <v>1.1947307117329942E-2</v>
      </c>
      <c r="L278" s="411">
        <v>30.76</v>
      </c>
      <c r="M278" s="418">
        <f t="shared" si="51"/>
        <v>3.74367622259697E-2</v>
      </c>
      <c r="N278" s="411"/>
      <c r="O278" s="388"/>
      <c r="Q278" s="388"/>
    </row>
    <row r="279" spans="1:17">
      <c r="A279" s="408">
        <v>44132</v>
      </c>
      <c r="B279" s="411">
        <v>3271.03</v>
      </c>
      <c r="C279" s="418">
        <f t="shared" si="46"/>
        <v>-3.5287906850543171E-2</v>
      </c>
      <c r="D279" s="411">
        <v>29.65</v>
      </c>
      <c r="E279" s="418">
        <f t="shared" si="47"/>
        <v>-3.4516444154998438E-2</v>
      </c>
      <c r="F279" s="411">
        <v>3271.03</v>
      </c>
      <c r="G279" s="418">
        <f t="shared" si="48"/>
        <v>-3.5287906850543171E-2</v>
      </c>
      <c r="H279" s="411">
        <v>29.65</v>
      </c>
      <c r="I279" s="418">
        <f t="shared" si="49"/>
        <v>-3.4516444154998438E-2</v>
      </c>
      <c r="J279" s="411">
        <v>3271.03</v>
      </c>
      <c r="K279" s="418">
        <f t="shared" si="50"/>
        <v>-3.5287906850543171E-2</v>
      </c>
      <c r="L279" s="411">
        <v>29.65</v>
      </c>
      <c r="M279" s="418">
        <f t="shared" si="51"/>
        <v>-3.4516444154998438E-2</v>
      </c>
      <c r="N279" s="411"/>
      <c r="O279" s="388"/>
      <c r="Q279" s="388"/>
    </row>
    <row r="280" spans="1:17">
      <c r="A280" s="408">
        <v>44131</v>
      </c>
      <c r="B280" s="411">
        <v>3390.68</v>
      </c>
      <c r="C280" s="418">
        <f t="shared" si="46"/>
        <v>-3.0256074002417144E-3</v>
      </c>
      <c r="D280" s="411">
        <v>30.71</v>
      </c>
      <c r="E280" s="418">
        <f t="shared" si="47"/>
        <v>-3.8208581271531483E-2</v>
      </c>
      <c r="F280" s="411">
        <v>3390.68</v>
      </c>
      <c r="G280" s="418">
        <f t="shared" si="48"/>
        <v>-3.0256074002417144E-3</v>
      </c>
      <c r="H280" s="411">
        <v>30.71</v>
      </c>
      <c r="I280" s="418">
        <f t="shared" si="49"/>
        <v>-3.8208581271531483E-2</v>
      </c>
      <c r="J280" s="411">
        <v>3390.68</v>
      </c>
      <c r="K280" s="418">
        <f t="shared" si="50"/>
        <v>-3.0256074002417144E-3</v>
      </c>
      <c r="L280" s="411">
        <v>30.71</v>
      </c>
      <c r="M280" s="418">
        <f t="shared" si="51"/>
        <v>-3.8208581271531483E-2</v>
      </c>
      <c r="N280" s="411"/>
      <c r="O280" s="388"/>
      <c r="Q280" s="388"/>
    </row>
    <row r="281" spans="1:17">
      <c r="A281" s="408">
        <v>44130</v>
      </c>
      <c r="B281" s="411">
        <v>3400.97</v>
      </c>
      <c r="C281" s="418">
        <f t="shared" si="46"/>
        <v>-1.8589538262648642E-2</v>
      </c>
      <c r="D281" s="411">
        <v>31.93</v>
      </c>
      <c r="E281" s="418">
        <f t="shared" si="47"/>
        <v>-6.0882352941176499E-2</v>
      </c>
      <c r="F281" s="411">
        <v>3400.97</v>
      </c>
      <c r="G281" s="418">
        <f t="shared" si="48"/>
        <v>-1.8589538262648642E-2</v>
      </c>
      <c r="H281" s="411">
        <v>31.93</v>
      </c>
      <c r="I281" s="418">
        <f t="shared" si="49"/>
        <v>-6.0882352941176499E-2</v>
      </c>
      <c r="J281" s="411">
        <v>3400.97</v>
      </c>
      <c r="K281" s="418">
        <f t="shared" si="50"/>
        <v>-1.8589538262648642E-2</v>
      </c>
      <c r="L281" s="411">
        <v>31.93</v>
      </c>
      <c r="M281" s="418">
        <f t="shared" si="51"/>
        <v>-6.0882352941176499E-2</v>
      </c>
      <c r="N281" s="411"/>
      <c r="O281" s="388"/>
      <c r="Q281" s="388"/>
    </row>
    <row r="282" spans="1:17">
      <c r="A282" s="408">
        <v>44127</v>
      </c>
      <c r="B282" s="411">
        <v>3465.39</v>
      </c>
      <c r="C282" s="418">
        <f t="shared" si="46"/>
        <v>3.4457896215134287E-3</v>
      </c>
      <c r="D282" s="411">
        <v>34</v>
      </c>
      <c r="E282" s="418">
        <f t="shared" si="47"/>
        <v>8.3036773428233346E-3</v>
      </c>
      <c r="F282" s="411">
        <v>3465.39</v>
      </c>
      <c r="G282" s="418">
        <f t="shared" si="48"/>
        <v>3.4457896215134287E-3</v>
      </c>
      <c r="H282" s="411">
        <v>34</v>
      </c>
      <c r="I282" s="418">
        <f t="shared" si="49"/>
        <v>8.3036773428233346E-3</v>
      </c>
      <c r="J282" s="411">
        <v>3465.39</v>
      </c>
      <c r="K282" s="418">
        <f t="shared" si="50"/>
        <v>3.4457896215134287E-3</v>
      </c>
      <c r="L282" s="411">
        <v>34</v>
      </c>
      <c r="M282" s="418">
        <f t="shared" si="51"/>
        <v>8.3036773428233346E-3</v>
      </c>
      <c r="N282" s="411"/>
      <c r="O282" s="388"/>
      <c r="Q282" s="388"/>
    </row>
    <row r="283" spans="1:17">
      <c r="A283" s="408">
        <v>44126</v>
      </c>
      <c r="B283" s="411">
        <v>3453.49</v>
      </c>
      <c r="C283" s="418">
        <f t="shared" si="46"/>
        <v>5.2189453829942778E-3</v>
      </c>
      <c r="D283" s="411">
        <v>33.72</v>
      </c>
      <c r="E283" s="418">
        <f t="shared" si="47"/>
        <v>7.0476190476190359E-2</v>
      </c>
      <c r="F283" s="411">
        <v>3453.49</v>
      </c>
      <c r="G283" s="418">
        <f t="shared" si="48"/>
        <v>5.2189453829942778E-3</v>
      </c>
      <c r="H283" s="411">
        <v>33.72</v>
      </c>
      <c r="I283" s="418">
        <f t="shared" si="49"/>
        <v>7.0476190476190359E-2</v>
      </c>
      <c r="J283" s="411">
        <v>3453.49</v>
      </c>
      <c r="K283" s="418">
        <f t="shared" si="50"/>
        <v>5.2189453829942778E-3</v>
      </c>
      <c r="L283" s="411">
        <v>33.72</v>
      </c>
      <c r="M283" s="418">
        <f t="shared" si="51"/>
        <v>7.0476190476190359E-2</v>
      </c>
      <c r="N283" s="411"/>
      <c r="O283" s="388"/>
      <c r="Q283" s="388"/>
    </row>
    <row r="284" spans="1:17">
      <c r="A284" s="408">
        <v>44125</v>
      </c>
      <c r="B284" s="411">
        <v>3435.56</v>
      </c>
      <c r="C284" s="418">
        <f t="shared" si="46"/>
        <v>-2.1956829851994542E-3</v>
      </c>
      <c r="D284" s="411">
        <v>31.5</v>
      </c>
      <c r="E284" s="418">
        <f t="shared" si="47"/>
        <v>-1.5009380863039379E-2</v>
      </c>
      <c r="F284" s="411">
        <v>3435.56</v>
      </c>
      <c r="G284" s="418">
        <f t="shared" si="48"/>
        <v>-2.1956829851994542E-3</v>
      </c>
      <c r="H284" s="411">
        <v>31.5</v>
      </c>
      <c r="I284" s="418">
        <f t="shared" si="49"/>
        <v>-1.5009380863039379E-2</v>
      </c>
      <c r="J284" s="411">
        <v>3435.56</v>
      </c>
      <c r="K284" s="418">
        <f t="shared" si="50"/>
        <v>-2.1956829851994542E-3</v>
      </c>
      <c r="L284" s="411">
        <v>31.5</v>
      </c>
      <c r="M284" s="418">
        <f t="shared" si="51"/>
        <v>-1.5009380863039379E-2</v>
      </c>
      <c r="N284" s="411"/>
      <c r="O284" s="388"/>
      <c r="Q284" s="388"/>
    </row>
    <row r="285" spans="1:17">
      <c r="A285" s="408">
        <v>44124</v>
      </c>
      <c r="B285" s="411">
        <v>3443.12</v>
      </c>
      <c r="C285" s="418">
        <f t="shared" si="46"/>
        <v>4.7272769717412455E-3</v>
      </c>
      <c r="D285" s="411">
        <v>31.98</v>
      </c>
      <c r="E285" s="418">
        <f t="shared" si="47"/>
        <v>1.5238095238095273E-2</v>
      </c>
      <c r="F285" s="411">
        <v>3443.12</v>
      </c>
      <c r="G285" s="418">
        <f t="shared" si="48"/>
        <v>4.7272769717412455E-3</v>
      </c>
      <c r="H285" s="411">
        <v>31.98</v>
      </c>
      <c r="I285" s="418">
        <f t="shared" si="49"/>
        <v>1.5238095238095273E-2</v>
      </c>
      <c r="J285" s="411">
        <v>3443.12</v>
      </c>
      <c r="K285" s="418">
        <f t="shared" si="50"/>
        <v>4.7272769717412455E-3</v>
      </c>
      <c r="L285" s="411">
        <v>31.98</v>
      </c>
      <c r="M285" s="418">
        <f t="shared" si="51"/>
        <v>1.5238095238095273E-2</v>
      </c>
      <c r="N285" s="411"/>
      <c r="O285" s="388"/>
      <c r="Q285" s="388"/>
    </row>
    <row r="286" spans="1:17">
      <c r="A286" s="408">
        <v>44123</v>
      </c>
      <c r="B286" s="411">
        <v>3426.92</v>
      </c>
      <c r="C286" s="418">
        <f t="shared" si="46"/>
        <v>-1.6329822808936134E-2</v>
      </c>
      <c r="D286" s="411">
        <v>31.5</v>
      </c>
      <c r="E286" s="418">
        <f t="shared" si="47"/>
        <v>9.5328884652046142E-4</v>
      </c>
      <c r="F286" s="411">
        <v>3426.92</v>
      </c>
      <c r="G286" s="418">
        <f t="shared" si="48"/>
        <v>-1.6329822808936134E-2</v>
      </c>
      <c r="H286" s="411">
        <v>31.5</v>
      </c>
      <c r="I286" s="418">
        <f t="shared" si="49"/>
        <v>9.5328884652046142E-4</v>
      </c>
      <c r="J286" s="411">
        <v>3426.92</v>
      </c>
      <c r="K286" s="418">
        <f t="shared" si="50"/>
        <v>-1.6329822808936134E-2</v>
      </c>
      <c r="L286" s="411">
        <v>31.5</v>
      </c>
      <c r="M286" s="418">
        <f t="shared" si="51"/>
        <v>9.5328884652046142E-4</v>
      </c>
      <c r="N286" s="411"/>
      <c r="O286" s="388"/>
      <c r="Q286" s="388"/>
    </row>
    <row r="287" spans="1:17">
      <c r="A287" s="408">
        <v>44120</v>
      </c>
      <c r="B287" s="411">
        <v>3483.81</v>
      </c>
      <c r="C287" s="418">
        <f t="shared" si="46"/>
        <v>1.3492797142955482E-4</v>
      </c>
      <c r="D287" s="411">
        <v>31.47</v>
      </c>
      <c r="E287" s="418">
        <f t="shared" si="47"/>
        <v>4.1480536056157646E-3</v>
      </c>
      <c r="F287" s="411">
        <v>3483.81</v>
      </c>
      <c r="G287" s="418">
        <f t="shared" si="48"/>
        <v>1.3492797142955482E-4</v>
      </c>
      <c r="H287" s="411">
        <v>31.47</v>
      </c>
      <c r="I287" s="418">
        <f t="shared" si="49"/>
        <v>4.1480536056157646E-3</v>
      </c>
      <c r="J287" s="411">
        <v>3483.81</v>
      </c>
      <c r="K287" s="418">
        <f t="shared" si="50"/>
        <v>1.3492797142955482E-4</v>
      </c>
      <c r="L287" s="411">
        <v>31.47</v>
      </c>
      <c r="M287" s="418">
        <f t="shared" si="51"/>
        <v>4.1480536056157646E-3</v>
      </c>
      <c r="N287" s="411"/>
      <c r="O287" s="388"/>
      <c r="Q287" s="388"/>
    </row>
    <row r="288" spans="1:17">
      <c r="A288" s="408">
        <v>44119</v>
      </c>
      <c r="B288" s="411">
        <v>3483.34</v>
      </c>
      <c r="C288" s="418">
        <f t="shared" si="46"/>
        <v>-1.5278028589691406E-3</v>
      </c>
      <c r="D288" s="411">
        <v>31.34</v>
      </c>
      <c r="E288" s="418">
        <f t="shared" si="47"/>
        <v>-1.3224181360201537E-2</v>
      </c>
      <c r="F288" s="411">
        <v>3483.34</v>
      </c>
      <c r="G288" s="418">
        <f t="shared" si="48"/>
        <v>-1.5278028589691406E-3</v>
      </c>
      <c r="H288" s="411">
        <v>31.34</v>
      </c>
      <c r="I288" s="418">
        <f t="shared" si="49"/>
        <v>-1.3224181360201537E-2</v>
      </c>
      <c r="J288" s="411">
        <v>3483.34</v>
      </c>
      <c r="K288" s="418">
        <f t="shared" si="50"/>
        <v>-1.5278028589691406E-3</v>
      </c>
      <c r="L288" s="411">
        <v>31.34</v>
      </c>
      <c r="M288" s="418">
        <f t="shared" si="51"/>
        <v>-1.3224181360201537E-2</v>
      </c>
      <c r="N288" s="411"/>
      <c r="O288" s="388"/>
      <c r="Q288" s="388"/>
    </row>
    <row r="289" spans="1:17">
      <c r="A289" s="408">
        <v>44118</v>
      </c>
      <c r="B289" s="411">
        <v>3488.67</v>
      </c>
      <c r="C289" s="418">
        <f t="shared" si="46"/>
        <v>-6.623138843883547E-3</v>
      </c>
      <c r="D289" s="411">
        <v>31.76</v>
      </c>
      <c r="E289" s="418">
        <f t="shared" si="47"/>
        <v>-3.1476235442229328E-4</v>
      </c>
      <c r="F289" s="411">
        <v>3488.67</v>
      </c>
      <c r="G289" s="418">
        <f t="shared" si="48"/>
        <v>-6.623138843883547E-3</v>
      </c>
      <c r="H289" s="411">
        <v>31.76</v>
      </c>
      <c r="I289" s="418">
        <f t="shared" si="49"/>
        <v>-3.1476235442229328E-4</v>
      </c>
      <c r="J289" s="411">
        <v>3488.67</v>
      </c>
      <c r="K289" s="418">
        <f t="shared" si="50"/>
        <v>-6.623138843883547E-3</v>
      </c>
      <c r="L289" s="411">
        <v>31.76</v>
      </c>
      <c r="M289" s="418">
        <f t="shared" si="51"/>
        <v>-3.1476235442229328E-4</v>
      </c>
      <c r="N289" s="411"/>
      <c r="O289" s="388"/>
      <c r="Q289" s="388"/>
    </row>
    <row r="290" spans="1:17">
      <c r="A290" s="408">
        <v>44117</v>
      </c>
      <c r="B290" s="411">
        <v>3511.93</v>
      </c>
      <c r="C290" s="418">
        <f t="shared" si="46"/>
        <v>-6.3069078891523356E-3</v>
      </c>
      <c r="D290" s="411">
        <v>31.77</v>
      </c>
      <c r="E290" s="418">
        <f t="shared" si="47"/>
        <v>-2.6654411764705954E-2</v>
      </c>
      <c r="F290" s="411">
        <v>3511.93</v>
      </c>
      <c r="G290" s="418">
        <f t="shared" si="48"/>
        <v>-6.3069078891523356E-3</v>
      </c>
      <c r="H290" s="411">
        <v>31.77</v>
      </c>
      <c r="I290" s="418">
        <f t="shared" si="49"/>
        <v>-2.6654411764705954E-2</v>
      </c>
      <c r="J290" s="411">
        <v>3511.93</v>
      </c>
      <c r="K290" s="418">
        <f t="shared" si="50"/>
        <v>-6.3069078891523356E-3</v>
      </c>
      <c r="L290" s="411">
        <v>31.77</v>
      </c>
      <c r="M290" s="418">
        <f t="shared" si="51"/>
        <v>-2.6654411764705954E-2</v>
      </c>
      <c r="N290" s="411"/>
      <c r="O290" s="388"/>
      <c r="Q290" s="388"/>
    </row>
    <row r="291" spans="1:17">
      <c r="A291" s="408">
        <v>44116</v>
      </c>
      <c r="B291" s="411">
        <v>3534.22</v>
      </c>
      <c r="C291" s="418">
        <f t="shared" si="46"/>
        <v>1.6418713134107588E-2</v>
      </c>
      <c r="D291" s="411">
        <v>32.64</v>
      </c>
      <c r="E291" s="418">
        <f t="shared" si="47"/>
        <v>-5.1813471502590858E-3</v>
      </c>
      <c r="F291" s="411">
        <v>3534.22</v>
      </c>
      <c r="G291" s="418">
        <f t="shared" si="48"/>
        <v>1.6418713134107588E-2</v>
      </c>
      <c r="H291" s="411">
        <v>32.64</v>
      </c>
      <c r="I291" s="418">
        <f t="shared" si="49"/>
        <v>-5.1813471502590858E-3</v>
      </c>
      <c r="J291" s="411">
        <v>3534.22</v>
      </c>
      <c r="K291" s="418">
        <f t="shared" si="50"/>
        <v>1.6418713134107588E-2</v>
      </c>
      <c r="L291" s="411">
        <v>32.64</v>
      </c>
      <c r="M291" s="418">
        <f t="shared" si="51"/>
        <v>-5.1813471502590858E-3</v>
      </c>
      <c r="N291" s="411"/>
      <c r="O291" s="388"/>
      <c r="Q291" s="388"/>
    </row>
    <row r="292" spans="1:17">
      <c r="A292" s="408">
        <v>44113</v>
      </c>
      <c r="B292" s="411">
        <v>3477.13</v>
      </c>
      <c r="C292" s="418">
        <f t="shared" si="46"/>
        <v>8.7906859346125188E-3</v>
      </c>
      <c r="D292" s="411">
        <v>32.81</v>
      </c>
      <c r="E292" s="418">
        <f t="shared" si="47"/>
        <v>3.9779681762546204E-3</v>
      </c>
      <c r="F292" s="411">
        <v>3477.13</v>
      </c>
      <c r="G292" s="418">
        <f t="shared" si="48"/>
        <v>8.7906859346125188E-3</v>
      </c>
      <c r="H292" s="411">
        <v>32.81</v>
      </c>
      <c r="I292" s="418">
        <f t="shared" si="49"/>
        <v>3.9779681762546204E-3</v>
      </c>
      <c r="J292" s="411">
        <v>3477.13</v>
      </c>
      <c r="K292" s="418">
        <f t="shared" si="50"/>
        <v>8.7906859346125188E-3</v>
      </c>
      <c r="L292" s="411">
        <v>32.81</v>
      </c>
      <c r="M292" s="418">
        <f t="shared" si="51"/>
        <v>3.9779681762546204E-3</v>
      </c>
      <c r="N292" s="411"/>
      <c r="O292" s="388"/>
      <c r="Q292" s="388"/>
    </row>
    <row r="293" spans="1:17">
      <c r="A293" s="408">
        <v>44112</v>
      </c>
      <c r="B293" s="411">
        <v>3446.83</v>
      </c>
      <c r="C293" s="418">
        <f t="shared" si="46"/>
        <v>8.0071356504700653E-3</v>
      </c>
      <c r="D293" s="411">
        <v>32.68</v>
      </c>
      <c r="E293" s="418">
        <f t="shared" si="47"/>
        <v>1.6485225505443291E-2</v>
      </c>
      <c r="F293" s="411">
        <v>3446.83</v>
      </c>
      <c r="G293" s="418">
        <f t="shared" si="48"/>
        <v>8.0071356504700653E-3</v>
      </c>
      <c r="H293" s="411">
        <v>32.68</v>
      </c>
      <c r="I293" s="418">
        <f t="shared" si="49"/>
        <v>1.6485225505443291E-2</v>
      </c>
      <c r="J293" s="411">
        <v>3446.83</v>
      </c>
      <c r="K293" s="418">
        <f t="shared" si="50"/>
        <v>8.0071356504700653E-3</v>
      </c>
      <c r="L293" s="411">
        <v>32.68</v>
      </c>
      <c r="M293" s="418">
        <f t="shared" si="51"/>
        <v>1.6485225505443291E-2</v>
      </c>
      <c r="N293" s="411"/>
      <c r="O293" s="388"/>
      <c r="Q293" s="388"/>
    </row>
    <row r="294" spans="1:17">
      <c r="A294" s="408">
        <v>44111</v>
      </c>
      <c r="B294" s="411">
        <v>3419.45</v>
      </c>
      <c r="C294" s="418">
        <f t="shared" si="46"/>
        <v>1.740579300495404E-2</v>
      </c>
      <c r="D294" s="411">
        <v>32.15</v>
      </c>
      <c r="E294" s="418">
        <f t="shared" si="47"/>
        <v>3.509336767546678E-2</v>
      </c>
      <c r="F294" s="411">
        <v>3419.45</v>
      </c>
      <c r="G294" s="418">
        <f t="shared" si="48"/>
        <v>1.740579300495404E-2</v>
      </c>
      <c r="H294" s="411">
        <v>32.15</v>
      </c>
      <c r="I294" s="418">
        <f t="shared" si="49"/>
        <v>3.509336767546678E-2</v>
      </c>
      <c r="J294" s="411">
        <v>3419.45</v>
      </c>
      <c r="K294" s="418">
        <f t="shared" si="50"/>
        <v>1.740579300495404E-2</v>
      </c>
      <c r="L294" s="411">
        <v>32.15</v>
      </c>
      <c r="M294" s="418">
        <f t="shared" si="51"/>
        <v>3.509336767546678E-2</v>
      </c>
      <c r="N294" s="411"/>
      <c r="O294" s="388"/>
      <c r="Q294" s="388"/>
    </row>
    <row r="295" spans="1:17">
      <c r="A295" s="408">
        <v>44110</v>
      </c>
      <c r="B295" s="411">
        <v>3360.95</v>
      </c>
      <c r="C295" s="418">
        <f t="shared" si="46"/>
        <v>-1.3988024514247743E-2</v>
      </c>
      <c r="D295" s="411">
        <v>31.06</v>
      </c>
      <c r="E295" s="418">
        <f t="shared" si="47"/>
        <v>-2.937500000000004E-2</v>
      </c>
      <c r="F295" s="411">
        <v>3360.95</v>
      </c>
      <c r="G295" s="418">
        <f t="shared" si="48"/>
        <v>-1.3988024514247743E-2</v>
      </c>
      <c r="H295" s="411">
        <v>31.06</v>
      </c>
      <c r="I295" s="418">
        <f t="shared" si="49"/>
        <v>-2.937500000000004E-2</v>
      </c>
      <c r="J295" s="411">
        <v>3360.95</v>
      </c>
      <c r="K295" s="418">
        <f t="shared" si="50"/>
        <v>-1.3988024514247743E-2</v>
      </c>
      <c r="L295" s="411">
        <v>31.06</v>
      </c>
      <c r="M295" s="418">
        <f t="shared" si="51"/>
        <v>-2.937500000000004E-2</v>
      </c>
      <c r="N295" s="411"/>
      <c r="O295" s="388"/>
      <c r="Q295" s="388"/>
    </row>
    <row r="296" spans="1:17">
      <c r="A296" s="408">
        <v>44109</v>
      </c>
      <c r="B296" s="411">
        <v>3408.63</v>
      </c>
      <c r="C296" s="418">
        <f t="shared" si="46"/>
        <v>1.7975534875942278E-2</v>
      </c>
      <c r="D296" s="411">
        <v>32</v>
      </c>
      <c r="E296" s="418">
        <f t="shared" si="47"/>
        <v>7.8740157480314821E-3</v>
      </c>
      <c r="F296" s="411">
        <v>3408.63</v>
      </c>
      <c r="G296" s="418">
        <f t="shared" si="48"/>
        <v>1.7975534875942278E-2</v>
      </c>
      <c r="H296" s="411">
        <v>32</v>
      </c>
      <c r="I296" s="418">
        <f t="shared" si="49"/>
        <v>7.8740157480314821E-3</v>
      </c>
      <c r="J296" s="411">
        <v>3408.63</v>
      </c>
      <c r="K296" s="418">
        <f t="shared" si="50"/>
        <v>1.7975534875942278E-2</v>
      </c>
      <c r="L296" s="411">
        <v>32</v>
      </c>
      <c r="M296" s="418">
        <f t="shared" si="51"/>
        <v>7.8740157480314821E-3</v>
      </c>
      <c r="N296" s="411"/>
      <c r="O296" s="388"/>
      <c r="Q296" s="388"/>
    </row>
    <row r="297" spans="1:17">
      <c r="A297" s="408">
        <v>44106</v>
      </c>
      <c r="B297" s="411">
        <v>3348.44</v>
      </c>
      <c r="C297" s="418">
        <f t="shared" si="46"/>
        <v>-9.571699006152401E-3</v>
      </c>
      <c r="D297" s="411">
        <v>31.75</v>
      </c>
      <c r="E297" s="418">
        <f t="shared" si="47"/>
        <v>2.0900321543408262E-2</v>
      </c>
      <c r="F297" s="411">
        <v>3348.44</v>
      </c>
      <c r="G297" s="418">
        <f t="shared" si="48"/>
        <v>-9.571699006152401E-3</v>
      </c>
      <c r="H297" s="411">
        <v>31.75</v>
      </c>
      <c r="I297" s="418">
        <f t="shared" si="49"/>
        <v>2.0900321543408262E-2</v>
      </c>
      <c r="J297" s="411">
        <v>3348.44</v>
      </c>
      <c r="K297" s="418">
        <f t="shared" si="50"/>
        <v>-9.571699006152401E-3</v>
      </c>
      <c r="L297" s="411">
        <v>31.75</v>
      </c>
      <c r="M297" s="418">
        <f t="shared" si="51"/>
        <v>2.0900321543408262E-2</v>
      </c>
      <c r="N297" s="411"/>
      <c r="O297" s="388"/>
      <c r="Q297" s="388"/>
    </row>
    <row r="298" spans="1:17">
      <c r="A298" s="408">
        <v>44105</v>
      </c>
      <c r="B298" s="411">
        <v>3380.8</v>
      </c>
      <c r="C298" s="418">
        <f t="shared" si="46"/>
        <v>5.2928932500744263E-3</v>
      </c>
      <c r="D298" s="411">
        <v>31.1</v>
      </c>
      <c r="E298" s="418">
        <f t="shared" si="47"/>
        <v>1.7004578155657368E-2</v>
      </c>
      <c r="F298" s="411">
        <v>3380.8</v>
      </c>
      <c r="G298" s="418">
        <f t="shared" si="48"/>
        <v>5.2928932500744263E-3</v>
      </c>
      <c r="H298" s="411">
        <v>31.1</v>
      </c>
      <c r="I298" s="418">
        <f t="shared" si="49"/>
        <v>1.7004578155657368E-2</v>
      </c>
      <c r="J298" s="411">
        <v>3380.8</v>
      </c>
      <c r="K298" s="418">
        <f t="shared" si="50"/>
        <v>5.2928932500744263E-3</v>
      </c>
      <c r="L298" s="411">
        <v>31.1</v>
      </c>
      <c r="M298" s="418">
        <f t="shared" si="51"/>
        <v>1.7004578155657368E-2</v>
      </c>
      <c r="N298" s="411"/>
      <c r="O298" s="388"/>
      <c r="Q298" s="388"/>
    </row>
    <row r="299" spans="1:17">
      <c r="A299" s="408">
        <v>44104</v>
      </c>
      <c r="B299" s="411">
        <v>3363</v>
      </c>
      <c r="C299" s="418">
        <f t="shared" si="46"/>
        <v>8.2537093722925281E-3</v>
      </c>
      <c r="D299" s="411">
        <v>30.58</v>
      </c>
      <c r="E299" s="418">
        <f t="shared" si="47"/>
        <v>-9.8007187193727141E-4</v>
      </c>
      <c r="F299" s="411">
        <v>3363</v>
      </c>
      <c r="G299" s="418">
        <f t="shared" si="48"/>
        <v>8.2537093722925281E-3</v>
      </c>
      <c r="H299" s="411">
        <v>30.58</v>
      </c>
      <c r="I299" s="418">
        <f t="shared" si="49"/>
        <v>-9.8007187193727141E-4</v>
      </c>
      <c r="J299" s="411">
        <v>3363</v>
      </c>
      <c r="K299" s="418">
        <f t="shared" si="50"/>
        <v>8.2537093722925281E-3</v>
      </c>
      <c r="L299" s="411">
        <v>30.58</v>
      </c>
      <c r="M299" s="418">
        <f t="shared" si="51"/>
        <v>-9.8007187193727141E-4</v>
      </c>
      <c r="N299" s="411"/>
      <c r="O299" s="388"/>
      <c r="Q299" s="388"/>
    </row>
    <row r="300" spans="1:17">
      <c r="A300" s="408">
        <v>44103</v>
      </c>
      <c r="B300" s="411">
        <v>3335.47</v>
      </c>
      <c r="C300" s="418">
        <f t="shared" si="46"/>
        <v>-4.8126268051080778E-3</v>
      </c>
      <c r="D300" s="411">
        <v>30.61</v>
      </c>
      <c r="E300" s="418">
        <f t="shared" si="47"/>
        <v>-2.3292916400765806E-2</v>
      </c>
      <c r="F300" s="411">
        <v>3335.47</v>
      </c>
      <c r="G300" s="418">
        <f t="shared" si="48"/>
        <v>-4.8126268051080778E-3</v>
      </c>
      <c r="H300" s="411">
        <v>30.61</v>
      </c>
      <c r="I300" s="418">
        <f t="shared" si="49"/>
        <v>-2.3292916400765806E-2</v>
      </c>
      <c r="J300" s="411">
        <v>3335.47</v>
      </c>
      <c r="K300" s="418">
        <f t="shared" si="50"/>
        <v>-4.8126268051080778E-3</v>
      </c>
      <c r="L300" s="411">
        <v>30.61</v>
      </c>
      <c r="M300" s="418">
        <f t="shared" si="51"/>
        <v>-2.3292916400765806E-2</v>
      </c>
      <c r="N300" s="411"/>
      <c r="O300" s="388"/>
      <c r="Q300" s="388"/>
    </row>
    <row r="301" spans="1:17">
      <c r="A301" s="408">
        <v>44102</v>
      </c>
      <c r="B301" s="411">
        <v>3351.6</v>
      </c>
      <c r="C301" s="418">
        <f t="shared" si="46"/>
        <v>1.6110548559024496E-2</v>
      </c>
      <c r="D301" s="411">
        <v>31.34</v>
      </c>
      <c r="E301" s="418">
        <f t="shared" si="47"/>
        <v>5.2384150436534549E-2</v>
      </c>
      <c r="F301" s="411">
        <v>3351.6</v>
      </c>
      <c r="G301" s="418">
        <f t="shared" si="48"/>
        <v>1.6110548559024496E-2</v>
      </c>
      <c r="H301" s="411">
        <v>31.34</v>
      </c>
      <c r="I301" s="418">
        <f t="shared" si="49"/>
        <v>5.2384150436534549E-2</v>
      </c>
      <c r="J301" s="411">
        <v>3351.6</v>
      </c>
      <c r="K301" s="418">
        <f t="shared" si="50"/>
        <v>1.6110548559024496E-2</v>
      </c>
      <c r="L301" s="411">
        <v>31.34</v>
      </c>
      <c r="M301" s="418">
        <f t="shared" si="51"/>
        <v>5.2384150436534549E-2</v>
      </c>
      <c r="N301" s="411"/>
      <c r="O301" s="388"/>
      <c r="Q301" s="388"/>
    </row>
    <row r="302" spans="1:17">
      <c r="A302" s="408">
        <v>44099</v>
      </c>
      <c r="B302" s="411">
        <v>3298.46</v>
      </c>
      <c r="C302" s="418">
        <f t="shared" si="46"/>
        <v>1.5976763311659203E-2</v>
      </c>
      <c r="D302" s="411">
        <v>29.78</v>
      </c>
      <c r="E302" s="418">
        <f t="shared" si="47"/>
        <v>2.6542571527059522E-2</v>
      </c>
      <c r="F302" s="411">
        <v>3298.46</v>
      </c>
      <c r="G302" s="418">
        <f t="shared" si="48"/>
        <v>1.5976763311659203E-2</v>
      </c>
      <c r="H302" s="411">
        <v>29.78</v>
      </c>
      <c r="I302" s="418">
        <f t="shared" si="49"/>
        <v>2.6542571527059522E-2</v>
      </c>
      <c r="J302" s="411">
        <v>3298.46</v>
      </c>
      <c r="K302" s="418">
        <f t="shared" si="50"/>
        <v>1.5976763311659203E-2</v>
      </c>
      <c r="L302" s="411">
        <v>29.78</v>
      </c>
      <c r="M302" s="418">
        <f t="shared" si="51"/>
        <v>2.6542571527059522E-2</v>
      </c>
      <c r="N302" s="411"/>
      <c r="O302" s="388"/>
      <c r="Q302" s="388"/>
    </row>
    <row r="303" spans="1:17">
      <c r="A303" s="408">
        <v>44098</v>
      </c>
      <c r="B303" s="411">
        <v>3246.59</v>
      </c>
      <c r="C303" s="418">
        <f t="shared" si="46"/>
        <v>2.9874077827070078E-3</v>
      </c>
      <c r="D303" s="411">
        <v>29.01</v>
      </c>
      <c r="E303" s="418">
        <f t="shared" si="47"/>
        <v>-1.8606224627875423E-2</v>
      </c>
      <c r="F303" s="411">
        <v>3246.59</v>
      </c>
      <c r="G303" s="418">
        <f t="shared" si="48"/>
        <v>2.9874077827070078E-3</v>
      </c>
      <c r="H303" s="411">
        <v>29.01</v>
      </c>
      <c r="I303" s="418">
        <f t="shared" si="49"/>
        <v>-1.8606224627875423E-2</v>
      </c>
      <c r="J303" s="411">
        <v>3246.59</v>
      </c>
      <c r="K303" s="418">
        <f t="shared" si="50"/>
        <v>2.9874077827070078E-3</v>
      </c>
      <c r="L303" s="411">
        <v>29.01</v>
      </c>
      <c r="M303" s="418">
        <f t="shared" si="51"/>
        <v>-1.8606224627875423E-2</v>
      </c>
      <c r="N303" s="411"/>
      <c r="O303" s="388"/>
      <c r="Q303" s="388"/>
    </row>
    <row r="304" spans="1:17">
      <c r="A304" s="408">
        <v>44097</v>
      </c>
      <c r="B304" s="411">
        <v>3236.92</v>
      </c>
      <c r="C304" s="418">
        <f t="shared" si="46"/>
        <v>-2.3721411401357861E-2</v>
      </c>
      <c r="D304" s="411">
        <v>29.56</v>
      </c>
      <c r="E304" s="418">
        <f t="shared" si="47"/>
        <v>-2.183984116479154E-2</v>
      </c>
      <c r="F304" s="411">
        <v>3236.92</v>
      </c>
      <c r="G304" s="418">
        <f t="shared" si="48"/>
        <v>-2.3721411401357861E-2</v>
      </c>
      <c r="H304" s="411">
        <v>29.56</v>
      </c>
      <c r="I304" s="418">
        <f t="shared" si="49"/>
        <v>-2.183984116479154E-2</v>
      </c>
      <c r="J304" s="411">
        <v>3236.92</v>
      </c>
      <c r="K304" s="418">
        <f t="shared" si="50"/>
        <v>-2.3721411401357861E-2</v>
      </c>
      <c r="L304" s="411">
        <v>29.56</v>
      </c>
      <c r="M304" s="418">
        <f t="shared" si="51"/>
        <v>-2.183984116479154E-2</v>
      </c>
      <c r="N304" s="411"/>
      <c r="O304" s="388"/>
      <c r="Q304" s="388"/>
    </row>
    <row r="305" spans="1:17">
      <c r="A305" s="408">
        <v>44096</v>
      </c>
      <c r="B305" s="411">
        <v>3315.57</v>
      </c>
      <c r="C305" s="418">
        <f t="shared" si="46"/>
        <v>1.0517942372282096E-2</v>
      </c>
      <c r="D305" s="411">
        <v>30.22</v>
      </c>
      <c r="E305" s="418">
        <f t="shared" si="47"/>
        <v>1.3413816230717579E-2</v>
      </c>
      <c r="F305" s="411">
        <v>3315.57</v>
      </c>
      <c r="G305" s="418">
        <f t="shared" si="48"/>
        <v>1.0517942372282096E-2</v>
      </c>
      <c r="H305" s="411">
        <v>30.22</v>
      </c>
      <c r="I305" s="418">
        <f t="shared" si="49"/>
        <v>1.3413816230717579E-2</v>
      </c>
      <c r="J305" s="411">
        <v>3315.57</v>
      </c>
      <c r="K305" s="418">
        <f t="shared" si="50"/>
        <v>1.0517942372282096E-2</v>
      </c>
      <c r="L305" s="411">
        <v>30.22</v>
      </c>
      <c r="M305" s="418">
        <f t="shared" si="51"/>
        <v>1.3413816230717579E-2</v>
      </c>
      <c r="N305" s="411"/>
      <c r="O305" s="388"/>
      <c r="Q305" s="388"/>
    </row>
    <row r="306" spans="1:17">
      <c r="A306" s="408">
        <v>44095</v>
      </c>
      <c r="B306" s="411">
        <v>3281.06</v>
      </c>
      <c r="C306" s="418">
        <f t="shared" si="46"/>
        <v>-1.1571124305988612E-2</v>
      </c>
      <c r="D306" s="411">
        <v>29.82</v>
      </c>
      <c r="E306" s="418">
        <f t="shared" si="47"/>
        <v>-9.1961023142509202E-2</v>
      </c>
      <c r="F306" s="411">
        <v>3281.06</v>
      </c>
      <c r="G306" s="418">
        <f t="shared" si="48"/>
        <v>-1.1571124305988612E-2</v>
      </c>
      <c r="H306" s="411">
        <v>29.82</v>
      </c>
      <c r="I306" s="418">
        <f t="shared" si="49"/>
        <v>-9.1961023142509202E-2</v>
      </c>
      <c r="J306" s="411">
        <v>3281.06</v>
      </c>
      <c r="K306" s="418">
        <f t="shared" si="50"/>
        <v>-1.1571124305988612E-2</v>
      </c>
      <c r="L306" s="411">
        <v>29.82</v>
      </c>
      <c r="M306" s="418">
        <f t="shared" si="51"/>
        <v>-9.1961023142509202E-2</v>
      </c>
      <c r="N306" s="411"/>
      <c r="O306" s="388"/>
      <c r="Q306" s="388"/>
    </row>
    <row r="307" spans="1:17">
      <c r="A307" s="408">
        <v>44092</v>
      </c>
      <c r="B307" s="411">
        <v>3319.47</v>
      </c>
      <c r="C307" s="418">
        <f t="shared" si="46"/>
        <v>-1.1182570203842279E-2</v>
      </c>
      <c r="D307" s="411">
        <v>32.840000000000003</v>
      </c>
      <c r="E307" s="418">
        <f t="shared" si="47"/>
        <v>-3.2979976442873871E-2</v>
      </c>
      <c r="F307" s="411">
        <v>3319.47</v>
      </c>
      <c r="G307" s="418">
        <f t="shared" si="48"/>
        <v>-1.1182570203842279E-2</v>
      </c>
      <c r="H307" s="411">
        <v>32.840000000000003</v>
      </c>
      <c r="I307" s="418">
        <f t="shared" si="49"/>
        <v>-3.2979976442873871E-2</v>
      </c>
      <c r="J307" s="411">
        <v>3319.47</v>
      </c>
      <c r="K307" s="418">
        <f t="shared" si="50"/>
        <v>-1.1182570203842279E-2</v>
      </c>
      <c r="L307" s="411">
        <v>32.840000000000003</v>
      </c>
      <c r="M307" s="418">
        <f t="shared" si="51"/>
        <v>-3.2979976442873871E-2</v>
      </c>
      <c r="N307" s="411"/>
      <c r="O307" s="388"/>
      <c r="Q307" s="388"/>
    </row>
    <row r="308" spans="1:17">
      <c r="A308" s="408">
        <v>44091</v>
      </c>
      <c r="B308" s="411">
        <v>3357.01</v>
      </c>
      <c r="C308" s="418">
        <f t="shared" si="46"/>
        <v>-8.4123716212423094E-3</v>
      </c>
      <c r="D308" s="411">
        <v>33.96</v>
      </c>
      <c r="E308" s="418">
        <f t="shared" si="47"/>
        <v>-1.7645357246167226E-2</v>
      </c>
      <c r="F308" s="411">
        <v>3357.01</v>
      </c>
      <c r="G308" s="418">
        <f t="shared" si="48"/>
        <v>-8.4123716212423094E-3</v>
      </c>
      <c r="H308" s="411">
        <v>33.96</v>
      </c>
      <c r="I308" s="418">
        <f t="shared" si="49"/>
        <v>-1.7645357246167226E-2</v>
      </c>
      <c r="J308" s="411">
        <v>3357.01</v>
      </c>
      <c r="K308" s="418">
        <f t="shared" si="50"/>
        <v>-8.4123716212423094E-3</v>
      </c>
      <c r="L308" s="411">
        <v>33.96</v>
      </c>
      <c r="M308" s="418">
        <f t="shared" si="51"/>
        <v>-1.7645357246167226E-2</v>
      </c>
      <c r="N308" s="411"/>
      <c r="O308" s="388"/>
      <c r="Q308" s="388"/>
    </row>
    <row r="309" spans="1:17">
      <c r="A309" s="408">
        <v>44090</v>
      </c>
      <c r="B309" s="411">
        <v>3385.49</v>
      </c>
      <c r="C309" s="418">
        <f t="shared" si="46"/>
        <v>-4.6189580148182641E-3</v>
      </c>
      <c r="D309" s="411">
        <v>34.57</v>
      </c>
      <c r="E309" s="418">
        <f t="shared" si="47"/>
        <v>3.163234855267083E-2</v>
      </c>
      <c r="F309" s="411">
        <v>3385.49</v>
      </c>
      <c r="G309" s="418">
        <f t="shared" si="48"/>
        <v>-4.6189580148182641E-3</v>
      </c>
      <c r="H309" s="411">
        <v>34.57</v>
      </c>
      <c r="I309" s="418">
        <f t="shared" si="49"/>
        <v>3.163234855267083E-2</v>
      </c>
      <c r="J309" s="411">
        <v>3385.49</v>
      </c>
      <c r="K309" s="418">
        <f t="shared" si="50"/>
        <v>-4.6189580148182641E-3</v>
      </c>
      <c r="L309" s="411">
        <v>34.57</v>
      </c>
      <c r="M309" s="418">
        <f t="shared" si="51"/>
        <v>3.163234855267083E-2</v>
      </c>
      <c r="N309" s="411"/>
      <c r="O309" s="388"/>
      <c r="Q309" s="388"/>
    </row>
    <row r="310" spans="1:17">
      <c r="A310" s="408">
        <v>44089</v>
      </c>
      <c r="B310" s="411">
        <v>3401.2</v>
      </c>
      <c r="C310" s="418">
        <f t="shared" si="46"/>
        <v>5.2193856138835759E-3</v>
      </c>
      <c r="D310" s="411">
        <v>33.51</v>
      </c>
      <c r="E310" s="418">
        <f t="shared" si="47"/>
        <v>2.1023765996343702E-2</v>
      </c>
      <c r="F310" s="411">
        <v>3401.2</v>
      </c>
      <c r="G310" s="418">
        <f t="shared" si="48"/>
        <v>5.2193856138835759E-3</v>
      </c>
      <c r="H310" s="411">
        <v>33.51</v>
      </c>
      <c r="I310" s="418">
        <f t="shared" si="49"/>
        <v>2.1023765996343702E-2</v>
      </c>
      <c r="J310" s="411">
        <v>3401.2</v>
      </c>
      <c r="K310" s="418">
        <f t="shared" si="50"/>
        <v>5.2193856138835759E-3</v>
      </c>
      <c r="L310" s="411">
        <v>33.51</v>
      </c>
      <c r="M310" s="418">
        <f t="shared" si="51"/>
        <v>2.1023765996343702E-2</v>
      </c>
      <c r="N310" s="411"/>
      <c r="O310" s="388"/>
      <c r="Q310" s="388"/>
    </row>
    <row r="311" spans="1:17">
      <c r="A311" s="408">
        <v>44088</v>
      </c>
      <c r="B311" s="411">
        <v>3383.54</v>
      </c>
      <c r="C311" s="418">
        <f t="shared" si="46"/>
        <v>1.274180851668838E-2</v>
      </c>
      <c r="D311" s="411">
        <v>32.82</v>
      </c>
      <c r="E311" s="418">
        <f t="shared" si="47"/>
        <v>3.5331230283911719E-2</v>
      </c>
      <c r="F311" s="411">
        <v>3383.54</v>
      </c>
      <c r="G311" s="418">
        <f t="shared" si="48"/>
        <v>1.274180851668838E-2</v>
      </c>
      <c r="H311" s="411">
        <v>32.82</v>
      </c>
      <c r="I311" s="418">
        <f t="shared" si="49"/>
        <v>3.5331230283911719E-2</v>
      </c>
      <c r="J311" s="411">
        <v>3383.54</v>
      </c>
      <c r="K311" s="418">
        <f t="shared" si="50"/>
        <v>1.274180851668838E-2</v>
      </c>
      <c r="L311" s="411">
        <v>32.82</v>
      </c>
      <c r="M311" s="418">
        <f t="shared" si="51"/>
        <v>3.5331230283911719E-2</v>
      </c>
      <c r="N311" s="411"/>
      <c r="O311" s="388"/>
      <c r="Q311" s="388"/>
    </row>
    <row r="312" spans="1:17">
      <c r="A312" s="408">
        <v>44085</v>
      </c>
      <c r="B312" s="411">
        <v>3340.97</v>
      </c>
      <c r="C312" s="418">
        <f t="shared" si="46"/>
        <v>5.3306340759284865E-4</v>
      </c>
      <c r="D312" s="411">
        <v>31.7</v>
      </c>
      <c r="E312" s="418">
        <f t="shared" si="47"/>
        <v>-2.8310789556463822E-3</v>
      </c>
      <c r="F312" s="411">
        <v>3340.97</v>
      </c>
      <c r="G312" s="418">
        <f t="shared" si="48"/>
        <v>5.3306340759284865E-4</v>
      </c>
      <c r="H312" s="411">
        <v>31.7</v>
      </c>
      <c r="I312" s="418">
        <f t="shared" si="49"/>
        <v>-2.8310789556463822E-3</v>
      </c>
      <c r="J312" s="411">
        <v>3340.97</v>
      </c>
      <c r="K312" s="418">
        <f t="shared" si="50"/>
        <v>5.3306340759284865E-4</v>
      </c>
      <c r="L312" s="411">
        <v>31.7</v>
      </c>
      <c r="M312" s="418">
        <f t="shared" si="51"/>
        <v>-2.8310789556463822E-3</v>
      </c>
      <c r="N312" s="411"/>
      <c r="O312" s="388"/>
      <c r="Q312" s="388"/>
    </row>
    <row r="313" spans="1:17">
      <c r="A313" s="408">
        <v>44084</v>
      </c>
      <c r="B313" s="411">
        <v>3339.19</v>
      </c>
      <c r="C313" s="418">
        <f t="shared" si="46"/>
        <v>-1.7584790641843373E-2</v>
      </c>
      <c r="D313" s="411">
        <v>31.79</v>
      </c>
      <c r="E313" s="418">
        <f t="shared" si="47"/>
        <v>9.4458438287148283E-4</v>
      </c>
      <c r="F313" s="411">
        <v>3339.19</v>
      </c>
      <c r="G313" s="418">
        <f t="shared" si="48"/>
        <v>-1.7584790641843373E-2</v>
      </c>
      <c r="H313" s="411">
        <v>31.79</v>
      </c>
      <c r="I313" s="418">
        <f t="shared" si="49"/>
        <v>9.4458438287148283E-4</v>
      </c>
      <c r="J313" s="411">
        <v>3339.19</v>
      </c>
      <c r="K313" s="418">
        <f t="shared" si="50"/>
        <v>-1.7584790641843373E-2</v>
      </c>
      <c r="L313" s="411">
        <v>31.79</v>
      </c>
      <c r="M313" s="418">
        <f t="shared" si="51"/>
        <v>9.4458438287148283E-4</v>
      </c>
      <c r="N313" s="411"/>
      <c r="O313" s="388"/>
      <c r="Q313" s="388"/>
    </row>
    <row r="314" spans="1:17">
      <c r="A314" s="408">
        <v>44083</v>
      </c>
      <c r="B314" s="411">
        <v>3398.96</v>
      </c>
      <c r="C314" s="418">
        <f t="shared" si="46"/>
        <v>2.0145024971186976E-2</v>
      </c>
      <c r="D314" s="411">
        <v>31.76</v>
      </c>
      <c r="E314" s="418">
        <f t="shared" si="47"/>
        <v>-2.3970497848801453E-2</v>
      </c>
      <c r="F314" s="411">
        <v>3398.96</v>
      </c>
      <c r="G314" s="418">
        <f t="shared" si="48"/>
        <v>2.0145024971186976E-2</v>
      </c>
      <c r="H314" s="411">
        <v>31.76</v>
      </c>
      <c r="I314" s="418">
        <f t="shared" si="49"/>
        <v>-2.3970497848801453E-2</v>
      </c>
      <c r="J314" s="411">
        <v>3398.96</v>
      </c>
      <c r="K314" s="418">
        <f t="shared" si="50"/>
        <v>2.0145024971186976E-2</v>
      </c>
      <c r="L314" s="411">
        <v>31.76</v>
      </c>
      <c r="M314" s="418">
        <f t="shared" si="51"/>
        <v>-2.3970497848801453E-2</v>
      </c>
      <c r="N314" s="411"/>
      <c r="O314" s="388"/>
      <c r="Q314" s="388"/>
    </row>
    <row r="315" spans="1:17">
      <c r="A315" s="408">
        <v>44082</v>
      </c>
      <c r="B315" s="411">
        <v>3331.84</v>
      </c>
      <c r="C315" s="418">
        <f t="shared" si="46"/>
        <v>-2.7756378831384043E-2</v>
      </c>
      <c r="D315" s="411">
        <v>32.54</v>
      </c>
      <c r="E315" s="418">
        <f t="shared" si="47"/>
        <v>2.4236701290525575E-2</v>
      </c>
      <c r="F315" s="411">
        <v>3331.84</v>
      </c>
      <c r="G315" s="418">
        <f t="shared" si="48"/>
        <v>-2.7756378831384043E-2</v>
      </c>
      <c r="H315" s="411">
        <v>32.54</v>
      </c>
      <c r="I315" s="418">
        <f t="shared" si="49"/>
        <v>2.4236701290525575E-2</v>
      </c>
      <c r="J315" s="411">
        <v>3331.84</v>
      </c>
      <c r="K315" s="418">
        <f t="shared" si="50"/>
        <v>-2.7756378831384043E-2</v>
      </c>
      <c r="L315" s="411">
        <v>32.54</v>
      </c>
      <c r="M315" s="418">
        <f t="shared" si="51"/>
        <v>2.4236701290525575E-2</v>
      </c>
      <c r="N315" s="411"/>
      <c r="O315" s="388"/>
      <c r="Q315" s="388"/>
    </row>
    <row r="316" spans="1:17">
      <c r="A316" s="408">
        <v>44078</v>
      </c>
      <c r="B316" s="411">
        <v>3426.96</v>
      </c>
      <c r="C316" s="418">
        <f t="shared" si="46"/>
        <v>-8.1329991374968769E-3</v>
      </c>
      <c r="D316" s="411">
        <v>31.77</v>
      </c>
      <c r="E316" s="418">
        <f t="shared" si="47"/>
        <v>1.7616912235746351E-2</v>
      </c>
      <c r="F316" s="411">
        <v>3426.96</v>
      </c>
      <c r="G316" s="418">
        <f t="shared" si="48"/>
        <v>-8.1329991374968769E-3</v>
      </c>
      <c r="H316" s="411">
        <v>31.77</v>
      </c>
      <c r="I316" s="418">
        <f t="shared" si="49"/>
        <v>1.7616912235746351E-2</v>
      </c>
      <c r="J316" s="411">
        <v>3426.96</v>
      </c>
      <c r="K316" s="418">
        <f t="shared" si="50"/>
        <v>-8.1329991374968769E-3</v>
      </c>
      <c r="L316" s="411">
        <v>31.77</v>
      </c>
      <c r="M316" s="418">
        <f t="shared" si="51"/>
        <v>1.7616912235746351E-2</v>
      </c>
      <c r="N316" s="411"/>
      <c r="O316" s="388"/>
      <c r="Q316" s="388"/>
    </row>
    <row r="317" spans="1:17">
      <c r="A317" s="408">
        <v>44077</v>
      </c>
      <c r="B317" s="411">
        <v>3455.06</v>
      </c>
      <c r="C317" s="418">
        <f t="shared" si="46"/>
        <v>-3.5125836395929477E-2</v>
      </c>
      <c r="D317" s="411">
        <v>31.22</v>
      </c>
      <c r="E317" s="418">
        <f t="shared" si="47"/>
        <v>2.5690430314706525E-3</v>
      </c>
      <c r="F317" s="411">
        <v>3455.06</v>
      </c>
      <c r="G317" s="418">
        <f t="shared" si="48"/>
        <v>-3.5125836395929477E-2</v>
      </c>
      <c r="H317" s="411">
        <v>31.22</v>
      </c>
      <c r="I317" s="418">
        <f t="shared" si="49"/>
        <v>2.5690430314706525E-3</v>
      </c>
      <c r="J317" s="411">
        <v>3455.06</v>
      </c>
      <c r="K317" s="418">
        <f t="shared" si="50"/>
        <v>-3.5125836395929477E-2</v>
      </c>
      <c r="L317" s="411">
        <v>31.22</v>
      </c>
      <c r="M317" s="418">
        <f t="shared" si="51"/>
        <v>2.5690430314706525E-3</v>
      </c>
      <c r="N317" s="411"/>
      <c r="O317" s="388"/>
      <c r="Q317" s="388"/>
    </row>
    <row r="318" spans="1:17">
      <c r="A318" s="408">
        <v>44076</v>
      </c>
      <c r="B318" s="411">
        <v>3580.84</v>
      </c>
      <c r="C318" s="418">
        <f t="shared" si="46"/>
        <v>1.5365857116526938E-2</v>
      </c>
      <c r="D318" s="411">
        <v>31.14</v>
      </c>
      <c r="E318" s="418">
        <f t="shared" si="47"/>
        <v>1.4001953760989894E-2</v>
      </c>
      <c r="F318" s="411">
        <v>3580.84</v>
      </c>
      <c r="G318" s="418">
        <f t="shared" si="48"/>
        <v>1.5365857116526938E-2</v>
      </c>
      <c r="H318" s="411">
        <v>31.14</v>
      </c>
      <c r="I318" s="418">
        <f t="shared" si="49"/>
        <v>1.4001953760989894E-2</v>
      </c>
      <c r="J318" s="411">
        <v>3580.84</v>
      </c>
      <c r="K318" s="418">
        <f t="shared" si="50"/>
        <v>1.5365857116526938E-2</v>
      </c>
      <c r="L318" s="411">
        <v>31.14</v>
      </c>
      <c r="M318" s="418">
        <f t="shared" si="51"/>
        <v>1.4001953760989894E-2</v>
      </c>
      <c r="N318" s="411"/>
      <c r="O318" s="388"/>
      <c r="Q318" s="388"/>
    </row>
    <row r="319" spans="1:17">
      <c r="A319" s="408">
        <v>44075</v>
      </c>
      <c r="B319" s="411">
        <v>3526.65</v>
      </c>
      <c r="C319" s="418">
        <f t="shared" si="46"/>
        <v>7.5250477814823302E-3</v>
      </c>
      <c r="D319" s="411">
        <v>30.71</v>
      </c>
      <c r="E319" s="418">
        <f t="shared" si="47"/>
        <v>-4.5380875202593041E-3</v>
      </c>
      <c r="F319" s="411">
        <v>3526.65</v>
      </c>
      <c r="G319" s="418">
        <f t="shared" si="48"/>
        <v>7.5250477814823302E-3</v>
      </c>
      <c r="H319" s="411">
        <v>30.71</v>
      </c>
      <c r="I319" s="418">
        <f t="shared" si="49"/>
        <v>-4.5380875202593041E-3</v>
      </c>
      <c r="J319" s="411">
        <v>3526.65</v>
      </c>
      <c r="K319" s="418">
        <f t="shared" si="50"/>
        <v>7.5250477814823302E-3</v>
      </c>
      <c r="L319" s="411">
        <v>30.71</v>
      </c>
      <c r="M319" s="418">
        <f t="shared" si="51"/>
        <v>-4.5380875202593041E-3</v>
      </c>
      <c r="N319" s="411"/>
      <c r="O319" s="388"/>
      <c r="Q319" s="388"/>
    </row>
    <row r="320" spans="1:17">
      <c r="A320" s="408">
        <v>44074</v>
      </c>
      <c r="B320" s="411">
        <v>3500.31</v>
      </c>
      <c r="C320" s="418">
        <f t="shared" si="46"/>
        <v>-2.1949766391772263E-3</v>
      </c>
      <c r="D320" s="411">
        <v>30.85</v>
      </c>
      <c r="E320" s="418">
        <f t="shared" si="47"/>
        <v>-3.5636136292591325E-2</v>
      </c>
      <c r="F320" s="411">
        <v>3500.31</v>
      </c>
      <c r="G320" s="418">
        <f t="shared" si="48"/>
        <v>-2.1949766391772263E-3</v>
      </c>
      <c r="H320" s="411">
        <v>30.85</v>
      </c>
      <c r="I320" s="418">
        <f t="shared" si="49"/>
        <v>-3.5636136292591325E-2</v>
      </c>
      <c r="J320" s="411">
        <v>3500.31</v>
      </c>
      <c r="K320" s="418">
        <f t="shared" si="50"/>
        <v>-2.1949766391772263E-3</v>
      </c>
      <c r="L320" s="411">
        <v>30.85</v>
      </c>
      <c r="M320" s="418">
        <f t="shared" si="51"/>
        <v>-3.5636136292591325E-2</v>
      </c>
      <c r="N320" s="411"/>
      <c r="O320" s="388"/>
      <c r="Q320" s="388"/>
    </row>
    <row r="321" spans="1:17">
      <c r="A321" s="408">
        <v>44071</v>
      </c>
      <c r="B321" s="411">
        <v>3508.01</v>
      </c>
      <c r="C321" s="418">
        <f t="shared" si="46"/>
        <v>6.732576659826961E-3</v>
      </c>
      <c r="D321" s="411">
        <v>31.99</v>
      </c>
      <c r="E321" s="418">
        <f t="shared" si="47"/>
        <v>3.7962362102530678E-2</v>
      </c>
      <c r="F321" s="411">
        <v>3508.01</v>
      </c>
      <c r="G321" s="418">
        <f t="shared" si="48"/>
        <v>6.732576659826961E-3</v>
      </c>
      <c r="H321" s="411">
        <v>31.99</v>
      </c>
      <c r="I321" s="418">
        <f t="shared" si="49"/>
        <v>3.7962362102530678E-2</v>
      </c>
      <c r="J321" s="411">
        <v>3508.01</v>
      </c>
      <c r="K321" s="418">
        <f t="shared" si="50"/>
        <v>6.732576659826961E-3</v>
      </c>
      <c r="L321" s="411">
        <v>31.99</v>
      </c>
      <c r="M321" s="418">
        <f t="shared" si="51"/>
        <v>3.7962362102530678E-2</v>
      </c>
      <c r="N321" s="411"/>
      <c r="O321" s="388"/>
      <c r="Q321" s="388"/>
    </row>
    <row r="322" spans="1:17">
      <c r="A322" s="408">
        <v>44070</v>
      </c>
      <c r="B322" s="411">
        <v>3484.55</v>
      </c>
      <c r="C322" s="418">
        <f t="shared" si="46"/>
        <v>1.6730243508407128E-3</v>
      </c>
      <c r="D322" s="411">
        <v>30.82</v>
      </c>
      <c r="E322" s="418">
        <f t="shared" si="47"/>
        <v>2.9048414023372215E-2</v>
      </c>
      <c r="F322" s="411">
        <v>3484.55</v>
      </c>
      <c r="G322" s="418">
        <f t="shared" si="48"/>
        <v>1.6730243508407128E-3</v>
      </c>
      <c r="H322" s="411">
        <v>30.82</v>
      </c>
      <c r="I322" s="418">
        <f t="shared" si="49"/>
        <v>2.9048414023372215E-2</v>
      </c>
      <c r="J322" s="411">
        <v>3484.55</v>
      </c>
      <c r="K322" s="418">
        <f t="shared" si="50"/>
        <v>1.6730243508407128E-3</v>
      </c>
      <c r="L322" s="411">
        <v>30.82</v>
      </c>
      <c r="M322" s="418">
        <f t="shared" si="51"/>
        <v>2.9048414023372215E-2</v>
      </c>
      <c r="N322" s="411"/>
      <c r="O322" s="388"/>
      <c r="Q322" s="388"/>
    </row>
    <row r="323" spans="1:17">
      <c r="A323" s="408">
        <v>44069</v>
      </c>
      <c r="B323" s="411">
        <v>3478.73</v>
      </c>
      <c r="C323" s="418">
        <f t="shared" si="46"/>
        <v>1.0195666188487662E-2</v>
      </c>
      <c r="D323" s="411">
        <v>29.95</v>
      </c>
      <c r="E323" s="418">
        <f t="shared" si="47"/>
        <v>-4.983388704319025E-3</v>
      </c>
      <c r="F323" s="411">
        <v>3478.73</v>
      </c>
      <c r="G323" s="418">
        <f t="shared" si="48"/>
        <v>1.0195666188487662E-2</v>
      </c>
      <c r="H323" s="411">
        <v>29.95</v>
      </c>
      <c r="I323" s="418">
        <f t="shared" si="49"/>
        <v>-4.983388704319025E-3</v>
      </c>
      <c r="J323" s="411">
        <v>3478.73</v>
      </c>
      <c r="K323" s="418">
        <f t="shared" si="50"/>
        <v>1.0195666188487662E-2</v>
      </c>
      <c r="L323" s="411">
        <v>29.95</v>
      </c>
      <c r="M323" s="418">
        <f t="shared" si="51"/>
        <v>-4.983388704319025E-3</v>
      </c>
      <c r="N323" s="411"/>
      <c r="O323" s="388"/>
      <c r="Q323" s="388"/>
    </row>
    <row r="324" spans="1:17">
      <c r="A324" s="408">
        <v>44068</v>
      </c>
      <c r="B324" s="411">
        <v>3443.62</v>
      </c>
      <c r="C324" s="418">
        <f t="shared" si="46"/>
        <v>3.5963255694666518E-3</v>
      </c>
      <c r="D324" s="411">
        <v>30.1</v>
      </c>
      <c r="E324" s="418">
        <f t="shared" si="47"/>
        <v>1.0067114093959662E-2</v>
      </c>
      <c r="F324" s="411">
        <v>3443.62</v>
      </c>
      <c r="G324" s="418">
        <f t="shared" si="48"/>
        <v>3.5963255694666518E-3</v>
      </c>
      <c r="H324" s="411">
        <v>30.1</v>
      </c>
      <c r="I324" s="418">
        <f t="shared" si="49"/>
        <v>1.0067114093959662E-2</v>
      </c>
      <c r="J324" s="411">
        <v>3443.62</v>
      </c>
      <c r="K324" s="418">
        <f t="shared" si="50"/>
        <v>3.5963255694666518E-3</v>
      </c>
      <c r="L324" s="411">
        <v>30.1</v>
      </c>
      <c r="M324" s="418">
        <f t="shared" si="51"/>
        <v>1.0067114093959662E-2</v>
      </c>
      <c r="N324" s="411"/>
      <c r="O324" s="388"/>
      <c r="Q324" s="388"/>
    </row>
    <row r="325" spans="1:17">
      <c r="A325" s="408">
        <v>44067</v>
      </c>
      <c r="B325" s="411">
        <v>3431.28</v>
      </c>
      <c r="C325" s="418">
        <f t="shared" si="46"/>
        <v>1.004368354743379E-2</v>
      </c>
      <c r="D325" s="411">
        <v>29.8</v>
      </c>
      <c r="E325" s="418">
        <f t="shared" si="47"/>
        <v>9.2775944261092924E-2</v>
      </c>
      <c r="F325" s="411">
        <v>3431.28</v>
      </c>
      <c r="G325" s="418">
        <f t="shared" si="48"/>
        <v>1.004368354743379E-2</v>
      </c>
      <c r="H325" s="411">
        <v>29.8</v>
      </c>
      <c r="I325" s="418">
        <f t="shared" si="49"/>
        <v>9.2775944261092924E-2</v>
      </c>
      <c r="J325" s="411">
        <v>3431.28</v>
      </c>
      <c r="K325" s="418">
        <f t="shared" si="50"/>
        <v>1.004368354743379E-2</v>
      </c>
      <c r="L325" s="411">
        <v>29.8</v>
      </c>
      <c r="M325" s="418">
        <f t="shared" si="51"/>
        <v>9.2775944261092924E-2</v>
      </c>
      <c r="N325" s="411"/>
      <c r="O325" s="388"/>
      <c r="Q325" s="388"/>
    </row>
    <row r="326" spans="1:17">
      <c r="A326" s="408">
        <v>44064</v>
      </c>
      <c r="B326" s="411">
        <v>3397.16</v>
      </c>
      <c r="C326" s="418">
        <f t="shared" si="46"/>
        <v>3.4411358997610275E-3</v>
      </c>
      <c r="D326" s="411">
        <v>27.27</v>
      </c>
      <c r="E326" s="418">
        <f t="shared" si="47"/>
        <v>-1.2671976828385279E-2</v>
      </c>
      <c r="F326" s="411">
        <v>3397.16</v>
      </c>
      <c r="G326" s="418">
        <f t="shared" si="48"/>
        <v>3.4411358997610275E-3</v>
      </c>
      <c r="H326" s="411">
        <v>27.27</v>
      </c>
      <c r="I326" s="418">
        <f t="shared" si="49"/>
        <v>-1.2671976828385279E-2</v>
      </c>
      <c r="J326" s="411">
        <v>3397.16</v>
      </c>
      <c r="K326" s="418">
        <f t="shared" si="50"/>
        <v>3.4411358997610275E-3</v>
      </c>
      <c r="L326" s="411">
        <v>27.27</v>
      </c>
      <c r="M326" s="418">
        <f t="shared" si="51"/>
        <v>-1.2671976828385279E-2</v>
      </c>
      <c r="N326" s="411"/>
      <c r="O326" s="388"/>
      <c r="Q326" s="388"/>
    </row>
    <row r="327" spans="1:17">
      <c r="A327" s="408">
        <v>44063</v>
      </c>
      <c r="B327" s="411">
        <v>3385.51</v>
      </c>
      <c r="C327" s="418">
        <f t="shared" si="46"/>
        <v>3.1586589033587575E-3</v>
      </c>
      <c r="D327" s="411">
        <v>27.62</v>
      </c>
      <c r="E327" s="418">
        <f t="shared" si="47"/>
        <v>-1.8070112034694885E-3</v>
      </c>
      <c r="F327" s="411">
        <v>3385.51</v>
      </c>
      <c r="G327" s="418">
        <f t="shared" si="48"/>
        <v>3.1586589033587575E-3</v>
      </c>
      <c r="H327" s="411">
        <v>27.62</v>
      </c>
      <c r="I327" s="418">
        <f t="shared" si="49"/>
        <v>-1.8070112034694885E-3</v>
      </c>
      <c r="J327" s="411">
        <v>3385.51</v>
      </c>
      <c r="K327" s="418">
        <f t="shared" si="50"/>
        <v>3.1586589033587575E-3</v>
      </c>
      <c r="L327" s="411">
        <v>27.62</v>
      </c>
      <c r="M327" s="418">
        <f t="shared" si="51"/>
        <v>-1.8070112034694885E-3</v>
      </c>
      <c r="N327" s="411"/>
      <c r="O327" s="388"/>
      <c r="Q327" s="388"/>
    </row>
    <row r="328" spans="1:17">
      <c r="A328" s="408">
        <v>44062</v>
      </c>
      <c r="B328" s="411">
        <v>3374.85</v>
      </c>
      <c r="C328" s="418">
        <f t="shared" ref="C328:C391" si="62">B328/B329-1</f>
        <v>-4.4044156257928568E-3</v>
      </c>
      <c r="D328" s="411">
        <v>27.67</v>
      </c>
      <c r="E328" s="418">
        <f t="shared" ref="E328:E391" si="63">D328/D329-1</f>
        <v>1.4477017734346731E-3</v>
      </c>
      <c r="F328" s="411">
        <v>3374.85</v>
      </c>
      <c r="G328" s="418">
        <f t="shared" ref="G328:G391" si="64">F328/F329-1</f>
        <v>-4.4044156257928568E-3</v>
      </c>
      <c r="H328" s="411">
        <v>27.67</v>
      </c>
      <c r="I328" s="418">
        <f t="shared" ref="I328:I391" si="65">H328/H329-1</f>
        <v>1.4477017734346731E-3</v>
      </c>
      <c r="J328" s="411">
        <v>3374.85</v>
      </c>
      <c r="K328" s="418">
        <f t="shared" ref="K328:K391" si="66">J328/J329-1</f>
        <v>-4.4044156257928568E-3</v>
      </c>
      <c r="L328" s="411">
        <v>27.67</v>
      </c>
      <c r="M328" s="418">
        <f t="shared" ref="M328:M391" si="67">L328/L329-1</f>
        <v>1.4477017734346731E-3</v>
      </c>
      <c r="N328" s="411"/>
      <c r="O328" s="388"/>
      <c r="Q328" s="388"/>
    </row>
    <row r="329" spans="1:17">
      <c r="A329" s="408">
        <v>44061</v>
      </c>
      <c r="B329" s="411">
        <v>3389.78</v>
      </c>
      <c r="C329" s="418">
        <f t="shared" si="62"/>
        <v>2.3033775972136628E-3</v>
      </c>
      <c r="D329" s="411">
        <v>27.63</v>
      </c>
      <c r="E329" s="418">
        <f t="shared" si="63"/>
        <v>-1.3918629550321193E-2</v>
      </c>
      <c r="F329" s="411">
        <v>3389.78</v>
      </c>
      <c r="G329" s="418">
        <f t="shared" si="64"/>
        <v>2.3033775972136628E-3</v>
      </c>
      <c r="H329" s="411">
        <v>27.63</v>
      </c>
      <c r="I329" s="418">
        <f t="shared" si="65"/>
        <v>-1.3918629550321193E-2</v>
      </c>
      <c r="J329" s="411">
        <v>3389.78</v>
      </c>
      <c r="K329" s="418">
        <f t="shared" si="66"/>
        <v>2.3033775972136628E-3</v>
      </c>
      <c r="L329" s="411">
        <v>27.63</v>
      </c>
      <c r="M329" s="418">
        <f t="shared" si="67"/>
        <v>-1.3918629550321193E-2</v>
      </c>
      <c r="N329" s="411"/>
      <c r="O329" s="388"/>
      <c r="Q329" s="388"/>
    </row>
    <row r="330" spans="1:17">
      <c r="A330" s="408">
        <v>44060</v>
      </c>
      <c r="B330" s="411">
        <v>3381.99</v>
      </c>
      <c r="C330" s="418">
        <f t="shared" si="62"/>
        <v>2.7098744385312123E-3</v>
      </c>
      <c r="D330" s="411">
        <v>28.02</v>
      </c>
      <c r="E330" s="418">
        <f t="shared" si="63"/>
        <v>-3.2124352331606154E-2</v>
      </c>
      <c r="F330" s="411">
        <v>3381.99</v>
      </c>
      <c r="G330" s="418">
        <f t="shared" si="64"/>
        <v>2.7098744385312123E-3</v>
      </c>
      <c r="H330" s="411">
        <v>28.02</v>
      </c>
      <c r="I330" s="418">
        <f t="shared" si="65"/>
        <v>-3.2124352331606154E-2</v>
      </c>
      <c r="J330" s="411">
        <v>3381.99</v>
      </c>
      <c r="K330" s="418">
        <f t="shared" si="66"/>
        <v>2.7098744385312123E-3</v>
      </c>
      <c r="L330" s="411">
        <v>28.02</v>
      </c>
      <c r="M330" s="418">
        <f t="shared" si="67"/>
        <v>-3.2124352331606154E-2</v>
      </c>
      <c r="N330" s="411"/>
      <c r="O330" s="388"/>
      <c r="Q330" s="388"/>
    </row>
    <row r="331" spans="1:17">
      <c r="A331" s="408">
        <v>44057</v>
      </c>
      <c r="B331" s="411">
        <v>3372.85</v>
      </c>
      <c r="C331" s="418">
        <f t="shared" si="62"/>
        <v>-1.7193183199293305E-4</v>
      </c>
      <c r="D331" s="411">
        <v>28.95</v>
      </c>
      <c r="E331" s="418">
        <f t="shared" si="63"/>
        <v>8.7108013937282625E-3</v>
      </c>
      <c r="F331" s="411">
        <v>3372.85</v>
      </c>
      <c r="G331" s="418">
        <f t="shared" si="64"/>
        <v>-1.7193183199293305E-4</v>
      </c>
      <c r="H331" s="411">
        <v>28.95</v>
      </c>
      <c r="I331" s="418">
        <f t="shared" si="65"/>
        <v>8.7108013937282625E-3</v>
      </c>
      <c r="J331" s="411">
        <v>3372.85</v>
      </c>
      <c r="K331" s="418">
        <f t="shared" si="66"/>
        <v>-1.7193183199293305E-4</v>
      </c>
      <c r="L331" s="411">
        <v>28.95</v>
      </c>
      <c r="M331" s="418">
        <f t="shared" si="67"/>
        <v>8.7108013937282625E-3</v>
      </c>
      <c r="N331" s="411"/>
      <c r="O331" s="388"/>
      <c r="Q331" s="388"/>
    </row>
    <row r="332" spans="1:17">
      <c r="A332" s="408">
        <v>44056</v>
      </c>
      <c r="B332" s="411">
        <v>3373.43</v>
      </c>
      <c r="C332" s="418">
        <f t="shared" si="62"/>
        <v>-2.0471252976762555E-3</v>
      </c>
      <c r="D332" s="411">
        <v>28.7</v>
      </c>
      <c r="E332" s="418">
        <f t="shared" si="63"/>
        <v>-1.3406668958404921E-2</v>
      </c>
      <c r="F332" s="411">
        <v>3373.43</v>
      </c>
      <c r="G332" s="418">
        <f t="shared" si="64"/>
        <v>-2.0471252976762555E-3</v>
      </c>
      <c r="H332" s="411">
        <v>28.7</v>
      </c>
      <c r="I332" s="418">
        <f t="shared" si="65"/>
        <v>-1.3406668958404921E-2</v>
      </c>
      <c r="J332" s="411">
        <v>3373.43</v>
      </c>
      <c r="K332" s="418">
        <f t="shared" si="66"/>
        <v>-2.0471252976762555E-3</v>
      </c>
      <c r="L332" s="411">
        <v>28.7</v>
      </c>
      <c r="M332" s="418">
        <f t="shared" si="67"/>
        <v>-1.3406668958404921E-2</v>
      </c>
      <c r="N332" s="411"/>
      <c r="O332" s="388"/>
      <c r="Q332" s="388"/>
    </row>
    <row r="333" spans="1:17">
      <c r="A333" s="408">
        <v>44055</v>
      </c>
      <c r="B333" s="411">
        <v>3380.35</v>
      </c>
      <c r="C333" s="418">
        <f t="shared" si="62"/>
        <v>1.3996502374245878E-2</v>
      </c>
      <c r="D333" s="411">
        <v>29.09</v>
      </c>
      <c r="E333" s="418">
        <f t="shared" si="63"/>
        <v>-1.8556005398110642E-2</v>
      </c>
      <c r="F333" s="411">
        <v>3380.35</v>
      </c>
      <c r="G333" s="418">
        <f t="shared" si="64"/>
        <v>1.3996502374245878E-2</v>
      </c>
      <c r="H333" s="411">
        <v>29.09</v>
      </c>
      <c r="I333" s="418">
        <f t="shared" si="65"/>
        <v>-1.8556005398110642E-2</v>
      </c>
      <c r="J333" s="411">
        <v>3380.35</v>
      </c>
      <c r="K333" s="418">
        <f t="shared" si="66"/>
        <v>1.3996502374245878E-2</v>
      </c>
      <c r="L333" s="411">
        <v>29.09</v>
      </c>
      <c r="M333" s="418">
        <f t="shared" si="67"/>
        <v>-1.8556005398110642E-2</v>
      </c>
      <c r="N333" s="411"/>
      <c r="O333" s="388"/>
      <c r="Q333" s="388"/>
    </row>
    <row r="334" spans="1:17">
      <c r="A334" s="408">
        <v>44054</v>
      </c>
      <c r="B334" s="411">
        <v>3333.69</v>
      </c>
      <c r="C334" s="418">
        <f t="shared" si="62"/>
        <v>-7.9691233666718819E-3</v>
      </c>
      <c r="D334" s="411">
        <v>29.64</v>
      </c>
      <c r="E334" s="418">
        <f t="shared" si="63"/>
        <v>1.0224948875255713E-2</v>
      </c>
      <c r="F334" s="411">
        <v>3333.69</v>
      </c>
      <c r="G334" s="418">
        <f t="shared" si="64"/>
        <v>-7.9691233666718819E-3</v>
      </c>
      <c r="H334" s="411">
        <v>29.64</v>
      </c>
      <c r="I334" s="418">
        <f t="shared" si="65"/>
        <v>1.0224948875255713E-2</v>
      </c>
      <c r="J334" s="411">
        <v>3333.69</v>
      </c>
      <c r="K334" s="418">
        <f t="shared" si="66"/>
        <v>-7.9691233666718819E-3</v>
      </c>
      <c r="L334" s="411">
        <v>29.64</v>
      </c>
      <c r="M334" s="418">
        <f t="shared" si="67"/>
        <v>1.0224948875255713E-2</v>
      </c>
      <c r="N334" s="411"/>
      <c r="O334" s="388"/>
      <c r="Q334" s="388"/>
    </row>
    <row r="335" spans="1:17">
      <c r="A335" s="408">
        <v>44053</v>
      </c>
      <c r="B335" s="411">
        <v>3360.47</v>
      </c>
      <c r="C335" s="418">
        <f t="shared" si="62"/>
        <v>2.7422358024395965E-3</v>
      </c>
      <c r="D335" s="411">
        <v>29.34</v>
      </c>
      <c r="E335" s="418">
        <f t="shared" si="63"/>
        <v>7.9470198675496651E-2</v>
      </c>
      <c r="F335" s="411">
        <v>3360.47</v>
      </c>
      <c r="G335" s="418">
        <f t="shared" si="64"/>
        <v>2.7422358024395965E-3</v>
      </c>
      <c r="H335" s="411">
        <v>29.34</v>
      </c>
      <c r="I335" s="418">
        <f t="shared" si="65"/>
        <v>7.9470198675496651E-2</v>
      </c>
      <c r="J335" s="411">
        <v>3360.47</v>
      </c>
      <c r="K335" s="418">
        <f t="shared" si="66"/>
        <v>2.7422358024395965E-3</v>
      </c>
      <c r="L335" s="411">
        <v>29.34</v>
      </c>
      <c r="M335" s="418">
        <f t="shared" si="67"/>
        <v>7.9470198675496651E-2</v>
      </c>
      <c r="N335" s="411"/>
      <c r="O335" s="388"/>
      <c r="Q335" s="388"/>
    </row>
    <row r="336" spans="1:17">
      <c r="A336" s="408">
        <v>44050</v>
      </c>
      <c r="B336" s="411">
        <v>3351.28</v>
      </c>
      <c r="C336" s="418">
        <f t="shared" si="62"/>
        <v>6.329945419150107E-4</v>
      </c>
      <c r="D336" s="411">
        <v>27.18</v>
      </c>
      <c r="E336" s="418">
        <f t="shared" si="63"/>
        <v>3.6927621861153614E-3</v>
      </c>
      <c r="F336" s="411">
        <v>3351.28</v>
      </c>
      <c r="G336" s="418">
        <f t="shared" si="64"/>
        <v>6.329945419150107E-4</v>
      </c>
      <c r="H336" s="411">
        <v>27.18</v>
      </c>
      <c r="I336" s="418">
        <f t="shared" si="65"/>
        <v>3.6927621861153614E-3</v>
      </c>
      <c r="J336" s="411">
        <v>3351.28</v>
      </c>
      <c r="K336" s="418">
        <f t="shared" si="66"/>
        <v>6.329945419150107E-4</v>
      </c>
      <c r="L336" s="411">
        <v>27.18</v>
      </c>
      <c r="M336" s="418">
        <f t="shared" si="67"/>
        <v>3.6927621861153614E-3</v>
      </c>
      <c r="N336" s="411"/>
      <c r="O336" s="388"/>
      <c r="Q336" s="388"/>
    </row>
    <row r="337" spans="1:17">
      <c r="A337" s="408">
        <v>44049</v>
      </c>
      <c r="B337" s="411">
        <v>3349.16</v>
      </c>
      <c r="C337" s="418">
        <f t="shared" si="62"/>
        <v>6.4277278778279712E-3</v>
      </c>
      <c r="D337" s="411">
        <v>27.08</v>
      </c>
      <c r="E337" s="418">
        <f t="shared" si="63"/>
        <v>2.3044956554590046E-2</v>
      </c>
      <c r="F337" s="411">
        <v>3349.16</v>
      </c>
      <c r="G337" s="418">
        <f t="shared" si="64"/>
        <v>6.4277278778279712E-3</v>
      </c>
      <c r="H337" s="411">
        <v>27.08</v>
      </c>
      <c r="I337" s="418">
        <f t="shared" si="65"/>
        <v>2.3044956554590046E-2</v>
      </c>
      <c r="J337" s="411">
        <v>3349.16</v>
      </c>
      <c r="K337" s="418">
        <f t="shared" si="66"/>
        <v>6.4277278778279712E-3</v>
      </c>
      <c r="L337" s="411">
        <v>27.08</v>
      </c>
      <c r="M337" s="418">
        <f t="shared" si="67"/>
        <v>2.3044956554590046E-2</v>
      </c>
      <c r="N337" s="411"/>
      <c r="O337" s="388"/>
      <c r="Q337" s="388"/>
    </row>
    <row r="338" spans="1:17">
      <c r="A338" s="408">
        <v>44048</v>
      </c>
      <c r="B338" s="411">
        <v>3327.77</v>
      </c>
      <c r="C338" s="418">
        <f t="shared" si="62"/>
        <v>6.4297401187354275E-3</v>
      </c>
      <c r="D338" s="411">
        <v>26.47</v>
      </c>
      <c r="E338" s="418">
        <f t="shared" si="63"/>
        <v>3.1164783794312312E-2</v>
      </c>
      <c r="F338" s="411">
        <v>3327.77</v>
      </c>
      <c r="G338" s="418">
        <f t="shared" si="64"/>
        <v>6.4297401187354275E-3</v>
      </c>
      <c r="H338" s="411">
        <v>26.47</v>
      </c>
      <c r="I338" s="418">
        <f t="shared" si="65"/>
        <v>3.1164783794312312E-2</v>
      </c>
      <c r="J338" s="411">
        <v>3327.77</v>
      </c>
      <c r="K338" s="418">
        <f t="shared" si="66"/>
        <v>6.4297401187354275E-3</v>
      </c>
      <c r="L338" s="411">
        <v>26.47</v>
      </c>
      <c r="M338" s="418">
        <f t="shared" si="67"/>
        <v>3.1164783794312312E-2</v>
      </c>
      <c r="N338" s="411"/>
      <c r="O338" s="388"/>
      <c r="Q338" s="388"/>
    </row>
    <row r="339" spans="1:17">
      <c r="A339" s="408">
        <v>44047</v>
      </c>
      <c r="B339" s="411">
        <v>3306.51</v>
      </c>
      <c r="C339" s="418">
        <f t="shared" si="62"/>
        <v>3.6119601409574376E-3</v>
      </c>
      <c r="D339" s="411">
        <v>25.67</v>
      </c>
      <c r="E339" s="418">
        <f t="shared" si="63"/>
        <v>1.8650793650793807E-2</v>
      </c>
      <c r="F339" s="411">
        <v>3306.51</v>
      </c>
      <c r="G339" s="418">
        <f t="shared" si="64"/>
        <v>3.6119601409574376E-3</v>
      </c>
      <c r="H339" s="411">
        <v>25.67</v>
      </c>
      <c r="I339" s="418">
        <f t="shared" si="65"/>
        <v>1.8650793650793807E-2</v>
      </c>
      <c r="J339" s="411">
        <v>3306.51</v>
      </c>
      <c r="K339" s="418">
        <f t="shared" si="66"/>
        <v>3.6119601409574376E-3</v>
      </c>
      <c r="L339" s="411">
        <v>25.67</v>
      </c>
      <c r="M339" s="418">
        <f t="shared" si="67"/>
        <v>1.8650793650793807E-2</v>
      </c>
      <c r="N339" s="411"/>
      <c r="O339" s="388"/>
      <c r="Q339" s="388"/>
    </row>
    <row r="340" spans="1:17">
      <c r="A340" s="408">
        <v>44046</v>
      </c>
      <c r="B340" s="411">
        <v>3294.61</v>
      </c>
      <c r="C340" s="418">
        <f t="shared" si="62"/>
        <v>7.1810266819927193E-3</v>
      </c>
      <c r="D340" s="411">
        <v>25.2</v>
      </c>
      <c r="E340" s="418">
        <f t="shared" si="63"/>
        <v>9.2110532639166909E-3</v>
      </c>
      <c r="F340" s="411">
        <v>3294.61</v>
      </c>
      <c r="G340" s="418">
        <f t="shared" si="64"/>
        <v>7.1810266819927193E-3</v>
      </c>
      <c r="H340" s="411">
        <v>25.2</v>
      </c>
      <c r="I340" s="418">
        <f t="shared" si="65"/>
        <v>9.2110532639166909E-3</v>
      </c>
      <c r="J340" s="411">
        <v>3294.61</v>
      </c>
      <c r="K340" s="418">
        <f t="shared" si="66"/>
        <v>7.1810266819927193E-3</v>
      </c>
      <c r="L340" s="411">
        <v>25.2</v>
      </c>
      <c r="M340" s="418">
        <f t="shared" si="67"/>
        <v>9.2110532639166909E-3</v>
      </c>
      <c r="N340" s="411"/>
      <c r="O340" s="388"/>
      <c r="Q340" s="388"/>
    </row>
    <row r="341" spans="1:17">
      <c r="A341" s="408">
        <v>44043</v>
      </c>
      <c r="B341" s="411">
        <v>3271.12</v>
      </c>
      <c r="C341" s="418">
        <f t="shared" si="62"/>
        <v>7.6704597963170862E-3</v>
      </c>
      <c r="D341" s="411">
        <v>24.97</v>
      </c>
      <c r="E341" s="418">
        <f t="shared" si="63"/>
        <v>1.2028869286286881E-3</v>
      </c>
      <c r="F341" s="411">
        <v>3271.12</v>
      </c>
      <c r="G341" s="418">
        <f t="shared" si="64"/>
        <v>7.6704597963170862E-3</v>
      </c>
      <c r="H341" s="411">
        <v>24.97</v>
      </c>
      <c r="I341" s="418">
        <f t="shared" si="65"/>
        <v>1.2028869286286881E-3</v>
      </c>
      <c r="J341" s="411">
        <v>3271.12</v>
      </c>
      <c r="K341" s="418">
        <f t="shared" si="66"/>
        <v>7.6704597963170862E-3</v>
      </c>
      <c r="L341" s="411">
        <v>24.97</v>
      </c>
      <c r="M341" s="418">
        <f t="shared" si="67"/>
        <v>1.2028869286286881E-3</v>
      </c>
      <c r="N341" s="411"/>
      <c r="O341" s="388"/>
      <c r="Q341" s="388"/>
    </row>
    <row r="342" spans="1:17">
      <c r="A342" s="408">
        <v>44042</v>
      </c>
      <c r="B342" s="411">
        <v>3246.22</v>
      </c>
      <c r="C342" s="418">
        <f t="shared" si="62"/>
        <v>-3.7502608610255894E-3</v>
      </c>
      <c r="D342" s="411">
        <v>24.94</v>
      </c>
      <c r="E342" s="418">
        <f t="shared" si="63"/>
        <v>-3.0326594090202108E-2</v>
      </c>
      <c r="F342" s="411">
        <v>3246.22</v>
      </c>
      <c r="G342" s="418">
        <f t="shared" si="64"/>
        <v>-3.7502608610255894E-3</v>
      </c>
      <c r="H342" s="411">
        <v>24.94</v>
      </c>
      <c r="I342" s="418">
        <f t="shared" si="65"/>
        <v>-3.0326594090202108E-2</v>
      </c>
      <c r="J342" s="411">
        <v>3246.22</v>
      </c>
      <c r="K342" s="418">
        <f t="shared" si="66"/>
        <v>-3.7502608610255894E-3</v>
      </c>
      <c r="L342" s="411">
        <v>24.94</v>
      </c>
      <c r="M342" s="418">
        <f t="shared" si="67"/>
        <v>-3.0326594090202108E-2</v>
      </c>
      <c r="N342" s="411"/>
      <c r="O342" s="388"/>
      <c r="Q342" s="388"/>
    </row>
    <row r="343" spans="1:17">
      <c r="A343" s="408">
        <v>44041</v>
      </c>
      <c r="B343" s="411">
        <v>3258.44</v>
      </c>
      <c r="C343" s="418">
        <f t="shared" si="62"/>
        <v>1.2428381451883519E-2</v>
      </c>
      <c r="D343" s="411">
        <v>25.72</v>
      </c>
      <c r="E343" s="418">
        <f t="shared" si="63"/>
        <v>-8.4811102544334327E-3</v>
      </c>
      <c r="F343" s="411">
        <v>3258.44</v>
      </c>
      <c r="G343" s="418">
        <f t="shared" si="64"/>
        <v>1.2428381451883519E-2</v>
      </c>
      <c r="H343" s="411">
        <v>25.72</v>
      </c>
      <c r="I343" s="418">
        <f t="shared" si="65"/>
        <v>-8.4811102544334327E-3</v>
      </c>
      <c r="J343" s="411">
        <v>3258.44</v>
      </c>
      <c r="K343" s="418">
        <f t="shared" si="66"/>
        <v>1.2428381451883519E-2</v>
      </c>
      <c r="L343" s="411">
        <v>25.72</v>
      </c>
      <c r="M343" s="418">
        <f t="shared" si="67"/>
        <v>-8.4811102544334327E-3</v>
      </c>
      <c r="N343" s="411"/>
      <c r="O343" s="388"/>
      <c r="Q343" s="388"/>
    </row>
    <row r="344" spans="1:17">
      <c r="A344" s="408">
        <v>44040</v>
      </c>
      <c r="B344" s="411">
        <v>3218.44</v>
      </c>
      <c r="C344" s="418">
        <f t="shared" si="62"/>
        <v>-6.4734010205561576E-3</v>
      </c>
      <c r="D344" s="411">
        <v>25.94</v>
      </c>
      <c r="E344" s="418">
        <f t="shared" si="63"/>
        <v>1.7254901960784386E-2</v>
      </c>
      <c r="F344" s="411">
        <v>3218.44</v>
      </c>
      <c r="G344" s="418">
        <f t="shared" si="64"/>
        <v>-6.4734010205561576E-3</v>
      </c>
      <c r="H344" s="411">
        <v>25.94</v>
      </c>
      <c r="I344" s="418">
        <f t="shared" si="65"/>
        <v>1.7254901960784386E-2</v>
      </c>
      <c r="J344" s="411">
        <v>3218.44</v>
      </c>
      <c r="K344" s="418">
        <f t="shared" si="66"/>
        <v>-6.4734010205561576E-3</v>
      </c>
      <c r="L344" s="411">
        <v>25.94</v>
      </c>
      <c r="M344" s="418">
        <f t="shared" si="67"/>
        <v>1.7254901960784386E-2</v>
      </c>
      <c r="N344" s="411"/>
      <c r="O344" s="388"/>
      <c r="Q344" s="388"/>
    </row>
    <row r="345" spans="1:17">
      <c r="A345" s="408">
        <v>44039</v>
      </c>
      <c r="B345" s="411">
        <v>3239.41</v>
      </c>
      <c r="C345" s="418">
        <f t="shared" si="62"/>
        <v>7.3951294147647229E-3</v>
      </c>
      <c r="D345" s="411">
        <v>25.5</v>
      </c>
      <c r="E345" s="418">
        <f t="shared" si="63"/>
        <v>-1.7719568567026278E-2</v>
      </c>
      <c r="F345" s="411">
        <v>3239.41</v>
      </c>
      <c r="G345" s="418">
        <f t="shared" si="64"/>
        <v>7.3951294147647229E-3</v>
      </c>
      <c r="H345" s="411">
        <v>25.5</v>
      </c>
      <c r="I345" s="418">
        <f t="shared" si="65"/>
        <v>-1.7719568567026278E-2</v>
      </c>
      <c r="J345" s="411">
        <v>3239.41</v>
      </c>
      <c r="K345" s="418">
        <f t="shared" si="66"/>
        <v>7.3951294147647229E-3</v>
      </c>
      <c r="L345" s="411">
        <v>25.5</v>
      </c>
      <c r="M345" s="418">
        <f t="shared" si="67"/>
        <v>-1.7719568567026278E-2</v>
      </c>
      <c r="N345" s="411"/>
      <c r="O345" s="388"/>
      <c r="Q345" s="388"/>
    </row>
    <row r="346" spans="1:17">
      <c r="A346" s="408">
        <v>44036</v>
      </c>
      <c r="B346" s="411">
        <v>3215.63</v>
      </c>
      <c r="C346" s="418">
        <f t="shared" si="62"/>
        <v>-6.1903908321639944E-3</v>
      </c>
      <c r="D346" s="411">
        <v>25.96</v>
      </c>
      <c r="E346" s="418">
        <f t="shared" si="63"/>
        <v>-3.0619865571321903E-2</v>
      </c>
      <c r="F346" s="411">
        <v>3215.63</v>
      </c>
      <c r="G346" s="418">
        <f t="shared" si="64"/>
        <v>-6.1903908321639944E-3</v>
      </c>
      <c r="H346" s="411">
        <v>25.96</v>
      </c>
      <c r="I346" s="418">
        <f t="shared" si="65"/>
        <v>-3.0619865571321903E-2</v>
      </c>
      <c r="J346" s="411">
        <v>3215.63</v>
      </c>
      <c r="K346" s="418">
        <f t="shared" si="66"/>
        <v>-6.1903908321639944E-3</v>
      </c>
      <c r="L346" s="411">
        <v>25.96</v>
      </c>
      <c r="M346" s="418">
        <f t="shared" si="67"/>
        <v>-3.0619865571321903E-2</v>
      </c>
      <c r="N346" s="411"/>
      <c r="O346" s="388"/>
      <c r="Q346" s="388"/>
    </row>
    <row r="347" spans="1:17">
      <c r="A347" s="408">
        <v>44035</v>
      </c>
      <c r="B347" s="411">
        <v>3235.66</v>
      </c>
      <c r="C347" s="418">
        <f t="shared" si="62"/>
        <v>-1.2319827107282633E-2</v>
      </c>
      <c r="D347" s="411">
        <v>26.78</v>
      </c>
      <c r="E347" s="418">
        <f t="shared" si="63"/>
        <v>2.0190476190476314E-2</v>
      </c>
      <c r="F347" s="411">
        <v>3235.66</v>
      </c>
      <c r="G347" s="418">
        <f t="shared" si="64"/>
        <v>-1.2319827107282633E-2</v>
      </c>
      <c r="H347" s="411">
        <v>26.78</v>
      </c>
      <c r="I347" s="418">
        <f t="shared" si="65"/>
        <v>2.0190476190476314E-2</v>
      </c>
      <c r="J347" s="411">
        <v>3235.66</v>
      </c>
      <c r="K347" s="418">
        <f t="shared" si="66"/>
        <v>-1.2319827107282633E-2</v>
      </c>
      <c r="L347" s="411">
        <v>26.78</v>
      </c>
      <c r="M347" s="418">
        <f t="shared" si="67"/>
        <v>2.0190476190476314E-2</v>
      </c>
      <c r="N347" s="411"/>
      <c r="O347" s="388"/>
      <c r="Q347" s="388"/>
    </row>
    <row r="348" spans="1:17">
      <c r="A348" s="408">
        <v>44034</v>
      </c>
      <c r="B348" s="411">
        <v>3276.02</v>
      </c>
      <c r="C348" s="418">
        <f t="shared" si="62"/>
        <v>5.7470911491110943E-3</v>
      </c>
      <c r="D348" s="411">
        <v>26.25</v>
      </c>
      <c r="E348" s="418">
        <f t="shared" si="63"/>
        <v>-6.8104426787740646E-3</v>
      </c>
      <c r="F348" s="411">
        <v>3276.02</v>
      </c>
      <c r="G348" s="418">
        <f t="shared" si="64"/>
        <v>5.7470911491110943E-3</v>
      </c>
      <c r="H348" s="411">
        <v>26.25</v>
      </c>
      <c r="I348" s="418">
        <f t="shared" si="65"/>
        <v>-6.8104426787740646E-3</v>
      </c>
      <c r="J348" s="411">
        <v>3276.02</v>
      </c>
      <c r="K348" s="418">
        <f t="shared" si="66"/>
        <v>5.7470911491110943E-3</v>
      </c>
      <c r="L348" s="411">
        <v>26.25</v>
      </c>
      <c r="M348" s="418">
        <f t="shared" si="67"/>
        <v>-6.8104426787740646E-3</v>
      </c>
      <c r="N348" s="411"/>
      <c r="O348" s="388"/>
      <c r="Q348" s="388"/>
    </row>
    <row r="349" spans="1:17">
      <c r="A349" s="408">
        <v>44033</v>
      </c>
      <c r="B349" s="411">
        <v>3257.3</v>
      </c>
      <c r="C349" s="418">
        <f t="shared" si="62"/>
        <v>1.6790493997245193E-3</v>
      </c>
      <c r="D349" s="411">
        <v>26.43</v>
      </c>
      <c r="E349" s="418">
        <f t="shared" si="63"/>
        <v>8.009153318077944E-3</v>
      </c>
      <c r="F349" s="411">
        <v>3257.3</v>
      </c>
      <c r="G349" s="418">
        <f t="shared" si="64"/>
        <v>1.6790493997245193E-3</v>
      </c>
      <c r="H349" s="411">
        <v>26.43</v>
      </c>
      <c r="I349" s="418">
        <f t="shared" si="65"/>
        <v>8.009153318077944E-3</v>
      </c>
      <c r="J349" s="411">
        <v>3257.3</v>
      </c>
      <c r="K349" s="418">
        <f t="shared" si="66"/>
        <v>1.6790493997245193E-3</v>
      </c>
      <c r="L349" s="411">
        <v>26.43</v>
      </c>
      <c r="M349" s="418">
        <f t="shared" si="67"/>
        <v>8.009153318077944E-3</v>
      </c>
      <c r="N349" s="411"/>
      <c r="O349" s="388"/>
      <c r="Q349" s="388"/>
    </row>
    <row r="350" spans="1:17">
      <c r="A350" s="408">
        <v>44032</v>
      </c>
      <c r="B350" s="411">
        <v>3251.84</v>
      </c>
      <c r="C350" s="418">
        <f t="shared" si="62"/>
        <v>8.4069053843267572E-3</v>
      </c>
      <c r="D350" s="411">
        <v>26.22</v>
      </c>
      <c r="E350" s="418">
        <f t="shared" si="63"/>
        <v>-3.0683918669131338E-2</v>
      </c>
      <c r="F350" s="411">
        <v>3251.84</v>
      </c>
      <c r="G350" s="418">
        <f t="shared" si="64"/>
        <v>8.4069053843267572E-3</v>
      </c>
      <c r="H350" s="411">
        <v>26.22</v>
      </c>
      <c r="I350" s="418">
        <f t="shared" si="65"/>
        <v>-3.0683918669131338E-2</v>
      </c>
      <c r="J350" s="411">
        <v>3251.84</v>
      </c>
      <c r="K350" s="418">
        <f t="shared" si="66"/>
        <v>8.4069053843267572E-3</v>
      </c>
      <c r="L350" s="411">
        <v>26.22</v>
      </c>
      <c r="M350" s="418">
        <f t="shared" si="67"/>
        <v>-3.0683918669131338E-2</v>
      </c>
      <c r="N350" s="411"/>
      <c r="O350" s="388"/>
      <c r="Q350" s="388"/>
    </row>
    <row r="351" spans="1:17">
      <c r="A351" s="408">
        <v>44029</v>
      </c>
      <c r="B351" s="411">
        <v>3224.73</v>
      </c>
      <c r="C351" s="418">
        <f t="shared" si="62"/>
        <v>2.8486395880045201E-3</v>
      </c>
      <c r="D351" s="411">
        <v>27.05</v>
      </c>
      <c r="E351" s="418">
        <f t="shared" si="63"/>
        <v>-7.7035950110051488E-3</v>
      </c>
      <c r="F351" s="411">
        <v>3224.73</v>
      </c>
      <c r="G351" s="418">
        <f t="shared" si="64"/>
        <v>2.8486395880045201E-3</v>
      </c>
      <c r="H351" s="411">
        <v>27.05</v>
      </c>
      <c r="I351" s="418">
        <f t="shared" si="65"/>
        <v>-7.7035950110051488E-3</v>
      </c>
      <c r="J351" s="411">
        <v>3224.73</v>
      </c>
      <c r="K351" s="418">
        <f t="shared" si="66"/>
        <v>2.8486395880045201E-3</v>
      </c>
      <c r="L351" s="411">
        <v>27.05</v>
      </c>
      <c r="M351" s="418">
        <f t="shared" si="67"/>
        <v>-7.7035950110051488E-3</v>
      </c>
      <c r="N351" s="411"/>
      <c r="O351" s="388"/>
      <c r="Q351" s="388"/>
    </row>
    <row r="352" spans="1:17">
      <c r="A352" s="408">
        <v>44028</v>
      </c>
      <c r="B352" s="411">
        <v>3215.57</v>
      </c>
      <c r="C352" s="418">
        <f t="shared" si="62"/>
        <v>-3.4061043340275488E-3</v>
      </c>
      <c r="D352" s="411">
        <v>27.26</v>
      </c>
      <c r="E352" s="418">
        <f t="shared" si="63"/>
        <v>-4.6853146853146899E-2</v>
      </c>
      <c r="F352" s="411">
        <v>3215.57</v>
      </c>
      <c r="G352" s="418">
        <f t="shared" si="64"/>
        <v>-3.4061043340275488E-3</v>
      </c>
      <c r="H352" s="411">
        <v>27.26</v>
      </c>
      <c r="I352" s="418">
        <f t="shared" si="65"/>
        <v>-4.6853146853146899E-2</v>
      </c>
      <c r="J352" s="411">
        <v>3215.57</v>
      </c>
      <c r="K352" s="418">
        <f t="shared" si="66"/>
        <v>-3.4061043340275488E-3</v>
      </c>
      <c r="L352" s="411">
        <v>27.26</v>
      </c>
      <c r="M352" s="418">
        <f t="shared" si="67"/>
        <v>-4.6853146853146899E-2</v>
      </c>
      <c r="N352" s="411"/>
      <c r="O352" s="388"/>
      <c r="Q352" s="388"/>
    </row>
    <row r="353" spans="1:17">
      <c r="A353" s="408">
        <v>44027</v>
      </c>
      <c r="B353" s="411">
        <v>3226.56</v>
      </c>
      <c r="C353" s="418">
        <f t="shared" si="62"/>
        <v>9.0820385798993097E-3</v>
      </c>
      <c r="D353" s="411">
        <v>28.6</v>
      </c>
      <c r="E353" s="418">
        <f t="shared" si="63"/>
        <v>9.5365760245116782E-2</v>
      </c>
      <c r="F353" s="411">
        <v>3226.56</v>
      </c>
      <c r="G353" s="418">
        <f t="shared" si="64"/>
        <v>9.0820385798993097E-3</v>
      </c>
      <c r="H353" s="411">
        <v>28.6</v>
      </c>
      <c r="I353" s="418">
        <f t="shared" si="65"/>
        <v>9.5365760245116782E-2</v>
      </c>
      <c r="J353" s="411">
        <v>3226.56</v>
      </c>
      <c r="K353" s="418">
        <f t="shared" si="66"/>
        <v>9.0820385798993097E-3</v>
      </c>
      <c r="L353" s="411">
        <v>28.6</v>
      </c>
      <c r="M353" s="418">
        <f t="shared" si="67"/>
        <v>9.5365760245116782E-2</v>
      </c>
      <c r="N353" s="411"/>
      <c r="O353" s="388"/>
      <c r="Q353" s="388"/>
    </row>
    <row r="354" spans="1:17">
      <c r="A354" s="408">
        <v>44026</v>
      </c>
      <c r="B354" s="411">
        <v>3197.52</v>
      </c>
      <c r="C354" s="418">
        <f t="shared" si="62"/>
        <v>1.3406355182839835E-2</v>
      </c>
      <c r="D354" s="411">
        <v>26.11</v>
      </c>
      <c r="E354" s="418">
        <f t="shared" si="63"/>
        <v>-2.6472781506338583E-2</v>
      </c>
      <c r="F354" s="411">
        <v>3197.52</v>
      </c>
      <c r="G354" s="418">
        <f t="shared" si="64"/>
        <v>1.3406355182839835E-2</v>
      </c>
      <c r="H354" s="411">
        <v>26.11</v>
      </c>
      <c r="I354" s="418">
        <f t="shared" si="65"/>
        <v>-2.6472781506338583E-2</v>
      </c>
      <c r="J354" s="411">
        <v>3197.52</v>
      </c>
      <c r="K354" s="418">
        <f t="shared" si="66"/>
        <v>1.3406355182839835E-2</v>
      </c>
      <c r="L354" s="411">
        <v>26.11</v>
      </c>
      <c r="M354" s="418">
        <f t="shared" si="67"/>
        <v>-2.6472781506338583E-2</v>
      </c>
      <c r="N354" s="411"/>
      <c r="O354" s="388"/>
      <c r="Q354" s="388"/>
    </row>
    <row r="355" spans="1:17">
      <c r="A355" s="408">
        <v>44025</v>
      </c>
      <c r="B355" s="411">
        <v>3155.22</v>
      </c>
      <c r="C355" s="418">
        <f t="shared" si="62"/>
        <v>-9.3625197799713789E-3</v>
      </c>
      <c r="D355" s="411">
        <v>26.82</v>
      </c>
      <c r="E355" s="418">
        <f t="shared" si="63"/>
        <v>-9.966777408637828E-3</v>
      </c>
      <c r="F355" s="411">
        <v>3155.22</v>
      </c>
      <c r="G355" s="418">
        <f t="shared" si="64"/>
        <v>-9.3625197799713789E-3</v>
      </c>
      <c r="H355" s="411">
        <v>26.82</v>
      </c>
      <c r="I355" s="418">
        <f t="shared" si="65"/>
        <v>-9.966777408637828E-3</v>
      </c>
      <c r="J355" s="411">
        <v>3155.22</v>
      </c>
      <c r="K355" s="418">
        <f t="shared" si="66"/>
        <v>-9.3625197799713789E-3</v>
      </c>
      <c r="L355" s="411">
        <v>26.82</v>
      </c>
      <c r="M355" s="418">
        <f t="shared" si="67"/>
        <v>-9.966777408637828E-3</v>
      </c>
      <c r="N355" s="411"/>
      <c r="O355" s="388"/>
      <c r="Q355" s="388"/>
    </row>
    <row r="356" spans="1:17">
      <c r="A356" s="408">
        <v>44022</v>
      </c>
      <c r="B356" s="411">
        <v>3185.04</v>
      </c>
      <c r="C356" s="418">
        <f t="shared" si="62"/>
        <v>1.046620453355751E-2</v>
      </c>
      <c r="D356" s="411">
        <v>27.09</v>
      </c>
      <c r="E356" s="418">
        <f t="shared" si="63"/>
        <v>5.6140350877192935E-2</v>
      </c>
      <c r="F356" s="411">
        <v>3185.04</v>
      </c>
      <c r="G356" s="418">
        <f t="shared" si="64"/>
        <v>1.046620453355751E-2</v>
      </c>
      <c r="H356" s="411">
        <v>27.09</v>
      </c>
      <c r="I356" s="418">
        <f t="shared" si="65"/>
        <v>5.6140350877192935E-2</v>
      </c>
      <c r="J356" s="411">
        <v>3185.04</v>
      </c>
      <c r="K356" s="418">
        <f t="shared" si="66"/>
        <v>1.046620453355751E-2</v>
      </c>
      <c r="L356" s="411">
        <v>27.09</v>
      </c>
      <c r="M356" s="418">
        <f t="shared" si="67"/>
        <v>5.6140350877192935E-2</v>
      </c>
      <c r="N356" s="411"/>
      <c r="O356" s="388"/>
      <c r="Q356" s="388"/>
    </row>
    <row r="357" spans="1:17">
      <c r="A357" s="408">
        <v>44021</v>
      </c>
      <c r="B357" s="411">
        <v>3152.05</v>
      </c>
      <c r="C357" s="418">
        <f t="shared" si="62"/>
        <v>-5.6436399427117756E-3</v>
      </c>
      <c r="D357" s="411">
        <v>25.65</v>
      </c>
      <c r="E357" s="418">
        <f t="shared" si="63"/>
        <v>-5.0351721584598441E-2</v>
      </c>
      <c r="F357" s="411">
        <v>3152.05</v>
      </c>
      <c r="G357" s="418">
        <f t="shared" si="64"/>
        <v>-5.6436399427117756E-3</v>
      </c>
      <c r="H357" s="411">
        <v>25.65</v>
      </c>
      <c r="I357" s="418">
        <f t="shared" si="65"/>
        <v>-5.0351721584598441E-2</v>
      </c>
      <c r="J357" s="411">
        <v>3152.05</v>
      </c>
      <c r="K357" s="418">
        <f t="shared" si="66"/>
        <v>-5.6436399427117756E-3</v>
      </c>
      <c r="L357" s="411">
        <v>25.65</v>
      </c>
      <c r="M357" s="418">
        <f t="shared" si="67"/>
        <v>-5.0351721584598441E-2</v>
      </c>
      <c r="N357" s="411"/>
      <c r="O357" s="388"/>
      <c r="Q357" s="388"/>
    </row>
    <row r="358" spans="1:17">
      <c r="A358" s="408">
        <v>44020</v>
      </c>
      <c r="B358" s="411">
        <v>3169.94</v>
      </c>
      <c r="C358" s="418">
        <f t="shared" si="62"/>
        <v>7.8275024480816136E-3</v>
      </c>
      <c r="D358" s="411">
        <v>27.01</v>
      </c>
      <c r="E358" s="418">
        <f t="shared" si="63"/>
        <v>0</v>
      </c>
      <c r="F358" s="411">
        <v>3169.94</v>
      </c>
      <c r="G358" s="418">
        <f t="shared" si="64"/>
        <v>7.8275024480816136E-3</v>
      </c>
      <c r="H358" s="411">
        <v>27.01</v>
      </c>
      <c r="I358" s="418">
        <f t="shared" si="65"/>
        <v>0</v>
      </c>
      <c r="J358" s="411">
        <v>3169.94</v>
      </c>
      <c r="K358" s="418">
        <f t="shared" si="66"/>
        <v>7.8275024480816136E-3</v>
      </c>
      <c r="L358" s="411">
        <v>27.01</v>
      </c>
      <c r="M358" s="418">
        <f t="shared" si="67"/>
        <v>0</v>
      </c>
      <c r="N358" s="411"/>
      <c r="O358" s="388"/>
      <c r="Q358" s="388"/>
    </row>
    <row r="359" spans="1:17">
      <c r="A359" s="408">
        <v>44019</v>
      </c>
      <c r="B359" s="411">
        <v>3145.32</v>
      </c>
      <c r="C359" s="418">
        <f t="shared" si="62"/>
        <v>-1.0818562640735552E-2</v>
      </c>
      <c r="D359" s="411">
        <v>27.01</v>
      </c>
      <c r="E359" s="418">
        <f t="shared" si="63"/>
        <v>-5.0281293952180062E-2</v>
      </c>
      <c r="F359" s="411">
        <v>3145.32</v>
      </c>
      <c r="G359" s="418">
        <f t="shared" si="64"/>
        <v>-1.0818562640735552E-2</v>
      </c>
      <c r="H359" s="411">
        <v>27.01</v>
      </c>
      <c r="I359" s="418">
        <f t="shared" si="65"/>
        <v>-5.0281293952180062E-2</v>
      </c>
      <c r="J359" s="411">
        <v>3145.32</v>
      </c>
      <c r="K359" s="418">
        <f t="shared" si="66"/>
        <v>-1.0818562640735552E-2</v>
      </c>
      <c r="L359" s="411">
        <v>27.01</v>
      </c>
      <c r="M359" s="418">
        <f t="shared" si="67"/>
        <v>-5.0281293952180062E-2</v>
      </c>
      <c r="N359" s="411"/>
      <c r="O359" s="388"/>
      <c r="Q359" s="388"/>
    </row>
    <row r="360" spans="1:17">
      <c r="A360" s="408">
        <v>44018</v>
      </c>
      <c r="B360" s="411">
        <v>3179.72</v>
      </c>
      <c r="C360" s="418">
        <f t="shared" si="62"/>
        <v>1.5881738397001799E-2</v>
      </c>
      <c r="D360" s="411">
        <v>28.44</v>
      </c>
      <c r="E360" s="418">
        <f t="shared" si="63"/>
        <v>2.5974025974025983E-2</v>
      </c>
      <c r="F360" s="411">
        <v>3179.72</v>
      </c>
      <c r="G360" s="418">
        <f t="shared" si="64"/>
        <v>1.5881738397001799E-2</v>
      </c>
      <c r="H360" s="411">
        <v>28.44</v>
      </c>
      <c r="I360" s="418">
        <f t="shared" si="65"/>
        <v>2.5974025974025983E-2</v>
      </c>
      <c r="J360" s="411">
        <v>3179.72</v>
      </c>
      <c r="K360" s="418">
        <f t="shared" si="66"/>
        <v>1.5881738397001799E-2</v>
      </c>
      <c r="L360" s="411">
        <v>28.44</v>
      </c>
      <c r="M360" s="418">
        <f t="shared" si="67"/>
        <v>2.5974025974025983E-2</v>
      </c>
      <c r="N360" s="411"/>
      <c r="O360" s="388"/>
      <c r="Q360" s="388"/>
    </row>
    <row r="361" spans="1:17">
      <c r="A361" s="408">
        <v>44014</v>
      </c>
      <c r="B361" s="411">
        <v>3130.01</v>
      </c>
      <c r="C361" s="418">
        <f t="shared" si="62"/>
        <v>4.5412823425956539E-3</v>
      </c>
      <c r="D361" s="411">
        <v>27.72</v>
      </c>
      <c r="E361" s="418">
        <f t="shared" si="63"/>
        <v>7.2202166064982976E-4</v>
      </c>
      <c r="F361" s="411">
        <v>3130.01</v>
      </c>
      <c r="G361" s="418">
        <f t="shared" si="64"/>
        <v>4.5412823425956539E-3</v>
      </c>
      <c r="H361" s="411">
        <v>27.72</v>
      </c>
      <c r="I361" s="418">
        <f t="shared" si="65"/>
        <v>7.2202166064982976E-4</v>
      </c>
      <c r="J361" s="411">
        <v>3130.01</v>
      </c>
      <c r="K361" s="418">
        <f t="shared" si="66"/>
        <v>4.5412823425956539E-3</v>
      </c>
      <c r="L361" s="411">
        <v>27.72</v>
      </c>
      <c r="M361" s="418">
        <f t="shared" si="67"/>
        <v>7.2202166064982976E-4</v>
      </c>
      <c r="N361" s="411"/>
      <c r="O361" s="388"/>
      <c r="Q361" s="388"/>
    </row>
    <row r="362" spans="1:17">
      <c r="A362" s="408">
        <v>44013</v>
      </c>
      <c r="B362" s="411">
        <v>3115.86</v>
      </c>
      <c r="C362" s="418">
        <f t="shared" si="62"/>
        <v>5.022110834792981E-3</v>
      </c>
      <c r="D362" s="411">
        <v>27.7</v>
      </c>
      <c r="E362" s="418">
        <f t="shared" si="63"/>
        <v>-1.2477718360071388E-2</v>
      </c>
      <c r="F362" s="411">
        <v>3115.86</v>
      </c>
      <c r="G362" s="418">
        <f t="shared" si="64"/>
        <v>5.022110834792981E-3</v>
      </c>
      <c r="H362" s="411">
        <v>27.7</v>
      </c>
      <c r="I362" s="418">
        <f t="shared" si="65"/>
        <v>-1.2477718360071388E-2</v>
      </c>
      <c r="J362" s="411">
        <v>3115.86</v>
      </c>
      <c r="K362" s="418">
        <f t="shared" si="66"/>
        <v>5.022110834792981E-3</v>
      </c>
      <c r="L362" s="411">
        <v>27.7</v>
      </c>
      <c r="M362" s="418">
        <f t="shared" si="67"/>
        <v>-1.2477718360071388E-2</v>
      </c>
      <c r="N362" s="411"/>
      <c r="O362" s="388"/>
      <c r="Q362" s="388"/>
    </row>
    <row r="363" spans="1:17">
      <c r="A363" s="408">
        <v>44012</v>
      </c>
      <c r="B363" s="411">
        <v>3100.29</v>
      </c>
      <c r="C363" s="418">
        <f t="shared" si="62"/>
        <v>1.5409859690034278E-2</v>
      </c>
      <c r="D363" s="411">
        <v>28.05</v>
      </c>
      <c r="E363" s="418">
        <f t="shared" si="63"/>
        <v>-1.957357567284157E-2</v>
      </c>
      <c r="F363" s="411">
        <v>3100.29</v>
      </c>
      <c r="G363" s="418">
        <f t="shared" si="64"/>
        <v>1.5409859690034278E-2</v>
      </c>
      <c r="H363" s="411">
        <v>28.05</v>
      </c>
      <c r="I363" s="418">
        <f t="shared" si="65"/>
        <v>-1.957357567284157E-2</v>
      </c>
      <c r="J363" s="411">
        <v>3100.29</v>
      </c>
      <c r="K363" s="418">
        <f t="shared" si="66"/>
        <v>1.5409859690034278E-2</v>
      </c>
      <c r="L363" s="411">
        <v>28.05</v>
      </c>
      <c r="M363" s="418">
        <f t="shared" si="67"/>
        <v>-1.957357567284157E-2</v>
      </c>
      <c r="N363" s="411"/>
      <c r="O363" s="388"/>
      <c r="Q363" s="388"/>
    </row>
    <row r="364" spans="1:17">
      <c r="A364" s="408">
        <v>44011</v>
      </c>
      <c r="B364" s="411">
        <v>3053.24</v>
      </c>
      <c r="C364" s="418">
        <f t="shared" si="62"/>
        <v>1.468569814393228E-2</v>
      </c>
      <c r="D364" s="411">
        <v>28.61</v>
      </c>
      <c r="E364" s="418">
        <f t="shared" si="63"/>
        <v>6.3173541434411007E-2</v>
      </c>
      <c r="F364" s="411">
        <v>3053.24</v>
      </c>
      <c r="G364" s="418">
        <f t="shared" si="64"/>
        <v>1.468569814393228E-2</v>
      </c>
      <c r="H364" s="411">
        <v>28.61</v>
      </c>
      <c r="I364" s="418">
        <f t="shared" si="65"/>
        <v>6.3173541434411007E-2</v>
      </c>
      <c r="J364" s="411">
        <v>3053.24</v>
      </c>
      <c r="K364" s="418">
        <f t="shared" si="66"/>
        <v>1.468569814393228E-2</v>
      </c>
      <c r="L364" s="411">
        <v>28.61</v>
      </c>
      <c r="M364" s="418">
        <f t="shared" si="67"/>
        <v>6.3173541434411007E-2</v>
      </c>
      <c r="N364" s="411"/>
      <c r="O364" s="388"/>
      <c r="Q364" s="388"/>
    </row>
    <row r="365" spans="1:17">
      <c r="A365" s="408">
        <v>44008</v>
      </c>
      <c r="B365" s="411">
        <v>3009.05</v>
      </c>
      <c r="C365" s="418">
        <f t="shared" si="62"/>
        <v>-2.4226917788673585E-2</v>
      </c>
      <c r="D365" s="411">
        <v>26.91</v>
      </c>
      <c r="E365" s="418">
        <f t="shared" si="63"/>
        <v>-3.9271688682613437E-2</v>
      </c>
      <c r="F365" s="411">
        <v>3009.05</v>
      </c>
      <c r="G365" s="418">
        <f t="shared" si="64"/>
        <v>-2.4226917788673585E-2</v>
      </c>
      <c r="H365" s="411">
        <v>26.91</v>
      </c>
      <c r="I365" s="418">
        <f t="shared" si="65"/>
        <v>-3.9271688682613437E-2</v>
      </c>
      <c r="J365" s="411">
        <v>3009.05</v>
      </c>
      <c r="K365" s="418">
        <f t="shared" si="66"/>
        <v>-2.4226917788673585E-2</v>
      </c>
      <c r="L365" s="411">
        <v>26.91</v>
      </c>
      <c r="M365" s="418">
        <f t="shared" si="67"/>
        <v>-3.9271688682613437E-2</v>
      </c>
      <c r="N365" s="411"/>
      <c r="O365" s="388"/>
      <c r="Q365" s="388"/>
    </row>
    <row r="366" spans="1:17">
      <c r="A366" s="408">
        <v>44007</v>
      </c>
      <c r="B366" s="411">
        <v>3083.76</v>
      </c>
      <c r="C366" s="418">
        <f t="shared" si="62"/>
        <v>1.0959469958988111E-2</v>
      </c>
      <c r="D366" s="411">
        <v>28.01</v>
      </c>
      <c r="E366" s="418">
        <f t="shared" si="63"/>
        <v>2.4506217995610813E-2</v>
      </c>
      <c r="F366" s="411">
        <v>3083.76</v>
      </c>
      <c r="G366" s="418">
        <f t="shared" si="64"/>
        <v>1.0959469958988111E-2</v>
      </c>
      <c r="H366" s="411">
        <v>28.01</v>
      </c>
      <c r="I366" s="418">
        <f t="shared" si="65"/>
        <v>2.4506217995610813E-2</v>
      </c>
      <c r="J366" s="411">
        <v>3083.76</v>
      </c>
      <c r="K366" s="418">
        <f t="shared" si="66"/>
        <v>1.0959469958988111E-2</v>
      </c>
      <c r="L366" s="411">
        <v>28.01</v>
      </c>
      <c r="M366" s="418">
        <f t="shared" si="67"/>
        <v>2.4506217995610813E-2</v>
      </c>
      <c r="N366" s="411"/>
      <c r="O366" s="388"/>
      <c r="Q366" s="388"/>
    </row>
    <row r="367" spans="1:17">
      <c r="A367" s="408">
        <v>44006</v>
      </c>
      <c r="B367" s="411">
        <v>3050.33</v>
      </c>
      <c r="C367" s="418">
        <f t="shared" si="62"/>
        <v>-2.5855158736495243E-2</v>
      </c>
      <c r="D367" s="411">
        <v>27.34</v>
      </c>
      <c r="E367" s="418">
        <f t="shared" si="63"/>
        <v>-7.7597840755735503E-2</v>
      </c>
      <c r="F367" s="411">
        <v>3050.33</v>
      </c>
      <c r="G367" s="418">
        <f t="shared" si="64"/>
        <v>-2.5855158736495243E-2</v>
      </c>
      <c r="H367" s="411">
        <v>27.34</v>
      </c>
      <c r="I367" s="418">
        <f t="shared" si="65"/>
        <v>-7.7597840755735503E-2</v>
      </c>
      <c r="J367" s="411">
        <v>3050.33</v>
      </c>
      <c r="K367" s="418">
        <f t="shared" si="66"/>
        <v>-2.5855158736495243E-2</v>
      </c>
      <c r="L367" s="411">
        <v>27.34</v>
      </c>
      <c r="M367" s="418">
        <f t="shared" si="67"/>
        <v>-7.7597840755735503E-2</v>
      </c>
      <c r="N367" s="411"/>
      <c r="O367" s="388"/>
      <c r="Q367" s="388"/>
    </row>
    <row r="368" spans="1:17">
      <c r="A368" s="408">
        <v>44005</v>
      </c>
      <c r="B368" s="411">
        <v>3131.29</v>
      </c>
      <c r="C368" s="418">
        <f t="shared" si="62"/>
        <v>4.3074416426651663E-3</v>
      </c>
      <c r="D368" s="411">
        <v>29.64</v>
      </c>
      <c r="E368" s="418">
        <f t="shared" si="63"/>
        <v>1.1258955987717645E-2</v>
      </c>
      <c r="F368" s="411">
        <v>3131.29</v>
      </c>
      <c r="G368" s="418">
        <f t="shared" si="64"/>
        <v>4.3074416426651663E-3</v>
      </c>
      <c r="H368" s="411">
        <v>29.64</v>
      </c>
      <c r="I368" s="418">
        <f t="shared" si="65"/>
        <v>1.1258955987717645E-2</v>
      </c>
      <c r="J368" s="411">
        <v>3131.29</v>
      </c>
      <c r="K368" s="418">
        <f t="shared" si="66"/>
        <v>4.3074416426651663E-3</v>
      </c>
      <c r="L368" s="411">
        <v>29.64</v>
      </c>
      <c r="M368" s="418">
        <f t="shared" si="67"/>
        <v>1.1258955987717645E-2</v>
      </c>
      <c r="N368" s="411"/>
      <c r="O368" s="388"/>
      <c r="Q368" s="388"/>
    </row>
    <row r="369" spans="1:17">
      <c r="A369" s="408">
        <v>44004</v>
      </c>
      <c r="B369" s="411">
        <v>3117.86</v>
      </c>
      <c r="C369" s="418">
        <f t="shared" si="62"/>
        <v>6.4950576872171428E-3</v>
      </c>
      <c r="D369" s="411">
        <v>29.31</v>
      </c>
      <c r="E369" s="418">
        <f t="shared" si="63"/>
        <v>-6.7773636055575848E-3</v>
      </c>
      <c r="F369" s="411">
        <v>3117.86</v>
      </c>
      <c r="G369" s="418">
        <f t="shared" si="64"/>
        <v>6.4950576872171428E-3</v>
      </c>
      <c r="H369" s="411">
        <v>29.31</v>
      </c>
      <c r="I369" s="418">
        <f t="shared" si="65"/>
        <v>-6.7773636055575848E-3</v>
      </c>
      <c r="J369" s="411">
        <v>3117.86</v>
      </c>
      <c r="K369" s="418">
        <f t="shared" si="66"/>
        <v>6.4950576872171428E-3</v>
      </c>
      <c r="L369" s="411">
        <v>29.31</v>
      </c>
      <c r="M369" s="418">
        <f t="shared" si="67"/>
        <v>-6.7773636055575848E-3</v>
      </c>
      <c r="N369" s="411"/>
      <c r="O369" s="388"/>
      <c r="Q369" s="388"/>
    </row>
    <row r="370" spans="1:17">
      <c r="A370" s="408">
        <v>44001</v>
      </c>
      <c r="B370" s="411">
        <v>3097.74</v>
      </c>
      <c r="C370" s="418">
        <f t="shared" si="62"/>
        <v>-5.6494636219482919E-3</v>
      </c>
      <c r="D370" s="411">
        <v>29.51</v>
      </c>
      <c r="E370" s="418">
        <f t="shared" si="63"/>
        <v>-4.1571938941214581E-2</v>
      </c>
      <c r="F370" s="411">
        <v>3097.74</v>
      </c>
      <c r="G370" s="418">
        <f t="shared" si="64"/>
        <v>-5.6494636219482919E-3</v>
      </c>
      <c r="H370" s="411">
        <v>29.51</v>
      </c>
      <c r="I370" s="418">
        <f t="shared" si="65"/>
        <v>-4.1571938941214581E-2</v>
      </c>
      <c r="J370" s="411">
        <v>3097.74</v>
      </c>
      <c r="K370" s="418">
        <f t="shared" si="66"/>
        <v>-5.6494636219482919E-3</v>
      </c>
      <c r="L370" s="411">
        <v>29.51</v>
      </c>
      <c r="M370" s="418">
        <f t="shared" si="67"/>
        <v>-4.1571938941214581E-2</v>
      </c>
      <c r="N370" s="411"/>
      <c r="O370" s="388"/>
      <c r="Q370" s="388"/>
    </row>
    <row r="371" spans="1:17">
      <c r="A371" s="408">
        <v>44000</v>
      </c>
      <c r="B371" s="411">
        <v>3115.34</v>
      </c>
      <c r="C371" s="418">
        <f t="shared" si="62"/>
        <v>5.9418851513903803E-4</v>
      </c>
      <c r="D371" s="411">
        <v>30.79</v>
      </c>
      <c r="E371" s="418">
        <f t="shared" si="63"/>
        <v>2.2786458333332593E-3</v>
      </c>
      <c r="F371" s="411">
        <v>3115.34</v>
      </c>
      <c r="G371" s="418">
        <f t="shared" si="64"/>
        <v>5.9418851513903803E-4</v>
      </c>
      <c r="H371" s="411">
        <v>30.79</v>
      </c>
      <c r="I371" s="418">
        <f t="shared" si="65"/>
        <v>2.2786458333332593E-3</v>
      </c>
      <c r="J371" s="411">
        <v>3115.34</v>
      </c>
      <c r="K371" s="418">
        <f t="shared" si="66"/>
        <v>5.9418851513903803E-4</v>
      </c>
      <c r="L371" s="411">
        <v>30.79</v>
      </c>
      <c r="M371" s="418">
        <f t="shared" si="67"/>
        <v>2.2786458333332593E-3</v>
      </c>
      <c r="N371" s="411"/>
      <c r="O371" s="388"/>
      <c r="Q371" s="388"/>
    </row>
    <row r="372" spans="1:17">
      <c r="A372" s="408">
        <v>43999</v>
      </c>
      <c r="B372" s="411">
        <v>3113.49</v>
      </c>
      <c r="C372" s="418">
        <f t="shared" si="62"/>
        <v>-3.6002995449221364E-3</v>
      </c>
      <c r="D372" s="411">
        <v>30.72</v>
      </c>
      <c r="E372" s="418">
        <f t="shared" si="63"/>
        <v>-1.8530351437699766E-2</v>
      </c>
      <c r="F372" s="411">
        <v>3113.49</v>
      </c>
      <c r="G372" s="418">
        <f t="shared" si="64"/>
        <v>-3.6002995449221364E-3</v>
      </c>
      <c r="H372" s="411">
        <v>30.72</v>
      </c>
      <c r="I372" s="418">
        <f t="shared" si="65"/>
        <v>-1.8530351437699766E-2</v>
      </c>
      <c r="J372" s="411">
        <v>3113.49</v>
      </c>
      <c r="K372" s="418">
        <f t="shared" si="66"/>
        <v>-3.6002995449221364E-3</v>
      </c>
      <c r="L372" s="411">
        <v>30.72</v>
      </c>
      <c r="M372" s="418">
        <f t="shared" si="67"/>
        <v>-1.8530351437699766E-2</v>
      </c>
      <c r="N372" s="411"/>
      <c r="O372" s="388"/>
      <c r="Q372" s="388"/>
    </row>
    <row r="373" spans="1:17">
      <c r="A373" s="408">
        <v>43998</v>
      </c>
      <c r="B373" s="411">
        <v>3124.74</v>
      </c>
      <c r="C373" s="418">
        <f t="shared" si="62"/>
        <v>1.8962430582503575E-2</v>
      </c>
      <c r="D373" s="411">
        <v>31.3</v>
      </c>
      <c r="E373" s="418">
        <f t="shared" si="63"/>
        <v>2.7577150361129288E-2</v>
      </c>
      <c r="F373" s="411">
        <v>3124.74</v>
      </c>
      <c r="G373" s="418">
        <f t="shared" si="64"/>
        <v>1.8962430582503575E-2</v>
      </c>
      <c r="H373" s="411">
        <v>31.3</v>
      </c>
      <c r="I373" s="418">
        <f t="shared" si="65"/>
        <v>2.7577150361129288E-2</v>
      </c>
      <c r="J373" s="411">
        <v>3124.74</v>
      </c>
      <c r="K373" s="418">
        <f t="shared" si="66"/>
        <v>1.8962430582503575E-2</v>
      </c>
      <c r="L373" s="411">
        <v>31.3</v>
      </c>
      <c r="M373" s="418">
        <f t="shared" si="67"/>
        <v>2.7577150361129288E-2</v>
      </c>
      <c r="N373" s="411"/>
      <c r="O373" s="388"/>
      <c r="Q373" s="388"/>
    </row>
    <row r="374" spans="1:17">
      <c r="A374" s="408">
        <v>43997</v>
      </c>
      <c r="B374" s="411">
        <v>3066.59</v>
      </c>
      <c r="C374" s="418">
        <f t="shared" si="62"/>
        <v>8.3122075684491925E-3</v>
      </c>
      <c r="D374" s="411">
        <v>30.46</v>
      </c>
      <c r="E374" s="418">
        <f t="shared" si="63"/>
        <v>9.8586920801846389E-4</v>
      </c>
      <c r="F374" s="411">
        <v>3066.59</v>
      </c>
      <c r="G374" s="418">
        <f t="shared" si="64"/>
        <v>8.3122075684491925E-3</v>
      </c>
      <c r="H374" s="411">
        <v>30.46</v>
      </c>
      <c r="I374" s="418">
        <f t="shared" si="65"/>
        <v>9.8586920801846389E-4</v>
      </c>
      <c r="J374" s="411">
        <v>3066.59</v>
      </c>
      <c r="K374" s="418">
        <f t="shared" si="66"/>
        <v>8.3122075684491925E-3</v>
      </c>
      <c r="L374" s="411">
        <v>30.46</v>
      </c>
      <c r="M374" s="418">
        <f t="shared" si="67"/>
        <v>9.8586920801846389E-4</v>
      </c>
      <c r="N374" s="411"/>
      <c r="O374" s="388"/>
      <c r="Q374" s="388"/>
    </row>
    <row r="375" spans="1:17">
      <c r="A375" s="408">
        <v>43994</v>
      </c>
      <c r="B375" s="411">
        <v>3041.31</v>
      </c>
      <c r="C375" s="418">
        <f t="shared" si="62"/>
        <v>1.3060857399820103E-2</v>
      </c>
      <c r="D375" s="411">
        <v>30.43</v>
      </c>
      <c r="E375" s="418">
        <f t="shared" si="63"/>
        <v>0.11874999999999991</v>
      </c>
      <c r="F375" s="411">
        <v>3041.31</v>
      </c>
      <c r="G375" s="418">
        <f t="shared" si="64"/>
        <v>1.3060857399820103E-2</v>
      </c>
      <c r="H375" s="411">
        <v>30.43</v>
      </c>
      <c r="I375" s="418">
        <f t="shared" si="65"/>
        <v>0.11874999999999991</v>
      </c>
      <c r="J375" s="411">
        <v>3041.31</v>
      </c>
      <c r="K375" s="418">
        <f t="shared" si="66"/>
        <v>1.3060857399820103E-2</v>
      </c>
      <c r="L375" s="411">
        <v>30.43</v>
      </c>
      <c r="M375" s="418">
        <f t="shared" si="67"/>
        <v>0.11874999999999991</v>
      </c>
      <c r="N375" s="411"/>
      <c r="O375" s="388"/>
      <c r="Q375" s="388"/>
    </row>
    <row r="376" spans="1:17">
      <c r="A376" s="408">
        <v>43993</v>
      </c>
      <c r="B376" s="411">
        <v>3002.1</v>
      </c>
      <c r="C376" s="418">
        <f t="shared" si="62"/>
        <v>-5.8944121574601716E-2</v>
      </c>
      <c r="D376" s="411">
        <v>27.2</v>
      </c>
      <c r="E376" s="418">
        <f t="shared" si="63"/>
        <v>-0.1403286978508218</v>
      </c>
      <c r="F376" s="411">
        <v>3002.1</v>
      </c>
      <c r="G376" s="418">
        <f t="shared" si="64"/>
        <v>-5.8944121574601716E-2</v>
      </c>
      <c r="H376" s="411">
        <v>27.2</v>
      </c>
      <c r="I376" s="418">
        <f t="shared" si="65"/>
        <v>-0.1403286978508218</v>
      </c>
      <c r="J376" s="411">
        <v>3002.1</v>
      </c>
      <c r="K376" s="418">
        <f t="shared" si="66"/>
        <v>-5.8944121574601716E-2</v>
      </c>
      <c r="L376" s="411">
        <v>27.2</v>
      </c>
      <c r="M376" s="418">
        <f t="shared" si="67"/>
        <v>-0.1403286978508218</v>
      </c>
      <c r="N376" s="411"/>
      <c r="O376" s="388"/>
      <c r="Q376" s="388"/>
    </row>
    <row r="377" spans="1:17">
      <c r="A377" s="408">
        <v>43992</v>
      </c>
      <c r="B377" s="411">
        <v>3190.14</v>
      </c>
      <c r="C377" s="418">
        <f t="shared" si="62"/>
        <v>-5.3130787794885004E-3</v>
      </c>
      <c r="D377" s="411">
        <v>31.64</v>
      </c>
      <c r="E377" s="418">
        <f t="shared" si="63"/>
        <v>-7.4041556921276008E-2</v>
      </c>
      <c r="F377" s="411">
        <v>3190.14</v>
      </c>
      <c r="G377" s="418">
        <f t="shared" si="64"/>
        <v>-5.3130787794885004E-3</v>
      </c>
      <c r="H377" s="411">
        <v>31.64</v>
      </c>
      <c r="I377" s="418">
        <f t="shared" si="65"/>
        <v>-7.4041556921276008E-2</v>
      </c>
      <c r="J377" s="411">
        <v>3190.14</v>
      </c>
      <c r="K377" s="418">
        <f t="shared" si="66"/>
        <v>-5.3130787794885004E-3</v>
      </c>
      <c r="L377" s="411">
        <v>31.64</v>
      </c>
      <c r="M377" s="418">
        <f t="shared" si="67"/>
        <v>-7.4041556921276008E-2</v>
      </c>
      <c r="N377" s="411"/>
      <c r="O377" s="388"/>
      <c r="Q377" s="388"/>
    </row>
    <row r="378" spans="1:17">
      <c r="A378" s="408">
        <v>43991</v>
      </c>
      <c r="B378" s="411">
        <v>3207.18</v>
      </c>
      <c r="C378" s="418">
        <f t="shared" si="62"/>
        <v>-7.7991826481333959E-3</v>
      </c>
      <c r="D378" s="411">
        <v>34.17</v>
      </c>
      <c r="E378" s="418">
        <f t="shared" si="63"/>
        <v>-7.5737084122261211E-2</v>
      </c>
      <c r="F378" s="411">
        <v>3207.18</v>
      </c>
      <c r="G378" s="418">
        <f t="shared" si="64"/>
        <v>-7.7991826481333959E-3</v>
      </c>
      <c r="H378" s="411">
        <v>34.17</v>
      </c>
      <c r="I378" s="418">
        <f t="shared" si="65"/>
        <v>-7.5737084122261211E-2</v>
      </c>
      <c r="J378" s="411">
        <v>3207.18</v>
      </c>
      <c r="K378" s="418">
        <f t="shared" si="66"/>
        <v>-7.7991826481333959E-3</v>
      </c>
      <c r="L378" s="411">
        <v>34.17</v>
      </c>
      <c r="M378" s="418">
        <f t="shared" si="67"/>
        <v>-7.5737084122261211E-2</v>
      </c>
      <c r="N378" s="411"/>
      <c r="O378" s="388"/>
      <c r="Q378" s="388"/>
    </row>
    <row r="379" spans="1:17">
      <c r="A379" s="408">
        <v>43990</v>
      </c>
      <c r="B379" s="411">
        <v>3232.39</v>
      </c>
      <c r="C379" s="418">
        <f t="shared" si="62"/>
        <v>1.2041591393674889E-2</v>
      </c>
      <c r="D379" s="411">
        <v>36.97</v>
      </c>
      <c r="E379" s="418">
        <f t="shared" si="63"/>
        <v>8.2259953161592625E-2</v>
      </c>
      <c r="F379" s="411">
        <v>3232.39</v>
      </c>
      <c r="G379" s="418">
        <f t="shared" si="64"/>
        <v>1.2041591393674889E-2</v>
      </c>
      <c r="H379" s="411">
        <v>36.97</v>
      </c>
      <c r="I379" s="418">
        <f t="shared" si="65"/>
        <v>8.2259953161592625E-2</v>
      </c>
      <c r="J379" s="411">
        <v>3232.39</v>
      </c>
      <c r="K379" s="418">
        <f t="shared" si="66"/>
        <v>1.2041591393674889E-2</v>
      </c>
      <c r="L379" s="411">
        <v>36.97</v>
      </c>
      <c r="M379" s="418">
        <f t="shared" si="67"/>
        <v>8.2259953161592625E-2</v>
      </c>
      <c r="N379" s="411"/>
      <c r="O379" s="388"/>
      <c r="Q379" s="388"/>
    </row>
    <row r="380" spans="1:17">
      <c r="A380" s="408">
        <v>43987</v>
      </c>
      <c r="B380" s="411">
        <v>3193.93</v>
      </c>
      <c r="C380" s="418">
        <f t="shared" si="62"/>
        <v>2.621170498176606E-2</v>
      </c>
      <c r="D380" s="411">
        <v>34.159999999999997</v>
      </c>
      <c r="E380" s="418">
        <f t="shared" si="63"/>
        <v>5.4972205064854673E-2</v>
      </c>
      <c r="F380" s="411">
        <v>3193.93</v>
      </c>
      <c r="G380" s="418">
        <f t="shared" si="64"/>
        <v>2.621170498176606E-2</v>
      </c>
      <c r="H380" s="411">
        <v>34.159999999999997</v>
      </c>
      <c r="I380" s="418">
        <f t="shared" si="65"/>
        <v>5.4972205064854673E-2</v>
      </c>
      <c r="J380" s="411">
        <v>3193.93</v>
      </c>
      <c r="K380" s="418">
        <f t="shared" si="66"/>
        <v>2.621170498176606E-2</v>
      </c>
      <c r="L380" s="411">
        <v>34.159999999999997</v>
      </c>
      <c r="M380" s="418">
        <f t="shared" si="67"/>
        <v>5.4972205064854673E-2</v>
      </c>
      <c r="N380" s="411"/>
      <c r="O380" s="388"/>
      <c r="Q380" s="388"/>
    </row>
    <row r="381" spans="1:17">
      <c r="A381" s="408">
        <v>43986</v>
      </c>
      <c r="B381" s="411">
        <v>3112.35</v>
      </c>
      <c r="C381" s="418">
        <f t="shared" si="62"/>
        <v>-3.3686961032639573E-3</v>
      </c>
      <c r="D381" s="411">
        <v>32.380000000000003</v>
      </c>
      <c r="E381" s="418">
        <f t="shared" si="63"/>
        <v>0.13733754829645251</v>
      </c>
      <c r="F381" s="411">
        <v>3112.35</v>
      </c>
      <c r="G381" s="418">
        <f t="shared" si="64"/>
        <v>-3.3686961032639573E-3</v>
      </c>
      <c r="H381" s="411">
        <v>32.380000000000003</v>
      </c>
      <c r="I381" s="418">
        <f t="shared" si="65"/>
        <v>0.13733754829645251</v>
      </c>
      <c r="J381" s="411">
        <v>3112.35</v>
      </c>
      <c r="K381" s="418">
        <f t="shared" si="66"/>
        <v>-3.3686961032639573E-3</v>
      </c>
      <c r="L381" s="411">
        <v>32.380000000000003</v>
      </c>
      <c r="M381" s="418">
        <f t="shared" si="67"/>
        <v>0.13733754829645251</v>
      </c>
      <c r="N381" s="411"/>
      <c r="O381" s="388"/>
      <c r="Q381" s="388"/>
    </row>
    <row r="382" spans="1:17">
      <c r="A382" s="408">
        <v>43985</v>
      </c>
      <c r="B382" s="411">
        <v>3122.87</v>
      </c>
      <c r="C382" s="418">
        <f t="shared" si="62"/>
        <v>1.3648963587616247E-2</v>
      </c>
      <c r="D382" s="411">
        <v>28.47</v>
      </c>
      <c r="E382" s="418">
        <f t="shared" si="63"/>
        <v>7.8000757288905653E-2</v>
      </c>
      <c r="F382" s="411">
        <v>3122.87</v>
      </c>
      <c r="G382" s="418">
        <f t="shared" si="64"/>
        <v>1.3648963587616247E-2</v>
      </c>
      <c r="H382" s="411">
        <v>28.47</v>
      </c>
      <c r="I382" s="418">
        <f t="shared" si="65"/>
        <v>7.8000757288905653E-2</v>
      </c>
      <c r="J382" s="411">
        <v>3122.87</v>
      </c>
      <c r="K382" s="418">
        <f t="shared" si="66"/>
        <v>1.3648963587616247E-2</v>
      </c>
      <c r="L382" s="411">
        <v>28.47</v>
      </c>
      <c r="M382" s="418">
        <f t="shared" si="67"/>
        <v>7.8000757288905653E-2</v>
      </c>
      <c r="N382" s="411"/>
      <c r="O382" s="388"/>
      <c r="Q382" s="388"/>
    </row>
    <row r="383" spans="1:17">
      <c r="A383" s="408">
        <v>43984</v>
      </c>
      <c r="B383" s="411">
        <v>3080.82</v>
      </c>
      <c r="C383" s="418">
        <f t="shared" si="62"/>
        <v>8.2108039650099496E-3</v>
      </c>
      <c r="D383" s="411">
        <v>26.41</v>
      </c>
      <c r="E383" s="418">
        <f t="shared" si="63"/>
        <v>9.1708062667175128E-3</v>
      </c>
      <c r="F383" s="411">
        <v>3080.82</v>
      </c>
      <c r="G383" s="418">
        <f t="shared" si="64"/>
        <v>8.2108039650099496E-3</v>
      </c>
      <c r="H383" s="411">
        <v>26.41</v>
      </c>
      <c r="I383" s="418">
        <f t="shared" si="65"/>
        <v>9.1708062667175128E-3</v>
      </c>
      <c r="J383" s="411">
        <v>3080.82</v>
      </c>
      <c r="K383" s="418">
        <f t="shared" si="66"/>
        <v>8.2108039650099496E-3</v>
      </c>
      <c r="L383" s="411">
        <v>26.41</v>
      </c>
      <c r="M383" s="418">
        <f t="shared" si="67"/>
        <v>9.1708062667175128E-3</v>
      </c>
      <c r="N383" s="411"/>
      <c r="O383" s="388"/>
      <c r="Q383" s="388"/>
    </row>
    <row r="384" spans="1:17">
      <c r="A384" s="408">
        <v>43983</v>
      </c>
      <c r="B384" s="411">
        <v>3055.73</v>
      </c>
      <c r="C384" s="418">
        <f t="shared" si="62"/>
        <v>3.7512605483673855E-3</v>
      </c>
      <c r="D384" s="411">
        <v>26.17</v>
      </c>
      <c r="E384" s="418">
        <f t="shared" si="63"/>
        <v>3.8080126933756508E-2</v>
      </c>
      <c r="F384" s="411">
        <v>3055.73</v>
      </c>
      <c r="G384" s="418">
        <f t="shared" si="64"/>
        <v>3.7512605483673855E-3</v>
      </c>
      <c r="H384" s="411">
        <v>26.17</v>
      </c>
      <c r="I384" s="418">
        <f t="shared" si="65"/>
        <v>3.8080126933756508E-2</v>
      </c>
      <c r="J384" s="411">
        <v>3055.73</v>
      </c>
      <c r="K384" s="418">
        <f t="shared" si="66"/>
        <v>3.7512605483673855E-3</v>
      </c>
      <c r="L384" s="411">
        <v>26.17</v>
      </c>
      <c r="M384" s="418">
        <f t="shared" si="67"/>
        <v>3.8080126933756508E-2</v>
      </c>
      <c r="N384" s="411"/>
      <c r="O384" s="388"/>
      <c r="Q384" s="388"/>
    </row>
    <row r="385" spans="1:17">
      <c r="A385" s="408">
        <v>43980</v>
      </c>
      <c r="B385" s="411">
        <v>3044.31</v>
      </c>
      <c r="C385" s="418">
        <f t="shared" si="62"/>
        <v>4.8123100078225622E-3</v>
      </c>
      <c r="D385" s="411">
        <v>25.21</v>
      </c>
      <c r="E385" s="418">
        <f t="shared" si="63"/>
        <v>-1.75370226032735E-2</v>
      </c>
      <c r="F385" s="411">
        <v>3044.31</v>
      </c>
      <c r="G385" s="418">
        <f t="shared" si="64"/>
        <v>4.8123100078225622E-3</v>
      </c>
      <c r="H385" s="411">
        <v>25.21</v>
      </c>
      <c r="I385" s="418">
        <f t="shared" si="65"/>
        <v>-1.75370226032735E-2</v>
      </c>
      <c r="J385" s="411">
        <v>3044.31</v>
      </c>
      <c r="K385" s="418">
        <f t="shared" si="66"/>
        <v>4.8123100078225622E-3</v>
      </c>
      <c r="L385" s="411">
        <v>25.21</v>
      </c>
      <c r="M385" s="418">
        <f t="shared" si="67"/>
        <v>-1.75370226032735E-2</v>
      </c>
      <c r="N385" s="411"/>
      <c r="O385" s="388"/>
      <c r="Q385" s="388"/>
    </row>
    <row r="386" spans="1:17">
      <c r="A386" s="408">
        <v>43979</v>
      </c>
      <c r="B386" s="411">
        <v>3029.73</v>
      </c>
      <c r="C386" s="418">
        <f t="shared" si="62"/>
        <v>-2.1079466294262605E-3</v>
      </c>
      <c r="D386" s="411">
        <v>25.66</v>
      </c>
      <c r="E386" s="418">
        <f t="shared" si="63"/>
        <v>-2.5075987841945313E-2</v>
      </c>
      <c r="F386" s="411">
        <v>3029.73</v>
      </c>
      <c r="G386" s="418">
        <f t="shared" si="64"/>
        <v>-2.1079466294262605E-3</v>
      </c>
      <c r="H386" s="411">
        <v>25.66</v>
      </c>
      <c r="I386" s="418">
        <f t="shared" si="65"/>
        <v>-2.5075987841945313E-2</v>
      </c>
      <c r="J386" s="411">
        <v>3029.73</v>
      </c>
      <c r="K386" s="418">
        <f t="shared" si="66"/>
        <v>-2.1079466294262605E-3</v>
      </c>
      <c r="L386" s="411">
        <v>25.66</v>
      </c>
      <c r="M386" s="418">
        <f t="shared" si="67"/>
        <v>-2.5075987841945313E-2</v>
      </c>
      <c r="N386" s="411"/>
      <c r="O386" s="388"/>
      <c r="Q386" s="388"/>
    </row>
    <row r="387" spans="1:17">
      <c r="A387" s="408">
        <v>43978</v>
      </c>
      <c r="B387" s="411">
        <v>3036.13</v>
      </c>
      <c r="C387" s="418">
        <f t="shared" si="62"/>
        <v>1.4827343010993532E-2</v>
      </c>
      <c r="D387" s="411">
        <v>26.32</v>
      </c>
      <c r="E387" s="418">
        <f t="shared" si="63"/>
        <v>2.61208576998051E-2</v>
      </c>
      <c r="F387" s="411">
        <v>3036.13</v>
      </c>
      <c r="G387" s="418">
        <f t="shared" si="64"/>
        <v>1.4827343010993532E-2</v>
      </c>
      <c r="H387" s="411">
        <v>26.32</v>
      </c>
      <c r="I387" s="418">
        <f t="shared" si="65"/>
        <v>2.61208576998051E-2</v>
      </c>
      <c r="J387" s="411">
        <v>3036.13</v>
      </c>
      <c r="K387" s="418">
        <f t="shared" si="66"/>
        <v>1.4827343010993532E-2</v>
      </c>
      <c r="L387" s="411">
        <v>26.32</v>
      </c>
      <c r="M387" s="418">
        <f t="shared" si="67"/>
        <v>2.61208576998051E-2</v>
      </c>
      <c r="N387" s="411"/>
      <c r="O387" s="388"/>
      <c r="Q387" s="388"/>
    </row>
    <row r="388" spans="1:17">
      <c r="A388" s="408">
        <v>43977</v>
      </c>
      <c r="B388" s="411">
        <v>2991.77</v>
      </c>
      <c r="C388" s="418">
        <f t="shared" si="62"/>
        <v>1.2289160703107926E-2</v>
      </c>
      <c r="D388" s="411">
        <v>25.65</v>
      </c>
      <c r="E388" s="418">
        <f t="shared" si="63"/>
        <v>0.130453944468929</v>
      </c>
      <c r="F388" s="411">
        <v>2991.77</v>
      </c>
      <c r="G388" s="418">
        <f t="shared" si="64"/>
        <v>1.2289160703107926E-2</v>
      </c>
      <c r="H388" s="411">
        <v>25.65</v>
      </c>
      <c r="I388" s="418">
        <f t="shared" si="65"/>
        <v>0.130453944468929</v>
      </c>
      <c r="J388" s="411">
        <v>2991.77</v>
      </c>
      <c r="K388" s="418">
        <f t="shared" si="66"/>
        <v>1.2289160703107926E-2</v>
      </c>
      <c r="L388" s="411">
        <v>25.65</v>
      </c>
      <c r="M388" s="418">
        <f t="shared" si="67"/>
        <v>0.130453944468929</v>
      </c>
      <c r="N388" s="411"/>
      <c r="O388" s="388"/>
      <c r="Q388" s="388"/>
    </row>
    <row r="389" spans="1:17">
      <c r="A389" s="408">
        <v>43973</v>
      </c>
      <c r="B389" s="411">
        <v>2955.45</v>
      </c>
      <c r="C389" s="418">
        <f t="shared" si="62"/>
        <v>2.3537312066093108E-3</v>
      </c>
      <c r="D389" s="411">
        <v>22.69</v>
      </c>
      <c r="E389" s="418">
        <f t="shared" si="63"/>
        <v>-2.0293609671848012E-2</v>
      </c>
      <c r="F389" s="411">
        <v>2955.45</v>
      </c>
      <c r="G389" s="418">
        <f t="shared" si="64"/>
        <v>2.3537312066093108E-3</v>
      </c>
      <c r="H389" s="411">
        <v>22.69</v>
      </c>
      <c r="I389" s="418">
        <f t="shared" si="65"/>
        <v>-2.0293609671848012E-2</v>
      </c>
      <c r="J389" s="411">
        <v>2955.45</v>
      </c>
      <c r="K389" s="418">
        <f t="shared" si="66"/>
        <v>2.3537312066093108E-3</v>
      </c>
      <c r="L389" s="411">
        <v>22.69</v>
      </c>
      <c r="M389" s="418">
        <f t="shared" si="67"/>
        <v>-2.0293609671848012E-2</v>
      </c>
      <c r="N389" s="411"/>
      <c r="O389" s="388"/>
      <c r="Q389" s="388"/>
    </row>
    <row r="390" spans="1:17">
      <c r="A390" s="408">
        <v>43972</v>
      </c>
      <c r="B390" s="411">
        <v>2948.51</v>
      </c>
      <c r="C390" s="418">
        <f t="shared" si="62"/>
        <v>-7.7735638256701822E-3</v>
      </c>
      <c r="D390" s="411">
        <v>23.16</v>
      </c>
      <c r="E390" s="418">
        <f t="shared" si="63"/>
        <v>1.9366197183098732E-2</v>
      </c>
      <c r="F390" s="411">
        <v>2948.51</v>
      </c>
      <c r="G390" s="418">
        <f t="shared" si="64"/>
        <v>-7.7735638256701822E-3</v>
      </c>
      <c r="H390" s="411">
        <v>23.16</v>
      </c>
      <c r="I390" s="418">
        <f t="shared" si="65"/>
        <v>1.9366197183098732E-2</v>
      </c>
      <c r="J390" s="411">
        <v>2948.51</v>
      </c>
      <c r="K390" s="418">
        <f t="shared" si="66"/>
        <v>-7.7735638256701822E-3</v>
      </c>
      <c r="L390" s="411">
        <v>23.16</v>
      </c>
      <c r="M390" s="418">
        <f t="shared" si="67"/>
        <v>1.9366197183098732E-2</v>
      </c>
      <c r="N390" s="411"/>
      <c r="O390" s="388"/>
      <c r="Q390" s="388"/>
    </row>
    <row r="391" spans="1:17">
      <c r="A391" s="408">
        <v>43971</v>
      </c>
      <c r="B391" s="411">
        <v>2971.61</v>
      </c>
      <c r="C391" s="418">
        <f t="shared" si="62"/>
        <v>1.6651043127809739E-2</v>
      </c>
      <c r="D391" s="411">
        <v>22.72</v>
      </c>
      <c r="E391" s="418">
        <f t="shared" si="63"/>
        <v>4.4117647058823373E-2</v>
      </c>
      <c r="F391" s="411">
        <v>2971.61</v>
      </c>
      <c r="G391" s="418">
        <f t="shared" si="64"/>
        <v>1.6651043127809739E-2</v>
      </c>
      <c r="H391" s="411">
        <v>22.72</v>
      </c>
      <c r="I391" s="418">
        <f t="shared" si="65"/>
        <v>4.4117647058823373E-2</v>
      </c>
      <c r="J391" s="411">
        <v>2971.61</v>
      </c>
      <c r="K391" s="418">
        <f t="shared" si="66"/>
        <v>1.6651043127809739E-2</v>
      </c>
      <c r="L391" s="411">
        <v>22.72</v>
      </c>
      <c r="M391" s="418">
        <f t="shared" si="67"/>
        <v>4.4117647058823373E-2</v>
      </c>
      <c r="N391" s="411"/>
      <c r="O391" s="388"/>
      <c r="Q391" s="388"/>
    </row>
    <row r="392" spans="1:17">
      <c r="A392" s="408">
        <v>43970</v>
      </c>
      <c r="B392" s="411">
        <v>2922.94</v>
      </c>
      <c r="C392" s="418">
        <f t="shared" ref="C392:C455" si="68">B392/B393-1</f>
        <v>-1.0484408800538914E-2</v>
      </c>
      <c r="D392" s="411">
        <v>21.76</v>
      </c>
      <c r="E392" s="418">
        <f t="shared" ref="E392:E455" si="69">D392/D393-1</f>
        <v>-4.5745654162853144E-3</v>
      </c>
      <c r="F392" s="411">
        <v>2922.94</v>
      </c>
      <c r="G392" s="418">
        <f t="shared" ref="G392:G455" si="70">F392/F393-1</f>
        <v>-1.0484408800538914E-2</v>
      </c>
      <c r="H392" s="411">
        <v>21.76</v>
      </c>
      <c r="I392" s="418">
        <f t="shared" ref="I392:I455" si="71">H392/H393-1</f>
        <v>-4.5745654162853144E-3</v>
      </c>
      <c r="J392" s="411">
        <v>2922.94</v>
      </c>
      <c r="K392" s="418">
        <f t="shared" ref="K392:K455" si="72">J392/J393-1</f>
        <v>-1.0484408800538914E-2</v>
      </c>
      <c r="L392" s="411">
        <v>21.76</v>
      </c>
      <c r="M392" s="418">
        <f t="shared" ref="M392:M455" si="73">L392/L393-1</f>
        <v>-4.5745654162853144E-3</v>
      </c>
      <c r="N392" s="411"/>
      <c r="O392" s="388"/>
      <c r="Q392" s="388"/>
    </row>
    <row r="393" spans="1:17">
      <c r="A393" s="408">
        <v>43969</v>
      </c>
      <c r="B393" s="411">
        <v>2953.91</v>
      </c>
      <c r="C393" s="418">
        <f t="shared" si="68"/>
        <v>3.1501204735132848E-2</v>
      </c>
      <c r="D393" s="411">
        <v>21.86</v>
      </c>
      <c r="E393" s="418">
        <f t="shared" si="69"/>
        <v>0.13913496612819176</v>
      </c>
      <c r="F393" s="411">
        <v>2953.91</v>
      </c>
      <c r="G393" s="418">
        <f t="shared" si="70"/>
        <v>3.1501204735132848E-2</v>
      </c>
      <c r="H393" s="411">
        <v>21.86</v>
      </c>
      <c r="I393" s="418">
        <f t="shared" si="71"/>
        <v>0.13913496612819176</v>
      </c>
      <c r="J393" s="411">
        <v>2953.91</v>
      </c>
      <c r="K393" s="418">
        <f t="shared" si="72"/>
        <v>3.1501204735132848E-2</v>
      </c>
      <c r="L393" s="411">
        <v>21.86</v>
      </c>
      <c r="M393" s="418">
        <f t="shared" si="73"/>
        <v>0.13913496612819176</v>
      </c>
      <c r="N393" s="411"/>
      <c r="O393" s="388"/>
      <c r="Q393" s="388"/>
    </row>
    <row r="394" spans="1:17">
      <c r="A394" s="408">
        <v>43966</v>
      </c>
      <c r="B394" s="411">
        <v>2863.7</v>
      </c>
      <c r="C394" s="418">
        <f t="shared" si="68"/>
        <v>3.9263803680980036E-3</v>
      </c>
      <c r="D394" s="411">
        <v>19.190000000000001</v>
      </c>
      <c r="E394" s="418">
        <f t="shared" si="69"/>
        <v>-9.8039215686273051E-3</v>
      </c>
      <c r="F394" s="411">
        <v>2863.7</v>
      </c>
      <c r="G394" s="418">
        <f t="shared" si="70"/>
        <v>3.9263803680980036E-3</v>
      </c>
      <c r="H394" s="411">
        <v>19.190000000000001</v>
      </c>
      <c r="I394" s="418">
        <f t="shared" si="71"/>
        <v>-9.8039215686273051E-3</v>
      </c>
      <c r="J394" s="411">
        <v>2863.7</v>
      </c>
      <c r="K394" s="418">
        <f t="shared" si="72"/>
        <v>3.9263803680980036E-3</v>
      </c>
      <c r="L394" s="411">
        <v>19.190000000000001</v>
      </c>
      <c r="M394" s="418">
        <f t="shared" si="73"/>
        <v>-9.8039215686273051E-3</v>
      </c>
      <c r="N394" s="411"/>
      <c r="O394" s="388"/>
      <c r="Q394" s="388"/>
    </row>
    <row r="395" spans="1:17">
      <c r="A395" s="408">
        <v>43965</v>
      </c>
      <c r="B395" s="411">
        <v>2852.5</v>
      </c>
      <c r="C395" s="418">
        <f t="shared" si="68"/>
        <v>1.1524822695035519E-2</v>
      </c>
      <c r="D395" s="411">
        <v>19.38</v>
      </c>
      <c r="E395" s="418">
        <f t="shared" si="69"/>
        <v>-1.5455950540959051E-3</v>
      </c>
      <c r="F395" s="411">
        <v>2852.5</v>
      </c>
      <c r="G395" s="418">
        <f t="shared" si="70"/>
        <v>1.1524822695035519E-2</v>
      </c>
      <c r="H395" s="411">
        <v>19.38</v>
      </c>
      <c r="I395" s="418">
        <f t="shared" si="71"/>
        <v>-1.5455950540959051E-3</v>
      </c>
      <c r="J395" s="411">
        <v>2852.5</v>
      </c>
      <c r="K395" s="418">
        <f t="shared" si="72"/>
        <v>1.1524822695035519E-2</v>
      </c>
      <c r="L395" s="411">
        <v>19.38</v>
      </c>
      <c r="M395" s="418">
        <f t="shared" si="73"/>
        <v>-1.5455950540959051E-3</v>
      </c>
      <c r="N395" s="411"/>
      <c r="O395" s="388"/>
      <c r="Q395" s="388"/>
    </row>
    <row r="396" spans="1:17">
      <c r="A396" s="408">
        <v>43964</v>
      </c>
      <c r="B396" s="411">
        <v>2820</v>
      </c>
      <c r="C396" s="418">
        <f t="shared" si="68"/>
        <v>-1.7462684487059787E-2</v>
      </c>
      <c r="D396" s="411">
        <v>19.41</v>
      </c>
      <c r="E396" s="418">
        <f t="shared" si="69"/>
        <v>-7.7032810271041363E-2</v>
      </c>
      <c r="F396" s="411">
        <v>2820</v>
      </c>
      <c r="G396" s="418">
        <f t="shared" si="70"/>
        <v>-1.7462684487059787E-2</v>
      </c>
      <c r="H396" s="411">
        <v>19.41</v>
      </c>
      <c r="I396" s="418">
        <f t="shared" si="71"/>
        <v>-7.7032810271041363E-2</v>
      </c>
      <c r="J396" s="411">
        <v>2820</v>
      </c>
      <c r="K396" s="418">
        <f t="shared" si="72"/>
        <v>-1.7462684487059787E-2</v>
      </c>
      <c r="L396" s="411">
        <v>19.41</v>
      </c>
      <c r="M396" s="418">
        <f t="shared" si="73"/>
        <v>-7.7032810271041363E-2</v>
      </c>
      <c r="N396" s="411"/>
      <c r="O396" s="388"/>
      <c r="Q396" s="388"/>
    </row>
    <row r="397" spans="1:17">
      <c r="A397" s="408">
        <v>43963</v>
      </c>
      <c r="B397" s="411">
        <v>2870.12</v>
      </c>
      <c r="C397" s="418">
        <f t="shared" si="68"/>
        <v>-2.054383139042848E-2</v>
      </c>
      <c r="D397" s="411">
        <v>21.03</v>
      </c>
      <c r="E397" s="418">
        <f t="shared" si="69"/>
        <v>-4.4525215810995E-2</v>
      </c>
      <c r="F397" s="411">
        <v>2870.12</v>
      </c>
      <c r="G397" s="418">
        <f t="shared" si="70"/>
        <v>-2.054383139042848E-2</v>
      </c>
      <c r="H397" s="411">
        <v>21.03</v>
      </c>
      <c r="I397" s="418">
        <f t="shared" si="71"/>
        <v>-4.4525215810995E-2</v>
      </c>
      <c r="J397" s="411">
        <v>2870.12</v>
      </c>
      <c r="K397" s="418">
        <f t="shared" si="72"/>
        <v>-2.054383139042848E-2</v>
      </c>
      <c r="L397" s="411">
        <v>21.03</v>
      </c>
      <c r="M397" s="418">
        <f t="shared" si="73"/>
        <v>-4.4525215810995E-2</v>
      </c>
      <c r="N397" s="411"/>
      <c r="O397" s="388"/>
      <c r="Q397" s="388"/>
    </row>
    <row r="398" spans="1:17">
      <c r="A398" s="408">
        <v>43962</v>
      </c>
      <c r="B398" s="411">
        <v>2930.32</v>
      </c>
      <c r="C398" s="418">
        <f t="shared" si="68"/>
        <v>1.7748651785098879E-4</v>
      </c>
      <c r="D398" s="411">
        <v>22.01</v>
      </c>
      <c r="E398" s="418">
        <f t="shared" si="69"/>
        <v>-3.1249999999999889E-2</v>
      </c>
      <c r="F398" s="411">
        <v>2930.32</v>
      </c>
      <c r="G398" s="418">
        <f t="shared" si="70"/>
        <v>1.7748651785098879E-4</v>
      </c>
      <c r="H398" s="411">
        <v>22.01</v>
      </c>
      <c r="I398" s="418">
        <f t="shared" si="71"/>
        <v>-3.1249999999999889E-2</v>
      </c>
      <c r="J398" s="411">
        <v>2930.32</v>
      </c>
      <c r="K398" s="418">
        <f t="shared" si="72"/>
        <v>1.7748651785098879E-4</v>
      </c>
      <c r="L398" s="411">
        <v>22.01</v>
      </c>
      <c r="M398" s="418">
        <f t="shared" si="73"/>
        <v>-3.1249999999999889E-2</v>
      </c>
      <c r="N398" s="411"/>
      <c r="O398" s="388"/>
      <c r="Q398" s="388"/>
    </row>
    <row r="399" spans="1:17">
      <c r="A399" s="408">
        <v>43959</v>
      </c>
      <c r="B399" s="411">
        <v>2929.8</v>
      </c>
      <c r="C399" s="418">
        <f t="shared" si="68"/>
        <v>1.6871501011734846E-2</v>
      </c>
      <c r="D399" s="411">
        <v>22.72</v>
      </c>
      <c r="E399" s="418">
        <f t="shared" si="69"/>
        <v>4.7970479704797064E-2</v>
      </c>
      <c r="F399" s="411">
        <v>2929.8</v>
      </c>
      <c r="G399" s="418">
        <f t="shared" si="70"/>
        <v>1.6871501011734846E-2</v>
      </c>
      <c r="H399" s="411">
        <v>22.72</v>
      </c>
      <c r="I399" s="418">
        <f t="shared" si="71"/>
        <v>4.7970479704797064E-2</v>
      </c>
      <c r="J399" s="411">
        <v>2929.8</v>
      </c>
      <c r="K399" s="418">
        <f t="shared" si="72"/>
        <v>1.6871501011734846E-2</v>
      </c>
      <c r="L399" s="411">
        <v>22.72</v>
      </c>
      <c r="M399" s="418">
        <f t="shared" si="73"/>
        <v>4.7970479704797064E-2</v>
      </c>
      <c r="N399" s="411"/>
      <c r="O399" s="388"/>
      <c r="Q399" s="388"/>
    </row>
    <row r="400" spans="1:17">
      <c r="A400" s="408">
        <v>43958</v>
      </c>
      <c r="B400" s="411">
        <v>2881.19</v>
      </c>
      <c r="C400" s="418">
        <f t="shared" si="68"/>
        <v>1.1504623615899323E-2</v>
      </c>
      <c r="D400" s="411">
        <v>21.68</v>
      </c>
      <c r="E400" s="418">
        <f t="shared" si="69"/>
        <v>3.2380952380952399E-2</v>
      </c>
      <c r="F400" s="411">
        <v>2881.19</v>
      </c>
      <c r="G400" s="418">
        <f t="shared" si="70"/>
        <v>1.1504623615899323E-2</v>
      </c>
      <c r="H400" s="411">
        <v>21.68</v>
      </c>
      <c r="I400" s="418">
        <f t="shared" si="71"/>
        <v>3.2380952380952399E-2</v>
      </c>
      <c r="J400" s="411">
        <v>2881.19</v>
      </c>
      <c r="K400" s="418">
        <f t="shared" si="72"/>
        <v>1.1504623615899323E-2</v>
      </c>
      <c r="L400" s="411">
        <v>21.68</v>
      </c>
      <c r="M400" s="418">
        <f t="shared" si="73"/>
        <v>3.2380952380952399E-2</v>
      </c>
      <c r="N400" s="411"/>
      <c r="O400" s="388"/>
      <c r="Q400" s="388"/>
    </row>
    <row r="401" spans="1:17">
      <c r="A401" s="408">
        <v>43957</v>
      </c>
      <c r="B401" s="411">
        <v>2848.42</v>
      </c>
      <c r="C401" s="418">
        <f t="shared" si="68"/>
        <v>-6.9794034388029891E-3</v>
      </c>
      <c r="D401" s="411">
        <v>21</v>
      </c>
      <c r="E401" s="418">
        <f t="shared" si="69"/>
        <v>-3.270382312298481E-2</v>
      </c>
      <c r="F401" s="411">
        <v>2848.42</v>
      </c>
      <c r="G401" s="418">
        <f t="shared" si="70"/>
        <v>-6.9794034388029891E-3</v>
      </c>
      <c r="H401" s="411">
        <v>21</v>
      </c>
      <c r="I401" s="418">
        <f t="shared" si="71"/>
        <v>-3.270382312298481E-2</v>
      </c>
      <c r="J401" s="411">
        <v>2848.42</v>
      </c>
      <c r="K401" s="418">
        <f t="shared" si="72"/>
        <v>-6.9794034388029891E-3</v>
      </c>
      <c r="L401" s="411">
        <v>21</v>
      </c>
      <c r="M401" s="418">
        <f t="shared" si="73"/>
        <v>-3.270382312298481E-2</v>
      </c>
      <c r="N401" s="411"/>
      <c r="O401" s="388"/>
      <c r="Q401" s="388"/>
    </row>
    <row r="402" spans="1:17">
      <c r="A402" s="408">
        <v>43956</v>
      </c>
      <c r="B402" s="411">
        <v>2868.44</v>
      </c>
      <c r="C402" s="418">
        <f t="shared" si="68"/>
        <v>9.0405735311707147E-3</v>
      </c>
      <c r="D402" s="411">
        <v>21.71</v>
      </c>
      <c r="E402" s="418">
        <f t="shared" si="69"/>
        <v>-3.8103677447939743E-2</v>
      </c>
      <c r="F402" s="411">
        <v>2868.44</v>
      </c>
      <c r="G402" s="418">
        <f t="shared" si="70"/>
        <v>9.0405735311707147E-3</v>
      </c>
      <c r="H402" s="411">
        <v>21.71</v>
      </c>
      <c r="I402" s="418">
        <f t="shared" si="71"/>
        <v>-3.8103677447939743E-2</v>
      </c>
      <c r="J402" s="411">
        <v>2868.44</v>
      </c>
      <c r="K402" s="418">
        <f t="shared" si="72"/>
        <v>9.0405735311707147E-3</v>
      </c>
      <c r="L402" s="411">
        <v>21.71</v>
      </c>
      <c r="M402" s="418">
        <f t="shared" si="73"/>
        <v>-3.8103677447939743E-2</v>
      </c>
      <c r="N402" s="411"/>
      <c r="O402" s="388"/>
      <c r="Q402" s="388"/>
    </row>
    <row r="403" spans="1:17">
      <c r="A403" s="408">
        <v>43955</v>
      </c>
      <c r="B403" s="411">
        <v>2842.74</v>
      </c>
      <c r="C403" s="418">
        <f t="shared" si="68"/>
        <v>4.2498171836746756E-3</v>
      </c>
      <c r="D403" s="411">
        <v>22.57</v>
      </c>
      <c r="E403" s="418">
        <f t="shared" si="69"/>
        <v>-6.4262023217247166E-2</v>
      </c>
      <c r="F403" s="411">
        <v>2842.74</v>
      </c>
      <c r="G403" s="418">
        <f t="shared" si="70"/>
        <v>4.2498171836746756E-3</v>
      </c>
      <c r="H403" s="411">
        <v>22.57</v>
      </c>
      <c r="I403" s="418">
        <f t="shared" si="71"/>
        <v>-6.4262023217247166E-2</v>
      </c>
      <c r="J403" s="411">
        <v>2842.74</v>
      </c>
      <c r="K403" s="418">
        <f t="shared" si="72"/>
        <v>4.2498171836746756E-3</v>
      </c>
      <c r="L403" s="411">
        <v>22.57</v>
      </c>
      <c r="M403" s="418">
        <f t="shared" si="73"/>
        <v>-6.4262023217247166E-2</v>
      </c>
      <c r="N403" s="411"/>
      <c r="O403" s="388"/>
      <c r="Q403" s="388"/>
    </row>
    <row r="404" spans="1:17">
      <c r="A404" s="408">
        <v>43952</v>
      </c>
      <c r="B404" s="411">
        <v>2830.71</v>
      </c>
      <c r="C404" s="418">
        <f t="shared" si="68"/>
        <v>-2.8059043479156554E-2</v>
      </c>
      <c r="D404" s="411">
        <v>24.12</v>
      </c>
      <c r="E404" s="418">
        <f t="shared" si="69"/>
        <v>-6.9085295252798162E-2</v>
      </c>
      <c r="F404" s="411">
        <v>2830.71</v>
      </c>
      <c r="G404" s="418">
        <f t="shared" si="70"/>
        <v>-2.8059043479156554E-2</v>
      </c>
      <c r="H404" s="411">
        <v>24.12</v>
      </c>
      <c r="I404" s="418">
        <f t="shared" si="71"/>
        <v>-6.9085295252798162E-2</v>
      </c>
      <c r="J404" s="411">
        <v>2830.71</v>
      </c>
      <c r="K404" s="418">
        <f t="shared" si="72"/>
        <v>-2.8059043479156554E-2</v>
      </c>
      <c r="L404" s="411">
        <v>24.12</v>
      </c>
      <c r="M404" s="418">
        <f t="shared" si="73"/>
        <v>-6.9085295252798162E-2</v>
      </c>
      <c r="N404" s="411"/>
      <c r="O404" s="388"/>
      <c r="Q404" s="388"/>
    </row>
    <row r="405" spans="1:17">
      <c r="A405" s="408">
        <v>43951</v>
      </c>
      <c r="B405" s="411">
        <v>2912.43</v>
      </c>
      <c r="C405" s="418">
        <f t="shared" si="68"/>
        <v>-9.2124197570344624E-3</v>
      </c>
      <c r="D405" s="411">
        <v>25.91</v>
      </c>
      <c r="E405" s="418">
        <f t="shared" si="69"/>
        <v>-5.1610541727671988E-2</v>
      </c>
      <c r="F405" s="411">
        <v>2912.43</v>
      </c>
      <c r="G405" s="418">
        <f t="shared" si="70"/>
        <v>-9.2124197570344624E-3</v>
      </c>
      <c r="H405" s="411">
        <v>25.91</v>
      </c>
      <c r="I405" s="418">
        <f t="shared" si="71"/>
        <v>-5.1610541727671988E-2</v>
      </c>
      <c r="J405" s="411">
        <v>2912.43</v>
      </c>
      <c r="K405" s="418">
        <f t="shared" si="72"/>
        <v>-9.2124197570344624E-3</v>
      </c>
      <c r="L405" s="411">
        <v>25.91</v>
      </c>
      <c r="M405" s="418">
        <f t="shared" si="73"/>
        <v>-5.1610541727671988E-2</v>
      </c>
      <c r="N405" s="411"/>
      <c r="O405" s="388"/>
      <c r="Q405" s="388"/>
    </row>
    <row r="406" spans="1:17">
      <c r="A406" s="408">
        <v>43950</v>
      </c>
      <c r="B406" s="411">
        <v>2939.51</v>
      </c>
      <c r="C406" s="418">
        <f t="shared" si="68"/>
        <v>2.6583874358714787E-2</v>
      </c>
      <c r="D406" s="411">
        <v>27.32</v>
      </c>
      <c r="E406" s="418">
        <f t="shared" si="69"/>
        <v>0.12243221035332796</v>
      </c>
      <c r="F406" s="411">
        <v>2939.51</v>
      </c>
      <c r="G406" s="418">
        <f t="shared" si="70"/>
        <v>2.6583874358714787E-2</v>
      </c>
      <c r="H406" s="411">
        <v>27.32</v>
      </c>
      <c r="I406" s="418">
        <f t="shared" si="71"/>
        <v>0.12243221035332796</v>
      </c>
      <c r="J406" s="411">
        <v>2939.51</v>
      </c>
      <c r="K406" s="418">
        <f t="shared" si="72"/>
        <v>2.6583874358714787E-2</v>
      </c>
      <c r="L406" s="411">
        <v>27.32</v>
      </c>
      <c r="M406" s="418">
        <f t="shared" si="73"/>
        <v>0.12243221035332796</v>
      </c>
      <c r="N406" s="411"/>
      <c r="O406" s="388"/>
      <c r="Q406" s="388"/>
    </row>
    <row r="407" spans="1:17">
      <c r="A407" s="408">
        <v>43949</v>
      </c>
      <c r="B407" s="411">
        <v>2863.39</v>
      </c>
      <c r="C407" s="418">
        <f t="shared" si="68"/>
        <v>-5.2423501292349073E-3</v>
      </c>
      <c r="D407" s="411">
        <v>24.34</v>
      </c>
      <c r="E407" s="418">
        <f t="shared" si="69"/>
        <v>9.8375451263537972E-2</v>
      </c>
      <c r="F407" s="411">
        <v>2863.39</v>
      </c>
      <c r="G407" s="418">
        <f t="shared" si="70"/>
        <v>-5.2423501292349073E-3</v>
      </c>
      <c r="H407" s="411">
        <v>24.34</v>
      </c>
      <c r="I407" s="418">
        <f t="shared" si="71"/>
        <v>9.8375451263537972E-2</v>
      </c>
      <c r="J407" s="411">
        <v>2863.39</v>
      </c>
      <c r="K407" s="418">
        <f t="shared" si="72"/>
        <v>-5.2423501292349073E-3</v>
      </c>
      <c r="L407" s="411">
        <v>24.34</v>
      </c>
      <c r="M407" s="418">
        <f t="shared" si="73"/>
        <v>9.8375451263537972E-2</v>
      </c>
      <c r="N407" s="411"/>
      <c r="O407" s="388"/>
      <c r="Q407" s="388"/>
    </row>
    <row r="408" spans="1:17">
      <c r="A408" s="408">
        <v>43948</v>
      </c>
      <c r="B408" s="411">
        <v>2878.48</v>
      </c>
      <c r="C408" s="418">
        <f t="shared" si="68"/>
        <v>1.4714073196697708E-2</v>
      </c>
      <c r="D408" s="411">
        <v>22.16</v>
      </c>
      <c r="E408" s="418">
        <f t="shared" si="69"/>
        <v>-1.1155734047300303E-2</v>
      </c>
      <c r="F408" s="411">
        <v>2878.48</v>
      </c>
      <c r="G408" s="418">
        <f t="shared" si="70"/>
        <v>1.4714073196697708E-2</v>
      </c>
      <c r="H408" s="411">
        <v>22.16</v>
      </c>
      <c r="I408" s="418">
        <f t="shared" si="71"/>
        <v>-1.1155734047300303E-2</v>
      </c>
      <c r="J408" s="411">
        <v>2878.48</v>
      </c>
      <c r="K408" s="418">
        <f t="shared" si="72"/>
        <v>1.4714073196697708E-2</v>
      </c>
      <c r="L408" s="411">
        <v>22.16</v>
      </c>
      <c r="M408" s="418">
        <f t="shared" si="73"/>
        <v>-1.1155734047300303E-2</v>
      </c>
      <c r="N408" s="411"/>
      <c r="O408" s="388"/>
      <c r="Q408" s="388"/>
    </row>
    <row r="409" spans="1:17">
      <c r="A409" s="408">
        <v>43945</v>
      </c>
      <c r="B409" s="411">
        <v>2836.74</v>
      </c>
      <c r="C409" s="418">
        <f t="shared" si="68"/>
        <v>1.3918078490242181E-2</v>
      </c>
      <c r="D409" s="411">
        <v>22.41</v>
      </c>
      <c r="E409" s="418">
        <f t="shared" si="69"/>
        <v>-3.1138790035587505E-3</v>
      </c>
      <c r="F409" s="411">
        <v>2836.74</v>
      </c>
      <c r="G409" s="418">
        <f t="shared" si="70"/>
        <v>1.3918078490242181E-2</v>
      </c>
      <c r="H409" s="411">
        <v>22.41</v>
      </c>
      <c r="I409" s="418">
        <f t="shared" si="71"/>
        <v>-3.1138790035587505E-3</v>
      </c>
      <c r="J409" s="411">
        <v>2836.74</v>
      </c>
      <c r="K409" s="418">
        <f t="shared" si="72"/>
        <v>1.3918078490242181E-2</v>
      </c>
      <c r="L409" s="411">
        <v>22.41</v>
      </c>
      <c r="M409" s="418">
        <f t="shared" si="73"/>
        <v>-3.1138790035587505E-3</v>
      </c>
      <c r="N409" s="411"/>
      <c r="O409" s="388"/>
      <c r="Q409" s="388"/>
    </row>
    <row r="410" spans="1:17">
      <c r="A410" s="408">
        <v>43944</v>
      </c>
      <c r="B410" s="411">
        <v>2797.8</v>
      </c>
      <c r="C410" s="418">
        <f t="shared" si="68"/>
        <v>-5.3941864245110605E-4</v>
      </c>
      <c r="D410" s="411">
        <v>22.48</v>
      </c>
      <c r="E410" s="418">
        <f t="shared" si="69"/>
        <v>4.4503782821547766E-4</v>
      </c>
      <c r="F410" s="411">
        <v>2797.8</v>
      </c>
      <c r="G410" s="418">
        <f t="shared" si="70"/>
        <v>-5.3941864245110605E-4</v>
      </c>
      <c r="H410" s="411">
        <v>22.48</v>
      </c>
      <c r="I410" s="418">
        <f t="shared" si="71"/>
        <v>4.4503782821547766E-4</v>
      </c>
      <c r="J410" s="411">
        <v>2797.8</v>
      </c>
      <c r="K410" s="418">
        <f t="shared" si="72"/>
        <v>-5.3941864245110605E-4</v>
      </c>
      <c r="L410" s="411">
        <v>22.48</v>
      </c>
      <c r="M410" s="418">
        <f t="shared" si="73"/>
        <v>4.4503782821547766E-4</v>
      </c>
      <c r="N410" s="411"/>
      <c r="O410" s="388"/>
      <c r="Q410" s="388"/>
    </row>
    <row r="411" spans="1:17">
      <c r="A411" s="408">
        <v>43943</v>
      </c>
      <c r="B411" s="411">
        <v>2799.31</v>
      </c>
      <c r="C411" s="418">
        <f t="shared" si="68"/>
        <v>2.2930248194813929E-2</v>
      </c>
      <c r="D411" s="411">
        <v>22.47</v>
      </c>
      <c r="E411" s="418">
        <f t="shared" si="69"/>
        <v>-2.7272727272727337E-2</v>
      </c>
      <c r="F411" s="411">
        <v>2799.31</v>
      </c>
      <c r="G411" s="418">
        <f t="shared" si="70"/>
        <v>2.2930248194813929E-2</v>
      </c>
      <c r="H411" s="411">
        <v>22.47</v>
      </c>
      <c r="I411" s="418">
        <f t="shared" si="71"/>
        <v>-2.7272727272727337E-2</v>
      </c>
      <c r="J411" s="411">
        <v>2799.31</v>
      </c>
      <c r="K411" s="418">
        <f t="shared" si="72"/>
        <v>2.2930248194813929E-2</v>
      </c>
      <c r="L411" s="411">
        <v>22.47</v>
      </c>
      <c r="M411" s="418">
        <f t="shared" si="73"/>
        <v>-2.7272727272727337E-2</v>
      </c>
      <c r="N411" s="411"/>
      <c r="O411" s="388"/>
      <c r="Q411" s="388"/>
    </row>
    <row r="412" spans="1:17">
      <c r="A412" s="408">
        <v>43942</v>
      </c>
      <c r="B412" s="411">
        <v>2736.56</v>
      </c>
      <c r="C412" s="418">
        <f t="shared" si="68"/>
        <v>-3.0674846625766805E-2</v>
      </c>
      <c r="D412" s="411">
        <v>23.1</v>
      </c>
      <c r="E412" s="418">
        <f t="shared" si="69"/>
        <v>-2.2842639593908642E-2</v>
      </c>
      <c r="F412" s="411">
        <v>2736.56</v>
      </c>
      <c r="G412" s="418">
        <f t="shared" si="70"/>
        <v>-3.0674846625766805E-2</v>
      </c>
      <c r="H412" s="411">
        <v>23.1</v>
      </c>
      <c r="I412" s="418">
        <f t="shared" si="71"/>
        <v>-2.2842639593908642E-2</v>
      </c>
      <c r="J412" s="411">
        <v>2736.56</v>
      </c>
      <c r="K412" s="418">
        <f t="shared" si="72"/>
        <v>-3.0674846625766805E-2</v>
      </c>
      <c r="L412" s="411">
        <v>23.1</v>
      </c>
      <c r="M412" s="418">
        <f t="shared" si="73"/>
        <v>-2.2842639593908642E-2</v>
      </c>
      <c r="N412" s="411"/>
      <c r="O412" s="388"/>
      <c r="Q412" s="388"/>
    </row>
    <row r="413" spans="1:17">
      <c r="A413" s="408">
        <v>43941</v>
      </c>
      <c r="B413" s="411">
        <v>2823.16</v>
      </c>
      <c r="C413" s="418">
        <f t="shared" si="68"/>
        <v>-1.7880997439608137E-2</v>
      </c>
      <c r="D413" s="411">
        <v>23.64</v>
      </c>
      <c r="E413" s="418">
        <f t="shared" si="69"/>
        <v>-2.595797280593326E-2</v>
      </c>
      <c r="F413" s="411">
        <v>2823.16</v>
      </c>
      <c r="G413" s="418">
        <f t="shared" si="70"/>
        <v>-1.7880997439608137E-2</v>
      </c>
      <c r="H413" s="411">
        <v>23.64</v>
      </c>
      <c r="I413" s="418">
        <f t="shared" si="71"/>
        <v>-2.595797280593326E-2</v>
      </c>
      <c r="J413" s="411">
        <v>2823.16</v>
      </c>
      <c r="K413" s="418">
        <f t="shared" si="72"/>
        <v>-1.7880997439608137E-2</v>
      </c>
      <c r="L413" s="411">
        <v>23.64</v>
      </c>
      <c r="M413" s="418">
        <f t="shared" si="73"/>
        <v>-2.595797280593326E-2</v>
      </c>
      <c r="N413" s="411"/>
      <c r="O413" s="388"/>
      <c r="Q413" s="388"/>
    </row>
    <row r="414" spans="1:17">
      <c r="A414" s="408">
        <v>43938</v>
      </c>
      <c r="B414" s="411">
        <v>2874.56</v>
      </c>
      <c r="C414" s="418">
        <f t="shared" si="68"/>
        <v>2.6793591827257934E-2</v>
      </c>
      <c r="D414" s="411">
        <v>24.27</v>
      </c>
      <c r="E414" s="418">
        <f t="shared" si="69"/>
        <v>6.5408252853380144E-2</v>
      </c>
      <c r="F414" s="411">
        <v>2874.56</v>
      </c>
      <c r="G414" s="418">
        <f t="shared" si="70"/>
        <v>2.6793591827257934E-2</v>
      </c>
      <c r="H414" s="411">
        <v>24.27</v>
      </c>
      <c r="I414" s="418">
        <f t="shared" si="71"/>
        <v>6.5408252853380144E-2</v>
      </c>
      <c r="J414" s="411">
        <v>2874.56</v>
      </c>
      <c r="K414" s="418">
        <f t="shared" si="72"/>
        <v>2.6793591827257934E-2</v>
      </c>
      <c r="L414" s="411">
        <v>24.27</v>
      </c>
      <c r="M414" s="418">
        <f t="shared" si="73"/>
        <v>6.5408252853380144E-2</v>
      </c>
      <c r="N414" s="411"/>
      <c r="O414" s="388"/>
      <c r="Q414" s="388"/>
    </row>
    <row r="415" spans="1:17">
      <c r="A415" s="408">
        <v>43937</v>
      </c>
      <c r="B415" s="411">
        <v>2799.55</v>
      </c>
      <c r="C415" s="418">
        <f t="shared" si="68"/>
        <v>5.8167107381006389E-3</v>
      </c>
      <c r="D415" s="411">
        <v>22.78</v>
      </c>
      <c r="E415" s="418">
        <f t="shared" si="69"/>
        <v>-6.4476386036961042E-2</v>
      </c>
      <c r="F415" s="411">
        <v>2799.55</v>
      </c>
      <c r="G415" s="418">
        <f t="shared" si="70"/>
        <v>5.8167107381006389E-3</v>
      </c>
      <c r="H415" s="411">
        <v>22.78</v>
      </c>
      <c r="I415" s="418">
        <f t="shared" si="71"/>
        <v>-6.4476386036961042E-2</v>
      </c>
      <c r="J415" s="411">
        <v>2799.55</v>
      </c>
      <c r="K415" s="418">
        <f t="shared" si="72"/>
        <v>5.8167107381006389E-3</v>
      </c>
      <c r="L415" s="411">
        <v>22.78</v>
      </c>
      <c r="M415" s="418">
        <f t="shared" si="73"/>
        <v>-6.4476386036961042E-2</v>
      </c>
      <c r="N415" s="411"/>
      <c r="O415" s="388"/>
      <c r="Q415" s="388"/>
    </row>
    <row r="416" spans="1:17">
      <c r="A416" s="408">
        <v>43936</v>
      </c>
      <c r="B416" s="411">
        <v>2783.36</v>
      </c>
      <c r="C416" s="418">
        <f t="shared" si="68"/>
        <v>-2.2030456139364496E-2</v>
      </c>
      <c r="D416" s="411">
        <v>24.35</v>
      </c>
      <c r="E416" s="418">
        <f t="shared" si="69"/>
        <v>-7.7424612876935139E-3</v>
      </c>
      <c r="F416" s="411">
        <v>2783.36</v>
      </c>
      <c r="G416" s="418">
        <f t="shared" si="70"/>
        <v>-2.2030456139364496E-2</v>
      </c>
      <c r="H416" s="411">
        <v>24.35</v>
      </c>
      <c r="I416" s="418">
        <f t="shared" si="71"/>
        <v>-7.7424612876935139E-3</v>
      </c>
      <c r="J416" s="411">
        <v>2783.36</v>
      </c>
      <c r="K416" s="418">
        <f t="shared" si="72"/>
        <v>-2.2030456139364496E-2</v>
      </c>
      <c r="L416" s="411">
        <v>24.35</v>
      </c>
      <c r="M416" s="418">
        <f t="shared" si="73"/>
        <v>-7.7424612876935139E-3</v>
      </c>
      <c r="N416" s="411"/>
      <c r="O416" s="388"/>
      <c r="Q416" s="388"/>
    </row>
    <row r="417" spans="1:17">
      <c r="A417" s="408">
        <v>43935</v>
      </c>
      <c r="B417" s="411">
        <v>2846.06</v>
      </c>
      <c r="C417" s="418">
        <f t="shared" si="68"/>
        <v>3.0572524197665762E-2</v>
      </c>
      <c r="D417" s="411">
        <v>24.54</v>
      </c>
      <c r="E417" s="418">
        <f t="shared" si="69"/>
        <v>5.5483870967741877E-2</v>
      </c>
      <c r="F417" s="411">
        <v>2846.06</v>
      </c>
      <c r="G417" s="418">
        <f t="shared" si="70"/>
        <v>3.0572524197665762E-2</v>
      </c>
      <c r="H417" s="411">
        <v>24.54</v>
      </c>
      <c r="I417" s="418">
        <f t="shared" si="71"/>
        <v>5.5483870967741877E-2</v>
      </c>
      <c r="J417" s="411">
        <v>2846.06</v>
      </c>
      <c r="K417" s="418">
        <f t="shared" si="72"/>
        <v>3.0572524197665762E-2</v>
      </c>
      <c r="L417" s="411">
        <v>24.54</v>
      </c>
      <c r="M417" s="418">
        <f t="shared" si="73"/>
        <v>5.5483870967741877E-2</v>
      </c>
      <c r="N417" s="411"/>
      <c r="O417" s="388"/>
      <c r="Q417" s="388"/>
    </row>
    <row r="418" spans="1:17">
      <c r="A418" s="408">
        <v>43934</v>
      </c>
      <c r="B418" s="411">
        <v>2761.63</v>
      </c>
      <c r="C418" s="418">
        <f t="shared" si="68"/>
        <v>-1.0104594561656355E-2</v>
      </c>
      <c r="D418" s="411">
        <v>23.25</v>
      </c>
      <c r="E418" s="418">
        <f t="shared" si="69"/>
        <v>-4.674046740467408E-2</v>
      </c>
      <c r="F418" s="411">
        <v>2761.63</v>
      </c>
      <c r="G418" s="418">
        <f t="shared" si="70"/>
        <v>-1.0104594561656355E-2</v>
      </c>
      <c r="H418" s="411">
        <v>23.25</v>
      </c>
      <c r="I418" s="418">
        <f t="shared" si="71"/>
        <v>-4.674046740467408E-2</v>
      </c>
      <c r="J418" s="411">
        <v>2761.63</v>
      </c>
      <c r="K418" s="418">
        <f t="shared" si="72"/>
        <v>-1.0104594561656355E-2</v>
      </c>
      <c r="L418" s="411">
        <v>23.25</v>
      </c>
      <c r="M418" s="418">
        <f t="shared" si="73"/>
        <v>-4.674046740467408E-2</v>
      </c>
      <c r="N418" s="411"/>
      <c r="O418" s="388"/>
      <c r="Q418" s="388"/>
    </row>
    <row r="419" spans="1:17">
      <c r="A419" s="408">
        <v>43930</v>
      </c>
      <c r="B419" s="411">
        <v>2789.82</v>
      </c>
      <c r="C419" s="418">
        <f t="shared" si="68"/>
        <v>1.448737809002254E-2</v>
      </c>
      <c r="D419" s="411">
        <v>24.39</v>
      </c>
      <c r="E419" s="418">
        <f t="shared" si="69"/>
        <v>4.9935428325441178E-2</v>
      </c>
      <c r="F419" s="411">
        <v>2789.82</v>
      </c>
      <c r="G419" s="418">
        <f t="shared" si="70"/>
        <v>1.448737809002254E-2</v>
      </c>
      <c r="H419" s="411">
        <v>24.39</v>
      </c>
      <c r="I419" s="418">
        <f t="shared" si="71"/>
        <v>4.9935428325441178E-2</v>
      </c>
      <c r="J419" s="411">
        <v>2789.82</v>
      </c>
      <c r="K419" s="418">
        <f t="shared" si="72"/>
        <v>1.448737809002254E-2</v>
      </c>
      <c r="L419" s="411">
        <v>24.39</v>
      </c>
      <c r="M419" s="418">
        <f t="shared" si="73"/>
        <v>4.9935428325441178E-2</v>
      </c>
      <c r="N419" s="411"/>
      <c r="O419" s="388"/>
      <c r="Q419" s="388"/>
    </row>
    <row r="420" spans="1:17">
      <c r="A420" s="408">
        <v>43929</v>
      </c>
      <c r="B420" s="411">
        <v>2749.98</v>
      </c>
      <c r="C420" s="418">
        <f t="shared" si="68"/>
        <v>3.4056426049386967E-2</v>
      </c>
      <c r="D420" s="411">
        <v>23.23</v>
      </c>
      <c r="E420" s="418">
        <f t="shared" si="69"/>
        <v>4.4044943820224836E-2</v>
      </c>
      <c r="F420" s="411">
        <v>2749.98</v>
      </c>
      <c r="G420" s="418">
        <f t="shared" si="70"/>
        <v>3.4056426049386967E-2</v>
      </c>
      <c r="H420" s="411">
        <v>23.23</v>
      </c>
      <c r="I420" s="418">
        <f t="shared" si="71"/>
        <v>4.4044943820224836E-2</v>
      </c>
      <c r="J420" s="411">
        <v>2749.98</v>
      </c>
      <c r="K420" s="418">
        <f t="shared" si="72"/>
        <v>3.4056426049386967E-2</v>
      </c>
      <c r="L420" s="411">
        <v>23.23</v>
      </c>
      <c r="M420" s="418">
        <f t="shared" si="73"/>
        <v>4.4044943820224836E-2</v>
      </c>
      <c r="N420" s="411"/>
      <c r="O420" s="388"/>
      <c r="Q420" s="388"/>
    </row>
    <row r="421" spans="1:17">
      <c r="A421" s="408">
        <v>43928</v>
      </c>
      <c r="B421" s="411">
        <v>2659.41</v>
      </c>
      <c r="C421" s="418">
        <f t="shared" si="68"/>
        <v>-1.6030454108602044E-3</v>
      </c>
      <c r="D421" s="411">
        <v>22.25</v>
      </c>
      <c r="E421" s="418">
        <f t="shared" si="69"/>
        <v>-3.1362007168458383E-3</v>
      </c>
      <c r="F421" s="411">
        <v>2659.41</v>
      </c>
      <c r="G421" s="418">
        <f t="shared" si="70"/>
        <v>-1.6030454108602044E-3</v>
      </c>
      <c r="H421" s="411">
        <v>22.25</v>
      </c>
      <c r="I421" s="418">
        <f t="shared" si="71"/>
        <v>-3.1362007168458383E-3</v>
      </c>
      <c r="J421" s="411">
        <v>2659.41</v>
      </c>
      <c r="K421" s="418">
        <f t="shared" si="72"/>
        <v>-1.6030454108602044E-3</v>
      </c>
      <c r="L421" s="411">
        <v>22.25</v>
      </c>
      <c r="M421" s="418">
        <f t="shared" si="73"/>
        <v>-3.1362007168458383E-3</v>
      </c>
      <c r="N421" s="411"/>
      <c r="O421" s="388"/>
      <c r="Q421" s="388"/>
    </row>
    <row r="422" spans="1:17">
      <c r="A422" s="408">
        <v>43927</v>
      </c>
      <c r="B422" s="411">
        <v>2663.68</v>
      </c>
      <c r="C422" s="418">
        <f t="shared" si="68"/>
        <v>7.0331304120707872E-2</v>
      </c>
      <c r="D422" s="411">
        <v>22.32</v>
      </c>
      <c r="E422" s="418">
        <f t="shared" si="69"/>
        <v>-7.1174377224199059E-3</v>
      </c>
      <c r="F422" s="411">
        <v>2663.68</v>
      </c>
      <c r="G422" s="418">
        <f t="shared" si="70"/>
        <v>7.0331304120707872E-2</v>
      </c>
      <c r="H422" s="411">
        <v>22.32</v>
      </c>
      <c r="I422" s="418">
        <f t="shared" si="71"/>
        <v>-7.1174377224199059E-3</v>
      </c>
      <c r="J422" s="411">
        <v>2663.68</v>
      </c>
      <c r="K422" s="418">
        <f t="shared" si="72"/>
        <v>7.0331304120707872E-2</v>
      </c>
      <c r="L422" s="411">
        <v>22.32</v>
      </c>
      <c r="M422" s="418">
        <f t="shared" si="73"/>
        <v>-7.1174377224199059E-3</v>
      </c>
      <c r="N422" s="411"/>
      <c r="O422" s="388"/>
      <c r="Q422" s="388"/>
    </row>
    <row r="423" spans="1:17">
      <c r="A423" s="408">
        <v>43924</v>
      </c>
      <c r="B423" s="411">
        <v>2488.65</v>
      </c>
      <c r="C423" s="418">
        <f t="shared" si="68"/>
        <v>-1.5137124539950086E-2</v>
      </c>
      <c r="D423" s="411">
        <v>22.48</v>
      </c>
      <c r="E423" s="418">
        <f t="shared" si="69"/>
        <v>-8.818342151675429E-3</v>
      </c>
      <c r="F423" s="411">
        <v>2488.65</v>
      </c>
      <c r="G423" s="418">
        <f t="shared" si="70"/>
        <v>-1.5137124539950086E-2</v>
      </c>
      <c r="H423" s="411">
        <v>22.48</v>
      </c>
      <c r="I423" s="418">
        <f t="shared" si="71"/>
        <v>-8.818342151675429E-3</v>
      </c>
      <c r="J423" s="411">
        <v>2488.65</v>
      </c>
      <c r="K423" s="418">
        <f t="shared" si="72"/>
        <v>-1.5137124539950086E-2</v>
      </c>
      <c r="L423" s="411">
        <v>22.48</v>
      </c>
      <c r="M423" s="418">
        <f t="shared" si="73"/>
        <v>-8.818342151675429E-3</v>
      </c>
      <c r="N423" s="411"/>
      <c r="O423" s="388"/>
      <c r="Q423" s="388"/>
    </row>
    <row r="424" spans="1:17">
      <c r="A424" s="408">
        <v>43923</v>
      </c>
      <c r="B424" s="411">
        <v>2526.9</v>
      </c>
      <c r="C424" s="418">
        <f t="shared" si="68"/>
        <v>2.2829386763812964E-2</v>
      </c>
      <c r="D424" s="411">
        <v>22.68</v>
      </c>
      <c r="E424" s="418">
        <f t="shared" si="69"/>
        <v>-4.9853372434017662E-2</v>
      </c>
      <c r="F424" s="411">
        <v>2526.9</v>
      </c>
      <c r="G424" s="418">
        <f t="shared" si="70"/>
        <v>2.2829386763812964E-2</v>
      </c>
      <c r="H424" s="411">
        <v>22.68</v>
      </c>
      <c r="I424" s="418">
        <f t="shared" si="71"/>
        <v>-4.9853372434017662E-2</v>
      </c>
      <c r="J424" s="411">
        <v>2526.9</v>
      </c>
      <c r="K424" s="418">
        <f t="shared" si="72"/>
        <v>2.2829386763812964E-2</v>
      </c>
      <c r="L424" s="411">
        <v>22.68</v>
      </c>
      <c r="M424" s="418">
        <f t="shared" si="73"/>
        <v>-4.9853372434017662E-2</v>
      </c>
      <c r="N424" s="411"/>
      <c r="O424" s="388"/>
      <c r="Q424" s="388"/>
    </row>
    <row r="425" spans="1:17">
      <c r="A425" s="408">
        <v>43922</v>
      </c>
      <c r="B425" s="411">
        <v>2470.5</v>
      </c>
      <c r="C425" s="418">
        <f t="shared" si="68"/>
        <v>-4.4142397827121593E-2</v>
      </c>
      <c r="D425" s="411">
        <v>23.87</v>
      </c>
      <c r="E425" s="418">
        <f t="shared" si="69"/>
        <v>-0.16333683841570279</v>
      </c>
      <c r="F425" s="411">
        <v>2470.5</v>
      </c>
      <c r="G425" s="418">
        <f t="shared" si="70"/>
        <v>-4.4142397827121593E-2</v>
      </c>
      <c r="H425" s="411">
        <v>23.87</v>
      </c>
      <c r="I425" s="418">
        <f t="shared" si="71"/>
        <v>-0.16333683841570279</v>
      </c>
      <c r="J425" s="411">
        <v>2470.5</v>
      </c>
      <c r="K425" s="418">
        <f t="shared" si="72"/>
        <v>-4.4142397827121593E-2</v>
      </c>
      <c r="L425" s="411">
        <v>23.87</v>
      </c>
      <c r="M425" s="418">
        <f t="shared" si="73"/>
        <v>-0.16333683841570279</v>
      </c>
      <c r="N425" s="411"/>
      <c r="O425" s="388"/>
      <c r="Q425" s="388"/>
    </row>
    <row r="426" spans="1:17">
      <c r="A426" s="408">
        <v>43921</v>
      </c>
      <c r="B426" s="411">
        <v>2584.59</v>
      </c>
      <c r="C426" s="418">
        <f t="shared" si="68"/>
        <v>-1.60127919593398E-2</v>
      </c>
      <c r="D426" s="411">
        <v>28.53</v>
      </c>
      <c r="E426" s="418">
        <f t="shared" si="69"/>
        <v>-4.8831531217300439E-3</v>
      </c>
      <c r="F426" s="411">
        <v>2584.59</v>
      </c>
      <c r="G426" s="418">
        <f t="shared" si="70"/>
        <v>-1.60127919593398E-2</v>
      </c>
      <c r="H426" s="411">
        <v>28.53</v>
      </c>
      <c r="I426" s="418">
        <f t="shared" si="71"/>
        <v>-4.8831531217300439E-3</v>
      </c>
      <c r="J426" s="411">
        <v>2584.59</v>
      </c>
      <c r="K426" s="418">
        <f t="shared" si="72"/>
        <v>-1.60127919593398E-2</v>
      </c>
      <c r="L426" s="411">
        <v>28.53</v>
      </c>
      <c r="M426" s="418">
        <f t="shared" si="73"/>
        <v>-4.8831531217300439E-3</v>
      </c>
      <c r="N426" s="411"/>
      <c r="O426" s="388"/>
      <c r="Q426" s="388"/>
    </row>
    <row r="427" spans="1:17">
      <c r="A427" s="408">
        <v>43920</v>
      </c>
      <c r="B427" s="411">
        <v>2626.65</v>
      </c>
      <c r="C427" s="418">
        <f t="shared" si="68"/>
        <v>3.3516035994916482E-2</v>
      </c>
      <c r="D427" s="411">
        <v>28.67</v>
      </c>
      <c r="E427" s="418">
        <f t="shared" si="69"/>
        <v>-2.9780033840947517E-2</v>
      </c>
      <c r="F427" s="411">
        <v>2626.65</v>
      </c>
      <c r="G427" s="418">
        <f t="shared" si="70"/>
        <v>3.3516035994916482E-2</v>
      </c>
      <c r="H427" s="411">
        <v>28.67</v>
      </c>
      <c r="I427" s="418">
        <f t="shared" si="71"/>
        <v>-2.9780033840947517E-2</v>
      </c>
      <c r="J427" s="411">
        <v>2626.65</v>
      </c>
      <c r="K427" s="418">
        <f t="shared" si="72"/>
        <v>3.3516035994916482E-2</v>
      </c>
      <c r="L427" s="411">
        <v>28.67</v>
      </c>
      <c r="M427" s="418">
        <f t="shared" si="73"/>
        <v>-2.9780033840947517E-2</v>
      </c>
      <c r="N427" s="411"/>
      <c r="O427" s="388"/>
      <c r="Q427" s="388"/>
    </row>
    <row r="428" spans="1:17">
      <c r="A428" s="408">
        <v>43917</v>
      </c>
      <c r="B428" s="411">
        <v>2541.4699999999998</v>
      </c>
      <c r="C428" s="418">
        <f t="shared" si="68"/>
        <v>-3.36873163071707E-2</v>
      </c>
      <c r="D428" s="411">
        <v>29.55</v>
      </c>
      <c r="E428" s="418">
        <f t="shared" si="69"/>
        <v>-6.7823343848580353E-2</v>
      </c>
      <c r="F428" s="411">
        <v>2541.4699999999998</v>
      </c>
      <c r="G428" s="418">
        <f t="shared" si="70"/>
        <v>-3.36873163071707E-2</v>
      </c>
      <c r="H428" s="411">
        <v>29.55</v>
      </c>
      <c r="I428" s="418">
        <f t="shared" si="71"/>
        <v>-6.7823343848580353E-2</v>
      </c>
      <c r="J428" s="411">
        <v>2541.4699999999998</v>
      </c>
      <c r="K428" s="418">
        <f t="shared" si="72"/>
        <v>-3.36873163071707E-2</v>
      </c>
      <c r="L428" s="411">
        <v>29.55</v>
      </c>
      <c r="M428" s="418">
        <f t="shared" si="73"/>
        <v>-6.7823343848580353E-2</v>
      </c>
      <c r="N428" s="411"/>
      <c r="O428" s="388"/>
      <c r="Q428" s="388"/>
    </row>
    <row r="429" spans="1:17">
      <c r="A429" s="408">
        <v>43916</v>
      </c>
      <c r="B429" s="411">
        <v>2630.07</v>
      </c>
      <c r="C429" s="418">
        <f t="shared" si="68"/>
        <v>6.2414160836336219E-2</v>
      </c>
      <c r="D429" s="411">
        <v>31.7</v>
      </c>
      <c r="E429" s="418">
        <f t="shared" si="69"/>
        <v>1.9292604501607746E-2</v>
      </c>
      <c r="F429" s="411">
        <v>2630.07</v>
      </c>
      <c r="G429" s="418">
        <f t="shared" si="70"/>
        <v>6.2414160836336219E-2</v>
      </c>
      <c r="H429" s="411">
        <v>31.7</v>
      </c>
      <c r="I429" s="418">
        <f t="shared" si="71"/>
        <v>1.9292604501607746E-2</v>
      </c>
      <c r="J429" s="411">
        <v>2630.07</v>
      </c>
      <c r="K429" s="418">
        <f t="shared" si="72"/>
        <v>6.2414160836336219E-2</v>
      </c>
      <c r="L429" s="411">
        <v>31.7</v>
      </c>
      <c r="M429" s="418">
        <f t="shared" si="73"/>
        <v>1.9292604501607746E-2</v>
      </c>
      <c r="N429" s="411"/>
      <c r="O429" s="388"/>
      <c r="Q429" s="388"/>
    </row>
    <row r="430" spans="1:17">
      <c r="A430" s="408">
        <v>43915</v>
      </c>
      <c r="B430" s="411">
        <v>2475.56</v>
      </c>
      <c r="C430" s="418">
        <f t="shared" si="68"/>
        <v>1.1535019797084933E-2</v>
      </c>
      <c r="D430" s="411">
        <v>31.1</v>
      </c>
      <c r="E430" s="418">
        <f t="shared" si="69"/>
        <v>0.15656377835626634</v>
      </c>
      <c r="F430" s="411">
        <v>2475.56</v>
      </c>
      <c r="G430" s="418">
        <f t="shared" si="70"/>
        <v>1.1535019797084933E-2</v>
      </c>
      <c r="H430" s="411">
        <v>31.1</v>
      </c>
      <c r="I430" s="418">
        <f t="shared" si="71"/>
        <v>0.15656377835626634</v>
      </c>
      <c r="J430" s="411">
        <v>2475.56</v>
      </c>
      <c r="K430" s="418">
        <f t="shared" si="72"/>
        <v>1.1535019797084933E-2</v>
      </c>
      <c r="L430" s="411">
        <v>31.1</v>
      </c>
      <c r="M430" s="418">
        <f t="shared" si="73"/>
        <v>0.15656377835626634</v>
      </c>
      <c r="N430" s="411"/>
      <c r="O430" s="388"/>
      <c r="Q430" s="388"/>
    </row>
    <row r="431" spans="1:17">
      <c r="A431" s="408">
        <v>43914</v>
      </c>
      <c r="B431" s="411">
        <v>2447.33</v>
      </c>
      <c r="C431" s="418">
        <f t="shared" si="68"/>
        <v>9.3827657101993367E-2</v>
      </c>
      <c r="D431" s="411">
        <v>26.89</v>
      </c>
      <c r="E431" s="418">
        <f t="shared" si="69"/>
        <v>0.21017101710171016</v>
      </c>
      <c r="F431" s="411">
        <v>2447.33</v>
      </c>
      <c r="G431" s="418">
        <f t="shared" si="70"/>
        <v>9.3827657101993367E-2</v>
      </c>
      <c r="H431" s="411">
        <v>26.89</v>
      </c>
      <c r="I431" s="418">
        <f t="shared" si="71"/>
        <v>0.21017101710171016</v>
      </c>
      <c r="J431" s="411">
        <v>2447.33</v>
      </c>
      <c r="K431" s="418">
        <f t="shared" si="72"/>
        <v>9.3827657101993367E-2</v>
      </c>
      <c r="L431" s="411">
        <v>26.89</v>
      </c>
      <c r="M431" s="418">
        <f t="shared" si="73"/>
        <v>0.21017101710171016</v>
      </c>
      <c r="N431" s="411"/>
      <c r="O431" s="388"/>
      <c r="Q431" s="388"/>
    </row>
    <row r="432" spans="1:17">
      <c r="A432" s="408">
        <v>43913</v>
      </c>
      <c r="B432" s="411">
        <v>2237.4</v>
      </c>
      <c r="C432" s="418">
        <f t="shared" si="68"/>
        <v>-2.9293858355170621E-2</v>
      </c>
      <c r="D432" s="411">
        <v>22.22</v>
      </c>
      <c r="E432" s="418">
        <f t="shared" si="69"/>
        <v>4.0749414519906102E-2</v>
      </c>
      <c r="F432" s="411">
        <v>2237.4</v>
      </c>
      <c r="G432" s="418">
        <f t="shared" si="70"/>
        <v>-2.9293858355170621E-2</v>
      </c>
      <c r="H432" s="411">
        <v>22.22</v>
      </c>
      <c r="I432" s="418">
        <f t="shared" si="71"/>
        <v>4.0749414519906102E-2</v>
      </c>
      <c r="J432" s="411">
        <v>2237.4</v>
      </c>
      <c r="K432" s="418">
        <f t="shared" si="72"/>
        <v>-2.9293858355170621E-2</v>
      </c>
      <c r="L432" s="411">
        <v>22.22</v>
      </c>
      <c r="M432" s="418">
        <f t="shared" si="73"/>
        <v>4.0749414519906102E-2</v>
      </c>
      <c r="N432" s="411"/>
      <c r="O432" s="388"/>
      <c r="Q432" s="388"/>
    </row>
    <row r="433" spans="1:17">
      <c r="A433" s="408">
        <v>43910</v>
      </c>
      <c r="B433" s="411">
        <v>2304.92</v>
      </c>
      <c r="C433" s="418">
        <f t="shared" si="68"/>
        <v>-4.3359522534749395E-2</v>
      </c>
      <c r="D433" s="411">
        <v>21.35</v>
      </c>
      <c r="E433" s="418">
        <f t="shared" si="69"/>
        <v>-7.4384007438400568E-3</v>
      </c>
      <c r="F433" s="411">
        <v>2304.92</v>
      </c>
      <c r="G433" s="418">
        <f t="shared" si="70"/>
        <v>-4.3359522534749395E-2</v>
      </c>
      <c r="H433" s="411">
        <v>21.35</v>
      </c>
      <c r="I433" s="418">
        <f t="shared" si="71"/>
        <v>-7.4384007438400568E-3</v>
      </c>
      <c r="J433" s="411">
        <v>2304.92</v>
      </c>
      <c r="K433" s="418">
        <f t="shared" si="72"/>
        <v>-4.3359522534749395E-2</v>
      </c>
      <c r="L433" s="411">
        <v>21.35</v>
      </c>
      <c r="M433" s="418">
        <f t="shared" si="73"/>
        <v>-7.4384007438400568E-3</v>
      </c>
      <c r="N433" s="411"/>
      <c r="O433" s="388"/>
      <c r="Q433" s="388"/>
    </row>
    <row r="434" spans="1:17">
      <c r="A434" s="408">
        <v>43909</v>
      </c>
      <c r="B434" s="411">
        <v>2409.39</v>
      </c>
      <c r="C434" s="418">
        <f t="shared" si="68"/>
        <v>4.707893749218206E-3</v>
      </c>
      <c r="D434" s="411">
        <v>21.51</v>
      </c>
      <c r="E434" s="418">
        <f t="shared" si="69"/>
        <v>-8.4291187739463425E-2</v>
      </c>
      <c r="F434" s="411">
        <v>2409.39</v>
      </c>
      <c r="G434" s="418">
        <f t="shared" si="70"/>
        <v>4.707893749218206E-3</v>
      </c>
      <c r="H434" s="411">
        <v>21.51</v>
      </c>
      <c r="I434" s="418">
        <f t="shared" si="71"/>
        <v>-8.4291187739463425E-2</v>
      </c>
      <c r="J434" s="411">
        <v>2409.39</v>
      </c>
      <c r="K434" s="418">
        <f t="shared" si="72"/>
        <v>4.707893749218206E-3</v>
      </c>
      <c r="L434" s="411">
        <v>21.51</v>
      </c>
      <c r="M434" s="418">
        <f t="shared" si="73"/>
        <v>-8.4291187739463425E-2</v>
      </c>
      <c r="N434" s="411"/>
      <c r="O434" s="388"/>
      <c r="Q434" s="388"/>
    </row>
    <row r="435" spans="1:17">
      <c r="A435" s="408">
        <v>43908</v>
      </c>
      <c r="B435" s="411">
        <v>2398.1</v>
      </c>
      <c r="C435" s="418">
        <f t="shared" si="68"/>
        <v>-5.1830823307066787E-2</v>
      </c>
      <c r="D435" s="411">
        <v>23.49</v>
      </c>
      <c r="E435" s="418">
        <f t="shared" si="69"/>
        <v>-0.25992438563327036</v>
      </c>
      <c r="F435" s="411">
        <v>2398.1</v>
      </c>
      <c r="G435" s="418">
        <f t="shared" si="70"/>
        <v>-5.1830823307066787E-2</v>
      </c>
      <c r="H435" s="411">
        <v>23.49</v>
      </c>
      <c r="I435" s="418">
        <f t="shared" si="71"/>
        <v>-0.25992438563327036</v>
      </c>
      <c r="J435" s="411">
        <v>2398.1</v>
      </c>
      <c r="K435" s="418">
        <f t="shared" si="72"/>
        <v>-5.1830823307066787E-2</v>
      </c>
      <c r="L435" s="411">
        <v>23.49</v>
      </c>
      <c r="M435" s="418">
        <f t="shared" si="73"/>
        <v>-0.25992438563327036</v>
      </c>
      <c r="N435" s="411"/>
      <c r="O435" s="388"/>
      <c r="Q435" s="388"/>
    </row>
    <row r="436" spans="1:17">
      <c r="A436" s="408">
        <v>43907</v>
      </c>
      <c r="B436" s="411">
        <v>2529.19</v>
      </c>
      <c r="C436" s="418">
        <f t="shared" si="68"/>
        <v>5.9954822243549089E-2</v>
      </c>
      <c r="D436" s="411">
        <v>31.74</v>
      </c>
      <c r="E436" s="418">
        <f t="shared" si="69"/>
        <v>-0.11365540351857029</v>
      </c>
      <c r="F436" s="411">
        <v>2529.19</v>
      </c>
      <c r="G436" s="418">
        <f t="shared" si="70"/>
        <v>5.9954822243549089E-2</v>
      </c>
      <c r="H436" s="411">
        <v>31.74</v>
      </c>
      <c r="I436" s="418">
        <f t="shared" si="71"/>
        <v>-0.11365540351857029</v>
      </c>
      <c r="J436" s="411">
        <v>2529.19</v>
      </c>
      <c r="K436" s="418">
        <f t="shared" si="72"/>
        <v>5.9954822243549089E-2</v>
      </c>
      <c r="L436" s="411">
        <v>31.74</v>
      </c>
      <c r="M436" s="418">
        <f t="shared" si="73"/>
        <v>-0.11365540351857029</v>
      </c>
      <c r="N436" s="411"/>
      <c r="O436" s="388"/>
      <c r="Q436" s="388"/>
    </row>
    <row r="437" spans="1:17">
      <c r="A437" s="408">
        <v>43906</v>
      </c>
      <c r="B437" s="411">
        <v>2386.13</v>
      </c>
      <c r="C437" s="418">
        <f t="shared" si="68"/>
        <v>-0.11984050283657066</v>
      </c>
      <c r="D437" s="411">
        <v>35.81</v>
      </c>
      <c r="E437" s="418">
        <f t="shared" si="69"/>
        <v>-6.6475495307611987E-2</v>
      </c>
      <c r="F437" s="411">
        <v>2386.13</v>
      </c>
      <c r="G437" s="418">
        <f t="shared" si="70"/>
        <v>-0.11984050283657066</v>
      </c>
      <c r="H437" s="411">
        <v>35.81</v>
      </c>
      <c r="I437" s="418">
        <f t="shared" si="71"/>
        <v>-6.6475495307611987E-2</v>
      </c>
      <c r="J437" s="411">
        <v>2386.13</v>
      </c>
      <c r="K437" s="418">
        <f t="shared" si="72"/>
        <v>-0.11984050283657066</v>
      </c>
      <c r="L437" s="411">
        <v>35.81</v>
      </c>
      <c r="M437" s="418">
        <f t="shared" si="73"/>
        <v>-6.6475495307611987E-2</v>
      </c>
      <c r="N437" s="411"/>
      <c r="O437" s="388"/>
      <c r="Q437" s="388"/>
    </row>
    <row r="438" spans="1:17">
      <c r="A438" s="408">
        <v>43903</v>
      </c>
      <c r="B438" s="411">
        <v>2711.02</v>
      </c>
      <c r="C438" s="418">
        <f t="shared" si="68"/>
        <v>9.2871194530443901E-2</v>
      </c>
      <c r="D438" s="411">
        <v>38.36</v>
      </c>
      <c r="E438" s="418">
        <f t="shared" si="69"/>
        <v>0.1379412637199644</v>
      </c>
      <c r="F438" s="411">
        <v>2711.02</v>
      </c>
      <c r="G438" s="418">
        <f t="shared" si="70"/>
        <v>9.2871194530443901E-2</v>
      </c>
      <c r="H438" s="411">
        <v>38.36</v>
      </c>
      <c r="I438" s="418">
        <f t="shared" si="71"/>
        <v>0.1379412637199644</v>
      </c>
      <c r="J438" s="411">
        <v>2711.02</v>
      </c>
      <c r="K438" s="418">
        <f t="shared" si="72"/>
        <v>9.2871194530443901E-2</v>
      </c>
      <c r="L438" s="411">
        <v>38.36</v>
      </c>
      <c r="M438" s="418">
        <f t="shared" si="73"/>
        <v>0.1379412637199644</v>
      </c>
      <c r="N438" s="411"/>
      <c r="O438" s="388"/>
      <c r="Q438" s="388"/>
    </row>
    <row r="439" spans="1:17">
      <c r="A439" s="408">
        <v>43902</v>
      </c>
      <c r="B439" s="411">
        <v>2480.64</v>
      </c>
      <c r="C439" s="418">
        <f t="shared" si="68"/>
        <v>-9.5112680474797484E-2</v>
      </c>
      <c r="D439" s="411">
        <v>33.71</v>
      </c>
      <c r="E439" s="418">
        <f t="shared" si="69"/>
        <v>-0.20998359503163821</v>
      </c>
      <c r="F439" s="411">
        <v>2480.64</v>
      </c>
      <c r="G439" s="418">
        <f t="shared" si="70"/>
        <v>-9.5112680474797484E-2</v>
      </c>
      <c r="H439" s="411">
        <v>33.71</v>
      </c>
      <c r="I439" s="418">
        <f t="shared" si="71"/>
        <v>-0.20998359503163821</v>
      </c>
      <c r="J439" s="411">
        <v>2480.64</v>
      </c>
      <c r="K439" s="418">
        <f t="shared" si="72"/>
        <v>-9.5112680474797484E-2</v>
      </c>
      <c r="L439" s="411">
        <v>33.71</v>
      </c>
      <c r="M439" s="418">
        <f t="shared" si="73"/>
        <v>-0.20998359503163821</v>
      </c>
      <c r="N439" s="411"/>
      <c r="O439" s="388"/>
      <c r="Q439" s="388"/>
    </row>
    <row r="440" spans="1:17">
      <c r="A440" s="408">
        <v>43901</v>
      </c>
      <c r="B440" s="411">
        <v>2741.38</v>
      </c>
      <c r="C440" s="418">
        <f t="shared" si="68"/>
        <v>-4.8868410917935035E-2</v>
      </c>
      <c r="D440" s="411">
        <v>42.67</v>
      </c>
      <c r="E440" s="418">
        <f t="shared" si="69"/>
        <v>-6.1579063118539668E-2</v>
      </c>
      <c r="F440" s="411">
        <v>2741.38</v>
      </c>
      <c r="G440" s="418">
        <f t="shared" si="70"/>
        <v>-4.8868410917935035E-2</v>
      </c>
      <c r="H440" s="411">
        <v>42.67</v>
      </c>
      <c r="I440" s="418">
        <f t="shared" si="71"/>
        <v>-6.1579063118539668E-2</v>
      </c>
      <c r="J440" s="411">
        <v>2741.38</v>
      </c>
      <c r="K440" s="418">
        <f t="shared" si="72"/>
        <v>-4.8868410917935035E-2</v>
      </c>
      <c r="L440" s="411">
        <v>42.67</v>
      </c>
      <c r="M440" s="418">
        <f t="shared" si="73"/>
        <v>-6.1579063118539668E-2</v>
      </c>
      <c r="N440" s="411"/>
      <c r="O440" s="388"/>
      <c r="Q440" s="388"/>
    </row>
    <row r="441" spans="1:17">
      <c r="A441" s="408">
        <v>43900</v>
      </c>
      <c r="B441" s="411">
        <v>2882.23</v>
      </c>
      <c r="C441" s="418">
        <f t="shared" si="68"/>
        <v>4.9396335780030221E-2</v>
      </c>
      <c r="D441" s="411">
        <v>45.47</v>
      </c>
      <c r="E441" s="418">
        <f t="shared" si="69"/>
        <v>4.480698529411753E-2</v>
      </c>
      <c r="F441" s="411">
        <v>2882.23</v>
      </c>
      <c r="G441" s="418">
        <f t="shared" si="70"/>
        <v>4.9396335780030221E-2</v>
      </c>
      <c r="H441" s="411">
        <v>45.47</v>
      </c>
      <c r="I441" s="418">
        <f t="shared" si="71"/>
        <v>4.480698529411753E-2</v>
      </c>
      <c r="J441" s="411">
        <v>2882.23</v>
      </c>
      <c r="K441" s="418">
        <f t="shared" si="72"/>
        <v>4.9396335780030221E-2</v>
      </c>
      <c r="L441" s="411">
        <v>45.47</v>
      </c>
      <c r="M441" s="418">
        <f t="shared" si="73"/>
        <v>4.480698529411753E-2</v>
      </c>
      <c r="N441" s="411"/>
      <c r="O441" s="388"/>
      <c r="Q441" s="388"/>
    </row>
    <row r="442" spans="1:17">
      <c r="A442" s="408">
        <v>43899</v>
      </c>
      <c r="B442" s="411">
        <v>2746.56</v>
      </c>
      <c r="C442" s="418">
        <f t="shared" si="68"/>
        <v>-7.5969680759797709E-2</v>
      </c>
      <c r="D442" s="411">
        <v>43.52</v>
      </c>
      <c r="E442" s="418">
        <f t="shared" si="69"/>
        <v>-5.1645238614077105E-2</v>
      </c>
      <c r="F442" s="411">
        <v>2746.56</v>
      </c>
      <c r="G442" s="418">
        <f t="shared" si="70"/>
        <v>-7.5969680759797709E-2</v>
      </c>
      <c r="H442" s="411">
        <v>43.52</v>
      </c>
      <c r="I442" s="418">
        <f t="shared" si="71"/>
        <v>-5.1645238614077105E-2</v>
      </c>
      <c r="J442" s="411">
        <v>2746.56</v>
      </c>
      <c r="K442" s="418">
        <f t="shared" si="72"/>
        <v>-7.5969680759797709E-2</v>
      </c>
      <c r="L442" s="411">
        <v>43.52</v>
      </c>
      <c r="M442" s="418">
        <f t="shared" si="73"/>
        <v>-5.1645238614077105E-2</v>
      </c>
      <c r="N442" s="411"/>
      <c r="O442" s="388"/>
      <c r="Q442" s="388"/>
    </row>
    <row r="443" spans="1:17">
      <c r="A443" s="408">
        <v>43896</v>
      </c>
      <c r="B443" s="411">
        <v>2972.37</v>
      </c>
      <c r="C443" s="418">
        <f t="shared" si="68"/>
        <v>-1.7053909799797706E-2</v>
      </c>
      <c r="D443" s="411">
        <v>45.89</v>
      </c>
      <c r="E443" s="418">
        <f t="shared" si="69"/>
        <v>1.955121084203526E-2</v>
      </c>
      <c r="F443" s="411">
        <v>2972.37</v>
      </c>
      <c r="G443" s="418">
        <f t="shared" si="70"/>
        <v>-1.7053909799797706E-2</v>
      </c>
      <c r="H443" s="411">
        <v>45.89</v>
      </c>
      <c r="I443" s="418">
        <f t="shared" si="71"/>
        <v>1.955121084203526E-2</v>
      </c>
      <c r="J443" s="411">
        <v>2972.37</v>
      </c>
      <c r="K443" s="418">
        <f t="shared" si="72"/>
        <v>-1.7053909799797706E-2</v>
      </c>
      <c r="L443" s="411">
        <v>45.89</v>
      </c>
      <c r="M443" s="418">
        <f t="shared" si="73"/>
        <v>1.955121084203526E-2</v>
      </c>
      <c r="N443" s="411"/>
      <c r="O443" s="388"/>
      <c r="Q443" s="388"/>
    </row>
    <row r="444" spans="1:17">
      <c r="A444" s="408">
        <v>43895</v>
      </c>
      <c r="B444" s="411">
        <v>3023.94</v>
      </c>
      <c r="C444" s="418">
        <f t="shared" si="68"/>
        <v>-3.3922022158894838E-2</v>
      </c>
      <c r="D444" s="411">
        <v>45.01</v>
      </c>
      <c r="E444" s="418">
        <f t="shared" si="69"/>
        <v>-7.1958762886597971E-2</v>
      </c>
      <c r="F444" s="411">
        <v>3023.94</v>
      </c>
      <c r="G444" s="418">
        <f t="shared" si="70"/>
        <v>-3.3922022158894838E-2</v>
      </c>
      <c r="H444" s="411">
        <v>45.01</v>
      </c>
      <c r="I444" s="418">
        <f t="shared" si="71"/>
        <v>-7.1958762886597971E-2</v>
      </c>
      <c r="J444" s="411">
        <v>3023.94</v>
      </c>
      <c r="K444" s="418">
        <f t="shared" si="72"/>
        <v>-3.3922022158894838E-2</v>
      </c>
      <c r="L444" s="411">
        <v>45.01</v>
      </c>
      <c r="M444" s="418">
        <f t="shared" si="73"/>
        <v>-7.1958762886597971E-2</v>
      </c>
      <c r="N444" s="411"/>
      <c r="O444" s="388"/>
      <c r="Q444" s="388"/>
    </row>
    <row r="445" spans="1:17">
      <c r="A445" s="408">
        <v>43894</v>
      </c>
      <c r="B445" s="411">
        <v>3130.12</v>
      </c>
      <c r="C445" s="418">
        <f t="shared" si="68"/>
        <v>4.2202592421180185E-2</v>
      </c>
      <c r="D445" s="411">
        <v>48.5</v>
      </c>
      <c r="E445" s="418">
        <f t="shared" si="69"/>
        <v>5.0238198354265906E-2</v>
      </c>
      <c r="F445" s="411">
        <v>3130.12</v>
      </c>
      <c r="G445" s="418">
        <f t="shared" si="70"/>
        <v>4.2202592421180185E-2</v>
      </c>
      <c r="H445" s="411">
        <v>48.5</v>
      </c>
      <c r="I445" s="418">
        <f t="shared" si="71"/>
        <v>5.0238198354265906E-2</v>
      </c>
      <c r="J445" s="411">
        <v>3130.12</v>
      </c>
      <c r="K445" s="418">
        <f t="shared" si="72"/>
        <v>4.2202592421180185E-2</v>
      </c>
      <c r="L445" s="411">
        <v>48.5</v>
      </c>
      <c r="M445" s="418">
        <f t="shared" si="73"/>
        <v>5.0238198354265906E-2</v>
      </c>
      <c r="N445" s="411"/>
      <c r="O445" s="388"/>
      <c r="Q445" s="388"/>
    </row>
    <row r="446" spans="1:17">
      <c r="A446" s="408">
        <v>43893</v>
      </c>
      <c r="B446" s="411">
        <v>3003.37</v>
      </c>
      <c r="C446" s="418">
        <f t="shared" si="68"/>
        <v>-2.8107940185681968E-2</v>
      </c>
      <c r="D446" s="411">
        <v>46.18</v>
      </c>
      <c r="E446" s="418">
        <f t="shared" si="69"/>
        <v>-2.0780322307039745E-2</v>
      </c>
      <c r="F446" s="411">
        <v>3003.37</v>
      </c>
      <c r="G446" s="418">
        <f t="shared" si="70"/>
        <v>-2.8107940185681968E-2</v>
      </c>
      <c r="H446" s="411">
        <v>46.18</v>
      </c>
      <c r="I446" s="418">
        <f t="shared" si="71"/>
        <v>-2.0780322307039745E-2</v>
      </c>
      <c r="J446" s="411">
        <v>3003.37</v>
      </c>
      <c r="K446" s="418">
        <f t="shared" si="72"/>
        <v>-2.8107940185681968E-2</v>
      </c>
      <c r="L446" s="411">
        <v>46.18</v>
      </c>
      <c r="M446" s="418">
        <f t="shared" si="73"/>
        <v>-2.0780322307039745E-2</v>
      </c>
      <c r="N446" s="411"/>
      <c r="O446" s="388"/>
      <c r="Q446" s="388"/>
    </row>
    <row r="447" spans="1:17">
      <c r="A447" s="408">
        <v>43892</v>
      </c>
      <c r="B447" s="411">
        <v>3090.23</v>
      </c>
      <c r="C447" s="418">
        <f t="shared" si="68"/>
        <v>4.6039225243888371E-2</v>
      </c>
      <c r="D447" s="411">
        <v>47.16</v>
      </c>
      <c r="E447" s="418">
        <f t="shared" si="69"/>
        <v>2.2328202904833949E-2</v>
      </c>
      <c r="F447" s="411">
        <v>3090.23</v>
      </c>
      <c r="G447" s="418">
        <f t="shared" si="70"/>
        <v>4.6039225243888371E-2</v>
      </c>
      <c r="H447" s="411">
        <v>47.16</v>
      </c>
      <c r="I447" s="418">
        <f t="shared" si="71"/>
        <v>2.2328202904833949E-2</v>
      </c>
      <c r="J447" s="411">
        <v>3090.23</v>
      </c>
      <c r="K447" s="418">
        <f t="shared" si="72"/>
        <v>4.6039225243888371E-2</v>
      </c>
      <c r="L447" s="411">
        <v>47.16</v>
      </c>
      <c r="M447" s="418">
        <f t="shared" si="73"/>
        <v>2.2328202904833949E-2</v>
      </c>
      <c r="N447" s="411"/>
      <c r="O447" s="388"/>
      <c r="Q447" s="388"/>
    </row>
    <row r="448" spans="1:17">
      <c r="A448" s="408">
        <v>43889</v>
      </c>
      <c r="B448" s="411">
        <v>2954.22</v>
      </c>
      <c r="C448" s="418">
        <f t="shared" si="68"/>
        <v>-8.2383273576925875E-3</v>
      </c>
      <c r="D448" s="411">
        <v>46.13</v>
      </c>
      <c r="E448" s="418">
        <f t="shared" si="69"/>
        <v>-4.2747457978833725E-2</v>
      </c>
      <c r="F448" s="411">
        <v>2954.22</v>
      </c>
      <c r="G448" s="418">
        <f t="shared" si="70"/>
        <v>-8.2383273576925875E-3</v>
      </c>
      <c r="H448" s="411">
        <v>46.13</v>
      </c>
      <c r="I448" s="418">
        <f t="shared" si="71"/>
        <v>-4.2747457978833725E-2</v>
      </c>
      <c r="J448" s="411">
        <v>2954.22</v>
      </c>
      <c r="K448" s="418">
        <f t="shared" si="72"/>
        <v>-8.2383273576925875E-3</v>
      </c>
      <c r="L448" s="411">
        <v>46.13</v>
      </c>
      <c r="M448" s="418">
        <f t="shared" si="73"/>
        <v>-4.2747457978833725E-2</v>
      </c>
      <c r="N448" s="411"/>
      <c r="O448" s="388"/>
      <c r="Q448" s="388"/>
    </row>
    <row r="449" spans="1:17">
      <c r="A449" s="408">
        <v>43888</v>
      </c>
      <c r="B449" s="411">
        <v>2978.76</v>
      </c>
      <c r="C449" s="418">
        <f t="shared" si="68"/>
        <v>-4.4163278665378725E-2</v>
      </c>
      <c r="D449" s="411">
        <v>48.19</v>
      </c>
      <c r="E449" s="418">
        <f t="shared" si="69"/>
        <v>-2.8231498285944845E-2</v>
      </c>
      <c r="F449" s="411">
        <v>2978.76</v>
      </c>
      <c r="G449" s="418">
        <f t="shared" si="70"/>
        <v>-4.4163278665378725E-2</v>
      </c>
      <c r="H449" s="411">
        <v>48.19</v>
      </c>
      <c r="I449" s="418">
        <f t="shared" si="71"/>
        <v>-2.8231498285944845E-2</v>
      </c>
      <c r="J449" s="411">
        <v>2978.76</v>
      </c>
      <c r="K449" s="418">
        <f t="shared" si="72"/>
        <v>-4.4163278665378725E-2</v>
      </c>
      <c r="L449" s="411">
        <v>48.19</v>
      </c>
      <c r="M449" s="418">
        <f t="shared" si="73"/>
        <v>-2.8231498285944845E-2</v>
      </c>
      <c r="N449" s="411"/>
      <c r="O449" s="388"/>
      <c r="Q449" s="388"/>
    </row>
    <row r="450" spans="1:17">
      <c r="A450" s="408">
        <v>43887</v>
      </c>
      <c r="B450" s="411">
        <v>3116.39</v>
      </c>
      <c r="C450" s="418">
        <f t="shared" si="68"/>
        <v>-3.7785187055856539E-3</v>
      </c>
      <c r="D450" s="411">
        <v>49.59</v>
      </c>
      <c r="E450" s="418">
        <f t="shared" si="69"/>
        <v>-2.554529377087833E-2</v>
      </c>
      <c r="F450" s="411">
        <v>3116.39</v>
      </c>
      <c r="G450" s="418">
        <f t="shared" si="70"/>
        <v>-3.7785187055856539E-3</v>
      </c>
      <c r="H450" s="411">
        <v>49.59</v>
      </c>
      <c r="I450" s="418">
        <f t="shared" si="71"/>
        <v>-2.554529377087833E-2</v>
      </c>
      <c r="J450" s="411">
        <v>3116.39</v>
      </c>
      <c r="K450" s="418">
        <f t="shared" si="72"/>
        <v>-3.7785187055856539E-3</v>
      </c>
      <c r="L450" s="411">
        <v>49.59</v>
      </c>
      <c r="M450" s="418">
        <f t="shared" si="73"/>
        <v>-2.554529377087833E-2</v>
      </c>
      <c r="N450" s="411"/>
      <c r="O450" s="388"/>
      <c r="Q450" s="388"/>
    </row>
    <row r="451" spans="1:17">
      <c r="A451" s="408">
        <v>43886</v>
      </c>
      <c r="B451" s="411">
        <v>3128.21</v>
      </c>
      <c r="C451" s="418">
        <f t="shared" si="68"/>
        <v>-3.0280015747592093E-2</v>
      </c>
      <c r="D451" s="411">
        <v>50.89</v>
      </c>
      <c r="E451" s="418">
        <f t="shared" si="69"/>
        <v>-6.1589526092568625E-2</v>
      </c>
      <c r="F451" s="411">
        <v>3128.21</v>
      </c>
      <c r="G451" s="418">
        <f t="shared" si="70"/>
        <v>-3.0280015747592093E-2</v>
      </c>
      <c r="H451" s="411">
        <v>50.89</v>
      </c>
      <c r="I451" s="418">
        <f t="shared" si="71"/>
        <v>-6.1589526092568625E-2</v>
      </c>
      <c r="J451" s="411">
        <v>3128.21</v>
      </c>
      <c r="K451" s="418">
        <f t="shared" si="72"/>
        <v>-3.0280015747592093E-2</v>
      </c>
      <c r="L451" s="411">
        <v>50.89</v>
      </c>
      <c r="M451" s="418">
        <f t="shared" si="73"/>
        <v>-6.1589526092568625E-2</v>
      </c>
      <c r="N451" s="411"/>
      <c r="O451" s="388"/>
      <c r="Q451" s="388"/>
    </row>
    <row r="452" spans="1:17">
      <c r="A452" s="408">
        <v>43885</v>
      </c>
      <c r="B452" s="411">
        <v>3225.89</v>
      </c>
      <c r="C452" s="418">
        <f t="shared" si="68"/>
        <v>-3.3513594487304399E-2</v>
      </c>
      <c r="D452" s="411">
        <v>54.23</v>
      </c>
      <c r="E452" s="418">
        <f t="shared" si="69"/>
        <v>-6.2899602557456413E-2</v>
      </c>
      <c r="F452" s="411">
        <v>3225.89</v>
      </c>
      <c r="G452" s="418">
        <f t="shared" si="70"/>
        <v>-3.3513594487304399E-2</v>
      </c>
      <c r="H452" s="411">
        <v>54.23</v>
      </c>
      <c r="I452" s="418">
        <f t="shared" si="71"/>
        <v>-6.2899602557456413E-2</v>
      </c>
      <c r="J452" s="411">
        <v>3225.89</v>
      </c>
      <c r="K452" s="418">
        <f t="shared" si="72"/>
        <v>-3.3513594487304399E-2</v>
      </c>
      <c r="L452" s="411">
        <v>54.23</v>
      </c>
      <c r="M452" s="418">
        <f t="shared" si="73"/>
        <v>-6.2899602557456413E-2</v>
      </c>
      <c r="N452" s="411"/>
      <c r="O452" s="388"/>
      <c r="Q452" s="388"/>
    </row>
    <row r="453" spans="1:17">
      <c r="A453" s="408">
        <v>43882</v>
      </c>
      <c r="B453" s="411">
        <v>3337.75</v>
      </c>
      <c r="C453" s="418">
        <f t="shared" si="68"/>
        <v>-1.0518108756295885E-2</v>
      </c>
      <c r="D453" s="411">
        <v>57.87</v>
      </c>
      <c r="E453" s="418">
        <f t="shared" si="69"/>
        <v>-8.7358684480987048E-3</v>
      </c>
      <c r="F453" s="411">
        <v>3337.75</v>
      </c>
      <c r="G453" s="418">
        <f t="shared" si="70"/>
        <v>-1.0518108756295885E-2</v>
      </c>
      <c r="H453" s="411">
        <v>57.87</v>
      </c>
      <c r="I453" s="418">
        <f t="shared" si="71"/>
        <v>-8.7358684480987048E-3</v>
      </c>
      <c r="J453" s="411">
        <v>3337.75</v>
      </c>
      <c r="K453" s="418">
        <f t="shared" si="72"/>
        <v>-1.0518108756295885E-2</v>
      </c>
      <c r="L453" s="411">
        <v>57.87</v>
      </c>
      <c r="M453" s="418">
        <f t="shared" si="73"/>
        <v>-8.7358684480987048E-3</v>
      </c>
      <c r="N453" s="411"/>
      <c r="O453" s="388"/>
      <c r="Q453" s="388"/>
    </row>
    <row r="454" spans="1:17">
      <c r="A454" s="408">
        <v>43881</v>
      </c>
      <c r="B454" s="411">
        <v>3373.23</v>
      </c>
      <c r="C454" s="418">
        <f t="shared" si="68"/>
        <v>-3.8155427255142094E-3</v>
      </c>
      <c r="D454" s="411">
        <v>58.38</v>
      </c>
      <c r="E454" s="418">
        <f t="shared" si="69"/>
        <v>-2.2218424200990405E-3</v>
      </c>
      <c r="F454" s="411">
        <v>3373.23</v>
      </c>
      <c r="G454" s="418">
        <f t="shared" si="70"/>
        <v>-3.8155427255142094E-3</v>
      </c>
      <c r="H454" s="411">
        <v>58.38</v>
      </c>
      <c r="I454" s="418">
        <f t="shared" si="71"/>
        <v>-2.2218424200990405E-3</v>
      </c>
      <c r="J454" s="411">
        <v>3373.23</v>
      </c>
      <c r="K454" s="418">
        <f t="shared" si="72"/>
        <v>-3.8155427255142094E-3</v>
      </c>
      <c r="L454" s="411">
        <v>58.38</v>
      </c>
      <c r="M454" s="418">
        <f t="shared" si="73"/>
        <v>-2.2218424200990405E-3</v>
      </c>
      <c r="N454" s="411"/>
      <c r="O454" s="388"/>
      <c r="Q454" s="388"/>
    </row>
    <row r="455" spans="1:17">
      <c r="A455" s="408">
        <v>43880</v>
      </c>
      <c r="B455" s="411">
        <v>3386.15</v>
      </c>
      <c r="C455" s="418">
        <f t="shared" si="68"/>
        <v>4.7058265015771372E-3</v>
      </c>
      <c r="D455" s="411">
        <v>58.51</v>
      </c>
      <c r="E455" s="418">
        <f t="shared" si="69"/>
        <v>-3.5762942779291595E-3</v>
      </c>
      <c r="F455" s="411">
        <v>3386.15</v>
      </c>
      <c r="G455" s="418">
        <f t="shared" si="70"/>
        <v>4.7058265015771372E-3</v>
      </c>
      <c r="H455" s="411">
        <v>58.51</v>
      </c>
      <c r="I455" s="418">
        <f t="shared" si="71"/>
        <v>-3.5762942779291595E-3</v>
      </c>
      <c r="J455" s="411">
        <v>3386.15</v>
      </c>
      <c r="K455" s="418">
        <f t="shared" si="72"/>
        <v>4.7058265015771372E-3</v>
      </c>
      <c r="L455" s="411">
        <v>58.51</v>
      </c>
      <c r="M455" s="418">
        <f t="shared" si="73"/>
        <v>-3.5762942779291595E-3</v>
      </c>
      <c r="N455" s="411"/>
      <c r="O455" s="388"/>
      <c r="Q455" s="388"/>
    </row>
    <row r="456" spans="1:17">
      <c r="A456" s="408">
        <v>43879</v>
      </c>
      <c r="B456" s="411">
        <v>3370.29</v>
      </c>
      <c r="C456" s="418">
        <f t="shared" ref="C456:C519" si="74">B456/B457-1</f>
        <v>-2.9199801192842934E-3</v>
      </c>
      <c r="D456" s="411">
        <v>58.72</v>
      </c>
      <c r="E456" s="418">
        <f t="shared" ref="E456:E519" si="75">D456/D457-1</f>
        <v>-3.0560271646858927E-3</v>
      </c>
      <c r="F456" s="411">
        <v>3370.29</v>
      </c>
      <c r="G456" s="418">
        <f t="shared" ref="G456:G519" si="76">F456/F457-1</f>
        <v>-2.9199801192842934E-3</v>
      </c>
      <c r="H456" s="411">
        <v>58.72</v>
      </c>
      <c r="I456" s="418">
        <f t="shared" ref="I456:I519" si="77">H456/H457-1</f>
        <v>-3.0560271646858927E-3</v>
      </c>
      <c r="J456" s="411">
        <v>3370.29</v>
      </c>
      <c r="K456" s="418">
        <f t="shared" ref="K456:K519" si="78">J456/J457-1</f>
        <v>-2.9199801192842934E-3</v>
      </c>
      <c r="L456" s="411">
        <v>58.72</v>
      </c>
      <c r="M456" s="418">
        <f t="shared" ref="M456:M519" si="79">L456/L457-1</f>
        <v>-3.0560271646858927E-3</v>
      </c>
      <c r="N456" s="411"/>
      <c r="O456" s="388"/>
      <c r="Q456" s="388"/>
    </row>
    <row r="457" spans="1:17">
      <c r="A457" s="408">
        <v>43875</v>
      </c>
      <c r="B457" s="411">
        <v>3380.16</v>
      </c>
      <c r="C457" s="418">
        <f t="shared" si="74"/>
        <v>1.8435419717006685E-3</v>
      </c>
      <c r="D457" s="411">
        <v>58.9</v>
      </c>
      <c r="E457" s="418">
        <f t="shared" si="75"/>
        <v>-3.8897344833418446E-3</v>
      </c>
      <c r="F457" s="411">
        <v>3380.16</v>
      </c>
      <c r="G457" s="418">
        <f t="shared" si="76"/>
        <v>1.8435419717006685E-3</v>
      </c>
      <c r="H457" s="411">
        <v>58.9</v>
      </c>
      <c r="I457" s="418">
        <f t="shared" si="77"/>
        <v>-3.8897344833418446E-3</v>
      </c>
      <c r="J457" s="411">
        <v>3380.16</v>
      </c>
      <c r="K457" s="418">
        <f t="shared" si="78"/>
        <v>1.8435419717006685E-3</v>
      </c>
      <c r="L457" s="411">
        <v>58.9</v>
      </c>
      <c r="M457" s="418">
        <f t="shared" si="79"/>
        <v>-3.8897344833418446E-3</v>
      </c>
      <c r="N457" s="411"/>
      <c r="O457" s="388"/>
      <c r="Q457" s="388"/>
    </row>
    <row r="458" spans="1:17">
      <c r="A458" s="408">
        <v>43874</v>
      </c>
      <c r="B458" s="411">
        <v>3373.94</v>
      </c>
      <c r="C458" s="418">
        <f t="shared" si="74"/>
        <v>-1.6304428235363044E-3</v>
      </c>
      <c r="D458" s="411">
        <v>59.13</v>
      </c>
      <c r="E458" s="418">
        <f t="shared" si="75"/>
        <v>-5.7171683201613366E-3</v>
      </c>
      <c r="F458" s="411">
        <v>3373.94</v>
      </c>
      <c r="G458" s="418">
        <f t="shared" si="76"/>
        <v>-1.6304428235363044E-3</v>
      </c>
      <c r="H458" s="411">
        <v>59.13</v>
      </c>
      <c r="I458" s="418">
        <f t="shared" si="77"/>
        <v>-5.7171683201613366E-3</v>
      </c>
      <c r="J458" s="411">
        <v>3373.94</v>
      </c>
      <c r="K458" s="418">
        <f t="shared" si="78"/>
        <v>-1.6304428235363044E-3</v>
      </c>
      <c r="L458" s="411">
        <v>59.13</v>
      </c>
      <c r="M458" s="418">
        <f t="shared" si="79"/>
        <v>-5.7171683201613366E-3</v>
      </c>
      <c r="N458" s="411"/>
      <c r="O458" s="388"/>
      <c r="Q458" s="388"/>
    </row>
    <row r="459" spans="1:17">
      <c r="A459" s="408">
        <v>43873</v>
      </c>
      <c r="B459" s="411">
        <v>3379.45</v>
      </c>
      <c r="C459" s="418">
        <f t="shared" si="74"/>
        <v>6.4626610081155444E-3</v>
      </c>
      <c r="D459" s="411">
        <v>59.47</v>
      </c>
      <c r="E459" s="418">
        <f t="shared" si="75"/>
        <v>1.38083873167405E-2</v>
      </c>
      <c r="F459" s="411">
        <v>3379.45</v>
      </c>
      <c r="G459" s="418">
        <f t="shared" si="76"/>
        <v>6.4626610081155444E-3</v>
      </c>
      <c r="H459" s="411">
        <v>59.47</v>
      </c>
      <c r="I459" s="418">
        <f t="shared" si="77"/>
        <v>1.38083873167405E-2</v>
      </c>
      <c r="J459" s="411">
        <v>3379.45</v>
      </c>
      <c r="K459" s="418">
        <f t="shared" si="78"/>
        <v>6.4626610081155444E-3</v>
      </c>
      <c r="L459" s="411">
        <v>59.47</v>
      </c>
      <c r="M459" s="418">
        <f t="shared" si="79"/>
        <v>1.38083873167405E-2</v>
      </c>
      <c r="N459" s="411"/>
      <c r="O459" s="388"/>
      <c r="Q459" s="388"/>
    </row>
    <row r="460" spans="1:17">
      <c r="A460" s="408">
        <v>43872</v>
      </c>
      <c r="B460" s="411">
        <v>3357.75</v>
      </c>
      <c r="C460" s="418">
        <f t="shared" si="74"/>
        <v>1.6884988171557147E-3</v>
      </c>
      <c r="D460" s="411">
        <v>58.66</v>
      </c>
      <c r="E460" s="418">
        <f t="shared" si="75"/>
        <v>1.6461618437012548E-2</v>
      </c>
      <c r="F460" s="411">
        <v>3357.75</v>
      </c>
      <c r="G460" s="418">
        <f t="shared" si="76"/>
        <v>1.6884988171557147E-3</v>
      </c>
      <c r="H460" s="411">
        <v>58.66</v>
      </c>
      <c r="I460" s="418">
        <f t="shared" si="77"/>
        <v>1.6461618437012548E-2</v>
      </c>
      <c r="J460" s="411">
        <v>3357.75</v>
      </c>
      <c r="K460" s="418">
        <f t="shared" si="78"/>
        <v>1.6884988171557147E-3</v>
      </c>
      <c r="L460" s="411">
        <v>58.66</v>
      </c>
      <c r="M460" s="418">
        <f t="shared" si="79"/>
        <v>1.6461618437012548E-2</v>
      </c>
      <c r="N460" s="411"/>
      <c r="O460" s="388"/>
      <c r="Q460" s="388"/>
    </row>
    <row r="461" spans="1:17">
      <c r="A461" s="408">
        <v>43871</v>
      </c>
      <c r="B461" s="411">
        <v>3352.09</v>
      </c>
      <c r="C461" s="418">
        <f t="shared" si="74"/>
        <v>7.3263595685921779E-3</v>
      </c>
      <c r="D461" s="411">
        <v>57.71</v>
      </c>
      <c r="E461" s="418">
        <f t="shared" si="75"/>
        <v>-3.6256906077347661E-3</v>
      </c>
      <c r="F461" s="411">
        <v>3352.09</v>
      </c>
      <c r="G461" s="418">
        <f t="shared" si="76"/>
        <v>7.3263595685921779E-3</v>
      </c>
      <c r="H461" s="411">
        <v>57.71</v>
      </c>
      <c r="I461" s="418">
        <f t="shared" si="77"/>
        <v>-3.6256906077347661E-3</v>
      </c>
      <c r="J461" s="411">
        <v>3352.09</v>
      </c>
      <c r="K461" s="418">
        <f t="shared" si="78"/>
        <v>7.3263595685921779E-3</v>
      </c>
      <c r="L461" s="411">
        <v>57.71</v>
      </c>
      <c r="M461" s="418">
        <f t="shared" si="79"/>
        <v>-3.6256906077347661E-3</v>
      </c>
      <c r="N461" s="411"/>
      <c r="O461" s="388"/>
      <c r="Q461" s="388"/>
    </row>
    <row r="462" spans="1:17">
      <c r="A462" s="408">
        <v>43868</v>
      </c>
      <c r="B462" s="411">
        <v>3327.71</v>
      </c>
      <c r="C462" s="418">
        <f t="shared" si="74"/>
        <v>-5.4008332885008281E-3</v>
      </c>
      <c r="D462" s="411">
        <v>57.92</v>
      </c>
      <c r="E462" s="418">
        <f t="shared" si="75"/>
        <v>-4.4688896528015665E-3</v>
      </c>
      <c r="F462" s="411">
        <v>3327.71</v>
      </c>
      <c r="G462" s="418">
        <f t="shared" si="76"/>
        <v>-5.4008332885008281E-3</v>
      </c>
      <c r="H462" s="411">
        <v>57.92</v>
      </c>
      <c r="I462" s="418">
        <f t="shared" si="77"/>
        <v>-4.4688896528015665E-3</v>
      </c>
      <c r="J462" s="411">
        <v>3327.71</v>
      </c>
      <c r="K462" s="418">
        <f t="shared" si="78"/>
        <v>-5.4008332885008281E-3</v>
      </c>
      <c r="L462" s="411">
        <v>57.92</v>
      </c>
      <c r="M462" s="418">
        <f t="shared" si="79"/>
        <v>-4.4688896528015665E-3</v>
      </c>
      <c r="N462" s="411"/>
      <c r="O462" s="388"/>
      <c r="Q462" s="388"/>
    </row>
    <row r="463" spans="1:17">
      <c r="A463" s="408">
        <v>43867</v>
      </c>
      <c r="B463" s="411">
        <v>3345.78</v>
      </c>
      <c r="C463" s="418">
        <f t="shared" si="74"/>
        <v>3.3256464618900416E-3</v>
      </c>
      <c r="D463" s="411">
        <v>58.18</v>
      </c>
      <c r="E463" s="418">
        <f t="shared" si="75"/>
        <v>-1.2056376294786952E-2</v>
      </c>
      <c r="F463" s="411">
        <v>3345.78</v>
      </c>
      <c r="G463" s="418">
        <f t="shared" si="76"/>
        <v>3.3256464618900416E-3</v>
      </c>
      <c r="H463" s="411">
        <v>58.18</v>
      </c>
      <c r="I463" s="418">
        <f t="shared" si="77"/>
        <v>-1.2056376294786952E-2</v>
      </c>
      <c r="J463" s="411">
        <v>3345.78</v>
      </c>
      <c r="K463" s="418">
        <f t="shared" si="78"/>
        <v>3.3256464618900416E-3</v>
      </c>
      <c r="L463" s="411">
        <v>58.18</v>
      </c>
      <c r="M463" s="418">
        <f t="shared" si="79"/>
        <v>-1.2056376294786952E-2</v>
      </c>
      <c r="N463" s="411"/>
      <c r="O463" s="388"/>
      <c r="Q463" s="388"/>
    </row>
    <row r="464" spans="1:17">
      <c r="A464" s="408">
        <v>43866</v>
      </c>
      <c r="B464" s="411">
        <v>3334.69</v>
      </c>
      <c r="C464" s="418">
        <f t="shared" si="74"/>
        <v>1.1250640619361318E-2</v>
      </c>
      <c r="D464" s="411">
        <v>58.89</v>
      </c>
      <c r="E464" s="418">
        <f t="shared" si="75"/>
        <v>1.6571724495080264E-2</v>
      </c>
      <c r="F464" s="411">
        <v>3334.69</v>
      </c>
      <c r="G464" s="418">
        <f t="shared" si="76"/>
        <v>1.1250640619361318E-2</v>
      </c>
      <c r="H464" s="411">
        <v>58.89</v>
      </c>
      <c r="I464" s="418">
        <f t="shared" si="77"/>
        <v>1.6571724495080264E-2</v>
      </c>
      <c r="J464" s="411">
        <v>3334.69</v>
      </c>
      <c r="K464" s="418">
        <f t="shared" si="78"/>
        <v>1.1250640619361318E-2</v>
      </c>
      <c r="L464" s="411">
        <v>58.89</v>
      </c>
      <c r="M464" s="418">
        <f t="shared" si="79"/>
        <v>1.6571724495080264E-2</v>
      </c>
      <c r="N464" s="411"/>
      <c r="O464" s="388"/>
      <c r="Q464" s="388"/>
    </row>
    <row r="465" spans="1:17">
      <c r="A465" s="408">
        <v>43865</v>
      </c>
      <c r="B465" s="411">
        <v>3297.59</v>
      </c>
      <c r="C465" s="418">
        <f t="shared" si="74"/>
        <v>1.4980362705145023E-2</v>
      </c>
      <c r="D465" s="411">
        <v>57.93</v>
      </c>
      <c r="E465" s="418">
        <f t="shared" si="75"/>
        <v>3.372591006423975E-2</v>
      </c>
      <c r="F465" s="411">
        <v>3297.59</v>
      </c>
      <c r="G465" s="418">
        <f t="shared" si="76"/>
        <v>1.4980362705145023E-2</v>
      </c>
      <c r="H465" s="411">
        <v>57.93</v>
      </c>
      <c r="I465" s="418">
        <f t="shared" si="77"/>
        <v>3.372591006423975E-2</v>
      </c>
      <c r="J465" s="411">
        <v>3297.59</v>
      </c>
      <c r="K465" s="418">
        <f t="shared" si="78"/>
        <v>1.4980362705145023E-2</v>
      </c>
      <c r="L465" s="411">
        <v>57.93</v>
      </c>
      <c r="M465" s="418">
        <f t="shared" si="79"/>
        <v>3.372591006423975E-2</v>
      </c>
      <c r="N465" s="411"/>
      <c r="O465" s="388"/>
      <c r="Q465" s="388"/>
    </row>
    <row r="466" spans="1:17">
      <c r="A466" s="408">
        <v>43864</v>
      </c>
      <c r="B466" s="411">
        <v>3248.92</v>
      </c>
      <c r="C466" s="418">
        <f t="shared" si="74"/>
        <v>7.2546442124061805E-3</v>
      </c>
      <c r="D466" s="411">
        <v>56.04</v>
      </c>
      <c r="E466" s="418">
        <f t="shared" si="75"/>
        <v>5.3821313240043356E-3</v>
      </c>
      <c r="F466" s="411">
        <v>3248.92</v>
      </c>
      <c r="G466" s="418">
        <f t="shared" si="76"/>
        <v>7.2546442124061805E-3</v>
      </c>
      <c r="H466" s="411">
        <v>56.04</v>
      </c>
      <c r="I466" s="418">
        <f t="shared" si="77"/>
        <v>5.3821313240043356E-3</v>
      </c>
      <c r="J466" s="411">
        <v>3248.92</v>
      </c>
      <c r="K466" s="418">
        <f t="shared" si="78"/>
        <v>7.2546442124061805E-3</v>
      </c>
      <c r="L466" s="411">
        <v>56.04</v>
      </c>
      <c r="M466" s="418">
        <f t="shared" si="79"/>
        <v>5.3821313240043356E-3</v>
      </c>
      <c r="N466" s="411"/>
      <c r="O466" s="388"/>
      <c r="Q466" s="388"/>
    </row>
    <row r="467" spans="1:17">
      <c r="A467" s="408">
        <v>43861</v>
      </c>
      <c r="B467" s="411">
        <v>3225.52</v>
      </c>
      <c r="C467" s="418">
        <f t="shared" si="74"/>
        <v>-1.7705852615678808E-2</v>
      </c>
      <c r="D467" s="411">
        <v>55.74</v>
      </c>
      <c r="E467" s="418">
        <f t="shared" si="75"/>
        <v>-2.38178633975481E-2</v>
      </c>
      <c r="F467" s="411">
        <v>3225.52</v>
      </c>
      <c r="G467" s="418">
        <f t="shared" si="76"/>
        <v>-1.7705852615678808E-2</v>
      </c>
      <c r="H467" s="411">
        <v>55.74</v>
      </c>
      <c r="I467" s="418">
        <f t="shared" si="77"/>
        <v>-2.38178633975481E-2</v>
      </c>
      <c r="J467" s="411">
        <v>3225.52</v>
      </c>
      <c r="K467" s="418">
        <f t="shared" si="78"/>
        <v>-1.7705852615678808E-2</v>
      </c>
      <c r="L467" s="411">
        <v>55.74</v>
      </c>
      <c r="M467" s="418">
        <f t="shared" si="79"/>
        <v>-2.38178633975481E-2</v>
      </c>
      <c r="N467" s="411"/>
      <c r="O467" s="388"/>
      <c r="Q467" s="388"/>
    </row>
    <row r="468" spans="1:17">
      <c r="A468" s="408">
        <v>43860</v>
      </c>
      <c r="B468" s="411">
        <v>3283.66</v>
      </c>
      <c r="C468" s="418">
        <f t="shared" si="74"/>
        <v>3.1343557157694768E-3</v>
      </c>
      <c r="D468" s="411">
        <v>57.1</v>
      </c>
      <c r="E468" s="418">
        <f t="shared" si="75"/>
        <v>7.9435127978817466E-3</v>
      </c>
      <c r="F468" s="411">
        <v>3283.66</v>
      </c>
      <c r="G468" s="418">
        <f t="shared" si="76"/>
        <v>3.1343557157694768E-3</v>
      </c>
      <c r="H468" s="411">
        <v>57.1</v>
      </c>
      <c r="I468" s="418">
        <f t="shared" si="77"/>
        <v>7.9435127978817466E-3</v>
      </c>
      <c r="J468" s="411">
        <v>3283.66</v>
      </c>
      <c r="K468" s="418">
        <f t="shared" si="78"/>
        <v>3.1343557157694768E-3</v>
      </c>
      <c r="L468" s="411">
        <v>57.1</v>
      </c>
      <c r="M468" s="418">
        <f t="shared" si="79"/>
        <v>7.9435127978817466E-3</v>
      </c>
      <c r="N468" s="411"/>
      <c r="O468" s="388"/>
      <c r="Q468" s="388"/>
    </row>
    <row r="469" spans="1:17">
      <c r="A469" s="408">
        <v>43859</v>
      </c>
      <c r="B469" s="411">
        <v>3273.4</v>
      </c>
      <c r="C469" s="418">
        <f t="shared" si="74"/>
        <v>-8.6684736160957954E-4</v>
      </c>
      <c r="D469" s="411">
        <v>56.65</v>
      </c>
      <c r="E469" s="418">
        <f t="shared" si="75"/>
        <v>-1.443980514961718E-2</v>
      </c>
      <c r="F469" s="411">
        <v>3273.4</v>
      </c>
      <c r="G469" s="418">
        <f t="shared" si="76"/>
        <v>-8.6684736160957954E-4</v>
      </c>
      <c r="H469" s="411">
        <v>56.65</v>
      </c>
      <c r="I469" s="418">
        <f t="shared" si="77"/>
        <v>-1.443980514961718E-2</v>
      </c>
      <c r="J469" s="411">
        <v>3273.4</v>
      </c>
      <c r="K469" s="418">
        <f t="shared" si="78"/>
        <v>-8.6684736160957954E-4</v>
      </c>
      <c r="L469" s="411">
        <v>56.65</v>
      </c>
      <c r="M469" s="418">
        <f t="shared" si="79"/>
        <v>-1.443980514961718E-2</v>
      </c>
      <c r="N469" s="411"/>
      <c r="O469" s="388"/>
      <c r="Q469" s="388"/>
    </row>
    <row r="470" spans="1:17">
      <c r="A470" s="408">
        <v>43858</v>
      </c>
      <c r="B470" s="411">
        <v>3276.24</v>
      </c>
      <c r="C470" s="418">
        <f t="shared" si="74"/>
        <v>1.0053551114029613E-2</v>
      </c>
      <c r="D470" s="411">
        <v>57.48</v>
      </c>
      <c r="E470" s="418">
        <f t="shared" si="75"/>
        <v>1.1437620974837248E-2</v>
      </c>
      <c r="F470" s="411">
        <v>3276.24</v>
      </c>
      <c r="G470" s="418">
        <f t="shared" si="76"/>
        <v>1.0053551114029613E-2</v>
      </c>
      <c r="H470" s="411">
        <v>57.48</v>
      </c>
      <c r="I470" s="418">
        <f t="shared" si="77"/>
        <v>1.1437620974837248E-2</v>
      </c>
      <c r="J470" s="411">
        <v>3276.24</v>
      </c>
      <c r="K470" s="418">
        <f t="shared" si="78"/>
        <v>1.0053551114029613E-2</v>
      </c>
      <c r="L470" s="411">
        <v>57.48</v>
      </c>
      <c r="M470" s="418">
        <f t="shared" si="79"/>
        <v>1.1437620974837248E-2</v>
      </c>
      <c r="N470" s="411"/>
      <c r="O470" s="388"/>
      <c r="Q470" s="388"/>
    </row>
    <row r="471" spans="1:17">
      <c r="A471" s="408">
        <v>43857</v>
      </c>
      <c r="B471" s="411">
        <v>3243.63</v>
      </c>
      <c r="C471" s="418">
        <f t="shared" si="74"/>
        <v>-1.5730684849202037E-2</v>
      </c>
      <c r="D471" s="411">
        <v>56.83</v>
      </c>
      <c r="E471" s="418">
        <f t="shared" si="75"/>
        <v>-3.3667743581023757E-2</v>
      </c>
      <c r="F471" s="411">
        <v>3243.63</v>
      </c>
      <c r="G471" s="418">
        <f t="shared" si="76"/>
        <v>-1.5730684849202037E-2</v>
      </c>
      <c r="H471" s="411">
        <v>56.83</v>
      </c>
      <c r="I471" s="418">
        <f t="shared" si="77"/>
        <v>-3.3667743581023757E-2</v>
      </c>
      <c r="J471" s="411">
        <v>3243.63</v>
      </c>
      <c r="K471" s="418">
        <f t="shared" si="78"/>
        <v>-1.5730684849202037E-2</v>
      </c>
      <c r="L471" s="411">
        <v>56.83</v>
      </c>
      <c r="M471" s="418">
        <f t="shared" si="79"/>
        <v>-3.3667743581023757E-2</v>
      </c>
      <c r="N471" s="411"/>
      <c r="O471" s="388"/>
      <c r="Q471" s="388"/>
    </row>
    <row r="472" spans="1:17">
      <c r="A472" s="408">
        <v>43854</v>
      </c>
      <c r="B472" s="411">
        <v>3295.47</v>
      </c>
      <c r="C472" s="418">
        <f t="shared" si="74"/>
        <v>-9.0421405245464381E-3</v>
      </c>
      <c r="D472" s="411">
        <v>58.81</v>
      </c>
      <c r="E472" s="418">
        <f t="shared" si="75"/>
        <v>-2.4224323875891796E-2</v>
      </c>
      <c r="F472" s="411">
        <v>3295.47</v>
      </c>
      <c r="G472" s="418">
        <f t="shared" si="76"/>
        <v>-9.0421405245464381E-3</v>
      </c>
      <c r="H472" s="411">
        <v>58.81</v>
      </c>
      <c r="I472" s="418">
        <f t="shared" si="77"/>
        <v>-2.4224323875891796E-2</v>
      </c>
      <c r="J472" s="411">
        <v>3295.47</v>
      </c>
      <c r="K472" s="418">
        <f t="shared" si="78"/>
        <v>-9.0421405245464381E-3</v>
      </c>
      <c r="L472" s="411">
        <v>58.81</v>
      </c>
      <c r="M472" s="418">
        <f t="shared" si="79"/>
        <v>-2.4224323875891796E-2</v>
      </c>
      <c r="N472" s="411"/>
      <c r="O472" s="388"/>
      <c r="Q472" s="388"/>
    </row>
    <row r="473" spans="1:17">
      <c r="A473" s="408">
        <v>43853</v>
      </c>
      <c r="B473" s="411">
        <v>3325.54</v>
      </c>
      <c r="C473" s="418">
        <f t="shared" si="74"/>
        <v>1.1409648528637462E-3</v>
      </c>
      <c r="D473" s="411">
        <v>60.27</v>
      </c>
      <c r="E473" s="418">
        <f t="shared" si="75"/>
        <v>1.0563380281690238E-2</v>
      </c>
      <c r="F473" s="411">
        <v>3325.54</v>
      </c>
      <c r="G473" s="418">
        <f t="shared" si="76"/>
        <v>1.1409648528637462E-3</v>
      </c>
      <c r="H473" s="411">
        <v>60.27</v>
      </c>
      <c r="I473" s="418">
        <f t="shared" si="77"/>
        <v>1.0563380281690238E-2</v>
      </c>
      <c r="J473" s="411">
        <v>3325.54</v>
      </c>
      <c r="K473" s="418">
        <f t="shared" si="78"/>
        <v>1.1409648528637462E-3</v>
      </c>
      <c r="L473" s="411">
        <v>60.27</v>
      </c>
      <c r="M473" s="418">
        <f t="shared" si="79"/>
        <v>1.0563380281690238E-2</v>
      </c>
      <c r="N473" s="411"/>
      <c r="O473" s="388"/>
      <c r="Q473" s="388"/>
    </row>
    <row r="474" spans="1:17">
      <c r="A474" s="408">
        <v>43852</v>
      </c>
      <c r="B474" s="411">
        <v>3321.75</v>
      </c>
      <c r="C474" s="418">
        <f t="shared" si="74"/>
        <v>2.8908783753256451E-4</v>
      </c>
      <c r="D474" s="411">
        <v>59.64</v>
      </c>
      <c r="E474" s="418">
        <f t="shared" si="75"/>
        <v>-1.1600928074245953E-2</v>
      </c>
      <c r="F474" s="411">
        <v>3321.75</v>
      </c>
      <c r="G474" s="418">
        <f t="shared" si="76"/>
        <v>2.8908783753256451E-4</v>
      </c>
      <c r="H474" s="411">
        <v>59.64</v>
      </c>
      <c r="I474" s="418">
        <f t="shared" si="77"/>
        <v>-1.1600928074245953E-2</v>
      </c>
      <c r="J474" s="411">
        <v>3321.75</v>
      </c>
      <c r="K474" s="418">
        <f t="shared" si="78"/>
        <v>2.8908783753256451E-4</v>
      </c>
      <c r="L474" s="411">
        <v>59.64</v>
      </c>
      <c r="M474" s="418">
        <f t="shared" si="79"/>
        <v>-1.1600928074245953E-2</v>
      </c>
      <c r="N474" s="411"/>
      <c r="O474" s="388"/>
      <c r="Q474" s="388"/>
    </row>
    <row r="475" spans="1:17">
      <c r="A475" s="408">
        <v>43851</v>
      </c>
      <c r="B475" s="411">
        <v>3320.79</v>
      </c>
      <c r="C475" s="418">
        <f t="shared" si="74"/>
        <v>-2.6519542770646609E-3</v>
      </c>
      <c r="D475" s="411">
        <v>60.34</v>
      </c>
      <c r="E475" s="418">
        <f t="shared" si="75"/>
        <v>-2.7244881508947216E-2</v>
      </c>
      <c r="F475" s="411">
        <v>3320.79</v>
      </c>
      <c r="G475" s="418">
        <f t="shared" si="76"/>
        <v>-2.6519542770646609E-3</v>
      </c>
      <c r="H475" s="411">
        <v>60.34</v>
      </c>
      <c r="I475" s="418">
        <f t="shared" si="77"/>
        <v>-2.7244881508947216E-2</v>
      </c>
      <c r="J475" s="411">
        <v>3320.79</v>
      </c>
      <c r="K475" s="418">
        <f t="shared" si="78"/>
        <v>-2.6519542770646609E-3</v>
      </c>
      <c r="L475" s="411">
        <v>60.34</v>
      </c>
      <c r="M475" s="418">
        <f t="shared" si="79"/>
        <v>-2.7244881508947216E-2</v>
      </c>
      <c r="N475" s="411"/>
      <c r="O475" s="388"/>
      <c r="Q475" s="388"/>
    </row>
    <row r="476" spans="1:17">
      <c r="A476" s="408">
        <v>43847</v>
      </c>
      <c r="B476" s="411">
        <v>3329.62</v>
      </c>
      <c r="C476" s="418">
        <f t="shared" si="74"/>
        <v>3.862144651035182E-3</v>
      </c>
      <c r="D476" s="411">
        <v>62.03</v>
      </c>
      <c r="E476" s="418">
        <f t="shared" si="75"/>
        <v>2.4240465416935919E-3</v>
      </c>
      <c r="F476" s="411">
        <v>3329.62</v>
      </c>
      <c r="G476" s="418">
        <f t="shared" si="76"/>
        <v>3.862144651035182E-3</v>
      </c>
      <c r="H476" s="411">
        <v>62.03</v>
      </c>
      <c r="I476" s="418">
        <f t="shared" si="77"/>
        <v>2.4240465416935919E-3</v>
      </c>
      <c r="J476" s="411">
        <v>3329.62</v>
      </c>
      <c r="K476" s="418">
        <f t="shared" si="78"/>
        <v>3.862144651035182E-3</v>
      </c>
      <c r="L476" s="411">
        <v>62.03</v>
      </c>
      <c r="M476" s="418">
        <f t="shared" si="79"/>
        <v>2.4240465416935919E-3</v>
      </c>
      <c r="N476" s="411"/>
      <c r="O476" s="388"/>
      <c r="Q476" s="388"/>
    </row>
    <row r="477" spans="1:17">
      <c r="A477" s="408">
        <v>43846</v>
      </c>
      <c r="B477" s="411">
        <v>3316.81</v>
      </c>
      <c r="C477" s="418">
        <f t="shared" si="74"/>
        <v>8.3665471879950104E-3</v>
      </c>
      <c r="D477" s="411">
        <v>61.88</v>
      </c>
      <c r="E477" s="418">
        <f t="shared" si="75"/>
        <v>4.2194092827005925E-3</v>
      </c>
      <c r="F477" s="411">
        <v>3316.81</v>
      </c>
      <c r="G477" s="418">
        <f t="shared" si="76"/>
        <v>8.3665471879950104E-3</v>
      </c>
      <c r="H477" s="411">
        <v>61.88</v>
      </c>
      <c r="I477" s="418">
        <f t="shared" si="77"/>
        <v>4.2194092827005925E-3</v>
      </c>
      <c r="J477" s="411">
        <v>3316.81</v>
      </c>
      <c r="K477" s="418">
        <f t="shared" si="78"/>
        <v>8.3665471879950104E-3</v>
      </c>
      <c r="L477" s="411">
        <v>61.88</v>
      </c>
      <c r="M477" s="418">
        <f t="shared" si="79"/>
        <v>4.2194092827005925E-3</v>
      </c>
      <c r="N477" s="411"/>
      <c r="O477" s="388"/>
      <c r="Q477" s="388"/>
    </row>
    <row r="478" spans="1:17">
      <c r="A478" s="408">
        <v>43845</v>
      </c>
      <c r="B478" s="411">
        <v>3289.29</v>
      </c>
      <c r="C478" s="418">
        <f t="shared" si="74"/>
        <v>1.870155186330269E-3</v>
      </c>
      <c r="D478" s="411">
        <v>61.62</v>
      </c>
      <c r="E478" s="418">
        <f t="shared" si="75"/>
        <v>2.7664768104149751E-3</v>
      </c>
      <c r="F478" s="411">
        <v>3289.29</v>
      </c>
      <c r="G478" s="418">
        <f t="shared" si="76"/>
        <v>1.870155186330269E-3</v>
      </c>
      <c r="H478" s="411">
        <v>61.62</v>
      </c>
      <c r="I478" s="418">
        <f t="shared" si="77"/>
        <v>2.7664768104149751E-3</v>
      </c>
      <c r="J478" s="411">
        <v>3289.29</v>
      </c>
      <c r="K478" s="418">
        <f t="shared" si="78"/>
        <v>1.870155186330269E-3</v>
      </c>
      <c r="L478" s="411">
        <v>61.62</v>
      </c>
      <c r="M478" s="418">
        <f t="shared" si="79"/>
        <v>2.7664768104149751E-3</v>
      </c>
      <c r="N478" s="411"/>
      <c r="O478" s="388"/>
      <c r="Q478" s="388"/>
    </row>
    <row r="479" spans="1:17">
      <c r="A479" s="408">
        <v>43844</v>
      </c>
      <c r="B479" s="411">
        <v>3283.15</v>
      </c>
      <c r="C479" s="418">
        <f t="shared" si="74"/>
        <v>-1.5145386587512855E-3</v>
      </c>
      <c r="D479" s="411">
        <v>61.45</v>
      </c>
      <c r="E479" s="418">
        <f t="shared" si="75"/>
        <v>3.2946713733400523E-2</v>
      </c>
      <c r="F479" s="411">
        <v>3283.15</v>
      </c>
      <c r="G479" s="418">
        <f t="shared" si="76"/>
        <v>-1.5145386587512855E-3</v>
      </c>
      <c r="H479" s="411">
        <v>61.45</v>
      </c>
      <c r="I479" s="418">
        <f t="shared" si="77"/>
        <v>3.2946713733400523E-2</v>
      </c>
      <c r="J479" s="411">
        <v>3283.15</v>
      </c>
      <c r="K479" s="418">
        <f t="shared" si="78"/>
        <v>-1.5145386587512855E-3</v>
      </c>
      <c r="L479" s="411">
        <v>61.45</v>
      </c>
      <c r="M479" s="418">
        <f t="shared" si="79"/>
        <v>3.2946713733400523E-2</v>
      </c>
      <c r="N479" s="411"/>
      <c r="O479" s="388"/>
      <c r="Q479" s="388"/>
    </row>
    <row r="480" spans="1:17">
      <c r="A480" s="408">
        <v>43843</v>
      </c>
      <c r="B480" s="411">
        <v>3288.13</v>
      </c>
      <c r="C480" s="418">
        <f t="shared" si="74"/>
        <v>6.9762812562206289E-3</v>
      </c>
      <c r="D480" s="411">
        <v>59.49</v>
      </c>
      <c r="E480" s="418">
        <f t="shared" si="75"/>
        <v>4.2201215395003544E-3</v>
      </c>
      <c r="F480" s="411">
        <v>3288.13</v>
      </c>
      <c r="G480" s="418">
        <f t="shared" si="76"/>
        <v>6.9762812562206289E-3</v>
      </c>
      <c r="H480" s="411">
        <v>59.49</v>
      </c>
      <c r="I480" s="418">
        <f t="shared" si="77"/>
        <v>4.2201215395003544E-3</v>
      </c>
      <c r="J480" s="411">
        <v>3288.13</v>
      </c>
      <c r="K480" s="418">
        <f t="shared" si="78"/>
        <v>6.9762812562206289E-3</v>
      </c>
      <c r="L480" s="411">
        <v>59.49</v>
      </c>
      <c r="M480" s="418">
        <f t="shared" si="79"/>
        <v>4.2201215395003544E-3</v>
      </c>
      <c r="N480" s="411"/>
      <c r="O480" s="388"/>
      <c r="Q480" s="388"/>
    </row>
    <row r="481" spans="1:17">
      <c r="A481" s="408">
        <v>43840</v>
      </c>
      <c r="B481" s="411">
        <v>3265.35</v>
      </c>
      <c r="C481" s="418">
        <f t="shared" si="74"/>
        <v>-2.8552233792408233E-3</v>
      </c>
      <c r="D481" s="411">
        <v>59.24</v>
      </c>
      <c r="E481" s="418">
        <f t="shared" si="75"/>
        <v>4.7489823609225823E-3</v>
      </c>
      <c r="F481" s="411">
        <v>3265.35</v>
      </c>
      <c r="G481" s="418">
        <f t="shared" si="76"/>
        <v>-2.8552233792408233E-3</v>
      </c>
      <c r="H481" s="411">
        <v>59.24</v>
      </c>
      <c r="I481" s="418">
        <f t="shared" si="77"/>
        <v>4.7489823609225823E-3</v>
      </c>
      <c r="J481" s="411">
        <v>3265.35</v>
      </c>
      <c r="K481" s="418">
        <f t="shared" si="78"/>
        <v>-2.8552233792408233E-3</v>
      </c>
      <c r="L481" s="411">
        <v>59.24</v>
      </c>
      <c r="M481" s="418">
        <f t="shared" si="79"/>
        <v>4.7489823609225823E-3</v>
      </c>
      <c r="N481" s="411"/>
      <c r="O481" s="388"/>
      <c r="Q481" s="388"/>
    </row>
    <row r="482" spans="1:17">
      <c r="A482" s="408">
        <v>43839</v>
      </c>
      <c r="B482" s="411">
        <v>3274.7</v>
      </c>
      <c r="C482" s="418">
        <f t="shared" si="74"/>
        <v>6.6552927252885308E-3</v>
      </c>
      <c r="D482" s="411">
        <v>58.96</v>
      </c>
      <c r="E482" s="418">
        <f t="shared" si="75"/>
        <v>1.8691588785046953E-3</v>
      </c>
      <c r="F482" s="411">
        <v>3274.7</v>
      </c>
      <c r="G482" s="418">
        <f t="shared" si="76"/>
        <v>6.6552927252885308E-3</v>
      </c>
      <c r="H482" s="411">
        <v>58.96</v>
      </c>
      <c r="I482" s="418">
        <f t="shared" si="77"/>
        <v>1.8691588785046953E-3</v>
      </c>
      <c r="J482" s="411">
        <v>3274.7</v>
      </c>
      <c r="K482" s="418">
        <f t="shared" si="78"/>
        <v>6.6552927252885308E-3</v>
      </c>
      <c r="L482" s="411">
        <v>58.96</v>
      </c>
      <c r="M482" s="418">
        <f t="shared" si="79"/>
        <v>1.8691588785046953E-3</v>
      </c>
      <c r="N482" s="411"/>
      <c r="O482" s="388"/>
      <c r="Q482" s="388"/>
    </row>
    <row r="483" spans="1:17">
      <c r="A483" s="408">
        <v>43838</v>
      </c>
      <c r="B483" s="411">
        <v>3253.05</v>
      </c>
      <c r="C483" s="418">
        <f t="shared" si="74"/>
        <v>4.9024150649641385E-3</v>
      </c>
      <c r="D483" s="411">
        <v>58.85</v>
      </c>
      <c r="E483" s="418">
        <f t="shared" si="75"/>
        <v>2.1524040965110292E-2</v>
      </c>
      <c r="F483" s="411">
        <v>3253.05</v>
      </c>
      <c r="G483" s="418">
        <f t="shared" si="76"/>
        <v>4.9024150649641385E-3</v>
      </c>
      <c r="H483" s="411">
        <v>58.85</v>
      </c>
      <c r="I483" s="418">
        <f t="shared" si="77"/>
        <v>2.1524040965110292E-2</v>
      </c>
      <c r="J483" s="411">
        <v>3253.05</v>
      </c>
      <c r="K483" s="418">
        <f t="shared" si="78"/>
        <v>4.9024150649641385E-3</v>
      </c>
      <c r="L483" s="411">
        <v>58.85</v>
      </c>
      <c r="M483" s="418">
        <f t="shared" si="79"/>
        <v>2.1524040965110292E-2</v>
      </c>
      <c r="N483" s="411"/>
      <c r="O483" s="388"/>
      <c r="Q483" s="388"/>
    </row>
    <row r="484" spans="1:17">
      <c r="A484" s="408">
        <v>43837</v>
      </c>
      <c r="B484" s="411">
        <v>3237.18</v>
      </c>
      <c r="C484" s="418">
        <f t="shared" si="74"/>
        <v>-2.8032085956850583E-3</v>
      </c>
      <c r="D484" s="411">
        <v>57.61</v>
      </c>
      <c r="E484" s="418">
        <f t="shared" si="75"/>
        <v>-8.6715227193889799E-4</v>
      </c>
      <c r="F484" s="411">
        <v>3237.18</v>
      </c>
      <c r="G484" s="418">
        <f t="shared" si="76"/>
        <v>-2.8032085956850583E-3</v>
      </c>
      <c r="H484" s="411">
        <v>57.61</v>
      </c>
      <c r="I484" s="418">
        <f t="shared" si="77"/>
        <v>-8.6715227193889799E-4</v>
      </c>
      <c r="J484" s="411">
        <v>3237.18</v>
      </c>
      <c r="K484" s="418">
        <f t="shared" si="78"/>
        <v>-2.8032085956850583E-3</v>
      </c>
      <c r="L484" s="411">
        <v>57.61</v>
      </c>
      <c r="M484" s="418">
        <f t="shared" si="79"/>
        <v>-8.6715227193889799E-4</v>
      </c>
      <c r="N484" s="411"/>
      <c r="O484" s="388"/>
      <c r="Q484" s="388"/>
    </row>
    <row r="485" spans="1:17">
      <c r="A485" s="408">
        <v>43836</v>
      </c>
      <c r="B485" s="411">
        <v>3246.28</v>
      </c>
      <c r="C485" s="418">
        <f t="shared" si="74"/>
        <v>3.5333941295578875E-3</v>
      </c>
      <c r="D485" s="411">
        <v>57.66</v>
      </c>
      <c r="E485" s="418">
        <f t="shared" si="75"/>
        <v>-6.8894247330348879E-3</v>
      </c>
      <c r="F485" s="411">
        <v>3246.28</v>
      </c>
      <c r="G485" s="418">
        <f t="shared" si="76"/>
        <v>3.5333941295578875E-3</v>
      </c>
      <c r="H485" s="411">
        <v>57.66</v>
      </c>
      <c r="I485" s="418">
        <f t="shared" si="77"/>
        <v>-6.8894247330348879E-3</v>
      </c>
      <c r="J485" s="411">
        <v>3246.28</v>
      </c>
      <c r="K485" s="418">
        <f t="shared" si="78"/>
        <v>3.5333941295578875E-3</v>
      </c>
      <c r="L485" s="411">
        <v>57.66</v>
      </c>
      <c r="M485" s="418">
        <f t="shared" si="79"/>
        <v>-6.8894247330348879E-3</v>
      </c>
      <c r="N485" s="411"/>
      <c r="O485" s="388"/>
      <c r="Q485" s="388"/>
    </row>
    <row r="486" spans="1:17">
      <c r="A486" s="408">
        <v>43833</v>
      </c>
      <c r="B486" s="411">
        <v>3234.85</v>
      </c>
      <c r="C486" s="418">
        <f t="shared" si="74"/>
        <v>-7.059870773669763E-3</v>
      </c>
      <c r="D486" s="411">
        <v>58.06</v>
      </c>
      <c r="E486" s="418">
        <f t="shared" si="75"/>
        <v>-1.6598915989159857E-2</v>
      </c>
      <c r="F486" s="411">
        <v>3234.85</v>
      </c>
      <c r="G486" s="418">
        <f t="shared" si="76"/>
        <v>-7.059870773669763E-3</v>
      </c>
      <c r="H486" s="411">
        <v>58.06</v>
      </c>
      <c r="I486" s="418">
        <f t="shared" si="77"/>
        <v>-1.6598915989159857E-2</v>
      </c>
      <c r="J486" s="411">
        <v>3234.85</v>
      </c>
      <c r="K486" s="418">
        <f t="shared" si="78"/>
        <v>-7.059870773669763E-3</v>
      </c>
      <c r="L486" s="411">
        <v>58.06</v>
      </c>
      <c r="M486" s="418">
        <f t="shared" si="79"/>
        <v>-1.6598915989159857E-2</v>
      </c>
      <c r="N486" s="411"/>
      <c r="O486" s="388"/>
      <c r="Q486" s="388"/>
    </row>
    <row r="487" spans="1:17">
      <c r="A487" s="408">
        <v>43832</v>
      </c>
      <c r="B487" s="411">
        <v>3257.85</v>
      </c>
      <c r="C487" s="418">
        <f t="shared" si="74"/>
        <v>8.3787815945375321E-3</v>
      </c>
      <c r="D487" s="411">
        <v>59.04</v>
      </c>
      <c r="E487" s="418">
        <f t="shared" si="75"/>
        <v>9.5759233926129284E-3</v>
      </c>
      <c r="F487" s="411">
        <v>3257.85</v>
      </c>
      <c r="G487" s="418">
        <f t="shared" si="76"/>
        <v>8.3787815945375321E-3</v>
      </c>
      <c r="H487" s="411">
        <v>59.04</v>
      </c>
      <c r="I487" s="418">
        <f t="shared" si="77"/>
        <v>9.5759233926129284E-3</v>
      </c>
      <c r="J487" s="411">
        <v>3257.85</v>
      </c>
      <c r="K487" s="418">
        <f t="shared" si="78"/>
        <v>8.3787815945375321E-3</v>
      </c>
      <c r="L487" s="411">
        <v>59.04</v>
      </c>
      <c r="M487" s="418">
        <f t="shared" si="79"/>
        <v>9.5759233926129284E-3</v>
      </c>
      <c r="N487" s="411"/>
      <c r="O487" s="388"/>
      <c r="Q487" s="388"/>
    </row>
    <row r="488" spans="1:17">
      <c r="A488" s="408">
        <v>43830</v>
      </c>
      <c r="B488" s="411">
        <v>3230.78</v>
      </c>
      <c r="C488" s="418">
        <f t="shared" si="74"/>
        <v>2.9460247292234509E-3</v>
      </c>
      <c r="D488" s="411">
        <v>58.48</v>
      </c>
      <c r="E488" s="418">
        <f t="shared" si="75"/>
        <v>-3.0685305148312469E-3</v>
      </c>
      <c r="F488" s="411">
        <v>3230.78</v>
      </c>
      <c r="G488" s="418">
        <f t="shared" si="76"/>
        <v>2.9460247292234509E-3</v>
      </c>
      <c r="H488" s="411">
        <v>58.48</v>
      </c>
      <c r="I488" s="418">
        <f t="shared" si="77"/>
        <v>-3.0685305148312469E-3</v>
      </c>
      <c r="J488" s="411">
        <v>3230.78</v>
      </c>
      <c r="K488" s="418">
        <f t="shared" si="78"/>
        <v>2.9460247292234509E-3</v>
      </c>
      <c r="L488" s="411">
        <v>58.48</v>
      </c>
      <c r="M488" s="418">
        <f t="shared" si="79"/>
        <v>-3.0685305148312469E-3</v>
      </c>
      <c r="N488" s="411"/>
      <c r="O488" s="388"/>
      <c r="Q488" s="388"/>
    </row>
    <row r="489" spans="1:17">
      <c r="A489" s="408">
        <v>43829</v>
      </c>
      <c r="B489" s="411">
        <v>3221.29</v>
      </c>
      <c r="C489" s="418">
        <f t="shared" si="74"/>
        <v>-5.7808285134042237E-3</v>
      </c>
      <c r="D489" s="411">
        <v>58.66</v>
      </c>
      <c r="E489" s="418">
        <f t="shared" si="75"/>
        <v>-7.1090047393365108E-3</v>
      </c>
      <c r="F489" s="411">
        <v>3221.29</v>
      </c>
      <c r="G489" s="418">
        <f t="shared" si="76"/>
        <v>-5.7808285134042237E-3</v>
      </c>
      <c r="H489" s="411">
        <v>58.66</v>
      </c>
      <c r="I489" s="418">
        <f t="shared" si="77"/>
        <v>-7.1090047393365108E-3</v>
      </c>
      <c r="J489" s="411">
        <v>3221.29</v>
      </c>
      <c r="K489" s="418">
        <f t="shared" si="78"/>
        <v>-5.7808285134042237E-3</v>
      </c>
      <c r="L489" s="411">
        <v>58.66</v>
      </c>
      <c r="M489" s="418">
        <f t="shared" si="79"/>
        <v>-7.1090047393365108E-3</v>
      </c>
      <c r="N489" s="411"/>
      <c r="O489" s="388"/>
      <c r="Q489" s="388"/>
    </row>
    <row r="490" spans="1:17">
      <c r="A490" s="408">
        <v>43826</v>
      </c>
      <c r="B490" s="411">
        <v>3240.02</v>
      </c>
      <c r="C490" s="418">
        <f t="shared" si="74"/>
        <v>3.3951560382883272E-5</v>
      </c>
      <c r="D490" s="411">
        <v>59.08</v>
      </c>
      <c r="E490" s="418">
        <f t="shared" si="75"/>
        <v>-8.0591000671592639E-3</v>
      </c>
      <c r="F490" s="411">
        <v>3240.02</v>
      </c>
      <c r="G490" s="418">
        <f t="shared" si="76"/>
        <v>3.3951560382883272E-5</v>
      </c>
      <c r="H490" s="411">
        <v>59.08</v>
      </c>
      <c r="I490" s="418">
        <f t="shared" si="77"/>
        <v>-8.0591000671592639E-3</v>
      </c>
      <c r="J490" s="411">
        <v>3240.02</v>
      </c>
      <c r="K490" s="418">
        <f t="shared" si="78"/>
        <v>3.3951560382883272E-5</v>
      </c>
      <c r="L490" s="411">
        <v>59.08</v>
      </c>
      <c r="M490" s="418">
        <f t="shared" si="79"/>
        <v>-8.0591000671592639E-3</v>
      </c>
      <c r="N490" s="411"/>
      <c r="O490" s="388"/>
      <c r="Q490" s="388"/>
    </row>
    <row r="491" spans="1:17">
      <c r="A491" s="408">
        <v>43825</v>
      </c>
      <c r="B491" s="411">
        <v>3239.91</v>
      </c>
      <c r="C491" s="418">
        <f t="shared" si="74"/>
        <v>5.1281573999961694E-3</v>
      </c>
      <c r="D491" s="411">
        <v>59.56</v>
      </c>
      <c r="E491" s="418">
        <f t="shared" si="75"/>
        <v>2.8624347533254824E-3</v>
      </c>
      <c r="F491" s="411">
        <v>3239.91</v>
      </c>
      <c r="G491" s="418">
        <f t="shared" si="76"/>
        <v>5.1281573999961694E-3</v>
      </c>
      <c r="H491" s="411">
        <v>59.56</v>
      </c>
      <c r="I491" s="418">
        <f t="shared" si="77"/>
        <v>2.8624347533254824E-3</v>
      </c>
      <c r="J491" s="411">
        <v>3239.91</v>
      </c>
      <c r="K491" s="418">
        <f t="shared" si="78"/>
        <v>5.1281573999961694E-3</v>
      </c>
      <c r="L491" s="411">
        <v>59.56</v>
      </c>
      <c r="M491" s="418">
        <f t="shared" si="79"/>
        <v>2.8624347533254824E-3</v>
      </c>
      <c r="N491" s="411"/>
      <c r="O491" s="388"/>
      <c r="Q491" s="388"/>
    </row>
    <row r="492" spans="1:17">
      <c r="A492" s="408">
        <v>43823</v>
      </c>
      <c r="B492" s="411">
        <v>3223.38</v>
      </c>
      <c r="C492" s="418">
        <f t="shared" si="74"/>
        <v>-1.9540882317370389E-4</v>
      </c>
      <c r="D492" s="411">
        <v>59.39</v>
      </c>
      <c r="E492" s="418">
        <f t="shared" si="75"/>
        <v>-8.4118438761771053E-4</v>
      </c>
      <c r="F492" s="411">
        <v>3223.38</v>
      </c>
      <c r="G492" s="418">
        <f t="shared" si="76"/>
        <v>-1.9540882317370389E-4</v>
      </c>
      <c r="H492" s="411">
        <v>59.39</v>
      </c>
      <c r="I492" s="418">
        <f t="shared" si="77"/>
        <v>-8.4118438761771053E-4</v>
      </c>
      <c r="J492" s="411">
        <v>3223.38</v>
      </c>
      <c r="K492" s="418">
        <f t="shared" si="78"/>
        <v>-1.9540882317370389E-4</v>
      </c>
      <c r="L492" s="411">
        <v>59.39</v>
      </c>
      <c r="M492" s="418">
        <f t="shared" si="79"/>
        <v>-8.4118438761771053E-4</v>
      </c>
      <c r="N492" s="411"/>
      <c r="O492" s="388"/>
      <c r="Q492" s="388"/>
    </row>
    <row r="493" spans="1:17">
      <c r="A493" s="408">
        <v>43822</v>
      </c>
      <c r="B493" s="411">
        <v>3224.01</v>
      </c>
      <c r="C493" s="418">
        <f t="shared" si="74"/>
        <v>8.6613146571812294E-4</v>
      </c>
      <c r="D493" s="411">
        <v>59.44</v>
      </c>
      <c r="E493" s="418">
        <f t="shared" si="75"/>
        <v>7.9701543157537635E-3</v>
      </c>
      <c r="F493" s="411">
        <v>3224.01</v>
      </c>
      <c r="G493" s="418">
        <f t="shared" si="76"/>
        <v>8.6613146571812294E-4</v>
      </c>
      <c r="H493" s="411">
        <v>59.44</v>
      </c>
      <c r="I493" s="418">
        <f t="shared" si="77"/>
        <v>7.9701543157537635E-3</v>
      </c>
      <c r="J493" s="411">
        <v>3224.01</v>
      </c>
      <c r="K493" s="418">
        <f t="shared" si="78"/>
        <v>8.6613146571812294E-4</v>
      </c>
      <c r="L493" s="411">
        <v>59.44</v>
      </c>
      <c r="M493" s="418">
        <f t="shared" si="79"/>
        <v>7.9701543157537635E-3</v>
      </c>
      <c r="N493" s="411"/>
      <c r="O493" s="388"/>
      <c r="Q493" s="388"/>
    </row>
    <row r="494" spans="1:17">
      <c r="A494" s="408">
        <v>43819</v>
      </c>
      <c r="B494" s="411">
        <v>3221.22</v>
      </c>
      <c r="C494" s="418">
        <f t="shared" si="74"/>
        <v>4.9448269622538454E-3</v>
      </c>
      <c r="D494" s="411">
        <v>58.97</v>
      </c>
      <c r="E494" s="418">
        <f t="shared" si="75"/>
        <v>-2.8745350016908811E-3</v>
      </c>
      <c r="F494" s="411">
        <v>3221.22</v>
      </c>
      <c r="G494" s="418">
        <f t="shared" si="76"/>
        <v>4.9448269622538454E-3</v>
      </c>
      <c r="H494" s="411">
        <v>58.97</v>
      </c>
      <c r="I494" s="418">
        <f t="shared" si="77"/>
        <v>-2.8745350016908811E-3</v>
      </c>
      <c r="J494" s="411">
        <v>3221.22</v>
      </c>
      <c r="K494" s="418">
        <f t="shared" si="78"/>
        <v>4.9448269622538454E-3</v>
      </c>
      <c r="L494" s="411">
        <v>58.97</v>
      </c>
      <c r="M494" s="418">
        <f t="shared" si="79"/>
        <v>-2.8745350016908811E-3</v>
      </c>
      <c r="N494" s="411"/>
      <c r="O494" s="388"/>
      <c r="Q494" s="388"/>
    </row>
    <row r="495" spans="1:17">
      <c r="A495" s="408">
        <v>43818</v>
      </c>
      <c r="B495" s="411">
        <v>3205.37</v>
      </c>
      <c r="C495" s="418">
        <f t="shared" si="74"/>
        <v>4.4592214694434418E-3</v>
      </c>
      <c r="D495" s="411">
        <v>59.14</v>
      </c>
      <c r="E495" s="418">
        <f t="shared" si="75"/>
        <v>9.5595766473199895E-3</v>
      </c>
      <c r="F495" s="411">
        <v>3205.37</v>
      </c>
      <c r="G495" s="418">
        <f t="shared" si="76"/>
        <v>4.4592214694434418E-3</v>
      </c>
      <c r="H495" s="411">
        <v>59.14</v>
      </c>
      <c r="I495" s="418">
        <f t="shared" si="77"/>
        <v>9.5595766473199895E-3</v>
      </c>
      <c r="J495" s="411">
        <v>3205.37</v>
      </c>
      <c r="K495" s="418">
        <f t="shared" si="78"/>
        <v>4.4592214694434418E-3</v>
      </c>
      <c r="L495" s="411">
        <v>59.14</v>
      </c>
      <c r="M495" s="418">
        <f t="shared" si="79"/>
        <v>9.5595766473199895E-3</v>
      </c>
      <c r="N495" s="411"/>
      <c r="O495" s="388"/>
      <c r="Q495" s="388"/>
    </row>
    <row r="496" spans="1:17">
      <c r="A496" s="408">
        <v>43817</v>
      </c>
      <c r="B496" s="411">
        <v>3191.14</v>
      </c>
      <c r="C496" s="418">
        <f t="shared" si="74"/>
        <v>-4.3226040870536497E-4</v>
      </c>
      <c r="D496" s="411">
        <v>58.58</v>
      </c>
      <c r="E496" s="418">
        <f t="shared" si="75"/>
        <v>-1.8742545578462888E-3</v>
      </c>
      <c r="F496" s="411">
        <v>3191.14</v>
      </c>
      <c r="G496" s="418">
        <f t="shared" si="76"/>
        <v>-4.3226040870536497E-4</v>
      </c>
      <c r="H496" s="411">
        <v>58.58</v>
      </c>
      <c r="I496" s="418">
        <f t="shared" si="77"/>
        <v>-1.8742545578462888E-3</v>
      </c>
      <c r="J496" s="411">
        <v>3191.14</v>
      </c>
      <c r="K496" s="418">
        <f t="shared" si="78"/>
        <v>-4.3226040870536497E-4</v>
      </c>
      <c r="L496" s="411">
        <v>58.58</v>
      </c>
      <c r="M496" s="418">
        <f t="shared" si="79"/>
        <v>-1.8742545578462888E-3</v>
      </c>
      <c r="N496" s="411"/>
      <c r="O496" s="388"/>
      <c r="Q496" s="388"/>
    </row>
    <row r="497" spans="1:17">
      <c r="A497" s="408">
        <v>43816</v>
      </c>
      <c r="B497" s="411">
        <v>3192.52</v>
      </c>
      <c r="C497" s="418">
        <f t="shared" si="74"/>
        <v>3.3527080167328194E-4</v>
      </c>
      <c r="D497" s="411">
        <v>58.69</v>
      </c>
      <c r="E497" s="418">
        <f t="shared" si="75"/>
        <v>4.621704895583667E-3</v>
      </c>
      <c r="F497" s="411">
        <v>3192.52</v>
      </c>
      <c r="G497" s="418">
        <f t="shared" si="76"/>
        <v>3.3527080167328194E-4</v>
      </c>
      <c r="H497" s="411">
        <v>58.69</v>
      </c>
      <c r="I497" s="418">
        <f t="shared" si="77"/>
        <v>4.621704895583667E-3</v>
      </c>
      <c r="J497" s="411">
        <v>3192.52</v>
      </c>
      <c r="K497" s="418">
        <f t="shared" si="78"/>
        <v>3.3527080167328194E-4</v>
      </c>
      <c r="L497" s="411">
        <v>58.69</v>
      </c>
      <c r="M497" s="418">
        <f t="shared" si="79"/>
        <v>4.621704895583667E-3</v>
      </c>
      <c r="N497" s="411"/>
      <c r="O497" s="388"/>
      <c r="Q497" s="388"/>
    </row>
    <row r="498" spans="1:17">
      <c r="A498" s="408">
        <v>43815</v>
      </c>
      <c r="B498" s="411">
        <v>3191.45</v>
      </c>
      <c r="C498" s="418">
        <f t="shared" si="74"/>
        <v>7.1478162080280683E-3</v>
      </c>
      <c r="D498" s="411">
        <v>58.42</v>
      </c>
      <c r="E498" s="418">
        <f t="shared" si="75"/>
        <v>2.9790234443856978E-2</v>
      </c>
      <c r="F498" s="411">
        <v>3191.45</v>
      </c>
      <c r="G498" s="418">
        <f t="shared" si="76"/>
        <v>7.1478162080280683E-3</v>
      </c>
      <c r="H498" s="411">
        <v>58.42</v>
      </c>
      <c r="I498" s="418">
        <f t="shared" si="77"/>
        <v>2.9790234443856978E-2</v>
      </c>
      <c r="J498" s="411">
        <v>3191.45</v>
      </c>
      <c r="K498" s="418">
        <f t="shared" si="78"/>
        <v>7.1478162080280683E-3</v>
      </c>
      <c r="L498" s="411">
        <v>58.42</v>
      </c>
      <c r="M498" s="418">
        <f t="shared" si="79"/>
        <v>2.9790234443856978E-2</v>
      </c>
      <c r="N498" s="411"/>
      <c r="O498" s="388"/>
      <c r="Q498" s="388"/>
    </row>
    <row r="499" spans="1:17">
      <c r="A499" s="408">
        <v>43812</v>
      </c>
      <c r="B499" s="411">
        <v>3168.8</v>
      </c>
      <c r="C499" s="418">
        <f t="shared" si="74"/>
        <v>7.258794976916505E-5</v>
      </c>
      <c r="D499" s="411">
        <v>56.73</v>
      </c>
      <c r="E499" s="418">
        <f t="shared" si="75"/>
        <v>7.0559181513485392E-4</v>
      </c>
      <c r="F499" s="411">
        <v>3168.8</v>
      </c>
      <c r="G499" s="418">
        <f t="shared" si="76"/>
        <v>7.258794976916505E-5</v>
      </c>
      <c r="H499" s="411">
        <v>56.73</v>
      </c>
      <c r="I499" s="418">
        <f t="shared" si="77"/>
        <v>7.0559181513485392E-4</v>
      </c>
      <c r="J499" s="411">
        <v>3168.8</v>
      </c>
      <c r="K499" s="418">
        <f t="shared" si="78"/>
        <v>7.258794976916505E-5</v>
      </c>
      <c r="L499" s="411">
        <v>56.73</v>
      </c>
      <c r="M499" s="418">
        <f t="shared" si="79"/>
        <v>7.0559181513485392E-4</v>
      </c>
      <c r="N499" s="411"/>
      <c r="O499" s="388"/>
      <c r="Q499" s="388"/>
    </row>
    <row r="500" spans="1:17">
      <c r="A500" s="408">
        <v>43811</v>
      </c>
      <c r="B500" s="411">
        <v>3168.57</v>
      </c>
      <c r="C500" s="418">
        <f t="shared" si="74"/>
        <v>8.5751663945150547E-3</v>
      </c>
      <c r="D500" s="411">
        <v>56.69</v>
      </c>
      <c r="E500" s="418">
        <f t="shared" si="75"/>
        <v>2.9230210602759543E-2</v>
      </c>
      <c r="F500" s="411">
        <v>3168.57</v>
      </c>
      <c r="G500" s="418">
        <f t="shared" si="76"/>
        <v>8.5751663945150547E-3</v>
      </c>
      <c r="H500" s="411">
        <v>56.69</v>
      </c>
      <c r="I500" s="418">
        <f t="shared" si="77"/>
        <v>2.9230210602759543E-2</v>
      </c>
      <c r="J500" s="411">
        <v>3168.57</v>
      </c>
      <c r="K500" s="418">
        <f t="shared" si="78"/>
        <v>8.5751663945150547E-3</v>
      </c>
      <c r="L500" s="411">
        <v>56.69</v>
      </c>
      <c r="M500" s="418">
        <f t="shared" si="79"/>
        <v>2.9230210602759543E-2</v>
      </c>
      <c r="N500" s="411"/>
      <c r="O500" s="388"/>
      <c r="Q500" s="388"/>
    </row>
    <row r="501" spans="1:17">
      <c r="A501" s="408">
        <v>43810</v>
      </c>
      <c r="B501" s="411">
        <v>3141.63</v>
      </c>
      <c r="C501" s="418">
        <f t="shared" si="74"/>
        <v>2.9082017034209873E-3</v>
      </c>
      <c r="D501" s="411">
        <v>55.08</v>
      </c>
      <c r="E501" s="418">
        <f t="shared" si="75"/>
        <v>-8.1037277147488762E-3</v>
      </c>
      <c r="F501" s="411">
        <v>3141.63</v>
      </c>
      <c r="G501" s="418">
        <f t="shared" si="76"/>
        <v>2.9082017034209873E-3</v>
      </c>
      <c r="H501" s="411">
        <v>55.08</v>
      </c>
      <c r="I501" s="418">
        <f t="shared" si="77"/>
        <v>-8.1037277147488762E-3</v>
      </c>
      <c r="J501" s="411">
        <v>3141.63</v>
      </c>
      <c r="K501" s="418">
        <f t="shared" si="78"/>
        <v>2.9082017034209873E-3</v>
      </c>
      <c r="L501" s="411">
        <v>55.08</v>
      </c>
      <c r="M501" s="418">
        <f t="shared" si="79"/>
        <v>-8.1037277147488762E-3</v>
      </c>
      <c r="N501" s="411"/>
      <c r="O501" s="388"/>
      <c r="Q501" s="388"/>
    </row>
    <row r="502" spans="1:17">
      <c r="A502" s="408">
        <v>43809</v>
      </c>
      <c r="B502" s="411">
        <v>3132.52</v>
      </c>
      <c r="C502" s="418">
        <f t="shared" si="74"/>
        <v>-1.0969527672547441E-3</v>
      </c>
      <c r="D502" s="411">
        <v>55.53</v>
      </c>
      <c r="E502" s="418">
        <f t="shared" si="75"/>
        <v>-4.8387096774192839E-3</v>
      </c>
      <c r="F502" s="411">
        <v>3132.52</v>
      </c>
      <c r="G502" s="418">
        <f t="shared" si="76"/>
        <v>-1.0969527672547441E-3</v>
      </c>
      <c r="H502" s="411">
        <v>55.53</v>
      </c>
      <c r="I502" s="418">
        <f t="shared" si="77"/>
        <v>-4.8387096774192839E-3</v>
      </c>
      <c r="J502" s="411">
        <v>3132.52</v>
      </c>
      <c r="K502" s="418">
        <f t="shared" si="78"/>
        <v>-1.0969527672547441E-3</v>
      </c>
      <c r="L502" s="411">
        <v>55.53</v>
      </c>
      <c r="M502" s="418">
        <f t="shared" si="79"/>
        <v>-4.8387096774192839E-3</v>
      </c>
      <c r="N502" s="411"/>
      <c r="O502" s="388"/>
      <c r="Q502" s="388"/>
    </row>
    <row r="503" spans="1:17">
      <c r="A503" s="408">
        <v>43808</v>
      </c>
      <c r="B503" s="411">
        <v>3135.96</v>
      </c>
      <c r="C503" s="418">
        <f t="shared" si="74"/>
        <v>-3.1628368262283102E-3</v>
      </c>
      <c r="D503" s="411">
        <v>55.8</v>
      </c>
      <c r="E503" s="418">
        <f t="shared" si="75"/>
        <v>-6.0562878517991248E-3</v>
      </c>
      <c r="F503" s="411">
        <v>3135.96</v>
      </c>
      <c r="G503" s="418">
        <f t="shared" si="76"/>
        <v>-3.1628368262283102E-3</v>
      </c>
      <c r="H503" s="411">
        <v>55.8</v>
      </c>
      <c r="I503" s="418">
        <f t="shared" si="77"/>
        <v>-6.0562878517991248E-3</v>
      </c>
      <c r="J503" s="411">
        <v>3135.96</v>
      </c>
      <c r="K503" s="418">
        <f t="shared" si="78"/>
        <v>-3.1628368262283102E-3</v>
      </c>
      <c r="L503" s="411">
        <v>55.8</v>
      </c>
      <c r="M503" s="418">
        <f t="shared" si="79"/>
        <v>-6.0562878517991248E-3</v>
      </c>
      <c r="N503" s="411"/>
      <c r="O503" s="388"/>
      <c r="Q503" s="388"/>
    </row>
    <row r="504" spans="1:17">
      <c r="A504" s="408">
        <v>43805</v>
      </c>
      <c r="B504" s="411">
        <v>3145.91</v>
      </c>
      <c r="C504" s="418">
        <f t="shared" si="74"/>
        <v>9.1357303933048417E-3</v>
      </c>
      <c r="D504" s="411">
        <v>56.14</v>
      </c>
      <c r="E504" s="418">
        <f t="shared" si="75"/>
        <v>4.6528274874730879E-3</v>
      </c>
      <c r="F504" s="411">
        <v>3145.91</v>
      </c>
      <c r="G504" s="418">
        <f t="shared" si="76"/>
        <v>9.1357303933048417E-3</v>
      </c>
      <c r="H504" s="411">
        <v>56.14</v>
      </c>
      <c r="I504" s="418">
        <f t="shared" si="77"/>
        <v>4.6528274874730879E-3</v>
      </c>
      <c r="J504" s="411">
        <v>3145.91</v>
      </c>
      <c r="K504" s="418">
        <f t="shared" si="78"/>
        <v>9.1357303933048417E-3</v>
      </c>
      <c r="L504" s="411">
        <v>56.14</v>
      </c>
      <c r="M504" s="418">
        <f t="shared" si="79"/>
        <v>4.6528274874730879E-3</v>
      </c>
      <c r="N504" s="411"/>
      <c r="O504" s="388"/>
      <c r="Q504" s="388"/>
    </row>
    <row r="505" spans="1:17">
      <c r="A505" s="408">
        <v>43804</v>
      </c>
      <c r="B505" s="411">
        <v>3117.43</v>
      </c>
      <c r="C505" s="418">
        <f t="shared" si="74"/>
        <v>1.500276282141666E-3</v>
      </c>
      <c r="D505" s="411">
        <v>55.88</v>
      </c>
      <c r="E505" s="418">
        <f t="shared" si="75"/>
        <v>-3.2108455226542709E-3</v>
      </c>
      <c r="F505" s="411">
        <v>3117.43</v>
      </c>
      <c r="G505" s="418">
        <f t="shared" si="76"/>
        <v>1.500276282141666E-3</v>
      </c>
      <c r="H505" s="411">
        <v>55.88</v>
      </c>
      <c r="I505" s="418">
        <f t="shared" si="77"/>
        <v>-3.2108455226542709E-3</v>
      </c>
      <c r="J505" s="411">
        <v>3117.43</v>
      </c>
      <c r="K505" s="418">
        <f t="shared" si="78"/>
        <v>1.500276282141666E-3</v>
      </c>
      <c r="L505" s="411">
        <v>55.88</v>
      </c>
      <c r="M505" s="418">
        <f t="shared" si="79"/>
        <v>-3.2108455226542709E-3</v>
      </c>
      <c r="N505" s="411"/>
      <c r="O505" s="388"/>
      <c r="Q505" s="388"/>
    </row>
    <row r="506" spans="1:17">
      <c r="A506" s="408">
        <v>43803</v>
      </c>
      <c r="B506" s="411">
        <v>3112.76</v>
      </c>
      <c r="C506" s="418">
        <f t="shared" si="74"/>
        <v>6.323548428811776E-3</v>
      </c>
      <c r="D506" s="411">
        <v>56.06</v>
      </c>
      <c r="E506" s="418">
        <f t="shared" si="75"/>
        <v>7.9108234448042047E-3</v>
      </c>
      <c r="F506" s="411">
        <v>3112.76</v>
      </c>
      <c r="G506" s="418">
        <f t="shared" si="76"/>
        <v>6.323548428811776E-3</v>
      </c>
      <c r="H506" s="411">
        <v>56.06</v>
      </c>
      <c r="I506" s="418">
        <f t="shared" si="77"/>
        <v>7.9108234448042047E-3</v>
      </c>
      <c r="J506" s="411">
        <v>3112.76</v>
      </c>
      <c r="K506" s="418">
        <f t="shared" si="78"/>
        <v>6.323548428811776E-3</v>
      </c>
      <c r="L506" s="411">
        <v>56.06</v>
      </c>
      <c r="M506" s="418">
        <f t="shared" si="79"/>
        <v>7.9108234448042047E-3</v>
      </c>
      <c r="N506" s="411"/>
      <c r="O506" s="388"/>
      <c r="Q506" s="388"/>
    </row>
    <row r="507" spans="1:17">
      <c r="A507" s="408">
        <v>43802</v>
      </c>
      <c r="B507" s="411">
        <v>3093.2</v>
      </c>
      <c r="C507" s="418">
        <f t="shared" si="74"/>
        <v>-6.6380420505672832E-3</v>
      </c>
      <c r="D507" s="411">
        <v>55.62</v>
      </c>
      <c r="E507" s="418">
        <f t="shared" si="75"/>
        <v>-1.9911894273127784E-2</v>
      </c>
      <c r="F507" s="411">
        <v>3093.2</v>
      </c>
      <c r="G507" s="418">
        <f t="shared" si="76"/>
        <v>-6.6380420505672832E-3</v>
      </c>
      <c r="H507" s="411">
        <v>55.62</v>
      </c>
      <c r="I507" s="418">
        <f t="shared" si="77"/>
        <v>-1.9911894273127784E-2</v>
      </c>
      <c r="J507" s="411">
        <v>3093.2</v>
      </c>
      <c r="K507" s="418">
        <f t="shared" si="78"/>
        <v>-6.6380420505672832E-3</v>
      </c>
      <c r="L507" s="411">
        <v>55.62</v>
      </c>
      <c r="M507" s="418">
        <f t="shared" si="79"/>
        <v>-1.9911894273127784E-2</v>
      </c>
      <c r="N507" s="411"/>
      <c r="O507" s="388"/>
      <c r="Q507" s="388"/>
    </row>
    <row r="508" spans="1:17">
      <c r="A508" s="408">
        <v>43801</v>
      </c>
      <c r="B508" s="411">
        <v>3113.87</v>
      </c>
      <c r="C508" s="418">
        <f t="shared" si="74"/>
        <v>-8.6310641901572449E-3</v>
      </c>
      <c r="D508" s="411">
        <v>56.75</v>
      </c>
      <c r="E508" s="418">
        <f t="shared" si="75"/>
        <v>-9.7714186005932735E-3</v>
      </c>
      <c r="F508" s="411">
        <v>3113.87</v>
      </c>
      <c r="G508" s="418">
        <f t="shared" si="76"/>
        <v>-8.6310641901572449E-3</v>
      </c>
      <c r="H508" s="411">
        <v>56.75</v>
      </c>
      <c r="I508" s="418">
        <f t="shared" si="77"/>
        <v>-9.7714186005932735E-3</v>
      </c>
      <c r="J508" s="411">
        <v>3113.87</v>
      </c>
      <c r="K508" s="418">
        <f t="shared" si="78"/>
        <v>-8.6310641901572449E-3</v>
      </c>
      <c r="L508" s="411">
        <v>56.75</v>
      </c>
      <c r="M508" s="418">
        <f t="shared" si="79"/>
        <v>-9.7714186005932735E-3</v>
      </c>
      <c r="N508" s="411"/>
      <c r="O508" s="388"/>
      <c r="Q508" s="388"/>
    </row>
    <row r="509" spans="1:17">
      <c r="A509" s="408">
        <v>43798</v>
      </c>
      <c r="B509" s="411">
        <v>3140.98</v>
      </c>
      <c r="C509" s="418">
        <f t="shared" si="74"/>
        <v>-4.0112505271703291E-3</v>
      </c>
      <c r="D509" s="411">
        <v>57.31</v>
      </c>
      <c r="E509" s="418">
        <f t="shared" si="75"/>
        <v>4.2053618363413481E-3</v>
      </c>
      <c r="F509" s="411">
        <v>3140.98</v>
      </c>
      <c r="G509" s="418">
        <f t="shared" si="76"/>
        <v>-4.0112505271703291E-3</v>
      </c>
      <c r="H509" s="411">
        <v>57.31</v>
      </c>
      <c r="I509" s="418">
        <f t="shared" si="77"/>
        <v>4.2053618363413481E-3</v>
      </c>
      <c r="J509" s="411">
        <v>3140.98</v>
      </c>
      <c r="K509" s="418">
        <f t="shared" si="78"/>
        <v>-4.0112505271703291E-3</v>
      </c>
      <c r="L509" s="411">
        <v>57.31</v>
      </c>
      <c r="M509" s="418">
        <f t="shared" si="79"/>
        <v>4.2053618363413481E-3</v>
      </c>
      <c r="N509" s="411"/>
      <c r="O509" s="388"/>
      <c r="Q509" s="388"/>
    </row>
    <row r="510" spans="1:17">
      <c r="A510" s="408">
        <v>43796</v>
      </c>
      <c r="B510" s="411">
        <v>3153.63</v>
      </c>
      <c r="C510" s="418">
        <f t="shared" si="74"/>
        <v>4.1744679225097503E-3</v>
      </c>
      <c r="D510" s="411">
        <v>57.07</v>
      </c>
      <c r="E510" s="418">
        <f t="shared" si="75"/>
        <v>-6.7873303167420573E-3</v>
      </c>
      <c r="F510" s="411">
        <v>3153.63</v>
      </c>
      <c r="G510" s="418">
        <f t="shared" si="76"/>
        <v>4.1744679225097503E-3</v>
      </c>
      <c r="H510" s="411">
        <v>57.07</v>
      </c>
      <c r="I510" s="418">
        <f t="shared" si="77"/>
        <v>-6.7873303167420573E-3</v>
      </c>
      <c r="J510" s="411">
        <v>3153.63</v>
      </c>
      <c r="K510" s="418">
        <f t="shared" si="78"/>
        <v>4.1744679225097503E-3</v>
      </c>
      <c r="L510" s="411">
        <v>57.07</v>
      </c>
      <c r="M510" s="418">
        <f t="shared" si="79"/>
        <v>-6.7873303167420573E-3</v>
      </c>
      <c r="N510" s="411"/>
      <c r="O510" s="388"/>
      <c r="Q510" s="388"/>
    </row>
    <row r="511" spans="1:17">
      <c r="A511" s="408">
        <v>43795</v>
      </c>
      <c r="B511" s="411">
        <v>3140.52</v>
      </c>
      <c r="C511" s="418">
        <f t="shared" si="74"/>
        <v>2.1955297992111156E-3</v>
      </c>
      <c r="D511" s="411">
        <v>57.46</v>
      </c>
      <c r="E511" s="418">
        <f t="shared" si="75"/>
        <v>1.9698314108252069E-2</v>
      </c>
      <c r="F511" s="411">
        <v>3140.52</v>
      </c>
      <c r="G511" s="418">
        <f t="shared" si="76"/>
        <v>2.1955297992111156E-3</v>
      </c>
      <c r="H511" s="411">
        <v>57.46</v>
      </c>
      <c r="I511" s="418">
        <f t="shared" si="77"/>
        <v>1.9698314108252069E-2</v>
      </c>
      <c r="J511" s="411">
        <v>3140.52</v>
      </c>
      <c r="K511" s="418">
        <f t="shared" si="78"/>
        <v>2.1955297992111156E-3</v>
      </c>
      <c r="L511" s="411">
        <v>57.46</v>
      </c>
      <c r="M511" s="418">
        <f t="shared" si="79"/>
        <v>1.9698314108252069E-2</v>
      </c>
      <c r="N511" s="411"/>
      <c r="O511" s="388"/>
      <c r="Q511" s="388"/>
    </row>
    <row r="512" spans="1:17">
      <c r="A512" s="408">
        <v>43794</v>
      </c>
      <c r="B512" s="411">
        <v>3133.64</v>
      </c>
      <c r="C512" s="418">
        <f t="shared" si="74"/>
        <v>7.5073385439943241E-3</v>
      </c>
      <c r="D512" s="411">
        <v>56.35</v>
      </c>
      <c r="E512" s="418">
        <f t="shared" si="75"/>
        <v>4.2773124220281122E-3</v>
      </c>
      <c r="F512" s="411">
        <v>3133.64</v>
      </c>
      <c r="G512" s="418">
        <f t="shared" si="76"/>
        <v>7.5073385439943241E-3</v>
      </c>
      <c r="H512" s="411">
        <v>56.35</v>
      </c>
      <c r="I512" s="418">
        <f t="shared" si="77"/>
        <v>4.2773124220281122E-3</v>
      </c>
      <c r="J512" s="411">
        <v>3133.64</v>
      </c>
      <c r="K512" s="418">
        <f t="shared" si="78"/>
        <v>7.5073385439943241E-3</v>
      </c>
      <c r="L512" s="411">
        <v>56.35</v>
      </c>
      <c r="M512" s="418">
        <f t="shared" si="79"/>
        <v>4.2773124220281122E-3</v>
      </c>
      <c r="N512" s="411"/>
      <c r="O512" s="388"/>
      <c r="Q512" s="388"/>
    </row>
    <row r="513" spans="1:17">
      <c r="A513" s="408">
        <v>43791</v>
      </c>
      <c r="B513" s="411">
        <v>3110.29</v>
      </c>
      <c r="C513" s="418">
        <f t="shared" si="74"/>
        <v>2.1749357185665286E-3</v>
      </c>
      <c r="D513" s="411">
        <v>56.11</v>
      </c>
      <c r="E513" s="418">
        <f t="shared" si="75"/>
        <v>1.446393057313311E-2</v>
      </c>
      <c r="F513" s="411">
        <v>3110.29</v>
      </c>
      <c r="G513" s="418">
        <f t="shared" si="76"/>
        <v>2.1749357185665286E-3</v>
      </c>
      <c r="H513" s="411">
        <v>56.11</v>
      </c>
      <c r="I513" s="418">
        <f t="shared" si="77"/>
        <v>1.446393057313311E-2</v>
      </c>
      <c r="J513" s="411">
        <v>3110.29</v>
      </c>
      <c r="K513" s="418">
        <f t="shared" si="78"/>
        <v>2.1749357185665286E-3</v>
      </c>
      <c r="L513" s="411">
        <v>56.11</v>
      </c>
      <c r="M513" s="418">
        <f t="shared" si="79"/>
        <v>1.446393057313311E-2</v>
      </c>
      <c r="N513" s="411"/>
      <c r="O513" s="388"/>
      <c r="Q513" s="388"/>
    </row>
    <row r="514" spans="1:17">
      <c r="A514" s="408">
        <v>43790</v>
      </c>
      <c r="B514" s="411">
        <v>3103.54</v>
      </c>
      <c r="C514" s="418">
        <f t="shared" si="74"/>
        <v>-1.5827773238195064E-3</v>
      </c>
      <c r="D514" s="411">
        <v>55.31</v>
      </c>
      <c r="E514" s="418">
        <f t="shared" si="75"/>
        <v>-6.4666786419974587E-3</v>
      </c>
      <c r="F514" s="411">
        <v>3103.54</v>
      </c>
      <c r="G514" s="418">
        <f t="shared" si="76"/>
        <v>-1.5827773238195064E-3</v>
      </c>
      <c r="H514" s="411">
        <v>55.31</v>
      </c>
      <c r="I514" s="418">
        <f t="shared" si="77"/>
        <v>-6.4666786419974587E-3</v>
      </c>
      <c r="J514" s="411">
        <v>3103.54</v>
      </c>
      <c r="K514" s="418">
        <f t="shared" si="78"/>
        <v>-1.5827773238195064E-3</v>
      </c>
      <c r="L514" s="411">
        <v>55.31</v>
      </c>
      <c r="M514" s="418">
        <f t="shared" si="79"/>
        <v>-6.4666786419974587E-3</v>
      </c>
      <c r="N514" s="411"/>
      <c r="O514" s="388"/>
      <c r="Q514" s="388"/>
    </row>
    <row r="515" spans="1:17">
      <c r="A515" s="408">
        <v>43789</v>
      </c>
      <c r="B515" s="411">
        <v>3108.46</v>
      </c>
      <c r="C515" s="418">
        <f t="shared" si="74"/>
        <v>-3.7561935529359936E-3</v>
      </c>
      <c r="D515" s="411">
        <v>55.67</v>
      </c>
      <c r="E515" s="418">
        <f t="shared" si="75"/>
        <v>-2.453127737865779E-2</v>
      </c>
      <c r="F515" s="411">
        <v>3108.46</v>
      </c>
      <c r="G515" s="418">
        <f t="shared" si="76"/>
        <v>-3.7561935529359936E-3</v>
      </c>
      <c r="H515" s="411">
        <v>55.67</v>
      </c>
      <c r="I515" s="418">
        <f t="shared" si="77"/>
        <v>-2.453127737865779E-2</v>
      </c>
      <c r="J515" s="411">
        <v>3108.46</v>
      </c>
      <c r="K515" s="418">
        <f t="shared" si="78"/>
        <v>-3.7561935529359936E-3</v>
      </c>
      <c r="L515" s="411">
        <v>55.67</v>
      </c>
      <c r="M515" s="418">
        <f t="shared" si="79"/>
        <v>-2.453127737865779E-2</v>
      </c>
      <c r="N515" s="411"/>
      <c r="O515" s="388"/>
      <c r="Q515" s="388"/>
    </row>
    <row r="516" spans="1:17">
      <c r="A516" s="408">
        <v>43788</v>
      </c>
      <c r="B516" s="411">
        <v>3120.18</v>
      </c>
      <c r="C516" s="418">
        <f t="shared" si="74"/>
        <v>-5.9256317203881803E-4</v>
      </c>
      <c r="D516" s="411">
        <v>57.07</v>
      </c>
      <c r="E516" s="418">
        <f t="shared" si="75"/>
        <v>-1.7519271198318531E-4</v>
      </c>
      <c r="F516" s="411">
        <v>3120.18</v>
      </c>
      <c r="G516" s="418">
        <f t="shared" si="76"/>
        <v>-5.9256317203881803E-4</v>
      </c>
      <c r="H516" s="411">
        <v>57.07</v>
      </c>
      <c r="I516" s="418">
        <f t="shared" si="77"/>
        <v>-1.7519271198318531E-4</v>
      </c>
      <c r="J516" s="411">
        <v>3120.18</v>
      </c>
      <c r="K516" s="418">
        <f t="shared" si="78"/>
        <v>-5.9256317203881803E-4</v>
      </c>
      <c r="L516" s="411">
        <v>57.07</v>
      </c>
      <c r="M516" s="418">
        <f t="shared" si="79"/>
        <v>-1.7519271198318531E-4</v>
      </c>
      <c r="N516" s="411"/>
      <c r="O516" s="388"/>
      <c r="Q516" s="388"/>
    </row>
    <row r="517" spans="1:17">
      <c r="A517" s="408">
        <v>43787</v>
      </c>
      <c r="B517" s="411">
        <v>3122.03</v>
      </c>
      <c r="C517" s="418">
        <f t="shared" si="74"/>
        <v>5.0313094864229413E-4</v>
      </c>
      <c r="D517" s="411">
        <v>57.08</v>
      </c>
      <c r="E517" s="418">
        <f t="shared" si="75"/>
        <v>4.0457343887423391E-3</v>
      </c>
      <c r="F517" s="411">
        <v>3122.03</v>
      </c>
      <c r="G517" s="418">
        <f t="shared" si="76"/>
        <v>5.0313094864229413E-4</v>
      </c>
      <c r="H517" s="411">
        <v>57.08</v>
      </c>
      <c r="I517" s="418">
        <f t="shared" si="77"/>
        <v>4.0457343887423391E-3</v>
      </c>
      <c r="J517" s="411">
        <v>3122.03</v>
      </c>
      <c r="K517" s="418">
        <f t="shared" si="78"/>
        <v>5.0313094864229413E-4</v>
      </c>
      <c r="L517" s="411">
        <v>57.08</v>
      </c>
      <c r="M517" s="418">
        <f t="shared" si="79"/>
        <v>4.0457343887423391E-3</v>
      </c>
      <c r="N517" s="411"/>
      <c r="O517" s="388"/>
      <c r="Q517" s="388"/>
    </row>
    <row r="518" spans="1:17">
      <c r="A518" s="408">
        <v>43784</v>
      </c>
      <c r="B518" s="411">
        <v>3120.46</v>
      </c>
      <c r="C518" s="418">
        <f t="shared" si="74"/>
        <v>7.6954624866387711E-3</v>
      </c>
      <c r="D518" s="411">
        <v>56.85</v>
      </c>
      <c r="E518" s="418">
        <f t="shared" si="75"/>
        <v>5.3050397877985045E-3</v>
      </c>
      <c r="F518" s="411">
        <v>3120.46</v>
      </c>
      <c r="G518" s="418">
        <f t="shared" si="76"/>
        <v>7.6954624866387711E-3</v>
      </c>
      <c r="H518" s="411">
        <v>56.85</v>
      </c>
      <c r="I518" s="418">
        <f t="shared" si="77"/>
        <v>5.3050397877985045E-3</v>
      </c>
      <c r="J518" s="411">
        <v>3120.46</v>
      </c>
      <c r="K518" s="418">
        <f t="shared" si="78"/>
        <v>7.6954624866387711E-3</v>
      </c>
      <c r="L518" s="411">
        <v>56.85</v>
      </c>
      <c r="M518" s="418">
        <f t="shared" si="79"/>
        <v>5.3050397877985045E-3</v>
      </c>
      <c r="N518" s="411"/>
      <c r="O518" s="388"/>
      <c r="Q518" s="388"/>
    </row>
    <row r="519" spans="1:17">
      <c r="A519" s="408">
        <v>43783</v>
      </c>
      <c r="B519" s="411">
        <v>3096.63</v>
      </c>
      <c r="C519" s="418">
        <f t="shared" si="74"/>
        <v>8.3709325024883263E-4</v>
      </c>
      <c r="D519" s="411">
        <v>56.55</v>
      </c>
      <c r="E519" s="418">
        <f t="shared" si="75"/>
        <v>8.8495575221236855E-4</v>
      </c>
      <c r="F519" s="411">
        <v>3096.63</v>
      </c>
      <c r="G519" s="418">
        <f t="shared" si="76"/>
        <v>8.3709325024883263E-4</v>
      </c>
      <c r="H519" s="411">
        <v>56.55</v>
      </c>
      <c r="I519" s="418">
        <f t="shared" si="77"/>
        <v>8.8495575221236855E-4</v>
      </c>
      <c r="J519" s="411">
        <v>3096.63</v>
      </c>
      <c r="K519" s="418">
        <f t="shared" si="78"/>
        <v>8.3709325024883263E-4</v>
      </c>
      <c r="L519" s="411">
        <v>56.55</v>
      </c>
      <c r="M519" s="418">
        <f t="shared" si="79"/>
        <v>8.8495575221236855E-4</v>
      </c>
      <c r="N519" s="411"/>
      <c r="O519" s="388"/>
      <c r="Q519" s="388"/>
    </row>
    <row r="520" spans="1:17">
      <c r="A520" s="408">
        <v>43782</v>
      </c>
      <c r="B520" s="411">
        <v>3094.04</v>
      </c>
      <c r="C520" s="418">
        <f t="shared" ref="C520:C583" si="80">B520/B521-1</f>
        <v>7.1155040364301314E-4</v>
      </c>
      <c r="D520" s="411">
        <v>56.5</v>
      </c>
      <c r="E520" s="418">
        <f t="shared" ref="E520:E583" si="81">D520/D521-1</f>
        <v>-1.2583012932541049E-2</v>
      </c>
      <c r="F520" s="411">
        <v>3094.04</v>
      </c>
      <c r="G520" s="418">
        <f t="shared" ref="G520:G583" si="82">F520/F521-1</f>
        <v>7.1155040364301314E-4</v>
      </c>
      <c r="H520" s="411">
        <v>56.5</v>
      </c>
      <c r="I520" s="418">
        <f t="shared" ref="I520:I583" si="83">H520/H521-1</f>
        <v>-1.2583012932541049E-2</v>
      </c>
      <c r="J520" s="411">
        <v>3094.04</v>
      </c>
      <c r="K520" s="418">
        <f t="shared" ref="K520:K583" si="84">J520/J521-1</f>
        <v>7.1155040364301314E-4</v>
      </c>
      <c r="L520" s="411">
        <v>56.5</v>
      </c>
      <c r="M520" s="418">
        <f t="shared" ref="M520:M583" si="85">L520/L521-1</f>
        <v>-1.2583012932541049E-2</v>
      </c>
      <c r="N520" s="411"/>
      <c r="O520" s="388"/>
      <c r="Q520" s="388"/>
    </row>
    <row r="521" spans="1:17">
      <c r="A521" s="408">
        <v>43781</v>
      </c>
      <c r="B521" s="411">
        <v>3091.84</v>
      </c>
      <c r="C521" s="418">
        <f t="shared" si="80"/>
        <v>1.5646207819215441E-3</v>
      </c>
      <c r="D521" s="411">
        <v>57.22</v>
      </c>
      <c r="E521" s="418">
        <f t="shared" si="81"/>
        <v>1.7479461632574633E-4</v>
      </c>
      <c r="F521" s="411">
        <v>3091.84</v>
      </c>
      <c r="G521" s="418">
        <f t="shared" si="82"/>
        <v>1.5646207819215441E-3</v>
      </c>
      <c r="H521" s="411">
        <v>57.22</v>
      </c>
      <c r="I521" s="418">
        <f t="shared" si="83"/>
        <v>1.7479461632574633E-4</v>
      </c>
      <c r="J521" s="411">
        <v>3091.84</v>
      </c>
      <c r="K521" s="418">
        <f t="shared" si="84"/>
        <v>1.5646207819215441E-3</v>
      </c>
      <c r="L521" s="411">
        <v>57.22</v>
      </c>
      <c r="M521" s="418">
        <f t="shared" si="85"/>
        <v>1.7479461632574633E-4</v>
      </c>
      <c r="N521" s="411"/>
      <c r="O521" s="388"/>
      <c r="Q521" s="388"/>
    </row>
    <row r="522" spans="1:17">
      <c r="A522" s="408">
        <v>43780</v>
      </c>
      <c r="B522" s="411">
        <v>3087.01</v>
      </c>
      <c r="C522" s="418">
        <f t="shared" si="80"/>
        <v>-1.9624452002533488E-3</v>
      </c>
      <c r="D522" s="411">
        <v>57.21</v>
      </c>
      <c r="E522" s="418">
        <f t="shared" si="81"/>
        <v>-6.4258423063563441E-3</v>
      </c>
      <c r="F522" s="411">
        <v>3087.01</v>
      </c>
      <c r="G522" s="418">
        <f t="shared" si="82"/>
        <v>-1.9624452002533488E-3</v>
      </c>
      <c r="H522" s="411">
        <v>57.21</v>
      </c>
      <c r="I522" s="418">
        <f t="shared" si="83"/>
        <v>-6.4258423063563441E-3</v>
      </c>
      <c r="J522" s="411">
        <v>3087.01</v>
      </c>
      <c r="K522" s="418">
        <f t="shared" si="84"/>
        <v>-1.9624452002533488E-3</v>
      </c>
      <c r="L522" s="411">
        <v>57.21</v>
      </c>
      <c r="M522" s="418">
        <f t="shared" si="85"/>
        <v>-6.4258423063563441E-3</v>
      </c>
      <c r="N522" s="411"/>
      <c r="O522" s="388"/>
      <c r="Q522" s="388"/>
    </row>
    <row r="523" spans="1:17">
      <c r="A523" s="408">
        <v>43777</v>
      </c>
      <c r="B523" s="411">
        <v>3093.08</v>
      </c>
      <c r="C523" s="418">
        <f t="shared" si="80"/>
        <v>2.5606285532773221E-3</v>
      </c>
      <c r="D523" s="411">
        <v>57.58</v>
      </c>
      <c r="E523" s="418">
        <f t="shared" si="81"/>
        <v>-1.3874436351023478E-3</v>
      </c>
      <c r="F523" s="411">
        <v>3093.08</v>
      </c>
      <c r="G523" s="418">
        <f t="shared" si="82"/>
        <v>2.5606285532773221E-3</v>
      </c>
      <c r="H523" s="411">
        <v>57.58</v>
      </c>
      <c r="I523" s="418">
        <f t="shared" si="83"/>
        <v>-1.3874436351023478E-3</v>
      </c>
      <c r="J523" s="411">
        <v>3093.08</v>
      </c>
      <c r="K523" s="418">
        <f t="shared" si="84"/>
        <v>2.5606285532773221E-3</v>
      </c>
      <c r="L523" s="411">
        <v>57.58</v>
      </c>
      <c r="M523" s="418">
        <f t="shared" si="85"/>
        <v>-1.3874436351023478E-3</v>
      </c>
      <c r="N523" s="411"/>
      <c r="O523" s="388"/>
      <c r="Q523" s="388"/>
    </row>
    <row r="524" spans="1:17">
      <c r="A524" s="408">
        <v>43776</v>
      </c>
      <c r="B524" s="411">
        <v>3085.18</v>
      </c>
      <c r="C524" s="418">
        <f t="shared" si="80"/>
        <v>2.7301269509030224E-3</v>
      </c>
      <c r="D524" s="411">
        <v>57.66</v>
      </c>
      <c r="E524" s="418">
        <f t="shared" si="81"/>
        <v>1.3893713094823568E-3</v>
      </c>
      <c r="F524" s="411">
        <v>3085.18</v>
      </c>
      <c r="G524" s="418">
        <f t="shared" si="82"/>
        <v>2.7301269509030224E-3</v>
      </c>
      <c r="H524" s="411">
        <v>57.66</v>
      </c>
      <c r="I524" s="418">
        <f t="shared" si="83"/>
        <v>1.3893713094823568E-3</v>
      </c>
      <c r="J524" s="411">
        <v>3085.18</v>
      </c>
      <c r="K524" s="418">
        <f t="shared" si="84"/>
        <v>2.7301269509030224E-3</v>
      </c>
      <c r="L524" s="411">
        <v>57.66</v>
      </c>
      <c r="M524" s="418">
        <f t="shared" si="85"/>
        <v>1.3893713094823568E-3</v>
      </c>
      <c r="N524" s="411"/>
      <c r="O524" s="388"/>
      <c r="Q524" s="388"/>
    </row>
    <row r="525" spans="1:17">
      <c r="A525" s="408">
        <v>43775</v>
      </c>
      <c r="B525" s="411">
        <v>3076.78</v>
      </c>
      <c r="C525" s="418">
        <f t="shared" si="80"/>
        <v>7.0252584059171674E-4</v>
      </c>
      <c r="D525" s="411">
        <v>57.58</v>
      </c>
      <c r="E525" s="418">
        <f t="shared" si="81"/>
        <v>1.2171796209354824E-3</v>
      </c>
      <c r="F525" s="411">
        <v>3076.78</v>
      </c>
      <c r="G525" s="418">
        <f t="shared" si="82"/>
        <v>7.0252584059171674E-4</v>
      </c>
      <c r="H525" s="411">
        <v>57.58</v>
      </c>
      <c r="I525" s="418">
        <f t="shared" si="83"/>
        <v>1.2171796209354824E-3</v>
      </c>
      <c r="J525" s="411">
        <v>3076.78</v>
      </c>
      <c r="K525" s="418">
        <f t="shared" si="84"/>
        <v>7.0252584059171674E-4</v>
      </c>
      <c r="L525" s="411">
        <v>57.58</v>
      </c>
      <c r="M525" s="418">
        <f t="shared" si="85"/>
        <v>1.2171796209354824E-3</v>
      </c>
      <c r="N525" s="411"/>
      <c r="O525" s="388"/>
      <c r="Q525" s="388"/>
    </row>
    <row r="526" spans="1:17">
      <c r="A526" s="408">
        <v>43774</v>
      </c>
      <c r="B526" s="411">
        <v>3074.62</v>
      </c>
      <c r="C526" s="418">
        <f t="shared" si="80"/>
        <v>-1.1857309462782739E-3</v>
      </c>
      <c r="D526" s="411">
        <v>57.51</v>
      </c>
      <c r="E526" s="418">
        <f t="shared" si="81"/>
        <v>1.1075949367088445E-2</v>
      </c>
      <c r="F526" s="411">
        <v>3074.62</v>
      </c>
      <c r="G526" s="418">
        <f t="shared" si="82"/>
        <v>-1.1857309462782739E-3</v>
      </c>
      <c r="H526" s="411">
        <v>57.51</v>
      </c>
      <c r="I526" s="418">
        <f t="shared" si="83"/>
        <v>1.1075949367088445E-2</v>
      </c>
      <c r="J526" s="411">
        <v>3074.62</v>
      </c>
      <c r="K526" s="418">
        <f t="shared" si="84"/>
        <v>-1.1857309462782739E-3</v>
      </c>
      <c r="L526" s="411">
        <v>57.51</v>
      </c>
      <c r="M526" s="418">
        <f t="shared" si="85"/>
        <v>1.1075949367088445E-2</v>
      </c>
      <c r="N526" s="411"/>
      <c r="O526" s="388"/>
      <c r="Q526" s="388"/>
    </row>
    <row r="527" spans="1:17">
      <c r="A527" s="408">
        <v>43773</v>
      </c>
      <c r="B527" s="411">
        <v>3078.27</v>
      </c>
      <c r="C527" s="418">
        <f t="shared" si="80"/>
        <v>3.70405391746087E-3</v>
      </c>
      <c r="D527" s="411">
        <v>56.88</v>
      </c>
      <c r="E527" s="418">
        <f t="shared" si="81"/>
        <v>1.5351660121385224E-2</v>
      </c>
      <c r="F527" s="411">
        <v>3078.27</v>
      </c>
      <c r="G527" s="418">
        <f t="shared" si="82"/>
        <v>3.70405391746087E-3</v>
      </c>
      <c r="H527" s="411">
        <v>56.88</v>
      </c>
      <c r="I527" s="418">
        <f t="shared" si="83"/>
        <v>1.5351660121385224E-2</v>
      </c>
      <c r="J527" s="411">
        <v>3078.27</v>
      </c>
      <c r="K527" s="418">
        <f t="shared" si="84"/>
        <v>3.70405391746087E-3</v>
      </c>
      <c r="L527" s="411">
        <v>56.88</v>
      </c>
      <c r="M527" s="418">
        <f t="shared" si="85"/>
        <v>1.5351660121385224E-2</v>
      </c>
      <c r="N527" s="411"/>
      <c r="O527" s="388"/>
      <c r="Q527" s="388"/>
    </row>
    <row r="528" spans="1:17">
      <c r="A528" s="408">
        <v>43770</v>
      </c>
      <c r="B528" s="411">
        <v>3066.91</v>
      </c>
      <c r="C528" s="418">
        <f t="shared" si="80"/>
        <v>9.6623605788856981E-3</v>
      </c>
      <c r="D528" s="411">
        <v>56.02</v>
      </c>
      <c r="E528" s="418">
        <f t="shared" si="81"/>
        <v>1.7066085693536737E-2</v>
      </c>
      <c r="F528" s="411">
        <v>3066.91</v>
      </c>
      <c r="G528" s="418">
        <f t="shared" si="82"/>
        <v>9.6623605788856981E-3</v>
      </c>
      <c r="H528" s="411">
        <v>56.02</v>
      </c>
      <c r="I528" s="418">
        <f t="shared" si="83"/>
        <v>1.7066085693536737E-2</v>
      </c>
      <c r="J528" s="411">
        <v>3066.91</v>
      </c>
      <c r="K528" s="418">
        <f t="shared" si="84"/>
        <v>9.6623605788856981E-3</v>
      </c>
      <c r="L528" s="411">
        <v>56.02</v>
      </c>
      <c r="M528" s="418">
        <f t="shared" si="85"/>
        <v>1.7066085693536737E-2</v>
      </c>
      <c r="N528" s="411"/>
      <c r="O528" s="388"/>
      <c r="Q528" s="388"/>
    </row>
    <row r="529" spans="1:17">
      <c r="A529" s="408">
        <v>43769</v>
      </c>
      <c r="B529" s="411">
        <v>3037.56</v>
      </c>
      <c r="C529" s="418">
        <f t="shared" si="80"/>
        <v>-3.0228734036372717E-3</v>
      </c>
      <c r="D529" s="411">
        <v>55.08</v>
      </c>
      <c r="E529" s="418">
        <f t="shared" si="81"/>
        <v>-4.3383947939262812E-3</v>
      </c>
      <c r="F529" s="411">
        <v>3037.56</v>
      </c>
      <c r="G529" s="418">
        <f t="shared" si="82"/>
        <v>-3.0228734036372717E-3</v>
      </c>
      <c r="H529" s="411">
        <v>55.08</v>
      </c>
      <c r="I529" s="418">
        <f t="shared" si="83"/>
        <v>-4.3383947939262812E-3</v>
      </c>
      <c r="J529" s="411">
        <v>3037.56</v>
      </c>
      <c r="K529" s="418">
        <f t="shared" si="84"/>
        <v>-3.0228734036372717E-3</v>
      </c>
      <c r="L529" s="411">
        <v>55.08</v>
      </c>
      <c r="M529" s="418">
        <f t="shared" si="85"/>
        <v>-4.3383947939262812E-3</v>
      </c>
      <c r="N529" s="411"/>
      <c r="O529" s="388"/>
      <c r="Q529" s="388"/>
    </row>
    <row r="530" spans="1:17">
      <c r="A530" s="408">
        <v>43768</v>
      </c>
      <c r="B530" s="411">
        <v>3046.77</v>
      </c>
      <c r="C530" s="418">
        <f t="shared" si="80"/>
        <v>3.2533282404039188E-3</v>
      </c>
      <c r="D530" s="411">
        <v>55.32</v>
      </c>
      <c r="E530" s="418">
        <f t="shared" si="81"/>
        <v>-1.0834236186348933E-3</v>
      </c>
      <c r="F530" s="411">
        <v>3046.77</v>
      </c>
      <c r="G530" s="418">
        <f t="shared" si="82"/>
        <v>3.2533282404039188E-3</v>
      </c>
      <c r="H530" s="411">
        <v>55.32</v>
      </c>
      <c r="I530" s="418">
        <f t="shared" si="83"/>
        <v>-1.0834236186348933E-3</v>
      </c>
      <c r="J530" s="411">
        <v>3046.77</v>
      </c>
      <c r="K530" s="418">
        <f t="shared" si="84"/>
        <v>3.2533282404039188E-3</v>
      </c>
      <c r="L530" s="411">
        <v>55.32</v>
      </c>
      <c r="M530" s="418">
        <f t="shared" si="85"/>
        <v>-1.0834236186348933E-3</v>
      </c>
      <c r="N530" s="411"/>
      <c r="O530" s="388"/>
      <c r="Q530" s="388"/>
    </row>
    <row r="531" spans="1:17">
      <c r="A531" s="408">
        <v>43767</v>
      </c>
      <c r="B531" s="411">
        <v>3036.89</v>
      </c>
      <c r="C531" s="418">
        <f t="shared" si="80"/>
        <v>-8.323956544341593E-4</v>
      </c>
      <c r="D531" s="411">
        <v>55.38</v>
      </c>
      <c r="E531" s="418">
        <f t="shared" si="81"/>
        <v>3.8064165307232223E-3</v>
      </c>
      <c r="F531" s="411">
        <v>3036.89</v>
      </c>
      <c r="G531" s="418">
        <f t="shared" si="82"/>
        <v>-8.323956544341593E-4</v>
      </c>
      <c r="H531" s="411">
        <v>55.38</v>
      </c>
      <c r="I531" s="418">
        <f t="shared" si="83"/>
        <v>3.8064165307232223E-3</v>
      </c>
      <c r="J531" s="411">
        <v>3036.89</v>
      </c>
      <c r="K531" s="418">
        <f t="shared" si="84"/>
        <v>-8.323956544341593E-4</v>
      </c>
      <c r="L531" s="411">
        <v>55.38</v>
      </c>
      <c r="M531" s="418">
        <f t="shared" si="85"/>
        <v>3.8064165307232223E-3</v>
      </c>
      <c r="N531" s="411"/>
      <c r="O531" s="388"/>
      <c r="Q531" s="388"/>
    </row>
    <row r="532" spans="1:17">
      <c r="A532" s="408">
        <v>43766</v>
      </c>
      <c r="B532" s="411">
        <v>3039.42</v>
      </c>
      <c r="C532" s="418">
        <f t="shared" si="80"/>
        <v>5.5813799606292402E-3</v>
      </c>
      <c r="D532" s="411">
        <v>55.17</v>
      </c>
      <c r="E532" s="418">
        <f t="shared" si="81"/>
        <v>1.0439560439560402E-2</v>
      </c>
      <c r="F532" s="411">
        <v>3039.42</v>
      </c>
      <c r="G532" s="418">
        <f t="shared" si="82"/>
        <v>5.5813799606292402E-3</v>
      </c>
      <c r="H532" s="411">
        <v>55.17</v>
      </c>
      <c r="I532" s="418">
        <f t="shared" si="83"/>
        <v>1.0439560439560402E-2</v>
      </c>
      <c r="J532" s="411">
        <v>3039.42</v>
      </c>
      <c r="K532" s="418">
        <f t="shared" si="84"/>
        <v>5.5813799606292402E-3</v>
      </c>
      <c r="L532" s="411">
        <v>55.17</v>
      </c>
      <c r="M532" s="418">
        <f t="shared" si="85"/>
        <v>1.0439560439560402E-2</v>
      </c>
      <c r="N532" s="411"/>
      <c r="O532" s="388"/>
      <c r="Q532" s="388"/>
    </row>
    <row r="533" spans="1:17">
      <c r="A533" s="408">
        <v>43763</v>
      </c>
      <c r="B533" s="411">
        <v>3022.55</v>
      </c>
      <c r="C533" s="418">
        <f t="shared" si="80"/>
        <v>4.0726973148768053E-3</v>
      </c>
      <c r="D533" s="411">
        <v>54.6</v>
      </c>
      <c r="E533" s="418">
        <f t="shared" si="81"/>
        <v>1.5058561070831145E-2</v>
      </c>
      <c r="F533" s="411">
        <v>3022.55</v>
      </c>
      <c r="G533" s="418">
        <f t="shared" si="82"/>
        <v>4.0726973148768053E-3</v>
      </c>
      <c r="H533" s="411">
        <v>54.6</v>
      </c>
      <c r="I533" s="418">
        <f t="shared" si="83"/>
        <v>1.5058561070831145E-2</v>
      </c>
      <c r="J533" s="411">
        <v>3022.55</v>
      </c>
      <c r="K533" s="418">
        <f t="shared" si="84"/>
        <v>4.0726973148768053E-3</v>
      </c>
      <c r="L533" s="411">
        <v>54.6</v>
      </c>
      <c r="M533" s="418">
        <f t="shared" si="85"/>
        <v>1.5058561070831145E-2</v>
      </c>
      <c r="N533" s="411"/>
      <c r="O533" s="388"/>
      <c r="Q533" s="388"/>
    </row>
    <row r="534" spans="1:17">
      <c r="A534" s="408">
        <v>43762</v>
      </c>
      <c r="B534" s="411">
        <v>3010.29</v>
      </c>
      <c r="C534" s="418">
        <f t="shared" si="80"/>
        <v>1.920439870594981E-3</v>
      </c>
      <c r="D534" s="411">
        <v>53.79</v>
      </c>
      <c r="E534" s="418">
        <f t="shared" si="81"/>
        <v>-3.7167812674232525E-4</v>
      </c>
      <c r="F534" s="411">
        <v>3010.29</v>
      </c>
      <c r="G534" s="418">
        <f t="shared" si="82"/>
        <v>1.920439870594981E-3</v>
      </c>
      <c r="H534" s="411">
        <v>53.79</v>
      </c>
      <c r="I534" s="418">
        <f t="shared" si="83"/>
        <v>-3.7167812674232525E-4</v>
      </c>
      <c r="J534" s="411">
        <v>3010.29</v>
      </c>
      <c r="K534" s="418">
        <f t="shared" si="84"/>
        <v>1.920439870594981E-3</v>
      </c>
      <c r="L534" s="411">
        <v>53.79</v>
      </c>
      <c r="M534" s="418">
        <f t="shared" si="85"/>
        <v>-3.7167812674232525E-4</v>
      </c>
      <c r="N534" s="411"/>
      <c r="O534" s="388"/>
      <c r="Q534" s="388"/>
    </row>
    <row r="535" spans="1:17">
      <c r="A535" s="408">
        <v>43761</v>
      </c>
      <c r="B535" s="411">
        <v>3004.52</v>
      </c>
      <c r="C535" s="418">
        <f t="shared" si="80"/>
        <v>2.8471390091422411E-3</v>
      </c>
      <c r="D535" s="411">
        <v>53.81</v>
      </c>
      <c r="E535" s="418">
        <f t="shared" si="81"/>
        <v>-1.5370539798719052E-2</v>
      </c>
      <c r="F535" s="411">
        <v>3004.52</v>
      </c>
      <c r="G535" s="418">
        <f t="shared" si="82"/>
        <v>2.8471390091422411E-3</v>
      </c>
      <c r="H535" s="411">
        <v>53.81</v>
      </c>
      <c r="I535" s="418">
        <f t="shared" si="83"/>
        <v>-1.5370539798719052E-2</v>
      </c>
      <c r="J535" s="411">
        <v>3004.52</v>
      </c>
      <c r="K535" s="418">
        <f t="shared" si="84"/>
        <v>2.8471390091422411E-3</v>
      </c>
      <c r="L535" s="411">
        <v>53.81</v>
      </c>
      <c r="M535" s="418">
        <f t="shared" si="85"/>
        <v>-1.5370539798719052E-2</v>
      </c>
      <c r="N535" s="411"/>
      <c r="O535" s="388"/>
      <c r="Q535" s="388"/>
    </row>
    <row r="536" spans="1:17">
      <c r="A536" s="408">
        <v>43760</v>
      </c>
      <c r="B536" s="411">
        <v>2995.99</v>
      </c>
      <c r="C536" s="418">
        <f t="shared" si="80"/>
        <v>-3.5686728395061262E-3</v>
      </c>
      <c r="D536" s="411">
        <v>54.65</v>
      </c>
      <c r="E536" s="418">
        <f t="shared" si="81"/>
        <v>1.28252106998894E-3</v>
      </c>
      <c r="F536" s="411">
        <v>2995.99</v>
      </c>
      <c r="G536" s="418">
        <f t="shared" si="82"/>
        <v>-3.5686728395061262E-3</v>
      </c>
      <c r="H536" s="411">
        <v>54.65</v>
      </c>
      <c r="I536" s="418">
        <f t="shared" si="83"/>
        <v>1.28252106998894E-3</v>
      </c>
      <c r="J536" s="411">
        <v>2995.99</v>
      </c>
      <c r="K536" s="418">
        <f t="shared" si="84"/>
        <v>-3.5686728395061262E-3</v>
      </c>
      <c r="L536" s="411">
        <v>54.65</v>
      </c>
      <c r="M536" s="418">
        <f t="shared" si="85"/>
        <v>1.28252106998894E-3</v>
      </c>
      <c r="N536" s="411"/>
      <c r="O536" s="388"/>
      <c r="Q536" s="388"/>
    </row>
    <row r="537" spans="1:17">
      <c r="A537" s="408">
        <v>43759</v>
      </c>
      <c r="B537" s="411">
        <v>3006.72</v>
      </c>
      <c r="C537" s="418">
        <f t="shared" si="80"/>
        <v>6.8716094032550412E-3</v>
      </c>
      <c r="D537" s="411">
        <v>54.58</v>
      </c>
      <c r="E537" s="418">
        <f t="shared" si="81"/>
        <v>1.3932751253947551E-2</v>
      </c>
      <c r="F537" s="411">
        <v>3006.72</v>
      </c>
      <c r="G537" s="418">
        <f t="shared" si="82"/>
        <v>6.8716094032550412E-3</v>
      </c>
      <c r="H537" s="411">
        <v>54.58</v>
      </c>
      <c r="I537" s="418">
        <f t="shared" si="83"/>
        <v>1.3932751253947551E-2</v>
      </c>
      <c r="J537" s="411">
        <v>3006.72</v>
      </c>
      <c r="K537" s="418">
        <f t="shared" si="84"/>
        <v>6.8716094032550412E-3</v>
      </c>
      <c r="L537" s="411">
        <v>54.58</v>
      </c>
      <c r="M537" s="418">
        <f t="shared" si="85"/>
        <v>1.3932751253947551E-2</v>
      </c>
      <c r="N537" s="411"/>
      <c r="O537" s="388"/>
      <c r="Q537" s="388"/>
    </row>
    <row r="538" spans="1:17">
      <c r="A538" s="408">
        <v>43756</v>
      </c>
      <c r="B538" s="411">
        <v>2986.2</v>
      </c>
      <c r="C538" s="418">
        <f t="shared" si="80"/>
        <v>-3.919344885671916E-3</v>
      </c>
      <c r="D538" s="411">
        <v>53.83</v>
      </c>
      <c r="E538" s="418">
        <f t="shared" si="81"/>
        <v>8.6190743863594488E-3</v>
      </c>
      <c r="F538" s="411">
        <v>2986.2</v>
      </c>
      <c r="G538" s="418">
        <f t="shared" si="82"/>
        <v>-3.919344885671916E-3</v>
      </c>
      <c r="H538" s="411">
        <v>53.83</v>
      </c>
      <c r="I538" s="418">
        <f t="shared" si="83"/>
        <v>8.6190743863594488E-3</v>
      </c>
      <c r="J538" s="411">
        <v>2986.2</v>
      </c>
      <c r="K538" s="418">
        <f t="shared" si="84"/>
        <v>-3.919344885671916E-3</v>
      </c>
      <c r="L538" s="411">
        <v>53.83</v>
      </c>
      <c r="M538" s="418">
        <f t="shared" si="85"/>
        <v>8.6190743863594488E-3</v>
      </c>
      <c r="N538" s="411"/>
      <c r="O538" s="388"/>
      <c r="Q538" s="388"/>
    </row>
    <row r="539" spans="1:17">
      <c r="A539" s="408">
        <v>43755</v>
      </c>
      <c r="B539" s="411">
        <v>2997.95</v>
      </c>
      <c r="C539" s="418">
        <f t="shared" si="80"/>
        <v>2.7628282530964832E-3</v>
      </c>
      <c r="D539" s="411">
        <v>53.37</v>
      </c>
      <c r="E539" s="418">
        <f t="shared" si="81"/>
        <v>3.7615196539400042E-3</v>
      </c>
      <c r="F539" s="411">
        <v>2997.95</v>
      </c>
      <c r="G539" s="418">
        <f t="shared" si="82"/>
        <v>2.7628282530964832E-3</v>
      </c>
      <c r="H539" s="411">
        <v>53.37</v>
      </c>
      <c r="I539" s="418">
        <f t="shared" si="83"/>
        <v>3.7615196539400042E-3</v>
      </c>
      <c r="J539" s="411">
        <v>2997.95</v>
      </c>
      <c r="K539" s="418">
        <f t="shared" si="84"/>
        <v>2.7628282530964832E-3</v>
      </c>
      <c r="L539" s="411">
        <v>53.37</v>
      </c>
      <c r="M539" s="418">
        <f t="shared" si="85"/>
        <v>3.7615196539400042E-3</v>
      </c>
      <c r="N539" s="411"/>
      <c r="O539" s="388"/>
      <c r="Q539" s="388"/>
    </row>
    <row r="540" spans="1:17">
      <c r="A540" s="408">
        <v>43754</v>
      </c>
      <c r="B540" s="411">
        <v>2989.69</v>
      </c>
      <c r="C540" s="418">
        <f t="shared" si="80"/>
        <v>-1.9995460129251796E-3</v>
      </c>
      <c r="D540" s="411">
        <v>53.17</v>
      </c>
      <c r="E540" s="418">
        <f t="shared" si="81"/>
        <v>-8.7621178225204543E-3</v>
      </c>
      <c r="F540" s="411">
        <v>2989.69</v>
      </c>
      <c r="G540" s="418">
        <f t="shared" si="82"/>
        <v>-1.9995460129251796E-3</v>
      </c>
      <c r="H540" s="411">
        <v>53.17</v>
      </c>
      <c r="I540" s="418">
        <f t="shared" si="83"/>
        <v>-8.7621178225204543E-3</v>
      </c>
      <c r="J540" s="411">
        <v>2989.69</v>
      </c>
      <c r="K540" s="418">
        <f t="shared" si="84"/>
        <v>-1.9995460129251796E-3</v>
      </c>
      <c r="L540" s="411">
        <v>53.17</v>
      </c>
      <c r="M540" s="418">
        <f t="shared" si="85"/>
        <v>-8.7621178225204543E-3</v>
      </c>
      <c r="N540" s="411"/>
      <c r="O540" s="388"/>
      <c r="Q540" s="388"/>
    </row>
    <row r="541" spans="1:17">
      <c r="A541" s="408">
        <v>43753</v>
      </c>
      <c r="B541" s="411">
        <v>2995.68</v>
      </c>
      <c r="C541" s="418">
        <f t="shared" si="80"/>
        <v>9.9556664362894232E-3</v>
      </c>
      <c r="D541" s="411">
        <v>53.64</v>
      </c>
      <c r="E541" s="418">
        <f t="shared" si="81"/>
        <v>1.2266465370824653E-2</v>
      </c>
      <c r="F541" s="411">
        <v>2995.68</v>
      </c>
      <c r="G541" s="418">
        <f t="shared" si="82"/>
        <v>9.9556664362894232E-3</v>
      </c>
      <c r="H541" s="411">
        <v>53.64</v>
      </c>
      <c r="I541" s="418">
        <f t="shared" si="83"/>
        <v>1.2266465370824653E-2</v>
      </c>
      <c r="J541" s="411">
        <v>2995.68</v>
      </c>
      <c r="K541" s="418">
        <f t="shared" si="84"/>
        <v>9.9556664362894232E-3</v>
      </c>
      <c r="L541" s="411">
        <v>53.64</v>
      </c>
      <c r="M541" s="418">
        <f t="shared" si="85"/>
        <v>1.2266465370824653E-2</v>
      </c>
      <c r="N541" s="411"/>
      <c r="O541" s="388"/>
      <c r="Q541" s="388"/>
    </row>
    <row r="542" spans="1:17">
      <c r="A542" s="408">
        <v>43752</v>
      </c>
      <c r="B542" s="411">
        <v>2966.15</v>
      </c>
      <c r="C542" s="418">
        <f t="shared" si="80"/>
        <v>-1.3870792890882111E-3</v>
      </c>
      <c r="D542" s="411">
        <v>52.99</v>
      </c>
      <c r="E542" s="418">
        <f t="shared" si="81"/>
        <v>7.5542965061381473E-4</v>
      </c>
      <c r="F542" s="411">
        <v>2966.15</v>
      </c>
      <c r="G542" s="418">
        <f t="shared" si="82"/>
        <v>-1.3870792890882111E-3</v>
      </c>
      <c r="H542" s="411">
        <v>52.99</v>
      </c>
      <c r="I542" s="418">
        <f t="shared" si="83"/>
        <v>7.5542965061381473E-4</v>
      </c>
      <c r="J542" s="411">
        <v>2966.15</v>
      </c>
      <c r="K542" s="418">
        <f t="shared" si="84"/>
        <v>-1.3870792890882111E-3</v>
      </c>
      <c r="L542" s="411">
        <v>52.99</v>
      </c>
      <c r="M542" s="418">
        <f t="shared" si="85"/>
        <v>7.5542965061381473E-4</v>
      </c>
      <c r="N542" s="411"/>
      <c r="O542" s="388"/>
      <c r="Q542" s="388"/>
    </row>
    <row r="543" spans="1:17">
      <c r="A543" s="408">
        <v>43749</v>
      </c>
      <c r="B543" s="411">
        <v>2970.27</v>
      </c>
      <c r="C543" s="418">
        <f t="shared" si="80"/>
        <v>1.0938930544257763E-2</v>
      </c>
      <c r="D543" s="411">
        <v>52.95</v>
      </c>
      <c r="E543" s="418">
        <f t="shared" si="81"/>
        <v>-2.8248587570620654E-3</v>
      </c>
      <c r="F543" s="411">
        <v>2970.27</v>
      </c>
      <c r="G543" s="418">
        <f t="shared" si="82"/>
        <v>1.0938930544257763E-2</v>
      </c>
      <c r="H543" s="411">
        <v>52.95</v>
      </c>
      <c r="I543" s="418">
        <f t="shared" si="83"/>
        <v>-2.8248587570620654E-3</v>
      </c>
      <c r="J543" s="411">
        <v>2970.27</v>
      </c>
      <c r="K543" s="418">
        <f t="shared" si="84"/>
        <v>1.0938930544257763E-2</v>
      </c>
      <c r="L543" s="411">
        <v>52.95</v>
      </c>
      <c r="M543" s="418">
        <f t="shared" si="85"/>
        <v>-2.8248587570620654E-3</v>
      </c>
      <c r="N543" s="411"/>
      <c r="O543" s="388"/>
      <c r="Q543" s="388"/>
    </row>
    <row r="544" spans="1:17">
      <c r="A544" s="408">
        <v>43748</v>
      </c>
      <c r="B544" s="411">
        <v>2938.13</v>
      </c>
      <c r="C544" s="418">
        <f t="shared" si="80"/>
        <v>6.4157018565458301E-3</v>
      </c>
      <c r="D544" s="411">
        <v>53.1</v>
      </c>
      <c r="E544" s="418">
        <f t="shared" si="81"/>
        <v>-1.5207715133531141E-2</v>
      </c>
      <c r="F544" s="411">
        <v>2938.13</v>
      </c>
      <c r="G544" s="418">
        <f t="shared" si="82"/>
        <v>6.4157018565458301E-3</v>
      </c>
      <c r="H544" s="411">
        <v>53.1</v>
      </c>
      <c r="I544" s="418">
        <f t="shared" si="83"/>
        <v>-1.5207715133531141E-2</v>
      </c>
      <c r="J544" s="411">
        <v>2938.13</v>
      </c>
      <c r="K544" s="418">
        <f t="shared" si="84"/>
        <v>6.4157018565458301E-3</v>
      </c>
      <c r="L544" s="411">
        <v>53.1</v>
      </c>
      <c r="M544" s="418">
        <f t="shared" si="85"/>
        <v>-1.5207715133531141E-2</v>
      </c>
      <c r="N544" s="411"/>
      <c r="O544" s="388"/>
      <c r="Q544" s="388"/>
    </row>
    <row r="545" spans="1:17">
      <c r="A545" s="408">
        <v>43747</v>
      </c>
      <c r="B545" s="411">
        <v>2919.4</v>
      </c>
      <c r="C545" s="418">
        <f t="shared" si="80"/>
        <v>9.104546742895181E-3</v>
      </c>
      <c r="D545" s="411">
        <v>53.92</v>
      </c>
      <c r="E545" s="418">
        <f t="shared" si="81"/>
        <v>1.3533834586466176E-2</v>
      </c>
      <c r="F545" s="411">
        <v>2919.4</v>
      </c>
      <c r="G545" s="418">
        <f t="shared" si="82"/>
        <v>9.104546742895181E-3</v>
      </c>
      <c r="H545" s="411">
        <v>53.92</v>
      </c>
      <c r="I545" s="418">
        <f t="shared" si="83"/>
        <v>1.3533834586466176E-2</v>
      </c>
      <c r="J545" s="411">
        <v>2919.4</v>
      </c>
      <c r="K545" s="418">
        <f t="shared" si="84"/>
        <v>9.104546742895181E-3</v>
      </c>
      <c r="L545" s="411">
        <v>53.92</v>
      </c>
      <c r="M545" s="418">
        <f t="shared" si="85"/>
        <v>1.3533834586466176E-2</v>
      </c>
      <c r="N545" s="411"/>
      <c r="O545" s="388"/>
      <c r="Q545" s="388"/>
    </row>
    <row r="546" spans="1:17">
      <c r="A546" s="408">
        <v>43746</v>
      </c>
      <c r="B546" s="411">
        <v>2893.06</v>
      </c>
      <c r="C546" s="418">
        <f t="shared" si="80"/>
        <v>-1.5560826054260457E-2</v>
      </c>
      <c r="D546" s="411">
        <v>53.2</v>
      </c>
      <c r="E546" s="418">
        <f t="shared" si="81"/>
        <v>-2.9985007496251548E-3</v>
      </c>
      <c r="F546" s="411">
        <v>2893.06</v>
      </c>
      <c r="G546" s="418">
        <f t="shared" si="82"/>
        <v>-1.5560826054260457E-2</v>
      </c>
      <c r="H546" s="411">
        <v>53.2</v>
      </c>
      <c r="I546" s="418">
        <f t="shared" si="83"/>
        <v>-2.9985007496251548E-3</v>
      </c>
      <c r="J546" s="411">
        <v>2893.06</v>
      </c>
      <c r="K546" s="418">
        <f t="shared" si="84"/>
        <v>-1.5560826054260457E-2</v>
      </c>
      <c r="L546" s="411">
        <v>53.2</v>
      </c>
      <c r="M546" s="418">
        <f t="shared" si="85"/>
        <v>-2.9985007496251548E-3</v>
      </c>
      <c r="N546" s="411"/>
      <c r="O546" s="388"/>
      <c r="Q546" s="388"/>
    </row>
    <row r="547" spans="1:17">
      <c r="A547" s="408">
        <v>43745</v>
      </c>
      <c r="B547" s="411">
        <v>2938.79</v>
      </c>
      <c r="C547" s="418">
        <f t="shared" si="80"/>
        <v>-4.4783046127893078E-3</v>
      </c>
      <c r="D547" s="411">
        <v>53.36</v>
      </c>
      <c r="E547" s="418">
        <f t="shared" si="81"/>
        <v>-8.3627578517004864E-3</v>
      </c>
      <c r="F547" s="411">
        <v>2938.79</v>
      </c>
      <c r="G547" s="418">
        <f t="shared" si="82"/>
        <v>-4.4783046127893078E-3</v>
      </c>
      <c r="H547" s="411">
        <v>53.36</v>
      </c>
      <c r="I547" s="418">
        <f t="shared" si="83"/>
        <v>-8.3627578517004864E-3</v>
      </c>
      <c r="J547" s="411">
        <v>2938.79</v>
      </c>
      <c r="K547" s="418">
        <f t="shared" si="84"/>
        <v>-4.4783046127893078E-3</v>
      </c>
      <c r="L547" s="411">
        <v>53.36</v>
      </c>
      <c r="M547" s="418">
        <f t="shared" si="85"/>
        <v>-8.3627578517004864E-3</v>
      </c>
      <c r="N547" s="411"/>
      <c r="O547" s="388"/>
      <c r="Q547" s="388"/>
    </row>
    <row r="548" spans="1:17">
      <c r="A548" s="408">
        <v>43742</v>
      </c>
      <c r="B548" s="411">
        <v>2952.01</v>
      </c>
      <c r="C548" s="418">
        <f t="shared" si="80"/>
        <v>1.4216853396000317E-2</v>
      </c>
      <c r="D548" s="411">
        <v>53.81</v>
      </c>
      <c r="E548" s="418">
        <f t="shared" si="81"/>
        <v>1.8550066250236696E-2</v>
      </c>
      <c r="F548" s="411">
        <v>2952.01</v>
      </c>
      <c r="G548" s="418">
        <f t="shared" si="82"/>
        <v>1.4216853396000317E-2</v>
      </c>
      <c r="H548" s="411">
        <v>53.81</v>
      </c>
      <c r="I548" s="418">
        <f t="shared" si="83"/>
        <v>1.8550066250236696E-2</v>
      </c>
      <c r="J548" s="411">
        <v>2952.01</v>
      </c>
      <c r="K548" s="418">
        <f t="shared" si="84"/>
        <v>1.4216853396000317E-2</v>
      </c>
      <c r="L548" s="411">
        <v>53.81</v>
      </c>
      <c r="M548" s="418">
        <f t="shared" si="85"/>
        <v>1.8550066250236696E-2</v>
      </c>
      <c r="N548" s="411"/>
      <c r="O548" s="388"/>
      <c r="Q548" s="388"/>
    </row>
    <row r="549" spans="1:17">
      <c r="A549" s="408">
        <v>43741</v>
      </c>
      <c r="B549" s="411">
        <v>2910.63</v>
      </c>
      <c r="C549" s="418">
        <f t="shared" si="80"/>
        <v>7.9719906774113891E-3</v>
      </c>
      <c r="D549" s="411">
        <v>52.83</v>
      </c>
      <c r="E549" s="418">
        <f t="shared" si="81"/>
        <v>-2.7966881324747117E-2</v>
      </c>
      <c r="F549" s="411">
        <v>2910.63</v>
      </c>
      <c r="G549" s="418">
        <f t="shared" si="82"/>
        <v>7.9719906774113891E-3</v>
      </c>
      <c r="H549" s="411">
        <v>52.83</v>
      </c>
      <c r="I549" s="418">
        <f t="shared" si="83"/>
        <v>-2.7966881324747117E-2</v>
      </c>
      <c r="J549" s="411">
        <v>2910.63</v>
      </c>
      <c r="K549" s="418">
        <f t="shared" si="84"/>
        <v>7.9719906774113891E-3</v>
      </c>
      <c r="L549" s="411">
        <v>52.83</v>
      </c>
      <c r="M549" s="418">
        <f t="shared" si="85"/>
        <v>-2.7966881324747117E-2</v>
      </c>
      <c r="N549" s="411"/>
      <c r="O549" s="388"/>
      <c r="Q549" s="388"/>
    </row>
    <row r="550" spans="1:17">
      <c r="A550" s="408">
        <v>43740</v>
      </c>
      <c r="B550" s="411">
        <v>2887.61</v>
      </c>
      <c r="C550" s="418">
        <f t="shared" si="80"/>
        <v>-1.7903239520448921E-2</v>
      </c>
      <c r="D550" s="411">
        <v>54.35</v>
      </c>
      <c r="E550" s="418">
        <f t="shared" si="81"/>
        <v>-4.6658480968251093E-2</v>
      </c>
      <c r="F550" s="411">
        <v>2887.61</v>
      </c>
      <c r="G550" s="418">
        <f t="shared" si="82"/>
        <v>-1.7903239520448921E-2</v>
      </c>
      <c r="H550" s="411">
        <v>54.35</v>
      </c>
      <c r="I550" s="418">
        <f t="shared" si="83"/>
        <v>-4.6658480968251093E-2</v>
      </c>
      <c r="J550" s="411">
        <v>2887.61</v>
      </c>
      <c r="K550" s="418">
        <f t="shared" si="84"/>
        <v>-1.7903239520448921E-2</v>
      </c>
      <c r="L550" s="411">
        <v>54.35</v>
      </c>
      <c r="M550" s="418">
        <f t="shared" si="85"/>
        <v>-4.6658480968251093E-2</v>
      </c>
      <c r="N550" s="411"/>
      <c r="O550" s="388"/>
      <c r="Q550" s="388"/>
    </row>
    <row r="551" spans="1:17">
      <c r="A551" s="408">
        <v>43739</v>
      </c>
      <c r="B551" s="411">
        <v>2940.25</v>
      </c>
      <c r="C551" s="418">
        <f t="shared" si="80"/>
        <v>-1.2258376613342059E-2</v>
      </c>
      <c r="D551" s="411">
        <v>57.01</v>
      </c>
      <c r="E551" s="418">
        <f t="shared" si="81"/>
        <v>-1.0243055555555602E-2</v>
      </c>
      <c r="F551" s="411">
        <v>2940.25</v>
      </c>
      <c r="G551" s="418">
        <f t="shared" si="82"/>
        <v>-1.2258376613342059E-2</v>
      </c>
      <c r="H551" s="411">
        <v>57.01</v>
      </c>
      <c r="I551" s="418">
        <f t="shared" si="83"/>
        <v>-1.0243055555555602E-2</v>
      </c>
      <c r="J551" s="411">
        <v>2940.25</v>
      </c>
      <c r="K551" s="418">
        <f t="shared" si="84"/>
        <v>-1.2258376613342059E-2</v>
      </c>
      <c r="L551" s="411">
        <v>57.01</v>
      </c>
      <c r="M551" s="418">
        <f t="shared" si="85"/>
        <v>-1.0243055555555602E-2</v>
      </c>
      <c r="N551" s="411"/>
      <c r="O551" s="388"/>
      <c r="Q551" s="388"/>
    </row>
    <row r="552" spans="1:17">
      <c r="A552" s="408">
        <v>43738</v>
      </c>
      <c r="B552" s="411">
        <v>2976.74</v>
      </c>
      <c r="C552" s="418">
        <f t="shared" si="80"/>
        <v>5.0476232278453548E-3</v>
      </c>
      <c r="D552" s="411">
        <v>57.6</v>
      </c>
      <c r="E552" s="418">
        <f t="shared" si="81"/>
        <v>-1.1667810569663706E-2</v>
      </c>
      <c r="F552" s="411">
        <v>2976.74</v>
      </c>
      <c r="G552" s="418">
        <f t="shared" si="82"/>
        <v>5.0476232278453548E-3</v>
      </c>
      <c r="H552" s="411">
        <v>57.6</v>
      </c>
      <c r="I552" s="418">
        <f t="shared" si="83"/>
        <v>-1.1667810569663706E-2</v>
      </c>
      <c r="J552" s="411">
        <v>2976.74</v>
      </c>
      <c r="K552" s="418">
        <f t="shared" si="84"/>
        <v>5.0476232278453548E-3</v>
      </c>
      <c r="L552" s="411">
        <v>57.6</v>
      </c>
      <c r="M552" s="418">
        <f t="shared" si="85"/>
        <v>-1.1667810569663706E-2</v>
      </c>
      <c r="N552" s="411"/>
      <c r="O552" s="388"/>
      <c r="Q552" s="388"/>
    </row>
    <row r="553" spans="1:17">
      <c r="A553" s="408">
        <v>43735</v>
      </c>
      <c r="B553" s="411">
        <v>2961.79</v>
      </c>
      <c r="C553" s="418">
        <f t="shared" si="80"/>
        <v>-5.316326462073695E-3</v>
      </c>
      <c r="D553" s="411">
        <v>58.28</v>
      </c>
      <c r="E553" s="418">
        <f t="shared" si="81"/>
        <v>-8.5062946580469756E-3</v>
      </c>
      <c r="F553" s="411">
        <v>2961.79</v>
      </c>
      <c r="G553" s="418">
        <f t="shared" si="82"/>
        <v>-5.316326462073695E-3</v>
      </c>
      <c r="H553" s="411">
        <v>58.28</v>
      </c>
      <c r="I553" s="418">
        <f t="shared" si="83"/>
        <v>-8.5062946580469756E-3</v>
      </c>
      <c r="J553" s="411">
        <v>2961.79</v>
      </c>
      <c r="K553" s="418">
        <f t="shared" si="84"/>
        <v>-5.316326462073695E-3</v>
      </c>
      <c r="L553" s="411">
        <v>58.28</v>
      </c>
      <c r="M553" s="418">
        <f t="shared" si="85"/>
        <v>-8.5062946580469756E-3</v>
      </c>
      <c r="N553" s="411"/>
      <c r="O553" s="388"/>
      <c r="Q553" s="388"/>
    </row>
    <row r="554" spans="1:17">
      <c r="A554" s="408">
        <v>43734</v>
      </c>
      <c r="B554" s="411">
        <v>2977.62</v>
      </c>
      <c r="C554" s="418">
        <f t="shared" si="80"/>
        <v>-2.4289165022262083E-3</v>
      </c>
      <c r="D554" s="411">
        <v>58.78</v>
      </c>
      <c r="E554" s="418">
        <f t="shared" si="81"/>
        <v>8.0603670039445241E-3</v>
      </c>
      <c r="F554" s="411">
        <v>2977.62</v>
      </c>
      <c r="G554" s="418">
        <f t="shared" si="82"/>
        <v>-2.4289165022262083E-3</v>
      </c>
      <c r="H554" s="411">
        <v>58.78</v>
      </c>
      <c r="I554" s="418">
        <f t="shared" si="83"/>
        <v>8.0603670039445241E-3</v>
      </c>
      <c r="J554" s="411">
        <v>2977.62</v>
      </c>
      <c r="K554" s="418">
        <f t="shared" si="84"/>
        <v>-2.4289165022262083E-3</v>
      </c>
      <c r="L554" s="411">
        <v>58.78</v>
      </c>
      <c r="M554" s="418">
        <f t="shared" si="85"/>
        <v>8.0603670039445241E-3</v>
      </c>
      <c r="N554" s="411"/>
      <c r="O554" s="388"/>
      <c r="Q554" s="388"/>
    </row>
    <row r="555" spans="1:17">
      <c r="A555" s="408">
        <v>43733</v>
      </c>
      <c r="B555" s="411">
        <v>2984.87</v>
      </c>
      <c r="C555" s="418">
        <f t="shared" si="80"/>
        <v>6.1585653610194413E-3</v>
      </c>
      <c r="D555" s="411">
        <v>58.31</v>
      </c>
      <c r="E555" s="418">
        <f t="shared" si="81"/>
        <v>5.3448275862069128E-3</v>
      </c>
      <c r="F555" s="411">
        <v>2984.87</v>
      </c>
      <c r="G555" s="418">
        <f t="shared" si="82"/>
        <v>6.1585653610194413E-3</v>
      </c>
      <c r="H555" s="411">
        <v>58.31</v>
      </c>
      <c r="I555" s="418">
        <f t="shared" si="83"/>
        <v>5.3448275862069128E-3</v>
      </c>
      <c r="J555" s="411">
        <v>2984.87</v>
      </c>
      <c r="K555" s="418">
        <f t="shared" si="84"/>
        <v>6.1585653610194413E-3</v>
      </c>
      <c r="L555" s="411">
        <v>58.31</v>
      </c>
      <c r="M555" s="418">
        <f t="shared" si="85"/>
        <v>5.3448275862069128E-3</v>
      </c>
      <c r="N555" s="411"/>
      <c r="O555" s="388"/>
      <c r="Q555" s="388"/>
    </row>
    <row r="556" spans="1:17">
      <c r="A556" s="408">
        <v>43732</v>
      </c>
      <c r="B556" s="411">
        <v>2966.6</v>
      </c>
      <c r="C556" s="418">
        <f t="shared" si="80"/>
        <v>-8.4163942535883107E-3</v>
      </c>
      <c r="D556" s="411">
        <v>58</v>
      </c>
      <c r="E556" s="418">
        <f t="shared" si="81"/>
        <v>-3.4470872113068207E-4</v>
      </c>
      <c r="F556" s="411">
        <v>2966.6</v>
      </c>
      <c r="G556" s="418">
        <f t="shared" si="82"/>
        <v>-8.4163942535883107E-3</v>
      </c>
      <c r="H556" s="411">
        <v>58</v>
      </c>
      <c r="I556" s="418">
        <f t="shared" si="83"/>
        <v>-3.4470872113068207E-4</v>
      </c>
      <c r="J556" s="411">
        <v>2966.6</v>
      </c>
      <c r="K556" s="418">
        <f t="shared" si="84"/>
        <v>-8.4163942535883107E-3</v>
      </c>
      <c r="L556" s="411">
        <v>58</v>
      </c>
      <c r="M556" s="418">
        <f t="shared" si="85"/>
        <v>-3.4470872113068207E-4</v>
      </c>
      <c r="N556" s="411"/>
      <c r="O556" s="388"/>
      <c r="Q556" s="388"/>
    </row>
    <row r="557" spans="1:17">
      <c r="A557" s="408">
        <v>43731</v>
      </c>
      <c r="B557" s="411">
        <v>2991.78</v>
      </c>
      <c r="C557" s="418">
        <f t="shared" si="80"/>
        <v>-9.6922866109405703E-5</v>
      </c>
      <c r="D557" s="411">
        <v>58.02</v>
      </c>
      <c r="E557" s="418">
        <f t="shared" si="81"/>
        <v>-1.0404229916424979E-2</v>
      </c>
      <c r="F557" s="411">
        <v>2991.78</v>
      </c>
      <c r="G557" s="418">
        <f t="shared" si="82"/>
        <v>-9.6922866109405703E-5</v>
      </c>
      <c r="H557" s="411">
        <v>58.02</v>
      </c>
      <c r="I557" s="418">
        <f t="shared" si="83"/>
        <v>-1.0404229916424979E-2</v>
      </c>
      <c r="J557" s="411">
        <v>2991.78</v>
      </c>
      <c r="K557" s="418">
        <f t="shared" si="84"/>
        <v>-9.6922866109405703E-5</v>
      </c>
      <c r="L557" s="411">
        <v>58.02</v>
      </c>
      <c r="M557" s="418">
        <f t="shared" si="85"/>
        <v>-1.0404229916424979E-2</v>
      </c>
      <c r="N557" s="411"/>
      <c r="O557" s="388"/>
      <c r="Q557" s="388"/>
    </row>
    <row r="558" spans="1:17">
      <c r="A558" s="408">
        <v>43728</v>
      </c>
      <c r="B558" s="411">
        <v>2992.07</v>
      </c>
      <c r="C558" s="418">
        <f t="shared" si="80"/>
        <v>-4.895586322955614E-3</v>
      </c>
      <c r="D558" s="411">
        <v>58.63</v>
      </c>
      <c r="E558" s="418">
        <f t="shared" si="81"/>
        <v>-1.0223206679160768E-3</v>
      </c>
      <c r="F558" s="411">
        <v>2992.07</v>
      </c>
      <c r="G558" s="418">
        <f t="shared" si="82"/>
        <v>-4.895586322955614E-3</v>
      </c>
      <c r="H558" s="411">
        <v>58.63</v>
      </c>
      <c r="I558" s="418">
        <f t="shared" si="83"/>
        <v>-1.0223206679160768E-3</v>
      </c>
      <c r="J558" s="411">
        <v>2992.07</v>
      </c>
      <c r="K558" s="418">
        <f t="shared" si="84"/>
        <v>-4.895586322955614E-3</v>
      </c>
      <c r="L558" s="411">
        <v>58.63</v>
      </c>
      <c r="M558" s="418">
        <f t="shared" si="85"/>
        <v>-1.0223206679160768E-3</v>
      </c>
      <c r="N558" s="411"/>
      <c r="O558" s="388"/>
      <c r="Q558" s="388"/>
    </row>
    <row r="559" spans="1:17">
      <c r="A559" s="408">
        <v>43727</v>
      </c>
      <c r="B559" s="411">
        <v>3006.79</v>
      </c>
      <c r="C559" s="418">
        <f t="shared" si="80"/>
        <v>1.9955233758972568E-5</v>
      </c>
      <c r="D559" s="411">
        <v>58.69</v>
      </c>
      <c r="E559" s="418">
        <f t="shared" si="81"/>
        <v>-1.0453549148541685E-2</v>
      </c>
      <c r="F559" s="411">
        <v>3006.79</v>
      </c>
      <c r="G559" s="418">
        <f t="shared" si="82"/>
        <v>1.9955233758972568E-5</v>
      </c>
      <c r="H559" s="411">
        <v>58.69</v>
      </c>
      <c r="I559" s="418">
        <f t="shared" si="83"/>
        <v>-1.0453549148541685E-2</v>
      </c>
      <c r="J559" s="411">
        <v>3006.79</v>
      </c>
      <c r="K559" s="418">
        <f t="shared" si="84"/>
        <v>1.9955233758972568E-5</v>
      </c>
      <c r="L559" s="411">
        <v>58.69</v>
      </c>
      <c r="M559" s="418">
        <f t="shared" si="85"/>
        <v>-1.0453549148541685E-2</v>
      </c>
      <c r="N559" s="411"/>
      <c r="O559" s="388"/>
      <c r="Q559" s="388"/>
    </row>
    <row r="560" spans="1:17">
      <c r="A560" s="408">
        <v>43726</v>
      </c>
      <c r="B560" s="411">
        <v>3006.73</v>
      </c>
      <c r="C560" s="418">
        <f t="shared" si="80"/>
        <v>3.4268223708289192E-4</v>
      </c>
      <c r="D560" s="411">
        <v>59.31</v>
      </c>
      <c r="E560" s="418">
        <f t="shared" si="81"/>
        <v>-1.0106114199089911E-3</v>
      </c>
      <c r="F560" s="411">
        <v>3006.73</v>
      </c>
      <c r="G560" s="418">
        <f t="shared" si="82"/>
        <v>3.4268223708289192E-4</v>
      </c>
      <c r="H560" s="411">
        <v>59.31</v>
      </c>
      <c r="I560" s="418">
        <f t="shared" si="83"/>
        <v>-1.0106114199089911E-3</v>
      </c>
      <c r="J560" s="411">
        <v>3006.73</v>
      </c>
      <c r="K560" s="418">
        <f t="shared" si="84"/>
        <v>3.4268223708289192E-4</v>
      </c>
      <c r="L560" s="411">
        <v>59.31</v>
      </c>
      <c r="M560" s="418">
        <f t="shared" si="85"/>
        <v>-1.0106114199089911E-3</v>
      </c>
      <c r="N560" s="411"/>
      <c r="O560" s="388"/>
      <c r="Q560" s="388"/>
    </row>
    <row r="561" spans="1:17">
      <c r="A561" s="408">
        <v>43725</v>
      </c>
      <c r="B561" s="411">
        <v>3005.7</v>
      </c>
      <c r="C561" s="418">
        <f t="shared" si="80"/>
        <v>2.5817555938036918E-3</v>
      </c>
      <c r="D561" s="411">
        <v>59.37</v>
      </c>
      <c r="E561" s="418">
        <f t="shared" si="81"/>
        <v>5.0787201625190903E-3</v>
      </c>
      <c r="F561" s="411">
        <v>3005.7</v>
      </c>
      <c r="G561" s="418">
        <f t="shared" si="82"/>
        <v>2.5817555938036918E-3</v>
      </c>
      <c r="H561" s="411">
        <v>59.37</v>
      </c>
      <c r="I561" s="418">
        <f t="shared" si="83"/>
        <v>5.0787201625190903E-3</v>
      </c>
      <c r="J561" s="411">
        <v>3005.7</v>
      </c>
      <c r="K561" s="418">
        <f t="shared" si="84"/>
        <v>2.5817555938036918E-3</v>
      </c>
      <c r="L561" s="411">
        <v>59.37</v>
      </c>
      <c r="M561" s="418">
        <f t="shared" si="85"/>
        <v>5.0787201625190903E-3</v>
      </c>
      <c r="N561" s="411"/>
      <c r="O561" s="388"/>
      <c r="Q561" s="388"/>
    </row>
    <row r="562" spans="1:17">
      <c r="A562" s="408">
        <v>43724</v>
      </c>
      <c r="B562" s="411">
        <v>2997.96</v>
      </c>
      <c r="C562" s="418">
        <f t="shared" si="80"/>
        <v>-3.1356092824674775E-3</v>
      </c>
      <c r="D562" s="411">
        <v>59.07</v>
      </c>
      <c r="E562" s="418">
        <f t="shared" si="81"/>
        <v>-1.5664055990668224E-2</v>
      </c>
      <c r="F562" s="411">
        <v>2997.96</v>
      </c>
      <c r="G562" s="418">
        <f t="shared" si="82"/>
        <v>-3.1356092824674775E-3</v>
      </c>
      <c r="H562" s="411">
        <v>59.07</v>
      </c>
      <c r="I562" s="418">
        <f t="shared" si="83"/>
        <v>-1.5664055990668224E-2</v>
      </c>
      <c r="J562" s="411">
        <v>2997.96</v>
      </c>
      <c r="K562" s="418">
        <f t="shared" si="84"/>
        <v>-3.1356092824674775E-3</v>
      </c>
      <c r="L562" s="411">
        <v>59.07</v>
      </c>
      <c r="M562" s="418">
        <f t="shared" si="85"/>
        <v>-1.5664055990668224E-2</v>
      </c>
      <c r="N562" s="411"/>
      <c r="O562" s="388"/>
      <c r="Q562" s="388"/>
    </row>
    <row r="563" spans="1:17">
      <c r="A563" s="408">
        <v>43721</v>
      </c>
      <c r="B563" s="411">
        <v>3007.39</v>
      </c>
      <c r="C563" s="418">
        <f t="shared" si="80"/>
        <v>-7.2435597111886185E-4</v>
      </c>
      <c r="D563" s="411">
        <v>60.01</v>
      </c>
      <c r="E563" s="418">
        <f t="shared" si="81"/>
        <v>9.5895020188425661E-3</v>
      </c>
      <c r="F563" s="411">
        <v>3007.39</v>
      </c>
      <c r="G563" s="418">
        <f t="shared" si="82"/>
        <v>-7.2435597111886185E-4</v>
      </c>
      <c r="H563" s="411">
        <v>60.01</v>
      </c>
      <c r="I563" s="418">
        <f t="shared" si="83"/>
        <v>9.5895020188425661E-3</v>
      </c>
      <c r="J563" s="411">
        <v>3007.39</v>
      </c>
      <c r="K563" s="418">
        <f t="shared" si="84"/>
        <v>-7.2435597111886185E-4</v>
      </c>
      <c r="L563" s="411">
        <v>60.01</v>
      </c>
      <c r="M563" s="418">
        <f t="shared" si="85"/>
        <v>9.5895020188425661E-3</v>
      </c>
      <c r="N563" s="411"/>
      <c r="O563" s="388"/>
      <c r="Q563" s="388"/>
    </row>
    <row r="564" spans="1:17">
      <c r="A564" s="408">
        <v>43720</v>
      </c>
      <c r="B564" s="411">
        <v>3009.57</v>
      </c>
      <c r="C564" s="418">
        <f t="shared" si="80"/>
        <v>2.8791074766822966E-3</v>
      </c>
      <c r="D564" s="411">
        <v>59.44</v>
      </c>
      <c r="E564" s="418">
        <f t="shared" si="81"/>
        <v>1.1228308948621812E-2</v>
      </c>
      <c r="F564" s="411">
        <v>3009.57</v>
      </c>
      <c r="G564" s="418">
        <f t="shared" si="82"/>
        <v>2.8791074766822966E-3</v>
      </c>
      <c r="H564" s="411">
        <v>59.44</v>
      </c>
      <c r="I564" s="418">
        <f t="shared" si="83"/>
        <v>1.1228308948621812E-2</v>
      </c>
      <c r="J564" s="411">
        <v>3009.57</v>
      </c>
      <c r="K564" s="418">
        <f t="shared" si="84"/>
        <v>2.8791074766822966E-3</v>
      </c>
      <c r="L564" s="411">
        <v>59.44</v>
      </c>
      <c r="M564" s="418">
        <f t="shared" si="85"/>
        <v>1.1228308948621812E-2</v>
      </c>
      <c r="N564" s="411"/>
      <c r="O564" s="388"/>
      <c r="Q564" s="388"/>
    </row>
    <row r="565" spans="1:17">
      <c r="A565" s="408">
        <v>43719</v>
      </c>
      <c r="B565" s="411">
        <v>3000.93</v>
      </c>
      <c r="C565" s="418">
        <f t="shared" si="80"/>
        <v>7.2296678179091245E-3</v>
      </c>
      <c r="D565" s="411">
        <v>58.78</v>
      </c>
      <c r="E565" s="418">
        <f t="shared" si="81"/>
        <v>2.3874488403821115E-3</v>
      </c>
      <c r="F565" s="411">
        <v>3000.93</v>
      </c>
      <c r="G565" s="418">
        <f t="shared" si="82"/>
        <v>7.2296678179091245E-3</v>
      </c>
      <c r="H565" s="411">
        <v>58.78</v>
      </c>
      <c r="I565" s="418">
        <f t="shared" si="83"/>
        <v>2.3874488403821115E-3</v>
      </c>
      <c r="J565" s="411">
        <v>3000.93</v>
      </c>
      <c r="K565" s="418">
        <f t="shared" si="84"/>
        <v>7.2296678179091245E-3</v>
      </c>
      <c r="L565" s="411">
        <v>58.78</v>
      </c>
      <c r="M565" s="418">
        <f t="shared" si="85"/>
        <v>2.3874488403821115E-3</v>
      </c>
      <c r="N565" s="411"/>
      <c r="O565" s="388"/>
      <c r="Q565" s="388"/>
    </row>
    <row r="566" spans="1:17">
      <c r="A566" s="408">
        <v>43718</v>
      </c>
      <c r="B566" s="411">
        <v>2979.39</v>
      </c>
      <c r="C566" s="418">
        <f t="shared" si="80"/>
        <v>3.2231746255573235E-4</v>
      </c>
      <c r="D566" s="411">
        <v>58.64</v>
      </c>
      <c r="E566" s="418">
        <f t="shared" si="81"/>
        <v>9.1206332817070912E-3</v>
      </c>
      <c r="F566" s="411">
        <v>2979.39</v>
      </c>
      <c r="G566" s="418">
        <f t="shared" si="82"/>
        <v>3.2231746255573235E-4</v>
      </c>
      <c r="H566" s="411">
        <v>58.64</v>
      </c>
      <c r="I566" s="418">
        <f t="shared" si="83"/>
        <v>9.1206332817070912E-3</v>
      </c>
      <c r="J566" s="411">
        <v>2979.39</v>
      </c>
      <c r="K566" s="418">
        <f t="shared" si="84"/>
        <v>3.2231746255573235E-4</v>
      </c>
      <c r="L566" s="411">
        <v>58.64</v>
      </c>
      <c r="M566" s="418">
        <f t="shared" si="85"/>
        <v>9.1206332817070912E-3</v>
      </c>
      <c r="N566" s="411"/>
      <c r="O566" s="388"/>
      <c r="Q566" s="388"/>
    </row>
    <row r="567" spans="1:17">
      <c r="A567" s="408">
        <v>43717</v>
      </c>
      <c r="B567" s="411">
        <v>2978.43</v>
      </c>
      <c r="C567" s="418">
        <f t="shared" si="80"/>
        <v>-9.4000423002005284E-5</v>
      </c>
      <c r="D567" s="411">
        <v>58.11</v>
      </c>
      <c r="E567" s="418">
        <f t="shared" si="81"/>
        <v>2.2421524663678305E-3</v>
      </c>
      <c r="F567" s="411">
        <v>2978.43</v>
      </c>
      <c r="G567" s="418">
        <f t="shared" si="82"/>
        <v>-9.4000423002005284E-5</v>
      </c>
      <c r="H567" s="411">
        <v>58.11</v>
      </c>
      <c r="I567" s="418">
        <f t="shared" si="83"/>
        <v>2.2421524663678305E-3</v>
      </c>
      <c r="J567" s="411">
        <v>2978.43</v>
      </c>
      <c r="K567" s="418">
        <f t="shared" si="84"/>
        <v>-9.4000423002005284E-5</v>
      </c>
      <c r="L567" s="411">
        <v>58.11</v>
      </c>
      <c r="M567" s="418">
        <f t="shared" si="85"/>
        <v>2.2421524663678305E-3</v>
      </c>
      <c r="N567" s="411"/>
      <c r="O567" s="388"/>
      <c r="Q567" s="388"/>
    </row>
    <row r="568" spans="1:17">
      <c r="A568" s="408">
        <v>43714</v>
      </c>
      <c r="B568" s="411">
        <v>2978.71</v>
      </c>
      <c r="C568" s="418">
        <f t="shared" si="80"/>
        <v>9.1061827956995245E-4</v>
      </c>
      <c r="D568" s="411">
        <v>57.98</v>
      </c>
      <c r="E568" s="418">
        <f t="shared" si="81"/>
        <v>-3.6088675030073736E-3</v>
      </c>
      <c r="F568" s="411">
        <v>2978.71</v>
      </c>
      <c r="G568" s="418">
        <f t="shared" si="82"/>
        <v>9.1061827956995245E-4</v>
      </c>
      <c r="H568" s="411">
        <v>57.98</v>
      </c>
      <c r="I568" s="418">
        <f t="shared" si="83"/>
        <v>-3.6088675030073736E-3</v>
      </c>
      <c r="J568" s="411">
        <v>2978.71</v>
      </c>
      <c r="K568" s="418">
        <f t="shared" si="84"/>
        <v>9.1061827956995245E-4</v>
      </c>
      <c r="L568" s="411">
        <v>57.98</v>
      </c>
      <c r="M568" s="418">
        <f t="shared" si="85"/>
        <v>-3.6088675030073736E-3</v>
      </c>
      <c r="N568" s="411"/>
      <c r="O568" s="388"/>
      <c r="Q568" s="388"/>
    </row>
    <row r="569" spans="1:17">
      <c r="A569" s="408">
        <v>43713</v>
      </c>
      <c r="B569" s="411">
        <v>2976</v>
      </c>
      <c r="C569" s="418">
        <f t="shared" si="80"/>
        <v>1.3009823744460025E-2</v>
      </c>
      <c r="D569" s="411">
        <v>58.19</v>
      </c>
      <c r="E569" s="418">
        <f t="shared" si="81"/>
        <v>1.6774419011008179E-2</v>
      </c>
      <c r="F569" s="411">
        <v>2976</v>
      </c>
      <c r="G569" s="418">
        <f t="shared" si="82"/>
        <v>1.3009823744460025E-2</v>
      </c>
      <c r="H569" s="411">
        <v>58.19</v>
      </c>
      <c r="I569" s="418">
        <f t="shared" si="83"/>
        <v>1.6774419011008179E-2</v>
      </c>
      <c r="J569" s="411">
        <v>2976</v>
      </c>
      <c r="K569" s="418">
        <f t="shared" si="84"/>
        <v>1.3009823744460025E-2</v>
      </c>
      <c r="L569" s="411">
        <v>58.19</v>
      </c>
      <c r="M569" s="418">
        <f t="shared" si="85"/>
        <v>1.6774419011008179E-2</v>
      </c>
      <c r="N569" s="411"/>
      <c r="O569" s="388"/>
      <c r="Q569" s="388"/>
    </row>
    <row r="570" spans="1:17">
      <c r="A570" s="408">
        <v>43712</v>
      </c>
      <c r="B570" s="411">
        <v>2937.78</v>
      </c>
      <c r="C570" s="418">
        <f t="shared" si="80"/>
        <v>1.0842075925499017E-2</v>
      </c>
      <c r="D570" s="411">
        <v>57.23</v>
      </c>
      <c r="E570" s="418">
        <f t="shared" si="81"/>
        <v>-1.0473031942748179E-3</v>
      </c>
      <c r="F570" s="411">
        <v>2937.78</v>
      </c>
      <c r="G570" s="418">
        <f t="shared" si="82"/>
        <v>1.0842075925499017E-2</v>
      </c>
      <c r="H570" s="411">
        <v>57.23</v>
      </c>
      <c r="I570" s="418">
        <f t="shared" si="83"/>
        <v>-1.0473031942748179E-3</v>
      </c>
      <c r="J570" s="411">
        <v>2937.78</v>
      </c>
      <c r="K570" s="418">
        <f t="shared" si="84"/>
        <v>1.0842075925499017E-2</v>
      </c>
      <c r="L570" s="411">
        <v>57.23</v>
      </c>
      <c r="M570" s="418">
        <f t="shared" si="85"/>
        <v>-1.0473031942748179E-3</v>
      </c>
      <c r="N570" s="411"/>
      <c r="O570" s="388"/>
      <c r="Q570" s="388"/>
    </row>
    <row r="571" spans="1:17">
      <c r="A571" s="408">
        <v>43711</v>
      </c>
      <c r="B571" s="411">
        <v>2906.27</v>
      </c>
      <c r="C571" s="418">
        <f t="shared" si="80"/>
        <v>-6.8991204390287386E-3</v>
      </c>
      <c r="D571" s="411">
        <v>57.29</v>
      </c>
      <c r="E571" s="418">
        <f t="shared" si="81"/>
        <v>-9.8513653646733479E-3</v>
      </c>
      <c r="F571" s="411">
        <v>2906.27</v>
      </c>
      <c r="G571" s="418">
        <f t="shared" si="82"/>
        <v>-6.8991204390287386E-3</v>
      </c>
      <c r="H571" s="411">
        <v>57.29</v>
      </c>
      <c r="I571" s="418">
        <f t="shared" si="83"/>
        <v>-9.8513653646733479E-3</v>
      </c>
      <c r="J571" s="411">
        <v>2906.27</v>
      </c>
      <c r="K571" s="418">
        <f t="shared" si="84"/>
        <v>-6.8991204390287386E-3</v>
      </c>
      <c r="L571" s="411">
        <v>57.29</v>
      </c>
      <c r="M571" s="418">
        <f t="shared" si="85"/>
        <v>-9.8513653646733479E-3</v>
      </c>
      <c r="N571" s="411"/>
      <c r="O571" s="388"/>
      <c r="Q571" s="388"/>
    </row>
    <row r="572" spans="1:17">
      <c r="A572" s="408">
        <v>43707</v>
      </c>
      <c r="B572" s="411">
        <v>2926.46</v>
      </c>
      <c r="C572" s="418">
        <f t="shared" si="80"/>
        <v>6.4282734614895531E-4</v>
      </c>
      <c r="D572" s="411">
        <v>57.86</v>
      </c>
      <c r="E572" s="418">
        <f t="shared" si="81"/>
        <v>-3.4554250172780243E-4</v>
      </c>
      <c r="F572" s="411">
        <v>2926.46</v>
      </c>
      <c r="G572" s="418">
        <f t="shared" si="82"/>
        <v>6.4282734614895531E-4</v>
      </c>
      <c r="H572" s="411">
        <v>57.86</v>
      </c>
      <c r="I572" s="418">
        <f t="shared" si="83"/>
        <v>-3.4554250172780243E-4</v>
      </c>
      <c r="J572" s="411">
        <v>2926.46</v>
      </c>
      <c r="K572" s="418">
        <f t="shared" si="84"/>
        <v>6.4282734614895531E-4</v>
      </c>
      <c r="L572" s="411">
        <v>57.86</v>
      </c>
      <c r="M572" s="418">
        <f t="shared" si="85"/>
        <v>-3.4554250172780243E-4</v>
      </c>
      <c r="N572" s="411"/>
      <c r="O572" s="388"/>
      <c r="Q572" s="388"/>
    </row>
    <row r="573" spans="1:17">
      <c r="A573" s="408">
        <v>43706</v>
      </c>
      <c r="B573" s="411">
        <v>2924.58</v>
      </c>
      <c r="C573" s="418">
        <f t="shared" si="80"/>
        <v>1.2687244194824032E-2</v>
      </c>
      <c r="D573" s="411">
        <v>57.88</v>
      </c>
      <c r="E573" s="418">
        <f t="shared" si="81"/>
        <v>2.117148906139743E-2</v>
      </c>
      <c r="F573" s="411">
        <v>2924.58</v>
      </c>
      <c r="G573" s="418">
        <f t="shared" si="82"/>
        <v>1.2687244194824032E-2</v>
      </c>
      <c r="H573" s="411">
        <v>57.88</v>
      </c>
      <c r="I573" s="418">
        <f t="shared" si="83"/>
        <v>2.117148906139743E-2</v>
      </c>
      <c r="J573" s="411">
        <v>2924.58</v>
      </c>
      <c r="K573" s="418">
        <f t="shared" si="84"/>
        <v>1.2687244194824032E-2</v>
      </c>
      <c r="L573" s="411">
        <v>57.88</v>
      </c>
      <c r="M573" s="418">
        <f t="shared" si="85"/>
        <v>2.117148906139743E-2</v>
      </c>
      <c r="N573" s="411"/>
      <c r="O573" s="388"/>
      <c r="Q573" s="388"/>
    </row>
    <row r="574" spans="1:17">
      <c r="A574" s="408">
        <v>43705</v>
      </c>
      <c r="B574" s="411">
        <v>2887.94</v>
      </c>
      <c r="C574" s="418">
        <f t="shared" si="80"/>
        <v>6.545469754213773E-3</v>
      </c>
      <c r="D574" s="411">
        <v>56.68</v>
      </c>
      <c r="E574" s="418">
        <f t="shared" si="81"/>
        <v>9.6188101175631591E-3</v>
      </c>
      <c r="F574" s="411">
        <v>2887.94</v>
      </c>
      <c r="G574" s="418">
        <f t="shared" si="82"/>
        <v>6.545469754213773E-3</v>
      </c>
      <c r="H574" s="411">
        <v>56.68</v>
      </c>
      <c r="I574" s="418">
        <f t="shared" si="83"/>
        <v>9.6188101175631591E-3</v>
      </c>
      <c r="J574" s="411">
        <v>2887.94</v>
      </c>
      <c r="K574" s="418">
        <f t="shared" si="84"/>
        <v>6.545469754213773E-3</v>
      </c>
      <c r="L574" s="411">
        <v>56.68</v>
      </c>
      <c r="M574" s="418">
        <f t="shared" si="85"/>
        <v>9.6188101175631591E-3</v>
      </c>
      <c r="N574" s="411"/>
      <c r="O574" s="388"/>
      <c r="Q574" s="388"/>
    </row>
    <row r="575" spans="1:17">
      <c r="A575" s="408">
        <v>43704</v>
      </c>
      <c r="B575" s="411">
        <v>2869.16</v>
      </c>
      <c r="C575" s="418">
        <f t="shared" si="80"/>
        <v>-3.2031906836484936E-3</v>
      </c>
      <c r="D575" s="411">
        <v>56.14</v>
      </c>
      <c r="E575" s="418">
        <f t="shared" si="81"/>
        <v>-2.4875621890547706E-3</v>
      </c>
      <c r="F575" s="411">
        <v>2869.16</v>
      </c>
      <c r="G575" s="418">
        <f t="shared" si="82"/>
        <v>-3.2031906836484936E-3</v>
      </c>
      <c r="H575" s="411">
        <v>56.14</v>
      </c>
      <c r="I575" s="418">
        <f t="shared" si="83"/>
        <v>-2.4875621890547706E-3</v>
      </c>
      <c r="J575" s="411">
        <v>2869.16</v>
      </c>
      <c r="K575" s="418">
        <f t="shared" si="84"/>
        <v>-3.2031906836484936E-3</v>
      </c>
      <c r="L575" s="411">
        <v>56.14</v>
      </c>
      <c r="M575" s="418">
        <f t="shared" si="85"/>
        <v>-2.4875621890547706E-3</v>
      </c>
      <c r="N575" s="411"/>
      <c r="O575" s="388"/>
      <c r="Q575" s="388"/>
    </row>
    <row r="576" spans="1:17">
      <c r="A576" s="408">
        <v>43703</v>
      </c>
      <c r="B576" s="411">
        <v>2878.38</v>
      </c>
      <c r="C576" s="418">
        <f t="shared" si="80"/>
        <v>1.0983067039910699E-2</v>
      </c>
      <c r="D576" s="411">
        <v>56.28</v>
      </c>
      <c r="E576" s="418">
        <f t="shared" si="81"/>
        <v>1.423487544483848E-3</v>
      </c>
      <c r="F576" s="411">
        <v>2878.38</v>
      </c>
      <c r="G576" s="418">
        <f t="shared" si="82"/>
        <v>1.0983067039910699E-2</v>
      </c>
      <c r="H576" s="411">
        <v>56.28</v>
      </c>
      <c r="I576" s="418">
        <f t="shared" si="83"/>
        <v>1.423487544483848E-3</v>
      </c>
      <c r="J576" s="411">
        <v>2878.38</v>
      </c>
      <c r="K576" s="418">
        <f t="shared" si="84"/>
        <v>1.0983067039910699E-2</v>
      </c>
      <c r="L576" s="411">
        <v>56.28</v>
      </c>
      <c r="M576" s="418">
        <f t="shared" si="85"/>
        <v>1.423487544483848E-3</v>
      </c>
      <c r="N576" s="411"/>
      <c r="O576" s="388"/>
      <c r="Q576" s="388"/>
    </row>
    <row r="577" spans="1:17">
      <c r="A577" s="408">
        <v>43700</v>
      </c>
      <c r="B577" s="411">
        <v>2847.11</v>
      </c>
      <c r="C577" s="418">
        <f t="shared" si="80"/>
        <v>-2.5946389777450785E-2</v>
      </c>
      <c r="D577" s="411">
        <v>56.2</v>
      </c>
      <c r="E577" s="418">
        <f t="shared" si="81"/>
        <v>-3.0365769496204287E-2</v>
      </c>
      <c r="F577" s="411">
        <v>2847.11</v>
      </c>
      <c r="G577" s="418">
        <f t="shared" si="82"/>
        <v>-2.5946389777450785E-2</v>
      </c>
      <c r="H577" s="411">
        <v>56.2</v>
      </c>
      <c r="I577" s="418">
        <f t="shared" si="83"/>
        <v>-3.0365769496204287E-2</v>
      </c>
      <c r="J577" s="411">
        <v>2847.11</v>
      </c>
      <c r="K577" s="418">
        <f t="shared" si="84"/>
        <v>-2.5946389777450785E-2</v>
      </c>
      <c r="L577" s="411">
        <v>56.2</v>
      </c>
      <c r="M577" s="418">
        <f t="shared" si="85"/>
        <v>-3.0365769496204287E-2</v>
      </c>
      <c r="N577" s="411"/>
      <c r="O577" s="388"/>
      <c r="Q577" s="388"/>
    </row>
    <row r="578" spans="1:17">
      <c r="A578" s="408">
        <v>43699</v>
      </c>
      <c r="B578" s="411">
        <v>2922.95</v>
      </c>
      <c r="C578" s="418">
        <f t="shared" si="80"/>
        <v>-5.0608152699838094E-4</v>
      </c>
      <c r="D578" s="411">
        <v>57.96</v>
      </c>
      <c r="E578" s="418">
        <f t="shared" si="81"/>
        <v>-8.6192035855880977E-4</v>
      </c>
      <c r="F578" s="411">
        <v>2922.95</v>
      </c>
      <c r="G578" s="418">
        <f t="shared" si="82"/>
        <v>-5.0608152699838094E-4</v>
      </c>
      <c r="H578" s="411">
        <v>57.96</v>
      </c>
      <c r="I578" s="418">
        <f t="shared" si="83"/>
        <v>-8.6192035855880977E-4</v>
      </c>
      <c r="J578" s="411">
        <v>2922.95</v>
      </c>
      <c r="K578" s="418">
        <f t="shared" si="84"/>
        <v>-5.0608152699838094E-4</v>
      </c>
      <c r="L578" s="411">
        <v>57.96</v>
      </c>
      <c r="M578" s="418">
        <f t="shared" si="85"/>
        <v>-8.6192035855880977E-4</v>
      </c>
      <c r="N578" s="411"/>
      <c r="O578" s="388"/>
      <c r="Q578" s="388"/>
    </row>
    <row r="579" spans="1:17">
      <c r="A579" s="408">
        <v>43698</v>
      </c>
      <c r="B579" s="411">
        <v>2924.43</v>
      </c>
      <c r="C579" s="418">
        <f t="shared" si="80"/>
        <v>8.2468255582637262E-3</v>
      </c>
      <c r="D579" s="411">
        <v>58.01</v>
      </c>
      <c r="E579" s="418">
        <f t="shared" si="81"/>
        <v>5.7212205270458227E-3</v>
      </c>
      <c r="F579" s="411">
        <v>2924.43</v>
      </c>
      <c r="G579" s="418">
        <f t="shared" si="82"/>
        <v>8.2468255582637262E-3</v>
      </c>
      <c r="H579" s="411">
        <v>58.01</v>
      </c>
      <c r="I579" s="418">
        <f t="shared" si="83"/>
        <v>5.7212205270458227E-3</v>
      </c>
      <c r="J579" s="411">
        <v>2924.43</v>
      </c>
      <c r="K579" s="418">
        <f t="shared" si="84"/>
        <v>8.2468255582637262E-3</v>
      </c>
      <c r="L579" s="411">
        <v>58.01</v>
      </c>
      <c r="M579" s="418">
        <f t="shared" si="85"/>
        <v>5.7212205270458227E-3</v>
      </c>
      <c r="N579" s="411"/>
      <c r="O579" s="388"/>
      <c r="Q579" s="388"/>
    </row>
    <row r="580" spans="1:17">
      <c r="A580" s="408">
        <v>43697</v>
      </c>
      <c r="B580" s="411">
        <v>2900.51</v>
      </c>
      <c r="C580" s="418">
        <f t="shared" si="80"/>
        <v>-7.9147640791475959E-3</v>
      </c>
      <c r="D580" s="411">
        <v>57.68</v>
      </c>
      <c r="E580" s="418">
        <f t="shared" si="81"/>
        <v>-8.7643925073036533E-3</v>
      </c>
      <c r="F580" s="411">
        <v>2900.51</v>
      </c>
      <c r="G580" s="418">
        <f t="shared" si="82"/>
        <v>-7.9147640791475959E-3</v>
      </c>
      <c r="H580" s="411">
        <v>57.68</v>
      </c>
      <c r="I580" s="418">
        <f t="shared" si="83"/>
        <v>-8.7643925073036533E-3</v>
      </c>
      <c r="J580" s="411">
        <v>2900.51</v>
      </c>
      <c r="K580" s="418">
        <f t="shared" si="84"/>
        <v>-7.9147640791475959E-3</v>
      </c>
      <c r="L580" s="411">
        <v>57.68</v>
      </c>
      <c r="M580" s="418">
        <f t="shared" si="85"/>
        <v>-8.7643925073036533E-3</v>
      </c>
      <c r="N580" s="411"/>
      <c r="O580" s="388"/>
      <c r="Q580" s="388"/>
    </row>
    <row r="581" spans="1:17">
      <c r="A581" s="408">
        <v>43696</v>
      </c>
      <c r="B581" s="411">
        <v>2923.65</v>
      </c>
      <c r="C581" s="418">
        <f t="shared" si="80"/>
        <v>1.2105875347909967E-2</v>
      </c>
      <c r="D581" s="411">
        <v>58.19</v>
      </c>
      <c r="E581" s="418">
        <f t="shared" si="81"/>
        <v>2.5844245348034534E-3</v>
      </c>
      <c r="F581" s="411">
        <v>2923.65</v>
      </c>
      <c r="G581" s="418">
        <f t="shared" si="82"/>
        <v>1.2105875347909967E-2</v>
      </c>
      <c r="H581" s="411">
        <v>58.19</v>
      </c>
      <c r="I581" s="418">
        <f t="shared" si="83"/>
        <v>2.5844245348034534E-3</v>
      </c>
      <c r="J581" s="411">
        <v>2923.65</v>
      </c>
      <c r="K581" s="418">
        <f t="shared" si="84"/>
        <v>1.2105875347909967E-2</v>
      </c>
      <c r="L581" s="411">
        <v>58.19</v>
      </c>
      <c r="M581" s="418">
        <f t="shared" si="85"/>
        <v>2.5844245348034534E-3</v>
      </c>
      <c r="N581" s="411"/>
      <c r="O581" s="388"/>
      <c r="Q581" s="388"/>
    </row>
    <row r="582" spans="1:17">
      <c r="A582" s="408">
        <v>43693</v>
      </c>
      <c r="B582" s="411">
        <v>2888.68</v>
      </c>
      <c r="C582" s="418">
        <f t="shared" si="80"/>
        <v>1.4426183452732166E-2</v>
      </c>
      <c r="D582" s="411">
        <v>58.04</v>
      </c>
      <c r="E582" s="418">
        <f t="shared" si="81"/>
        <v>1.6284363509017741E-2</v>
      </c>
      <c r="F582" s="411">
        <v>2888.68</v>
      </c>
      <c r="G582" s="418">
        <f t="shared" si="82"/>
        <v>1.4426183452732166E-2</v>
      </c>
      <c r="H582" s="411">
        <v>58.04</v>
      </c>
      <c r="I582" s="418">
        <f t="shared" si="83"/>
        <v>1.6284363509017741E-2</v>
      </c>
      <c r="J582" s="411">
        <v>2888.68</v>
      </c>
      <c r="K582" s="418">
        <f t="shared" si="84"/>
        <v>1.4426183452732166E-2</v>
      </c>
      <c r="L582" s="411">
        <v>58.04</v>
      </c>
      <c r="M582" s="418">
        <f t="shared" si="85"/>
        <v>1.6284363509017741E-2</v>
      </c>
      <c r="N582" s="411"/>
      <c r="O582" s="388"/>
      <c r="Q582" s="388"/>
    </row>
    <row r="583" spans="1:17">
      <c r="A583" s="408">
        <v>43692</v>
      </c>
      <c r="B583" s="411">
        <v>2847.6</v>
      </c>
      <c r="C583" s="418">
        <f t="shared" si="80"/>
        <v>2.464268112370549E-3</v>
      </c>
      <c r="D583" s="411">
        <v>57.11</v>
      </c>
      <c r="E583" s="418">
        <f t="shared" si="81"/>
        <v>-2.0968023763759946E-3</v>
      </c>
      <c r="F583" s="411">
        <v>2847.6</v>
      </c>
      <c r="G583" s="418">
        <f t="shared" si="82"/>
        <v>2.464268112370549E-3</v>
      </c>
      <c r="H583" s="411">
        <v>57.11</v>
      </c>
      <c r="I583" s="418">
        <f t="shared" si="83"/>
        <v>-2.0968023763759946E-3</v>
      </c>
      <c r="J583" s="411">
        <v>2847.6</v>
      </c>
      <c r="K583" s="418">
        <f t="shared" si="84"/>
        <v>2.464268112370549E-3</v>
      </c>
      <c r="L583" s="411">
        <v>57.11</v>
      </c>
      <c r="M583" s="418">
        <f t="shared" si="85"/>
        <v>-2.0968023763759946E-3</v>
      </c>
      <c r="N583" s="411"/>
      <c r="O583" s="388"/>
      <c r="Q583" s="388"/>
    </row>
    <row r="584" spans="1:17">
      <c r="A584" s="408">
        <v>43691</v>
      </c>
      <c r="B584" s="411">
        <v>2840.6</v>
      </c>
      <c r="C584" s="418">
        <f t="shared" ref="C584:C647" si="86">B584/B585-1</f>
        <v>-2.9292763607534411E-2</v>
      </c>
      <c r="D584" s="411">
        <v>57.23</v>
      </c>
      <c r="E584" s="418">
        <f t="shared" ref="E584:E647" si="87">D584/D585-1</f>
        <v>-2.7362338545207421E-2</v>
      </c>
      <c r="F584" s="411">
        <v>2840.6</v>
      </c>
      <c r="G584" s="418">
        <f t="shared" ref="G584:G647" si="88">F584/F585-1</f>
        <v>-2.9292763607534411E-2</v>
      </c>
      <c r="H584" s="411">
        <v>57.23</v>
      </c>
      <c r="I584" s="418">
        <f t="shared" ref="I584:I647" si="89">H584/H585-1</f>
        <v>-2.7362338545207421E-2</v>
      </c>
      <c r="J584" s="411">
        <v>2840.6</v>
      </c>
      <c r="K584" s="418">
        <f t="shared" ref="K584:K647" si="90">J584/J585-1</f>
        <v>-2.9292763607534411E-2</v>
      </c>
      <c r="L584" s="411">
        <v>57.23</v>
      </c>
      <c r="M584" s="418">
        <f t="shared" ref="M584:M647" si="91">L584/L585-1</f>
        <v>-2.7362338545207421E-2</v>
      </c>
      <c r="N584" s="411"/>
      <c r="O584" s="388"/>
      <c r="Q584" s="388"/>
    </row>
    <row r="585" spans="1:17">
      <c r="A585" s="408">
        <v>43690</v>
      </c>
      <c r="B585" s="411">
        <v>2926.32</v>
      </c>
      <c r="C585" s="418">
        <f t="shared" si="86"/>
        <v>1.4762028608582556E-2</v>
      </c>
      <c r="D585" s="411">
        <v>58.84</v>
      </c>
      <c r="E585" s="418">
        <f t="shared" si="87"/>
        <v>3.0685305148312469E-3</v>
      </c>
      <c r="F585" s="411">
        <v>2926.32</v>
      </c>
      <c r="G585" s="418">
        <f t="shared" si="88"/>
        <v>1.4762028608582556E-2</v>
      </c>
      <c r="H585" s="411">
        <v>58.84</v>
      </c>
      <c r="I585" s="418">
        <f t="shared" si="89"/>
        <v>3.0685305148312469E-3</v>
      </c>
      <c r="J585" s="411">
        <v>2926.32</v>
      </c>
      <c r="K585" s="418">
        <f t="shared" si="90"/>
        <v>1.4762028608582556E-2</v>
      </c>
      <c r="L585" s="411">
        <v>58.84</v>
      </c>
      <c r="M585" s="418">
        <f t="shared" si="91"/>
        <v>3.0685305148312469E-3</v>
      </c>
      <c r="N585" s="411"/>
      <c r="O585" s="388"/>
      <c r="Q585" s="388"/>
    </row>
    <row r="586" spans="1:17">
      <c r="A586" s="408">
        <v>43689</v>
      </c>
      <c r="B586" s="411">
        <v>2883.75</v>
      </c>
      <c r="C586" s="418">
        <f t="shared" si="86"/>
        <v>-1.1957583129186489E-2</v>
      </c>
      <c r="D586" s="411">
        <v>58.66</v>
      </c>
      <c r="E586" s="418">
        <f t="shared" si="87"/>
        <v>-1.4614480094070292E-2</v>
      </c>
      <c r="F586" s="411">
        <v>2883.75</v>
      </c>
      <c r="G586" s="418">
        <f t="shared" si="88"/>
        <v>-1.1957583129186489E-2</v>
      </c>
      <c r="H586" s="411">
        <v>58.66</v>
      </c>
      <c r="I586" s="418">
        <f t="shared" si="89"/>
        <v>-1.4614480094070292E-2</v>
      </c>
      <c r="J586" s="411">
        <v>2883.75</v>
      </c>
      <c r="K586" s="418">
        <f t="shared" si="90"/>
        <v>-1.1957583129186489E-2</v>
      </c>
      <c r="L586" s="411">
        <v>58.66</v>
      </c>
      <c r="M586" s="418">
        <f t="shared" si="91"/>
        <v>-1.4614480094070292E-2</v>
      </c>
      <c r="N586" s="411"/>
      <c r="O586" s="388"/>
      <c r="Q586" s="388"/>
    </row>
    <row r="587" spans="1:17">
      <c r="A587" s="408">
        <v>43686</v>
      </c>
      <c r="B587" s="411">
        <v>2918.65</v>
      </c>
      <c r="C587" s="418">
        <f t="shared" si="86"/>
        <v>-6.6165434006446588E-3</v>
      </c>
      <c r="D587" s="411">
        <v>59.53</v>
      </c>
      <c r="E587" s="418">
        <f t="shared" si="87"/>
        <v>-8.3291687489588373E-3</v>
      </c>
      <c r="F587" s="411">
        <v>2918.65</v>
      </c>
      <c r="G587" s="418">
        <f t="shared" si="88"/>
        <v>-6.6165434006446588E-3</v>
      </c>
      <c r="H587" s="411">
        <v>59.53</v>
      </c>
      <c r="I587" s="418">
        <f t="shared" si="89"/>
        <v>-8.3291687489588373E-3</v>
      </c>
      <c r="J587" s="411">
        <v>2918.65</v>
      </c>
      <c r="K587" s="418">
        <f t="shared" si="90"/>
        <v>-6.6165434006446588E-3</v>
      </c>
      <c r="L587" s="411">
        <v>59.53</v>
      </c>
      <c r="M587" s="418">
        <f t="shared" si="91"/>
        <v>-8.3291687489588373E-3</v>
      </c>
      <c r="N587" s="411"/>
      <c r="O587" s="388"/>
      <c r="Q587" s="388"/>
    </row>
    <row r="588" spans="1:17">
      <c r="A588" s="408">
        <v>43685</v>
      </c>
      <c r="B588" s="411">
        <v>2938.09</v>
      </c>
      <c r="C588" s="418">
        <f t="shared" si="86"/>
        <v>1.8762266035132091E-2</v>
      </c>
      <c r="D588" s="411">
        <v>60.03</v>
      </c>
      <c r="E588" s="418">
        <f t="shared" si="87"/>
        <v>1.3335584064821049E-2</v>
      </c>
      <c r="F588" s="411">
        <v>2938.09</v>
      </c>
      <c r="G588" s="418">
        <f t="shared" si="88"/>
        <v>1.8762266035132091E-2</v>
      </c>
      <c r="H588" s="411">
        <v>60.03</v>
      </c>
      <c r="I588" s="418">
        <f t="shared" si="89"/>
        <v>1.3335584064821049E-2</v>
      </c>
      <c r="J588" s="411">
        <v>2938.09</v>
      </c>
      <c r="K588" s="418">
        <f t="shared" si="90"/>
        <v>1.8762266035132091E-2</v>
      </c>
      <c r="L588" s="411">
        <v>60.03</v>
      </c>
      <c r="M588" s="418">
        <f t="shared" si="91"/>
        <v>1.3335584064821049E-2</v>
      </c>
      <c r="N588" s="411"/>
      <c r="O588" s="388"/>
      <c r="Q588" s="388"/>
    </row>
    <row r="589" spans="1:17">
      <c r="A589" s="408">
        <v>43684</v>
      </c>
      <c r="B589" s="411">
        <v>2883.98</v>
      </c>
      <c r="C589" s="418">
        <f t="shared" si="86"/>
        <v>7.6688979342565133E-4</v>
      </c>
      <c r="D589" s="411">
        <v>59.24</v>
      </c>
      <c r="E589" s="418">
        <f t="shared" si="87"/>
        <v>7.6543629869025853E-3</v>
      </c>
      <c r="F589" s="411">
        <v>2883.98</v>
      </c>
      <c r="G589" s="418">
        <f t="shared" si="88"/>
        <v>7.6688979342565133E-4</v>
      </c>
      <c r="H589" s="411">
        <v>59.24</v>
      </c>
      <c r="I589" s="418">
        <f t="shared" si="89"/>
        <v>7.6543629869025853E-3</v>
      </c>
      <c r="J589" s="411">
        <v>2883.98</v>
      </c>
      <c r="K589" s="418">
        <f t="shared" si="90"/>
        <v>7.6688979342565133E-4</v>
      </c>
      <c r="L589" s="411">
        <v>59.24</v>
      </c>
      <c r="M589" s="418">
        <f t="shared" si="91"/>
        <v>7.6543629869025853E-3</v>
      </c>
      <c r="N589" s="411"/>
      <c r="O589" s="388"/>
      <c r="Q589" s="388"/>
    </row>
    <row r="590" spans="1:17">
      <c r="A590" s="408">
        <v>43683</v>
      </c>
      <c r="B590" s="411">
        <v>2881.77</v>
      </c>
      <c r="C590" s="418">
        <f t="shared" si="86"/>
        <v>1.3017006826634425E-2</v>
      </c>
      <c r="D590" s="411">
        <v>58.79</v>
      </c>
      <c r="E590" s="418">
        <f t="shared" si="87"/>
        <v>1.6776202006226093E-2</v>
      </c>
      <c r="F590" s="411">
        <v>2881.77</v>
      </c>
      <c r="G590" s="418">
        <f t="shared" si="88"/>
        <v>1.3017006826634425E-2</v>
      </c>
      <c r="H590" s="411">
        <v>58.79</v>
      </c>
      <c r="I590" s="418">
        <f t="shared" si="89"/>
        <v>1.6776202006226093E-2</v>
      </c>
      <c r="J590" s="411">
        <v>2881.77</v>
      </c>
      <c r="K590" s="418">
        <f t="shared" si="90"/>
        <v>1.3017006826634425E-2</v>
      </c>
      <c r="L590" s="411">
        <v>58.79</v>
      </c>
      <c r="M590" s="418">
        <f t="shared" si="91"/>
        <v>1.6776202006226093E-2</v>
      </c>
      <c r="N590" s="411"/>
      <c r="O590" s="388"/>
      <c r="Q590" s="388"/>
    </row>
    <row r="591" spans="1:17">
      <c r="A591" s="408">
        <v>43682</v>
      </c>
      <c r="B591" s="411">
        <v>2844.74</v>
      </c>
      <c r="C591" s="418">
        <f t="shared" si="86"/>
        <v>-2.9777800514998121E-2</v>
      </c>
      <c r="D591" s="411">
        <v>57.82</v>
      </c>
      <c r="E591" s="418">
        <f t="shared" si="87"/>
        <v>-3.8416763678696175E-2</v>
      </c>
      <c r="F591" s="411">
        <v>2844.74</v>
      </c>
      <c r="G591" s="418">
        <f t="shared" si="88"/>
        <v>-2.9777800514998121E-2</v>
      </c>
      <c r="H591" s="411">
        <v>57.82</v>
      </c>
      <c r="I591" s="418">
        <f t="shared" si="89"/>
        <v>-3.8416763678696175E-2</v>
      </c>
      <c r="J591" s="411">
        <v>2844.74</v>
      </c>
      <c r="K591" s="418">
        <f t="shared" si="90"/>
        <v>-2.9777800514998121E-2</v>
      </c>
      <c r="L591" s="411">
        <v>57.82</v>
      </c>
      <c r="M591" s="418">
        <f t="shared" si="91"/>
        <v>-3.8416763678696175E-2</v>
      </c>
      <c r="N591" s="411"/>
      <c r="O591" s="388"/>
      <c r="Q591" s="388"/>
    </row>
    <row r="592" spans="1:17">
      <c r="A592" s="408">
        <v>43679</v>
      </c>
      <c r="B592" s="411">
        <v>2932.05</v>
      </c>
      <c r="C592" s="418">
        <f t="shared" si="86"/>
        <v>-7.2827367651240316E-3</v>
      </c>
      <c r="D592" s="411">
        <v>60.13</v>
      </c>
      <c r="E592" s="418">
        <f t="shared" si="87"/>
        <v>-3.1498673740052441E-3</v>
      </c>
      <c r="F592" s="411">
        <v>2932.05</v>
      </c>
      <c r="G592" s="418">
        <f t="shared" si="88"/>
        <v>-7.2827367651240316E-3</v>
      </c>
      <c r="H592" s="411">
        <v>60.13</v>
      </c>
      <c r="I592" s="418">
        <f t="shared" si="89"/>
        <v>-3.1498673740052441E-3</v>
      </c>
      <c r="J592" s="411">
        <v>2932.05</v>
      </c>
      <c r="K592" s="418">
        <f t="shared" si="90"/>
        <v>-7.2827367651240316E-3</v>
      </c>
      <c r="L592" s="411">
        <v>60.13</v>
      </c>
      <c r="M592" s="418">
        <f t="shared" si="91"/>
        <v>-3.1498673740052441E-3</v>
      </c>
      <c r="N592" s="411"/>
      <c r="O592" s="388"/>
      <c r="Q592" s="388"/>
    </row>
    <row r="593" spans="1:17">
      <c r="A593" s="408">
        <v>43678</v>
      </c>
      <c r="B593" s="411">
        <v>2953.56</v>
      </c>
      <c r="C593" s="418">
        <f t="shared" si="86"/>
        <v>-8.9988524953193982E-3</v>
      </c>
      <c r="D593" s="411">
        <v>60.32</v>
      </c>
      <c r="E593" s="418">
        <f t="shared" si="87"/>
        <v>-1.1795543905635641E-2</v>
      </c>
      <c r="F593" s="411">
        <v>2953.56</v>
      </c>
      <c r="G593" s="418">
        <f t="shared" si="88"/>
        <v>-8.9988524953193982E-3</v>
      </c>
      <c r="H593" s="411">
        <v>60.32</v>
      </c>
      <c r="I593" s="418">
        <f t="shared" si="89"/>
        <v>-1.1795543905635641E-2</v>
      </c>
      <c r="J593" s="411">
        <v>2953.56</v>
      </c>
      <c r="K593" s="418">
        <f t="shared" si="90"/>
        <v>-8.9988524953193982E-3</v>
      </c>
      <c r="L593" s="411">
        <v>60.32</v>
      </c>
      <c r="M593" s="418">
        <f t="shared" si="91"/>
        <v>-1.1795543905635641E-2</v>
      </c>
      <c r="N593" s="411"/>
      <c r="O593" s="388"/>
      <c r="Q593" s="388"/>
    </row>
    <row r="594" spans="1:17">
      <c r="A594" s="408">
        <v>43677</v>
      </c>
      <c r="B594" s="411">
        <v>2980.38</v>
      </c>
      <c r="C594" s="418">
        <f t="shared" si="86"/>
        <v>-1.0885509660889747E-2</v>
      </c>
      <c r="D594" s="411">
        <v>61.04</v>
      </c>
      <c r="E594" s="418">
        <f t="shared" si="87"/>
        <v>-2.5387194635158927E-2</v>
      </c>
      <c r="F594" s="411">
        <v>2980.38</v>
      </c>
      <c r="G594" s="418">
        <f t="shared" si="88"/>
        <v>-1.0885509660889747E-2</v>
      </c>
      <c r="H594" s="411">
        <v>61.04</v>
      </c>
      <c r="I594" s="418">
        <f t="shared" si="89"/>
        <v>-2.5387194635158927E-2</v>
      </c>
      <c r="J594" s="411">
        <v>2980.38</v>
      </c>
      <c r="K594" s="418">
        <f t="shared" si="90"/>
        <v>-1.0885509660889747E-2</v>
      </c>
      <c r="L594" s="411">
        <v>61.04</v>
      </c>
      <c r="M594" s="418">
        <f t="shared" si="91"/>
        <v>-2.5387194635158927E-2</v>
      </c>
      <c r="N594" s="411"/>
      <c r="O594" s="388"/>
      <c r="Q594" s="388"/>
    </row>
    <row r="595" spans="1:17">
      <c r="A595" s="408">
        <v>43676</v>
      </c>
      <c r="B595" s="411">
        <v>3013.18</v>
      </c>
      <c r="C595" s="418">
        <f t="shared" si="86"/>
        <v>-2.5786419593706311E-3</v>
      </c>
      <c r="D595" s="411">
        <v>62.63</v>
      </c>
      <c r="E595" s="418">
        <f t="shared" si="87"/>
        <v>2.7217419148255484E-3</v>
      </c>
      <c r="F595" s="411">
        <v>3013.18</v>
      </c>
      <c r="G595" s="418">
        <f t="shared" si="88"/>
        <v>-2.5786419593706311E-3</v>
      </c>
      <c r="H595" s="411">
        <v>62.63</v>
      </c>
      <c r="I595" s="418">
        <f t="shared" si="89"/>
        <v>2.7217419148255484E-3</v>
      </c>
      <c r="J595" s="411">
        <v>3013.18</v>
      </c>
      <c r="K595" s="418">
        <f t="shared" si="90"/>
        <v>-2.5786419593706311E-3</v>
      </c>
      <c r="L595" s="411">
        <v>62.63</v>
      </c>
      <c r="M595" s="418">
        <f t="shared" si="91"/>
        <v>2.7217419148255484E-3</v>
      </c>
      <c r="N595" s="411"/>
      <c r="O595" s="388"/>
      <c r="Q595" s="388"/>
    </row>
    <row r="596" spans="1:17">
      <c r="A596" s="408">
        <v>43675</v>
      </c>
      <c r="B596" s="411">
        <v>3020.97</v>
      </c>
      <c r="C596" s="418">
        <f t="shared" si="86"/>
        <v>-1.6160694810732901E-3</v>
      </c>
      <c r="D596" s="411">
        <v>62.46</v>
      </c>
      <c r="E596" s="418">
        <f t="shared" si="87"/>
        <v>4.8262548262549831E-3</v>
      </c>
      <c r="F596" s="411">
        <v>3020.97</v>
      </c>
      <c r="G596" s="418">
        <f t="shared" si="88"/>
        <v>-1.6160694810732901E-3</v>
      </c>
      <c r="H596" s="411">
        <v>62.46</v>
      </c>
      <c r="I596" s="418">
        <f t="shared" si="89"/>
        <v>4.8262548262549831E-3</v>
      </c>
      <c r="J596" s="411">
        <v>3020.97</v>
      </c>
      <c r="K596" s="418">
        <f t="shared" si="90"/>
        <v>-1.6160694810732901E-3</v>
      </c>
      <c r="L596" s="411">
        <v>62.46</v>
      </c>
      <c r="M596" s="418">
        <f t="shared" si="91"/>
        <v>4.8262548262549831E-3</v>
      </c>
      <c r="N596" s="411"/>
      <c r="O596" s="388"/>
      <c r="Q596" s="388"/>
    </row>
    <row r="597" spans="1:17">
      <c r="A597" s="408">
        <v>43672</v>
      </c>
      <c r="B597" s="411">
        <v>3025.86</v>
      </c>
      <c r="C597" s="418">
        <f t="shared" si="86"/>
        <v>7.3876291336931743E-3</v>
      </c>
      <c r="D597" s="411">
        <v>62.16</v>
      </c>
      <c r="E597" s="418">
        <f t="shared" si="87"/>
        <v>-1.1248593925758943E-3</v>
      </c>
      <c r="F597" s="411">
        <v>3025.86</v>
      </c>
      <c r="G597" s="418">
        <f t="shared" si="88"/>
        <v>7.3876291336931743E-3</v>
      </c>
      <c r="H597" s="411">
        <v>62.16</v>
      </c>
      <c r="I597" s="418">
        <f t="shared" si="89"/>
        <v>-1.1248593925758943E-3</v>
      </c>
      <c r="J597" s="411">
        <v>3025.86</v>
      </c>
      <c r="K597" s="418">
        <f t="shared" si="90"/>
        <v>7.3876291336931743E-3</v>
      </c>
      <c r="L597" s="411">
        <v>62.16</v>
      </c>
      <c r="M597" s="418">
        <f t="shared" si="91"/>
        <v>-1.1248593925758943E-3</v>
      </c>
      <c r="N597" s="411"/>
      <c r="O597" s="388"/>
      <c r="Q597" s="388"/>
    </row>
    <row r="598" spans="1:17">
      <c r="A598" s="408">
        <v>43671</v>
      </c>
      <c r="B598" s="411">
        <v>3003.67</v>
      </c>
      <c r="C598" s="418">
        <f t="shared" si="86"/>
        <v>-5.2623561048629197E-3</v>
      </c>
      <c r="D598" s="411">
        <v>62.23</v>
      </c>
      <c r="E598" s="418">
        <f t="shared" si="87"/>
        <v>-1.4724509183027257E-2</v>
      </c>
      <c r="F598" s="411">
        <v>3003.67</v>
      </c>
      <c r="G598" s="418">
        <f t="shared" si="88"/>
        <v>-5.2623561048629197E-3</v>
      </c>
      <c r="H598" s="411">
        <v>62.23</v>
      </c>
      <c r="I598" s="418">
        <f t="shared" si="89"/>
        <v>-1.4724509183027257E-2</v>
      </c>
      <c r="J598" s="411">
        <v>3003.67</v>
      </c>
      <c r="K598" s="418">
        <f t="shared" si="90"/>
        <v>-5.2623561048629197E-3</v>
      </c>
      <c r="L598" s="411">
        <v>62.23</v>
      </c>
      <c r="M598" s="418">
        <f t="shared" si="91"/>
        <v>-1.4724509183027257E-2</v>
      </c>
      <c r="N598" s="411"/>
      <c r="O598" s="388"/>
      <c r="Q598" s="388"/>
    </row>
    <row r="599" spans="1:17">
      <c r="A599" s="408">
        <v>43670</v>
      </c>
      <c r="B599" s="411">
        <v>3019.56</v>
      </c>
      <c r="C599" s="418">
        <f t="shared" si="86"/>
        <v>4.68811866363672E-3</v>
      </c>
      <c r="D599" s="411">
        <v>63.16</v>
      </c>
      <c r="E599" s="418">
        <f t="shared" si="87"/>
        <v>1.1095260738627211E-3</v>
      </c>
      <c r="F599" s="411">
        <v>3019.56</v>
      </c>
      <c r="G599" s="418">
        <f t="shared" si="88"/>
        <v>4.68811866363672E-3</v>
      </c>
      <c r="H599" s="411">
        <v>63.16</v>
      </c>
      <c r="I599" s="418">
        <f t="shared" si="89"/>
        <v>1.1095260738627211E-3</v>
      </c>
      <c r="J599" s="411">
        <v>3019.56</v>
      </c>
      <c r="K599" s="418">
        <f t="shared" si="90"/>
        <v>4.68811866363672E-3</v>
      </c>
      <c r="L599" s="411">
        <v>63.16</v>
      </c>
      <c r="M599" s="418">
        <f t="shared" si="91"/>
        <v>1.1095260738627211E-3</v>
      </c>
      <c r="N599" s="411"/>
      <c r="O599" s="388"/>
      <c r="Q599" s="388"/>
    </row>
    <row r="600" spans="1:17">
      <c r="A600" s="408">
        <v>43669</v>
      </c>
      <c r="B600" s="411">
        <v>3005.47</v>
      </c>
      <c r="C600" s="418">
        <f t="shared" si="86"/>
        <v>6.8475023701604076E-3</v>
      </c>
      <c r="D600" s="411">
        <v>63.09</v>
      </c>
      <c r="E600" s="418">
        <f t="shared" si="87"/>
        <v>2.9368575624082238E-2</v>
      </c>
      <c r="F600" s="411">
        <v>3005.47</v>
      </c>
      <c r="G600" s="418">
        <f t="shared" si="88"/>
        <v>6.8475023701604076E-3</v>
      </c>
      <c r="H600" s="411">
        <v>63.09</v>
      </c>
      <c r="I600" s="418">
        <f t="shared" si="89"/>
        <v>2.9368575624082238E-2</v>
      </c>
      <c r="J600" s="411">
        <v>3005.47</v>
      </c>
      <c r="K600" s="418">
        <f t="shared" si="90"/>
        <v>6.8475023701604076E-3</v>
      </c>
      <c r="L600" s="411">
        <v>63.09</v>
      </c>
      <c r="M600" s="418">
        <f t="shared" si="91"/>
        <v>2.9368575624082238E-2</v>
      </c>
      <c r="N600" s="411"/>
      <c r="O600" s="388"/>
      <c r="Q600" s="388"/>
    </row>
    <row r="601" spans="1:17">
      <c r="A601" s="408">
        <v>43668</v>
      </c>
      <c r="B601" s="411">
        <v>2985.03</v>
      </c>
      <c r="C601" s="418">
        <f t="shared" si="86"/>
        <v>2.8287212634507952E-3</v>
      </c>
      <c r="D601" s="411">
        <v>61.29</v>
      </c>
      <c r="E601" s="418">
        <f t="shared" si="87"/>
        <v>6.2387128550320803E-3</v>
      </c>
      <c r="F601" s="411">
        <v>2985.03</v>
      </c>
      <c r="G601" s="418">
        <f t="shared" si="88"/>
        <v>2.8287212634507952E-3</v>
      </c>
      <c r="H601" s="411">
        <v>61.29</v>
      </c>
      <c r="I601" s="418">
        <f t="shared" si="89"/>
        <v>6.2387128550320803E-3</v>
      </c>
      <c r="J601" s="411">
        <v>2985.03</v>
      </c>
      <c r="K601" s="418">
        <f t="shared" si="90"/>
        <v>2.8287212634507952E-3</v>
      </c>
      <c r="L601" s="411">
        <v>61.29</v>
      </c>
      <c r="M601" s="418">
        <f t="shared" si="91"/>
        <v>6.2387128550320803E-3</v>
      </c>
      <c r="N601" s="411"/>
      <c r="O601" s="388"/>
      <c r="Q601" s="388"/>
    </row>
    <row r="602" spans="1:17">
      <c r="A602" s="408">
        <v>43665</v>
      </c>
      <c r="B602" s="411">
        <v>2976.61</v>
      </c>
      <c r="C602" s="418">
        <f t="shared" si="86"/>
        <v>-6.1767347442999165E-3</v>
      </c>
      <c r="D602" s="411">
        <v>60.91</v>
      </c>
      <c r="E602" s="418">
        <f t="shared" si="87"/>
        <v>-2.7928503032237484E-2</v>
      </c>
      <c r="F602" s="411">
        <v>2976.61</v>
      </c>
      <c r="G602" s="418">
        <f t="shared" si="88"/>
        <v>-6.1767347442999165E-3</v>
      </c>
      <c r="H602" s="411">
        <v>60.91</v>
      </c>
      <c r="I602" s="418">
        <f t="shared" si="89"/>
        <v>-2.7928503032237484E-2</v>
      </c>
      <c r="J602" s="411">
        <v>2976.61</v>
      </c>
      <c r="K602" s="418">
        <f t="shared" si="90"/>
        <v>-6.1767347442999165E-3</v>
      </c>
      <c r="L602" s="411">
        <v>60.91</v>
      </c>
      <c r="M602" s="418">
        <f t="shared" si="91"/>
        <v>-2.7928503032237484E-2</v>
      </c>
      <c r="N602" s="411"/>
      <c r="O602" s="388"/>
      <c r="Q602" s="388"/>
    </row>
    <row r="603" spans="1:17">
      <c r="A603" s="408">
        <v>43664</v>
      </c>
      <c r="B603" s="411">
        <v>2995.11</v>
      </c>
      <c r="C603" s="418">
        <f t="shared" si="86"/>
        <v>3.5819355184592006E-3</v>
      </c>
      <c r="D603" s="411">
        <v>62.66</v>
      </c>
      <c r="E603" s="418">
        <f t="shared" si="87"/>
        <v>6.5863453815260264E-3</v>
      </c>
      <c r="F603" s="411">
        <v>2995.11</v>
      </c>
      <c r="G603" s="418">
        <f t="shared" si="88"/>
        <v>3.5819355184592006E-3</v>
      </c>
      <c r="H603" s="411">
        <v>62.66</v>
      </c>
      <c r="I603" s="418">
        <f t="shared" si="89"/>
        <v>6.5863453815260264E-3</v>
      </c>
      <c r="J603" s="411">
        <v>2995.11</v>
      </c>
      <c r="K603" s="418">
        <f t="shared" si="90"/>
        <v>3.5819355184592006E-3</v>
      </c>
      <c r="L603" s="411">
        <v>62.66</v>
      </c>
      <c r="M603" s="418">
        <f t="shared" si="91"/>
        <v>6.5863453815260264E-3</v>
      </c>
      <c r="N603" s="411"/>
      <c r="O603" s="388"/>
      <c r="Q603" s="388"/>
    </row>
    <row r="604" spans="1:17">
      <c r="A604" s="408">
        <v>43663</v>
      </c>
      <c r="B604" s="411">
        <v>2984.42</v>
      </c>
      <c r="C604" s="418">
        <f t="shared" si="86"/>
        <v>-6.5312046444121474E-3</v>
      </c>
      <c r="D604" s="411">
        <v>62.25</v>
      </c>
      <c r="E604" s="418">
        <f t="shared" si="87"/>
        <v>-1.4407853071564225E-2</v>
      </c>
      <c r="F604" s="411">
        <v>2984.42</v>
      </c>
      <c r="G604" s="418">
        <f t="shared" si="88"/>
        <v>-6.5312046444121474E-3</v>
      </c>
      <c r="H604" s="411">
        <v>62.25</v>
      </c>
      <c r="I604" s="418">
        <f t="shared" si="89"/>
        <v>-1.4407853071564225E-2</v>
      </c>
      <c r="J604" s="411">
        <v>2984.42</v>
      </c>
      <c r="K604" s="418">
        <f t="shared" si="90"/>
        <v>-6.5312046444121474E-3</v>
      </c>
      <c r="L604" s="411">
        <v>62.25</v>
      </c>
      <c r="M604" s="418">
        <f t="shared" si="91"/>
        <v>-1.4407853071564225E-2</v>
      </c>
      <c r="N604" s="411"/>
      <c r="O604" s="388"/>
      <c r="Q604" s="388"/>
    </row>
    <row r="605" spans="1:17">
      <c r="A605" s="408">
        <v>43662</v>
      </c>
      <c r="B605" s="411">
        <v>3004.04</v>
      </c>
      <c r="C605" s="418">
        <f t="shared" si="86"/>
        <v>-3.4037753375577573E-3</v>
      </c>
      <c r="D605" s="411">
        <v>63.16</v>
      </c>
      <c r="E605" s="418">
        <f t="shared" si="87"/>
        <v>2.3662884927066363E-2</v>
      </c>
      <c r="F605" s="411">
        <v>3004.04</v>
      </c>
      <c r="G605" s="418">
        <f t="shared" si="88"/>
        <v>-3.4037753375577573E-3</v>
      </c>
      <c r="H605" s="411">
        <v>63.16</v>
      </c>
      <c r="I605" s="418">
        <f t="shared" si="89"/>
        <v>2.3662884927066363E-2</v>
      </c>
      <c r="J605" s="411">
        <v>3004.04</v>
      </c>
      <c r="K605" s="418">
        <f t="shared" si="90"/>
        <v>-3.4037753375577573E-3</v>
      </c>
      <c r="L605" s="411">
        <v>63.16</v>
      </c>
      <c r="M605" s="418">
        <f t="shared" si="91"/>
        <v>2.3662884927066363E-2</v>
      </c>
      <c r="N605" s="411"/>
      <c r="O605" s="388"/>
      <c r="Q605" s="388"/>
    </row>
    <row r="606" spans="1:17">
      <c r="A606" s="408">
        <v>43661</v>
      </c>
      <c r="B606" s="411">
        <v>3014.3</v>
      </c>
      <c r="C606" s="418">
        <f t="shared" si="86"/>
        <v>1.7585947169163063E-4</v>
      </c>
      <c r="D606" s="411">
        <v>61.7</v>
      </c>
      <c r="E606" s="418">
        <f t="shared" si="87"/>
        <v>8.110300081103361E-4</v>
      </c>
      <c r="F606" s="411">
        <v>3014.3</v>
      </c>
      <c r="G606" s="418">
        <f t="shared" si="88"/>
        <v>1.7585947169163063E-4</v>
      </c>
      <c r="H606" s="411">
        <v>61.7</v>
      </c>
      <c r="I606" s="418">
        <f t="shared" si="89"/>
        <v>8.110300081103361E-4</v>
      </c>
      <c r="J606" s="411">
        <v>3014.3</v>
      </c>
      <c r="K606" s="418">
        <f t="shared" si="90"/>
        <v>1.7585947169163063E-4</v>
      </c>
      <c r="L606" s="411">
        <v>61.7</v>
      </c>
      <c r="M606" s="418">
        <f t="shared" si="91"/>
        <v>8.110300081103361E-4</v>
      </c>
      <c r="N606" s="411"/>
      <c r="O606" s="388"/>
      <c r="Q606" s="388"/>
    </row>
    <row r="607" spans="1:17">
      <c r="A607" s="408">
        <v>43658</v>
      </c>
      <c r="B607" s="411">
        <v>3013.77</v>
      </c>
      <c r="C607" s="418">
        <f t="shared" si="86"/>
        <v>4.6201386041582193E-3</v>
      </c>
      <c r="D607" s="411">
        <v>61.65</v>
      </c>
      <c r="E607" s="418">
        <f t="shared" si="87"/>
        <v>2.4767287234042534E-2</v>
      </c>
      <c r="F607" s="411">
        <v>3013.77</v>
      </c>
      <c r="G607" s="418">
        <f t="shared" si="88"/>
        <v>4.6201386041582193E-3</v>
      </c>
      <c r="H607" s="411">
        <v>61.65</v>
      </c>
      <c r="I607" s="418">
        <f t="shared" si="89"/>
        <v>2.4767287234042534E-2</v>
      </c>
      <c r="J607" s="411">
        <v>3013.77</v>
      </c>
      <c r="K607" s="418">
        <f t="shared" si="90"/>
        <v>4.6201386041582193E-3</v>
      </c>
      <c r="L607" s="411">
        <v>61.65</v>
      </c>
      <c r="M607" s="418">
        <f t="shared" si="91"/>
        <v>2.4767287234042534E-2</v>
      </c>
      <c r="N607" s="411"/>
      <c r="O607" s="388"/>
      <c r="Q607" s="388"/>
    </row>
    <row r="608" spans="1:17">
      <c r="A608" s="408">
        <v>43657</v>
      </c>
      <c r="B608" s="411">
        <v>2999.91</v>
      </c>
      <c r="C608" s="418">
        <f t="shared" si="86"/>
        <v>2.285278994477169E-3</v>
      </c>
      <c r="D608" s="411">
        <v>60.16</v>
      </c>
      <c r="E608" s="418">
        <f t="shared" si="87"/>
        <v>1.1602488649739229E-2</v>
      </c>
      <c r="F608" s="411">
        <v>2999.91</v>
      </c>
      <c r="G608" s="418">
        <f t="shared" si="88"/>
        <v>2.285278994477169E-3</v>
      </c>
      <c r="H608" s="411">
        <v>60.16</v>
      </c>
      <c r="I608" s="418">
        <f t="shared" si="89"/>
        <v>1.1602488649739229E-2</v>
      </c>
      <c r="J608" s="411">
        <v>2999.91</v>
      </c>
      <c r="K608" s="418">
        <f t="shared" si="90"/>
        <v>2.285278994477169E-3</v>
      </c>
      <c r="L608" s="411">
        <v>60.16</v>
      </c>
      <c r="M608" s="418">
        <f t="shared" si="91"/>
        <v>1.1602488649739229E-2</v>
      </c>
      <c r="N608" s="411"/>
      <c r="O608" s="388"/>
      <c r="Q608" s="388"/>
    </row>
    <row r="609" spans="1:17">
      <c r="A609" s="408">
        <v>43656</v>
      </c>
      <c r="B609" s="411">
        <v>2993.07</v>
      </c>
      <c r="C609" s="418">
        <f t="shared" si="86"/>
        <v>4.5106271584056667E-3</v>
      </c>
      <c r="D609" s="411">
        <v>59.47</v>
      </c>
      <c r="E609" s="418">
        <f t="shared" si="87"/>
        <v>8.6499321573947352E-3</v>
      </c>
      <c r="F609" s="411">
        <v>2993.07</v>
      </c>
      <c r="G609" s="418">
        <f t="shared" si="88"/>
        <v>4.5106271584056667E-3</v>
      </c>
      <c r="H609" s="411">
        <v>59.47</v>
      </c>
      <c r="I609" s="418">
        <f t="shared" si="89"/>
        <v>8.6499321573947352E-3</v>
      </c>
      <c r="J609" s="411">
        <v>2993.07</v>
      </c>
      <c r="K609" s="418">
        <f t="shared" si="90"/>
        <v>4.5106271584056667E-3</v>
      </c>
      <c r="L609" s="411">
        <v>59.47</v>
      </c>
      <c r="M609" s="418">
        <f t="shared" si="91"/>
        <v>8.6499321573947352E-3</v>
      </c>
      <c r="N609" s="411"/>
      <c r="O609" s="388"/>
      <c r="Q609" s="388"/>
    </row>
    <row r="610" spans="1:17">
      <c r="A610" s="408">
        <v>43655</v>
      </c>
      <c r="B610" s="411">
        <v>2979.63</v>
      </c>
      <c r="C610" s="418">
        <f t="shared" si="86"/>
        <v>1.2365799156572876E-3</v>
      </c>
      <c r="D610" s="411">
        <v>58.96</v>
      </c>
      <c r="E610" s="418">
        <f t="shared" si="87"/>
        <v>-6.9058447027117165E-3</v>
      </c>
      <c r="F610" s="411">
        <v>2979.63</v>
      </c>
      <c r="G610" s="418">
        <f t="shared" si="88"/>
        <v>1.2365799156572876E-3</v>
      </c>
      <c r="H610" s="411">
        <v>58.96</v>
      </c>
      <c r="I610" s="418">
        <f t="shared" si="89"/>
        <v>-6.9058447027117165E-3</v>
      </c>
      <c r="J610" s="411">
        <v>2979.63</v>
      </c>
      <c r="K610" s="418">
        <f t="shared" si="90"/>
        <v>1.2365799156572876E-3</v>
      </c>
      <c r="L610" s="411">
        <v>58.96</v>
      </c>
      <c r="M610" s="418">
        <f t="shared" si="91"/>
        <v>-6.9058447027117165E-3</v>
      </c>
      <c r="N610" s="411"/>
      <c r="O610" s="388"/>
      <c r="Q610" s="388"/>
    </row>
    <row r="611" spans="1:17">
      <c r="A611" s="408">
        <v>43654</v>
      </c>
      <c r="B611" s="411">
        <v>2975.95</v>
      </c>
      <c r="C611" s="418">
        <f t="shared" si="86"/>
        <v>-4.8354573453138761E-3</v>
      </c>
      <c r="D611" s="411">
        <v>59.37</v>
      </c>
      <c r="E611" s="418">
        <f t="shared" si="87"/>
        <v>1.1413969335604568E-2</v>
      </c>
      <c r="F611" s="411">
        <v>2975.95</v>
      </c>
      <c r="G611" s="418">
        <f t="shared" si="88"/>
        <v>-4.8354573453138761E-3</v>
      </c>
      <c r="H611" s="411">
        <v>59.37</v>
      </c>
      <c r="I611" s="418">
        <f t="shared" si="89"/>
        <v>1.1413969335604568E-2</v>
      </c>
      <c r="J611" s="411">
        <v>2975.95</v>
      </c>
      <c r="K611" s="418">
        <f t="shared" si="90"/>
        <v>-4.8354573453138761E-3</v>
      </c>
      <c r="L611" s="411">
        <v>59.37</v>
      </c>
      <c r="M611" s="418">
        <f t="shared" si="91"/>
        <v>1.1413969335604568E-2</v>
      </c>
      <c r="N611" s="411"/>
      <c r="O611" s="388"/>
      <c r="Q611" s="388"/>
    </row>
    <row r="612" spans="1:17">
      <c r="A612" s="408">
        <v>43651</v>
      </c>
      <c r="B612" s="411">
        <v>2990.41</v>
      </c>
      <c r="C612" s="418">
        <f t="shared" si="86"/>
        <v>-1.8058494836139527E-3</v>
      </c>
      <c r="D612" s="411">
        <v>58.7</v>
      </c>
      <c r="E612" s="418">
        <f t="shared" si="87"/>
        <v>-7.6077768385459654E-3</v>
      </c>
      <c r="F612" s="411">
        <v>2990.41</v>
      </c>
      <c r="G612" s="418">
        <f t="shared" si="88"/>
        <v>-1.8058494836139527E-3</v>
      </c>
      <c r="H612" s="411">
        <v>58.7</v>
      </c>
      <c r="I612" s="418">
        <f t="shared" si="89"/>
        <v>-7.6077768385459654E-3</v>
      </c>
      <c r="J612" s="411">
        <v>2990.41</v>
      </c>
      <c r="K612" s="418">
        <f t="shared" si="90"/>
        <v>-1.8058494836139527E-3</v>
      </c>
      <c r="L612" s="411">
        <v>58.7</v>
      </c>
      <c r="M612" s="418">
        <f t="shared" si="91"/>
        <v>-7.6077768385459654E-3</v>
      </c>
      <c r="N612" s="411"/>
      <c r="O612" s="388"/>
      <c r="Q612" s="388"/>
    </row>
    <row r="613" spans="1:17">
      <c r="A613" s="408">
        <v>43649</v>
      </c>
      <c r="B613" s="411">
        <v>2995.82</v>
      </c>
      <c r="C613" s="418">
        <f t="shared" si="86"/>
        <v>7.672358989710748E-3</v>
      </c>
      <c r="D613" s="411">
        <v>59.15</v>
      </c>
      <c r="E613" s="418">
        <f t="shared" si="87"/>
        <v>1.0420225486846624E-2</v>
      </c>
      <c r="F613" s="411">
        <v>2995.82</v>
      </c>
      <c r="G613" s="418">
        <f t="shared" si="88"/>
        <v>7.672358989710748E-3</v>
      </c>
      <c r="H613" s="411">
        <v>59.15</v>
      </c>
      <c r="I613" s="418">
        <f t="shared" si="89"/>
        <v>1.0420225486846624E-2</v>
      </c>
      <c r="J613" s="411">
        <v>2995.82</v>
      </c>
      <c r="K613" s="418">
        <f t="shared" si="90"/>
        <v>7.672358989710748E-3</v>
      </c>
      <c r="L613" s="411">
        <v>59.15</v>
      </c>
      <c r="M613" s="418">
        <f t="shared" si="91"/>
        <v>1.0420225486846624E-2</v>
      </c>
      <c r="N613" s="411"/>
      <c r="O613" s="388"/>
      <c r="Q613" s="388"/>
    </row>
    <row r="614" spans="1:17">
      <c r="A614" s="408">
        <v>43648</v>
      </c>
      <c r="B614" s="411">
        <v>2973.01</v>
      </c>
      <c r="C614" s="418">
        <f t="shared" si="86"/>
        <v>2.9281490252435205E-3</v>
      </c>
      <c r="D614" s="411">
        <v>58.54</v>
      </c>
      <c r="E614" s="418">
        <f t="shared" si="87"/>
        <v>1.2978023879564038E-2</v>
      </c>
      <c r="F614" s="411">
        <v>2973.01</v>
      </c>
      <c r="G614" s="418">
        <f t="shared" si="88"/>
        <v>2.9281490252435205E-3</v>
      </c>
      <c r="H614" s="411">
        <v>58.54</v>
      </c>
      <c r="I614" s="418">
        <f t="shared" si="89"/>
        <v>1.2978023879564038E-2</v>
      </c>
      <c r="J614" s="411">
        <v>2973.01</v>
      </c>
      <c r="K614" s="418">
        <f t="shared" si="90"/>
        <v>2.9281490252435205E-3</v>
      </c>
      <c r="L614" s="411">
        <v>58.54</v>
      </c>
      <c r="M614" s="418">
        <f t="shared" si="91"/>
        <v>1.2978023879564038E-2</v>
      </c>
      <c r="N614" s="411"/>
      <c r="O614" s="388"/>
      <c r="Q614" s="388"/>
    </row>
    <row r="615" spans="1:17">
      <c r="A615" s="408">
        <v>43647</v>
      </c>
      <c r="B615" s="411">
        <v>2964.33</v>
      </c>
      <c r="C615" s="418">
        <f t="shared" si="86"/>
        <v>7.6722778200803976E-3</v>
      </c>
      <c r="D615" s="411">
        <v>57.79</v>
      </c>
      <c r="E615" s="418">
        <f t="shared" si="87"/>
        <v>1.8325991189427349E-2</v>
      </c>
      <c r="F615" s="411">
        <v>2964.33</v>
      </c>
      <c r="G615" s="418">
        <f t="shared" si="88"/>
        <v>7.6722778200803976E-3</v>
      </c>
      <c r="H615" s="411">
        <v>57.79</v>
      </c>
      <c r="I615" s="418">
        <f t="shared" si="89"/>
        <v>1.8325991189427349E-2</v>
      </c>
      <c r="J615" s="411">
        <v>2964.33</v>
      </c>
      <c r="K615" s="418">
        <f t="shared" si="90"/>
        <v>7.6722778200803976E-3</v>
      </c>
      <c r="L615" s="411">
        <v>57.79</v>
      </c>
      <c r="M615" s="418">
        <f t="shared" si="91"/>
        <v>1.8325991189427349E-2</v>
      </c>
      <c r="N615" s="411"/>
      <c r="O615" s="388"/>
      <c r="Q615" s="388"/>
    </row>
    <row r="616" spans="1:17">
      <c r="A616" s="408">
        <v>43644</v>
      </c>
      <c r="B616" s="411">
        <v>2941.76</v>
      </c>
      <c r="C616" s="418">
        <f t="shared" si="86"/>
        <v>5.7574224252288086E-3</v>
      </c>
      <c r="D616" s="411">
        <v>56.75</v>
      </c>
      <c r="E616" s="418">
        <f t="shared" si="87"/>
        <v>-1.2319605772614928E-3</v>
      </c>
      <c r="F616" s="411">
        <v>2941.76</v>
      </c>
      <c r="G616" s="418">
        <f t="shared" si="88"/>
        <v>5.7574224252288086E-3</v>
      </c>
      <c r="H616" s="411">
        <v>56.75</v>
      </c>
      <c r="I616" s="418">
        <f t="shared" si="89"/>
        <v>-1.2319605772614928E-3</v>
      </c>
      <c r="J616" s="411">
        <v>2941.76</v>
      </c>
      <c r="K616" s="418">
        <f t="shared" si="90"/>
        <v>5.7574224252288086E-3</v>
      </c>
      <c r="L616" s="411">
        <v>56.75</v>
      </c>
      <c r="M616" s="418">
        <f t="shared" si="91"/>
        <v>-1.2319605772614928E-3</v>
      </c>
      <c r="N616" s="411"/>
      <c r="O616" s="388"/>
      <c r="Q616" s="388"/>
    </row>
    <row r="617" spans="1:17">
      <c r="A617" s="408">
        <v>43643</v>
      </c>
      <c r="B617" s="411">
        <v>2924.92</v>
      </c>
      <c r="C617" s="418">
        <f t="shared" si="86"/>
        <v>3.8232124594168582E-3</v>
      </c>
      <c r="D617" s="411">
        <v>56.82</v>
      </c>
      <c r="E617" s="418">
        <f t="shared" si="87"/>
        <v>7.8041858815183218E-3</v>
      </c>
      <c r="F617" s="411">
        <v>2924.92</v>
      </c>
      <c r="G617" s="418">
        <f t="shared" si="88"/>
        <v>3.8232124594168582E-3</v>
      </c>
      <c r="H617" s="411">
        <v>56.82</v>
      </c>
      <c r="I617" s="418">
        <f t="shared" si="89"/>
        <v>7.8041858815183218E-3</v>
      </c>
      <c r="J617" s="411">
        <v>2924.92</v>
      </c>
      <c r="K617" s="418">
        <f t="shared" si="90"/>
        <v>3.8232124594168582E-3</v>
      </c>
      <c r="L617" s="411">
        <v>56.82</v>
      </c>
      <c r="M617" s="418">
        <f t="shared" si="91"/>
        <v>7.8041858815183218E-3</v>
      </c>
      <c r="N617" s="411"/>
      <c r="O617" s="388"/>
      <c r="Q617" s="388"/>
    </row>
    <row r="618" spans="1:17">
      <c r="A618" s="408">
        <v>43642</v>
      </c>
      <c r="B618" s="411">
        <v>2913.78</v>
      </c>
      <c r="C618" s="418">
        <f t="shared" si="86"/>
        <v>-1.2339839170762978E-3</v>
      </c>
      <c r="D618" s="411">
        <v>56.38</v>
      </c>
      <c r="E618" s="418">
        <f t="shared" si="87"/>
        <v>8.2260371959943512E-3</v>
      </c>
      <c r="F618" s="411">
        <v>2913.78</v>
      </c>
      <c r="G618" s="418">
        <f t="shared" si="88"/>
        <v>-1.2339839170762978E-3</v>
      </c>
      <c r="H618" s="411">
        <v>56.38</v>
      </c>
      <c r="I618" s="418">
        <f t="shared" si="89"/>
        <v>8.2260371959943512E-3</v>
      </c>
      <c r="J618" s="411">
        <v>2913.78</v>
      </c>
      <c r="K618" s="418">
        <f t="shared" si="90"/>
        <v>-1.2339839170762978E-3</v>
      </c>
      <c r="L618" s="411">
        <v>56.38</v>
      </c>
      <c r="M618" s="418">
        <f t="shared" si="91"/>
        <v>8.2260371959943512E-3</v>
      </c>
      <c r="N618" s="411"/>
      <c r="O618" s="388"/>
      <c r="Q618" s="388"/>
    </row>
    <row r="619" spans="1:17">
      <c r="A619" s="408">
        <v>43641</v>
      </c>
      <c r="B619" s="411">
        <v>2917.38</v>
      </c>
      <c r="C619" s="418">
        <f t="shared" si="86"/>
        <v>-9.4963247152289876E-3</v>
      </c>
      <c r="D619" s="411">
        <v>55.92</v>
      </c>
      <c r="E619" s="418">
        <f t="shared" si="87"/>
        <v>-2.675227394328461E-3</v>
      </c>
      <c r="F619" s="411">
        <v>2917.38</v>
      </c>
      <c r="G619" s="418">
        <f t="shared" si="88"/>
        <v>-9.4963247152289876E-3</v>
      </c>
      <c r="H619" s="411">
        <v>55.92</v>
      </c>
      <c r="I619" s="418">
        <f t="shared" si="89"/>
        <v>-2.675227394328461E-3</v>
      </c>
      <c r="J619" s="411">
        <v>2917.38</v>
      </c>
      <c r="K619" s="418">
        <f t="shared" si="90"/>
        <v>-9.4963247152289876E-3</v>
      </c>
      <c r="L619" s="411">
        <v>55.92</v>
      </c>
      <c r="M619" s="418">
        <f t="shared" si="91"/>
        <v>-2.675227394328461E-3</v>
      </c>
      <c r="N619" s="411"/>
      <c r="O619" s="388"/>
      <c r="Q619" s="388"/>
    </row>
    <row r="620" spans="1:17">
      <c r="A620" s="408">
        <v>43640</v>
      </c>
      <c r="B620" s="411">
        <v>2945.35</v>
      </c>
      <c r="C620" s="418">
        <f t="shared" si="86"/>
        <v>-1.731933325650914E-3</v>
      </c>
      <c r="D620" s="411">
        <v>56.07</v>
      </c>
      <c r="E620" s="418">
        <f t="shared" si="87"/>
        <v>1.4288265761743801E-3</v>
      </c>
      <c r="F620" s="411">
        <v>2945.35</v>
      </c>
      <c r="G620" s="418">
        <f t="shared" si="88"/>
        <v>-1.731933325650914E-3</v>
      </c>
      <c r="H620" s="411">
        <v>56.07</v>
      </c>
      <c r="I620" s="418">
        <f t="shared" si="89"/>
        <v>1.4288265761743801E-3</v>
      </c>
      <c r="J620" s="411">
        <v>2945.35</v>
      </c>
      <c r="K620" s="418">
        <f t="shared" si="90"/>
        <v>-1.731933325650914E-3</v>
      </c>
      <c r="L620" s="411">
        <v>56.07</v>
      </c>
      <c r="M620" s="418">
        <f t="shared" si="91"/>
        <v>1.4288265761743801E-3</v>
      </c>
      <c r="N620" s="411"/>
      <c r="O620" s="388"/>
      <c r="Q620" s="388"/>
    </row>
    <row r="621" spans="1:17">
      <c r="A621" s="408">
        <v>43637</v>
      </c>
      <c r="B621" s="411">
        <v>2950.46</v>
      </c>
      <c r="C621" s="418">
        <f t="shared" si="86"/>
        <v>-1.2592326804730103E-3</v>
      </c>
      <c r="D621" s="411">
        <v>55.99</v>
      </c>
      <c r="E621" s="418">
        <f t="shared" si="87"/>
        <v>3.5733428622486407E-4</v>
      </c>
      <c r="F621" s="411">
        <v>2950.46</v>
      </c>
      <c r="G621" s="418">
        <f t="shared" si="88"/>
        <v>-1.2592326804730103E-3</v>
      </c>
      <c r="H621" s="411">
        <v>55.99</v>
      </c>
      <c r="I621" s="418">
        <f t="shared" si="89"/>
        <v>3.5733428622486407E-4</v>
      </c>
      <c r="J621" s="411">
        <v>2950.46</v>
      </c>
      <c r="K621" s="418">
        <f t="shared" si="90"/>
        <v>-1.2592326804730103E-3</v>
      </c>
      <c r="L621" s="411">
        <v>55.99</v>
      </c>
      <c r="M621" s="418">
        <f t="shared" si="91"/>
        <v>3.5733428622486407E-4</v>
      </c>
      <c r="N621" s="411"/>
      <c r="O621" s="388"/>
      <c r="Q621" s="388"/>
    </row>
    <row r="622" spans="1:17">
      <c r="A622" s="408">
        <v>43636</v>
      </c>
      <c r="B622" s="411">
        <v>2954.18</v>
      </c>
      <c r="C622" s="418">
        <f t="shared" si="86"/>
        <v>9.4721950752785222E-3</v>
      </c>
      <c r="D622" s="411">
        <v>55.97</v>
      </c>
      <c r="E622" s="418">
        <f t="shared" si="87"/>
        <v>-6.9198012775018025E-3</v>
      </c>
      <c r="F622" s="411">
        <v>2954.18</v>
      </c>
      <c r="G622" s="418">
        <f t="shared" si="88"/>
        <v>9.4721950752785222E-3</v>
      </c>
      <c r="H622" s="411">
        <v>55.97</v>
      </c>
      <c r="I622" s="418">
        <f t="shared" si="89"/>
        <v>-6.9198012775018025E-3</v>
      </c>
      <c r="J622" s="411">
        <v>2954.18</v>
      </c>
      <c r="K622" s="418">
        <f t="shared" si="90"/>
        <v>9.4721950752785222E-3</v>
      </c>
      <c r="L622" s="411">
        <v>55.97</v>
      </c>
      <c r="M622" s="418">
        <f t="shared" si="91"/>
        <v>-6.9198012775018025E-3</v>
      </c>
      <c r="N622" s="411"/>
      <c r="O622" s="388"/>
      <c r="Q622" s="388"/>
    </row>
    <row r="623" spans="1:17">
      <c r="A623" s="408">
        <v>43635</v>
      </c>
      <c r="B623" s="411">
        <v>2926.46</v>
      </c>
      <c r="C623" s="418">
        <f t="shared" si="86"/>
        <v>2.9851769342814638E-3</v>
      </c>
      <c r="D623" s="411">
        <v>56.36</v>
      </c>
      <c r="E623" s="418">
        <f t="shared" si="87"/>
        <v>5.8897019453862942E-3</v>
      </c>
      <c r="F623" s="411">
        <v>2926.46</v>
      </c>
      <c r="G623" s="418">
        <f t="shared" si="88"/>
        <v>2.9851769342814638E-3</v>
      </c>
      <c r="H623" s="411">
        <v>56.36</v>
      </c>
      <c r="I623" s="418">
        <f t="shared" si="89"/>
        <v>5.8897019453862942E-3</v>
      </c>
      <c r="J623" s="411">
        <v>2926.46</v>
      </c>
      <c r="K623" s="418">
        <f t="shared" si="90"/>
        <v>2.9851769342814638E-3</v>
      </c>
      <c r="L623" s="411">
        <v>56.36</v>
      </c>
      <c r="M623" s="418">
        <f t="shared" si="91"/>
        <v>5.8897019453862942E-3</v>
      </c>
      <c r="N623" s="411"/>
      <c r="O623" s="388"/>
      <c r="Q623" s="388"/>
    </row>
    <row r="624" spans="1:17">
      <c r="A624" s="408">
        <v>43634</v>
      </c>
      <c r="B624" s="411">
        <v>2917.75</v>
      </c>
      <c r="C624" s="418">
        <f t="shared" si="86"/>
        <v>9.7173725719545967E-3</v>
      </c>
      <c r="D624" s="411">
        <v>56.03</v>
      </c>
      <c r="E624" s="418">
        <f t="shared" si="87"/>
        <v>6.4666786419975697E-3</v>
      </c>
      <c r="F624" s="411">
        <v>2917.75</v>
      </c>
      <c r="G624" s="418">
        <f t="shared" si="88"/>
        <v>9.7173725719545967E-3</v>
      </c>
      <c r="H624" s="411">
        <v>56.03</v>
      </c>
      <c r="I624" s="418">
        <f t="shared" si="89"/>
        <v>6.4666786419975697E-3</v>
      </c>
      <c r="J624" s="411">
        <v>2917.75</v>
      </c>
      <c r="K624" s="418">
        <f t="shared" si="90"/>
        <v>9.7173725719545967E-3</v>
      </c>
      <c r="L624" s="411">
        <v>56.03</v>
      </c>
      <c r="M624" s="418">
        <f t="shared" si="91"/>
        <v>6.4666786419975697E-3</v>
      </c>
      <c r="N624" s="411"/>
      <c r="O624" s="388"/>
      <c r="Q624" s="388"/>
    </row>
    <row r="625" spans="1:17">
      <c r="A625" s="408">
        <v>43633</v>
      </c>
      <c r="B625" s="411">
        <v>2889.67</v>
      </c>
      <c r="C625" s="418">
        <f t="shared" si="86"/>
        <v>9.3176953078999425E-4</v>
      </c>
      <c r="D625" s="411">
        <v>55.67</v>
      </c>
      <c r="E625" s="418">
        <f t="shared" si="87"/>
        <v>-5.7153063046972985E-3</v>
      </c>
      <c r="F625" s="411">
        <v>2889.67</v>
      </c>
      <c r="G625" s="418">
        <f t="shared" si="88"/>
        <v>9.3176953078999425E-4</v>
      </c>
      <c r="H625" s="411">
        <v>55.67</v>
      </c>
      <c r="I625" s="418">
        <f t="shared" si="89"/>
        <v>-5.7153063046972985E-3</v>
      </c>
      <c r="J625" s="411">
        <v>2889.67</v>
      </c>
      <c r="K625" s="418">
        <f t="shared" si="90"/>
        <v>9.3176953078999425E-4</v>
      </c>
      <c r="L625" s="411">
        <v>55.67</v>
      </c>
      <c r="M625" s="418">
        <f t="shared" si="91"/>
        <v>-5.7153063046972985E-3</v>
      </c>
      <c r="N625" s="411"/>
      <c r="O625" s="388"/>
      <c r="Q625" s="388"/>
    </row>
    <row r="626" spans="1:17">
      <c r="A626" s="408">
        <v>43630</v>
      </c>
      <c r="B626" s="411">
        <v>2886.98</v>
      </c>
      <c r="C626" s="418">
        <f t="shared" si="86"/>
        <v>-1.6115422390061696E-3</v>
      </c>
      <c r="D626" s="411">
        <v>55.99</v>
      </c>
      <c r="E626" s="418">
        <f t="shared" si="87"/>
        <v>-9.377211606510949E-3</v>
      </c>
      <c r="F626" s="411">
        <v>2886.98</v>
      </c>
      <c r="G626" s="418">
        <f t="shared" si="88"/>
        <v>-1.6115422390061696E-3</v>
      </c>
      <c r="H626" s="411">
        <v>55.99</v>
      </c>
      <c r="I626" s="418">
        <f t="shared" si="89"/>
        <v>-9.377211606510949E-3</v>
      </c>
      <c r="J626" s="411">
        <v>2886.98</v>
      </c>
      <c r="K626" s="418">
        <f t="shared" si="90"/>
        <v>-1.6115422390061696E-3</v>
      </c>
      <c r="L626" s="411">
        <v>55.99</v>
      </c>
      <c r="M626" s="418">
        <f t="shared" si="91"/>
        <v>-9.377211606510949E-3</v>
      </c>
      <c r="N626" s="411"/>
      <c r="O626" s="388"/>
      <c r="Q626" s="388"/>
    </row>
    <row r="627" spans="1:17">
      <c r="A627" s="408">
        <v>43629</v>
      </c>
      <c r="B627" s="411">
        <v>2891.64</v>
      </c>
      <c r="C627" s="418">
        <f t="shared" si="86"/>
        <v>4.097449858325275E-3</v>
      </c>
      <c r="D627" s="411">
        <v>56.52</v>
      </c>
      <c r="E627" s="418">
        <f t="shared" si="87"/>
        <v>1.9296663660955726E-2</v>
      </c>
      <c r="F627" s="411">
        <v>2891.64</v>
      </c>
      <c r="G627" s="418">
        <f t="shared" si="88"/>
        <v>4.097449858325275E-3</v>
      </c>
      <c r="H627" s="411">
        <v>56.52</v>
      </c>
      <c r="I627" s="418">
        <f t="shared" si="89"/>
        <v>1.9296663660955726E-2</v>
      </c>
      <c r="J627" s="411">
        <v>2891.64</v>
      </c>
      <c r="K627" s="418">
        <f t="shared" si="90"/>
        <v>4.097449858325275E-3</v>
      </c>
      <c r="L627" s="411">
        <v>56.52</v>
      </c>
      <c r="M627" s="418">
        <f t="shared" si="91"/>
        <v>1.9296663660955726E-2</v>
      </c>
      <c r="N627" s="411"/>
      <c r="O627" s="388"/>
      <c r="Q627" s="388"/>
    </row>
    <row r="628" spans="1:17">
      <c r="A628" s="408">
        <v>43628</v>
      </c>
      <c r="B628" s="411">
        <v>2879.84</v>
      </c>
      <c r="C628" s="418">
        <f t="shared" si="86"/>
        <v>-2.0376197274856178E-3</v>
      </c>
      <c r="D628" s="411">
        <v>55.45</v>
      </c>
      <c r="E628" s="418">
        <f t="shared" si="87"/>
        <v>1.0386297376093312E-2</v>
      </c>
      <c r="F628" s="411">
        <v>2879.84</v>
      </c>
      <c r="G628" s="418">
        <f t="shared" si="88"/>
        <v>-2.0376197274856178E-3</v>
      </c>
      <c r="H628" s="411">
        <v>55.45</v>
      </c>
      <c r="I628" s="418">
        <f t="shared" si="89"/>
        <v>1.0386297376093312E-2</v>
      </c>
      <c r="J628" s="411">
        <v>2879.84</v>
      </c>
      <c r="K628" s="418">
        <f t="shared" si="90"/>
        <v>-2.0376197274856178E-3</v>
      </c>
      <c r="L628" s="411">
        <v>55.45</v>
      </c>
      <c r="M628" s="418">
        <f t="shared" si="91"/>
        <v>1.0386297376093312E-2</v>
      </c>
      <c r="N628" s="411"/>
      <c r="O628" s="388"/>
      <c r="Q628" s="388"/>
    </row>
    <row r="629" spans="1:17">
      <c r="A629" s="408">
        <v>43627</v>
      </c>
      <c r="B629" s="411">
        <v>2885.72</v>
      </c>
      <c r="C629" s="418">
        <f t="shared" si="86"/>
        <v>-3.4987685027698667E-4</v>
      </c>
      <c r="D629" s="411">
        <v>54.88</v>
      </c>
      <c r="E629" s="418">
        <f t="shared" si="87"/>
        <v>2.7407272062855981E-3</v>
      </c>
      <c r="F629" s="411">
        <v>2885.72</v>
      </c>
      <c r="G629" s="418">
        <f t="shared" si="88"/>
        <v>-3.4987685027698667E-4</v>
      </c>
      <c r="H629" s="411">
        <v>54.88</v>
      </c>
      <c r="I629" s="418">
        <f t="shared" si="89"/>
        <v>2.7407272062855981E-3</v>
      </c>
      <c r="J629" s="411">
        <v>2885.72</v>
      </c>
      <c r="K629" s="418">
        <f t="shared" si="90"/>
        <v>-3.4987685027698667E-4</v>
      </c>
      <c r="L629" s="411">
        <v>54.88</v>
      </c>
      <c r="M629" s="418">
        <f t="shared" si="91"/>
        <v>2.7407272062855981E-3</v>
      </c>
      <c r="N629" s="411"/>
      <c r="O629" s="388"/>
      <c r="Q629" s="388"/>
    </row>
    <row r="630" spans="1:17">
      <c r="A630" s="408">
        <v>43626</v>
      </c>
      <c r="B630" s="411">
        <v>2886.73</v>
      </c>
      <c r="C630" s="418">
        <f t="shared" si="86"/>
        <v>4.6600819951694294E-3</v>
      </c>
      <c r="D630" s="411">
        <v>54.73</v>
      </c>
      <c r="E630" s="418">
        <f t="shared" si="87"/>
        <v>-6.173960414018631E-3</v>
      </c>
      <c r="F630" s="411">
        <v>2886.73</v>
      </c>
      <c r="G630" s="418">
        <f t="shared" si="88"/>
        <v>4.6600819951694294E-3</v>
      </c>
      <c r="H630" s="411">
        <v>54.73</v>
      </c>
      <c r="I630" s="418">
        <f t="shared" si="89"/>
        <v>-6.173960414018631E-3</v>
      </c>
      <c r="J630" s="411">
        <v>2886.73</v>
      </c>
      <c r="K630" s="418">
        <f t="shared" si="90"/>
        <v>4.6600819951694294E-3</v>
      </c>
      <c r="L630" s="411">
        <v>54.73</v>
      </c>
      <c r="M630" s="418">
        <f t="shared" si="91"/>
        <v>-6.173960414018631E-3</v>
      </c>
      <c r="N630" s="411"/>
      <c r="O630" s="388"/>
      <c r="Q630" s="388"/>
    </row>
    <row r="631" spans="1:17">
      <c r="A631" s="408">
        <v>43623</v>
      </c>
      <c r="B631" s="411">
        <v>2873.34</v>
      </c>
      <c r="C631" s="418">
        <f t="shared" si="86"/>
        <v>1.0497663083042452E-2</v>
      </c>
      <c r="D631" s="411">
        <v>55.07</v>
      </c>
      <c r="E631" s="418">
        <f t="shared" si="87"/>
        <v>6.9482537941123468E-3</v>
      </c>
      <c r="F631" s="411">
        <v>2873.34</v>
      </c>
      <c r="G631" s="418">
        <f t="shared" si="88"/>
        <v>1.0497663083042452E-2</v>
      </c>
      <c r="H631" s="411">
        <v>55.07</v>
      </c>
      <c r="I631" s="418">
        <f t="shared" si="89"/>
        <v>6.9482537941123468E-3</v>
      </c>
      <c r="J631" s="411">
        <v>2873.34</v>
      </c>
      <c r="K631" s="418">
        <f t="shared" si="90"/>
        <v>1.0497663083042452E-2</v>
      </c>
      <c r="L631" s="411">
        <v>55.07</v>
      </c>
      <c r="M631" s="418">
        <f t="shared" si="91"/>
        <v>6.9482537941123468E-3</v>
      </c>
      <c r="N631" s="411"/>
      <c r="O631" s="388"/>
      <c r="Q631" s="388"/>
    </row>
    <row r="632" spans="1:17">
      <c r="A632" s="408">
        <v>43622</v>
      </c>
      <c r="B632" s="411">
        <v>2843.49</v>
      </c>
      <c r="C632" s="418">
        <f t="shared" si="86"/>
        <v>6.1355554376094634E-3</v>
      </c>
      <c r="D632" s="411">
        <v>54.69</v>
      </c>
      <c r="E632" s="418">
        <f t="shared" si="87"/>
        <v>-4.5504186385147971E-3</v>
      </c>
      <c r="F632" s="411">
        <v>2843.49</v>
      </c>
      <c r="G632" s="418">
        <f t="shared" si="88"/>
        <v>6.1355554376094634E-3</v>
      </c>
      <c r="H632" s="411">
        <v>54.69</v>
      </c>
      <c r="I632" s="418">
        <f t="shared" si="89"/>
        <v>-4.5504186385147971E-3</v>
      </c>
      <c r="J632" s="411">
        <v>2843.49</v>
      </c>
      <c r="K632" s="418">
        <f t="shared" si="90"/>
        <v>6.1355554376094634E-3</v>
      </c>
      <c r="L632" s="411">
        <v>54.69</v>
      </c>
      <c r="M632" s="418">
        <f t="shared" si="91"/>
        <v>-4.5504186385147971E-3</v>
      </c>
      <c r="N632" s="411"/>
      <c r="O632" s="388"/>
      <c r="Q632" s="388"/>
    </row>
    <row r="633" spans="1:17">
      <c r="A633" s="408">
        <v>43621</v>
      </c>
      <c r="B633" s="411">
        <v>2826.15</v>
      </c>
      <c r="C633" s="418">
        <f t="shared" si="86"/>
        <v>8.1618966421357353E-3</v>
      </c>
      <c r="D633" s="411">
        <v>54.94</v>
      </c>
      <c r="E633" s="418">
        <f t="shared" si="87"/>
        <v>1.1600073651261145E-2</v>
      </c>
      <c r="F633" s="411">
        <v>2826.15</v>
      </c>
      <c r="G633" s="418">
        <f t="shared" si="88"/>
        <v>8.1618966421357353E-3</v>
      </c>
      <c r="H633" s="411">
        <v>54.94</v>
      </c>
      <c r="I633" s="418">
        <f t="shared" si="89"/>
        <v>1.1600073651261145E-2</v>
      </c>
      <c r="J633" s="411">
        <v>2826.15</v>
      </c>
      <c r="K633" s="418">
        <f t="shared" si="90"/>
        <v>8.1618966421357353E-3</v>
      </c>
      <c r="L633" s="411">
        <v>54.94</v>
      </c>
      <c r="M633" s="418">
        <f t="shared" si="91"/>
        <v>1.1600073651261145E-2</v>
      </c>
      <c r="N633" s="411"/>
      <c r="O633" s="388"/>
      <c r="Q633" s="388"/>
    </row>
    <row r="634" spans="1:17">
      <c r="A634" s="408">
        <v>43620</v>
      </c>
      <c r="B634" s="411">
        <v>2803.27</v>
      </c>
      <c r="C634" s="418">
        <f t="shared" si="86"/>
        <v>2.1432345278653342E-2</v>
      </c>
      <c r="D634" s="411">
        <v>54.31</v>
      </c>
      <c r="E634" s="418">
        <f t="shared" si="87"/>
        <v>4.2418426103646878E-2</v>
      </c>
      <c r="F634" s="411">
        <v>2803.27</v>
      </c>
      <c r="G634" s="418">
        <f t="shared" si="88"/>
        <v>2.1432345278653342E-2</v>
      </c>
      <c r="H634" s="411">
        <v>54.31</v>
      </c>
      <c r="I634" s="418">
        <f t="shared" si="89"/>
        <v>4.2418426103646878E-2</v>
      </c>
      <c r="J634" s="411">
        <v>2803.27</v>
      </c>
      <c r="K634" s="418">
        <f t="shared" si="90"/>
        <v>2.1432345278653342E-2</v>
      </c>
      <c r="L634" s="411">
        <v>54.31</v>
      </c>
      <c r="M634" s="418">
        <f t="shared" si="91"/>
        <v>4.2418426103646878E-2</v>
      </c>
      <c r="N634" s="411"/>
      <c r="O634" s="388"/>
      <c r="Q634" s="388"/>
    </row>
    <row r="635" spans="1:17">
      <c r="A635" s="408">
        <v>43619</v>
      </c>
      <c r="B635" s="411">
        <v>2744.45</v>
      </c>
      <c r="C635" s="418">
        <f t="shared" si="86"/>
        <v>-2.7652013400870645E-3</v>
      </c>
      <c r="D635" s="411">
        <v>52.1</v>
      </c>
      <c r="E635" s="418">
        <f t="shared" si="87"/>
        <v>1.1650485436893288E-2</v>
      </c>
      <c r="F635" s="411">
        <v>2744.45</v>
      </c>
      <c r="G635" s="418">
        <f t="shared" si="88"/>
        <v>-2.7652013400870645E-3</v>
      </c>
      <c r="H635" s="411">
        <v>52.1</v>
      </c>
      <c r="I635" s="418">
        <f t="shared" si="89"/>
        <v>1.1650485436893288E-2</v>
      </c>
      <c r="J635" s="411">
        <v>2744.45</v>
      </c>
      <c r="K635" s="418">
        <f t="shared" si="90"/>
        <v>-2.7652013400870645E-3</v>
      </c>
      <c r="L635" s="411">
        <v>52.1</v>
      </c>
      <c r="M635" s="418">
        <f t="shared" si="91"/>
        <v>1.1650485436893288E-2</v>
      </c>
      <c r="N635" s="411"/>
      <c r="O635" s="388"/>
      <c r="Q635" s="388"/>
    </row>
    <row r="636" spans="1:17">
      <c r="A636" s="408">
        <v>43616</v>
      </c>
      <c r="B636" s="411">
        <v>2752.06</v>
      </c>
      <c r="C636" s="418">
        <f t="shared" si="86"/>
        <v>-1.3195355808466647E-2</v>
      </c>
      <c r="D636" s="411">
        <v>51.5</v>
      </c>
      <c r="E636" s="418">
        <f t="shared" si="87"/>
        <v>-2.8851593437676848E-2</v>
      </c>
      <c r="F636" s="411">
        <v>2752.06</v>
      </c>
      <c r="G636" s="418">
        <f t="shared" si="88"/>
        <v>-1.3195355808466647E-2</v>
      </c>
      <c r="H636" s="411">
        <v>51.5</v>
      </c>
      <c r="I636" s="418">
        <f t="shared" si="89"/>
        <v>-2.8851593437676848E-2</v>
      </c>
      <c r="J636" s="411">
        <v>2752.06</v>
      </c>
      <c r="K636" s="418">
        <f t="shared" si="90"/>
        <v>-1.3195355808466647E-2</v>
      </c>
      <c r="L636" s="411">
        <v>51.5</v>
      </c>
      <c r="M636" s="418">
        <f t="shared" si="91"/>
        <v>-2.8851593437676848E-2</v>
      </c>
      <c r="N636" s="411"/>
      <c r="O636" s="388"/>
      <c r="Q636" s="388"/>
    </row>
    <row r="637" spans="1:17">
      <c r="A637" s="408">
        <v>43615</v>
      </c>
      <c r="B637" s="411">
        <v>2788.86</v>
      </c>
      <c r="C637" s="418">
        <f t="shared" si="86"/>
        <v>2.0984398243635294E-3</v>
      </c>
      <c r="D637" s="411">
        <v>53.03</v>
      </c>
      <c r="E637" s="418">
        <f t="shared" si="87"/>
        <v>-3.3828227776733222E-3</v>
      </c>
      <c r="F637" s="411">
        <v>2788.86</v>
      </c>
      <c r="G637" s="418">
        <f t="shared" si="88"/>
        <v>2.0984398243635294E-3</v>
      </c>
      <c r="H637" s="411">
        <v>53.03</v>
      </c>
      <c r="I637" s="418">
        <f t="shared" si="89"/>
        <v>-3.3828227776733222E-3</v>
      </c>
      <c r="J637" s="411">
        <v>2788.86</v>
      </c>
      <c r="K637" s="418">
        <f t="shared" si="90"/>
        <v>2.0984398243635294E-3</v>
      </c>
      <c r="L637" s="411">
        <v>53.03</v>
      </c>
      <c r="M637" s="418">
        <f t="shared" si="91"/>
        <v>-3.3828227776733222E-3</v>
      </c>
      <c r="N637" s="411"/>
      <c r="O637" s="388"/>
      <c r="Q637" s="388"/>
    </row>
    <row r="638" spans="1:17">
      <c r="A638" s="408">
        <v>43614</v>
      </c>
      <c r="B638" s="411">
        <v>2783.02</v>
      </c>
      <c r="C638" s="418">
        <f t="shared" si="86"/>
        <v>-6.9119572935958384E-3</v>
      </c>
      <c r="D638" s="411">
        <v>53.21</v>
      </c>
      <c r="E638" s="418">
        <f t="shared" si="87"/>
        <v>-1.2435040831477395E-2</v>
      </c>
      <c r="F638" s="411">
        <v>2783.02</v>
      </c>
      <c r="G638" s="418">
        <f t="shared" si="88"/>
        <v>-6.9119572935958384E-3</v>
      </c>
      <c r="H638" s="411">
        <v>53.21</v>
      </c>
      <c r="I638" s="418">
        <f t="shared" si="89"/>
        <v>-1.2435040831477395E-2</v>
      </c>
      <c r="J638" s="411">
        <v>2783.02</v>
      </c>
      <c r="K638" s="418">
        <f t="shared" si="90"/>
        <v>-6.9119572935958384E-3</v>
      </c>
      <c r="L638" s="411">
        <v>53.21</v>
      </c>
      <c r="M638" s="418">
        <f t="shared" si="91"/>
        <v>-1.2435040831477395E-2</v>
      </c>
      <c r="N638" s="411"/>
      <c r="O638" s="388"/>
      <c r="Q638" s="388"/>
    </row>
    <row r="639" spans="1:17">
      <c r="A639" s="408">
        <v>43613</v>
      </c>
      <c r="B639" s="411">
        <v>2802.39</v>
      </c>
      <c r="C639" s="418">
        <f t="shared" si="86"/>
        <v>-8.3756183520520278E-3</v>
      </c>
      <c r="D639" s="411">
        <v>53.88</v>
      </c>
      <c r="E639" s="418">
        <f t="shared" si="87"/>
        <v>-4.4345898004433115E-3</v>
      </c>
      <c r="F639" s="411">
        <v>2802.39</v>
      </c>
      <c r="G639" s="418">
        <f t="shared" si="88"/>
        <v>-8.3756183520520278E-3</v>
      </c>
      <c r="H639" s="411">
        <v>53.88</v>
      </c>
      <c r="I639" s="418">
        <f t="shared" si="89"/>
        <v>-4.4345898004433115E-3</v>
      </c>
      <c r="J639" s="411">
        <v>2802.39</v>
      </c>
      <c r="K639" s="418">
        <f t="shared" si="90"/>
        <v>-8.3756183520520278E-3</v>
      </c>
      <c r="L639" s="411">
        <v>53.88</v>
      </c>
      <c r="M639" s="418">
        <f t="shared" si="91"/>
        <v>-4.4345898004433115E-3</v>
      </c>
      <c r="N639" s="411"/>
      <c r="O639" s="388"/>
      <c r="Q639" s="388"/>
    </row>
    <row r="640" spans="1:17">
      <c r="A640" s="408">
        <v>43609</v>
      </c>
      <c r="B640" s="411">
        <v>2826.06</v>
      </c>
      <c r="C640" s="418">
        <f t="shared" si="86"/>
        <v>1.353534780883292E-3</v>
      </c>
      <c r="D640" s="411">
        <v>54.12</v>
      </c>
      <c r="E640" s="418">
        <f t="shared" si="87"/>
        <v>2.2222222222221255E-3</v>
      </c>
      <c r="F640" s="411">
        <v>2826.06</v>
      </c>
      <c r="G640" s="418">
        <f t="shared" si="88"/>
        <v>1.353534780883292E-3</v>
      </c>
      <c r="H640" s="411">
        <v>54.12</v>
      </c>
      <c r="I640" s="418">
        <f t="shared" si="89"/>
        <v>2.2222222222221255E-3</v>
      </c>
      <c r="J640" s="411">
        <v>2826.06</v>
      </c>
      <c r="K640" s="418">
        <f t="shared" si="90"/>
        <v>1.353534780883292E-3</v>
      </c>
      <c r="L640" s="411">
        <v>54.12</v>
      </c>
      <c r="M640" s="418">
        <f t="shared" si="91"/>
        <v>2.2222222222221255E-3</v>
      </c>
      <c r="N640" s="411"/>
      <c r="O640" s="388"/>
      <c r="Q640" s="388"/>
    </row>
    <row r="641" spans="1:17">
      <c r="A641" s="408">
        <v>43608</v>
      </c>
      <c r="B641" s="411">
        <v>2822.24</v>
      </c>
      <c r="C641" s="418">
        <f t="shared" si="86"/>
        <v>-1.1914139769699683E-2</v>
      </c>
      <c r="D641" s="411">
        <v>54</v>
      </c>
      <c r="E641" s="418">
        <f t="shared" si="87"/>
        <v>-1.1098779134295356E-3</v>
      </c>
      <c r="F641" s="411">
        <v>2822.24</v>
      </c>
      <c r="G641" s="418">
        <f t="shared" si="88"/>
        <v>-1.1914139769699683E-2</v>
      </c>
      <c r="H641" s="411">
        <v>54</v>
      </c>
      <c r="I641" s="418">
        <f t="shared" si="89"/>
        <v>-1.1098779134295356E-3</v>
      </c>
      <c r="J641" s="411">
        <v>2822.24</v>
      </c>
      <c r="K641" s="418">
        <f t="shared" si="90"/>
        <v>-1.1914139769699683E-2</v>
      </c>
      <c r="L641" s="411">
        <v>54</v>
      </c>
      <c r="M641" s="418">
        <f t="shared" si="91"/>
        <v>-1.1098779134295356E-3</v>
      </c>
      <c r="N641" s="411"/>
      <c r="O641" s="388"/>
      <c r="Q641" s="388"/>
    </row>
    <row r="642" spans="1:17">
      <c r="A642" s="408">
        <v>43607</v>
      </c>
      <c r="B642" s="411">
        <v>2856.27</v>
      </c>
      <c r="C642" s="418">
        <f t="shared" si="86"/>
        <v>-2.8243656523622152E-3</v>
      </c>
      <c r="D642" s="411">
        <v>54.06</v>
      </c>
      <c r="E642" s="418">
        <f t="shared" si="87"/>
        <v>-1.4043406894036048E-2</v>
      </c>
      <c r="F642" s="411">
        <v>2856.27</v>
      </c>
      <c r="G642" s="418">
        <f t="shared" si="88"/>
        <v>-2.8243656523622152E-3</v>
      </c>
      <c r="H642" s="411">
        <v>54.06</v>
      </c>
      <c r="I642" s="418">
        <f t="shared" si="89"/>
        <v>-1.4043406894036048E-2</v>
      </c>
      <c r="J642" s="411">
        <v>2856.27</v>
      </c>
      <c r="K642" s="418">
        <f t="shared" si="90"/>
        <v>-2.8243656523622152E-3</v>
      </c>
      <c r="L642" s="411">
        <v>54.06</v>
      </c>
      <c r="M642" s="418">
        <f t="shared" si="91"/>
        <v>-1.4043406894036048E-2</v>
      </c>
      <c r="N642" s="411"/>
      <c r="O642" s="388"/>
      <c r="Q642" s="388"/>
    </row>
    <row r="643" spans="1:17">
      <c r="A643" s="408">
        <v>43606</v>
      </c>
      <c r="B643" s="411">
        <v>2864.36</v>
      </c>
      <c r="C643" s="418">
        <f t="shared" si="86"/>
        <v>8.4957908338409993E-3</v>
      </c>
      <c r="D643" s="411">
        <v>54.83</v>
      </c>
      <c r="E643" s="418">
        <f t="shared" si="87"/>
        <v>1.0132645541635954E-2</v>
      </c>
      <c r="F643" s="411">
        <v>2864.36</v>
      </c>
      <c r="G643" s="418">
        <f t="shared" si="88"/>
        <v>8.4957908338409993E-3</v>
      </c>
      <c r="H643" s="411">
        <v>54.83</v>
      </c>
      <c r="I643" s="418">
        <f t="shared" si="89"/>
        <v>1.0132645541635954E-2</v>
      </c>
      <c r="J643" s="411">
        <v>2864.36</v>
      </c>
      <c r="K643" s="418">
        <f t="shared" si="90"/>
        <v>8.4957908338409993E-3</v>
      </c>
      <c r="L643" s="411">
        <v>54.83</v>
      </c>
      <c r="M643" s="418">
        <f t="shared" si="91"/>
        <v>1.0132645541635954E-2</v>
      </c>
      <c r="N643" s="411"/>
      <c r="O643" s="388"/>
      <c r="Q643" s="388"/>
    </row>
    <row r="644" spans="1:17">
      <c r="A644" s="408">
        <v>43605</v>
      </c>
      <c r="B644" s="411">
        <v>2840.23</v>
      </c>
      <c r="C644" s="418">
        <f t="shared" si="86"/>
        <v>-6.749360908960611E-3</v>
      </c>
      <c r="D644" s="411">
        <v>54.28</v>
      </c>
      <c r="E644" s="418">
        <f t="shared" si="87"/>
        <v>-1.1113135361632387E-2</v>
      </c>
      <c r="F644" s="411">
        <v>2840.23</v>
      </c>
      <c r="G644" s="418">
        <f t="shared" si="88"/>
        <v>-6.749360908960611E-3</v>
      </c>
      <c r="H644" s="411">
        <v>54.28</v>
      </c>
      <c r="I644" s="418">
        <f t="shared" si="89"/>
        <v>-1.1113135361632387E-2</v>
      </c>
      <c r="J644" s="411">
        <v>2840.23</v>
      </c>
      <c r="K644" s="418">
        <f t="shared" si="90"/>
        <v>-6.749360908960611E-3</v>
      </c>
      <c r="L644" s="411">
        <v>54.28</v>
      </c>
      <c r="M644" s="418">
        <f t="shared" si="91"/>
        <v>-1.1113135361632387E-2</v>
      </c>
      <c r="N644" s="411"/>
      <c r="O644" s="388"/>
      <c r="Q644" s="388"/>
    </row>
    <row r="645" spans="1:17">
      <c r="A645" s="408">
        <v>43602</v>
      </c>
      <c r="B645" s="411">
        <v>2859.53</v>
      </c>
      <c r="C645" s="418">
        <f t="shared" si="86"/>
        <v>-5.8373199087723426E-3</v>
      </c>
      <c r="D645" s="411">
        <v>54.89</v>
      </c>
      <c r="E645" s="418">
        <f t="shared" si="87"/>
        <v>-8.8479595521849808E-3</v>
      </c>
      <c r="F645" s="411">
        <v>2859.53</v>
      </c>
      <c r="G645" s="418">
        <f t="shared" si="88"/>
        <v>-5.8373199087723426E-3</v>
      </c>
      <c r="H645" s="411">
        <v>54.89</v>
      </c>
      <c r="I645" s="418">
        <f t="shared" si="89"/>
        <v>-8.8479595521849808E-3</v>
      </c>
      <c r="J645" s="411">
        <v>2859.53</v>
      </c>
      <c r="K645" s="418">
        <f t="shared" si="90"/>
        <v>-5.8373199087723426E-3</v>
      </c>
      <c r="L645" s="411">
        <v>54.89</v>
      </c>
      <c r="M645" s="418">
        <f t="shared" si="91"/>
        <v>-8.8479595521849808E-3</v>
      </c>
      <c r="N645" s="411"/>
      <c r="O645" s="388"/>
      <c r="Q645" s="388"/>
    </row>
    <row r="646" spans="1:17">
      <c r="A646" s="408">
        <v>43601</v>
      </c>
      <c r="B646" s="411">
        <v>2876.32</v>
      </c>
      <c r="C646" s="418">
        <f t="shared" si="86"/>
        <v>8.895249319527565E-3</v>
      </c>
      <c r="D646" s="411">
        <v>55.38</v>
      </c>
      <c r="E646" s="418">
        <f t="shared" si="87"/>
        <v>5.9945504087195456E-3</v>
      </c>
      <c r="F646" s="411">
        <v>2876.32</v>
      </c>
      <c r="G646" s="418">
        <f t="shared" si="88"/>
        <v>8.895249319527565E-3</v>
      </c>
      <c r="H646" s="411">
        <v>55.38</v>
      </c>
      <c r="I646" s="418">
        <f t="shared" si="89"/>
        <v>5.9945504087195456E-3</v>
      </c>
      <c r="J646" s="411">
        <v>2876.32</v>
      </c>
      <c r="K646" s="418">
        <f t="shared" si="90"/>
        <v>8.895249319527565E-3</v>
      </c>
      <c r="L646" s="411">
        <v>55.38</v>
      </c>
      <c r="M646" s="418">
        <f t="shared" si="91"/>
        <v>5.9945504087195456E-3</v>
      </c>
      <c r="N646" s="411"/>
      <c r="O646" s="388"/>
      <c r="Q646" s="388"/>
    </row>
    <row r="647" spans="1:17">
      <c r="A647" s="408">
        <v>43600</v>
      </c>
      <c r="B647" s="411">
        <v>2850.96</v>
      </c>
      <c r="C647" s="418">
        <f t="shared" si="86"/>
        <v>5.8389576666748599E-3</v>
      </c>
      <c r="D647" s="411">
        <v>55.05</v>
      </c>
      <c r="E647" s="418">
        <f t="shared" si="87"/>
        <v>-3.6199095022625416E-3</v>
      </c>
      <c r="F647" s="411">
        <v>2850.96</v>
      </c>
      <c r="G647" s="418">
        <f t="shared" si="88"/>
        <v>5.8389576666748599E-3</v>
      </c>
      <c r="H647" s="411">
        <v>55.05</v>
      </c>
      <c r="I647" s="418">
        <f t="shared" si="89"/>
        <v>-3.6199095022625416E-3</v>
      </c>
      <c r="J647" s="411">
        <v>2850.96</v>
      </c>
      <c r="K647" s="418">
        <f t="shared" si="90"/>
        <v>5.8389576666748599E-3</v>
      </c>
      <c r="L647" s="411">
        <v>55.05</v>
      </c>
      <c r="M647" s="418">
        <f t="shared" si="91"/>
        <v>-3.6199095022625416E-3</v>
      </c>
      <c r="N647" s="411"/>
      <c r="O647" s="388"/>
      <c r="Q647" s="388"/>
    </row>
    <row r="648" spans="1:17">
      <c r="A648" s="408">
        <v>43599</v>
      </c>
      <c r="B648" s="411">
        <v>2834.41</v>
      </c>
      <c r="C648" s="418">
        <f t="shared" ref="C648:C711" si="92">B648/B649-1</f>
        <v>8.016017810211773E-3</v>
      </c>
      <c r="D648" s="411">
        <v>55.25</v>
      </c>
      <c r="E648" s="418">
        <f t="shared" ref="E648:E711" si="93">D648/D649-1</f>
        <v>8.2116788321169309E-3</v>
      </c>
      <c r="F648" s="411">
        <v>2834.41</v>
      </c>
      <c r="G648" s="418">
        <f t="shared" ref="G648:G711" si="94">F648/F649-1</f>
        <v>8.016017810211773E-3</v>
      </c>
      <c r="H648" s="411">
        <v>55.25</v>
      </c>
      <c r="I648" s="418">
        <f t="shared" ref="I648:I711" si="95">H648/H649-1</f>
        <v>8.2116788321169309E-3</v>
      </c>
      <c r="J648" s="411">
        <v>2834.41</v>
      </c>
      <c r="K648" s="418">
        <f t="shared" ref="K648:K711" si="96">J648/J649-1</f>
        <v>8.016017810211773E-3</v>
      </c>
      <c r="L648" s="411">
        <v>55.25</v>
      </c>
      <c r="M648" s="418">
        <f t="shared" ref="M648:M711" si="97">L648/L649-1</f>
        <v>8.2116788321169309E-3</v>
      </c>
      <c r="N648" s="411"/>
      <c r="O648" s="388"/>
      <c r="Q648" s="388"/>
    </row>
    <row r="649" spans="1:17">
      <c r="A649" s="408">
        <v>43598</v>
      </c>
      <c r="B649" s="411">
        <v>2811.87</v>
      </c>
      <c r="C649" s="418">
        <f t="shared" si="92"/>
        <v>-2.4130630943291487E-2</v>
      </c>
      <c r="D649" s="411">
        <v>54.8</v>
      </c>
      <c r="E649" s="418">
        <f t="shared" si="93"/>
        <v>-3.2144118685976664E-2</v>
      </c>
      <c r="F649" s="411">
        <v>2811.87</v>
      </c>
      <c r="G649" s="418">
        <f t="shared" si="94"/>
        <v>-2.4130630943291487E-2</v>
      </c>
      <c r="H649" s="411">
        <v>54.8</v>
      </c>
      <c r="I649" s="418">
        <f t="shared" si="95"/>
        <v>-3.2144118685976664E-2</v>
      </c>
      <c r="J649" s="411">
        <v>2811.87</v>
      </c>
      <c r="K649" s="418">
        <f t="shared" si="96"/>
        <v>-2.4130630943291487E-2</v>
      </c>
      <c r="L649" s="411">
        <v>54.8</v>
      </c>
      <c r="M649" s="418">
        <f t="shared" si="97"/>
        <v>-3.2144118685976664E-2</v>
      </c>
      <c r="N649" s="411"/>
      <c r="O649" s="388"/>
      <c r="Q649" s="388"/>
    </row>
    <row r="650" spans="1:17">
      <c r="A650" s="408">
        <v>43595</v>
      </c>
      <c r="B650" s="411">
        <v>2881.4</v>
      </c>
      <c r="C650" s="418">
        <f t="shared" si="92"/>
        <v>3.7203210344445292E-3</v>
      </c>
      <c r="D650" s="411">
        <v>56.62</v>
      </c>
      <c r="E650" s="418">
        <f t="shared" si="93"/>
        <v>5.3012899805615632E-4</v>
      </c>
      <c r="F650" s="411">
        <v>2881.4</v>
      </c>
      <c r="G650" s="418">
        <f t="shared" si="94"/>
        <v>3.7203210344445292E-3</v>
      </c>
      <c r="H650" s="411">
        <v>56.62</v>
      </c>
      <c r="I650" s="418">
        <f t="shared" si="95"/>
        <v>5.3012899805615632E-4</v>
      </c>
      <c r="J650" s="411">
        <v>2881.4</v>
      </c>
      <c r="K650" s="418">
        <f t="shared" si="96"/>
        <v>3.7203210344445292E-3</v>
      </c>
      <c r="L650" s="411">
        <v>56.62</v>
      </c>
      <c r="M650" s="418">
        <f t="shared" si="97"/>
        <v>5.3012899805615632E-4</v>
      </c>
      <c r="N650" s="411"/>
      <c r="O650" s="388"/>
      <c r="Q650" s="388"/>
    </row>
    <row r="651" spans="1:17">
      <c r="A651" s="408">
        <v>43594</v>
      </c>
      <c r="B651" s="411">
        <v>2870.72</v>
      </c>
      <c r="C651" s="418">
        <f t="shared" si="92"/>
        <v>-3.0214418181440106E-3</v>
      </c>
      <c r="D651" s="411">
        <v>56.59</v>
      </c>
      <c r="E651" s="418">
        <f t="shared" si="93"/>
        <v>2.4800708591674603E-3</v>
      </c>
      <c r="F651" s="411">
        <v>2870.72</v>
      </c>
      <c r="G651" s="418">
        <f t="shared" si="94"/>
        <v>-3.0214418181440106E-3</v>
      </c>
      <c r="H651" s="411">
        <v>56.59</v>
      </c>
      <c r="I651" s="418">
        <f t="shared" si="95"/>
        <v>2.4800708591674603E-3</v>
      </c>
      <c r="J651" s="411">
        <v>2870.72</v>
      </c>
      <c r="K651" s="418">
        <f t="shared" si="96"/>
        <v>-3.0214418181440106E-3</v>
      </c>
      <c r="L651" s="411">
        <v>56.59</v>
      </c>
      <c r="M651" s="418">
        <f t="shared" si="97"/>
        <v>2.4800708591674603E-3</v>
      </c>
      <c r="N651" s="411"/>
      <c r="O651" s="388"/>
      <c r="Q651" s="388"/>
    </row>
    <row r="652" spans="1:17">
      <c r="A652" s="408">
        <v>43593</v>
      </c>
      <c r="B652" s="411">
        <v>2879.42</v>
      </c>
      <c r="C652" s="418">
        <f t="shared" si="92"/>
        <v>-1.6053813214057522E-3</v>
      </c>
      <c r="D652" s="411">
        <v>56.45</v>
      </c>
      <c r="E652" s="418">
        <f t="shared" si="93"/>
        <v>-1.2594017841525251E-2</v>
      </c>
      <c r="F652" s="411">
        <v>2879.42</v>
      </c>
      <c r="G652" s="418">
        <f t="shared" si="94"/>
        <v>-1.6053813214057522E-3</v>
      </c>
      <c r="H652" s="411">
        <v>56.45</v>
      </c>
      <c r="I652" s="418">
        <f t="shared" si="95"/>
        <v>-1.2594017841525251E-2</v>
      </c>
      <c r="J652" s="411">
        <v>2879.42</v>
      </c>
      <c r="K652" s="418">
        <f t="shared" si="96"/>
        <v>-1.6053813214057522E-3</v>
      </c>
      <c r="L652" s="411">
        <v>56.45</v>
      </c>
      <c r="M652" s="418">
        <f t="shared" si="97"/>
        <v>-1.2594017841525251E-2</v>
      </c>
      <c r="N652" s="411"/>
      <c r="O652" s="388"/>
      <c r="Q652" s="388"/>
    </row>
    <row r="653" spans="1:17">
      <c r="A653" s="408">
        <v>43592</v>
      </c>
      <c r="B653" s="411">
        <v>2884.05</v>
      </c>
      <c r="C653" s="418">
        <f t="shared" si="92"/>
        <v>-1.6511677868827124E-2</v>
      </c>
      <c r="D653" s="411">
        <v>57.17</v>
      </c>
      <c r="E653" s="418">
        <f t="shared" si="93"/>
        <v>-9.7003291183093143E-3</v>
      </c>
      <c r="F653" s="411">
        <v>2884.05</v>
      </c>
      <c r="G653" s="418">
        <f t="shared" si="94"/>
        <v>-1.6511677868827124E-2</v>
      </c>
      <c r="H653" s="411">
        <v>57.17</v>
      </c>
      <c r="I653" s="418">
        <f t="shared" si="95"/>
        <v>-9.7003291183093143E-3</v>
      </c>
      <c r="J653" s="411">
        <v>2884.05</v>
      </c>
      <c r="K653" s="418">
        <f t="shared" si="96"/>
        <v>-1.6511677868827124E-2</v>
      </c>
      <c r="L653" s="411">
        <v>57.17</v>
      </c>
      <c r="M653" s="418">
        <f t="shared" si="97"/>
        <v>-9.7003291183093143E-3</v>
      </c>
      <c r="N653" s="411"/>
      <c r="O653" s="388"/>
      <c r="Q653" s="388"/>
    </row>
    <row r="654" spans="1:17">
      <c r="A654" s="408">
        <v>43591</v>
      </c>
      <c r="B654" s="411">
        <v>2932.47</v>
      </c>
      <c r="C654" s="418">
        <f t="shared" si="92"/>
        <v>-4.471014787957861E-3</v>
      </c>
      <c r="D654" s="411">
        <v>57.73</v>
      </c>
      <c r="E654" s="418">
        <f t="shared" si="93"/>
        <v>-1.2110726643598246E-3</v>
      </c>
      <c r="F654" s="411">
        <v>2932.47</v>
      </c>
      <c r="G654" s="418">
        <f t="shared" si="94"/>
        <v>-4.471014787957861E-3</v>
      </c>
      <c r="H654" s="411">
        <v>57.73</v>
      </c>
      <c r="I654" s="418">
        <f t="shared" si="95"/>
        <v>-1.2110726643598246E-3</v>
      </c>
      <c r="J654" s="411">
        <v>2932.47</v>
      </c>
      <c r="K654" s="418">
        <f t="shared" si="96"/>
        <v>-4.471014787957861E-3</v>
      </c>
      <c r="L654" s="411">
        <v>57.73</v>
      </c>
      <c r="M654" s="418">
        <f t="shared" si="97"/>
        <v>-1.2110726643598246E-3</v>
      </c>
      <c r="N654" s="411"/>
      <c r="O654" s="388"/>
      <c r="Q654" s="388"/>
    </row>
    <row r="655" spans="1:17">
      <c r="A655" s="408">
        <v>43588</v>
      </c>
      <c r="B655" s="411">
        <v>2945.64</v>
      </c>
      <c r="C655" s="418">
        <f t="shared" si="92"/>
        <v>9.6383229592256203E-3</v>
      </c>
      <c r="D655" s="411">
        <v>57.8</v>
      </c>
      <c r="E655" s="418">
        <f t="shared" si="93"/>
        <v>2.4280263614291364E-3</v>
      </c>
      <c r="F655" s="411">
        <v>2945.64</v>
      </c>
      <c r="G655" s="418">
        <f t="shared" si="94"/>
        <v>9.6383229592256203E-3</v>
      </c>
      <c r="H655" s="411">
        <v>57.8</v>
      </c>
      <c r="I655" s="418">
        <f t="shared" si="95"/>
        <v>2.4280263614291364E-3</v>
      </c>
      <c r="J655" s="411">
        <v>2945.64</v>
      </c>
      <c r="K655" s="418">
        <f t="shared" si="96"/>
        <v>9.6383229592256203E-3</v>
      </c>
      <c r="L655" s="411">
        <v>57.8</v>
      </c>
      <c r="M655" s="418">
        <f t="shared" si="97"/>
        <v>2.4280263614291364E-3</v>
      </c>
      <c r="N655" s="411"/>
      <c r="O655" s="388"/>
      <c r="Q655" s="388"/>
    </row>
    <row r="656" spans="1:17">
      <c r="A656" s="408">
        <v>43587</v>
      </c>
      <c r="B656" s="411">
        <v>2917.52</v>
      </c>
      <c r="C656" s="418">
        <f t="shared" si="92"/>
        <v>-2.1239991380873624E-3</v>
      </c>
      <c r="D656" s="411">
        <v>57.66</v>
      </c>
      <c r="E656" s="418">
        <f t="shared" si="93"/>
        <v>8.394543546694555E-3</v>
      </c>
      <c r="F656" s="411">
        <v>2917.52</v>
      </c>
      <c r="G656" s="418">
        <f t="shared" si="94"/>
        <v>-2.1239991380873624E-3</v>
      </c>
      <c r="H656" s="411">
        <v>57.66</v>
      </c>
      <c r="I656" s="418">
        <f t="shared" si="95"/>
        <v>8.394543546694555E-3</v>
      </c>
      <c r="J656" s="411">
        <v>2917.52</v>
      </c>
      <c r="K656" s="418">
        <f t="shared" si="96"/>
        <v>-2.1239991380873624E-3</v>
      </c>
      <c r="L656" s="411">
        <v>57.66</v>
      </c>
      <c r="M656" s="418">
        <f t="shared" si="97"/>
        <v>8.394543546694555E-3</v>
      </c>
      <c r="N656" s="411"/>
      <c r="O656" s="388"/>
      <c r="Q656" s="388"/>
    </row>
    <row r="657" spans="1:17">
      <c r="A657" s="408">
        <v>43586</v>
      </c>
      <c r="B657" s="411">
        <v>2923.73</v>
      </c>
      <c r="C657" s="418">
        <f t="shared" si="92"/>
        <v>-7.502130129708795E-3</v>
      </c>
      <c r="D657" s="411">
        <v>57.18</v>
      </c>
      <c r="E657" s="418">
        <f t="shared" si="93"/>
        <v>-1.9042717447246504E-2</v>
      </c>
      <c r="F657" s="411">
        <v>2923.73</v>
      </c>
      <c r="G657" s="418">
        <f t="shared" si="94"/>
        <v>-7.502130129708795E-3</v>
      </c>
      <c r="H657" s="411">
        <v>57.18</v>
      </c>
      <c r="I657" s="418">
        <f t="shared" si="95"/>
        <v>-1.9042717447246504E-2</v>
      </c>
      <c r="J657" s="411">
        <v>2923.73</v>
      </c>
      <c r="K657" s="418">
        <f t="shared" si="96"/>
        <v>-7.502130129708795E-3</v>
      </c>
      <c r="L657" s="411">
        <v>57.18</v>
      </c>
      <c r="M657" s="418">
        <f t="shared" si="97"/>
        <v>-1.9042717447246504E-2</v>
      </c>
      <c r="N657" s="411"/>
      <c r="O657" s="388"/>
      <c r="Q657" s="388"/>
    </row>
    <row r="658" spans="1:17">
      <c r="A658" s="408">
        <v>43585</v>
      </c>
      <c r="B658" s="411">
        <v>2945.83</v>
      </c>
      <c r="C658" s="418">
        <f t="shared" si="92"/>
        <v>9.5140042745045506E-4</v>
      </c>
      <c r="D658" s="411">
        <v>58.29</v>
      </c>
      <c r="E658" s="418">
        <f t="shared" si="93"/>
        <v>9.7003291183093143E-3</v>
      </c>
      <c r="F658" s="411">
        <v>2945.83</v>
      </c>
      <c r="G658" s="418">
        <f t="shared" si="94"/>
        <v>9.5140042745045506E-4</v>
      </c>
      <c r="H658" s="411">
        <v>58.29</v>
      </c>
      <c r="I658" s="418">
        <f t="shared" si="95"/>
        <v>9.7003291183093143E-3</v>
      </c>
      <c r="J658" s="411">
        <v>2945.83</v>
      </c>
      <c r="K658" s="418">
        <f t="shared" si="96"/>
        <v>9.5140042745045506E-4</v>
      </c>
      <c r="L658" s="411">
        <v>58.29</v>
      </c>
      <c r="M658" s="418">
        <f t="shared" si="97"/>
        <v>9.7003291183093143E-3</v>
      </c>
      <c r="N658" s="411"/>
      <c r="O658" s="388"/>
      <c r="Q658" s="388"/>
    </row>
    <row r="659" spans="1:17">
      <c r="A659" s="408">
        <v>43584</v>
      </c>
      <c r="B659" s="411">
        <v>2943.03</v>
      </c>
      <c r="C659" s="418">
        <f t="shared" si="92"/>
        <v>1.0714723049920494E-3</v>
      </c>
      <c r="D659" s="411">
        <v>57.73</v>
      </c>
      <c r="E659" s="418">
        <f t="shared" si="93"/>
        <v>1.0856242339345012E-2</v>
      </c>
      <c r="F659" s="411">
        <v>2943.03</v>
      </c>
      <c r="G659" s="418">
        <f t="shared" si="94"/>
        <v>1.0714723049920494E-3</v>
      </c>
      <c r="H659" s="411">
        <v>57.73</v>
      </c>
      <c r="I659" s="418">
        <f t="shared" si="95"/>
        <v>1.0856242339345012E-2</v>
      </c>
      <c r="J659" s="411">
        <v>2943.03</v>
      </c>
      <c r="K659" s="418">
        <f t="shared" si="96"/>
        <v>1.0714723049920494E-3</v>
      </c>
      <c r="L659" s="411">
        <v>57.73</v>
      </c>
      <c r="M659" s="418">
        <f t="shared" si="97"/>
        <v>1.0856242339345012E-2</v>
      </c>
      <c r="N659" s="411"/>
      <c r="O659" s="388"/>
      <c r="Q659" s="388"/>
    </row>
    <row r="660" spans="1:17">
      <c r="A660" s="408">
        <v>43581</v>
      </c>
      <c r="B660" s="411">
        <v>2939.88</v>
      </c>
      <c r="C660" s="418">
        <f t="shared" si="92"/>
        <v>4.6853053650335319E-3</v>
      </c>
      <c r="D660" s="411">
        <v>57.11</v>
      </c>
      <c r="E660" s="418">
        <f t="shared" si="93"/>
        <v>7.0534297302062843E-3</v>
      </c>
      <c r="F660" s="411">
        <v>2939.88</v>
      </c>
      <c r="G660" s="418">
        <f t="shared" si="94"/>
        <v>4.6853053650335319E-3</v>
      </c>
      <c r="H660" s="411">
        <v>57.11</v>
      </c>
      <c r="I660" s="418">
        <f t="shared" si="95"/>
        <v>7.0534297302062843E-3</v>
      </c>
      <c r="J660" s="411">
        <v>2939.88</v>
      </c>
      <c r="K660" s="418">
        <f t="shared" si="96"/>
        <v>4.6853053650335319E-3</v>
      </c>
      <c r="L660" s="411">
        <v>57.11</v>
      </c>
      <c r="M660" s="418">
        <f t="shared" si="97"/>
        <v>7.0534297302062843E-3</v>
      </c>
      <c r="N660" s="411"/>
      <c r="O660" s="388"/>
      <c r="Q660" s="388"/>
    </row>
    <row r="661" spans="1:17">
      <c r="A661" s="408">
        <v>43580</v>
      </c>
      <c r="B661" s="411">
        <v>2926.17</v>
      </c>
      <c r="C661" s="418">
        <f t="shared" si="92"/>
        <v>-3.6894696387390624E-4</v>
      </c>
      <c r="D661" s="411">
        <v>56.71</v>
      </c>
      <c r="E661" s="418">
        <f t="shared" si="93"/>
        <v>-1.9706136560069143E-2</v>
      </c>
      <c r="F661" s="411">
        <v>2926.17</v>
      </c>
      <c r="G661" s="418">
        <f t="shared" si="94"/>
        <v>-3.6894696387390624E-4</v>
      </c>
      <c r="H661" s="411">
        <v>56.71</v>
      </c>
      <c r="I661" s="418">
        <f t="shared" si="95"/>
        <v>-1.9706136560069143E-2</v>
      </c>
      <c r="J661" s="411">
        <v>2926.17</v>
      </c>
      <c r="K661" s="418">
        <f t="shared" si="96"/>
        <v>-3.6894696387390624E-4</v>
      </c>
      <c r="L661" s="411">
        <v>56.71</v>
      </c>
      <c r="M661" s="418">
        <f t="shared" si="97"/>
        <v>-1.9706136560069143E-2</v>
      </c>
      <c r="N661" s="411"/>
      <c r="O661" s="388"/>
      <c r="Q661" s="388"/>
    </row>
    <row r="662" spans="1:17">
      <c r="A662" s="408">
        <v>43579</v>
      </c>
      <c r="B662" s="411">
        <v>2927.25</v>
      </c>
      <c r="C662" s="418">
        <f t="shared" si="92"/>
        <v>-2.1917864252406494E-3</v>
      </c>
      <c r="D662" s="411">
        <v>57.85</v>
      </c>
      <c r="E662" s="418">
        <f t="shared" si="93"/>
        <v>-6.6964285714286031E-3</v>
      </c>
      <c r="F662" s="411">
        <v>2927.25</v>
      </c>
      <c r="G662" s="418">
        <f t="shared" si="94"/>
        <v>-2.1917864252406494E-3</v>
      </c>
      <c r="H662" s="411">
        <v>57.85</v>
      </c>
      <c r="I662" s="418">
        <f t="shared" si="95"/>
        <v>-6.6964285714286031E-3</v>
      </c>
      <c r="J662" s="411">
        <v>2927.25</v>
      </c>
      <c r="K662" s="418">
        <f t="shared" si="96"/>
        <v>-2.1917864252406494E-3</v>
      </c>
      <c r="L662" s="411">
        <v>57.85</v>
      </c>
      <c r="M662" s="418">
        <f t="shared" si="97"/>
        <v>-6.6964285714286031E-3</v>
      </c>
      <c r="N662" s="411"/>
      <c r="O662" s="388"/>
      <c r="Q662" s="388"/>
    </row>
    <row r="663" spans="1:17">
      <c r="A663" s="408">
        <v>43578</v>
      </c>
      <c r="B663" s="411">
        <v>2933.68</v>
      </c>
      <c r="C663" s="418">
        <f t="shared" si="92"/>
        <v>8.8412191322468914E-3</v>
      </c>
      <c r="D663" s="411">
        <v>58.24</v>
      </c>
      <c r="E663" s="418">
        <f t="shared" si="93"/>
        <v>8.4848484848485395E-3</v>
      </c>
      <c r="F663" s="411">
        <v>2933.68</v>
      </c>
      <c r="G663" s="418">
        <f t="shared" si="94"/>
        <v>8.8412191322468914E-3</v>
      </c>
      <c r="H663" s="411">
        <v>58.24</v>
      </c>
      <c r="I663" s="418">
        <f t="shared" si="95"/>
        <v>8.4848484848485395E-3</v>
      </c>
      <c r="J663" s="411">
        <v>2933.68</v>
      </c>
      <c r="K663" s="418">
        <f t="shared" si="96"/>
        <v>8.8412191322468914E-3</v>
      </c>
      <c r="L663" s="411">
        <v>58.24</v>
      </c>
      <c r="M663" s="418">
        <f t="shared" si="97"/>
        <v>8.4848484848485395E-3</v>
      </c>
      <c r="N663" s="411"/>
      <c r="O663" s="388"/>
      <c r="Q663" s="388"/>
    </row>
    <row r="664" spans="1:17">
      <c r="A664" s="408">
        <v>43577</v>
      </c>
      <c r="B664" s="411">
        <v>2907.97</v>
      </c>
      <c r="C664" s="418">
        <f t="shared" si="92"/>
        <v>1.0120377414346571E-3</v>
      </c>
      <c r="D664" s="411">
        <v>57.75</v>
      </c>
      <c r="E664" s="418">
        <f t="shared" si="93"/>
        <v>-7.2202166064981865E-3</v>
      </c>
      <c r="F664" s="411">
        <v>2907.97</v>
      </c>
      <c r="G664" s="418">
        <f t="shared" si="94"/>
        <v>1.0120377414346571E-3</v>
      </c>
      <c r="H664" s="411">
        <v>57.75</v>
      </c>
      <c r="I664" s="418">
        <f t="shared" si="95"/>
        <v>-7.2202166064981865E-3</v>
      </c>
      <c r="J664" s="411">
        <v>2907.97</v>
      </c>
      <c r="K664" s="418">
        <f t="shared" si="96"/>
        <v>1.0120377414346571E-3</v>
      </c>
      <c r="L664" s="411">
        <v>57.75</v>
      </c>
      <c r="M664" s="418">
        <f t="shared" si="97"/>
        <v>-7.2202166064981865E-3</v>
      </c>
      <c r="N664" s="411"/>
      <c r="O664" s="388"/>
      <c r="Q664" s="388"/>
    </row>
    <row r="665" spans="1:17">
      <c r="A665" s="408">
        <v>43573</v>
      </c>
      <c r="B665" s="411">
        <v>2905.03</v>
      </c>
      <c r="C665" s="418">
        <f t="shared" si="92"/>
        <v>1.5790653174507785E-3</v>
      </c>
      <c r="D665" s="411">
        <v>58.17</v>
      </c>
      <c r="E665" s="418">
        <f t="shared" si="93"/>
        <v>-4.4497689543042673E-3</v>
      </c>
      <c r="F665" s="411">
        <v>2905.03</v>
      </c>
      <c r="G665" s="418">
        <f t="shared" si="94"/>
        <v>1.5790653174507785E-3</v>
      </c>
      <c r="H665" s="411">
        <v>58.17</v>
      </c>
      <c r="I665" s="418">
        <f t="shared" si="95"/>
        <v>-4.4497689543042673E-3</v>
      </c>
      <c r="J665" s="411">
        <v>2905.03</v>
      </c>
      <c r="K665" s="418">
        <f t="shared" si="96"/>
        <v>1.5790653174507785E-3</v>
      </c>
      <c r="L665" s="411">
        <v>58.17</v>
      </c>
      <c r="M665" s="418">
        <f t="shared" si="97"/>
        <v>-4.4497689543042673E-3</v>
      </c>
      <c r="N665" s="411"/>
      <c r="O665" s="388"/>
      <c r="Q665" s="388"/>
    </row>
    <row r="666" spans="1:17">
      <c r="A666" s="408">
        <v>43572</v>
      </c>
      <c r="B666" s="411">
        <v>2900.45</v>
      </c>
      <c r="C666" s="418">
        <f t="shared" si="92"/>
        <v>-2.2737748790875312E-3</v>
      </c>
      <c r="D666" s="411">
        <v>58.43</v>
      </c>
      <c r="E666" s="418">
        <f t="shared" si="93"/>
        <v>5.5067974531062269E-3</v>
      </c>
      <c r="F666" s="411">
        <v>2900.45</v>
      </c>
      <c r="G666" s="418">
        <f t="shared" si="94"/>
        <v>-2.2737748790875312E-3</v>
      </c>
      <c r="H666" s="411">
        <v>58.43</v>
      </c>
      <c r="I666" s="418">
        <f t="shared" si="95"/>
        <v>5.5067974531062269E-3</v>
      </c>
      <c r="J666" s="411">
        <v>2900.45</v>
      </c>
      <c r="K666" s="418">
        <f t="shared" si="96"/>
        <v>-2.2737748790875312E-3</v>
      </c>
      <c r="L666" s="411">
        <v>58.43</v>
      </c>
      <c r="M666" s="418">
        <f t="shared" si="97"/>
        <v>5.5067974531062269E-3</v>
      </c>
      <c r="N666" s="411"/>
      <c r="O666" s="388"/>
      <c r="Q666" s="388"/>
    </row>
    <row r="667" spans="1:17">
      <c r="A667" s="408">
        <v>43571</v>
      </c>
      <c r="B667" s="411">
        <v>2907.06</v>
      </c>
      <c r="C667" s="418">
        <f t="shared" si="92"/>
        <v>5.0936473956997297E-4</v>
      </c>
      <c r="D667" s="411">
        <v>58.11</v>
      </c>
      <c r="E667" s="418">
        <f t="shared" si="93"/>
        <v>1.1488250652741394E-2</v>
      </c>
      <c r="F667" s="411">
        <v>2907.06</v>
      </c>
      <c r="G667" s="418">
        <f t="shared" si="94"/>
        <v>5.0936473956997297E-4</v>
      </c>
      <c r="H667" s="411">
        <v>58.11</v>
      </c>
      <c r="I667" s="418">
        <f t="shared" si="95"/>
        <v>1.1488250652741394E-2</v>
      </c>
      <c r="J667" s="411">
        <v>2907.06</v>
      </c>
      <c r="K667" s="418">
        <f t="shared" si="96"/>
        <v>5.0936473956997297E-4</v>
      </c>
      <c r="L667" s="411">
        <v>58.11</v>
      </c>
      <c r="M667" s="418">
        <f t="shared" si="97"/>
        <v>1.1488250652741394E-2</v>
      </c>
      <c r="N667" s="411"/>
      <c r="O667" s="388"/>
      <c r="Q667" s="388"/>
    </row>
    <row r="668" spans="1:17">
      <c r="A668" s="408">
        <v>43570</v>
      </c>
      <c r="B668" s="411">
        <v>2905.58</v>
      </c>
      <c r="C668" s="418">
        <f t="shared" si="92"/>
        <v>-6.2942619032058111E-4</v>
      </c>
      <c r="D668" s="411">
        <v>57.45</v>
      </c>
      <c r="E668" s="418">
        <f t="shared" si="93"/>
        <v>-1.0335917312661369E-2</v>
      </c>
      <c r="F668" s="411">
        <v>2905.58</v>
      </c>
      <c r="G668" s="418">
        <f t="shared" si="94"/>
        <v>-6.2942619032058111E-4</v>
      </c>
      <c r="H668" s="411">
        <v>57.45</v>
      </c>
      <c r="I668" s="418">
        <f t="shared" si="95"/>
        <v>-1.0335917312661369E-2</v>
      </c>
      <c r="J668" s="411">
        <v>2905.58</v>
      </c>
      <c r="K668" s="418">
        <f t="shared" si="96"/>
        <v>-6.2942619032058111E-4</v>
      </c>
      <c r="L668" s="411">
        <v>57.45</v>
      </c>
      <c r="M668" s="418">
        <f t="shared" si="97"/>
        <v>-1.0335917312661369E-2</v>
      </c>
      <c r="N668" s="411"/>
      <c r="O668" s="388"/>
      <c r="Q668" s="388"/>
    </row>
    <row r="669" spans="1:17">
      <c r="A669" s="408">
        <v>43567</v>
      </c>
      <c r="B669" s="411">
        <v>2907.41</v>
      </c>
      <c r="C669" s="418">
        <f t="shared" si="92"/>
        <v>6.6093784622200946E-3</v>
      </c>
      <c r="D669" s="411">
        <v>58.05</v>
      </c>
      <c r="E669" s="418">
        <f t="shared" si="93"/>
        <v>-5.8229148826854926E-3</v>
      </c>
      <c r="F669" s="411">
        <v>2907.41</v>
      </c>
      <c r="G669" s="418">
        <f t="shared" si="94"/>
        <v>6.6093784622200946E-3</v>
      </c>
      <c r="H669" s="411">
        <v>58.05</v>
      </c>
      <c r="I669" s="418">
        <f t="shared" si="95"/>
        <v>-5.8229148826854926E-3</v>
      </c>
      <c r="J669" s="411">
        <v>2907.41</v>
      </c>
      <c r="K669" s="418">
        <f t="shared" si="96"/>
        <v>6.6093784622200946E-3</v>
      </c>
      <c r="L669" s="411">
        <v>58.05</v>
      </c>
      <c r="M669" s="418">
        <f t="shared" si="97"/>
        <v>-5.8229148826854926E-3</v>
      </c>
      <c r="N669" s="411"/>
      <c r="O669" s="388"/>
      <c r="Q669" s="388"/>
    </row>
    <row r="670" spans="1:17">
      <c r="A670" s="408">
        <v>43566</v>
      </c>
      <c r="B670" s="411">
        <v>2888.32</v>
      </c>
      <c r="C670" s="418">
        <f t="shared" si="92"/>
        <v>3.808587325715429E-5</v>
      </c>
      <c r="D670" s="411">
        <v>58.39</v>
      </c>
      <c r="E670" s="418">
        <f t="shared" si="93"/>
        <v>9.1600414794330565E-3</v>
      </c>
      <c r="F670" s="411">
        <v>2888.32</v>
      </c>
      <c r="G670" s="418">
        <f t="shared" si="94"/>
        <v>3.808587325715429E-5</v>
      </c>
      <c r="H670" s="411">
        <v>58.39</v>
      </c>
      <c r="I670" s="418">
        <f t="shared" si="95"/>
        <v>9.1600414794330565E-3</v>
      </c>
      <c r="J670" s="411">
        <v>2888.32</v>
      </c>
      <c r="K670" s="418">
        <f t="shared" si="96"/>
        <v>3.808587325715429E-5</v>
      </c>
      <c r="L670" s="411">
        <v>58.39</v>
      </c>
      <c r="M670" s="418">
        <f t="shared" si="97"/>
        <v>9.1600414794330565E-3</v>
      </c>
      <c r="N670" s="411"/>
      <c r="O670" s="388"/>
      <c r="Q670" s="388"/>
    </row>
    <row r="671" spans="1:17">
      <c r="A671" s="408">
        <v>43565</v>
      </c>
      <c r="B671" s="411">
        <v>2888.21</v>
      </c>
      <c r="C671" s="418">
        <f t="shared" si="92"/>
        <v>3.4778681120144483E-3</v>
      </c>
      <c r="D671" s="411">
        <v>57.86</v>
      </c>
      <c r="E671" s="418">
        <f t="shared" si="93"/>
        <v>1.5978928884986754E-2</v>
      </c>
      <c r="F671" s="411">
        <v>2888.21</v>
      </c>
      <c r="G671" s="418">
        <f t="shared" si="94"/>
        <v>3.4778681120144483E-3</v>
      </c>
      <c r="H671" s="411">
        <v>57.86</v>
      </c>
      <c r="I671" s="418">
        <f t="shared" si="95"/>
        <v>1.5978928884986754E-2</v>
      </c>
      <c r="J671" s="411">
        <v>2888.21</v>
      </c>
      <c r="K671" s="418">
        <f t="shared" si="96"/>
        <v>3.4778681120144483E-3</v>
      </c>
      <c r="L671" s="411">
        <v>57.86</v>
      </c>
      <c r="M671" s="418">
        <f t="shared" si="97"/>
        <v>1.5978928884986754E-2</v>
      </c>
      <c r="N671" s="411"/>
      <c r="O671" s="388"/>
      <c r="Q671" s="388"/>
    </row>
    <row r="672" spans="1:17">
      <c r="A672" s="408">
        <v>43564</v>
      </c>
      <c r="B672" s="411">
        <v>2878.2</v>
      </c>
      <c r="C672" s="418">
        <f t="shared" si="92"/>
        <v>-6.0674708281390766E-3</v>
      </c>
      <c r="D672" s="411">
        <v>56.95</v>
      </c>
      <c r="E672" s="418">
        <f t="shared" si="93"/>
        <v>-1.3169294749610039E-2</v>
      </c>
      <c r="F672" s="411">
        <v>2878.2</v>
      </c>
      <c r="G672" s="418">
        <f t="shared" si="94"/>
        <v>-6.0674708281390766E-3</v>
      </c>
      <c r="H672" s="411">
        <v>56.95</v>
      </c>
      <c r="I672" s="418">
        <f t="shared" si="95"/>
        <v>-1.3169294749610039E-2</v>
      </c>
      <c r="J672" s="411">
        <v>2878.2</v>
      </c>
      <c r="K672" s="418">
        <f t="shared" si="96"/>
        <v>-6.0674708281390766E-3</v>
      </c>
      <c r="L672" s="411">
        <v>56.95</v>
      </c>
      <c r="M672" s="418">
        <f t="shared" si="97"/>
        <v>-1.3169294749610039E-2</v>
      </c>
      <c r="N672" s="411"/>
      <c r="O672" s="388"/>
      <c r="Q672" s="388"/>
    </row>
    <row r="673" spans="1:17">
      <c r="A673" s="408">
        <v>43563</v>
      </c>
      <c r="B673" s="411">
        <v>2895.77</v>
      </c>
      <c r="C673" s="418">
        <f t="shared" si="92"/>
        <v>1.0474498226595852E-3</v>
      </c>
      <c r="D673" s="411">
        <v>57.71</v>
      </c>
      <c r="E673" s="418">
        <f t="shared" si="93"/>
        <v>-3.4644032565378513E-4</v>
      </c>
      <c r="F673" s="411">
        <v>2895.77</v>
      </c>
      <c r="G673" s="418">
        <f t="shared" si="94"/>
        <v>1.0474498226595852E-3</v>
      </c>
      <c r="H673" s="411">
        <v>57.71</v>
      </c>
      <c r="I673" s="418">
        <f t="shared" si="95"/>
        <v>-3.4644032565378513E-4</v>
      </c>
      <c r="J673" s="411">
        <v>2895.77</v>
      </c>
      <c r="K673" s="418">
        <f t="shared" si="96"/>
        <v>1.0474498226595852E-3</v>
      </c>
      <c r="L673" s="411">
        <v>57.71</v>
      </c>
      <c r="M673" s="418">
        <f t="shared" si="97"/>
        <v>-3.4644032565378513E-4</v>
      </c>
      <c r="N673" s="411"/>
      <c r="O673" s="388"/>
      <c r="Q673" s="388"/>
    </row>
    <row r="674" spans="1:17">
      <c r="A674" s="408">
        <v>43560</v>
      </c>
      <c r="B674" s="411">
        <v>2892.74</v>
      </c>
      <c r="C674" s="418">
        <f t="shared" si="92"/>
        <v>4.6363986816650993E-3</v>
      </c>
      <c r="D674" s="411">
        <v>57.73</v>
      </c>
      <c r="E674" s="418">
        <f t="shared" si="93"/>
        <v>8.9129674938832615E-3</v>
      </c>
      <c r="F674" s="411">
        <v>2892.74</v>
      </c>
      <c r="G674" s="418">
        <f t="shared" si="94"/>
        <v>4.6363986816650993E-3</v>
      </c>
      <c r="H674" s="411">
        <v>57.73</v>
      </c>
      <c r="I674" s="418">
        <f t="shared" si="95"/>
        <v>8.9129674938832615E-3</v>
      </c>
      <c r="J674" s="411">
        <v>2892.74</v>
      </c>
      <c r="K674" s="418">
        <f t="shared" si="96"/>
        <v>4.6363986816650993E-3</v>
      </c>
      <c r="L674" s="411">
        <v>57.73</v>
      </c>
      <c r="M674" s="418">
        <f t="shared" si="97"/>
        <v>8.9129674938832615E-3</v>
      </c>
      <c r="N674" s="411"/>
      <c r="O674" s="388"/>
      <c r="Q674" s="388"/>
    </row>
    <row r="675" spans="1:17">
      <c r="A675" s="408">
        <v>43559</v>
      </c>
      <c r="B675" s="411">
        <v>2879.39</v>
      </c>
      <c r="C675" s="418">
        <f t="shared" si="92"/>
        <v>2.0846384074615365E-3</v>
      </c>
      <c r="D675" s="411">
        <v>57.22</v>
      </c>
      <c r="E675" s="418">
        <f t="shared" si="93"/>
        <v>3.8596491228068963E-3</v>
      </c>
      <c r="F675" s="411">
        <v>2879.39</v>
      </c>
      <c r="G675" s="418">
        <f t="shared" si="94"/>
        <v>2.0846384074615365E-3</v>
      </c>
      <c r="H675" s="411">
        <v>57.22</v>
      </c>
      <c r="I675" s="418">
        <f t="shared" si="95"/>
        <v>3.8596491228068963E-3</v>
      </c>
      <c r="J675" s="411">
        <v>2879.39</v>
      </c>
      <c r="K675" s="418">
        <f t="shared" si="96"/>
        <v>2.0846384074615365E-3</v>
      </c>
      <c r="L675" s="411">
        <v>57.22</v>
      </c>
      <c r="M675" s="418">
        <f t="shared" si="97"/>
        <v>3.8596491228068963E-3</v>
      </c>
      <c r="N675" s="411"/>
      <c r="O675" s="388"/>
      <c r="Q675" s="388"/>
    </row>
    <row r="676" spans="1:17">
      <c r="A676" s="408">
        <v>43558</v>
      </c>
      <c r="B676" s="411">
        <v>2873.4</v>
      </c>
      <c r="C676" s="418">
        <f t="shared" si="92"/>
        <v>2.1484075277968806E-3</v>
      </c>
      <c r="D676" s="411">
        <v>57</v>
      </c>
      <c r="E676" s="418">
        <f t="shared" si="93"/>
        <v>3.0182541116934747E-2</v>
      </c>
      <c r="F676" s="411">
        <v>2873.4</v>
      </c>
      <c r="G676" s="418">
        <f t="shared" si="94"/>
        <v>2.1484075277968806E-3</v>
      </c>
      <c r="H676" s="411">
        <v>57</v>
      </c>
      <c r="I676" s="418">
        <f t="shared" si="95"/>
        <v>3.0182541116934747E-2</v>
      </c>
      <c r="J676" s="411">
        <v>2873.4</v>
      </c>
      <c r="K676" s="418">
        <f t="shared" si="96"/>
        <v>2.1484075277968806E-3</v>
      </c>
      <c r="L676" s="411">
        <v>57</v>
      </c>
      <c r="M676" s="418">
        <f t="shared" si="97"/>
        <v>3.0182541116934747E-2</v>
      </c>
      <c r="N676" s="411"/>
      <c r="O676" s="388"/>
      <c r="Q676" s="388"/>
    </row>
    <row r="677" spans="1:17">
      <c r="A677" s="408">
        <v>43557</v>
      </c>
      <c r="B677" s="411">
        <v>2867.24</v>
      </c>
      <c r="C677" s="418">
        <f t="shared" si="92"/>
        <v>1.7438676892522764E-5</v>
      </c>
      <c r="D677" s="411">
        <v>55.33</v>
      </c>
      <c r="E677" s="418">
        <f t="shared" si="93"/>
        <v>6.036795707167486E-2</v>
      </c>
      <c r="F677" s="411">
        <v>2867.24</v>
      </c>
      <c r="G677" s="418">
        <f t="shared" si="94"/>
        <v>1.7438676892522764E-5</v>
      </c>
      <c r="H677" s="411">
        <v>55.33</v>
      </c>
      <c r="I677" s="418">
        <f t="shared" si="95"/>
        <v>6.036795707167486E-2</v>
      </c>
      <c r="J677" s="411">
        <v>2867.24</v>
      </c>
      <c r="K677" s="418">
        <f t="shared" si="96"/>
        <v>1.7438676892522764E-5</v>
      </c>
      <c r="L677" s="411">
        <v>55.33</v>
      </c>
      <c r="M677" s="418">
        <f t="shared" si="97"/>
        <v>6.036795707167486E-2</v>
      </c>
      <c r="N677" s="411"/>
      <c r="O677" s="388"/>
      <c r="Q677" s="388"/>
    </row>
    <row r="678" spans="1:17">
      <c r="A678" s="408">
        <v>43556</v>
      </c>
      <c r="B678" s="411">
        <v>2867.19</v>
      </c>
      <c r="C678" s="418">
        <f t="shared" si="92"/>
        <v>1.1568585944115251E-2</v>
      </c>
      <c r="D678" s="411">
        <v>52.18</v>
      </c>
      <c r="E678" s="418">
        <f t="shared" si="93"/>
        <v>1.0261374636979737E-2</v>
      </c>
      <c r="F678" s="411">
        <v>2867.19</v>
      </c>
      <c r="G678" s="418">
        <f t="shared" si="94"/>
        <v>1.1568585944115251E-2</v>
      </c>
      <c r="H678" s="411">
        <v>52.18</v>
      </c>
      <c r="I678" s="418">
        <f t="shared" si="95"/>
        <v>1.0261374636979737E-2</v>
      </c>
      <c r="J678" s="411">
        <v>2867.19</v>
      </c>
      <c r="K678" s="418">
        <f t="shared" si="96"/>
        <v>1.1568585944115251E-2</v>
      </c>
      <c r="L678" s="411">
        <v>52.18</v>
      </c>
      <c r="M678" s="418">
        <f t="shared" si="97"/>
        <v>1.0261374636979737E-2</v>
      </c>
      <c r="N678" s="411"/>
      <c r="O678" s="388"/>
      <c r="Q678" s="388"/>
    </row>
    <row r="679" spans="1:17">
      <c r="A679" s="408">
        <v>43553</v>
      </c>
      <c r="B679" s="411">
        <v>2834.4</v>
      </c>
      <c r="C679" s="418">
        <f t="shared" si="92"/>
        <v>6.7342937515983969E-3</v>
      </c>
      <c r="D679" s="411">
        <v>51.65</v>
      </c>
      <c r="E679" s="418">
        <f t="shared" si="93"/>
        <v>2.643084260731321E-2</v>
      </c>
      <c r="F679" s="411">
        <v>2834.4</v>
      </c>
      <c r="G679" s="418">
        <f t="shared" si="94"/>
        <v>6.7342937515983969E-3</v>
      </c>
      <c r="H679" s="411">
        <v>51.65</v>
      </c>
      <c r="I679" s="418">
        <f t="shared" si="95"/>
        <v>2.643084260731321E-2</v>
      </c>
      <c r="J679" s="411">
        <v>2834.4</v>
      </c>
      <c r="K679" s="418">
        <f t="shared" si="96"/>
        <v>6.7342937515983969E-3</v>
      </c>
      <c r="L679" s="411">
        <v>51.65</v>
      </c>
      <c r="M679" s="418">
        <f t="shared" si="97"/>
        <v>2.643084260731321E-2</v>
      </c>
      <c r="N679" s="411"/>
      <c r="O679" s="388"/>
      <c r="Q679" s="388"/>
    </row>
    <row r="680" spans="1:17">
      <c r="A680" s="408">
        <v>43552</v>
      </c>
      <c r="B680" s="411">
        <v>2815.44</v>
      </c>
      <c r="C680" s="418">
        <f t="shared" si="92"/>
        <v>3.5895443381801506E-3</v>
      </c>
      <c r="D680" s="411">
        <v>50.32</v>
      </c>
      <c r="E680" s="418">
        <f t="shared" si="93"/>
        <v>7.0042025215129033E-3</v>
      </c>
      <c r="F680" s="411">
        <v>2815.44</v>
      </c>
      <c r="G680" s="418">
        <f t="shared" si="94"/>
        <v>3.5895443381801506E-3</v>
      </c>
      <c r="H680" s="411">
        <v>50.32</v>
      </c>
      <c r="I680" s="418">
        <f t="shared" si="95"/>
        <v>7.0042025215129033E-3</v>
      </c>
      <c r="J680" s="411">
        <v>2815.44</v>
      </c>
      <c r="K680" s="418">
        <f t="shared" si="96"/>
        <v>3.5895443381801506E-3</v>
      </c>
      <c r="L680" s="411">
        <v>50.32</v>
      </c>
      <c r="M680" s="418">
        <f t="shared" si="97"/>
        <v>7.0042025215129033E-3</v>
      </c>
      <c r="N680" s="411"/>
      <c r="O680" s="388"/>
      <c r="Q680" s="388"/>
    </row>
    <row r="681" spans="1:17">
      <c r="A681" s="408">
        <v>43551</v>
      </c>
      <c r="B681" s="411">
        <v>2805.37</v>
      </c>
      <c r="C681" s="418">
        <f t="shared" si="92"/>
        <v>-4.6443802643997278E-3</v>
      </c>
      <c r="D681" s="411">
        <v>49.97</v>
      </c>
      <c r="E681" s="418">
        <f t="shared" si="93"/>
        <v>1.7926257893664532E-2</v>
      </c>
      <c r="F681" s="411">
        <v>2805.37</v>
      </c>
      <c r="G681" s="418">
        <f t="shared" si="94"/>
        <v>-4.6443802643997278E-3</v>
      </c>
      <c r="H681" s="411">
        <v>49.97</v>
      </c>
      <c r="I681" s="418">
        <f t="shared" si="95"/>
        <v>1.7926257893664532E-2</v>
      </c>
      <c r="J681" s="411">
        <v>2805.37</v>
      </c>
      <c r="K681" s="418">
        <f t="shared" si="96"/>
        <v>-4.6443802643997278E-3</v>
      </c>
      <c r="L681" s="411">
        <v>49.97</v>
      </c>
      <c r="M681" s="418">
        <f t="shared" si="97"/>
        <v>1.7926257893664532E-2</v>
      </c>
      <c r="N681" s="411"/>
      <c r="O681" s="388"/>
      <c r="Q681" s="388"/>
    </row>
    <row r="682" spans="1:17">
      <c r="A682" s="408">
        <v>43550</v>
      </c>
      <c r="B682" s="411">
        <v>2818.46</v>
      </c>
      <c r="C682" s="418">
        <f t="shared" si="92"/>
        <v>7.1827784845408527E-3</v>
      </c>
      <c r="D682" s="411">
        <v>49.09</v>
      </c>
      <c r="E682" s="418">
        <f t="shared" si="93"/>
        <v>1.2237405669999202E-3</v>
      </c>
      <c r="F682" s="411">
        <v>2818.46</v>
      </c>
      <c r="G682" s="418">
        <f t="shared" si="94"/>
        <v>7.1827784845408527E-3</v>
      </c>
      <c r="H682" s="411">
        <v>49.09</v>
      </c>
      <c r="I682" s="418">
        <f t="shared" si="95"/>
        <v>1.2237405669999202E-3</v>
      </c>
      <c r="J682" s="411">
        <v>2818.46</v>
      </c>
      <c r="K682" s="418">
        <f t="shared" si="96"/>
        <v>7.1827784845408527E-3</v>
      </c>
      <c r="L682" s="411">
        <v>49.09</v>
      </c>
      <c r="M682" s="418">
        <f t="shared" si="97"/>
        <v>1.2237405669999202E-3</v>
      </c>
      <c r="N682" s="411"/>
      <c r="O682" s="388"/>
      <c r="Q682" s="388"/>
    </row>
    <row r="683" spans="1:17">
      <c r="A683" s="408">
        <v>43549</v>
      </c>
      <c r="B683" s="411">
        <v>2798.36</v>
      </c>
      <c r="C683" s="418">
        <f t="shared" si="92"/>
        <v>-8.3907294935925414E-4</v>
      </c>
      <c r="D683" s="411">
        <v>49.03</v>
      </c>
      <c r="E683" s="418">
        <f t="shared" si="93"/>
        <v>-1.4670418006430763E-2</v>
      </c>
      <c r="F683" s="411">
        <v>2798.36</v>
      </c>
      <c r="G683" s="418">
        <f t="shared" si="94"/>
        <v>-8.3907294935925414E-4</v>
      </c>
      <c r="H683" s="411">
        <v>49.03</v>
      </c>
      <c r="I683" s="418">
        <f t="shared" si="95"/>
        <v>-1.4670418006430763E-2</v>
      </c>
      <c r="J683" s="411">
        <v>2798.36</v>
      </c>
      <c r="K683" s="418">
        <f t="shared" si="96"/>
        <v>-8.3907294935925414E-4</v>
      </c>
      <c r="L683" s="411">
        <v>49.03</v>
      </c>
      <c r="M683" s="418">
        <f t="shared" si="97"/>
        <v>-1.4670418006430763E-2</v>
      </c>
      <c r="N683" s="411"/>
      <c r="O683" s="388"/>
      <c r="Q683" s="388"/>
    </row>
    <row r="684" spans="1:17">
      <c r="A684" s="408">
        <v>43546</v>
      </c>
      <c r="B684" s="411">
        <v>2800.71</v>
      </c>
      <c r="C684" s="418">
        <f t="shared" si="92"/>
        <v>-1.8974527826038257E-2</v>
      </c>
      <c r="D684" s="411">
        <v>49.76</v>
      </c>
      <c r="E684" s="418">
        <f t="shared" si="93"/>
        <v>-1.073558648111328E-2</v>
      </c>
      <c r="F684" s="411">
        <v>2800.71</v>
      </c>
      <c r="G684" s="418">
        <f t="shared" si="94"/>
        <v>-1.8974527826038257E-2</v>
      </c>
      <c r="H684" s="411">
        <v>49.76</v>
      </c>
      <c r="I684" s="418">
        <f t="shared" si="95"/>
        <v>-1.073558648111328E-2</v>
      </c>
      <c r="J684" s="411">
        <v>2800.71</v>
      </c>
      <c r="K684" s="418">
        <f t="shared" si="96"/>
        <v>-1.8974527826038257E-2</v>
      </c>
      <c r="L684" s="411">
        <v>49.76</v>
      </c>
      <c r="M684" s="418">
        <f t="shared" si="97"/>
        <v>-1.073558648111328E-2</v>
      </c>
      <c r="N684" s="411"/>
      <c r="O684" s="388"/>
      <c r="Q684" s="388"/>
    </row>
    <row r="685" spans="1:17">
      <c r="A685" s="408">
        <v>43545</v>
      </c>
      <c r="B685" s="411">
        <v>2854.88</v>
      </c>
      <c r="C685" s="418">
        <f t="shared" si="92"/>
        <v>1.0852515552911779E-2</v>
      </c>
      <c r="D685" s="411">
        <v>50.3</v>
      </c>
      <c r="E685" s="418">
        <f t="shared" si="93"/>
        <v>8.6224182875476174E-3</v>
      </c>
      <c r="F685" s="411">
        <v>2854.88</v>
      </c>
      <c r="G685" s="418">
        <f t="shared" si="94"/>
        <v>1.0852515552911779E-2</v>
      </c>
      <c r="H685" s="411">
        <v>50.3</v>
      </c>
      <c r="I685" s="418">
        <f t="shared" si="95"/>
        <v>8.6224182875476174E-3</v>
      </c>
      <c r="J685" s="411">
        <v>2854.88</v>
      </c>
      <c r="K685" s="418">
        <f t="shared" si="96"/>
        <v>1.0852515552911779E-2</v>
      </c>
      <c r="L685" s="411">
        <v>50.3</v>
      </c>
      <c r="M685" s="418">
        <f t="shared" si="97"/>
        <v>8.6224182875476174E-3</v>
      </c>
      <c r="N685" s="411"/>
      <c r="O685" s="388"/>
      <c r="Q685" s="388"/>
    </row>
    <row r="686" spans="1:17">
      <c r="A686" s="408">
        <v>43544</v>
      </c>
      <c r="B686" s="411">
        <v>2824.23</v>
      </c>
      <c r="C686" s="418">
        <f t="shared" si="92"/>
        <v>-2.9443226469249018E-3</v>
      </c>
      <c r="D686" s="411">
        <v>49.87</v>
      </c>
      <c r="E686" s="418">
        <f t="shared" si="93"/>
        <v>-2.1389324960753631E-2</v>
      </c>
      <c r="F686" s="411">
        <v>2824.23</v>
      </c>
      <c r="G686" s="418">
        <f t="shared" si="94"/>
        <v>-2.9443226469249018E-3</v>
      </c>
      <c r="H686" s="411">
        <v>49.87</v>
      </c>
      <c r="I686" s="418">
        <f t="shared" si="95"/>
        <v>-2.1389324960753631E-2</v>
      </c>
      <c r="J686" s="411">
        <v>2824.23</v>
      </c>
      <c r="K686" s="418">
        <f t="shared" si="96"/>
        <v>-2.9443226469249018E-3</v>
      </c>
      <c r="L686" s="411">
        <v>49.87</v>
      </c>
      <c r="M686" s="418">
        <f t="shared" si="97"/>
        <v>-2.1389324960753631E-2</v>
      </c>
      <c r="N686" s="411"/>
      <c r="O686" s="388"/>
      <c r="Q686" s="388"/>
    </row>
    <row r="687" spans="1:17">
      <c r="A687" s="408">
        <v>43543</v>
      </c>
      <c r="B687" s="411">
        <v>2832.57</v>
      </c>
      <c r="C687" s="418">
        <f t="shared" si="92"/>
        <v>-1.3060636653083879E-4</v>
      </c>
      <c r="D687" s="411">
        <v>50.96</v>
      </c>
      <c r="E687" s="418">
        <f t="shared" si="93"/>
        <v>4.3358297201419038E-3</v>
      </c>
      <c r="F687" s="411">
        <v>2832.57</v>
      </c>
      <c r="G687" s="418">
        <f t="shared" si="94"/>
        <v>-1.3060636653083879E-4</v>
      </c>
      <c r="H687" s="411">
        <v>50.96</v>
      </c>
      <c r="I687" s="418">
        <f t="shared" si="95"/>
        <v>4.3358297201419038E-3</v>
      </c>
      <c r="J687" s="411">
        <v>2832.57</v>
      </c>
      <c r="K687" s="418">
        <f t="shared" si="96"/>
        <v>-1.3060636653083879E-4</v>
      </c>
      <c r="L687" s="411">
        <v>50.96</v>
      </c>
      <c r="M687" s="418">
        <f t="shared" si="97"/>
        <v>4.3358297201419038E-3</v>
      </c>
      <c r="N687" s="411"/>
      <c r="O687" s="388"/>
      <c r="Q687" s="388"/>
    </row>
    <row r="688" spans="1:17">
      <c r="A688" s="408">
        <v>43542</v>
      </c>
      <c r="B688" s="411">
        <v>2832.94</v>
      </c>
      <c r="C688" s="418">
        <f t="shared" si="92"/>
        <v>3.7059607153993035E-3</v>
      </c>
      <c r="D688" s="411">
        <v>50.74</v>
      </c>
      <c r="E688" s="418">
        <f t="shared" si="93"/>
        <v>-8.790779449111108E-3</v>
      </c>
      <c r="F688" s="411">
        <v>2832.94</v>
      </c>
      <c r="G688" s="418">
        <f t="shared" si="94"/>
        <v>3.7059607153993035E-3</v>
      </c>
      <c r="H688" s="411">
        <v>50.74</v>
      </c>
      <c r="I688" s="418">
        <f t="shared" si="95"/>
        <v>-8.790779449111108E-3</v>
      </c>
      <c r="J688" s="411">
        <v>2832.94</v>
      </c>
      <c r="K688" s="418">
        <f t="shared" si="96"/>
        <v>3.7059607153993035E-3</v>
      </c>
      <c r="L688" s="411">
        <v>50.74</v>
      </c>
      <c r="M688" s="418">
        <f t="shared" si="97"/>
        <v>-8.790779449111108E-3</v>
      </c>
      <c r="N688" s="411"/>
      <c r="O688" s="388"/>
      <c r="Q688" s="388"/>
    </row>
    <row r="689" spans="1:17">
      <c r="A689" s="408">
        <v>43539</v>
      </c>
      <c r="B689" s="411">
        <v>2822.48</v>
      </c>
      <c r="C689" s="418">
        <f t="shared" si="92"/>
        <v>4.9849028656070438E-3</v>
      </c>
      <c r="D689" s="411">
        <v>51.19</v>
      </c>
      <c r="E689" s="418">
        <f t="shared" si="93"/>
        <v>4.9077345897134972E-3</v>
      </c>
      <c r="F689" s="411">
        <v>2822.48</v>
      </c>
      <c r="G689" s="418">
        <f t="shared" si="94"/>
        <v>4.9849028656070438E-3</v>
      </c>
      <c r="H689" s="411">
        <v>51.19</v>
      </c>
      <c r="I689" s="418">
        <f t="shared" si="95"/>
        <v>4.9077345897134972E-3</v>
      </c>
      <c r="J689" s="411">
        <v>2822.48</v>
      </c>
      <c r="K689" s="418">
        <f t="shared" si="96"/>
        <v>4.9849028656070438E-3</v>
      </c>
      <c r="L689" s="411">
        <v>51.19</v>
      </c>
      <c r="M689" s="418">
        <f t="shared" si="97"/>
        <v>4.9077345897134972E-3</v>
      </c>
      <c r="N689" s="411"/>
      <c r="O689" s="388"/>
      <c r="Q689" s="388"/>
    </row>
    <row r="690" spans="1:17">
      <c r="A690" s="408">
        <v>43538</v>
      </c>
      <c r="B690" s="411">
        <v>2808.48</v>
      </c>
      <c r="C690" s="418">
        <f t="shared" si="92"/>
        <v>-8.6804320293709658E-4</v>
      </c>
      <c r="D690" s="411">
        <v>50.94</v>
      </c>
      <c r="E690" s="418">
        <f t="shared" si="93"/>
        <v>-1.5680125441004389E-3</v>
      </c>
      <c r="F690" s="411">
        <v>2808.48</v>
      </c>
      <c r="G690" s="418">
        <f t="shared" si="94"/>
        <v>-8.6804320293709658E-4</v>
      </c>
      <c r="H690" s="411">
        <v>50.94</v>
      </c>
      <c r="I690" s="418">
        <f t="shared" si="95"/>
        <v>-1.5680125441004389E-3</v>
      </c>
      <c r="J690" s="411">
        <v>2808.48</v>
      </c>
      <c r="K690" s="418">
        <f t="shared" si="96"/>
        <v>-8.6804320293709658E-4</v>
      </c>
      <c r="L690" s="411">
        <v>50.94</v>
      </c>
      <c r="M690" s="418">
        <f t="shared" si="97"/>
        <v>-1.5680125441004389E-3</v>
      </c>
      <c r="N690" s="411"/>
      <c r="O690" s="388"/>
      <c r="Q690" s="388"/>
    </row>
    <row r="691" spans="1:17">
      <c r="A691" s="408">
        <v>43537</v>
      </c>
      <c r="B691" s="411">
        <v>2810.92</v>
      </c>
      <c r="C691" s="418">
        <f t="shared" si="92"/>
        <v>6.9496188456468211E-3</v>
      </c>
      <c r="D691" s="411">
        <v>51.02</v>
      </c>
      <c r="E691" s="418">
        <f t="shared" si="93"/>
        <v>6.9074402999802498E-3</v>
      </c>
      <c r="F691" s="411">
        <v>2810.92</v>
      </c>
      <c r="G691" s="418">
        <f t="shared" si="94"/>
        <v>6.9496188456468211E-3</v>
      </c>
      <c r="H691" s="411">
        <v>51.02</v>
      </c>
      <c r="I691" s="418">
        <f t="shared" si="95"/>
        <v>6.9074402999802498E-3</v>
      </c>
      <c r="J691" s="411">
        <v>2810.92</v>
      </c>
      <c r="K691" s="418">
        <f t="shared" si="96"/>
        <v>6.9496188456468211E-3</v>
      </c>
      <c r="L691" s="411">
        <v>51.02</v>
      </c>
      <c r="M691" s="418">
        <f t="shared" si="97"/>
        <v>6.9074402999802498E-3</v>
      </c>
      <c r="N691" s="411"/>
      <c r="O691" s="388"/>
      <c r="Q691" s="388"/>
    </row>
    <row r="692" spans="1:17">
      <c r="A692" s="408">
        <v>43536</v>
      </c>
      <c r="B692" s="411">
        <v>2791.52</v>
      </c>
      <c r="C692" s="418">
        <f t="shared" si="92"/>
        <v>2.9533287823806376E-3</v>
      </c>
      <c r="D692" s="411">
        <v>50.67</v>
      </c>
      <c r="E692" s="418">
        <f t="shared" si="93"/>
        <v>-8.8028169014083835E-3</v>
      </c>
      <c r="F692" s="411">
        <v>2791.52</v>
      </c>
      <c r="G692" s="418">
        <f t="shared" si="94"/>
        <v>2.9533287823806376E-3</v>
      </c>
      <c r="H692" s="411">
        <v>50.67</v>
      </c>
      <c r="I692" s="418">
        <f t="shared" si="95"/>
        <v>-8.8028169014083835E-3</v>
      </c>
      <c r="J692" s="411">
        <v>2791.52</v>
      </c>
      <c r="K692" s="418">
        <f t="shared" si="96"/>
        <v>2.9533287823806376E-3</v>
      </c>
      <c r="L692" s="411">
        <v>50.67</v>
      </c>
      <c r="M692" s="418">
        <f t="shared" si="97"/>
        <v>-8.8028169014083835E-3</v>
      </c>
      <c r="N692" s="411"/>
      <c r="O692" s="388"/>
      <c r="Q692" s="388"/>
    </row>
    <row r="693" spans="1:17">
      <c r="A693" s="408">
        <v>43535</v>
      </c>
      <c r="B693" s="411">
        <v>2783.3</v>
      </c>
      <c r="C693" s="418">
        <f t="shared" si="92"/>
        <v>1.4666049353461608E-2</v>
      </c>
      <c r="D693" s="411">
        <v>51.12</v>
      </c>
      <c r="E693" s="418">
        <f t="shared" si="93"/>
        <v>3.085299455535373E-2</v>
      </c>
      <c r="F693" s="411">
        <v>2783.3</v>
      </c>
      <c r="G693" s="418">
        <f t="shared" si="94"/>
        <v>1.4666049353461608E-2</v>
      </c>
      <c r="H693" s="411">
        <v>51.12</v>
      </c>
      <c r="I693" s="418">
        <f t="shared" si="95"/>
        <v>3.085299455535373E-2</v>
      </c>
      <c r="J693" s="411">
        <v>2783.3</v>
      </c>
      <c r="K693" s="418">
        <f t="shared" si="96"/>
        <v>1.4666049353461608E-2</v>
      </c>
      <c r="L693" s="411">
        <v>51.12</v>
      </c>
      <c r="M693" s="418">
        <f t="shared" si="97"/>
        <v>3.085299455535373E-2</v>
      </c>
      <c r="N693" s="411"/>
      <c r="O693" s="388"/>
      <c r="Q693" s="388"/>
    </row>
    <row r="694" spans="1:17">
      <c r="A694" s="408">
        <v>43532</v>
      </c>
      <c r="B694" s="411">
        <v>2743.07</v>
      </c>
      <c r="C694" s="418">
        <f t="shared" si="92"/>
        <v>-2.1317385309919112E-3</v>
      </c>
      <c r="D694" s="411">
        <v>49.59</v>
      </c>
      <c r="E694" s="418">
        <f t="shared" si="93"/>
        <v>0</v>
      </c>
      <c r="F694" s="411">
        <v>2743.07</v>
      </c>
      <c r="G694" s="418">
        <f t="shared" si="94"/>
        <v>-2.1317385309919112E-3</v>
      </c>
      <c r="H694" s="411">
        <v>49.59</v>
      </c>
      <c r="I694" s="418">
        <f t="shared" si="95"/>
        <v>0</v>
      </c>
      <c r="J694" s="411">
        <v>2743.07</v>
      </c>
      <c r="K694" s="418">
        <f t="shared" si="96"/>
        <v>-2.1317385309919112E-3</v>
      </c>
      <c r="L694" s="411">
        <v>49.59</v>
      </c>
      <c r="M694" s="418">
        <f t="shared" si="97"/>
        <v>0</v>
      </c>
      <c r="N694" s="411"/>
      <c r="O694" s="388"/>
      <c r="Q694" s="388"/>
    </row>
    <row r="695" spans="1:17">
      <c r="A695" s="408">
        <v>43531</v>
      </c>
      <c r="B695" s="411">
        <v>2748.93</v>
      </c>
      <c r="C695" s="418">
        <f t="shared" si="92"/>
        <v>-8.1257103682187415E-3</v>
      </c>
      <c r="D695" s="411">
        <v>49.59</v>
      </c>
      <c r="E695" s="418">
        <f t="shared" si="93"/>
        <v>-2.4140012070005268E-3</v>
      </c>
      <c r="F695" s="411">
        <v>2748.93</v>
      </c>
      <c r="G695" s="418">
        <f t="shared" si="94"/>
        <v>-8.1257103682187415E-3</v>
      </c>
      <c r="H695" s="411">
        <v>49.59</v>
      </c>
      <c r="I695" s="418">
        <f t="shared" si="95"/>
        <v>-2.4140012070005268E-3</v>
      </c>
      <c r="J695" s="411">
        <v>2748.93</v>
      </c>
      <c r="K695" s="418">
        <f t="shared" si="96"/>
        <v>-8.1257103682187415E-3</v>
      </c>
      <c r="L695" s="411">
        <v>49.59</v>
      </c>
      <c r="M695" s="418">
        <f t="shared" si="97"/>
        <v>-2.4140012070005268E-3</v>
      </c>
      <c r="N695" s="411"/>
      <c r="O695" s="388"/>
      <c r="Q695" s="388"/>
    </row>
    <row r="696" spans="1:17">
      <c r="A696" s="408">
        <v>43530</v>
      </c>
      <c r="B696" s="411">
        <v>2771.45</v>
      </c>
      <c r="C696" s="418">
        <f t="shared" si="92"/>
        <v>-6.5241159285216455E-3</v>
      </c>
      <c r="D696" s="411">
        <v>49.71</v>
      </c>
      <c r="E696" s="418">
        <f t="shared" si="93"/>
        <v>-2.0112630732094239E-4</v>
      </c>
      <c r="F696" s="411">
        <v>2771.45</v>
      </c>
      <c r="G696" s="418">
        <f t="shared" si="94"/>
        <v>-6.5241159285216455E-3</v>
      </c>
      <c r="H696" s="411">
        <v>49.71</v>
      </c>
      <c r="I696" s="418">
        <f t="shared" si="95"/>
        <v>-2.0112630732094239E-4</v>
      </c>
      <c r="J696" s="411">
        <v>2771.45</v>
      </c>
      <c r="K696" s="418">
        <f t="shared" si="96"/>
        <v>-6.5241159285216455E-3</v>
      </c>
      <c r="L696" s="411">
        <v>49.71</v>
      </c>
      <c r="M696" s="418">
        <f t="shared" si="97"/>
        <v>-2.0112630732094239E-4</v>
      </c>
      <c r="N696" s="411"/>
      <c r="O696" s="388"/>
      <c r="Q696" s="388"/>
    </row>
    <row r="697" spans="1:17">
      <c r="A697" s="408">
        <v>43529</v>
      </c>
      <c r="B697" s="411">
        <v>2789.65</v>
      </c>
      <c r="C697" s="418">
        <f t="shared" si="92"/>
        <v>-1.1314768996100177E-3</v>
      </c>
      <c r="D697" s="411">
        <v>49.72</v>
      </c>
      <c r="E697" s="418">
        <f t="shared" si="93"/>
        <v>1.9061283049805366E-2</v>
      </c>
      <c r="F697" s="411">
        <v>2789.65</v>
      </c>
      <c r="G697" s="418">
        <f t="shared" si="94"/>
        <v>-1.1314768996100177E-3</v>
      </c>
      <c r="H697" s="411">
        <v>49.72</v>
      </c>
      <c r="I697" s="418">
        <f t="shared" si="95"/>
        <v>1.9061283049805366E-2</v>
      </c>
      <c r="J697" s="411">
        <v>2789.65</v>
      </c>
      <c r="K697" s="418">
        <f t="shared" si="96"/>
        <v>-1.1314768996100177E-3</v>
      </c>
      <c r="L697" s="411">
        <v>49.72</v>
      </c>
      <c r="M697" s="418">
        <f t="shared" si="97"/>
        <v>1.9061283049805366E-2</v>
      </c>
      <c r="N697" s="411"/>
      <c r="O697" s="388"/>
      <c r="Q697" s="388"/>
    </row>
    <row r="698" spans="1:17">
      <c r="A698" s="408">
        <v>43528</v>
      </c>
      <c r="B698" s="411">
        <v>2792.81</v>
      </c>
      <c r="C698" s="418">
        <f t="shared" si="92"/>
        <v>-3.8806002090102654E-3</v>
      </c>
      <c r="D698" s="411">
        <v>48.79</v>
      </c>
      <c r="E698" s="418">
        <f t="shared" si="93"/>
        <v>-3.4722222222222099E-3</v>
      </c>
      <c r="F698" s="411">
        <v>2792.81</v>
      </c>
      <c r="G698" s="418">
        <f t="shared" si="94"/>
        <v>-3.8806002090102654E-3</v>
      </c>
      <c r="H698" s="411">
        <v>48.79</v>
      </c>
      <c r="I698" s="418">
        <f t="shared" si="95"/>
        <v>-3.4722222222222099E-3</v>
      </c>
      <c r="J698" s="411">
        <v>2792.81</v>
      </c>
      <c r="K698" s="418">
        <f t="shared" si="96"/>
        <v>-3.8806002090102654E-3</v>
      </c>
      <c r="L698" s="411">
        <v>48.79</v>
      </c>
      <c r="M698" s="418">
        <f t="shared" si="97"/>
        <v>-3.4722222222222099E-3</v>
      </c>
      <c r="N698" s="411"/>
      <c r="O698" s="388"/>
      <c r="Q698" s="388"/>
    </row>
    <row r="699" spans="1:17">
      <c r="A699" s="408">
        <v>43525</v>
      </c>
      <c r="B699" s="411">
        <v>2803.69</v>
      </c>
      <c r="C699" s="418">
        <f t="shared" si="92"/>
        <v>6.8953381050032014E-3</v>
      </c>
      <c r="D699" s="411">
        <v>48.96</v>
      </c>
      <c r="E699" s="418">
        <f t="shared" si="93"/>
        <v>-1.2505042355788532E-2</v>
      </c>
      <c r="F699" s="411">
        <v>2803.69</v>
      </c>
      <c r="G699" s="418">
        <f t="shared" si="94"/>
        <v>6.8953381050032014E-3</v>
      </c>
      <c r="H699" s="411">
        <v>48.96</v>
      </c>
      <c r="I699" s="418">
        <f t="shared" si="95"/>
        <v>-1.2505042355788532E-2</v>
      </c>
      <c r="J699" s="411">
        <v>2803.69</v>
      </c>
      <c r="K699" s="418">
        <f t="shared" si="96"/>
        <v>6.8953381050032014E-3</v>
      </c>
      <c r="L699" s="411">
        <v>48.96</v>
      </c>
      <c r="M699" s="418">
        <f t="shared" si="97"/>
        <v>-1.2505042355788532E-2</v>
      </c>
      <c r="N699" s="411"/>
      <c r="O699" s="388"/>
      <c r="Q699" s="388"/>
    </row>
    <row r="700" spans="1:17">
      <c r="A700" s="408">
        <v>43524</v>
      </c>
      <c r="B700" s="411">
        <v>2784.49</v>
      </c>
      <c r="C700" s="418">
        <f t="shared" si="92"/>
        <v>-2.8255466662847617E-3</v>
      </c>
      <c r="D700" s="411">
        <v>49.58</v>
      </c>
      <c r="E700" s="418">
        <f t="shared" si="93"/>
        <v>-1.6855046599246526E-2</v>
      </c>
      <c r="F700" s="411">
        <v>2784.49</v>
      </c>
      <c r="G700" s="418">
        <f t="shared" si="94"/>
        <v>-2.8255466662847617E-3</v>
      </c>
      <c r="H700" s="411">
        <v>49.58</v>
      </c>
      <c r="I700" s="418">
        <f t="shared" si="95"/>
        <v>-1.6855046599246526E-2</v>
      </c>
      <c r="J700" s="411">
        <v>2784.49</v>
      </c>
      <c r="K700" s="418">
        <f t="shared" si="96"/>
        <v>-2.8255466662847617E-3</v>
      </c>
      <c r="L700" s="411">
        <v>49.58</v>
      </c>
      <c r="M700" s="418">
        <f t="shared" si="97"/>
        <v>-1.6855046599246526E-2</v>
      </c>
      <c r="N700" s="411"/>
      <c r="O700" s="388"/>
      <c r="Q700" s="388"/>
    </row>
    <row r="701" spans="1:17">
      <c r="A701" s="408">
        <v>43523</v>
      </c>
      <c r="B701" s="411">
        <v>2792.38</v>
      </c>
      <c r="C701" s="418">
        <f t="shared" si="92"/>
        <v>-5.4404237803784561E-4</v>
      </c>
      <c r="D701" s="411">
        <v>50.43</v>
      </c>
      <c r="E701" s="418">
        <f t="shared" si="93"/>
        <v>-1.3497652582159625E-2</v>
      </c>
      <c r="F701" s="411">
        <v>2792.38</v>
      </c>
      <c r="G701" s="418">
        <f t="shared" si="94"/>
        <v>-5.4404237803784561E-4</v>
      </c>
      <c r="H701" s="411">
        <v>50.43</v>
      </c>
      <c r="I701" s="418">
        <f t="shared" si="95"/>
        <v>-1.3497652582159625E-2</v>
      </c>
      <c r="J701" s="411">
        <v>2792.38</v>
      </c>
      <c r="K701" s="418">
        <f t="shared" si="96"/>
        <v>-5.4404237803784561E-4</v>
      </c>
      <c r="L701" s="411">
        <v>50.43</v>
      </c>
      <c r="M701" s="418">
        <f t="shared" si="97"/>
        <v>-1.3497652582159625E-2</v>
      </c>
      <c r="N701" s="411"/>
      <c r="O701" s="388"/>
      <c r="Q701" s="388"/>
    </row>
    <row r="702" spans="1:17">
      <c r="A702" s="408">
        <v>43522</v>
      </c>
      <c r="B702" s="411">
        <v>2793.9</v>
      </c>
      <c r="C702" s="418">
        <f t="shared" si="92"/>
        <v>-7.9038378318452285E-4</v>
      </c>
      <c r="D702" s="411">
        <v>51.12</v>
      </c>
      <c r="E702" s="418">
        <f t="shared" si="93"/>
        <v>-5.6409258899047243E-3</v>
      </c>
      <c r="F702" s="411">
        <v>2793.9</v>
      </c>
      <c r="G702" s="418">
        <f t="shared" si="94"/>
        <v>-7.9038378318452285E-4</v>
      </c>
      <c r="H702" s="411">
        <v>51.12</v>
      </c>
      <c r="I702" s="418">
        <f t="shared" si="95"/>
        <v>-5.6409258899047243E-3</v>
      </c>
      <c r="J702" s="411">
        <v>2793.9</v>
      </c>
      <c r="K702" s="418">
        <f t="shared" si="96"/>
        <v>-7.9038378318452285E-4</v>
      </c>
      <c r="L702" s="411">
        <v>51.12</v>
      </c>
      <c r="M702" s="418">
        <f t="shared" si="97"/>
        <v>-5.6409258899047243E-3</v>
      </c>
      <c r="N702" s="411"/>
      <c r="O702" s="388"/>
      <c r="Q702" s="388"/>
    </row>
    <row r="703" spans="1:17">
      <c r="A703" s="408">
        <v>43521</v>
      </c>
      <c r="B703" s="411">
        <v>2796.11</v>
      </c>
      <c r="C703" s="418">
        <f t="shared" si="92"/>
        <v>1.2317960947767492E-3</v>
      </c>
      <c r="D703" s="411">
        <v>51.41</v>
      </c>
      <c r="E703" s="418">
        <f t="shared" si="93"/>
        <v>-2.1350931677019958E-3</v>
      </c>
      <c r="F703" s="411">
        <v>2796.11</v>
      </c>
      <c r="G703" s="418">
        <f t="shared" si="94"/>
        <v>1.2317960947767492E-3</v>
      </c>
      <c r="H703" s="411">
        <v>51.41</v>
      </c>
      <c r="I703" s="418">
        <f t="shared" si="95"/>
        <v>-2.1350931677019958E-3</v>
      </c>
      <c r="J703" s="411">
        <v>2796.11</v>
      </c>
      <c r="K703" s="418">
        <f t="shared" si="96"/>
        <v>1.2317960947767492E-3</v>
      </c>
      <c r="L703" s="411">
        <v>51.41</v>
      </c>
      <c r="M703" s="418">
        <f t="shared" si="97"/>
        <v>-2.1350931677019958E-3</v>
      </c>
      <c r="N703" s="411"/>
      <c r="O703" s="388"/>
      <c r="Q703" s="388"/>
    </row>
    <row r="704" spans="1:17">
      <c r="A704" s="408">
        <v>43518</v>
      </c>
      <c r="B704" s="411">
        <v>2792.67</v>
      </c>
      <c r="C704" s="418">
        <f t="shared" si="92"/>
        <v>6.4110880470507059E-3</v>
      </c>
      <c r="D704" s="411">
        <v>51.52</v>
      </c>
      <c r="E704" s="418">
        <f t="shared" si="93"/>
        <v>7.7700077700093573E-4</v>
      </c>
      <c r="F704" s="411">
        <v>2792.67</v>
      </c>
      <c r="G704" s="418">
        <f t="shared" si="94"/>
        <v>6.4110880470507059E-3</v>
      </c>
      <c r="H704" s="411">
        <v>51.52</v>
      </c>
      <c r="I704" s="418">
        <f t="shared" si="95"/>
        <v>7.7700077700093573E-4</v>
      </c>
      <c r="J704" s="411">
        <v>2792.67</v>
      </c>
      <c r="K704" s="418">
        <f t="shared" si="96"/>
        <v>6.4110880470507059E-3</v>
      </c>
      <c r="L704" s="411">
        <v>51.52</v>
      </c>
      <c r="M704" s="418">
        <f t="shared" si="97"/>
        <v>7.7700077700093573E-4</v>
      </c>
      <c r="N704" s="411"/>
      <c r="O704" s="388"/>
      <c r="Q704" s="388"/>
    </row>
    <row r="705" spans="1:17">
      <c r="A705" s="408">
        <v>43517</v>
      </c>
      <c r="B705" s="411">
        <v>2774.88</v>
      </c>
      <c r="C705" s="418">
        <f t="shared" si="92"/>
        <v>-3.526412180845262E-3</v>
      </c>
      <c r="D705" s="411">
        <v>51.48</v>
      </c>
      <c r="E705" s="418">
        <f t="shared" si="93"/>
        <v>4.6838407494145251E-3</v>
      </c>
      <c r="F705" s="411">
        <v>2774.88</v>
      </c>
      <c r="G705" s="418">
        <f t="shared" si="94"/>
        <v>-3.526412180845262E-3</v>
      </c>
      <c r="H705" s="411">
        <v>51.48</v>
      </c>
      <c r="I705" s="418">
        <f t="shared" si="95"/>
        <v>4.6838407494145251E-3</v>
      </c>
      <c r="J705" s="411">
        <v>2774.88</v>
      </c>
      <c r="K705" s="418">
        <f t="shared" si="96"/>
        <v>-3.526412180845262E-3</v>
      </c>
      <c r="L705" s="411">
        <v>51.48</v>
      </c>
      <c r="M705" s="418">
        <f t="shared" si="97"/>
        <v>4.6838407494145251E-3</v>
      </c>
      <c r="N705" s="411"/>
      <c r="O705" s="388"/>
      <c r="Q705" s="388"/>
    </row>
    <row r="706" spans="1:17">
      <c r="A706" s="408">
        <v>43516</v>
      </c>
      <c r="B706" s="411">
        <v>2784.7</v>
      </c>
      <c r="C706" s="418">
        <f t="shared" si="92"/>
        <v>1.7771318387196366E-3</v>
      </c>
      <c r="D706" s="411">
        <v>51.24</v>
      </c>
      <c r="E706" s="418">
        <f t="shared" si="93"/>
        <v>-1.1192589733693525E-2</v>
      </c>
      <c r="F706" s="411">
        <v>2784.7</v>
      </c>
      <c r="G706" s="418">
        <f t="shared" si="94"/>
        <v>1.7771318387196366E-3</v>
      </c>
      <c r="H706" s="411">
        <v>51.24</v>
      </c>
      <c r="I706" s="418">
        <f t="shared" si="95"/>
        <v>-1.1192589733693525E-2</v>
      </c>
      <c r="J706" s="411">
        <v>2784.7</v>
      </c>
      <c r="K706" s="418">
        <f t="shared" si="96"/>
        <v>1.7771318387196366E-3</v>
      </c>
      <c r="L706" s="411">
        <v>51.24</v>
      </c>
      <c r="M706" s="418">
        <f t="shared" si="97"/>
        <v>-1.1192589733693525E-2</v>
      </c>
      <c r="N706" s="411"/>
      <c r="O706" s="388"/>
      <c r="Q706" s="388"/>
    </row>
    <row r="707" spans="1:17">
      <c r="A707" s="408">
        <v>43515</v>
      </c>
      <c r="B707" s="411">
        <v>2779.76</v>
      </c>
      <c r="C707" s="418">
        <f t="shared" si="92"/>
        <v>1.4987750396311394E-3</v>
      </c>
      <c r="D707" s="411">
        <v>51.82</v>
      </c>
      <c r="E707" s="418">
        <f t="shared" si="93"/>
        <v>1.4487079091620947E-2</v>
      </c>
      <c r="F707" s="411">
        <v>2779.76</v>
      </c>
      <c r="G707" s="418">
        <f t="shared" si="94"/>
        <v>1.4987750396311394E-3</v>
      </c>
      <c r="H707" s="411">
        <v>51.82</v>
      </c>
      <c r="I707" s="418">
        <f t="shared" si="95"/>
        <v>1.4487079091620947E-2</v>
      </c>
      <c r="J707" s="411">
        <v>2779.76</v>
      </c>
      <c r="K707" s="418">
        <f t="shared" si="96"/>
        <v>1.4987750396311394E-3</v>
      </c>
      <c r="L707" s="411">
        <v>51.82</v>
      </c>
      <c r="M707" s="418">
        <f t="shared" si="97"/>
        <v>1.4487079091620947E-2</v>
      </c>
      <c r="N707" s="411"/>
      <c r="O707" s="388"/>
      <c r="Q707" s="388"/>
    </row>
    <row r="708" spans="1:17">
      <c r="A708" s="408">
        <v>43511</v>
      </c>
      <c r="B708" s="411">
        <v>2775.6</v>
      </c>
      <c r="C708" s="418">
        <f t="shared" si="92"/>
        <v>1.0878709851296353E-2</v>
      </c>
      <c r="D708" s="411">
        <v>51.08</v>
      </c>
      <c r="E708" s="418">
        <f t="shared" si="93"/>
        <v>1.188589540412055E-2</v>
      </c>
      <c r="F708" s="411">
        <v>2775.6</v>
      </c>
      <c r="G708" s="418">
        <f t="shared" si="94"/>
        <v>1.0878709851296353E-2</v>
      </c>
      <c r="H708" s="411">
        <v>51.08</v>
      </c>
      <c r="I708" s="418">
        <f t="shared" si="95"/>
        <v>1.188589540412055E-2</v>
      </c>
      <c r="J708" s="411">
        <v>2775.6</v>
      </c>
      <c r="K708" s="418">
        <f t="shared" si="96"/>
        <v>1.0878709851296353E-2</v>
      </c>
      <c r="L708" s="411">
        <v>51.08</v>
      </c>
      <c r="M708" s="418">
        <f t="shared" si="97"/>
        <v>1.188589540412055E-2</v>
      </c>
      <c r="N708" s="411"/>
      <c r="O708" s="388"/>
      <c r="Q708" s="388"/>
    </row>
    <row r="709" spans="1:17">
      <c r="A709" s="408">
        <v>43510</v>
      </c>
      <c r="B709" s="411">
        <v>2745.73</v>
      </c>
      <c r="C709" s="418">
        <f t="shared" si="92"/>
        <v>-2.6516238471793185E-3</v>
      </c>
      <c r="D709" s="411">
        <v>50.48</v>
      </c>
      <c r="E709" s="418">
        <f t="shared" si="93"/>
        <v>1.3886133703631121E-3</v>
      </c>
      <c r="F709" s="411">
        <v>2745.73</v>
      </c>
      <c r="G709" s="418">
        <f t="shared" si="94"/>
        <v>-2.6516238471793185E-3</v>
      </c>
      <c r="H709" s="411">
        <v>50.48</v>
      </c>
      <c r="I709" s="418">
        <f t="shared" si="95"/>
        <v>1.3886133703631121E-3</v>
      </c>
      <c r="J709" s="411">
        <v>2745.73</v>
      </c>
      <c r="K709" s="418">
        <f t="shared" si="96"/>
        <v>-2.6516238471793185E-3</v>
      </c>
      <c r="L709" s="411">
        <v>50.48</v>
      </c>
      <c r="M709" s="418">
        <f t="shared" si="97"/>
        <v>1.3886133703631121E-3</v>
      </c>
      <c r="N709" s="411"/>
      <c r="O709" s="388"/>
      <c r="Q709" s="388"/>
    </row>
    <row r="710" spans="1:17">
      <c r="A710" s="408">
        <v>43509</v>
      </c>
      <c r="B710" s="411">
        <v>2753.03</v>
      </c>
      <c r="C710" s="418">
        <f t="shared" si="92"/>
        <v>3.0239768574686909E-3</v>
      </c>
      <c r="D710" s="411">
        <v>50.41</v>
      </c>
      <c r="E710" s="418">
        <f t="shared" si="93"/>
        <v>1.0422930446983392E-2</v>
      </c>
      <c r="F710" s="411">
        <v>2753.03</v>
      </c>
      <c r="G710" s="418">
        <f t="shared" si="94"/>
        <v>3.0239768574686909E-3</v>
      </c>
      <c r="H710" s="411">
        <v>50.41</v>
      </c>
      <c r="I710" s="418">
        <f t="shared" si="95"/>
        <v>1.0422930446983392E-2</v>
      </c>
      <c r="J710" s="411">
        <v>2753.03</v>
      </c>
      <c r="K710" s="418">
        <f t="shared" si="96"/>
        <v>3.0239768574686909E-3</v>
      </c>
      <c r="L710" s="411">
        <v>50.41</v>
      </c>
      <c r="M710" s="418">
        <f t="shared" si="97"/>
        <v>1.0422930446983392E-2</v>
      </c>
      <c r="N710" s="411"/>
      <c r="O710" s="388"/>
      <c r="Q710" s="388"/>
    </row>
    <row r="711" spans="1:17">
      <c r="A711" s="408">
        <v>43508</v>
      </c>
      <c r="B711" s="411">
        <v>2744.73</v>
      </c>
      <c r="C711" s="418">
        <f t="shared" si="92"/>
        <v>1.2890250202966858E-2</v>
      </c>
      <c r="D711" s="411">
        <v>49.89</v>
      </c>
      <c r="E711" s="418">
        <f t="shared" si="93"/>
        <v>-1.4226437462951935E-2</v>
      </c>
      <c r="F711" s="411">
        <v>2744.73</v>
      </c>
      <c r="G711" s="418">
        <f t="shared" si="94"/>
        <v>1.2890250202966858E-2</v>
      </c>
      <c r="H711" s="411">
        <v>49.89</v>
      </c>
      <c r="I711" s="418">
        <f t="shared" si="95"/>
        <v>-1.4226437462951935E-2</v>
      </c>
      <c r="J711" s="411">
        <v>2744.73</v>
      </c>
      <c r="K711" s="418">
        <f t="shared" si="96"/>
        <v>1.2890250202966858E-2</v>
      </c>
      <c r="L711" s="411">
        <v>49.89</v>
      </c>
      <c r="M711" s="418">
        <f t="shared" si="97"/>
        <v>-1.4226437462951935E-2</v>
      </c>
      <c r="N711" s="411"/>
      <c r="O711" s="388"/>
      <c r="Q711" s="388"/>
    </row>
    <row r="712" spans="1:17">
      <c r="A712" s="408">
        <v>43507</v>
      </c>
      <c r="B712" s="411">
        <v>2709.8</v>
      </c>
      <c r="C712" s="418">
        <f t="shared" ref="C712:C775" si="98">B712/B713-1</f>
        <v>7.0904175960539995E-4</v>
      </c>
      <c r="D712" s="411">
        <v>50.61</v>
      </c>
      <c r="E712" s="418">
        <f t="shared" ref="E712:E775" si="99">D712/D713-1</f>
        <v>2.7739251040221902E-3</v>
      </c>
      <c r="F712" s="411">
        <v>2709.8</v>
      </c>
      <c r="G712" s="418">
        <f t="shared" ref="G712:G775" si="100">F712/F713-1</f>
        <v>7.0904175960539995E-4</v>
      </c>
      <c r="H712" s="411">
        <v>50.61</v>
      </c>
      <c r="I712" s="418">
        <f t="shared" ref="I712:I775" si="101">H712/H713-1</f>
        <v>2.7739251040221902E-3</v>
      </c>
      <c r="J712" s="411">
        <v>2709.8</v>
      </c>
      <c r="K712" s="418">
        <f t="shared" ref="K712:K756" si="102">J712/J713-1</f>
        <v>7.0904175960539995E-4</v>
      </c>
      <c r="L712" s="411">
        <v>50.61</v>
      </c>
      <c r="M712" s="418">
        <f t="shared" ref="M712:M756" si="103">L712/L713-1</f>
        <v>2.7739251040221902E-3</v>
      </c>
      <c r="N712" s="411"/>
      <c r="O712" s="388"/>
      <c r="Q712" s="388"/>
    </row>
    <row r="713" spans="1:17">
      <c r="A713" s="408">
        <v>43504</v>
      </c>
      <c r="B713" s="411">
        <v>2707.88</v>
      </c>
      <c r="C713" s="418">
        <f t="shared" si="98"/>
        <v>6.7626244895691023E-4</v>
      </c>
      <c r="D713" s="411">
        <v>50.47</v>
      </c>
      <c r="E713" s="418">
        <f t="shared" si="99"/>
        <v>1.1902400317398421E-3</v>
      </c>
      <c r="F713" s="411">
        <v>2707.88</v>
      </c>
      <c r="G713" s="418">
        <f t="shared" si="100"/>
        <v>6.7626244895691023E-4</v>
      </c>
      <c r="H713" s="411">
        <v>50.47</v>
      </c>
      <c r="I713" s="418">
        <f t="shared" si="101"/>
        <v>1.1902400317398421E-3</v>
      </c>
      <c r="J713" s="411">
        <v>2707.88</v>
      </c>
      <c r="K713" s="418">
        <f t="shared" si="102"/>
        <v>6.7626244895691023E-4</v>
      </c>
      <c r="L713" s="411">
        <v>50.47</v>
      </c>
      <c r="M713" s="418">
        <f t="shared" si="103"/>
        <v>1.1902400317398421E-3</v>
      </c>
      <c r="N713" s="411"/>
      <c r="O713" s="388"/>
      <c r="Q713" s="388"/>
    </row>
    <row r="714" spans="1:17">
      <c r="A714" s="408">
        <v>43503</v>
      </c>
      <c r="B714" s="411">
        <v>2706.05</v>
      </c>
      <c r="C714" s="418">
        <f t="shared" si="98"/>
        <v>-9.3571190616522637E-3</v>
      </c>
      <c r="D714" s="411">
        <v>50.41</v>
      </c>
      <c r="E714" s="418">
        <f t="shared" si="99"/>
        <v>-2.1773555027713165E-3</v>
      </c>
      <c r="F714" s="411">
        <v>2706.05</v>
      </c>
      <c r="G714" s="418">
        <f t="shared" si="100"/>
        <v>-9.3571190616522637E-3</v>
      </c>
      <c r="H714" s="411">
        <v>50.41</v>
      </c>
      <c r="I714" s="418">
        <f t="shared" si="101"/>
        <v>-2.1773555027713165E-3</v>
      </c>
      <c r="J714" s="411">
        <v>2706.05</v>
      </c>
      <c r="K714" s="418">
        <f t="shared" si="102"/>
        <v>-9.3571190616522637E-3</v>
      </c>
      <c r="L714" s="411">
        <v>50.41</v>
      </c>
      <c r="M714" s="418">
        <f t="shared" si="103"/>
        <v>-2.1773555027713165E-3</v>
      </c>
      <c r="N714" s="411"/>
      <c r="O714" s="388"/>
      <c r="Q714" s="388"/>
    </row>
    <row r="715" spans="1:17">
      <c r="A715" s="408">
        <v>43502</v>
      </c>
      <c r="B715" s="411">
        <v>2731.61</v>
      </c>
      <c r="C715" s="418">
        <f t="shared" si="98"/>
        <v>-2.224495014062744E-3</v>
      </c>
      <c r="D715" s="411">
        <v>50.52</v>
      </c>
      <c r="E715" s="418">
        <f t="shared" si="99"/>
        <v>-3.9572615749894346E-4</v>
      </c>
      <c r="F715" s="411">
        <v>2731.61</v>
      </c>
      <c r="G715" s="418">
        <f t="shared" si="100"/>
        <v>-2.224495014062744E-3</v>
      </c>
      <c r="H715" s="411">
        <v>50.52</v>
      </c>
      <c r="I715" s="418">
        <f t="shared" si="101"/>
        <v>-3.9572615749894346E-4</v>
      </c>
      <c r="J715" s="411">
        <v>2731.61</v>
      </c>
      <c r="K715" s="418">
        <f t="shared" si="102"/>
        <v>-2.224495014062744E-3</v>
      </c>
      <c r="L715" s="411">
        <v>50.52</v>
      </c>
      <c r="M715" s="418">
        <f t="shared" si="103"/>
        <v>-3.9572615749894346E-4</v>
      </c>
      <c r="N715" s="411"/>
      <c r="O715" s="388"/>
      <c r="Q715" s="388"/>
    </row>
    <row r="716" spans="1:17">
      <c r="A716" s="408">
        <v>43501</v>
      </c>
      <c r="B716" s="411">
        <v>2737.7</v>
      </c>
      <c r="C716" s="418">
        <f t="shared" si="98"/>
        <v>4.7084815055395968E-3</v>
      </c>
      <c r="D716" s="411">
        <v>50.54</v>
      </c>
      <c r="E716" s="418">
        <f t="shared" si="99"/>
        <v>3.9729837107667088E-3</v>
      </c>
      <c r="F716" s="411">
        <v>2737.7</v>
      </c>
      <c r="G716" s="418">
        <f t="shared" si="100"/>
        <v>4.7084815055395968E-3</v>
      </c>
      <c r="H716" s="411">
        <v>50.54</v>
      </c>
      <c r="I716" s="418">
        <f t="shared" si="101"/>
        <v>3.9729837107667088E-3</v>
      </c>
      <c r="J716" s="411">
        <v>2737.7</v>
      </c>
      <c r="K716" s="418">
        <f t="shared" si="102"/>
        <v>4.7084815055395968E-3</v>
      </c>
      <c r="L716" s="411">
        <v>50.54</v>
      </c>
      <c r="M716" s="418">
        <f t="shared" si="103"/>
        <v>3.9729837107667088E-3</v>
      </c>
      <c r="N716" s="411"/>
      <c r="O716" s="388"/>
      <c r="Q716" s="388"/>
    </row>
    <row r="717" spans="1:17">
      <c r="A717" s="408">
        <v>43500</v>
      </c>
      <c r="B717" s="411">
        <v>2724.87</v>
      </c>
      <c r="C717" s="418">
        <f t="shared" si="98"/>
        <v>6.7762042172079262E-3</v>
      </c>
      <c r="D717" s="411">
        <v>50.34</v>
      </c>
      <c r="E717" s="418">
        <f t="shared" si="99"/>
        <v>8.4134615384616751E-3</v>
      </c>
      <c r="F717" s="411">
        <v>2724.87</v>
      </c>
      <c r="G717" s="418">
        <f t="shared" si="100"/>
        <v>6.7762042172079262E-3</v>
      </c>
      <c r="H717" s="411">
        <v>50.34</v>
      </c>
      <c r="I717" s="418">
        <f t="shared" si="101"/>
        <v>8.4134615384616751E-3</v>
      </c>
      <c r="J717" s="411">
        <v>2724.87</v>
      </c>
      <c r="K717" s="418">
        <f t="shared" si="102"/>
        <v>6.7762042172079262E-3</v>
      </c>
      <c r="L717" s="411">
        <v>50.34</v>
      </c>
      <c r="M717" s="418">
        <f t="shared" si="103"/>
        <v>8.4134615384616751E-3</v>
      </c>
      <c r="N717" s="411"/>
      <c r="O717" s="388"/>
      <c r="Q717" s="388"/>
    </row>
    <row r="718" spans="1:17">
      <c r="A718" s="408">
        <v>43497</v>
      </c>
      <c r="B718" s="411">
        <v>2706.53</v>
      </c>
      <c r="C718" s="418">
        <f t="shared" si="98"/>
        <v>8.98635405495396E-4</v>
      </c>
      <c r="D718" s="411">
        <v>49.92</v>
      </c>
      <c r="E718" s="418">
        <f t="shared" si="99"/>
        <v>9.91300829455799E-3</v>
      </c>
      <c r="F718" s="411">
        <v>2706.53</v>
      </c>
      <c r="G718" s="418">
        <f t="shared" si="100"/>
        <v>8.98635405495396E-4</v>
      </c>
      <c r="H718" s="411">
        <v>49.92</v>
      </c>
      <c r="I718" s="418">
        <f t="shared" si="101"/>
        <v>9.91300829455799E-3</v>
      </c>
      <c r="J718" s="411">
        <v>2706.53</v>
      </c>
      <c r="K718" s="418">
        <f t="shared" si="102"/>
        <v>8.98635405495396E-4</v>
      </c>
      <c r="L718" s="411">
        <v>49.92</v>
      </c>
      <c r="M718" s="418">
        <f t="shared" si="103"/>
        <v>9.91300829455799E-3</v>
      </c>
      <c r="N718" s="411"/>
      <c r="O718" s="388"/>
      <c r="Q718" s="388"/>
    </row>
    <row r="719" spans="1:17">
      <c r="A719" s="408">
        <v>43496</v>
      </c>
      <c r="B719" s="411">
        <v>2704.1</v>
      </c>
      <c r="C719" s="418">
        <f t="shared" si="98"/>
        <v>8.5973778929895328E-3</v>
      </c>
      <c r="D719" s="411">
        <v>49.43</v>
      </c>
      <c r="E719" s="418">
        <f t="shared" si="99"/>
        <v>-1.6709767256813279E-2</v>
      </c>
      <c r="F719" s="411">
        <v>2704.1</v>
      </c>
      <c r="G719" s="418">
        <f t="shared" si="100"/>
        <v>8.5973778929895328E-3</v>
      </c>
      <c r="H719" s="411">
        <v>49.43</v>
      </c>
      <c r="I719" s="418">
        <f t="shared" si="101"/>
        <v>-1.6709767256813279E-2</v>
      </c>
      <c r="J719" s="411">
        <v>2704.1</v>
      </c>
      <c r="K719" s="418">
        <f t="shared" si="102"/>
        <v>8.5973778929895328E-3</v>
      </c>
      <c r="L719" s="411">
        <v>49.43</v>
      </c>
      <c r="M719" s="418">
        <f t="shared" si="103"/>
        <v>-1.6709767256813279E-2</v>
      </c>
      <c r="N719" s="411"/>
      <c r="O719" s="388"/>
      <c r="Q719" s="388"/>
    </row>
    <row r="720" spans="1:17">
      <c r="A720" s="408">
        <v>43495</v>
      </c>
      <c r="B720" s="411">
        <v>2681.05</v>
      </c>
      <c r="C720" s="418">
        <f t="shared" si="98"/>
        <v>1.5549242424242493E-2</v>
      </c>
      <c r="D720" s="411">
        <v>50.27</v>
      </c>
      <c r="E720" s="418">
        <f t="shared" si="99"/>
        <v>4.2513479883865779E-2</v>
      </c>
      <c r="F720" s="411">
        <v>2681.05</v>
      </c>
      <c r="G720" s="418">
        <f t="shared" si="100"/>
        <v>1.5549242424242493E-2</v>
      </c>
      <c r="H720" s="411">
        <v>50.27</v>
      </c>
      <c r="I720" s="418">
        <f t="shared" si="101"/>
        <v>4.2513479883865779E-2</v>
      </c>
      <c r="J720" s="411">
        <v>2681.05</v>
      </c>
      <c r="K720" s="418">
        <f t="shared" si="102"/>
        <v>1.5549242424242493E-2</v>
      </c>
      <c r="L720" s="411">
        <v>50.27</v>
      </c>
      <c r="M720" s="418">
        <f t="shared" si="103"/>
        <v>4.2513479883865779E-2</v>
      </c>
      <c r="N720" s="411"/>
      <c r="O720" s="388"/>
      <c r="Q720" s="388"/>
    </row>
    <row r="721" spans="1:17">
      <c r="A721" s="408">
        <v>43494</v>
      </c>
      <c r="B721" s="411">
        <v>2640</v>
      </c>
      <c r="C721" s="418">
        <f t="shared" si="98"/>
        <v>-1.4562096941959091E-3</v>
      </c>
      <c r="D721" s="411">
        <v>48.22</v>
      </c>
      <c r="E721" s="418">
        <f t="shared" si="99"/>
        <v>4.3740887315142363E-3</v>
      </c>
      <c r="F721" s="411">
        <v>2640</v>
      </c>
      <c r="G721" s="418">
        <f t="shared" si="100"/>
        <v>-1.4562096941959091E-3</v>
      </c>
      <c r="H721" s="411">
        <v>48.22</v>
      </c>
      <c r="I721" s="418">
        <f t="shared" si="101"/>
        <v>4.3740887315142363E-3</v>
      </c>
      <c r="J721" s="411">
        <v>2640</v>
      </c>
      <c r="K721" s="418">
        <f t="shared" si="102"/>
        <v>-1.4562096941959091E-3</v>
      </c>
      <c r="L721" s="411">
        <v>48.22</v>
      </c>
      <c r="M721" s="418">
        <f t="shared" si="103"/>
        <v>4.3740887315142363E-3</v>
      </c>
      <c r="N721" s="411"/>
      <c r="O721" s="388"/>
      <c r="Q721" s="388"/>
    </row>
    <row r="722" spans="1:17">
      <c r="A722" s="408">
        <v>43493</v>
      </c>
      <c r="B722" s="411">
        <v>2643.85</v>
      </c>
      <c r="C722" s="418">
        <f t="shared" si="98"/>
        <v>-7.8468605052613993E-3</v>
      </c>
      <c r="D722" s="411">
        <v>48.01</v>
      </c>
      <c r="E722" s="418">
        <f t="shared" si="99"/>
        <v>6.7100020968755558E-3</v>
      </c>
      <c r="F722" s="411">
        <v>2643.85</v>
      </c>
      <c r="G722" s="418">
        <f t="shared" si="100"/>
        <v>-7.8468605052613993E-3</v>
      </c>
      <c r="H722" s="411">
        <v>48.01</v>
      </c>
      <c r="I722" s="418">
        <f t="shared" si="101"/>
        <v>6.7100020968755558E-3</v>
      </c>
      <c r="J722" s="411">
        <v>2643.85</v>
      </c>
      <c r="K722" s="418">
        <f t="shared" si="102"/>
        <v>-7.8468605052613993E-3</v>
      </c>
      <c r="L722" s="411">
        <v>48.01</v>
      </c>
      <c r="M722" s="418">
        <f t="shared" si="103"/>
        <v>6.7100020968755558E-3</v>
      </c>
      <c r="N722" s="411"/>
      <c r="O722" s="388"/>
      <c r="Q722" s="388"/>
    </row>
    <row r="723" spans="1:17">
      <c r="A723" s="408">
        <v>43490</v>
      </c>
      <c r="B723" s="411">
        <v>2664.76</v>
      </c>
      <c r="C723" s="418">
        <f t="shared" si="98"/>
        <v>8.4887201825663006E-3</v>
      </c>
      <c r="D723" s="411">
        <v>47.69</v>
      </c>
      <c r="E723" s="418">
        <f t="shared" si="99"/>
        <v>3.5774410774409571E-3</v>
      </c>
      <c r="F723" s="411">
        <v>2664.76</v>
      </c>
      <c r="G723" s="418">
        <f t="shared" si="100"/>
        <v>8.4887201825663006E-3</v>
      </c>
      <c r="H723" s="411">
        <v>47.69</v>
      </c>
      <c r="I723" s="418">
        <f t="shared" si="101"/>
        <v>3.5774410774409571E-3</v>
      </c>
      <c r="J723" s="411">
        <v>2664.76</v>
      </c>
      <c r="K723" s="418">
        <f t="shared" si="102"/>
        <v>8.4887201825663006E-3</v>
      </c>
      <c r="L723" s="411">
        <v>47.69</v>
      </c>
      <c r="M723" s="418">
        <f t="shared" si="103"/>
        <v>3.5774410774409571E-3</v>
      </c>
      <c r="N723" s="411"/>
      <c r="O723" s="388"/>
      <c r="Q723" s="388"/>
    </row>
    <row r="724" spans="1:17">
      <c r="A724" s="408">
        <v>43489</v>
      </c>
      <c r="B724" s="411">
        <v>2642.33</v>
      </c>
      <c r="C724" s="418">
        <f t="shared" si="98"/>
        <v>1.3756774169098041E-3</v>
      </c>
      <c r="D724" s="411">
        <v>47.52</v>
      </c>
      <c r="E724" s="418">
        <f t="shared" si="99"/>
        <v>4.6511627906977715E-3</v>
      </c>
      <c r="F724" s="411">
        <v>2642.33</v>
      </c>
      <c r="G724" s="418">
        <f t="shared" si="100"/>
        <v>1.3756774169098041E-3</v>
      </c>
      <c r="H724" s="411">
        <v>47.52</v>
      </c>
      <c r="I724" s="418">
        <f t="shared" si="101"/>
        <v>4.6511627906977715E-3</v>
      </c>
      <c r="J724" s="411">
        <v>2642.33</v>
      </c>
      <c r="K724" s="418">
        <f t="shared" si="102"/>
        <v>1.3756774169098041E-3</v>
      </c>
      <c r="L724" s="411">
        <v>47.52</v>
      </c>
      <c r="M724" s="418">
        <f t="shared" si="103"/>
        <v>4.6511627906977715E-3</v>
      </c>
      <c r="N724" s="411"/>
      <c r="O724" s="388"/>
      <c r="Q724" s="388"/>
    </row>
    <row r="725" spans="1:17">
      <c r="A725" s="408">
        <v>43488</v>
      </c>
      <c r="B725" s="411">
        <v>2638.7</v>
      </c>
      <c r="C725" s="418">
        <f t="shared" si="98"/>
        <v>2.2028941471379238E-3</v>
      </c>
      <c r="D725" s="411">
        <v>47.3</v>
      </c>
      <c r="E725" s="418">
        <f t="shared" si="99"/>
        <v>4.2462845010615702E-3</v>
      </c>
      <c r="F725" s="411">
        <v>2638.7</v>
      </c>
      <c r="G725" s="418">
        <f t="shared" si="100"/>
        <v>2.2028941471379238E-3</v>
      </c>
      <c r="H725" s="411">
        <v>47.3</v>
      </c>
      <c r="I725" s="418">
        <f t="shared" si="101"/>
        <v>4.2462845010615702E-3</v>
      </c>
      <c r="J725" s="411">
        <v>2638.7</v>
      </c>
      <c r="K725" s="418">
        <f t="shared" si="102"/>
        <v>2.2028941471379238E-3</v>
      </c>
      <c r="L725" s="411">
        <v>47.3</v>
      </c>
      <c r="M725" s="418">
        <f t="shared" si="103"/>
        <v>4.2462845010615702E-3</v>
      </c>
      <c r="N725" s="411"/>
      <c r="O725" s="388"/>
      <c r="Q725" s="388"/>
    </row>
    <row r="726" spans="1:17">
      <c r="A726" s="408">
        <v>43487</v>
      </c>
      <c r="B726" s="411">
        <v>2632.9</v>
      </c>
      <c r="C726" s="418">
        <f t="shared" si="98"/>
        <v>-1.4157284018107563E-2</v>
      </c>
      <c r="D726" s="411">
        <v>47.1</v>
      </c>
      <c r="E726" s="418">
        <f t="shared" si="99"/>
        <v>-2.099355643317391E-2</v>
      </c>
      <c r="F726" s="411">
        <v>2632.9</v>
      </c>
      <c r="G726" s="418">
        <f t="shared" si="100"/>
        <v>-1.4157284018107563E-2</v>
      </c>
      <c r="H726" s="411">
        <v>47.1</v>
      </c>
      <c r="I726" s="418">
        <f t="shared" si="101"/>
        <v>-2.099355643317391E-2</v>
      </c>
      <c r="J726" s="411">
        <v>2632.9</v>
      </c>
      <c r="K726" s="418">
        <f t="shared" si="102"/>
        <v>-1.4157284018107563E-2</v>
      </c>
      <c r="L726" s="411">
        <v>47.1</v>
      </c>
      <c r="M726" s="418">
        <f t="shared" si="103"/>
        <v>-2.099355643317391E-2</v>
      </c>
      <c r="N726" s="411"/>
      <c r="O726" s="388"/>
      <c r="Q726" s="388"/>
    </row>
    <row r="727" spans="1:17">
      <c r="A727" s="408">
        <v>43483</v>
      </c>
      <c r="B727" s="411">
        <v>2670.71</v>
      </c>
      <c r="C727" s="418">
        <f t="shared" si="98"/>
        <v>1.3183052853609212E-2</v>
      </c>
      <c r="D727" s="411">
        <v>48.11</v>
      </c>
      <c r="E727" s="418">
        <f t="shared" si="99"/>
        <v>-2.2812111157196613E-3</v>
      </c>
      <c r="F727" s="411">
        <v>2670.71</v>
      </c>
      <c r="G727" s="418">
        <f t="shared" si="100"/>
        <v>1.3183052853609212E-2</v>
      </c>
      <c r="H727" s="411">
        <v>48.11</v>
      </c>
      <c r="I727" s="418">
        <f t="shared" si="101"/>
        <v>-2.2812111157196613E-3</v>
      </c>
      <c r="J727" s="411">
        <v>2670.71</v>
      </c>
      <c r="K727" s="418">
        <f t="shared" si="102"/>
        <v>1.3183052853609212E-2</v>
      </c>
      <c r="L727" s="411">
        <v>48.11</v>
      </c>
      <c r="M727" s="418">
        <f t="shared" si="103"/>
        <v>-2.2812111157196613E-3</v>
      </c>
      <c r="N727" s="411"/>
      <c r="O727" s="388"/>
      <c r="Q727" s="388"/>
    </row>
    <row r="728" spans="1:17">
      <c r="A728" s="408">
        <v>43482</v>
      </c>
      <c r="B728" s="411">
        <v>2635.96</v>
      </c>
      <c r="C728" s="418">
        <f t="shared" si="98"/>
        <v>7.5914529261114083E-3</v>
      </c>
      <c r="D728" s="411">
        <v>48.22</v>
      </c>
      <c r="E728" s="418">
        <f t="shared" si="99"/>
        <v>1.5157894736842037E-2</v>
      </c>
      <c r="F728" s="411">
        <v>2635.96</v>
      </c>
      <c r="G728" s="418">
        <f t="shared" si="100"/>
        <v>7.5914529261114083E-3</v>
      </c>
      <c r="H728" s="411">
        <v>48.22</v>
      </c>
      <c r="I728" s="418">
        <f t="shared" si="101"/>
        <v>1.5157894736842037E-2</v>
      </c>
      <c r="J728" s="411">
        <v>2635.96</v>
      </c>
      <c r="K728" s="418">
        <f t="shared" si="102"/>
        <v>7.5914529261114083E-3</v>
      </c>
      <c r="L728" s="411">
        <v>48.22</v>
      </c>
      <c r="M728" s="418">
        <f t="shared" si="103"/>
        <v>1.5157894736842037E-2</v>
      </c>
      <c r="N728" s="411"/>
      <c r="O728" s="388"/>
      <c r="Q728" s="388"/>
    </row>
    <row r="729" spans="1:17">
      <c r="A729" s="408">
        <v>43481</v>
      </c>
      <c r="B729" s="411">
        <v>2616.1</v>
      </c>
      <c r="C729" s="418">
        <f t="shared" si="98"/>
        <v>2.2219668237366541E-3</v>
      </c>
      <c r="D729" s="411">
        <v>47.5</v>
      </c>
      <c r="E729" s="418">
        <f t="shared" si="99"/>
        <v>-6.8994355007316877E-3</v>
      </c>
      <c r="F729" s="411">
        <v>2616.1</v>
      </c>
      <c r="G729" s="418">
        <f t="shared" si="100"/>
        <v>2.2219668237366541E-3</v>
      </c>
      <c r="H729" s="411">
        <v>47.5</v>
      </c>
      <c r="I729" s="418">
        <f t="shared" si="101"/>
        <v>-6.8994355007316877E-3</v>
      </c>
      <c r="J729" s="411">
        <v>2616.1</v>
      </c>
      <c r="K729" s="418">
        <f t="shared" si="102"/>
        <v>2.2219668237366541E-3</v>
      </c>
      <c r="L729" s="411">
        <v>47.5</v>
      </c>
      <c r="M729" s="418">
        <f t="shared" si="103"/>
        <v>-6.8994355007316877E-3</v>
      </c>
      <c r="N729" s="411"/>
      <c r="O729" s="388"/>
      <c r="Q729" s="388"/>
    </row>
    <row r="730" spans="1:17">
      <c r="A730" s="408">
        <v>43480</v>
      </c>
      <c r="B730" s="411">
        <v>2610.3000000000002</v>
      </c>
      <c r="C730" s="418">
        <f t="shared" si="98"/>
        <v>1.0721711756711327E-2</v>
      </c>
      <c r="D730" s="411">
        <v>47.83</v>
      </c>
      <c r="E730" s="418">
        <f t="shared" si="99"/>
        <v>1.6753926701569277E-3</v>
      </c>
      <c r="F730" s="411">
        <v>2610.3000000000002</v>
      </c>
      <c r="G730" s="418">
        <f t="shared" si="100"/>
        <v>1.0721711756711327E-2</v>
      </c>
      <c r="H730" s="411">
        <v>47.83</v>
      </c>
      <c r="I730" s="418">
        <f t="shared" si="101"/>
        <v>1.6753926701569277E-3</v>
      </c>
      <c r="J730" s="411">
        <v>2610.3000000000002</v>
      </c>
      <c r="K730" s="418">
        <f t="shared" si="102"/>
        <v>1.0721711756711327E-2</v>
      </c>
      <c r="L730" s="411">
        <v>47.83</v>
      </c>
      <c r="M730" s="418">
        <f t="shared" si="103"/>
        <v>1.6753926701569277E-3</v>
      </c>
      <c r="N730" s="411"/>
      <c r="O730" s="388"/>
      <c r="Q730" s="388"/>
    </row>
    <row r="731" spans="1:17">
      <c r="A731" s="408">
        <v>43479</v>
      </c>
      <c r="B731" s="411">
        <v>2582.61</v>
      </c>
      <c r="C731" s="418">
        <f t="shared" si="98"/>
        <v>-5.2575628018766141E-3</v>
      </c>
      <c r="D731" s="411">
        <v>47.75</v>
      </c>
      <c r="E731" s="418">
        <f t="shared" si="99"/>
        <v>-1.6680395387149938E-2</v>
      </c>
      <c r="F731" s="411">
        <v>2582.61</v>
      </c>
      <c r="G731" s="418">
        <f t="shared" si="100"/>
        <v>-5.2575628018766141E-3</v>
      </c>
      <c r="H731" s="411">
        <v>47.75</v>
      </c>
      <c r="I731" s="418">
        <f t="shared" si="101"/>
        <v>-1.6680395387149938E-2</v>
      </c>
      <c r="J731" s="411">
        <v>2582.61</v>
      </c>
      <c r="K731" s="418">
        <f t="shared" si="102"/>
        <v>-5.2575628018766141E-3</v>
      </c>
      <c r="L731" s="411">
        <v>47.75</v>
      </c>
      <c r="M731" s="418">
        <f t="shared" si="103"/>
        <v>-1.6680395387149938E-2</v>
      </c>
      <c r="N731" s="411"/>
      <c r="O731" s="388"/>
      <c r="Q731" s="388"/>
    </row>
    <row r="732" spans="1:17">
      <c r="A732" s="408">
        <v>43476</v>
      </c>
      <c r="B732" s="411">
        <v>2596.2600000000002</v>
      </c>
      <c r="C732" s="418">
        <f t="shared" si="98"/>
        <v>-1.4634296629478794E-4</v>
      </c>
      <c r="D732" s="411">
        <v>48.56</v>
      </c>
      <c r="E732" s="418">
        <f t="shared" si="99"/>
        <v>-3.4886107120869481E-3</v>
      </c>
      <c r="F732" s="411">
        <v>2596.2600000000002</v>
      </c>
      <c r="G732" s="418">
        <f t="shared" si="100"/>
        <v>-1.4634296629478794E-4</v>
      </c>
      <c r="H732" s="411">
        <v>48.56</v>
      </c>
      <c r="I732" s="418">
        <f t="shared" si="101"/>
        <v>-3.4886107120869481E-3</v>
      </c>
      <c r="J732" s="411">
        <v>2596.2600000000002</v>
      </c>
      <c r="K732" s="418">
        <f t="shared" si="102"/>
        <v>-1.4634296629478794E-4</v>
      </c>
      <c r="L732" s="411">
        <v>48.56</v>
      </c>
      <c r="M732" s="418">
        <f t="shared" si="103"/>
        <v>-3.4886107120869481E-3</v>
      </c>
      <c r="N732" s="411"/>
      <c r="O732" s="388"/>
      <c r="Q732" s="388"/>
    </row>
    <row r="733" spans="1:17">
      <c r="A733" s="408">
        <v>43475</v>
      </c>
      <c r="B733" s="411">
        <v>2596.64</v>
      </c>
      <c r="C733" s="418">
        <f t="shared" si="98"/>
        <v>4.5184451596929076E-3</v>
      </c>
      <c r="D733" s="411">
        <v>48.73</v>
      </c>
      <c r="E733" s="418">
        <f t="shared" si="99"/>
        <v>5.3641427687229903E-3</v>
      </c>
      <c r="F733" s="411">
        <v>2596.64</v>
      </c>
      <c r="G733" s="418">
        <f t="shared" si="100"/>
        <v>4.5184451596929076E-3</v>
      </c>
      <c r="H733" s="411">
        <v>48.73</v>
      </c>
      <c r="I733" s="418">
        <f t="shared" si="101"/>
        <v>5.3641427687229903E-3</v>
      </c>
      <c r="J733" s="411">
        <v>2596.64</v>
      </c>
      <c r="K733" s="418">
        <f t="shared" si="102"/>
        <v>4.5184451596929076E-3</v>
      </c>
      <c r="L733" s="411">
        <v>48.73</v>
      </c>
      <c r="M733" s="418">
        <f t="shared" si="103"/>
        <v>5.3641427687229903E-3</v>
      </c>
      <c r="N733" s="411"/>
      <c r="O733" s="388"/>
      <c r="Q733" s="388"/>
    </row>
    <row r="734" spans="1:17">
      <c r="A734" s="408">
        <v>43474</v>
      </c>
      <c r="B734" s="411">
        <v>2584.96</v>
      </c>
      <c r="C734" s="418">
        <f t="shared" si="98"/>
        <v>4.0980263439003295E-3</v>
      </c>
      <c r="D734" s="411">
        <v>48.47</v>
      </c>
      <c r="E734" s="418">
        <f t="shared" si="99"/>
        <v>2.1065936380872063E-2</v>
      </c>
      <c r="F734" s="411">
        <v>2584.96</v>
      </c>
      <c r="G734" s="418">
        <f t="shared" si="100"/>
        <v>4.0980263439003295E-3</v>
      </c>
      <c r="H734" s="411">
        <v>48.47</v>
      </c>
      <c r="I734" s="418">
        <f t="shared" si="101"/>
        <v>2.1065936380872063E-2</v>
      </c>
      <c r="J734" s="411">
        <v>2584.96</v>
      </c>
      <c r="K734" s="418">
        <f t="shared" si="102"/>
        <v>4.0980263439003295E-3</v>
      </c>
      <c r="L734" s="411">
        <v>48.47</v>
      </c>
      <c r="M734" s="418">
        <f t="shared" si="103"/>
        <v>2.1065936380872063E-2</v>
      </c>
      <c r="N734" s="411"/>
      <c r="O734" s="388"/>
      <c r="Q734" s="388"/>
    </row>
    <row r="735" spans="1:17">
      <c r="A735" s="408">
        <v>43473</v>
      </c>
      <c r="B735" s="411">
        <v>2574.41</v>
      </c>
      <c r="C735" s="418">
        <f t="shared" si="98"/>
        <v>9.6952962909215845E-3</v>
      </c>
      <c r="D735" s="411">
        <v>47.47</v>
      </c>
      <c r="E735" s="418">
        <f t="shared" si="99"/>
        <v>-7.9414838035528623E-3</v>
      </c>
      <c r="F735" s="411">
        <v>2574.41</v>
      </c>
      <c r="G735" s="418">
        <f t="shared" si="100"/>
        <v>9.6952962909215845E-3</v>
      </c>
      <c r="H735" s="411">
        <v>47.47</v>
      </c>
      <c r="I735" s="418">
        <f t="shared" si="101"/>
        <v>-7.9414838035528623E-3</v>
      </c>
      <c r="J735" s="411">
        <v>2574.41</v>
      </c>
      <c r="K735" s="418">
        <f t="shared" si="102"/>
        <v>9.6952962909215845E-3</v>
      </c>
      <c r="L735" s="411">
        <v>47.47</v>
      </c>
      <c r="M735" s="418">
        <f t="shared" si="103"/>
        <v>-7.9414838035528623E-3</v>
      </c>
      <c r="N735" s="411"/>
      <c r="O735" s="388"/>
      <c r="Q735" s="388"/>
    </row>
    <row r="736" spans="1:17">
      <c r="A736" s="408">
        <v>43472</v>
      </c>
      <c r="B736" s="411">
        <v>2549.69</v>
      </c>
      <c r="C736" s="418">
        <f t="shared" si="98"/>
        <v>7.0104346864459099E-3</v>
      </c>
      <c r="D736" s="411">
        <v>47.85</v>
      </c>
      <c r="E736" s="418">
        <f t="shared" si="99"/>
        <v>1.2554927809165228E-3</v>
      </c>
      <c r="F736" s="411">
        <v>2549.69</v>
      </c>
      <c r="G736" s="418">
        <f t="shared" si="100"/>
        <v>7.0104346864459099E-3</v>
      </c>
      <c r="H736" s="411">
        <v>47.85</v>
      </c>
      <c r="I736" s="418">
        <f t="shared" si="101"/>
        <v>1.2554927809165228E-3</v>
      </c>
      <c r="J736" s="411">
        <v>2549.69</v>
      </c>
      <c r="K736" s="418">
        <f t="shared" si="102"/>
        <v>7.0104346864459099E-3</v>
      </c>
      <c r="L736" s="411">
        <v>47.85</v>
      </c>
      <c r="M736" s="418">
        <f t="shared" si="103"/>
        <v>1.2554927809165228E-3</v>
      </c>
      <c r="N736" s="411"/>
      <c r="O736" s="388"/>
      <c r="Q736" s="388"/>
    </row>
    <row r="737" spans="1:17">
      <c r="A737" s="408">
        <v>43469</v>
      </c>
      <c r="B737" s="411">
        <v>2531.94</v>
      </c>
      <c r="C737" s="418">
        <f t="shared" si="98"/>
        <v>3.4335693188827898E-2</v>
      </c>
      <c r="D737" s="411">
        <v>47.79</v>
      </c>
      <c r="E737" s="418">
        <f t="shared" si="99"/>
        <v>4.7796535847401955E-2</v>
      </c>
      <c r="F737" s="411">
        <v>2531.94</v>
      </c>
      <c r="G737" s="418">
        <f t="shared" si="100"/>
        <v>3.4335693188827898E-2</v>
      </c>
      <c r="H737" s="411">
        <v>47.79</v>
      </c>
      <c r="I737" s="418">
        <f t="shared" si="101"/>
        <v>4.7796535847401955E-2</v>
      </c>
      <c r="J737" s="411">
        <v>2531.94</v>
      </c>
      <c r="K737" s="418">
        <f t="shared" si="102"/>
        <v>3.4335693188827898E-2</v>
      </c>
      <c r="L737" s="411">
        <v>47.79</v>
      </c>
      <c r="M737" s="418">
        <f t="shared" si="103"/>
        <v>4.7796535847401955E-2</v>
      </c>
      <c r="N737" s="411"/>
      <c r="O737" s="388"/>
      <c r="Q737" s="388"/>
    </row>
    <row r="738" spans="1:17">
      <c r="A738" s="408">
        <v>43468</v>
      </c>
      <c r="B738" s="411">
        <v>2447.89</v>
      </c>
      <c r="C738" s="418">
        <f t="shared" si="98"/>
        <v>-2.4756676215025419E-2</v>
      </c>
      <c r="D738" s="411">
        <v>45.61</v>
      </c>
      <c r="E738" s="418">
        <f t="shared" si="99"/>
        <v>-8.9439009782391721E-2</v>
      </c>
      <c r="F738" s="411">
        <v>2447.89</v>
      </c>
      <c r="G738" s="418">
        <f t="shared" si="100"/>
        <v>-2.4756676215025419E-2</v>
      </c>
      <c r="H738" s="411">
        <v>45.61</v>
      </c>
      <c r="I738" s="418">
        <f t="shared" si="101"/>
        <v>-8.9439009782391721E-2</v>
      </c>
      <c r="J738" s="411">
        <v>2447.89</v>
      </c>
      <c r="K738" s="418">
        <f t="shared" si="102"/>
        <v>-2.4756676215025419E-2</v>
      </c>
      <c r="L738" s="411">
        <v>45.61</v>
      </c>
      <c r="M738" s="418">
        <f t="shared" si="103"/>
        <v>-8.9439009782391721E-2</v>
      </c>
      <c r="N738" s="411"/>
      <c r="O738" s="388"/>
      <c r="Q738" s="388"/>
    </row>
    <row r="739" spans="1:17">
      <c r="A739" s="408">
        <v>43467</v>
      </c>
      <c r="B739" s="411">
        <v>2510.0300000000002</v>
      </c>
      <c r="C739" s="418">
        <f t="shared" si="98"/>
        <v>1.2685242435728217E-3</v>
      </c>
      <c r="D739" s="411">
        <v>50.09</v>
      </c>
      <c r="E739" s="418">
        <f t="shared" si="99"/>
        <v>3.8076152304609145E-3</v>
      </c>
      <c r="F739" s="411">
        <v>2510.0300000000002</v>
      </c>
      <c r="G739" s="418">
        <f t="shared" si="100"/>
        <v>1.2685242435728217E-3</v>
      </c>
      <c r="H739" s="411">
        <v>50.09</v>
      </c>
      <c r="I739" s="418">
        <f t="shared" si="101"/>
        <v>3.8076152304609145E-3</v>
      </c>
      <c r="J739" s="411">
        <v>2510.0300000000002</v>
      </c>
      <c r="K739" s="418">
        <f t="shared" si="102"/>
        <v>1.2685242435728217E-3</v>
      </c>
      <c r="L739" s="411">
        <v>50.09</v>
      </c>
      <c r="M739" s="418">
        <f t="shared" si="103"/>
        <v>3.8076152304609145E-3</v>
      </c>
      <c r="N739" s="411"/>
      <c r="O739" s="388"/>
      <c r="Q739" s="388"/>
    </row>
    <row r="740" spans="1:17">
      <c r="A740" s="408">
        <v>43465</v>
      </c>
      <c r="B740" s="411">
        <v>2506.85</v>
      </c>
      <c r="C740" s="418">
        <f t="shared" si="98"/>
        <v>8.4924408827955489E-3</v>
      </c>
      <c r="D740" s="411">
        <v>49.9</v>
      </c>
      <c r="E740" s="418">
        <f t="shared" si="99"/>
        <v>-5.5799123156636821E-3</v>
      </c>
      <c r="F740" s="411">
        <v>2506.85</v>
      </c>
      <c r="G740" s="418">
        <f t="shared" si="100"/>
        <v>8.4924408827955489E-3</v>
      </c>
      <c r="H740" s="411">
        <v>49.9</v>
      </c>
      <c r="I740" s="418">
        <f t="shared" si="101"/>
        <v>-5.5799123156636821E-3</v>
      </c>
      <c r="J740" s="411">
        <v>2506.85</v>
      </c>
      <c r="K740" s="418">
        <f t="shared" si="102"/>
        <v>8.4924408827955489E-3</v>
      </c>
      <c r="L740" s="411">
        <v>49.9</v>
      </c>
      <c r="M740" s="418">
        <f t="shared" si="103"/>
        <v>-5.5799123156636821E-3</v>
      </c>
      <c r="N740" s="411"/>
      <c r="O740" s="388"/>
      <c r="Q740" s="388"/>
    </row>
    <row r="741" spans="1:17">
      <c r="A741" s="408">
        <v>43462</v>
      </c>
      <c r="B741" s="411">
        <v>2485.7399999999998</v>
      </c>
      <c r="C741" s="418">
        <f t="shared" si="98"/>
        <v>-1.2415472330372657E-3</v>
      </c>
      <c r="D741" s="411">
        <v>50.18</v>
      </c>
      <c r="E741" s="418">
        <f t="shared" si="99"/>
        <v>-6.3366336633663423E-3</v>
      </c>
      <c r="F741" s="411">
        <v>2485.7399999999998</v>
      </c>
      <c r="G741" s="418">
        <f t="shared" si="100"/>
        <v>-1.2415472330372657E-3</v>
      </c>
      <c r="H741" s="411">
        <v>50.18</v>
      </c>
      <c r="I741" s="418">
        <f t="shared" si="101"/>
        <v>-6.3366336633663423E-3</v>
      </c>
      <c r="J741" s="411">
        <v>2485.7399999999998</v>
      </c>
      <c r="K741" s="418">
        <f t="shared" si="102"/>
        <v>-1.2415472330372657E-3</v>
      </c>
      <c r="L741" s="411">
        <v>50.18</v>
      </c>
      <c r="M741" s="418">
        <f t="shared" si="103"/>
        <v>-6.3366336633663423E-3</v>
      </c>
      <c r="N741" s="411"/>
      <c r="O741" s="388"/>
      <c r="Q741" s="388"/>
    </row>
    <row r="742" spans="1:17">
      <c r="A742" s="408">
        <v>43461</v>
      </c>
      <c r="B742" s="411">
        <v>2488.83</v>
      </c>
      <c r="C742" s="418">
        <f t="shared" si="98"/>
        <v>8.5626291688616352E-3</v>
      </c>
      <c r="D742" s="411">
        <v>50.5</v>
      </c>
      <c r="E742" s="418">
        <f t="shared" si="99"/>
        <v>1.7853600476096521E-3</v>
      </c>
      <c r="F742" s="411">
        <v>2488.83</v>
      </c>
      <c r="G742" s="418">
        <f t="shared" si="100"/>
        <v>8.5626291688616352E-3</v>
      </c>
      <c r="H742" s="411">
        <v>50.5</v>
      </c>
      <c r="I742" s="418">
        <f t="shared" si="101"/>
        <v>1.7853600476096521E-3</v>
      </c>
      <c r="J742" s="411">
        <v>2488.83</v>
      </c>
      <c r="K742" s="418">
        <f t="shared" si="102"/>
        <v>8.5626291688616352E-3</v>
      </c>
      <c r="L742" s="411">
        <v>50.5</v>
      </c>
      <c r="M742" s="418">
        <f t="shared" si="103"/>
        <v>1.7853600476096521E-3</v>
      </c>
      <c r="N742" s="411"/>
      <c r="O742" s="388"/>
      <c r="Q742" s="388"/>
    </row>
    <row r="743" spans="1:17">
      <c r="A743" s="408">
        <v>43460</v>
      </c>
      <c r="B743" s="411">
        <v>2467.6999999999998</v>
      </c>
      <c r="C743" s="418">
        <f t="shared" si="98"/>
        <v>4.9593807154098002E-2</v>
      </c>
      <c r="D743" s="411">
        <v>50.41</v>
      </c>
      <c r="E743" s="418">
        <f t="shared" si="99"/>
        <v>5.1084236864053389E-2</v>
      </c>
      <c r="F743" s="411">
        <v>2467.6999999999998</v>
      </c>
      <c r="G743" s="418">
        <f t="shared" si="100"/>
        <v>4.9593807154098002E-2</v>
      </c>
      <c r="H743" s="411">
        <v>50.41</v>
      </c>
      <c r="I743" s="418">
        <f t="shared" si="101"/>
        <v>5.1084236864053389E-2</v>
      </c>
      <c r="J743" s="413">
        <v>2467.6999999999998</v>
      </c>
      <c r="K743" s="420">
        <f t="shared" si="102"/>
        <v>4.9593807154098002E-2</v>
      </c>
      <c r="L743" s="413">
        <v>50.41</v>
      </c>
      <c r="M743" s="420">
        <f t="shared" si="103"/>
        <v>5.1084236864053389E-2</v>
      </c>
      <c r="N743" s="411"/>
      <c r="O743" s="388"/>
      <c r="Q743" s="388"/>
    </row>
    <row r="744" spans="1:17">
      <c r="A744" s="408">
        <v>43458</v>
      </c>
      <c r="B744" s="411">
        <v>2351.1</v>
      </c>
      <c r="C744" s="418">
        <f t="shared" si="98"/>
        <v>-2.711224768478282E-2</v>
      </c>
      <c r="D744" s="411">
        <v>47.96</v>
      </c>
      <c r="E744" s="418">
        <f t="shared" si="99"/>
        <v>-3.0131445904954535E-2</v>
      </c>
      <c r="F744" s="411">
        <v>2351.1</v>
      </c>
      <c r="G744" s="418">
        <f t="shared" si="100"/>
        <v>-2.711224768478282E-2</v>
      </c>
      <c r="H744" s="411">
        <v>47.96</v>
      </c>
      <c r="I744" s="418">
        <f t="shared" si="101"/>
        <v>-3.0131445904954535E-2</v>
      </c>
      <c r="J744" s="411">
        <v>2351.1</v>
      </c>
      <c r="K744" s="388">
        <f t="shared" si="102"/>
        <v>-2.711224768478282E-2</v>
      </c>
      <c r="L744" s="3">
        <v>47.96</v>
      </c>
      <c r="M744" s="388">
        <f t="shared" si="103"/>
        <v>-3.0131445904954535E-2</v>
      </c>
    </row>
    <row r="745" spans="1:17">
      <c r="A745" s="408">
        <v>43455</v>
      </c>
      <c r="B745" s="411">
        <v>2416.62</v>
      </c>
      <c r="C745" s="418">
        <f t="shared" si="98"/>
        <v>-2.0588306814405377E-2</v>
      </c>
      <c r="D745" s="411">
        <v>49.45</v>
      </c>
      <c r="E745" s="418">
        <f t="shared" si="99"/>
        <v>-2.8678059320369154E-2</v>
      </c>
      <c r="F745" s="411">
        <v>2416.62</v>
      </c>
      <c r="G745" s="418">
        <f t="shared" si="100"/>
        <v>-2.0588306814405377E-2</v>
      </c>
      <c r="H745" s="411">
        <v>49.45</v>
      </c>
      <c r="I745" s="418">
        <f t="shared" si="101"/>
        <v>-2.8678059320369154E-2</v>
      </c>
      <c r="J745" s="411">
        <v>2416.62</v>
      </c>
      <c r="K745" s="388">
        <f t="shared" si="102"/>
        <v>-2.0588306814405377E-2</v>
      </c>
      <c r="L745" s="3">
        <v>49.45</v>
      </c>
      <c r="M745" s="388">
        <f t="shared" si="103"/>
        <v>-2.8678059320369154E-2</v>
      </c>
    </row>
    <row r="746" spans="1:17">
      <c r="A746" s="408">
        <v>43454</v>
      </c>
      <c r="B746" s="411">
        <v>2467.42</v>
      </c>
      <c r="C746" s="418">
        <f t="shared" si="98"/>
        <v>-1.5772090500047797E-2</v>
      </c>
      <c r="D746" s="411">
        <v>50.91</v>
      </c>
      <c r="E746" s="418">
        <f t="shared" si="99"/>
        <v>-1.9641825534373214E-2</v>
      </c>
      <c r="F746" s="411">
        <v>2467.42</v>
      </c>
      <c r="G746" s="418">
        <f t="shared" si="100"/>
        <v>-1.5772090500047797E-2</v>
      </c>
      <c r="H746" s="411">
        <v>50.91</v>
      </c>
      <c r="I746" s="418">
        <f t="shared" si="101"/>
        <v>-1.9641825534373214E-2</v>
      </c>
      <c r="J746" s="411">
        <v>2467.42</v>
      </c>
      <c r="K746" s="388">
        <f t="shared" si="102"/>
        <v>-1.5772090500047797E-2</v>
      </c>
      <c r="L746" s="3">
        <v>50.91</v>
      </c>
      <c r="M746" s="388">
        <f t="shared" si="103"/>
        <v>-1.9641825534373214E-2</v>
      </c>
    </row>
    <row r="747" spans="1:17">
      <c r="A747" s="408">
        <v>43453</v>
      </c>
      <c r="B747" s="411">
        <v>2506.96</v>
      </c>
      <c r="C747" s="418">
        <f t="shared" si="98"/>
        <v>-1.5395733182517968E-2</v>
      </c>
      <c r="D747" s="411">
        <v>51.93</v>
      </c>
      <c r="E747" s="418">
        <f t="shared" si="99"/>
        <v>-1.9263456090651609E-2</v>
      </c>
      <c r="F747" s="411">
        <v>2506.96</v>
      </c>
      <c r="G747" s="418">
        <f t="shared" si="100"/>
        <v>-1.5395733182517968E-2</v>
      </c>
      <c r="H747" s="411">
        <v>51.93</v>
      </c>
      <c r="I747" s="418">
        <f t="shared" si="101"/>
        <v>-1.9263456090651609E-2</v>
      </c>
      <c r="J747" s="411">
        <v>2506.96</v>
      </c>
      <c r="K747" s="388">
        <f t="shared" si="102"/>
        <v>-1.5395733182517968E-2</v>
      </c>
      <c r="L747" s="3">
        <v>51.93</v>
      </c>
      <c r="M747" s="388">
        <f t="shared" si="103"/>
        <v>-1.9263456090651609E-2</v>
      </c>
    </row>
    <row r="748" spans="1:17">
      <c r="A748" s="408">
        <v>43452</v>
      </c>
      <c r="B748" s="411">
        <v>2546.16</v>
      </c>
      <c r="C748" s="418">
        <f t="shared" si="98"/>
        <v>8.6412091408138991E-5</v>
      </c>
      <c r="D748" s="411">
        <v>52.95</v>
      </c>
      <c r="E748" s="418">
        <f t="shared" si="99"/>
        <v>1.0689062798243887E-2</v>
      </c>
      <c r="F748" s="411">
        <v>2546.16</v>
      </c>
      <c r="G748" s="418">
        <f t="shared" si="100"/>
        <v>8.6412091408138991E-5</v>
      </c>
      <c r="H748" s="411">
        <v>52.95</v>
      </c>
      <c r="I748" s="418">
        <f t="shared" si="101"/>
        <v>1.0689062798243887E-2</v>
      </c>
      <c r="J748" s="411">
        <v>2546.16</v>
      </c>
      <c r="K748" s="388">
        <f t="shared" si="102"/>
        <v>8.6412091408138991E-5</v>
      </c>
      <c r="L748" s="3">
        <v>52.95</v>
      </c>
      <c r="M748" s="388">
        <f t="shared" si="103"/>
        <v>1.0689062798243887E-2</v>
      </c>
    </row>
    <row r="749" spans="1:17">
      <c r="A749" s="408">
        <v>43451</v>
      </c>
      <c r="B749" s="411">
        <v>2545.94</v>
      </c>
      <c r="C749" s="418">
        <f t="shared" si="98"/>
        <v>-2.0773476413007863E-2</v>
      </c>
      <c r="D749" s="411">
        <v>52.39</v>
      </c>
      <c r="E749" s="418">
        <f t="shared" si="99"/>
        <v>-2.0930667165015793E-2</v>
      </c>
      <c r="F749" s="411">
        <v>2545.94</v>
      </c>
      <c r="G749" s="418">
        <f t="shared" si="100"/>
        <v>-2.0773476413007863E-2</v>
      </c>
      <c r="H749" s="411">
        <v>52.39</v>
      </c>
      <c r="I749" s="418">
        <f t="shared" si="101"/>
        <v>-2.0930667165015793E-2</v>
      </c>
      <c r="J749" s="411">
        <v>2545.94</v>
      </c>
      <c r="K749" s="388">
        <f t="shared" si="102"/>
        <v>-2.0773476413007863E-2</v>
      </c>
      <c r="L749" s="3">
        <v>52.39</v>
      </c>
      <c r="M749" s="388">
        <f t="shared" si="103"/>
        <v>-2.0930667165015793E-2</v>
      </c>
    </row>
    <row r="750" spans="1:17">
      <c r="A750" s="408">
        <v>43448</v>
      </c>
      <c r="B750" s="411">
        <v>2599.9499999999998</v>
      </c>
      <c r="C750" s="418">
        <f t="shared" si="98"/>
        <v>-1.9086676677205427E-2</v>
      </c>
      <c r="D750" s="411">
        <v>53.51</v>
      </c>
      <c r="E750" s="418">
        <f t="shared" si="99"/>
        <v>-7.4696545284780314E-4</v>
      </c>
      <c r="F750" s="411">
        <v>2599.9499999999998</v>
      </c>
      <c r="G750" s="418">
        <f t="shared" si="100"/>
        <v>-1.9086676677205427E-2</v>
      </c>
      <c r="H750" s="411">
        <v>53.51</v>
      </c>
      <c r="I750" s="418">
        <f t="shared" si="101"/>
        <v>-7.4696545284780314E-4</v>
      </c>
      <c r="J750" s="411">
        <v>2599.9499999999998</v>
      </c>
      <c r="K750" s="388">
        <f t="shared" si="102"/>
        <v>-1.9086676677205427E-2</v>
      </c>
      <c r="L750" s="3">
        <v>53.51</v>
      </c>
      <c r="M750" s="388">
        <f t="shared" si="103"/>
        <v>-7.4696545284780314E-4</v>
      </c>
    </row>
    <row r="751" spans="1:17">
      <c r="A751" s="408">
        <v>43447</v>
      </c>
      <c r="B751" s="411">
        <v>2650.54</v>
      </c>
      <c r="C751" s="418">
        <f t="shared" si="98"/>
        <v>-1.9991927787654795E-4</v>
      </c>
      <c r="D751" s="411">
        <v>53.55</v>
      </c>
      <c r="E751" s="418">
        <f t="shared" si="99"/>
        <v>-4.8338368580060576E-2</v>
      </c>
      <c r="F751" s="411">
        <v>2650.54</v>
      </c>
      <c r="G751" s="418">
        <f t="shared" si="100"/>
        <v>-1.9991927787654795E-4</v>
      </c>
      <c r="H751" s="411">
        <v>53.55</v>
      </c>
      <c r="I751" s="418">
        <f t="shared" si="101"/>
        <v>-4.8338368580060576E-2</v>
      </c>
      <c r="J751" s="411">
        <v>2650.54</v>
      </c>
      <c r="K751" s="388">
        <f t="shared" si="102"/>
        <v>-1.9991927787654795E-4</v>
      </c>
      <c r="L751" s="3">
        <v>53.55</v>
      </c>
      <c r="M751" s="388">
        <f t="shared" si="103"/>
        <v>-4.8338368580060576E-2</v>
      </c>
    </row>
    <row r="752" spans="1:17">
      <c r="A752" s="408">
        <v>43446</v>
      </c>
      <c r="B752" s="411">
        <v>2651.07</v>
      </c>
      <c r="C752" s="418">
        <f t="shared" si="98"/>
        <v>5.4194889220944287E-3</v>
      </c>
      <c r="D752" s="411">
        <v>56.27</v>
      </c>
      <c r="E752" s="418">
        <f t="shared" si="99"/>
        <v>6.7990696010020724E-3</v>
      </c>
      <c r="F752" s="411">
        <v>2651.07</v>
      </c>
      <c r="G752" s="418">
        <f t="shared" si="100"/>
        <v>5.4194889220944287E-3</v>
      </c>
      <c r="H752" s="411">
        <v>56.27</v>
      </c>
      <c r="I752" s="418">
        <f t="shared" si="101"/>
        <v>6.7990696010020724E-3</v>
      </c>
      <c r="J752" s="411">
        <v>2651.07</v>
      </c>
      <c r="K752" s="388">
        <f t="shared" si="102"/>
        <v>5.4194889220944287E-3</v>
      </c>
      <c r="L752" s="3">
        <v>56.27</v>
      </c>
      <c r="M752" s="388">
        <f t="shared" si="103"/>
        <v>6.7990696010020724E-3</v>
      </c>
    </row>
    <row r="753" spans="1:13">
      <c r="A753" s="408">
        <v>43445</v>
      </c>
      <c r="B753" s="411">
        <v>2636.78</v>
      </c>
      <c r="C753" s="418">
        <f t="shared" si="98"/>
        <v>-3.5636837875119287E-4</v>
      </c>
      <c r="D753" s="411">
        <v>55.89</v>
      </c>
      <c r="E753" s="418">
        <f t="shared" si="99"/>
        <v>-7.6349431818181213E-3</v>
      </c>
      <c r="F753" s="411">
        <v>2636.78</v>
      </c>
      <c r="G753" s="418">
        <f t="shared" si="100"/>
        <v>-3.5636837875119287E-4</v>
      </c>
      <c r="H753" s="411">
        <v>55.89</v>
      </c>
      <c r="I753" s="418">
        <f t="shared" si="101"/>
        <v>-7.6349431818181213E-3</v>
      </c>
      <c r="J753" s="411">
        <v>2636.78</v>
      </c>
      <c r="K753" s="388">
        <f t="shared" si="102"/>
        <v>-3.5636837875119287E-4</v>
      </c>
      <c r="L753" s="3">
        <v>55.89</v>
      </c>
      <c r="M753" s="388">
        <f t="shared" si="103"/>
        <v>-7.6349431818181213E-3</v>
      </c>
    </row>
    <row r="754" spans="1:13">
      <c r="A754" s="408">
        <v>43444</v>
      </c>
      <c r="B754" s="411">
        <v>2637.72</v>
      </c>
      <c r="C754" s="418">
        <f t="shared" si="98"/>
        <v>1.762194844060927E-3</v>
      </c>
      <c r="D754" s="411">
        <v>56.32</v>
      </c>
      <c r="E754" s="418">
        <f t="shared" si="99"/>
        <v>4.4587123238808424E-3</v>
      </c>
      <c r="F754" s="411">
        <v>2637.72</v>
      </c>
      <c r="G754" s="418">
        <f t="shared" si="100"/>
        <v>1.762194844060927E-3</v>
      </c>
      <c r="H754" s="411">
        <v>56.32</v>
      </c>
      <c r="I754" s="418">
        <f t="shared" si="101"/>
        <v>4.4587123238808424E-3</v>
      </c>
      <c r="J754" s="411">
        <v>2637.72</v>
      </c>
      <c r="K754" s="388">
        <f t="shared" si="102"/>
        <v>1.762194844060927E-3</v>
      </c>
      <c r="L754" s="3">
        <v>56.32</v>
      </c>
      <c r="M754" s="388">
        <f t="shared" si="103"/>
        <v>4.4587123238808424E-3</v>
      </c>
    </row>
    <row r="755" spans="1:13">
      <c r="A755" s="408">
        <v>43441</v>
      </c>
      <c r="B755" s="411">
        <v>2633.08</v>
      </c>
      <c r="C755" s="418">
        <f t="shared" si="98"/>
        <v>-2.3320165433335149E-2</v>
      </c>
      <c r="D755" s="411">
        <v>56.07</v>
      </c>
      <c r="E755" s="418">
        <f t="shared" si="99"/>
        <v>-3.460743801652888E-2</v>
      </c>
      <c r="F755" s="411">
        <v>2633.08</v>
      </c>
      <c r="G755" s="418">
        <f t="shared" si="100"/>
        <v>-2.3320165433335149E-2</v>
      </c>
      <c r="H755" s="411">
        <v>56.07</v>
      </c>
      <c r="I755" s="418">
        <f t="shared" si="101"/>
        <v>-3.460743801652888E-2</v>
      </c>
      <c r="J755" s="411">
        <v>2633.08</v>
      </c>
      <c r="K755" s="388">
        <f t="shared" si="102"/>
        <v>-2.3320165433335149E-2</v>
      </c>
      <c r="L755" s="3">
        <v>56.07</v>
      </c>
      <c r="M755" s="388">
        <f t="shared" si="103"/>
        <v>-3.460743801652888E-2</v>
      </c>
    </row>
    <row r="756" spans="1:13">
      <c r="A756" s="408">
        <v>43440</v>
      </c>
      <c r="B756" s="411">
        <v>2695.95</v>
      </c>
      <c r="C756" s="418">
        <f t="shared" si="98"/>
        <v>-1.5221883958135285E-3</v>
      </c>
      <c r="D756" s="411">
        <v>58.08</v>
      </c>
      <c r="E756" s="418">
        <f t="shared" si="99"/>
        <v>2.0021074815595341E-2</v>
      </c>
      <c r="F756" s="411">
        <v>2695.95</v>
      </c>
      <c r="G756" s="418">
        <f t="shared" si="100"/>
        <v>-1.5221883958135285E-3</v>
      </c>
      <c r="H756" s="411">
        <v>58.08</v>
      </c>
      <c r="I756" s="418">
        <f t="shared" si="101"/>
        <v>2.0021074815595341E-2</v>
      </c>
      <c r="J756" s="411">
        <v>2695.95</v>
      </c>
      <c r="K756" s="388">
        <f t="shared" si="102"/>
        <v>-1.5221883958135285E-3</v>
      </c>
      <c r="L756" s="3">
        <v>58.08</v>
      </c>
      <c r="M756" s="388">
        <f t="shared" si="103"/>
        <v>2.0021074815595341E-2</v>
      </c>
    </row>
    <row r="757" spans="1:13">
      <c r="A757" s="408">
        <v>43438</v>
      </c>
      <c r="B757" s="411">
        <v>2700.06</v>
      </c>
      <c r="C757" s="418">
        <f t="shared" si="98"/>
        <v>-3.2364883510072162E-2</v>
      </c>
      <c r="D757" s="411">
        <v>56.94</v>
      </c>
      <c r="E757" s="418">
        <f t="shared" si="99"/>
        <v>-5.2894211576846262E-2</v>
      </c>
      <c r="F757" s="411">
        <v>2700.06</v>
      </c>
      <c r="G757" s="418">
        <f t="shared" si="100"/>
        <v>-3.2364883510072162E-2</v>
      </c>
      <c r="H757" s="411">
        <v>56.94</v>
      </c>
      <c r="I757" s="418">
        <f t="shared" si="101"/>
        <v>-5.2894211576846262E-2</v>
      </c>
      <c r="J757" s="411">
        <v>2700.06</v>
      </c>
      <c r="K757" s="418">
        <f>IFERROR(J757/J758-1,"")</f>
        <v>-3.2364883510072162E-2</v>
      </c>
      <c r="L757" s="3">
        <v>56.94</v>
      </c>
      <c r="M757" s="418">
        <f>IFERROR(L757/L758-1,"")</f>
        <v>-5.2894211576846262E-2</v>
      </c>
    </row>
    <row r="758" spans="1:13">
      <c r="A758" s="408">
        <v>43437</v>
      </c>
      <c r="B758" s="411">
        <v>2790.37</v>
      </c>
      <c r="C758" s="418">
        <f t="shared" si="98"/>
        <v>1.0941355061463431E-2</v>
      </c>
      <c r="D758" s="411">
        <v>60.12</v>
      </c>
      <c r="E758" s="418">
        <f t="shared" si="99"/>
        <v>-9.7183330588042072E-3</v>
      </c>
      <c r="F758" s="411">
        <v>2790.37</v>
      </c>
      <c r="G758" s="418">
        <f t="shared" si="100"/>
        <v>1.0941355061463431E-2</v>
      </c>
      <c r="H758" s="411">
        <v>60.12</v>
      </c>
      <c r="I758" s="418">
        <f t="shared" si="101"/>
        <v>-9.7183330588042072E-3</v>
      </c>
      <c r="J758" s="411">
        <v>2790.37</v>
      </c>
      <c r="K758" s="418">
        <f t="shared" ref="K758" si="104">IFERROR(J758/J759-1,"")</f>
        <v>1.0941355061463431E-2</v>
      </c>
      <c r="L758" s="3">
        <v>60.12</v>
      </c>
      <c r="M758" s="418">
        <f t="shared" ref="M758" si="105">IFERROR(L758/L759-1,"")</f>
        <v>-9.7183330588042072E-3</v>
      </c>
    </row>
    <row r="759" spans="1:13">
      <c r="A759" s="408">
        <v>43434</v>
      </c>
      <c r="B759" s="411">
        <v>2760.17</v>
      </c>
      <c r="C759" s="418">
        <f t="shared" si="98"/>
        <v>8.1855239319734707E-3</v>
      </c>
      <c r="D759" s="411">
        <v>60.71</v>
      </c>
      <c r="E759" s="418">
        <f t="shared" si="99"/>
        <v>3.1430513081889266E-2</v>
      </c>
      <c r="F759" s="411">
        <v>2760.17</v>
      </c>
      <c r="G759" s="418">
        <f t="shared" si="100"/>
        <v>8.1855239319734707E-3</v>
      </c>
      <c r="H759" s="411">
        <v>60.71</v>
      </c>
      <c r="I759" s="418">
        <f t="shared" si="101"/>
        <v>3.1430513081889266E-2</v>
      </c>
      <c r="J759" s="411">
        <v>2760.17</v>
      </c>
      <c r="K759" s="418">
        <f t="shared" ref="K759" si="106">IFERROR(J759/J760-1,"")</f>
        <v>8.1855239319734707E-3</v>
      </c>
      <c r="L759" s="3">
        <v>60.71</v>
      </c>
      <c r="M759" s="418">
        <f t="shared" ref="M759" si="107">IFERROR(L759/L760-1,"")</f>
        <v>3.1430513081889266E-2</v>
      </c>
    </row>
    <row r="760" spans="1:13">
      <c r="A760" s="408">
        <v>43433</v>
      </c>
      <c r="B760" s="411">
        <v>2737.76</v>
      </c>
      <c r="C760" s="418">
        <f t="shared" si="98"/>
        <v>-2.1976900564546487E-3</v>
      </c>
      <c r="D760" s="411">
        <v>58.86</v>
      </c>
      <c r="E760" s="418">
        <f t="shared" si="99"/>
        <v>-1.698658060131919E-4</v>
      </c>
      <c r="F760" s="411">
        <v>2737.76</v>
      </c>
      <c r="G760" s="418">
        <f t="shared" si="100"/>
        <v>-2.1976900564546487E-3</v>
      </c>
      <c r="H760" s="411">
        <v>58.86</v>
      </c>
      <c r="I760" s="418">
        <f t="shared" si="101"/>
        <v>-1.698658060131919E-4</v>
      </c>
      <c r="J760" s="411">
        <v>2737.76</v>
      </c>
      <c r="K760" s="418">
        <f t="shared" ref="K760" si="108">IFERROR(J760/J761-1,"")</f>
        <v>-2.1976900564546487E-3</v>
      </c>
      <c r="L760" s="3">
        <v>58.86</v>
      </c>
      <c r="M760" s="418">
        <f t="shared" ref="M760" si="109">IFERROR(L760/L761-1,"")</f>
        <v>-1.698658060131919E-4</v>
      </c>
    </row>
    <row r="761" spans="1:13">
      <c r="A761" s="408">
        <v>43432</v>
      </c>
      <c r="B761" s="411">
        <v>2743.79</v>
      </c>
      <c r="C761" s="418">
        <f t="shared" si="98"/>
        <v>2.297393528374414E-2</v>
      </c>
      <c r="D761" s="411">
        <v>58.87</v>
      </c>
      <c r="E761" s="418">
        <f t="shared" si="99"/>
        <v>9.6038415366146435E-3</v>
      </c>
      <c r="F761" s="411">
        <v>2743.79</v>
      </c>
      <c r="G761" s="418">
        <f t="shared" si="100"/>
        <v>2.297393528374414E-2</v>
      </c>
      <c r="H761" s="411">
        <v>58.87</v>
      </c>
      <c r="I761" s="418">
        <f t="shared" si="101"/>
        <v>9.6038415366146435E-3</v>
      </c>
      <c r="J761" s="411">
        <v>2743.79</v>
      </c>
      <c r="K761" s="418">
        <f t="shared" ref="K761" si="110">IFERROR(J761/J762-1,"")</f>
        <v>2.297393528374414E-2</v>
      </c>
      <c r="L761" s="3">
        <v>58.87</v>
      </c>
      <c r="M761" s="418">
        <f t="shared" ref="M761" si="111">IFERROR(L761/L762-1,"")</f>
        <v>9.6038415366146435E-3</v>
      </c>
    </row>
    <row r="762" spans="1:13">
      <c r="A762" s="408">
        <v>43431</v>
      </c>
      <c r="B762" s="411">
        <v>2682.17</v>
      </c>
      <c r="C762" s="418">
        <f t="shared" si="98"/>
        <v>3.261703042884756E-3</v>
      </c>
      <c r="D762" s="411">
        <v>58.31</v>
      </c>
      <c r="E762" s="418">
        <f t="shared" si="99"/>
        <v>2.8213718920825359E-2</v>
      </c>
      <c r="F762" s="411">
        <v>2682.17</v>
      </c>
      <c r="G762" s="418">
        <f t="shared" si="100"/>
        <v>3.261703042884756E-3</v>
      </c>
      <c r="H762" s="411">
        <v>58.31</v>
      </c>
      <c r="I762" s="418">
        <f t="shared" si="101"/>
        <v>2.8213718920825359E-2</v>
      </c>
      <c r="J762" s="411">
        <v>2682.17</v>
      </c>
      <c r="K762" s="418">
        <f t="shared" ref="K762" si="112">IFERROR(J762/J763-1,"")</f>
        <v>3.261703042884756E-3</v>
      </c>
      <c r="L762" s="3">
        <v>58.31</v>
      </c>
      <c r="M762" s="418">
        <f t="shared" ref="M762" si="113">IFERROR(L762/L763-1,"")</f>
        <v>2.8213718920825359E-2</v>
      </c>
    </row>
    <row r="763" spans="1:13">
      <c r="A763" s="408">
        <v>43430</v>
      </c>
      <c r="B763" s="411">
        <v>2673.45</v>
      </c>
      <c r="C763" s="418">
        <f t="shared" si="98"/>
        <v>1.5532409517731827E-2</v>
      </c>
      <c r="D763" s="411">
        <v>56.71</v>
      </c>
      <c r="E763" s="418">
        <f t="shared" si="99"/>
        <v>-7.8726382085373414E-3</v>
      </c>
      <c r="F763" s="411">
        <v>2673.45</v>
      </c>
      <c r="G763" s="418">
        <f t="shared" si="100"/>
        <v>1.5532409517731827E-2</v>
      </c>
      <c r="H763" s="411">
        <v>56.71</v>
      </c>
      <c r="I763" s="418">
        <f t="shared" si="101"/>
        <v>-7.8726382085373414E-3</v>
      </c>
      <c r="J763" s="411">
        <v>2673.45</v>
      </c>
      <c r="K763" s="418">
        <f t="shared" ref="K763" si="114">IFERROR(J763/J764-1,"")</f>
        <v>1.5532409517731827E-2</v>
      </c>
      <c r="L763" s="3">
        <v>56.71</v>
      </c>
      <c r="M763" s="418">
        <f t="shared" ref="M763" si="115">IFERROR(L763/L764-1,"")</f>
        <v>-7.8726382085373414E-3</v>
      </c>
    </row>
    <row r="764" spans="1:13">
      <c r="A764" s="408">
        <v>43427</v>
      </c>
      <c r="B764" s="411">
        <v>2632.56</v>
      </c>
      <c r="C764" s="418">
        <f t="shared" si="98"/>
        <v>-6.5548901291732076E-3</v>
      </c>
      <c r="D764" s="411">
        <v>57.16</v>
      </c>
      <c r="E764" s="418">
        <f t="shared" si="99"/>
        <v>2.1261390030373306E-2</v>
      </c>
      <c r="F764" s="411">
        <v>2632.56</v>
      </c>
      <c r="G764" s="418">
        <f t="shared" si="100"/>
        <v>-6.5548901291732076E-3</v>
      </c>
      <c r="H764" s="411">
        <v>57.16</v>
      </c>
      <c r="I764" s="418">
        <f t="shared" si="101"/>
        <v>2.1261390030373306E-2</v>
      </c>
      <c r="J764" s="411">
        <v>2632.56</v>
      </c>
      <c r="K764" s="418" t="str">
        <f t="shared" ref="K764" si="116">IFERROR(J764/J765-1,"")</f>
        <v/>
      </c>
      <c r="L764" s="3">
        <v>57.16</v>
      </c>
      <c r="M764" s="418" t="str">
        <f t="shared" ref="M764" si="117">IFERROR(L764/L765-1,"")</f>
        <v/>
      </c>
    </row>
    <row r="765" spans="1:13">
      <c r="A765" s="408">
        <v>43425</v>
      </c>
      <c r="B765" s="411">
        <v>2649.93</v>
      </c>
      <c r="C765" s="418">
        <f t="shared" si="98"/>
        <v>3.0432758366170098E-3</v>
      </c>
      <c r="D765" s="411">
        <v>55.97</v>
      </c>
      <c r="E765" s="418">
        <f t="shared" si="99"/>
        <v>1.0106478974914346E-2</v>
      </c>
      <c r="F765" s="411">
        <v>2649.93</v>
      </c>
      <c r="G765" s="418">
        <f t="shared" si="100"/>
        <v>3.0432758366170098E-3</v>
      </c>
      <c r="H765" s="411">
        <v>55.97</v>
      </c>
      <c r="I765" s="418">
        <f t="shared" si="101"/>
        <v>1.0106478974914346E-2</v>
      </c>
      <c r="J765" s="411"/>
      <c r="K765" s="418" t="str">
        <f t="shared" ref="K765" si="118">IFERROR(J765/J766-1,"")</f>
        <v/>
      </c>
      <c r="M765" s="418" t="str">
        <f t="shared" ref="M765" si="119">IFERROR(L765/L766-1,"")</f>
        <v/>
      </c>
    </row>
    <row r="766" spans="1:13">
      <c r="A766" s="408">
        <v>43424</v>
      </c>
      <c r="B766" s="411">
        <v>2641.89</v>
      </c>
      <c r="C766" s="418">
        <f t="shared" si="98"/>
        <v>-1.8151208036480848E-2</v>
      </c>
      <c r="D766" s="411">
        <v>55.41</v>
      </c>
      <c r="E766" s="418">
        <f t="shared" si="99"/>
        <v>-1.388147357180991E-2</v>
      </c>
      <c r="F766" s="411">
        <v>2641.89</v>
      </c>
      <c r="G766" s="418">
        <f t="shared" si="100"/>
        <v>-1.8151208036480848E-2</v>
      </c>
      <c r="H766" s="411">
        <v>55.41</v>
      </c>
      <c r="I766" s="418">
        <f t="shared" si="101"/>
        <v>-1.388147357180991E-2</v>
      </c>
      <c r="J766" s="411"/>
      <c r="K766" s="418" t="str">
        <f t="shared" ref="K766" si="120">IFERROR(J766/J767-1,"")</f>
        <v/>
      </c>
      <c r="M766" s="418" t="str">
        <f t="shared" ref="M766" si="121">IFERROR(L766/L767-1,"")</f>
        <v/>
      </c>
    </row>
    <row r="767" spans="1:13">
      <c r="A767" s="408">
        <v>43423</v>
      </c>
      <c r="B767" s="411">
        <v>2690.73</v>
      </c>
      <c r="C767" s="418">
        <f t="shared" si="98"/>
        <v>-1.6643094431470606E-2</v>
      </c>
      <c r="D767" s="411">
        <v>56.19</v>
      </c>
      <c r="E767" s="418">
        <f t="shared" si="99"/>
        <v>5.1878354203935828E-3</v>
      </c>
      <c r="F767" s="411">
        <v>2690.73</v>
      </c>
      <c r="G767" s="418">
        <f t="shared" si="100"/>
        <v>-1.6643094431470606E-2</v>
      </c>
      <c r="H767" s="411">
        <v>56.19</v>
      </c>
      <c r="I767" s="418">
        <f t="shared" si="101"/>
        <v>5.1878354203935828E-3</v>
      </c>
      <c r="J767" s="411"/>
      <c r="K767" s="418" t="str">
        <f t="shared" ref="K767" si="122">IFERROR(J767/J768-1,"")</f>
        <v/>
      </c>
      <c r="M767" s="418" t="str">
        <f t="shared" ref="M767" si="123">IFERROR(L767/L768-1,"")</f>
        <v/>
      </c>
    </row>
    <row r="768" spans="1:13">
      <c r="A768" s="408">
        <v>43420</v>
      </c>
      <c r="B768" s="411">
        <v>2736.27</v>
      </c>
      <c r="C768" s="418">
        <f t="shared" si="98"/>
        <v>2.2232803457622463E-3</v>
      </c>
      <c r="D768" s="411">
        <v>55.9</v>
      </c>
      <c r="E768" s="418">
        <f t="shared" si="99"/>
        <v>-3.5650623885918886E-3</v>
      </c>
      <c r="F768" s="411">
        <v>2736.27</v>
      </c>
      <c r="G768" s="418">
        <f t="shared" si="100"/>
        <v>2.2232803457622463E-3</v>
      </c>
      <c r="H768" s="411">
        <v>55.9</v>
      </c>
      <c r="I768" s="418">
        <f t="shared" si="101"/>
        <v>-3.5650623885918886E-3</v>
      </c>
      <c r="J768" s="411"/>
      <c r="K768" s="418" t="str">
        <f t="shared" ref="K768" si="124">IFERROR(J768/J769-1,"")</f>
        <v/>
      </c>
      <c r="M768" s="418" t="str">
        <f t="shared" ref="M768" si="125">IFERROR(L768/L769-1,"")</f>
        <v/>
      </c>
    </row>
    <row r="769" spans="1:13">
      <c r="A769" s="408">
        <v>43419</v>
      </c>
      <c r="B769" s="411">
        <v>2730.2</v>
      </c>
      <c r="C769" s="418">
        <f t="shared" si="98"/>
        <v>1.0593800664796094E-2</v>
      </c>
      <c r="D769" s="411">
        <v>56.1</v>
      </c>
      <c r="E769" s="418">
        <f t="shared" si="99"/>
        <v>-5.8479532163742132E-3</v>
      </c>
      <c r="F769" s="411">
        <v>2730.2</v>
      </c>
      <c r="G769" s="418">
        <f t="shared" si="100"/>
        <v>1.0593800664796094E-2</v>
      </c>
      <c r="H769" s="411">
        <v>56.1</v>
      </c>
      <c r="I769" s="418">
        <f t="shared" si="101"/>
        <v>-5.8479532163742132E-3</v>
      </c>
      <c r="J769" s="411"/>
      <c r="K769" s="418" t="str">
        <f t="shared" ref="K769" si="126">IFERROR(J769/J770-1,"")</f>
        <v/>
      </c>
      <c r="M769" s="418" t="str">
        <f t="shared" ref="M769" si="127">IFERROR(L769/L770-1,"")</f>
        <v/>
      </c>
    </row>
    <row r="770" spans="1:13">
      <c r="A770" s="408">
        <v>43418</v>
      </c>
      <c r="B770" s="411">
        <v>2701.58</v>
      </c>
      <c r="C770" s="418">
        <f t="shared" si="98"/>
        <v>-7.5674643116913076E-3</v>
      </c>
      <c r="D770" s="411">
        <v>56.43</v>
      </c>
      <c r="E770" s="418">
        <f t="shared" si="99"/>
        <v>-6.8637803590285706E-3</v>
      </c>
      <c r="F770" s="411">
        <v>2701.58</v>
      </c>
      <c r="G770" s="418">
        <f t="shared" si="100"/>
        <v>-7.5674643116913076E-3</v>
      </c>
      <c r="H770" s="411">
        <v>56.43</v>
      </c>
      <c r="I770" s="418">
        <f t="shared" si="101"/>
        <v>-6.8637803590285706E-3</v>
      </c>
      <c r="J770" s="411"/>
      <c r="K770" s="388"/>
      <c r="M770" s="388"/>
    </row>
    <row r="771" spans="1:13">
      <c r="A771" s="408">
        <v>43417</v>
      </c>
      <c r="B771" s="411">
        <v>2722.18</v>
      </c>
      <c r="C771" s="418">
        <f t="shared" si="98"/>
        <v>-1.4819053487979961E-3</v>
      </c>
      <c r="D771" s="411">
        <v>56.82</v>
      </c>
      <c r="E771" s="418">
        <f t="shared" si="99"/>
        <v>2.1164021164019609E-3</v>
      </c>
      <c r="F771" s="411">
        <v>2722.18</v>
      </c>
      <c r="G771" s="418">
        <f t="shared" si="100"/>
        <v>-1.4819053487979961E-3</v>
      </c>
      <c r="H771" s="411">
        <v>56.82</v>
      </c>
      <c r="I771" s="418">
        <f t="shared" si="101"/>
        <v>2.1164021164019609E-3</v>
      </c>
      <c r="J771" s="411"/>
      <c r="K771" s="388"/>
      <c r="M771" s="388"/>
    </row>
    <row r="772" spans="1:13">
      <c r="A772" s="408">
        <v>43416</v>
      </c>
      <c r="B772" s="411">
        <v>2726.22</v>
      </c>
      <c r="C772" s="418">
        <f t="shared" si="98"/>
        <v>-1.9701475363267495E-2</v>
      </c>
      <c r="D772" s="411">
        <v>56.7</v>
      </c>
      <c r="E772" s="418">
        <f t="shared" si="99"/>
        <v>8.8261253309807053E-4</v>
      </c>
      <c r="F772" s="411">
        <v>2726.22</v>
      </c>
      <c r="G772" s="418">
        <f t="shared" si="100"/>
        <v>-1.9701475363267495E-2</v>
      </c>
      <c r="H772" s="411">
        <v>56.7</v>
      </c>
      <c r="I772" s="418">
        <f t="shared" si="101"/>
        <v>8.8261253309807053E-4</v>
      </c>
      <c r="J772" s="411"/>
      <c r="K772" s="388"/>
      <c r="M772" s="388"/>
    </row>
    <row r="773" spans="1:13">
      <c r="A773" s="408">
        <v>43413</v>
      </c>
      <c r="B773" s="411">
        <v>2781.01</v>
      </c>
      <c r="C773" s="418">
        <f t="shared" si="98"/>
        <v>-9.1989896074931021E-3</v>
      </c>
      <c r="D773" s="411">
        <v>56.65</v>
      </c>
      <c r="E773" s="418">
        <f t="shared" si="99"/>
        <v>-1.4101886127269037E-3</v>
      </c>
      <c r="F773" s="411">
        <v>2781.01</v>
      </c>
      <c r="G773" s="418">
        <f t="shared" si="100"/>
        <v>-9.1989896074931021E-3</v>
      </c>
      <c r="H773" s="411">
        <v>56.65</v>
      </c>
      <c r="I773" s="418">
        <f t="shared" si="101"/>
        <v>-1.4101886127269037E-3</v>
      </c>
      <c r="J773" s="411"/>
      <c r="K773" s="388"/>
      <c r="M773" s="388"/>
    </row>
    <row r="774" spans="1:13">
      <c r="A774" s="408">
        <v>43412</v>
      </c>
      <c r="B774" s="411">
        <v>2806.83</v>
      </c>
      <c r="C774" s="418">
        <f t="shared" si="98"/>
        <v>-2.5089822274502183E-3</v>
      </c>
      <c r="D774" s="411">
        <v>56.73</v>
      </c>
      <c r="E774" s="418">
        <f t="shared" si="99"/>
        <v>-1.0565240359218242E-3</v>
      </c>
      <c r="F774" s="411">
        <v>2806.83</v>
      </c>
      <c r="G774" s="418">
        <f t="shared" si="100"/>
        <v>-2.5089822274502183E-3</v>
      </c>
      <c r="H774" s="411">
        <v>56.73</v>
      </c>
      <c r="I774" s="418">
        <f t="shared" si="101"/>
        <v>-1.0565240359218242E-3</v>
      </c>
      <c r="J774" s="411"/>
      <c r="K774" s="388"/>
      <c r="M774" s="388"/>
    </row>
    <row r="775" spans="1:13">
      <c r="A775" s="408">
        <v>43411</v>
      </c>
      <c r="B775" s="411">
        <v>2813.89</v>
      </c>
      <c r="C775" s="418">
        <f t="shared" si="98"/>
        <v>2.1208876952947708E-2</v>
      </c>
      <c r="D775" s="411">
        <v>56.79</v>
      </c>
      <c r="E775" s="418">
        <f t="shared" si="99"/>
        <v>2.3796646836127699E-2</v>
      </c>
      <c r="F775" s="411">
        <v>2813.89</v>
      </c>
      <c r="G775" s="418">
        <f t="shared" si="100"/>
        <v>2.1208876952947708E-2</v>
      </c>
      <c r="H775" s="411">
        <v>56.79</v>
      </c>
      <c r="I775" s="418">
        <f t="shared" si="101"/>
        <v>2.3796646836127699E-2</v>
      </c>
      <c r="J775" s="411"/>
      <c r="K775" s="388"/>
      <c r="M775" s="388"/>
    </row>
    <row r="776" spans="1:13">
      <c r="A776" s="408">
        <v>43410</v>
      </c>
      <c r="B776" s="411">
        <v>2755.45</v>
      </c>
      <c r="C776" s="418">
        <f t="shared" ref="C776:C839" si="128">B776/B777-1</f>
        <v>6.2593351373656514E-3</v>
      </c>
      <c r="D776" s="411">
        <v>55.47</v>
      </c>
      <c r="E776" s="418">
        <f t="shared" ref="E776:E839" si="129">D776/D777-1</f>
        <v>-1.0347903657448643E-2</v>
      </c>
      <c r="F776" s="411">
        <v>2755.45</v>
      </c>
      <c r="G776" s="418">
        <f t="shared" ref="G776:G839" si="130">F776/F777-1</f>
        <v>6.2593351373656514E-3</v>
      </c>
      <c r="H776" s="411">
        <v>55.47</v>
      </c>
      <c r="I776" s="418">
        <f t="shared" ref="I776:I839" si="131">H776/H777-1</f>
        <v>-1.0347903657448643E-2</v>
      </c>
      <c r="J776" s="411"/>
      <c r="K776" s="388"/>
      <c r="M776" s="388"/>
    </row>
    <row r="777" spans="1:13">
      <c r="A777" s="408">
        <v>43409</v>
      </c>
      <c r="B777" s="411">
        <v>2738.31</v>
      </c>
      <c r="C777" s="418">
        <f t="shared" si="128"/>
        <v>5.6003172901073484E-3</v>
      </c>
      <c r="D777" s="411">
        <v>56.05</v>
      </c>
      <c r="E777" s="418">
        <f t="shared" si="129"/>
        <v>-1.2473271560941024E-3</v>
      </c>
      <c r="F777" s="411">
        <v>2738.31</v>
      </c>
      <c r="G777" s="418">
        <f t="shared" si="130"/>
        <v>5.6003172901073484E-3</v>
      </c>
      <c r="H777" s="411">
        <v>56.05</v>
      </c>
      <c r="I777" s="418">
        <f t="shared" si="131"/>
        <v>-1.2473271560941024E-3</v>
      </c>
      <c r="J777" s="411"/>
      <c r="K777" s="388"/>
      <c r="M777" s="388"/>
    </row>
    <row r="778" spans="1:13">
      <c r="A778" s="408">
        <v>43406</v>
      </c>
      <c r="B778" s="411">
        <v>2723.06</v>
      </c>
      <c r="C778" s="418">
        <f t="shared" si="128"/>
        <v>-6.3166652678288138E-3</v>
      </c>
      <c r="D778" s="411">
        <v>56.12</v>
      </c>
      <c r="E778" s="418">
        <f t="shared" si="129"/>
        <v>1.427551748750755E-3</v>
      </c>
      <c r="F778" s="411">
        <v>2723.06</v>
      </c>
      <c r="G778" s="418">
        <f t="shared" si="130"/>
        <v>-6.3166652678288138E-3</v>
      </c>
      <c r="H778" s="411">
        <v>56.12</v>
      </c>
      <c r="I778" s="418">
        <f t="shared" si="131"/>
        <v>1.427551748750755E-3</v>
      </c>
      <c r="J778" s="411"/>
      <c r="K778" s="388"/>
      <c r="M778" s="388"/>
    </row>
    <row r="779" spans="1:13">
      <c r="A779" s="408">
        <v>43405</v>
      </c>
      <c r="B779" s="411">
        <v>2740.37</v>
      </c>
      <c r="C779" s="418">
        <f t="shared" si="128"/>
        <v>1.05577968389301E-2</v>
      </c>
      <c r="D779" s="411">
        <v>56.04</v>
      </c>
      <c r="E779" s="418">
        <f t="shared" si="129"/>
        <v>2.3935684268225899E-2</v>
      </c>
      <c r="F779" s="411">
        <v>2740.37</v>
      </c>
      <c r="G779" s="418">
        <f t="shared" si="130"/>
        <v>1.05577968389301E-2</v>
      </c>
      <c r="H779" s="411">
        <v>56.04</v>
      </c>
      <c r="I779" s="418">
        <f t="shared" si="131"/>
        <v>2.3935684268225899E-2</v>
      </c>
      <c r="J779" s="411"/>
      <c r="K779" s="388"/>
      <c r="M779" s="388"/>
    </row>
    <row r="780" spans="1:13">
      <c r="A780" s="408">
        <v>43404</v>
      </c>
      <c r="B780" s="411">
        <v>2711.74</v>
      </c>
      <c r="C780" s="418">
        <f t="shared" si="128"/>
        <v>1.0851291456518197E-2</v>
      </c>
      <c r="D780" s="411">
        <v>54.73</v>
      </c>
      <c r="E780" s="418">
        <f t="shared" si="129"/>
        <v>-7.0754716981131782E-3</v>
      </c>
      <c r="F780" s="411">
        <v>2711.74</v>
      </c>
      <c r="G780" s="418">
        <f t="shared" si="130"/>
        <v>1.0851291456518197E-2</v>
      </c>
      <c r="H780" s="411">
        <v>54.73</v>
      </c>
      <c r="I780" s="418">
        <f t="shared" si="131"/>
        <v>-7.0754716981131782E-3</v>
      </c>
      <c r="J780" s="411"/>
      <c r="K780" s="388"/>
      <c r="M780" s="388"/>
    </row>
    <row r="781" spans="1:13">
      <c r="A781" s="408">
        <v>43403</v>
      </c>
      <c r="B781" s="411">
        <v>2682.63</v>
      </c>
      <c r="C781" s="418">
        <f t="shared" si="128"/>
        <v>1.5666824420255576E-2</v>
      </c>
      <c r="D781" s="411">
        <v>55.12</v>
      </c>
      <c r="E781" s="418">
        <f t="shared" si="129"/>
        <v>3.1823287158367464E-2</v>
      </c>
      <c r="F781" s="411">
        <v>2682.63</v>
      </c>
      <c r="G781" s="418">
        <f t="shared" si="130"/>
        <v>1.5666824420255576E-2</v>
      </c>
      <c r="H781" s="411">
        <v>55.12</v>
      </c>
      <c r="I781" s="418">
        <f t="shared" si="131"/>
        <v>3.1823287158367464E-2</v>
      </c>
      <c r="J781" s="411"/>
      <c r="K781" s="388"/>
      <c r="M781" s="388"/>
    </row>
    <row r="782" spans="1:13">
      <c r="A782" s="408">
        <v>43402</v>
      </c>
      <c r="B782" s="411">
        <v>2641.25</v>
      </c>
      <c r="C782" s="418">
        <f t="shared" si="128"/>
        <v>-6.5596214677152709E-3</v>
      </c>
      <c r="D782" s="411">
        <v>53.42</v>
      </c>
      <c r="E782" s="418">
        <f t="shared" si="129"/>
        <v>2.6276276276275823E-3</v>
      </c>
      <c r="F782" s="411">
        <v>2641.25</v>
      </c>
      <c r="G782" s="418">
        <f t="shared" si="130"/>
        <v>-6.5596214677152709E-3</v>
      </c>
      <c r="H782" s="411">
        <v>53.42</v>
      </c>
      <c r="I782" s="418">
        <f t="shared" si="131"/>
        <v>2.6276276276275823E-3</v>
      </c>
      <c r="J782" s="411"/>
      <c r="K782" s="388"/>
      <c r="M782" s="388"/>
    </row>
    <row r="783" spans="1:13">
      <c r="A783" s="408">
        <v>43399</v>
      </c>
      <c r="B783" s="411">
        <v>2658.69</v>
      </c>
      <c r="C783" s="418">
        <f t="shared" si="128"/>
        <v>-1.7327217554896079E-2</v>
      </c>
      <c r="D783" s="411">
        <v>53.28</v>
      </c>
      <c r="E783" s="418">
        <f t="shared" si="129"/>
        <v>-8.0059579221746224E-3</v>
      </c>
      <c r="F783" s="411">
        <v>2658.69</v>
      </c>
      <c r="G783" s="418">
        <f t="shared" si="130"/>
        <v>-1.7327217554896079E-2</v>
      </c>
      <c r="H783" s="411">
        <v>53.28</v>
      </c>
      <c r="I783" s="418">
        <f t="shared" si="131"/>
        <v>-8.0059579221746224E-3</v>
      </c>
      <c r="J783" s="411"/>
      <c r="K783" s="388"/>
      <c r="M783" s="388"/>
    </row>
    <row r="784" spans="1:13">
      <c r="A784" s="408">
        <v>43398</v>
      </c>
      <c r="B784" s="411">
        <v>2705.57</v>
      </c>
      <c r="C784" s="418">
        <f t="shared" si="128"/>
        <v>1.8625051767629408E-2</v>
      </c>
      <c r="D784" s="411">
        <v>53.71</v>
      </c>
      <c r="E784" s="418">
        <f t="shared" si="129"/>
        <v>4.2710153368278103E-2</v>
      </c>
      <c r="F784" s="411">
        <v>2705.57</v>
      </c>
      <c r="G784" s="418">
        <f t="shared" si="130"/>
        <v>1.8625051767629408E-2</v>
      </c>
      <c r="H784" s="411">
        <v>53.71</v>
      </c>
      <c r="I784" s="418">
        <f t="shared" si="131"/>
        <v>4.2710153368278103E-2</v>
      </c>
      <c r="J784" s="411"/>
      <c r="K784" s="388"/>
      <c r="M784" s="388"/>
    </row>
    <row r="785" spans="1:13">
      <c r="A785" s="408">
        <v>43397</v>
      </c>
      <c r="B785" s="411">
        <v>2656.1</v>
      </c>
      <c r="C785" s="418">
        <f t="shared" si="128"/>
        <v>-3.0864490329077787E-2</v>
      </c>
      <c r="D785" s="411">
        <v>51.51</v>
      </c>
      <c r="E785" s="418">
        <f t="shared" si="129"/>
        <v>-3.6295603367633378E-2</v>
      </c>
      <c r="F785" s="411">
        <v>2656.1</v>
      </c>
      <c r="G785" s="418">
        <f t="shared" si="130"/>
        <v>-3.0864490329077787E-2</v>
      </c>
      <c r="H785" s="411">
        <v>51.51</v>
      </c>
      <c r="I785" s="418">
        <f t="shared" si="131"/>
        <v>-3.6295603367633378E-2</v>
      </c>
      <c r="J785" s="411"/>
      <c r="K785" s="388"/>
      <c r="M785" s="388"/>
    </row>
    <row r="786" spans="1:13">
      <c r="A786" s="408">
        <v>43396</v>
      </c>
      <c r="B786" s="411">
        <v>2740.69</v>
      </c>
      <c r="C786" s="418">
        <f t="shared" si="128"/>
        <v>-5.5118510239923202E-3</v>
      </c>
      <c r="D786" s="411">
        <v>53.45</v>
      </c>
      <c r="E786" s="418">
        <f t="shared" si="129"/>
        <v>-1.456489675516226E-2</v>
      </c>
      <c r="F786" s="411">
        <v>2740.69</v>
      </c>
      <c r="G786" s="418">
        <f t="shared" si="130"/>
        <v>-5.5118510239923202E-3</v>
      </c>
      <c r="H786" s="411">
        <v>53.45</v>
      </c>
      <c r="I786" s="418">
        <f t="shared" si="131"/>
        <v>-1.456489675516226E-2</v>
      </c>
      <c r="J786" s="411"/>
      <c r="K786" s="388"/>
      <c r="M786" s="388"/>
    </row>
    <row r="787" spans="1:13">
      <c r="A787" s="408">
        <v>43395</v>
      </c>
      <c r="B787" s="411">
        <v>2755.88</v>
      </c>
      <c r="C787" s="418">
        <f t="shared" si="128"/>
        <v>-4.2994746692295305E-3</v>
      </c>
      <c r="D787" s="411">
        <v>54.24</v>
      </c>
      <c r="E787" s="418">
        <f t="shared" si="129"/>
        <v>1.5920584379097269E-2</v>
      </c>
      <c r="F787" s="411">
        <v>2755.88</v>
      </c>
      <c r="G787" s="418">
        <f t="shared" si="130"/>
        <v>-4.2994746692295305E-3</v>
      </c>
      <c r="H787" s="411">
        <v>54.24</v>
      </c>
      <c r="I787" s="418">
        <f t="shared" si="131"/>
        <v>1.5920584379097269E-2</v>
      </c>
      <c r="J787" s="411"/>
      <c r="K787" s="388"/>
      <c r="M787" s="388"/>
    </row>
    <row r="788" spans="1:13">
      <c r="A788" s="408">
        <v>43392</v>
      </c>
      <c r="B788" s="411">
        <v>2767.78</v>
      </c>
      <c r="C788" s="418">
        <f t="shared" si="128"/>
        <v>-3.6116990154511086E-4</v>
      </c>
      <c r="D788" s="411">
        <v>53.39</v>
      </c>
      <c r="E788" s="418">
        <f t="shared" si="129"/>
        <v>4.8936570675701674E-3</v>
      </c>
      <c r="F788" s="411">
        <v>2767.78</v>
      </c>
      <c r="G788" s="418">
        <f t="shared" si="130"/>
        <v>-3.6116990154511086E-4</v>
      </c>
      <c r="H788" s="411">
        <v>53.39</v>
      </c>
      <c r="I788" s="418">
        <f t="shared" si="131"/>
        <v>4.8936570675701674E-3</v>
      </c>
      <c r="J788" s="411"/>
      <c r="K788" s="388"/>
      <c r="M788" s="388"/>
    </row>
    <row r="789" spans="1:13">
      <c r="A789" s="408">
        <v>43391</v>
      </c>
      <c r="B789" s="411">
        <v>2768.78</v>
      </c>
      <c r="C789" s="418">
        <f t="shared" si="128"/>
        <v>-1.4391946490294405E-2</v>
      </c>
      <c r="D789" s="411">
        <v>53.13</v>
      </c>
      <c r="E789" s="418">
        <f t="shared" si="129"/>
        <v>-2.1546961325966785E-2</v>
      </c>
      <c r="F789" s="411">
        <v>2768.78</v>
      </c>
      <c r="G789" s="418">
        <f t="shared" si="130"/>
        <v>-1.4391946490294405E-2</v>
      </c>
      <c r="H789" s="411">
        <v>53.13</v>
      </c>
      <c r="I789" s="418">
        <f t="shared" si="131"/>
        <v>-2.1546961325966785E-2</v>
      </c>
      <c r="J789" s="411"/>
      <c r="K789" s="388"/>
      <c r="M789" s="388"/>
    </row>
    <row r="790" spans="1:13">
      <c r="A790" s="408">
        <v>43390</v>
      </c>
      <c r="B790" s="411">
        <v>2809.21</v>
      </c>
      <c r="C790" s="418">
        <f t="shared" si="128"/>
        <v>-2.5267623277536178E-4</v>
      </c>
      <c r="D790" s="411">
        <v>54.3</v>
      </c>
      <c r="E790" s="418">
        <f t="shared" si="129"/>
        <v>2.240632649218588E-2</v>
      </c>
      <c r="F790" s="411">
        <v>2809.21</v>
      </c>
      <c r="G790" s="418">
        <f t="shared" si="130"/>
        <v>-2.5267623277536178E-4</v>
      </c>
      <c r="H790" s="411">
        <v>54.3</v>
      </c>
      <c r="I790" s="418">
        <f t="shared" si="131"/>
        <v>2.240632649218588E-2</v>
      </c>
      <c r="J790" s="411"/>
      <c r="K790" s="388"/>
      <c r="M790" s="388"/>
    </row>
    <row r="791" spans="1:13">
      <c r="A791" s="408">
        <v>43389</v>
      </c>
      <c r="B791" s="411">
        <v>2809.92</v>
      </c>
      <c r="C791" s="418">
        <f t="shared" si="128"/>
        <v>2.1495643069809001E-2</v>
      </c>
      <c r="D791" s="411">
        <v>53.11</v>
      </c>
      <c r="E791" s="418">
        <f t="shared" si="129"/>
        <v>2.4498456790123413E-2</v>
      </c>
      <c r="F791" s="411">
        <v>2809.92</v>
      </c>
      <c r="G791" s="418">
        <f t="shared" si="130"/>
        <v>2.1495643069809001E-2</v>
      </c>
      <c r="H791" s="411">
        <v>53.11</v>
      </c>
      <c r="I791" s="418">
        <f t="shared" si="131"/>
        <v>2.4498456790123413E-2</v>
      </c>
      <c r="J791" s="411"/>
      <c r="K791" s="388"/>
      <c r="M791" s="388"/>
    </row>
    <row r="792" spans="1:13">
      <c r="A792" s="408">
        <v>43388</v>
      </c>
      <c r="B792" s="411">
        <v>2750.79</v>
      </c>
      <c r="C792" s="418">
        <f t="shared" si="128"/>
        <v>-5.9050351808552781E-3</v>
      </c>
      <c r="D792" s="411">
        <v>51.84</v>
      </c>
      <c r="E792" s="418">
        <f t="shared" si="129"/>
        <v>-4.0345821325646902E-3</v>
      </c>
      <c r="F792" s="411">
        <v>2750.79</v>
      </c>
      <c r="G792" s="418">
        <f t="shared" si="130"/>
        <v>-5.9050351808552781E-3</v>
      </c>
      <c r="H792" s="411">
        <v>51.84</v>
      </c>
      <c r="I792" s="418">
        <f t="shared" si="131"/>
        <v>-4.0345821325646902E-3</v>
      </c>
      <c r="J792" s="411"/>
      <c r="K792" s="388"/>
      <c r="M792" s="388"/>
    </row>
    <row r="793" spans="1:13">
      <c r="A793" s="408">
        <v>43385</v>
      </c>
      <c r="B793" s="411">
        <v>2767.13</v>
      </c>
      <c r="C793" s="418">
        <f t="shared" si="128"/>
        <v>1.4206284338267983E-2</v>
      </c>
      <c r="D793" s="411">
        <v>52.05</v>
      </c>
      <c r="E793" s="418">
        <f t="shared" si="129"/>
        <v>1.1072261072261114E-2</v>
      </c>
      <c r="F793" s="411">
        <v>2767.13</v>
      </c>
      <c r="G793" s="418">
        <f t="shared" si="130"/>
        <v>1.4206284338267983E-2</v>
      </c>
      <c r="H793" s="411">
        <v>52.05</v>
      </c>
      <c r="I793" s="418">
        <f t="shared" si="131"/>
        <v>1.1072261072261114E-2</v>
      </c>
      <c r="J793" s="411"/>
      <c r="K793" s="388"/>
      <c r="M793" s="388"/>
    </row>
    <row r="794" spans="1:13">
      <c r="A794" s="408">
        <v>43384</v>
      </c>
      <c r="B794" s="411">
        <v>2728.37</v>
      </c>
      <c r="C794" s="418">
        <f t="shared" si="128"/>
        <v>-2.0573073719881707E-2</v>
      </c>
      <c r="D794" s="411">
        <v>51.48</v>
      </c>
      <c r="E794" s="418">
        <f t="shared" si="129"/>
        <v>3.5606517803258741E-2</v>
      </c>
      <c r="F794" s="411">
        <v>2728.37</v>
      </c>
      <c r="G794" s="418">
        <f t="shared" si="130"/>
        <v>-2.0573073719881707E-2</v>
      </c>
      <c r="H794" s="411">
        <v>51.48</v>
      </c>
      <c r="I794" s="418">
        <f t="shared" si="131"/>
        <v>3.5606517803258741E-2</v>
      </c>
      <c r="J794" s="411"/>
      <c r="K794" s="388"/>
      <c r="M794" s="388"/>
    </row>
    <row r="795" spans="1:13">
      <c r="A795" s="408">
        <v>43383</v>
      </c>
      <c r="B795" s="411">
        <v>2785.68</v>
      </c>
      <c r="C795" s="418">
        <f t="shared" si="128"/>
        <v>-3.2864175757028824E-2</v>
      </c>
      <c r="D795" s="411">
        <v>49.71</v>
      </c>
      <c r="E795" s="418">
        <f t="shared" si="129"/>
        <v>-2.2611089264648054E-2</v>
      </c>
      <c r="F795" s="411">
        <v>2785.68</v>
      </c>
      <c r="G795" s="418">
        <f t="shared" si="130"/>
        <v>-3.2864175757028824E-2</v>
      </c>
      <c r="H795" s="411">
        <v>49.71</v>
      </c>
      <c r="I795" s="418">
        <f t="shared" si="131"/>
        <v>-2.2611089264648054E-2</v>
      </c>
      <c r="J795" s="411"/>
      <c r="K795" s="388"/>
      <c r="M795" s="388"/>
    </row>
    <row r="796" spans="1:13">
      <c r="A796" s="408">
        <v>43382</v>
      </c>
      <c r="B796" s="411">
        <v>2880.34</v>
      </c>
      <c r="C796" s="418">
        <f t="shared" si="128"/>
        <v>-1.4179577940874877E-3</v>
      </c>
      <c r="D796" s="411">
        <v>50.86</v>
      </c>
      <c r="E796" s="418">
        <f t="shared" si="129"/>
        <v>-2.4549290372075205E-2</v>
      </c>
      <c r="F796" s="411">
        <v>2880.34</v>
      </c>
      <c r="G796" s="418">
        <f t="shared" si="130"/>
        <v>-1.4179577940874877E-3</v>
      </c>
      <c r="H796" s="411">
        <v>50.86</v>
      </c>
      <c r="I796" s="418">
        <f t="shared" si="131"/>
        <v>-2.4549290372075205E-2</v>
      </c>
      <c r="J796" s="411"/>
      <c r="K796" s="388"/>
      <c r="M796" s="388"/>
    </row>
    <row r="797" spans="1:13">
      <c r="A797" s="408">
        <v>43381</v>
      </c>
      <c r="B797" s="411">
        <v>2884.43</v>
      </c>
      <c r="C797" s="418">
        <f t="shared" si="128"/>
        <v>-3.9506925841348295E-4</v>
      </c>
      <c r="D797" s="411">
        <v>52.14</v>
      </c>
      <c r="E797" s="418">
        <f t="shared" si="129"/>
        <v>-1.0626185958254264E-2</v>
      </c>
      <c r="F797" s="411">
        <v>2884.43</v>
      </c>
      <c r="G797" s="418">
        <f t="shared" si="130"/>
        <v>-3.9506925841348295E-4</v>
      </c>
      <c r="H797" s="411">
        <v>52.14</v>
      </c>
      <c r="I797" s="418">
        <f t="shared" si="131"/>
        <v>-1.0626185958254264E-2</v>
      </c>
      <c r="J797" s="411"/>
      <c r="K797" s="388"/>
      <c r="M797" s="388"/>
    </row>
    <row r="798" spans="1:13">
      <c r="A798" s="408">
        <v>43378</v>
      </c>
      <c r="B798" s="411">
        <v>2885.57</v>
      </c>
      <c r="C798" s="418">
        <f t="shared" si="128"/>
        <v>-5.5279655088037449E-3</v>
      </c>
      <c r="D798" s="411">
        <v>52.7</v>
      </c>
      <c r="E798" s="418">
        <f t="shared" si="129"/>
        <v>-1.6056758775205404E-2</v>
      </c>
      <c r="F798" s="411">
        <v>2885.57</v>
      </c>
      <c r="G798" s="418">
        <f t="shared" si="130"/>
        <v>-5.5279655088037449E-3</v>
      </c>
      <c r="H798" s="411">
        <v>52.7</v>
      </c>
      <c r="I798" s="418">
        <f t="shared" si="131"/>
        <v>-1.6056758775205404E-2</v>
      </c>
      <c r="J798" s="411"/>
      <c r="K798" s="388"/>
      <c r="M798" s="388"/>
    </row>
    <row r="799" spans="1:13">
      <c r="A799" s="408">
        <v>43377</v>
      </c>
      <c r="B799" s="411">
        <v>2901.61</v>
      </c>
      <c r="C799" s="418">
        <f t="shared" si="128"/>
        <v>-8.1695157425543119E-3</v>
      </c>
      <c r="D799" s="411">
        <v>53.56</v>
      </c>
      <c r="E799" s="418">
        <f t="shared" si="129"/>
        <v>-1.3991163475699508E-2</v>
      </c>
      <c r="F799" s="411">
        <v>2901.61</v>
      </c>
      <c r="G799" s="418">
        <f t="shared" si="130"/>
        <v>-8.1695157425543119E-3</v>
      </c>
      <c r="H799" s="411">
        <v>53.56</v>
      </c>
      <c r="I799" s="418">
        <f t="shared" si="131"/>
        <v>-1.3991163475699508E-2</v>
      </c>
      <c r="J799" s="411"/>
      <c r="K799" s="388"/>
      <c r="M799" s="388"/>
    </row>
    <row r="800" spans="1:13">
      <c r="A800" s="408">
        <v>43376</v>
      </c>
      <c r="B800" s="411">
        <v>2925.51</v>
      </c>
      <c r="C800" s="418">
        <f t="shared" si="128"/>
        <v>7.1149300650286129E-4</v>
      </c>
      <c r="D800" s="411">
        <v>54.32</v>
      </c>
      <c r="E800" s="418">
        <f t="shared" si="129"/>
        <v>-6.7654050100566243E-3</v>
      </c>
      <c r="F800" s="411">
        <v>2925.51</v>
      </c>
      <c r="G800" s="418">
        <f t="shared" si="130"/>
        <v>7.1149300650286129E-4</v>
      </c>
      <c r="H800" s="411">
        <v>54.32</v>
      </c>
      <c r="I800" s="418">
        <f t="shared" si="131"/>
        <v>-6.7654050100566243E-3</v>
      </c>
      <c r="J800" s="411"/>
      <c r="K800" s="388"/>
      <c r="M800" s="388"/>
    </row>
    <row r="801" spans="1:13">
      <c r="A801" s="408">
        <v>43375</v>
      </c>
      <c r="B801" s="411">
        <v>2923.43</v>
      </c>
      <c r="C801" s="418">
        <f t="shared" si="128"/>
        <v>-3.9663679353352244E-4</v>
      </c>
      <c r="D801" s="411">
        <v>54.69</v>
      </c>
      <c r="E801" s="418">
        <f t="shared" si="129"/>
        <v>-3.374558303886932E-2</v>
      </c>
      <c r="F801" s="411">
        <v>2923.43</v>
      </c>
      <c r="G801" s="418">
        <f t="shared" si="130"/>
        <v>-3.9663679353352244E-4</v>
      </c>
      <c r="H801" s="411">
        <v>54.69</v>
      </c>
      <c r="I801" s="418">
        <f t="shared" si="131"/>
        <v>-3.374558303886932E-2</v>
      </c>
      <c r="J801" s="411"/>
      <c r="K801" s="388"/>
      <c r="M801" s="388"/>
    </row>
    <row r="802" spans="1:13">
      <c r="A802" s="408">
        <v>43374</v>
      </c>
      <c r="B802" s="411">
        <v>2924.59</v>
      </c>
      <c r="C802" s="418">
        <f t="shared" si="128"/>
        <v>3.6410682297065566E-3</v>
      </c>
      <c r="D802" s="411">
        <v>56.6</v>
      </c>
      <c r="E802" s="418">
        <f t="shared" si="129"/>
        <v>-2.1269237420024178E-2</v>
      </c>
      <c r="F802" s="411">
        <v>2924.59</v>
      </c>
      <c r="G802" s="418">
        <f t="shared" si="130"/>
        <v>3.6410682297065566E-3</v>
      </c>
      <c r="H802" s="411">
        <v>56.6</v>
      </c>
      <c r="I802" s="418">
        <f t="shared" si="131"/>
        <v>-2.1269237420024178E-2</v>
      </c>
      <c r="J802" s="411"/>
      <c r="K802" s="388"/>
      <c r="M802" s="388"/>
    </row>
    <row r="803" spans="1:13">
      <c r="A803" s="408">
        <v>43371</v>
      </c>
      <c r="B803" s="411">
        <v>2913.98</v>
      </c>
      <c r="C803" s="418">
        <f t="shared" si="128"/>
        <v>-6.8634179821724928E-6</v>
      </c>
      <c r="D803" s="411">
        <v>57.83</v>
      </c>
      <c r="E803" s="418">
        <f t="shared" si="129"/>
        <v>-2.9310344827586654E-3</v>
      </c>
      <c r="F803" s="411">
        <v>2913.98</v>
      </c>
      <c r="G803" s="418">
        <f t="shared" si="130"/>
        <v>-6.8634179821724928E-6</v>
      </c>
      <c r="H803" s="411">
        <v>57.83</v>
      </c>
      <c r="I803" s="418">
        <f t="shared" si="131"/>
        <v>-2.9310344827586654E-3</v>
      </c>
      <c r="J803" s="411"/>
      <c r="K803" s="388"/>
      <c r="M803" s="388"/>
    </row>
    <row r="804" spans="1:13">
      <c r="A804" s="408">
        <v>43370</v>
      </c>
      <c r="B804" s="411">
        <v>2914</v>
      </c>
      <c r="C804" s="418">
        <f t="shared" si="128"/>
        <v>2.7632769780832067E-3</v>
      </c>
      <c r="D804" s="411">
        <v>58</v>
      </c>
      <c r="E804" s="418">
        <f t="shared" si="129"/>
        <v>8.5202573465483766E-3</v>
      </c>
      <c r="F804" s="411">
        <v>2914</v>
      </c>
      <c r="G804" s="418">
        <f t="shared" si="130"/>
        <v>2.7632769780832067E-3</v>
      </c>
      <c r="H804" s="411">
        <v>58</v>
      </c>
      <c r="I804" s="418">
        <f t="shared" si="131"/>
        <v>8.5202573465483766E-3</v>
      </c>
      <c r="J804" s="411"/>
      <c r="K804" s="388"/>
      <c r="M804" s="388"/>
    </row>
    <row r="805" spans="1:13">
      <c r="A805" s="408">
        <v>43369</v>
      </c>
      <c r="B805" s="411">
        <v>2905.97</v>
      </c>
      <c r="C805" s="418">
        <f t="shared" si="128"/>
        <v>-3.2892480346828901E-3</v>
      </c>
      <c r="D805" s="411">
        <v>57.51</v>
      </c>
      <c r="E805" s="418">
        <f t="shared" si="129"/>
        <v>7.1803852889666953E-3</v>
      </c>
      <c r="F805" s="411">
        <v>2905.97</v>
      </c>
      <c r="G805" s="418">
        <f t="shared" si="130"/>
        <v>-3.2892480346828901E-3</v>
      </c>
      <c r="H805" s="411">
        <v>57.51</v>
      </c>
      <c r="I805" s="418">
        <f t="shared" si="131"/>
        <v>7.1803852889666953E-3</v>
      </c>
      <c r="J805" s="411"/>
      <c r="K805" s="388"/>
      <c r="M805" s="388"/>
    </row>
    <row r="806" spans="1:13">
      <c r="A806" s="408">
        <v>43368</v>
      </c>
      <c r="B806" s="411">
        <v>2915.56</v>
      </c>
      <c r="C806" s="418">
        <f t="shared" si="128"/>
        <v>-1.3050760951849316E-3</v>
      </c>
      <c r="D806" s="411">
        <v>57.1</v>
      </c>
      <c r="E806" s="418">
        <f t="shared" si="129"/>
        <v>-5.3997561400451755E-3</v>
      </c>
      <c r="F806" s="411">
        <v>2915.56</v>
      </c>
      <c r="G806" s="418">
        <f t="shared" si="130"/>
        <v>-1.3050760951849316E-3</v>
      </c>
      <c r="H806" s="411">
        <v>57.1</v>
      </c>
      <c r="I806" s="418">
        <f t="shared" si="131"/>
        <v>-5.3997561400451755E-3</v>
      </c>
      <c r="J806" s="411"/>
      <c r="K806" s="388"/>
      <c r="M806" s="388"/>
    </row>
    <row r="807" spans="1:13">
      <c r="A807" s="408">
        <v>43367</v>
      </c>
      <c r="B807" s="411">
        <v>2919.37</v>
      </c>
      <c r="C807" s="418">
        <f t="shared" si="128"/>
        <v>-3.5157543341060027E-3</v>
      </c>
      <c r="D807" s="411">
        <v>57.41</v>
      </c>
      <c r="E807" s="418">
        <f t="shared" si="129"/>
        <v>-3.6906559302130604E-2</v>
      </c>
      <c r="F807" s="411">
        <v>2919.37</v>
      </c>
      <c r="G807" s="418">
        <f t="shared" si="130"/>
        <v>-3.5157543341060027E-3</v>
      </c>
      <c r="H807" s="411">
        <v>57.41</v>
      </c>
      <c r="I807" s="418">
        <f t="shared" si="131"/>
        <v>-3.6906559302130604E-2</v>
      </c>
      <c r="J807" s="411"/>
      <c r="K807" s="388"/>
      <c r="M807" s="388"/>
    </row>
    <row r="808" spans="1:13">
      <c r="A808" s="408">
        <v>43364</v>
      </c>
      <c r="B808" s="411">
        <v>2929.67</v>
      </c>
      <c r="C808" s="418">
        <f t="shared" si="128"/>
        <v>-3.6850635502849727E-4</v>
      </c>
      <c r="D808" s="411">
        <v>59.61</v>
      </c>
      <c r="E808" s="418">
        <f t="shared" si="129"/>
        <v>2.546017546877688E-2</v>
      </c>
      <c r="F808" s="411">
        <v>2929.67</v>
      </c>
      <c r="G808" s="418">
        <f t="shared" si="130"/>
        <v>-3.6850635502849727E-4</v>
      </c>
      <c r="H808" s="411">
        <v>59.61</v>
      </c>
      <c r="I808" s="418">
        <f t="shared" si="131"/>
        <v>2.546017546877688E-2</v>
      </c>
      <c r="J808" s="411"/>
      <c r="K808" s="388"/>
      <c r="M808" s="388"/>
    </row>
    <row r="809" spans="1:13">
      <c r="A809" s="408">
        <v>43363</v>
      </c>
      <c r="B809" s="411">
        <v>2930.75</v>
      </c>
      <c r="C809" s="418">
        <f t="shared" si="128"/>
        <v>7.8405749754981713E-3</v>
      </c>
      <c r="D809" s="411">
        <v>58.13</v>
      </c>
      <c r="E809" s="418">
        <f t="shared" si="129"/>
        <v>3.972366148532025E-3</v>
      </c>
      <c r="F809" s="411">
        <v>2930.75</v>
      </c>
      <c r="G809" s="418">
        <f t="shared" si="130"/>
        <v>7.8405749754981713E-3</v>
      </c>
      <c r="H809" s="411">
        <v>58.13</v>
      </c>
      <c r="I809" s="418">
        <f t="shared" si="131"/>
        <v>3.972366148532025E-3</v>
      </c>
      <c r="J809" s="411"/>
      <c r="K809" s="388"/>
      <c r="M809" s="388"/>
    </row>
    <row r="810" spans="1:13">
      <c r="A810" s="408">
        <v>43362</v>
      </c>
      <c r="B810" s="411">
        <v>2907.95</v>
      </c>
      <c r="C810" s="418">
        <f t="shared" si="128"/>
        <v>1.25330973621951E-3</v>
      </c>
      <c r="D810" s="411">
        <v>57.9</v>
      </c>
      <c r="E810" s="418">
        <f t="shared" si="129"/>
        <v>1.2104444060176967E-3</v>
      </c>
      <c r="F810" s="411">
        <v>2907.95</v>
      </c>
      <c r="G810" s="418">
        <f t="shared" si="130"/>
        <v>1.25330973621951E-3</v>
      </c>
      <c r="H810" s="411">
        <v>57.9</v>
      </c>
      <c r="I810" s="418">
        <f t="shared" si="131"/>
        <v>1.2104444060176967E-3</v>
      </c>
      <c r="J810" s="411"/>
      <c r="K810" s="388"/>
      <c r="M810" s="388"/>
    </row>
    <row r="811" spans="1:13">
      <c r="A811" s="408">
        <v>43361</v>
      </c>
      <c r="B811" s="411">
        <v>2904.31</v>
      </c>
      <c r="C811" s="418">
        <f t="shared" si="128"/>
        <v>5.3690113541955409E-3</v>
      </c>
      <c r="D811" s="411">
        <v>57.83</v>
      </c>
      <c r="E811" s="418">
        <f t="shared" si="129"/>
        <v>-2.2429261559696601E-3</v>
      </c>
      <c r="F811" s="411">
        <v>2904.31</v>
      </c>
      <c r="G811" s="418">
        <f t="shared" si="130"/>
        <v>5.3690113541955409E-3</v>
      </c>
      <c r="H811" s="411">
        <v>57.83</v>
      </c>
      <c r="I811" s="418">
        <f t="shared" si="131"/>
        <v>-2.2429261559696601E-3</v>
      </c>
      <c r="J811" s="411"/>
      <c r="K811" s="388"/>
      <c r="M811" s="388"/>
    </row>
    <row r="812" spans="1:13">
      <c r="A812" s="408">
        <v>43360</v>
      </c>
      <c r="B812" s="411">
        <v>2888.8</v>
      </c>
      <c r="C812" s="418">
        <f t="shared" si="128"/>
        <v>-5.5697457469585654E-3</v>
      </c>
      <c r="D812" s="411">
        <v>57.96</v>
      </c>
      <c r="E812" s="418">
        <f t="shared" si="129"/>
        <v>5.1786639047124439E-4</v>
      </c>
      <c r="F812" s="411">
        <v>2888.8</v>
      </c>
      <c r="G812" s="418">
        <f t="shared" si="130"/>
        <v>-5.5697457469585654E-3</v>
      </c>
      <c r="H812" s="411">
        <v>57.96</v>
      </c>
      <c r="I812" s="418">
        <f t="shared" si="131"/>
        <v>5.1786639047124439E-4</v>
      </c>
      <c r="J812" s="411"/>
      <c r="K812" s="388"/>
      <c r="M812" s="388"/>
    </row>
    <row r="813" spans="1:13">
      <c r="A813" s="408">
        <v>43357</v>
      </c>
      <c r="B813" s="411">
        <v>2904.98</v>
      </c>
      <c r="C813" s="418">
        <f t="shared" si="128"/>
        <v>2.7546501938591206E-4</v>
      </c>
      <c r="D813" s="411">
        <v>57.93</v>
      </c>
      <c r="E813" s="418">
        <f t="shared" si="129"/>
        <v>1.9024558976132866E-3</v>
      </c>
      <c r="F813" s="411">
        <v>2904.98</v>
      </c>
      <c r="G813" s="418">
        <f t="shared" si="130"/>
        <v>2.7546501938591206E-4</v>
      </c>
      <c r="H813" s="411">
        <v>57.93</v>
      </c>
      <c r="I813" s="418">
        <f t="shared" si="131"/>
        <v>1.9024558976132866E-3</v>
      </c>
      <c r="J813" s="411"/>
      <c r="K813" s="388"/>
      <c r="M813" s="388"/>
    </row>
    <row r="814" spans="1:13">
      <c r="A814" s="408">
        <v>43356</v>
      </c>
      <c r="B814" s="411">
        <v>2904.18</v>
      </c>
      <c r="C814" s="418">
        <f t="shared" si="128"/>
        <v>5.2822508065297757E-3</v>
      </c>
      <c r="D814" s="411">
        <v>57.82</v>
      </c>
      <c r="E814" s="418">
        <f t="shared" si="129"/>
        <v>7.4925945286634654E-3</v>
      </c>
      <c r="F814" s="411">
        <v>2904.18</v>
      </c>
      <c r="G814" s="418">
        <f t="shared" si="130"/>
        <v>5.2822508065297757E-3</v>
      </c>
      <c r="H814" s="411">
        <v>57.82</v>
      </c>
      <c r="I814" s="418">
        <f t="shared" si="131"/>
        <v>7.4925945286634654E-3</v>
      </c>
      <c r="J814" s="411"/>
      <c r="K814" s="388"/>
      <c r="M814" s="388"/>
    </row>
    <row r="815" spans="1:13">
      <c r="A815" s="408">
        <v>43355</v>
      </c>
      <c r="B815" s="411">
        <v>2888.92</v>
      </c>
      <c r="C815" s="418">
        <f t="shared" si="128"/>
        <v>3.5666178420923345E-4</v>
      </c>
      <c r="D815" s="411">
        <v>57.39</v>
      </c>
      <c r="E815" s="418">
        <f t="shared" si="129"/>
        <v>-1.5102110863222995E-2</v>
      </c>
      <c r="F815" s="411">
        <v>2888.92</v>
      </c>
      <c r="G815" s="418">
        <f t="shared" si="130"/>
        <v>3.5666178420923345E-4</v>
      </c>
      <c r="H815" s="411">
        <v>57.39</v>
      </c>
      <c r="I815" s="418">
        <f t="shared" si="131"/>
        <v>-1.5102110863222995E-2</v>
      </c>
      <c r="J815" s="411"/>
      <c r="K815" s="388"/>
      <c r="M815" s="388"/>
    </row>
    <row r="816" spans="1:13">
      <c r="A816" s="408">
        <v>43354</v>
      </c>
      <c r="B816" s="411">
        <v>2887.89</v>
      </c>
      <c r="C816" s="418">
        <f t="shared" si="128"/>
        <v>3.7398379635260603E-3</v>
      </c>
      <c r="D816" s="411">
        <v>58.27</v>
      </c>
      <c r="E816" s="418">
        <f t="shared" si="129"/>
        <v>1.2334954829742895E-2</v>
      </c>
      <c r="F816" s="411">
        <v>2887.89</v>
      </c>
      <c r="G816" s="418">
        <f t="shared" si="130"/>
        <v>3.7398379635260603E-3</v>
      </c>
      <c r="H816" s="411">
        <v>58.27</v>
      </c>
      <c r="I816" s="418">
        <f t="shared" si="131"/>
        <v>1.2334954829742895E-2</v>
      </c>
      <c r="J816" s="411"/>
      <c r="K816" s="388"/>
      <c r="M816" s="388"/>
    </row>
    <row r="817" spans="1:13">
      <c r="A817" s="408">
        <v>43353</v>
      </c>
      <c r="B817" s="411">
        <v>2877.13</v>
      </c>
      <c r="C817" s="418">
        <f t="shared" si="128"/>
        <v>1.8978437708938589E-3</v>
      </c>
      <c r="D817" s="411">
        <v>57.56</v>
      </c>
      <c r="E817" s="418">
        <f t="shared" si="129"/>
        <v>1.2310939148786559E-2</v>
      </c>
      <c r="F817" s="411">
        <v>2877.13</v>
      </c>
      <c r="G817" s="418">
        <f t="shared" si="130"/>
        <v>1.8978437708938589E-3</v>
      </c>
      <c r="H817" s="411">
        <v>57.56</v>
      </c>
      <c r="I817" s="418">
        <f t="shared" si="131"/>
        <v>1.2310939148786559E-2</v>
      </c>
      <c r="J817" s="411"/>
      <c r="K817" s="388"/>
      <c r="M817" s="388"/>
    </row>
    <row r="818" spans="1:13">
      <c r="A818" s="408">
        <v>43350</v>
      </c>
      <c r="B818" s="411">
        <v>2871.68</v>
      </c>
      <c r="C818" s="418">
        <f t="shared" si="128"/>
        <v>-2.2133041469051262E-3</v>
      </c>
      <c r="D818" s="411">
        <v>56.86</v>
      </c>
      <c r="E818" s="418">
        <f t="shared" si="129"/>
        <v>7.4415308291990723E-3</v>
      </c>
      <c r="F818" s="411">
        <v>2871.68</v>
      </c>
      <c r="G818" s="418">
        <f t="shared" si="130"/>
        <v>-2.2133041469051262E-3</v>
      </c>
      <c r="H818" s="411">
        <v>56.86</v>
      </c>
      <c r="I818" s="418">
        <f t="shared" si="131"/>
        <v>7.4415308291990723E-3</v>
      </c>
      <c r="J818" s="411"/>
      <c r="K818" s="388"/>
      <c r="M818" s="388"/>
    </row>
    <row r="819" spans="1:13">
      <c r="A819" s="408">
        <v>43349</v>
      </c>
      <c r="B819" s="411">
        <v>2878.05</v>
      </c>
      <c r="C819" s="418">
        <f t="shared" si="128"/>
        <v>-3.6522883057535926E-3</v>
      </c>
      <c r="D819" s="411">
        <v>56.44</v>
      </c>
      <c r="E819" s="418">
        <f t="shared" si="129"/>
        <v>-1.3459185457088019E-2</v>
      </c>
      <c r="F819" s="411">
        <v>2878.05</v>
      </c>
      <c r="G819" s="418">
        <f t="shared" si="130"/>
        <v>-3.6522883057535926E-3</v>
      </c>
      <c r="H819" s="411">
        <v>56.44</v>
      </c>
      <c r="I819" s="418">
        <f t="shared" si="131"/>
        <v>-1.3459185457088019E-2</v>
      </c>
      <c r="J819" s="411"/>
      <c r="K819" s="388"/>
      <c r="M819" s="388"/>
    </row>
    <row r="820" spans="1:13">
      <c r="A820" s="408">
        <v>43348</v>
      </c>
      <c r="B820" s="411">
        <v>2888.6</v>
      </c>
      <c r="C820" s="418">
        <f t="shared" si="128"/>
        <v>-2.8031704824766912E-3</v>
      </c>
      <c r="D820" s="411">
        <v>57.21</v>
      </c>
      <c r="E820" s="418">
        <f t="shared" si="129"/>
        <v>-2.8362771739130488E-2</v>
      </c>
      <c r="F820" s="411">
        <v>2888.6</v>
      </c>
      <c r="G820" s="418">
        <f t="shared" si="130"/>
        <v>-2.8031704824766912E-3</v>
      </c>
      <c r="H820" s="411">
        <v>57.21</v>
      </c>
      <c r="I820" s="418">
        <f t="shared" si="131"/>
        <v>-2.8362771739130488E-2</v>
      </c>
      <c r="J820" s="411"/>
      <c r="K820" s="388"/>
      <c r="M820" s="388"/>
    </row>
    <row r="821" spans="1:13">
      <c r="A821" s="408">
        <v>43347</v>
      </c>
      <c r="B821" s="411">
        <v>2896.72</v>
      </c>
      <c r="C821" s="418">
        <f t="shared" si="128"/>
        <v>-1.6543053296204091E-3</v>
      </c>
      <c r="D821" s="411">
        <v>58.88</v>
      </c>
      <c r="E821" s="418">
        <f t="shared" si="129"/>
        <v>6.8399452804379646E-3</v>
      </c>
      <c r="F821" s="411">
        <v>2896.72</v>
      </c>
      <c r="G821" s="418">
        <f t="shared" si="130"/>
        <v>-1.6543053296204091E-3</v>
      </c>
      <c r="H821" s="411">
        <v>58.88</v>
      </c>
      <c r="I821" s="418">
        <f t="shared" si="131"/>
        <v>6.8399452804379646E-3</v>
      </c>
      <c r="J821" s="411"/>
      <c r="K821" s="388"/>
      <c r="M821" s="388"/>
    </row>
    <row r="822" spans="1:13">
      <c r="A822" s="408">
        <v>43343</v>
      </c>
      <c r="B822" s="411">
        <v>2901.52</v>
      </c>
      <c r="C822" s="418">
        <f t="shared" si="128"/>
        <v>1.3443037712890238E-4</v>
      </c>
      <c r="D822" s="411">
        <v>58.48</v>
      </c>
      <c r="E822" s="418">
        <f t="shared" si="129"/>
        <v>6.8446269678301697E-4</v>
      </c>
      <c r="F822" s="411">
        <v>2901.52</v>
      </c>
      <c r="G822" s="418">
        <f t="shared" si="130"/>
        <v>1.3443037712890238E-4</v>
      </c>
      <c r="H822" s="411">
        <v>58.48</v>
      </c>
      <c r="I822" s="418">
        <f t="shared" si="131"/>
        <v>6.8446269678301697E-4</v>
      </c>
      <c r="J822" s="411"/>
      <c r="K822" s="388"/>
      <c r="M822" s="388"/>
    </row>
    <row r="823" spans="1:13">
      <c r="A823" s="408">
        <v>43342</v>
      </c>
      <c r="B823" s="411">
        <v>2901.13</v>
      </c>
      <c r="C823" s="418">
        <f t="shared" si="128"/>
        <v>-4.4302754938161382E-3</v>
      </c>
      <c r="D823" s="411">
        <v>58.44</v>
      </c>
      <c r="E823" s="418">
        <f t="shared" si="129"/>
        <v>-1.3670539986330166E-3</v>
      </c>
      <c r="F823" s="411">
        <v>2901.13</v>
      </c>
      <c r="G823" s="418">
        <f t="shared" si="130"/>
        <v>-4.4302754938161382E-3</v>
      </c>
      <c r="H823" s="411">
        <v>58.44</v>
      </c>
      <c r="I823" s="418">
        <f t="shared" si="131"/>
        <v>-1.3670539986330166E-3</v>
      </c>
      <c r="J823" s="411"/>
      <c r="K823" s="388"/>
      <c r="M823" s="388"/>
    </row>
    <row r="824" spans="1:13">
      <c r="A824" s="408">
        <v>43341</v>
      </c>
      <c r="B824" s="411">
        <v>2914.04</v>
      </c>
      <c r="C824" s="418">
        <f t="shared" si="128"/>
        <v>5.7014274275932753E-3</v>
      </c>
      <c r="D824" s="411">
        <v>58.52</v>
      </c>
      <c r="E824" s="418">
        <f t="shared" si="129"/>
        <v>-4.5926177921414846E-3</v>
      </c>
      <c r="F824" s="411">
        <v>2914.04</v>
      </c>
      <c r="G824" s="418">
        <f t="shared" si="130"/>
        <v>5.7014274275932753E-3</v>
      </c>
      <c r="H824" s="411">
        <v>58.52</v>
      </c>
      <c r="I824" s="418">
        <f t="shared" si="131"/>
        <v>-4.5926177921414846E-3</v>
      </c>
      <c r="J824" s="411"/>
      <c r="K824" s="388"/>
      <c r="M824" s="388"/>
    </row>
    <row r="825" spans="1:13">
      <c r="A825" s="408">
        <v>43340</v>
      </c>
      <c r="B825" s="411">
        <v>2897.52</v>
      </c>
      <c r="C825" s="418">
        <f t="shared" si="128"/>
        <v>2.6926821185191407E-4</v>
      </c>
      <c r="D825" s="411">
        <v>58.79</v>
      </c>
      <c r="E825" s="418">
        <f t="shared" si="129"/>
        <v>1.8008658008658029E-2</v>
      </c>
      <c r="F825" s="411">
        <v>2897.52</v>
      </c>
      <c r="G825" s="418">
        <f t="shared" si="130"/>
        <v>2.6926821185191407E-4</v>
      </c>
      <c r="H825" s="411">
        <v>58.79</v>
      </c>
      <c r="I825" s="418">
        <f t="shared" si="131"/>
        <v>1.8008658008658029E-2</v>
      </c>
      <c r="J825" s="411"/>
      <c r="K825" s="388"/>
      <c r="M825" s="388"/>
    </row>
    <row r="826" spans="1:13">
      <c r="A826" s="408">
        <v>43339</v>
      </c>
      <c r="B826" s="411">
        <v>2896.74</v>
      </c>
      <c r="C826" s="418">
        <f t="shared" si="128"/>
        <v>7.670392285776817E-3</v>
      </c>
      <c r="D826" s="411">
        <v>57.75</v>
      </c>
      <c r="E826" s="418">
        <f t="shared" si="129"/>
        <v>9.9685204616999368E-3</v>
      </c>
      <c r="F826" s="411">
        <v>2896.74</v>
      </c>
      <c r="G826" s="418">
        <f t="shared" si="130"/>
        <v>7.670392285776817E-3</v>
      </c>
      <c r="H826" s="411">
        <v>57.75</v>
      </c>
      <c r="I826" s="418">
        <f t="shared" si="131"/>
        <v>9.9685204616999368E-3</v>
      </c>
      <c r="J826" s="411"/>
      <c r="K826" s="388"/>
      <c r="M826" s="388"/>
    </row>
    <row r="827" spans="1:13">
      <c r="A827" s="408">
        <v>43336</v>
      </c>
      <c r="B827" s="411">
        <v>2874.69</v>
      </c>
      <c r="C827" s="418">
        <f t="shared" si="128"/>
        <v>6.1988533346399866E-3</v>
      </c>
      <c r="D827" s="411">
        <v>57.18</v>
      </c>
      <c r="E827" s="418">
        <f t="shared" si="129"/>
        <v>4.2149631190726566E-3</v>
      </c>
      <c r="F827" s="411">
        <v>2874.69</v>
      </c>
      <c r="G827" s="418">
        <f t="shared" si="130"/>
        <v>6.1988533346399866E-3</v>
      </c>
      <c r="H827" s="411">
        <v>57.18</v>
      </c>
      <c r="I827" s="418">
        <f t="shared" si="131"/>
        <v>4.2149631190726566E-3</v>
      </c>
      <c r="J827" s="411"/>
      <c r="K827" s="388"/>
      <c r="M827" s="388"/>
    </row>
    <row r="828" spans="1:13">
      <c r="A828" s="408">
        <v>43335</v>
      </c>
      <c r="B828" s="411">
        <v>2856.98</v>
      </c>
      <c r="C828" s="418">
        <f t="shared" si="128"/>
        <v>-1.691231454109654E-3</v>
      </c>
      <c r="D828" s="411">
        <v>56.94</v>
      </c>
      <c r="E828" s="418">
        <f t="shared" si="129"/>
        <v>5.2714812862419969E-4</v>
      </c>
      <c r="F828" s="411">
        <v>2856.98</v>
      </c>
      <c r="G828" s="418">
        <f t="shared" si="130"/>
        <v>-1.691231454109654E-3</v>
      </c>
      <c r="H828" s="411">
        <v>56.94</v>
      </c>
      <c r="I828" s="418">
        <f t="shared" si="131"/>
        <v>5.2714812862419969E-4</v>
      </c>
      <c r="J828" s="411"/>
      <c r="K828" s="388"/>
      <c r="M828" s="388"/>
    </row>
    <row r="829" spans="1:13">
      <c r="A829" s="408">
        <v>43334</v>
      </c>
      <c r="B829" s="411">
        <v>2861.82</v>
      </c>
      <c r="C829" s="418">
        <f t="shared" si="128"/>
        <v>-3.9818928661239372E-4</v>
      </c>
      <c r="D829" s="411">
        <v>56.91</v>
      </c>
      <c r="E829" s="418">
        <f t="shared" si="129"/>
        <v>-1.1979166666666763E-2</v>
      </c>
      <c r="F829" s="411">
        <v>2861.82</v>
      </c>
      <c r="G829" s="418">
        <f t="shared" si="130"/>
        <v>-3.9818928661239372E-4</v>
      </c>
      <c r="H829" s="411">
        <v>56.91</v>
      </c>
      <c r="I829" s="418">
        <f t="shared" si="131"/>
        <v>-1.1979166666666763E-2</v>
      </c>
      <c r="J829" s="411"/>
      <c r="K829" s="388"/>
      <c r="M829" s="388"/>
    </row>
    <row r="830" spans="1:13">
      <c r="A830" s="408">
        <v>43333</v>
      </c>
      <c r="B830" s="411">
        <v>2862.96</v>
      </c>
      <c r="C830" s="418">
        <f t="shared" si="128"/>
        <v>2.0685672284348477E-3</v>
      </c>
      <c r="D830" s="411">
        <v>57.6</v>
      </c>
      <c r="E830" s="418">
        <f t="shared" si="129"/>
        <v>3.1347962382444194E-3</v>
      </c>
      <c r="F830" s="411">
        <v>2862.96</v>
      </c>
      <c r="G830" s="418">
        <f t="shared" si="130"/>
        <v>2.0685672284348477E-3</v>
      </c>
      <c r="H830" s="411">
        <v>57.6</v>
      </c>
      <c r="I830" s="418">
        <f t="shared" si="131"/>
        <v>3.1347962382444194E-3</v>
      </c>
      <c r="J830" s="411"/>
      <c r="K830" s="388"/>
      <c r="M830" s="388"/>
    </row>
    <row r="831" spans="1:13">
      <c r="A831" s="408">
        <v>43332</v>
      </c>
      <c r="B831" s="411">
        <v>2857.05</v>
      </c>
      <c r="C831" s="418">
        <f t="shared" si="128"/>
        <v>2.4279594264120519E-3</v>
      </c>
      <c r="D831" s="411">
        <v>57.42</v>
      </c>
      <c r="E831" s="418">
        <f t="shared" si="129"/>
        <v>3.1805929919137554E-2</v>
      </c>
      <c r="F831" s="411">
        <v>2857.05</v>
      </c>
      <c r="G831" s="418">
        <f t="shared" si="130"/>
        <v>2.4279594264120519E-3</v>
      </c>
      <c r="H831" s="411">
        <v>57.42</v>
      </c>
      <c r="I831" s="418">
        <f t="shared" si="131"/>
        <v>3.1805929919137554E-2</v>
      </c>
      <c r="J831" s="411"/>
      <c r="K831" s="388"/>
      <c r="M831" s="388"/>
    </row>
    <row r="832" spans="1:13">
      <c r="A832" s="408">
        <v>43329</v>
      </c>
      <c r="B832" s="411">
        <v>2850.13</v>
      </c>
      <c r="C832" s="418">
        <f t="shared" si="128"/>
        <v>3.3231362802699227E-3</v>
      </c>
      <c r="D832" s="411">
        <v>55.65</v>
      </c>
      <c r="E832" s="418">
        <f t="shared" si="129"/>
        <v>3.6068530207393756E-3</v>
      </c>
      <c r="F832" s="411">
        <v>2850.13</v>
      </c>
      <c r="G832" s="418">
        <f t="shared" si="130"/>
        <v>3.3231362802699227E-3</v>
      </c>
      <c r="H832" s="411">
        <v>55.65</v>
      </c>
      <c r="I832" s="418">
        <f t="shared" si="131"/>
        <v>3.6068530207393756E-3</v>
      </c>
      <c r="J832" s="411"/>
      <c r="K832" s="388"/>
      <c r="M832" s="388"/>
    </row>
    <row r="833" spans="1:13">
      <c r="A833" s="408">
        <v>43328</v>
      </c>
      <c r="B833" s="411">
        <v>2840.69</v>
      </c>
      <c r="C833" s="418">
        <f t="shared" si="128"/>
        <v>7.9194711836985121E-3</v>
      </c>
      <c r="D833" s="411">
        <v>55.45</v>
      </c>
      <c r="E833" s="418">
        <f t="shared" si="129"/>
        <v>3.9833423863844253E-3</v>
      </c>
      <c r="F833" s="411">
        <v>2840.69</v>
      </c>
      <c r="G833" s="418">
        <f t="shared" si="130"/>
        <v>7.9194711836985121E-3</v>
      </c>
      <c r="H833" s="411">
        <v>55.45</v>
      </c>
      <c r="I833" s="418">
        <f t="shared" si="131"/>
        <v>3.9833423863844253E-3</v>
      </c>
      <c r="J833" s="411"/>
      <c r="K833" s="388"/>
      <c r="M833" s="388"/>
    </row>
    <row r="834" spans="1:13">
      <c r="A834" s="408">
        <v>43327</v>
      </c>
      <c r="B834" s="411">
        <v>2818.37</v>
      </c>
      <c r="C834" s="418">
        <f t="shared" si="128"/>
        <v>-7.6022197495739796E-3</v>
      </c>
      <c r="D834" s="411">
        <v>55.23</v>
      </c>
      <c r="E834" s="418">
        <f t="shared" si="129"/>
        <v>8.5829072315559696E-3</v>
      </c>
      <c r="F834" s="411">
        <v>2818.37</v>
      </c>
      <c r="G834" s="418">
        <f t="shared" si="130"/>
        <v>-7.6022197495739796E-3</v>
      </c>
      <c r="H834" s="411">
        <v>55.23</v>
      </c>
      <c r="I834" s="418">
        <f t="shared" si="131"/>
        <v>8.5829072315559696E-3</v>
      </c>
      <c r="J834" s="411"/>
      <c r="K834" s="388"/>
      <c r="M834" s="388"/>
    </row>
    <row r="835" spans="1:13">
      <c r="A835" s="408">
        <v>43326</v>
      </c>
      <c r="B835" s="411">
        <v>2839.96</v>
      </c>
      <c r="C835" s="418">
        <f t="shared" si="128"/>
        <v>6.3892442406439098E-3</v>
      </c>
      <c r="D835" s="411">
        <v>54.76</v>
      </c>
      <c r="E835" s="418">
        <f t="shared" si="129"/>
        <v>9.9594245665806103E-3</v>
      </c>
      <c r="F835" s="411">
        <v>2839.96</v>
      </c>
      <c r="G835" s="418">
        <f t="shared" si="130"/>
        <v>6.3892442406439098E-3</v>
      </c>
      <c r="H835" s="411">
        <v>54.76</v>
      </c>
      <c r="I835" s="418">
        <f t="shared" si="131"/>
        <v>9.9594245665806103E-3</v>
      </c>
      <c r="J835" s="411"/>
      <c r="K835" s="388"/>
      <c r="M835" s="388"/>
    </row>
    <row r="836" spans="1:13">
      <c r="A836" s="408">
        <v>43325</v>
      </c>
      <c r="B836" s="411">
        <v>2821.93</v>
      </c>
      <c r="C836" s="418">
        <f t="shared" si="128"/>
        <v>-4.0059577592049811E-3</v>
      </c>
      <c r="D836" s="411">
        <v>54.22</v>
      </c>
      <c r="E836" s="418">
        <f t="shared" si="129"/>
        <v>-8.9563151160665377E-3</v>
      </c>
      <c r="F836" s="411">
        <v>2821.93</v>
      </c>
      <c r="G836" s="418">
        <f t="shared" si="130"/>
        <v>-4.0059577592049811E-3</v>
      </c>
      <c r="H836" s="411">
        <v>54.22</v>
      </c>
      <c r="I836" s="418">
        <f t="shared" si="131"/>
        <v>-8.9563151160665377E-3</v>
      </c>
      <c r="J836" s="411"/>
      <c r="K836" s="388"/>
      <c r="M836" s="388"/>
    </row>
    <row r="837" spans="1:13">
      <c r="A837" s="408">
        <v>43322</v>
      </c>
      <c r="B837" s="411">
        <v>2833.28</v>
      </c>
      <c r="C837" s="418">
        <f t="shared" si="128"/>
        <v>-7.1138709971333425E-3</v>
      </c>
      <c r="D837" s="411">
        <v>54.71</v>
      </c>
      <c r="E837" s="418">
        <f t="shared" si="129"/>
        <v>-1.13841705818577E-2</v>
      </c>
      <c r="F837" s="411">
        <v>2833.28</v>
      </c>
      <c r="G837" s="418">
        <f t="shared" si="130"/>
        <v>-7.1138709971333425E-3</v>
      </c>
      <c r="H837" s="411">
        <v>54.71</v>
      </c>
      <c r="I837" s="418">
        <f t="shared" si="131"/>
        <v>-1.13841705818577E-2</v>
      </c>
      <c r="J837" s="411"/>
      <c r="K837" s="388"/>
      <c r="M837" s="388"/>
    </row>
    <row r="838" spans="1:13">
      <c r="A838" s="408">
        <v>43321</v>
      </c>
      <c r="B838" s="411">
        <v>2853.58</v>
      </c>
      <c r="C838" s="418">
        <f t="shared" si="128"/>
        <v>-1.4417188648213619E-3</v>
      </c>
      <c r="D838" s="411">
        <v>55.34</v>
      </c>
      <c r="E838" s="418">
        <f t="shared" si="129"/>
        <v>1.9916711931922126E-3</v>
      </c>
      <c r="F838" s="411">
        <v>2853.58</v>
      </c>
      <c r="G838" s="418">
        <f t="shared" si="130"/>
        <v>-1.4417188648213619E-3</v>
      </c>
      <c r="H838" s="411">
        <v>55.34</v>
      </c>
      <c r="I838" s="418">
        <f t="shared" si="131"/>
        <v>1.9916711931922126E-3</v>
      </c>
      <c r="J838" s="411"/>
      <c r="K838" s="388"/>
      <c r="M838" s="388"/>
    </row>
    <row r="839" spans="1:13">
      <c r="A839" s="408">
        <v>43320</v>
      </c>
      <c r="B839" s="411">
        <v>2857.7</v>
      </c>
      <c r="C839" s="418">
        <f t="shared" si="128"/>
        <v>-2.6237996116773576E-4</v>
      </c>
      <c r="D839" s="411">
        <v>55.23</v>
      </c>
      <c r="E839" s="418">
        <f t="shared" si="129"/>
        <v>9.6892138939670414E-3</v>
      </c>
      <c r="F839" s="411">
        <v>2857.7</v>
      </c>
      <c r="G839" s="418">
        <f t="shared" si="130"/>
        <v>-2.6237996116773576E-4</v>
      </c>
      <c r="H839" s="411">
        <v>55.23</v>
      </c>
      <c r="I839" s="418">
        <f t="shared" si="131"/>
        <v>9.6892138939670414E-3</v>
      </c>
      <c r="J839" s="411"/>
      <c r="K839" s="388"/>
      <c r="M839" s="388"/>
    </row>
    <row r="840" spans="1:13">
      <c r="A840" s="408">
        <v>43319</v>
      </c>
      <c r="B840" s="411">
        <v>2858.45</v>
      </c>
      <c r="C840" s="418">
        <f t="shared" ref="C840:C903" si="132">B840/B841-1</f>
        <v>2.824165029469361E-3</v>
      </c>
      <c r="D840" s="411">
        <v>54.7</v>
      </c>
      <c r="E840" s="418">
        <f t="shared" ref="E840:E903" si="133">D840/D841-1</f>
        <v>5.1451672179345653E-3</v>
      </c>
      <c r="F840" s="411">
        <v>2858.45</v>
      </c>
      <c r="G840" s="418">
        <f t="shared" ref="G840:G903" si="134">F840/F841-1</f>
        <v>2.824165029469361E-3</v>
      </c>
      <c r="H840" s="411">
        <v>54.7</v>
      </c>
      <c r="I840" s="418">
        <f t="shared" ref="I840:I903" si="135">H840/H841-1</f>
        <v>5.1451672179345653E-3</v>
      </c>
      <c r="J840" s="411"/>
      <c r="K840" s="388"/>
      <c r="M840" s="388"/>
    </row>
    <row r="841" spans="1:13">
      <c r="A841" s="408">
        <v>43318</v>
      </c>
      <c r="B841" s="411">
        <v>2850.4</v>
      </c>
      <c r="C841" s="418">
        <f t="shared" si="132"/>
        <v>3.5382963367192044E-3</v>
      </c>
      <c r="D841" s="411">
        <v>54.42</v>
      </c>
      <c r="E841" s="418">
        <f t="shared" si="133"/>
        <v>2.948765204570547E-3</v>
      </c>
      <c r="F841" s="411">
        <v>2850.4</v>
      </c>
      <c r="G841" s="418">
        <f t="shared" si="134"/>
        <v>3.5382963367192044E-3</v>
      </c>
      <c r="H841" s="411">
        <v>54.42</v>
      </c>
      <c r="I841" s="418">
        <f t="shared" si="135"/>
        <v>2.948765204570547E-3</v>
      </c>
      <c r="J841" s="411"/>
      <c r="K841" s="388"/>
      <c r="M841" s="388"/>
    </row>
    <row r="842" spans="1:13">
      <c r="A842" s="408">
        <v>43315</v>
      </c>
      <c r="B842" s="411">
        <v>2840.35</v>
      </c>
      <c r="C842" s="418">
        <f t="shared" si="132"/>
        <v>4.6441380578801095E-3</v>
      </c>
      <c r="D842" s="411">
        <v>54.26</v>
      </c>
      <c r="E842" s="418">
        <f t="shared" si="133"/>
        <v>6.4923019847895613E-3</v>
      </c>
      <c r="F842" s="411">
        <v>2840.35</v>
      </c>
      <c r="G842" s="418">
        <f t="shared" si="134"/>
        <v>4.6441380578801095E-3</v>
      </c>
      <c r="H842" s="411">
        <v>54.26</v>
      </c>
      <c r="I842" s="418">
        <f t="shared" si="135"/>
        <v>6.4923019847895613E-3</v>
      </c>
      <c r="J842" s="411"/>
      <c r="K842" s="388"/>
      <c r="M842" s="388"/>
    </row>
    <row r="843" spans="1:13">
      <c r="A843" s="408">
        <v>43314</v>
      </c>
      <c r="B843" s="411">
        <v>2827.22</v>
      </c>
      <c r="C843" s="418">
        <f t="shared" si="132"/>
        <v>4.9264935877384453E-3</v>
      </c>
      <c r="D843" s="411">
        <v>53.91</v>
      </c>
      <c r="E843" s="418">
        <f t="shared" si="133"/>
        <v>5.9712632953907718E-3</v>
      </c>
      <c r="F843" s="411">
        <v>2827.22</v>
      </c>
      <c r="G843" s="418">
        <f t="shared" si="134"/>
        <v>4.9264935877384453E-3</v>
      </c>
      <c r="H843" s="411">
        <v>53.91</v>
      </c>
      <c r="I843" s="418">
        <f t="shared" si="135"/>
        <v>5.9712632953907718E-3</v>
      </c>
      <c r="J843" s="411"/>
      <c r="K843" s="388"/>
      <c r="M843" s="388"/>
    </row>
    <row r="844" spans="1:13">
      <c r="A844" s="408">
        <v>43313</v>
      </c>
      <c r="B844" s="411">
        <v>2813.36</v>
      </c>
      <c r="C844" s="418">
        <f t="shared" si="132"/>
        <v>-1.0403758135703045E-3</v>
      </c>
      <c r="D844" s="411">
        <v>53.59</v>
      </c>
      <c r="E844" s="418">
        <f t="shared" si="133"/>
        <v>-1.5251745681734596E-2</v>
      </c>
      <c r="F844" s="411">
        <v>2813.36</v>
      </c>
      <c r="G844" s="418">
        <f t="shared" si="134"/>
        <v>-1.0403758135703045E-3</v>
      </c>
      <c r="H844" s="411">
        <v>53.59</v>
      </c>
      <c r="I844" s="418">
        <f t="shared" si="135"/>
        <v>-1.5251745681734596E-2</v>
      </c>
      <c r="J844" s="411"/>
      <c r="K844" s="388"/>
      <c r="M844" s="388"/>
    </row>
    <row r="845" spans="1:13">
      <c r="A845" s="408">
        <v>43312</v>
      </c>
      <c r="B845" s="411">
        <v>2816.29</v>
      </c>
      <c r="C845" s="418">
        <f t="shared" si="132"/>
        <v>4.8847498751158902E-3</v>
      </c>
      <c r="D845" s="411">
        <v>54.42</v>
      </c>
      <c r="E845" s="418">
        <f t="shared" si="133"/>
        <v>1.1712214166202051E-2</v>
      </c>
      <c r="F845" s="411">
        <v>2816.29</v>
      </c>
      <c r="G845" s="418">
        <f t="shared" si="134"/>
        <v>4.8847498751158902E-3</v>
      </c>
      <c r="H845" s="411">
        <v>54.42</v>
      </c>
      <c r="I845" s="418">
        <f t="shared" si="135"/>
        <v>1.1712214166202051E-2</v>
      </c>
      <c r="J845" s="411"/>
      <c r="K845" s="388"/>
      <c r="M845" s="388"/>
    </row>
    <row r="846" spans="1:13">
      <c r="A846" s="408">
        <v>43311</v>
      </c>
      <c r="B846" s="411">
        <v>2802.6</v>
      </c>
      <c r="C846" s="418">
        <f t="shared" si="132"/>
        <v>-5.7541808274385042E-3</v>
      </c>
      <c r="D846" s="411">
        <v>53.79</v>
      </c>
      <c r="E846" s="418">
        <f t="shared" si="133"/>
        <v>-1.2302607418288702E-2</v>
      </c>
      <c r="F846" s="411">
        <v>2802.6</v>
      </c>
      <c r="G846" s="418">
        <f t="shared" si="134"/>
        <v>-5.7541808274385042E-3</v>
      </c>
      <c r="H846" s="411">
        <v>53.79</v>
      </c>
      <c r="I846" s="418">
        <f t="shared" si="135"/>
        <v>-1.2302607418288702E-2</v>
      </c>
      <c r="J846" s="411"/>
      <c r="K846" s="388"/>
      <c r="M846" s="388"/>
    </row>
    <row r="847" spans="1:13">
      <c r="A847" s="408">
        <v>43308</v>
      </c>
      <c r="B847" s="411">
        <v>2818.82</v>
      </c>
      <c r="C847" s="418">
        <f t="shared" si="132"/>
        <v>-6.5622532987481552E-3</v>
      </c>
      <c r="D847" s="411">
        <v>54.46</v>
      </c>
      <c r="E847" s="418">
        <f t="shared" si="133"/>
        <v>8.8921822897369829E-3</v>
      </c>
      <c r="F847" s="411">
        <v>2818.82</v>
      </c>
      <c r="G847" s="418">
        <f t="shared" si="134"/>
        <v>-6.5622532987481552E-3</v>
      </c>
      <c r="H847" s="411">
        <v>54.46</v>
      </c>
      <c r="I847" s="418">
        <f t="shared" si="135"/>
        <v>8.8921822897369829E-3</v>
      </c>
      <c r="J847" s="411"/>
      <c r="K847" s="388"/>
      <c r="M847" s="388"/>
    </row>
    <row r="848" spans="1:13">
      <c r="A848" s="408">
        <v>43307</v>
      </c>
      <c r="B848" s="411">
        <v>2837.44</v>
      </c>
      <c r="C848" s="418">
        <f t="shared" si="132"/>
        <v>-3.0322514906520048E-3</v>
      </c>
      <c r="D848" s="411">
        <v>53.98</v>
      </c>
      <c r="E848" s="418">
        <f t="shared" si="133"/>
        <v>4.4909020518776543E-2</v>
      </c>
      <c r="F848" s="411">
        <v>2837.44</v>
      </c>
      <c r="G848" s="418">
        <f t="shared" si="134"/>
        <v>-3.0322514906520048E-3</v>
      </c>
      <c r="H848" s="411">
        <v>53.98</v>
      </c>
      <c r="I848" s="418">
        <f t="shared" si="135"/>
        <v>4.4909020518776543E-2</v>
      </c>
      <c r="J848" s="411"/>
      <c r="K848" s="388"/>
      <c r="M848" s="388"/>
    </row>
    <row r="849" spans="1:13">
      <c r="A849" s="408">
        <v>43306</v>
      </c>
      <c r="B849" s="411">
        <v>2846.07</v>
      </c>
      <c r="C849" s="418">
        <f t="shared" si="132"/>
        <v>9.1015458800169924E-3</v>
      </c>
      <c r="D849" s="411">
        <v>51.66</v>
      </c>
      <c r="E849" s="418">
        <f t="shared" si="133"/>
        <v>-3.8699690402488329E-4</v>
      </c>
      <c r="F849" s="411">
        <v>2846.07</v>
      </c>
      <c r="G849" s="418">
        <f t="shared" si="134"/>
        <v>9.1015458800169924E-3</v>
      </c>
      <c r="H849" s="411">
        <v>51.66</v>
      </c>
      <c r="I849" s="418">
        <f t="shared" si="135"/>
        <v>-3.8699690402488329E-4</v>
      </c>
      <c r="J849" s="411"/>
      <c r="K849" s="388"/>
      <c r="M849" s="388"/>
    </row>
    <row r="850" spans="1:13">
      <c r="A850" s="408">
        <v>43305</v>
      </c>
      <c r="B850" s="411">
        <v>2820.4</v>
      </c>
      <c r="C850" s="418">
        <f t="shared" si="132"/>
        <v>4.7809389450583772E-3</v>
      </c>
      <c r="D850" s="411">
        <v>51.68</v>
      </c>
      <c r="E850" s="418">
        <f t="shared" si="133"/>
        <v>-1.071975497702915E-2</v>
      </c>
      <c r="F850" s="411">
        <v>2820.4</v>
      </c>
      <c r="G850" s="418">
        <f t="shared" si="134"/>
        <v>4.7809389450583772E-3</v>
      </c>
      <c r="H850" s="411">
        <v>51.68</v>
      </c>
      <c r="I850" s="418">
        <f t="shared" si="135"/>
        <v>-1.071975497702915E-2</v>
      </c>
      <c r="J850" s="411"/>
      <c r="K850" s="388"/>
      <c r="M850" s="388"/>
    </row>
    <row r="851" spans="1:13">
      <c r="A851" s="408">
        <v>43304</v>
      </c>
      <c r="B851" s="411">
        <v>2806.98</v>
      </c>
      <c r="C851" s="418">
        <f t="shared" si="132"/>
        <v>1.83808439484201E-3</v>
      </c>
      <c r="D851" s="411">
        <v>52.24</v>
      </c>
      <c r="E851" s="418">
        <f t="shared" si="133"/>
        <v>4.8086170417387386E-3</v>
      </c>
      <c r="F851" s="411">
        <v>2806.98</v>
      </c>
      <c r="G851" s="418">
        <f t="shared" si="134"/>
        <v>1.83808439484201E-3</v>
      </c>
      <c r="H851" s="411">
        <v>52.24</v>
      </c>
      <c r="I851" s="418">
        <f t="shared" si="135"/>
        <v>4.8086170417387386E-3</v>
      </c>
      <c r="J851" s="411"/>
      <c r="K851" s="388"/>
      <c r="M851" s="388"/>
    </row>
    <row r="852" spans="1:13">
      <c r="A852" s="408">
        <v>43301</v>
      </c>
      <c r="B852" s="411">
        <v>2801.83</v>
      </c>
      <c r="C852" s="418">
        <f t="shared" si="132"/>
        <v>-9.4847904610106948E-4</v>
      </c>
      <c r="D852" s="411">
        <v>51.99</v>
      </c>
      <c r="E852" s="418">
        <f t="shared" si="133"/>
        <v>-1.9056603773584868E-2</v>
      </c>
      <c r="F852" s="411">
        <v>2801.83</v>
      </c>
      <c r="G852" s="418">
        <f t="shared" si="134"/>
        <v>-9.4847904610106948E-4</v>
      </c>
      <c r="H852" s="411">
        <v>51.99</v>
      </c>
      <c r="I852" s="418">
        <f t="shared" si="135"/>
        <v>-1.9056603773584868E-2</v>
      </c>
      <c r="J852" s="411"/>
      <c r="K852" s="388"/>
      <c r="M852" s="388"/>
    </row>
    <row r="853" spans="1:13">
      <c r="A853" s="408">
        <v>43300</v>
      </c>
      <c r="B853" s="411">
        <v>2804.49</v>
      </c>
      <c r="C853" s="418">
        <f t="shared" si="132"/>
        <v>-3.9529481961344537E-3</v>
      </c>
      <c r="D853" s="411">
        <v>53</v>
      </c>
      <c r="E853" s="418">
        <f t="shared" si="133"/>
        <v>3.7878787878788955E-3</v>
      </c>
      <c r="F853" s="411">
        <v>2804.49</v>
      </c>
      <c r="G853" s="418">
        <f t="shared" si="134"/>
        <v>-3.9529481961344537E-3</v>
      </c>
      <c r="H853" s="411">
        <v>53</v>
      </c>
      <c r="I853" s="418">
        <f t="shared" si="135"/>
        <v>3.7878787878788955E-3</v>
      </c>
      <c r="J853" s="411"/>
      <c r="K853" s="388"/>
      <c r="M853" s="388"/>
    </row>
    <row r="854" spans="1:13">
      <c r="A854" s="408">
        <v>43299</v>
      </c>
      <c r="B854" s="411">
        <v>2815.62</v>
      </c>
      <c r="C854" s="418">
        <f t="shared" si="132"/>
        <v>2.1604883344306103E-3</v>
      </c>
      <c r="D854" s="411">
        <v>52.8</v>
      </c>
      <c r="E854" s="418">
        <f t="shared" si="133"/>
        <v>3.2459913961673692E-2</v>
      </c>
      <c r="F854" s="411">
        <v>2815.62</v>
      </c>
      <c r="G854" s="418">
        <f t="shared" si="134"/>
        <v>2.1604883344306103E-3</v>
      </c>
      <c r="H854" s="411">
        <v>52.8</v>
      </c>
      <c r="I854" s="418">
        <f t="shared" si="135"/>
        <v>3.2459913961673692E-2</v>
      </c>
      <c r="J854" s="411"/>
      <c r="K854" s="388"/>
      <c r="M854" s="388"/>
    </row>
    <row r="855" spans="1:13">
      <c r="A855" s="408">
        <v>43298</v>
      </c>
      <c r="B855" s="411">
        <v>2809.55</v>
      </c>
      <c r="C855" s="418">
        <f t="shared" si="132"/>
        <v>3.9736566574830601E-3</v>
      </c>
      <c r="D855" s="411">
        <v>51.14</v>
      </c>
      <c r="E855" s="418">
        <f t="shared" si="133"/>
        <v>9.2757055456877957E-3</v>
      </c>
      <c r="F855" s="411">
        <v>2809.55</v>
      </c>
      <c r="G855" s="418">
        <f t="shared" si="134"/>
        <v>3.9736566574830601E-3</v>
      </c>
      <c r="H855" s="411">
        <v>51.14</v>
      </c>
      <c r="I855" s="418">
        <f t="shared" si="135"/>
        <v>9.2757055456877957E-3</v>
      </c>
      <c r="J855" s="411"/>
      <c r="K855" s="388"/>
      <c r="M855" s="388"/>
    </row>
    <row r="856" spans="1:13">
      <c r="A856" s="408">
        <v>43297</v>
      </c>
      <c r="B856" s="411">
        <v>2798.43</v>
      </c>
      <c r="C856" s="418">
        <f t="shared" si="132"/>
        <v>-1.028090429120665E-3</v>
      </c>
      <c r="D856" s="411">
        <v>50.67</v>
      </c>
      <c r="E856" s="418">
        <f t="shared" si="133"/>
        <v>-1.9696671262556809E-3</v>
      </c>
      <c r="F856" s="411">
        <v>2798.43</v>
      </c>
      <c r="G856" s="418">
        <f t="shared" si="134"/>
        <v>-1.028090429120665E-3</v>
      </c>
      <c r="H856" s="411">
        <v>50.67</v>
      </c>
      <c r="I856" s="418">
        <f t="shared" si="135"/>
        <v>-1.9696671262556809E-3</v>
      </c>
      <c r="J856" s="411"/>
      <c r="K856" s="388"/>
      <c r="M856" s="388"/>
    </row>
    <row r="857" spans="1:13">
      <c r="A857" s="408">
        <v>43294</v>
      </c>
      <c r="B857" s="411">
        <v>2801.31</v>
      </c>
      <c r="C857" s="418">
        <f t="shared" si="132"/>
        <v>1.0792305300737493E-3</v>
      </c>
      <c r="D857" s="411">
        <v>50.77</v>
      </c>
      <c r="E857" s="418">
        <f t="shared" si="133"/>
        <v>7.8848807411802113E-4</v>
      </c>
      <c r="F857" s="411">
        <v>2801.31</v>
      </c>
      <c r="G857" s="418">
        <f t="shared" si="134"/>
        <v>1.0792305300737493E-3</v>
      </c>
      <c r="H857" s="411">
        <v>50.77</v>
      </c>
      <c r="I857" s="418">
        <f t="shared" si="135"/>
        <v>7.8848807411802113E-4</v>
      </c>
      <c r="J857" s="411"/>
      <c r="K857" s="388"/>
      <c r="M857" s="388"/>
    </row>
    <row r="858" spans="1:13">
      <c r="A858" s="408">
        <v>43293</v>
      </c>
      <c r="B858" s="411">
        <v>2798.29</v>
      </c>
      <c r="C858" s="418">
        <f t="shared" si="132"/>
        <v>8.7490356954889048E-3</v>
      </c>
      <c r="D858" s="411">
        <v>50.73</v>
      </c>
      <c r="E858" s="418">
        <f t="shared" si="133"/>
        <v>1.7857142857142794E-2</v>
      </c>
      <c r="F858" s="411">
        <v>2798.29</v>
      </c>
      <c r="G858" s="418">
        <f t="shared" si="134"/>
        <v>8.7490356954889048E-3</v>
      </c>
      <c r="H858" s="411">
        <v>50.73</v>
      </c>
      <c r="I858" s="418">
        <f t="shared" si="135"/>
        <v>1.7857142857142794E-2</v>
      </c>
      <c r="J858" s="411"/>
      <c r="K858" s="388"/>
      <c r="M858" s="388"/>
    </row>
    <row r="859" spans="1:13">
      <c r="A859" s="408">
        <v>43292</v>
      </c>
      <c r="B859" s="411">
        <v>2774.02</v>
      </c>
      <c r="C859" s="418">
        <f t="shared" si="132"/>
        <v>-7.0941786215388269E-3</v>
      </c>
      <c r="D859" s="411">
        <v>49.84</v>
      </c>
      <c r="E859" s="418">
        <f t="shared" si="133"/>
        <v>-1.5019762845849716E-2</v>
      </c>
      <c r="F859" s="411">
        <v>2774.02</v>
      </c>
      <c r="G859" s="418">
        <f t="shared" si="134"/>
        <v>-7.0941786215388269E-3</v>
      </c>
      <c r="H859" s="411">
        <v>49.84</v>
      </c>
      <c r="I859" s="418">
        <f t="shared" si="135"/>
        <v>-1.5019762845849716E-2</v>
      </c>
      <c r="J859" s="411"/>
      <c r="K859" s="388"/>
      <c r="M859" s="388"/>
    </row>
    <row r="860" spans="1:13">
      <c r="A860" s="408">
        <v>43291</v>
      </c>
      <c r="B860" s="411">
        <v>2793.84</v>
      </c>
      <c r="C860" s="418">
        <f t="shared" si="132"/>
        <v>3.4732074550045677E-3</v>
      </c>
      <c r="D860" s="411">
        <v>50.6</v>
      </c>
      <c r="E860" s="418">
        <f t="shared" si="133"/>
        <v>1.7818253811128226E-3</v>
      </c>
      <c r="F860" s="411">
        <v>2793.84</v>
      </c>
      <c r="G860" s="418">
        <f t="shared" si="134"/>
        <v>3.4732074550045677E-3</v>
      </c>
      <c r="H860" s="411">
        <v>50.6</v>
      </c>
      <c r="I860" s="418">
        <f t="shared" si="135"/>
        <v>1.7818253811128226E-3</v>
      </c>
      <c r="J860" s="411"/>
      <c r="K860" s="388"/>
      <c r="M860" s="388"/>
    </row>
    <row r="861" spans="1:13">
      <c r="A861" s="408">
        <v>43290</v>
      </c>
      <c r="B861" s="411">
        <v>2784.17</v>
      </c>
      <c r="C861" s="418">
        <f t="shared" si="132"/>
        <v>8.8230391837147426E-3</v>
      </c>
      <c r="D861" s="411">
        <v>50.51</v>
      </c>
      <c r="E861" s="418">
        <f t="shared" si="133"/>
        <v>1.8757563533682964E-2</v>
      </c>
      <c r="F861" s="411">
        <v>2784.17</v>
      </c>
      <c r="G861" s="418">
        <f t="shared" si="134"/>
        <v>8.8230391837147426E-3</v>
      </c>
      <c r="H861" s="411">
        <v>50.51</v>
      </c>
      <c r="I861" s="418">
        <f t="shared" si="135"/>
        <v>1.8757563533682964E-2</v>
      </c>
      <c r="J861" s="411"/>
      <c r="K861" s="388"/>
      <c r="M861" s="388"/>
    </row>
    <row r="862" spans="1:13">
      <c r="A862" s="408">
        <v>43287</v>
      </c>
      <c r="B862" s="411">
        <v>2759.82</v>
      </c>
      <c r="C862" s="418">
        <f t="shared" si="132"/>
        <v>8.4812962022355887E-3</v>
      </c>
      <c r="D862" s="411">
        <v>49.58</v>
      </c>
      <c r="E862" s="418">
        <f t="shared" si="133"/>
        <v>6.4961429151442207E-3</v>
      </c>
      <c r="F862" s="411">
        <v>2759.82</v>
      </c>
      <c r="G862" s="418">
        <f t="shared" si="134"/>
        <v>8.4812962022355887E-3</v>
      </c>
      <c r="H862" s="411">
        <v>49.58</v>
      </c>
      <c r="I862" s="418">
        <f t="shared" si="135"/>
        <v>6.4961429151442207E-3</v>
      </c>
      <c r="J862" s="411"/>
      <c r="K862" s="388"/>
      <c r="M862" s="388"/>
    </row>
    <row r="863" spans="1:13">
      <c r="A863" s="408">
        <v>43286</v>
      </c>
      <c r="B863" s="411">
        <v>2736.61</v>
      </c>
      <c r="C863" s="418">
        <f t="shared" si="132"/>
        <v>8.6207532009938692E-3</v>
      </c>
      <c r="D863" s="411">
        <v>49.26</v>
      </c>
      <c r="E863" s="418">
        <f t="shared" si="133"/>
        <v>9.8400984009838766E-3</v>
      </c>
      <c r="F863" s="411">
        <v>2736.61</v>
      </c>
      <c r="G863" s="418">
        <f t="shared" si="134"/>
        <v>8.6207532009938692E-3</v>
      </c>
      <c r="H863" s="411">
        <v>49.26</v>
      </c>
      <c r="I863" s="418">
        <f t="shared" si="135"/>
        <v>9.8400984009838766E-3</v>
      </c>
      <c r="J863" s="411"/>
      <c r="K863" s="388"/>
      <c r="M863" s="388"/>
    </row>
    <row r="864" spans="1:13">
      <c r="A864" s="408">
        <v>43284</v>
      </c>
      <c r="B864" s="411">
        <v>2713.22</v>
      </c>
      <c r="C864" s="418">
        <f t="shared" si="132"/>
        <v>-4.9473541374037699E-3</v>
      </c>
      <c r="D864" s="411">
        <v>48.78</v>
      </c>
      <c r="E864" s="418">
        <f t="shared" si="133"/>
        <v>-2.2836538461538436E-2</v>
      </c>
      <c r="F864" s="411">
        <v>2713.22</v>
      </c>
      <c r="G864" s="418">
        <f t="shared" si="134"/>
        <v>-4.9473541374037699E-3</v>
      </c>
      <c r="H864" s="411">
        <v>48.78</v>
      </c>
      <c r="I864" s="418">
        <f t="shared" si="135"/>
        <v>-2.2836538461538436E-2</v>
      </c>
      <c r="J864" s="411"/>
      <c r="K864" s="388"/>
      <c r="M864" s="388"/>
    </row>
    <row r="865" spans="1:13">
      <c r="A865" s="408">
        <v>43283</v>
      </c>
      <c r="B865" s="411">
        <v>2726.71</v>
      </c>
      <c r="C865" s="418">
        <f t="shared" si="132"/>
        <v>3.0680150237090142E-3</v>
      </c>
      <c r="D865" s="411">
        <v>49.92</v>
      </c>
      <c r="E865" s="418">
        <f t="shared" si="133"/>
        <v>7.6705692369802847E-3</v>
      </c>
      <c r="F865" s="411">
        <v>2726.71</v>
      </c>
      <c r="G865" s="418">
        <f t="shared" si="134"/>
        <v>3.0680150237090142E-3</v>
      </c>
      <c r="H865" s="411">
        <v>49.92</v>
      </c>
      <c r="I865" s="418">
        <f t="shared" si="135"/>
        <v>7.6705692369802847E-3</v>
      </c>
      <c r="J865" s="411"/>
      <c r="K865" s="388"/>
      <c r="M865" s="388"/>
    </row>
    <row r="866" spans="1:13">
      <c r="A866" s="408">
        <v>43280</v>
      </c>
      <c r="B866" s="411">
        <v>2718.37</v>
      </c>
      <c r="C866" s="418">
        <f t="shared" si="132"/>
        <v>7.5838177527609574E-4</v>
      </c>
      <c r="D866" s="411">
        <v>49.54</v>
      </c>
      <c r="E866" s="418">
        <f t="shared" si="133"/>
        <v>-5.2208835341365223E-3</v>
      </c>
      <c r="F866" s="411">
        <v>2718.37</v>
      </c>
      <c r="G866" s="418">
        <f t="shared" si="134"/>
        <v>7.5838177527609574E-4</v>
      </c>
      <c r="H866" s="411">
        <v>49.54</v>
      </c>
      <c r="I866" s="418">
        <f t="shared" si="135"/>
        <v>-5.2208835341365223E-3</v>
      </c>
      <c r="J866" s="411"/>
      <c r="K866" s="388"/>
      <c r="M866" s="388"/>
    </row>
    <row r="867" spans="1:13">
      <c r="A867" s="408">
        <v>43279</v>
      </c>
      <c r="B867" s="411">
        <v>2716.31</v>
      </c>
      <c r="C867" s="418">
        <f t="shared" si="132"/>
        <v>6.1786244781691924E-3</v>
      </c>
      <c r="D867" s="411">
        <v>49.8</v>
      </c>
      <c r="E867" s="418">
        <f t="shared" si="133"/>
        <v>-1.8039687312086938E-3</v>
      </c>
      <c r="F867" s="411">
        <v>2716.31</v>
      </c>
      <c r="G867" s="418">
        <f t="shared" si="134"/>
        <v>6.1786244781691924E-3</v>
      </c>
      <c r="H867" s="411">
        <v>49.8</v>
      </c>
      <c r="I867" s="418">
        <f t="shared" si="135"/>
        <v>-1.8039687312086938E-3</v>
      </c>
      <c r="J867" s="411"/>
      <c r="K867" s="388"/>
      <c r="M867" s="388"/>
    </row>
    <row r="868" spans="1:13">
      <c r="A868" s="408">
        <v>43278</v>
      </c>
      <c r="B868" s="411">
        <v>2699.63</v>
      </c>
      <c r="C868" s="418">
        <f t="shared" si="132"/>
        <v>-8.6042907611290076E-3</v>
      </c>
      <c r="D868" s="411">
        <v>49.89</v>
      </c>
      <c r="E868" s="418">
        <f t="shared" si="133"/>
        <v>-2.3105541413745878E-2</v>
      </c>
      <c r="F868" s="411">
        <v>2699.63</v>
      </c>
      <c r="G868" s="418">
        <f t="shared" si="134"/>
        <v>-8.6042907611290076E-3</v>
      </c>
      <c r="H868" s="411">
        <v>49.89</v>
      </c>
      <c r="I868" s="418">
        <f t="shared" si="135"/>
        <v>-2.3105541413745878E-2</v>
      </c>
      <c r="J868" s="411"/>
      <c r="K868" s="388"/>
      <c r="M868" s="388"/>
    </row>
    <row r="869" spans="1:13">
      <c r="A869" s="408">
        <v>43277</v>
      </c>
      <c r="B869" s="411">
        <v>2723.06</v>
      </c>
      <c r="C869" s="418">
        <f t="shared" si="132"/>
        <v>2.2045806696182613E-3</v>
      </c>
      <c r="D869" s="411">
        <v>51.07</v>
      </c>
      <c r="E869" s="418">
        <f t="shared" si="133"/>
        <v>-4.6774507893199146E-3</v>
      </c>
      <c r="F869" s="411">
        <v>2723.06</v>
      </c>
      <c r="G869" s="418">
        <f t="shared" si="134"/>
        <v>2.2045806696182613E-3</v>
      </c>
      <c r="H869" s="411">
        <v>51.07</v>
      </c>
      <c r="I869" s="418">
        <f t="shared" si="135"/>
        <v>-4.6774507893199146E-3</v>
      </c>
      <c r="J869" s="411"/>
      <c r="K869" s="388"/>
      <c r="M869" s="388"/>
    </row>
    <row r="870" spans="1:13">
      <c r="A870" s="408">
        <v>43276</v>
      </c>
      <c r="B870" s="411">
        <v>2717.07</v>
      </c>
      <c r="C870" s="418">
        <f t="shared" si="132"/>
        <v>-1.3724735741665661E-2</v>
      </c>
      <c r="D870" s="411">
        <v>51.31</v>
      </c>
      <c r="E870" s="418">
        <f t="shared" si="133"/>
        <v>-2.6745068285280671E-2</v>
      </c>
      <c r="F870" s="411">
        <v>2717.07</v>
      </c>
      <c r="G870" s="418">
        <f t="shared" si="134"/>
        <v>-1.3724735741665661E-2</v>
      </c>
      <c r="H870" s="411">
        <v>51.31</v>
      </c>
      <c r="I870" s="418">
        <f t="shared" si="135"/>
        <v>-2.6745068285280671E-2</v>
      </c>
      <c r="J870" s="411"/>
      <c r="K870" s="388"/>
      <c r="M870" s="388"/>
    </row>
    <row r="871" spans="1:13">
      <c r="A871" s="408">
        <v>43273</v>
      </c>
      <c r="B871" s="411">
        <v>2754.88</v>
      </c>
      <c r="C871" s="418">
        <f t="shared" si="132"/>
        <v>1.8619806819504259E-3</v>
      </c>
      <c r="D871" s="411">
        <v>52.72</v>
      </c>
      <c r="E871" s="418">
        <f t="shared" si="133"/>
        <v>-1.8797692164526314E-2</v>
      </c>
      <c r="F871" s="411">
        <v>2754.88</v>
      </c>
      <c r="G871" s="418">
        <f t="shared" si="134"/>
        <v>1.8619806819504259E-3</v>
      </c>
      <c r="H871" s="411">
        <v>52.72</v>
      </c>
      <c r="I871" s="418">
        <f t="shared" si="135"/>
        <v>-1.8797692164526314E-2</v>
      </c>
      <c r="J871" s="411"/>
      <c r="K871" s="388"/>
      <c r="M871" s="388"/>
    </row>
    <row r="872" spans="1:13">
      <c r="A872" s="408">
        <v>43272</v>
      </c>
      <c r="B872" s="411">
        <v>2749.76</v>
      </c>
      <c r="C872" s="418">
        <f t="shared" si="132"/>
        <v>-6.3454894988652644E-3</v>
      </c>
      <c r="D872" s="411">
        <v>53.73</v>
      </c>
      <c r="E872" s="418">
        <f t="shared" si="133"/>
        <v>-2.0430906389302672E-3</v>
      </c>
      <c r="F872" s="411">
        <v>2749.76</v>
      </c>
      <c r="G872" s="418">
        <f t="shared" si="134"/>
        <v>-6.3454894988652644E-3</v>
      </c>
      <c r="H872" s="411">
        <v>53.73</v>
      </c>
      <c r="I872" s="418">
        <f t="shared" si="135"/>
        <v>-2.0430906389302672E-3</v>
      </c>
      <c r="J872" s="411"/>
      <c r="K872" s="388"/>
      <c r="M872" s="388"/>
    </row>
    <row r="873" spans="1:13">
      <c r="A873" s="408">
        <v>43271</v>
      </c>
      <c r="B873" s="411">
        <v>2767.32</v>
      </c>
      <c r="C873" s="418">
        <f t="shared" si="132"/>
        <v>1.7121614137458607E-3</v>
      </c>
      <c r="D873" s="411">
        <v>53.84</v>
      </c>
      <c r="E873" s="418">
        <f t="shared" si="133"/>
        <v>1.1156563778356166E-3</v>
      </c>
      <c r="F873" s="411">
        <v>2767.32</v>
      </c>
      <c r="G873" s="418">
        <f t="shared" si="134"/>
        <v>1.7121614137458607E-3</v>
      </c>
      <c r="H873" s="411">
        <v>53.84</v>
      </c>
      <c r="I873" s="418">
        <f t="shared" si="135"/>
        <v>1.1156563778356166E-3</v>
      </c>
      <c r="J873" s="411"/>
      <c r="K873" s="388"/>
      <c r="M873" s="388"/>
    </row>
    <row r="874" spans="1:13">
      <c r="A874" s="408">
        <v>43270</v>
      </c>
      <c r="B874" s="411">
        <v>2762.59</v>
      </c>
      <c r="C874" s="418">
        <f t="shared" si="132"/>
        <v>-4.0234339792698526E-3</v>
      </c>
      <c r="D874" s="411">
        <v>53.78</v>
      </c>
      <c r="E874" s="418">
        <f t="shared" si="133"/>
        <v>-1.8613138686131347E-2</v>
      </c>
      <c r="F874" s="411">
        <v>2762.59</v>
      </c>
      <c r="G874" s="418">
        <f t="shared" si="134"/>
        <v>-4.0234339792698526E-3</v>
      </c>
      <c r="H874" s="411">
        <v>53.78</v>
      </c>
      <c r="I874" s="418">
        <f t="shared" si="135"/>
        <v>-1.8613138686131347E-2</v>
      </c>
      <c r="J874" s="411"/>
      <c r="K874" s="388"/>
      <c r="M874" s="388"/>
    </row>
    <row r="875" spans="1:13">
      <c r="A875" s="408">
        <v>43269</v>
      </c>
      <c r="B875" s="411">
        <v>2773.75</v>
      </c>
      <c r="C875" s="418">
        <f t="shared" si="132"/>
        <v>-2.1261593144484836E-3</v>
      </c>
      <c r="D875" s="411">
        <v>54.8</v>
      </c>
      <c r="E875" s="418">
        <f t="shared" si="133"/>
        <v>-6.8865530989489221E-3</v>
      </c>
      <c r="F875" s="411">
        <v>2773.75</v>
      </c>
      <c r="G875" s="418">
        <f t="shared" si="134"/>
        <v>-2.1261593144484836E-3</v>
      </c>
      <c r="H875" s="411">
        <v>54.8</v>
      </c>
      <c r="I875" s="418">
        <f t="shared" si="135"/>
        <v>-6.8865530989489221E-3</v>
      </c>
      <c r="J875" s="411"/>
      <c r="K875" s="388"/>
      <c r="M875" s="388"/>
    </row>
    <row r="876" spans="1:13">
      <c r="A876" s="408">
        <v>43266</v>
      </c>
      <c r="B876" s="411">
        <v>2779.66</v>
      </c>
      <c r="C876" s="418">
        <f t="shared" si="132"/>
        <v>-1.0170746345898873E-3</v>
      </c>
      <c r="D876" s="411">
        <v>55.18</v>
      </c>
      <c r="E876" s="418">
        <f t="shared" si="133"/>
        <v>5.1001821493625865E-3</v>
      </c>
      <c r="F876" s="411">
        <v>2779.66</v>
      </c>
      <c r="G876" s="418">
        <f t="shared" si="134"/>
        <v>-1.0170746345898873E-3</v>
      </c>
      <c r="H876" s="411">
        <v>55.18</v>
      </c>
      <c r="I876" s="418">
        <f t="shared" si="135"/>
        <v>5.1001821493625865E-3</v>
      </c>
      <c r="J876" s="411"/>
      <c r="K876" s="388"/>
      <c r="M876" s="388"/>
    </row>
    <row r="877" spans="1:13">
      <c r="A877" s="408">
        <v>43265</v>
      </c>
      <c r="B877" s="411">
        <v>2782.49</v>
      </c>
      <c r="C877" s="418">
        <f t="shared" si="132"/>
        <v>2.4715109722837081E-3</v>
      </c>
      <c r="D877" s="411">
        <v>54.9</v>
      </c>
      <c r="E877" s="418">
        <f t="shared" si="133"/>
        <v>4.5745654162854255E-3</v>
      </c>
      <c r="F877" s="411">
        <v>2782.49</v>
      </c>
      <c r="G877" s="418">
        <f t="shared" si="134"/>
        <v>2.4715109722837081E-3</v>
      </c>
      <c r="H877" s="411">
        <v>54.9</v>
      </c>
      <c r="I877" s="418">
        <f t="shared" si="135"/>
        <v>4.5745654162854255E-3</v>
      </c>
      <c r="J877" s="411"/>
      <c r="K877" s="388"/>
      <c r="M877" s="388"/>
    </row>
    <row r="878" spans="1:13">
      <c r="A878" s="408">
        <v>43264</v>
      </c>
      <c r="B878" s="411">
        <v>2775.63</v>
      </c>
      <c r="C878" s="418">
        <f t="shared" si="132"/>
        <v>-4.0260509177026949E-3</v>
      </c>
      <c r="D878" s="411">
        <v>54.65</v>
      </c>
      <c r="E878" s="418">
        <f t="shared" si="133"/>
        <v>1.8331805682860747E-3</v>
      </c>
      <c r="F878" s="411">
        <v>2775.63</v>
      </c>
      <c r="G878" s="418">
        <f t="shared" si="134"/>
        <v>-4.0260509177026949E-3</v>
      </c>
      <c r="H878" s="411">
        <v>54.65</v>
      </c>
      <c r="I878" s="418">
        <f t="shared" si="135"/>
        <v>1.8331805682860747E-3</v>
      </c>
      <c r="J878" s="411"/>
      <c r="K878" s="388"/>
      <c r="M878" s="388"/>
    </row>
    <row r="879" spans="1:13">
      <c r="A879" s="408">
        <v>43263</v>
      </c>
      <c r="B879" s="411">
        <v>2786.85</v>
      </c>
      <c r="C879" s="418">
        <f t="shared" si="132"/>
        <v>1.7433501078361058E-3</v>
      </c>
      <c r="D879" s="411">
        <v>54.55</v>
      </c>
      <c r="E879" s="418">
        <f t="shared" si="133"/>
        <v>-6.1942065950082448E-3</v>
      </c>
      <c r="F879" s="411">
        <v>2786.85</v>
      </c>
      <c r="G879" s="418">
        <f t="shared" si="134"/>
        <v>1.7433501078361058E-3</v>
      </c>
      <c r="H879" s="411">
        <v>54.55</v>
      </c>
      <c r="I879" s="418">
        <f t="shared" si="135"/>
        <v>-6.1942065950082448E-3</v>
      </c>
      <c r="J879" s="411"/>
      <c r="K879" s="388"/>
      <c r="M879" s="388"/>
    </row>
    <row r="880" spans="1:13">
      <c r="A880" s="408">
        <v>43262</v>
      </c>
      <c r="B880" s="411">
        <v>2782</v>
      </c>
      <c r="C880" s="418">
        <f t="shared" si="132"/>
        <v>1.0687182218256375E-3</v>
      </c>
      <c r="D880" s="411">
        <v>54.89</v>
      </c>
      <c r="E880" s="418">
        <f t="shared" si="133"/>
        <v>1.4790164540580353E-2</v>
      </c>
      <c r="F880" s="411">
        <v>2782</v>
      </c>
      <c r="G880" s="418">
        <f t="shared" si="134"/>
        <v>1.0687182218256375E-3</v>
      </c>
      <c r="H880" s="411">
        <v>54.89</v>
      </c>
      <c r="I880" s="418">
        <f t="shared" si="135"/>
        <v>1.4790164540580353E-2</v>
      </c>
      <c r="J880" s="411"/>
      <c r="K880" s="388"/>
      <c r="M880" s="388"/>
    </row>
    <row r="881" spans="1:13">
      <c r="A881" s="408">
        <v>43259</v>
      </c>
      <c r="B881" s="411">
        <v>2779.03</v>
      </c>
      <c r="C881" s="418">
        <f t="shared" si="132"/>
        <v>3.1259362467830343E-3</v>
      </c>
      <c r="D881" s="411">
        <v>54.09</v>
      </c>
      <c r="E881" s="418">
        <f t="shared" si="133"/>
        <v>1.1784511784511897E-2</v>
      </c>
      <c r="F881" s="411">
        <v>2779.03</v>
      </c>
      <c r="G881" s="418">
        <f t="shared" si="134"/>
        <v>3.1259362467830343E-3</v>
      </c>
      <c r="H881" s="411">
        <v>54.09</v>
      </c>
      <c r="I881" s="418">
        <f t="shared" si="135"/>
        <v>1.1784511784511897E-2</v>
      </c>
      <c r="J881" s="411"/>
      <c r="K881" s="388"/>
      <c r="M881" s="388"/>
    </row>
    <row r="882" spans="1:13">
      <c r="A882" s="408">
        <v>43258</v>
      </c>
      <c r="B882" s="411">
        <v>2770.37</v>
      </c>
      <c r="C882" s="418">
        <f t="shared" si="132"/>
        <v>-7.1419553808138581E-4</v>
      </c>
      <c r="D882" s="411">
        <v>53.46</v>
      </c>
      <c r="E882" s="418">
        <f t="shared" si="133"/>
        <v>-1.3106885730108986E-2</v>
      </c>
      <c r="F882" s="411">
        <v>2770.37</v>
      </c>
      <c r="G882" s="418">
        <f t="shared" si="134"/>
        <v>-7.1419553808138581E-4</v>
      </c>
      <c r="H882" s="411">
        <v>53.46</v>
      </c>
      <c r="I882" s="418">
        <f t="shared" si="135"/>
        <v>-1.3106885730108986E-2</v>
      </c>
      <c r="J882" s="411"/>
      <c r="K882" s="388"/>
      <c r="M882" s="388"/>
    </row>
    <row r="883" spans="1:13">
      <c r="A883" s="408">
        <v>43257</v>
      </c>
      <c r="B883" s="411">
        <v>2772.35</v>
      </c>
      <c r="C883" s="418">
        <f t="shared" si="132"/>
        <v>8.5673748544818906E-3</v>
      </c>
      <c r="D883" s="411">
        <v>54.17</v>
      </c>
      <c r="E883" s="418">
        <f t="shared" si="133"/>
        <v>-9.1457837936711472E-3</v>
      </c>
      <c r="F883" s="411">
        <v>2772.35</v>
      </c>
      <c r="G883" s="418">
        <f t="shared" si="134"/>
        <v>8.5673748544818906E-3</v>
      </c>
      <c r="H883" s="411">
        <v>54.17</v>
      </c>
      <c r="I883" s="418">
        <f t="shared" si="135"/>
        <v>-9.1457837936711472E-3</v>
      </c>
      <c r="J883" s="411"/>
      <c r="K883" s="388"/>
      <c r="M883" s="388"/>
    </row>
    <row r="884" spans="1:13">
      <c r="A884" s="408">
        <v>43256</v>
      </c>
      <c r="B884" s="411">
        <v>2748.8</v>
      </c>
      <c r="C884" s="418">
        <f t="shared" si="132"/>
        <v>7.0261788872438835E-4</v>
      </c>
      <c r="D884" s="411">
        <v>54.67</v>
      </c>
      <c r="E884" s="418">
        <f t="shared" si="133"/>
        <v>-9.4219967385394954E-3</v>
      </c>
      <c r="F884" s="411">
        <v>2748.8</v>
      </c>
      <c r="G884" s="418">
        <f t="shared" si="134"/>
        <v>7.0261788872438835E-4</v>
      </c>
      <c r="H884" s="411">
        <v>54.67</v>
      </c>
      <c r="I884" s="418">
        <f t="shared" si="135"/>
        <v>-9.4219967385394954E-3</v>
      </c>
      <c r="J884" s="411"/>
      <c r="K884" s="388"/>
      <c r="M884" s="388"/>
    </row>
    <row r="885" spans="1:13">
      <c r="A885" s="408">
        <v>43255</v>
      </c>
      <c r="B885" s="411">
        <v>2746.87</v>
      </c>
      <c r="C885" s="418">
        <f t="shared" si="132"/>
        <v>4.4795986279628774E-3</v>
      </c>
      <c r="D885" s="411">
        <v>55.19</v>
      </c>
      <c r="E885" s="418">
        <f t="shared" si="133"/>
        <v>1.414920984932011E-2</v>
      </c>
      <c r="F885" s="411">
        <v>2746.87</v>
      </c>
      <c r="G885" s="418">
        <f t="shared" si="134"/>
        <v>4.4795986279628774E-3</v>
      </c>
      <c r="H885" s="411">
        <v>55.19</v>
      </c>
      <c r="I885" s="418">
        <f t="shared" si="135"/>
        <v>1.414920984932011E-2</v>
      </c>
      <c r="J885" s="411"/>
      <c r="K885" s="388"/>
      <c r="M885" s="388"/>
    </row>
    <row r="886" spans="1:13">
      <c r="A886" s="408">
        <v>43252</v>
      </c>
      <c r="B886" s="411">
        <v>2734.62</v>
      </c>
      <c r="C886" s="418">
        <f t="shared" si="132"/>
        <v>1.0849194350286639E-2</v>
      </c>
      <c r="D886" s="411">
        <v>54.42</v>
      </c>
      <c r="E886" s="418">
        <f t="shared" si="133"/>
        <v>6.8455134135061435E-3</v>
      </c>
      <c r="F886" s="411">
        <v>2734.62</v>
      </c>
      <c r="G886" s="418">
        <f t="shared" si="134"/>
        <v>1.0849194350286639E-2</v>
      </c>
      <c r="H886" s="411">
        <v>54.42</v>
      </c>
      <c r="I886" s="418">
        <f t="shared" si="135"/>
        <v>6.8455134135061435E-3</v>
      </c>
      <c r="J886" s="411"/>
      <c r="K886" s="388"/>
      <c r="M886" s="388"/>
    </row>
    <row r="887" spans="1:13">
      <c r="A887" s="408">
        <v>43251</v>
      </c>
      <c r="B887" s="411">
        <v>2705.27</v>
      </c>
      <c r="C887" s="418">
        <f t="shared" si="132"/>
        <v>-6.8795635845684266E-3</v>
      </c>
      <c r="D887" s="411">
        <v>54.05</v>
      </c>
      <c r="E887" s="418">
        <f t="shared" si="133"/>
        <v>-4.7873319830602501E-3</v>
      </c>
      <c r="F887" s="411">
        <v>2705.27</v>
      </c>
      <c r="G887" s="418">
        <f t="shared" si="134"/>
        <v>-6.8795635845684266E-3</v>
      </c>
      <c r="H887" s="411">
        <v>54.05</v>
      </c>
      <c r="I887" s="418">
        <f t="shared" si="135"/>
        <v>-4.7873319830602501E-3</v>
      </c>
      <c r="J887" s="411"/>
      <c r="K887" s="388"/>
      <c r="M887" s="388"/>
    </row>
    <row r="888" spans="1:13">
      <c r="A888" s="408">
        <v>43250</v>
      </c>
      <c r="B888" s="411">
        <v>2724.01</v>
      </c>
      <c r="C888" s="418">
        <f t="shared" si="132"/>
        <v>1.269582803565994E-2</v>
      </c>
      <c r="D888" s="411">
        <v>54.31</v>
      </c>
      <c r="E888" s="418">
        <f t="shared" si="133"/>
        <v>1.4751982297622757E-3</v>
      </c>
      <c r="F888" s="411">
        <v>2724.01</v>
      </c>
      <c r="G888" s="418">
        <f t="shared" si="134"/>
        <v>1.269582803565994E-2</v>
      </c>
      <c r="H888" s="411">
        <v>54.31</v>
      </c>
      <c r="I888" s="418">
        <f t="shared" si="135"/>
        <v>1.4751982297622757E-3</v>
      </c>
      <c r="J888" s="411"/>
      <c r="K888" s="388"/>
      <c r="M888" s="388"/>
    </row>
    <row r="889" spans="1:13">
      <c r="A889" s="408">
        <v>43249</v>
      </c>
      <c r="B889" s="411">
        <v>2689.86</v>
      </c>
      <c r="C889" s="418">
        <f t="shared" si="132"/>
        <v>-1.1564198388288038E-2</v>
      </c>
      <c r="D889" s="411">
        <v>54.23</v>
      </c>
      <c r="E889" s="418">
        <f t="shared" si="133"/>
        <v>-2.9353857168426756E-2</v>
      </c>
      <c r="F889" s="411">
        <v>2689.86</v>
      </c>
      <c r="G889" s="418">
        <f t="shared" si="134"/>
        <v>-1.1564198388288038E-2</v>
      </c>
      <c r="H889" s="411">
        <v>54.23</v>
      </c>
      <c r="I889" s="418">
        <f t="shared" si="135"/>
        <v>-2.9353857168426756E-2</v>
      </c>
      <c r="J889" s="411"/>
      <c r="K889" s="388"/>
      <c r="M889" s="388"/>
    </row>
    <row r="890" spans="1:13">
      <c r="A890" s="408">
        <v>43245</v>
      </c>
      <c r="B890" s="411">
        <v>2721.33</v>
      </c>
      <c r="C890" s="418">
        <f t="shared" si="132"/>
        <v>-2.357245505469785E-3</v>
      </c>
      <c r="D890" s="411">
        <v>55.87</v>
      </c>
      <c r="E890" s="418">
        <f t="shared" si="133"/>
        <v>2.7022058823529482E-2</v>
      </c>
      <c r="F890" s="411">
        <v>2721.33</v>
      </c>
      <c r="G890" s="418">
        <f t="shared" si="134"/>
        <v>-2.357245505469785E-3</v>
      </c>
      <c r="H890" s="411">
        <v>55.87</v>
      </c>
      <c r="I890" s="418">
        <f t="shared" si="135"/>
        <v>2.7022058823529482E-2</v>
      </c>
      <c r="J890" s="411"/>
      <c r="K890" s="388"/>
      <c r="M890" s="388"/>
    </row>
    <row r="891" spans="1:13">
      <c r="A891" s="408">
        <v>43244</v>
      </c>
      <c r="B891" s="411">
        <v>2727.76</v>
      </c>
      <c r="C891" s="418">
        <f t="shared" si="132"/>
        <v>-2.0232028068736252E-3</v>
      </c>
      <c r="D891" s="411">
        <v>54.4</v>
      </c>
      <c r="E891" s="418">
        <f t="shared" si="133"/>
        <v>1.8726591760299671E-2</v>
      </c>
      <c r="F891" s="411">
        <v>2727.76</v>
      </c>
      <c r="G891" s="418">
        <f t="shared" si="134"/>
        <v>-2.0232028068736252E-3</v>
      </c>
      <c r="H891" s="411">
        <v>54.4</v>
      </c>
      <c r="I891" s="418">
        <f t="shared" si="135"/>
        <v>1.8726591760299671E-2</v>
      </c>
      <c r="J891" s="411"/>
      <c r="K891" s="388"/>
      <c r="M891" s="388"/>
    </row>
    <row r="892" spans="1:13">
      <c r="A892" s="408">
        <v>43243</v>
      </c>
      <c r="B892" s="411">
        <v>2733.29</v>
      </c>
      <c r="C892" s="418">
        <f t="shared" si="132"/>
        <v>3.248373977771557E-3</v>
      </c>
      <c r="D892" s="411">
        <v>53.4</v>
      </c>
      <c r="E892" s="418">
        <f t="shared" si="133"/>
        <v>-2.2421524663678305E-3</v>
      </c>
      <c r="F892" s="411">
        <v>2733.29</v>
      </c>
      <c r="G892" s="418">
        <f t="shared" si="134"/>
        <v>3.248373977771557E-3</v>
      </c>
      <c r="H892" s="411">
        <v>53.4</v>
      </c>
      <c r="I892" s="418">
        <f t="shared" si="135"/>
        <v>-2.2421524663678305E-3</v>
      </c>
      <c r="J892" s="411"/>
      <c r="K892" s="388"/>
      <c r="M892" s="388"/>
    </row>
    <row r="893" spans="1:13">
      <c r="A893" s="408">
        <v>43242</v>
      </c>
      <c r="B893" s="411">
        <v>2724.44</v>
      </c>
      <c r="C893" s="418">
        <f t="shared" si="132"/>
        <v>-3.1357367883761977E-3</v>
      </c>
      <c r="D893" s="411">
        <v>53.52</v>
      </c>
      <c r="E893" s="418">
        <f t="shared" si="133"/>
        <v>-8.5216746943310717E-3</v>
      </c>
      <c r="F893" s="411">
        <v>2724.44</v>
      </c>
      <c r="G893" s="418">
        <f t="shared" si="134"/>
        <v>-3.1357367883761977E-3</v>
      </c>
      <c r="H893" s="411">
        <v>53.52</v>
      </c>
      <c r="I893" s="418">
        <f t="shared" si="135"/>
        <v>-8.5216746943310717E-3</v>
      </c>
      <c r="J893" s="411"/>
      <c r="K893" s="388"/>
      <c r="M893" s="388"/>
    </row>
    <row r="894" spans="1:13">
      <c r="A894" s="408">
        <v>43241</v>
      </c>
      <c r="B894" s="411">
        <v>2733.01</v>
      </c>
      <c r="C894" s="418">
        <f t="shared" si="132"/>
        <v>7.386738519040259E-3</v>
      </c>
      <c r="D894" s="411">
        <v>53.98</v>
      </c>
      <c r="E894" s="418">
        <f t="shared" si="133"/>
        <v>1.9452313503304897E-2</v>
      </c>
      <c r="F894" s="411">
        <v>2733.01</v>
      </c>
      <c r="G894" s="418">
        <f t="shared" si="134"/>
        <v>7.386738519040259E-3</v>
      </c>
      <c r="H894" s="411">
        <v>53.98</v>
      </c>
      <c r="I894" s="418">
        <f t="shared" si="135"/>
        <v>1.9452313503304897E-2</v>
      </c>
      <c r="J894" s="411"/>
      <c r="K894" s="388"/>
      <c r="M894" s="388"/>
    </row>
    <row r="895" spans="1:13">
      <c r="A895" s="408">
        <v>43238</v>
      </c>
      <c r="B895" s="411">
        <v>2712.97</v>
      </c>
      <c r="C895" s="418">
        <f t="shared" si="132"/>
        <v>-2.6322271362031469E-3</v>
      </c>
      <c r="D895" s="411">
        <v>52.95</v>
      </c>
      <c r="E895" s="418">
        <f t="shared" si="133"/>
        <v>-2.8248587570620654E-3</v>
      </c>
      <c r="F895" s="411">
        <v>2712.97</v>
      </c>
      <c r="G895" s="418">
        <f t="shared" si="134"/>
        <v>-2.6322271362031469E-3</v>
      </c>
      <c r="H895" s="411">
        <v>52.95</v>
      </c>
      <c r="I895" s="418">
        <f t="shared" si="135"/>
        <v>-2.8248587570620654E-3</v>
      </c>
      <c r="J895" s="411"/>
      <c r="K895" s="388"/>
      <c r="M895" s="388"/>
    </row>
    <row r="896" spans="1:13">
      <c r="A896" s="408">
        <v>43237</v>
      </c>
      <c r="B896" s="411">
        <v>2720.13</v>
      </c>
      <c r="C896" s="418">
        <f t="shared" si="132"/>
        <v>-8.5584361202728498E-4</v>
      </c>
      <c r="D896" s="411">
        <v>53.1</v>
      </c>
      <c r="E896" s="418">
        <f t="shared" si="133"/>
        <v>-7.1054599850410849E-3</v>
      </c>
      <c r="F896" s="411">
        <v>2720.13</v>
      </c>
      <c r="G896" s="418">
        <f t="shared" si="134"/>
        <v>-8.5584361202728498E-4</v>
      </c>
      <c r="H896" s="411">
        <v>53.1</v>
      </c>
      <c r="I896" s="418">
        <f t="shared" si="135"/>
        <v>-7.1054599850410849E-3</v>
      </c>
      <c r="J896" s="411"/>
      <c r="K896" s="388"/>
      <c r="M896" s="388"/>
    </row>
    <row r="897" spans="1:13">
      <c r="A897" s="408">
        <v>43236</v>
      </c>
      <c r="B897" s="411">
        <v>2722.46</v>
      </c>
      <c r="C897" s="418">
        <f t="shared" si="132"/>
        <v>4.060558004020054E-3</v>
      </c>
      <c r="D897" s="411">
        <v>53.48</v>
      </c>
      <c r="E897" s="418">
        <f t="shared" si="133"/>
        <v>2.1195340843994659E-2</v>
      </c>
      <c r="F897" s="411">
        <v>2722.46</v>
      </c>
      <c r="G897" s="418">
        <f t="shared" si="134"/>
        <v>4.060558004020054E-3</v>
      </c>
      <c r="H897" s="411">
        <v>53.48</v>
      </c>
      <c r="I897" s="418">
        <f t="shared" si="135"/>
        <v>2.1195340843994659E-2</v>
      </c>
      <c r="J897" s="411"/>
      <c r="K897" s="388"/>
      <c r="M897" s="388"/>
    </row>
    <row r="898" spans="1:13">
      <c r="A898" s="408">
        <v>43235</v>
      </c>
      <c r="B898" s="411">
        <v>2711.45</v>
      </c>
      <c r="C898" s="418">
        <f t="shared" si="132"/>
        <v>-6.8421650251088151E-3</v>
      </c>
      <c r="D898" s="411">
        <v>52.37</v>
      </c>
      <c r="E898" s="418">
        <f t="shared" si="133"/>
        <v>5.375311960069018E-3</v>
      </c>
      <c r="F898" s="411">
        <v>2711.45</v>
      </c>
      <c r="G898" s="418">
        <f t="shared" si="134"/>
        <v>-6.8421650251088151E-3</v>
      </c>
      <c r="H898" s="411">
        <v>52.37</v>
      </c>
      <c r="I898" s="418">
        <f t="shared" si="135"/>
        <v>5.375311960069018E-3</v>
      </c>
      <c r="J898" s="411"/>
      <c r="K898" s="388"/>
      <c r="M898" s="388"/>
    </row>
    <row r="899" spans="1:13">
      <c r="A899" s="408">
        <v>43234</v>
      </c>
      <c r="B899" s="411">
        <v>2730.13</v>
      </c>
      <c r="C899" s="418">
        <f t="shared" si="132"/>
        <v>8.8352176909656244E-4</v>
      </c>
      <c r="D899" s="411">
        <v>52.09</v>
      </c>
      <c r="E899" s="418">
        <f t="shared" si="133"/>
        <v>-1.5311909262759826E-2</v>
      </c>
      <c r="F899" s="411">
        <v>2730.13</v>
      </c>
      <c r="G899" s="418">
        <f t="shared" si="134"/>
        <v>8.8352176909656244E-4</v>
      </c>
      <c r="H899" s="411">
        <v>52.09</v>
      </c>
      <c r="I899" s="418">
        <f t="shared" si="135"/>
        <v>-1.5311909262759826E-2</v>
      </c>
      <c r="J899" s="411"/>
      <c r="K899" s="388"/>
      <c r="M899" s="388"/>
    </row>
    <row r="900" spans="1:13">
      <c r="A900" s="408">
        <v>43231</v>
      </c>
      <c r="B900" s="411">
        <v>2727.72</v>
      </c>
      <c r="C900" s="418">
        <f t="shared" si="132"/>
        <v>1.7076314600799058E-3</v>
      </c>
      <c r="D900" s="411">
        <v>52.9</v>
      </c>
      <c r="E900" s="418">
        <f t="shared" si="133"/>
        <v>1.6135228582404793E-2</v>
      </c>
      <c r="F900" s="411">
        <v>2727.72</v>
      </c>
      <c r="G900" s="418">
        <f t="shared" si="134"/>
        <v>1.7076314600799058E-3</v>
      </c>
      <c r="H900" s="411">
        <v>52.9</v>
      </c>
      <c r="I900" s="418">
        <f t="shared" si="135"/>
        <v>1.6135228582404793E-2</v>
      </c>
      <c r="J900" s="411"/>
      <c r="K900" s="388"/>
      <c r="M900" s="388"/>
    </row>
    <row r="901" spans="1:13">
      <c r="A901" s="408">
        <v>43230</v>
      </c>
      <c r="B901" s="411">
        <v>2723.07</v>
      </c>
      <c r="C901" s="418">
        <f t="shared" si="132"/>
        <v>9.3706329996035009E-3</v>
      </c>
      <c r="D901" s="411">
        <v>52.06</v>
      </c>
      <c r="E901" s="418">
        <f t="shared" si="133"/>
        <v>8.523827973653697E-3</v>
      </c>
      <c r="F901" s="411">
        <v>2723.07</v>
      </c>
      <c r="G901" s="418">
        <f t="shared" si="134"/>
        <v>9.3706329996035009E-3</v>
      </c>
      <c r="H901" s="411">
        <v>52.06</v>
      </c>
      <c r="I901" s="418">
        <f t="shared" si="135"/>
        <v>8.523827973653697E-3</v>
      </c>
      <c r="J901" s="411"/>
      <c r="K901" s="388"/>
      <c r="M901" s="388"/>
    </row>
    <row r="902" spans="1:13">
      <c r="A902" s="408">
        <v>43229</v>
      </c>
      <c r="B902" s="411">
        <v>2697.79</v>
      </c>
      <c r="C902" s="418">
        <f t="shared" si="132"/>
        <v>9.682176113057217E-3</v>
      </c>
      <c r="D902" s="411">
        <v>51.62</v>
      </c>
      <c r="E902" s="418">
        <f t="shared" si="133"/>
        <v>-1.4321176245942313E-2</v>
      </c>
      <c r="F902" s="411">
        <v>2697.79</v>
      </c>
      <c r="G902" s="418">
        <f t="shared" si="134"/>
        <v>9.682176113057217E-3</v>
      </c>
      <c r="H902" s="411">
        <v>51.62</v>
      </c>
      <c r="I902" s="418">
        <f t="shared" si="135"/>
        <v>-1.4321176245942313E-2</v>
      </c>
      <c r="J902" s="411"/>
      <c r="K902" s="388"/>
      <c r="M902" s="388"/>
    </row>
    <row r="903" spans="1:13">
      <c r="A903" s="408">
        <v>43228</v>
      </c>
      <c r="B903" s="411">
        <v>2671.92</v>
      </c>
      <c r="C903" s="418">
        <f t="shared" si="132"/>
        <v>-2.6565592693339468E-4</v>
      </c>
      <c r="D903" s="411">
        <v>52.37</v>
      </c>
      <c r="E903" s="418">
        <f t="shared" si="133"/>
        <v>9.0558766859345496E-3</v>
      </c>
      <c r="F903" s="411">
        <v>2671.92</v>
      </c>
      <c r="G903" s="418">
        <f t="shared" si="134"/>
        <v>-2.6565592693339468E-4</v>
      </c>
      <c r="H903" s="411">
        <v>52.37</v>
      </c>
      <c r="I903" s="418">
        <f t="shared" si="135"/>
        <v>9.0558766859345496E-3</v>
      </c>
      <c r="J903" s="411"/>
      <c r="K903" s="388"/>
      <c r="M903" s="388"/>
    </row>
    <row r="904" spans="1:13">
      <c r="A904" s="408">
        <v>43227</v>
      </c>
      <c r="B904" s="411">
        <v>2672.63</v>
      </c>
      <c r="C904" s="418">
        <f t="shared" ref="C904:C967" si="136">B904/B905-1</f>
        <v>3.4579600663808829E-3</v>
      </c>
      <c r="D904" s="411">
        <v>51.9</v>
      </c>
      <c r="E904" s="418">
        <f t="shared" ref="E904:E967" si="137">D904/D905-1</f>
        <v>-8.4065724111579421E-3</v>
      </c>
      <c r="F904" s="411">
        <v>2672.63</v>
      </c>
      <c r="G904" s="418">
        <f t="shared" ref="G904:G967" si="138">F904/F905-1</f>
        <v>3.4579600663808829E-3</v>
      </c>
      <c r="H904" s="411">
        <v>51.9</v>
      </c>
      <c r="I904" s="418">
        <f t="shared" ref="I904:I967" si="139">H904/H905-1</f>
        <v>-8.4065724111579421E-3</v>
      </c>
      <c r="J904" s="411"/>
      <c r="K904" s="388"/>
      <c r="M904" s="388"/>
    </row>
    <row r="905" spans="1:13">
      <c r="A905" s="408">
        <v>43224</v>
      </c>
      <c r="B905" s="411">
        <v>2663.42</v>
      </c>
      <c r="C905" s="418">
        <f t="shared" si="136"/>
        <v>1.2811201149927953E-2</v>
      </c>
      <c r="D905" s="411">
        <v>52.34</v>
      </c>
      <c r="E905" s="418">
        <f t="shared" si="137"/>
        <v>1.0619810774280758E-2</v>
      </c>
      <c r="F905" s="411">
        <v>2663.42</v>
      </c>
      <c r="G905" s="418">
        <f t="shared" si="138"/>
        <v>1.2811201149927953E-2</v>
      </c>
      <c r="H905" s="411">
        <v>52.34</v>
      </c>
      <c r="I905" s="418">
        <f t="shared" si="139"/>
        <v>1.0619810774280758E-2</v>
      </c>
      <c r="J905" s="411"/>
      <c r="K905" s="388"/>
      <c r="M905" s="388"/>
    </row>
    <row r="906" spans="1:13">
      <c r="A906" s="408">
        <v>43223</v>
      </c>
      <c r="B906" s="411">
        <v>2629.73</v>
      </c>
      <c r="C906" s="418">
        <f t="shared" si="136"/>
        <v>-2.2536964035709817E-3</v>
      </c>
      <c r="D906" s="411">
        <v>51.79</v>
      </c>
      <c r="E906" s="418">
        <f t="shared" si="137"/>
        <v>-1.0886172650878545E-2</v>
      </c>
      <c r="F906" s="411">
        <v>2629.73</v>
      </c>
      <c r="G906" s="418">
        <f t="shared" si="138"/>
        <v>-2.2536964035709817E-3</v>
      </c>
      <c r="H906" s="411">
        <v>51.79</v>
      </c>
      <c r="I906" s="418">
        <f t="shared" si="139"/>
        <v>-1.0886172650878545E-2</v>
      </c>
      <c r="J906" s="411"/>
      <c r="K906" s="388"/>
      <c r="M906" s="388"/>
    </row>
    <row r="907" spans="1:13">
      <c r="A907" s="408">
        <v>43222</v>
      </c>
      <c r="B907" s="411">
        <v>2635.67</v>
      </c>
      <c r="C907" s="418">
        <f t="shared" si="136"/>
        <v>-7.205815880669042E-3</v>
      </c>
      <c r="D907" s="411">
        <v>52.36</v>
      </c>
      <c r="E907" s="418">
        <f t="shared" si="137"/>
        <v>-7.2051573758058485E-3</v>
      </c>
      <c r="F907" s="411">
        <v>2635.67</v>
      </c>
      <c r="G907" s="418">
        <f t="shared" si="138"/>
        <v>-7.205815880669042E-3</v>
      </c>
      <c r="H907" s="411">
        <v>52.36</v>
      </c>
      <c r="I907" s="418">
        <f t="shared" si="139"/>
        <v>-7.2051573758058485E-3</v>
      </c>
      <c r="J907" s="411"/>
      <c r="K907" s="388"/>
      <c r="M907" s="388"/>
    </row>
    <row r="908" spans="1:13">
      <c r="A908" s="408">
        <v>43221</v>
      </c>
      <c r="B908" s="411">
        <v>2654.8</v>
      </c>
      <c r="C908" s="418">
        <f t="shared" si="136"/>
        <v>2.5490455240648746E-3</v>
      </c>
      <c r="D908" s="411">
        <v>52.74</v>
      </c>
      <c r="E908" s="418">
        <f t="shared" si="137"/>
        <v>9.9578705476830454E-3</v>
      </c>
      <c r="F908" s="411">
        <v>2654.8</v>
      </c>
      <c r="G908" s="418">
        <f t="shared" si="138"/>
        <v>2.5490455240648746E-3</v>
      </c>
      <c r="H908" s="411">
        <v>52.74</v>
      </c>
      <c r="I908" s="418">
        <f t="shared" si="139"/>
        <v>9.9578705476830454E-3</v>
      </c>
      <c r="J908" s="411"/>
      <c r="K908" s="388"/>
      <c r="M908" s="388"/>
    </row>
    <row r="909" spans="1:13">
      <c r="A909" s="408">
        <v>43220</v>
      </c>
      <c r="B909" s="411">
        <v>2648.05</v>
      </c>
      <c r="C909" s="418">
        <f t="shared" si="136"/>
        <v>-8.1875419021614215E-3</v>
      </c>
      <c r="D909" s="411">
        <v>52.22</v>
      </c>
      <c r="E909" s="418">
        <f t="shared" si="137"/>
        <v>-2.3925233644859878E-2</v>
      </c>
      <c r="F909" s="411">
        <v>2648.05</v>
      </c>
      <c r="G909" s="418">
        <f t="shared" si="138"/>
        <v>-8.1875419021614215E-3</v>
      </c>
      <c r="H909" s="411">
        <v>52.22</v>
      </c>
      <c r="I909" s="418">
        <f t="shared" si="139"/>
        <v>-2.3925233644859878E-2</v>
      </c>
      <c r="J909" s="411"/>
      <c r="K909" s="388"/>
      <c r="M909" s="388"/>
    </row>
    <row r="910" spans="1:13">
      <c r="A910" s="408">
        <v>43217</v>
      </c>
      <c r="B910" s="411">
        <v>2669.91</v>
      </c>
      <c r="C910" s="418">
        <f t="shared" si="136"/>
        <v>1.1136358523251566E-3</v>
      </c>
      <c r="D910" s="411">
        <v>53.5</v>
      </c>
      <c r="E910" s="418">
        <f t="shared" si="137"/>
        <v>6.9640504423111871E-3</v>
      </c>
      <c r="F910" s="411">
        <v>2669.91</v>
      </c>
      <c r="G910" s="418">
        <f t="shared" si="138"/>
        <v>1.1136358523251566E-3</v>
      </c>
      <c r="H910" s="411">
        <v>53.5</v>
      </c>
      <c r="I910" s="418">
        <f t="shared" si="139"/>
        <v>6.9640504423111871E-3</v>
      </c>
      <c r="J910" s="411"/>
      <c r="K910" s="388"/>
      <c r="M910" s="388"/>
    </row>
    <row r="911" spans="1:13">
      <c r="A911" s="408">
        <v>43216</v>
      </c>
      <c r="B911" s="411">
        <v>2666.94</v>
      </c>
      <c r="C911" s="418">
        <f t="shared" si="136"/>
        <v>1.0434189588542919E-2</v>
      </c>
      <c r="D911" s="411">
        <v>53.13</v>
      </c>
      <c r="E911" s="418">
        <f t="shared" si="137"/>
        <v>-2.7813357731015453E-2</v>
      </c>
      <c r="F911" s="411">
        <v>2666.94</v>
      </c>
      <c r="G911" s="418">
        <f t="shared" si="138"/>
        <v>1.0434189588542919E-2</v>
      </c>
      <c r="H911" s="411">
        <v>53.13</v>
      </c>
      <c r="I911" s="418">
        <f t="shared" si="139"/>
        <v>-2.7813357731015453E-2</v>
      </c>
      <c r="J911" s="411"/>
      <c r="K911" s="388"/>
      <c r="M911" s="388"/>
    </row>
    <row r="912" spans="1:13">
      <c r="A912" s="408">
        <v>43215</v>
      </c>
      <c r="B912" s="411">
        <v>2639.4</v>
      </c>
      <c r="C912" s="418">
        <f t="shared" si="136"/>
        <v>1.8371189116968001E-3</v>
      </c>
      <c r="D912" s="411">
        <v>54.65</v>
      </c>
      <c r="E912" s="418">
        <f t="shared" si="137"/>
        <v>1.5610481323174108E-2</v>
      </c>
      <c r="F912" s="411">
        <v>2639.4</v>
      </c>
      <c r="G912" s="418">
        <f t="shared" si="138"/>
        <v>1.8371189116968001E-3</v>
      </c>
      <c r="H912" s="411">
        <v>54.65</v>
      </c>
      <c r="I912" s="418">
        <f t="shared" si="139"/>
        <v>1.5610481323174108E-2</v>
      </c>
      <c r="J912" s="411"/>
      <c r="K912" s="388"/>
      <c r="M912" s="388"/>
    </row>
    <row r="913" spans="1:13">
      <c r="A913" s="408">
        <v>43214</v>
      </c>
      <c r="B913" s="411">
        <v>2634.56</v>
      </c>
      <c r="C913" s="418">
        <f t="shared" si="136"/>
        <v>-1.3380569151665189E-2</v>
      </c>
      <c r="D913" s="411">
        <v>53.81</v>
      </c>
      <c r="E913" s="418">
        <f t="shared" si="137"/>
        <v>-1.4649331624244644E-2</v>
      </c>
      <c r="F913" s="411">
        <v>2634.56</v>
      </c>
      <c r="G913" s="418">
        <f t="shared" si="138"/>
        <v>-1.3380569151665189E-2</v>
      </c>
      <c r="H913" s="411">
        <v>53.81</v>
      </c>
      <c r="I913" s="418">
        <f t="shared" si="139"/>
        <v>-1.4649331624244644E-2</v>
      </c>
      <c r="J913" s="411"/>
      <c r="K913" s="388"/>
      <c r="M913" s="388"/>
    </row>
    <row r="914" spans="1:13">
      <c r="A914" s="408">
        <v>43213</v>
      </c>
      <c r="B914" s="411">
        <v>2670.29</v>
      </c>
      <c r="C914" s="418">
        <f t="shared" si="136"/>
        <v>5.6176829679399631E-5</v>
      </c>
      <c r="D914" s="411">
        <v>54.61</v>
      </c>
      <c r="E914" s="418">
        <f t="shared" si="137"/>
        <v>-1.4259927797833916E-2</v>
      </c>
      <c r="F914" s="411">
        <v>2670.29</v>
      </c>
      <c r="G914" s="418">
        <f t="shared" si="138"/>
        <v>5.6176829679399631E-5</v>
      </c>
      <c r="H914" s="411">
        <v>54.61</v>
      </c>
      <c r="I914" s="418">
        <f t="shared" si="139"/>
        <v>-1.4259927797833916E-2</v>
      </c>
      <c r="J914" s="411"/>
      <c r="K914" s="388"/>
      <c r="M914" s="388"/>
    </row>
    <row r="915" spans="1:13">
      <c r="A915" s="408">
        <v>43210</v>
      </c>
      <c r="B915" s="411">
        <v>2670.14</v>
      </c>
      <c r="C915" s="418">
        <f t="shared" si="136"/>
        <v>-8.5365355552833311E-3</v>
      </c>
      <c r="D915" s="411">
        <v>55.4</v>
      </c>
      <c r="E915" s="418">
        <f t="shared" si="137"/>
        <v>5.9923733430180537E-3</v>
      </c>
      <c r="F915" s="411">
        <v>2670.14</v>
      </c>
      <c r="G915" s="418">
        <f t="shared" si="138"/>
        <v>-8.5365355552833311E-3</v>
      </c>
      <c r="H915" s="411">
        <v>55.4</v>
      </c>
      <c r="I915" s="418">
        <f t="shared" si="139"/>
        <v>5.9923733430180537E-3</v>
      </c>
      <c r="J915" s="411"/>
      <c r="K915" s="388"/>
      <c r="M915" s="388"/>
    </row>
    <row r="916" spans="1:13">
      <c r="A916" s="408">
        <v>43209</v>
      </c>
      <c r="B916" s="411">
        <v>2693.13</v>
      </c>
      <c r="C916" s="418">
        <f t="shared" si="136"/>
        <v>-5.7261208576997458E-3</v>
      </c>
      <c r="D916" s="411">
        <v>55.07</v>
      </c>
      <c r="E916" s="418">
        <f t="shared" si="137"/>
        <v>-2.5357725049809376E-3</v>
      </c>
      <c r="F916" s="411">
        <v>2693.13</v>
      </c>
      <c r="G916" s="418">
        <f t="shared" si="138"/>
        <v>-5.7261208576997458E-3</v>
      </c>
      <c r="H916" s="411">
        <v>55.07</v>
      </c>
      <c r="I916" s="418">
        <f t="shared" si="139"/>
        <v>-2.5357725049809376E-3</v>
      </c>
      <c r="J916" s="411"/>
      <c r="K916" s="388"/>
      <c r="M916" s="388"/>
    </row>
    <row r="917" spans="1:13">
      <c r="A917" s="408">
        <v>43208</v>
      </c>
      <c r="B917" s="411">
        <v>2708.64</v>
      </c>
      <c r="C917" s="418">
        <f t="shared" si="136"/>
        <v>8.3136576768305659E-4</v>
      </c>
      <c r="D917" s="411">
        <v>55.21</v>
      </c>
      <c r="E917" s="418">
        <f t="shared" si="137"/>
        <v>1.2098991750687516E-2</v>
      </c>
      <c r="F917" s="411">
        <v>2708.64</v>
      </c>
      <c r="G917" s="418">
        <f t="shared" si="138"/>
        <v>8.3136576768305659E-4</v>
      </c>
      <c r="H917" s="411">
        <v>55.21</v>
      </c>
      <c r="I917" s="418">
        <f t="shared" si="139"/>
        <v>1.2098991750687516E-2</v>
      </c>
      <c r="J917" s="411"/>
      <c r="K917" s="388"/>
      <c r="M917" s="388"/>
    </row>
    <row r="918" spans="1:13">
      <c r="A918" s="408">
        <v>43207</v>
      </c>
      <c r="B918" s="411">
        <v>2706.39</v>
      </c>
      <c r="C918" s="418">
        <f t="shared" si="136"/>
        <v>1.0661577988229309E-2</v>
      </c>
      <c r="D918" s="411">
        <v>54.55</v>
      </c>
      <c r="E918" s="418">
        <f t="shared" si="137"/>
        <v>4.604051565377576E-3</v>
      </c>
      <c r="F918" s="411">
        <v>2706.39</v>
      </c>
      <c r="G918" s="418">
        <f t="shared" si="138"/>
        <v>1.0661577988229309E-2</v>
      </c>
      <c r="H918" s="411">
        <v>54.55</v>
      </c>
      <c r="I918" s="418">
        <f t="shared" si="139"/>
        <v>4.604051565377576E-3</v>
      </c>
      <c r="J918" s="411"/>
      <c r="K918" s="388"/>
      <c r="M918" s="388"/>
    </row>
    <row r="919" spans="1:13">
      <c r="A919" s="408">
        <v>43206</v>
      </c>
      <c r="B919" s="411">
        <v>2677.84</v>
      </c>
      <c r="C919" s="418">
        <f t="shared" si="136"/>
        <v>8.1090238301395612E-3</v>
      </c>
      <c r="D919" s="411">
        <v>54.3</v>
      </c>
      <c r="E919" s="418">
        <f t="shared" si="137"/>
        <v>2.6077097505668778E-2</v>
      </c>
      <c r="F919" s="411">
        <v>2677.84</v>
      </c>
      <c r="G919" s="418">
        <f t="shared" si="138"/>
        <v>8.1090238301395612E-3</v>
      </c>
      <c r="H919" s="411">
        <v>54.3</v>
      </c>
      <c r="I919" s="418">
        <f t="shared" si="139"/>
        <v>2.6077097505668778E-2</v>
      </c>
      <c r="J919" s="411"/>
      <c r="K919" s="388"/>
      <c r="M919" s="388"/>
    </row>
    <row r="920" spans="1:13">
      <c r="A920" s="408">
        <v>43203</v>
      </c>
      <c r="B920" s="411">
        <v>2656.3</v>
      </c>
      <c r="C920" s="418">
        <f t="shared" si="136"/>
        <v>-2.8866474724003055E-3</v>
      </c>
      <c r="D920" s="411">
        <v>52.92</v>
      </c>
      <c r="E920" s="418">
        <f t="shared" si="137"/>
        <v>-1.1325028312569874E-3</v>
      </c>
      <c r="F920" s="411">
        <v>2656.3</v>
      </c>
      <c r="G920" s="418">
        <f t="shared" si="138"/>
        <v>-2.8866474724003055E-3</v>
      </c>
      <c r="H920" s="411">
        <v>52.92</v>
      </c>
      <c r="I920" s="418">
        <f t="shared" si="139"/>
        <v>-1.1325028312569874E-3</v>
      </c>
      <c r="J920" s="411"/>
      <c r="K920" s="388"/>
      <c r="M920" s="388"/>
    </row>
    <row r="921" spans="1:13">
      <c r="A921" s="408">
        <v>43202</v>
      </c>
      <c r="B921" s="411">
        <v>2663.99</v>
      </c>
      <c r="C921" s="418">
        <f t="shared" si="136"/>
        <v>8.2507314008453125E-3</v>
      </c>
      <c r="D921" s="411">
        <v>52.98</v>
      </c>
      <c r="E921" s="418">
        <f t="shared" si="137"/>
        <v>2.9337478142607232E-2</v>
      </c>
      <c r="F921" s="411">
        <v>2663.99</v>
      </c>
      <c r="G921" s="418">
        <f t="shared" si="138"/>
        <v>8.2507314008453125E-3</v>
      </c>
      <c r="H921" s="411">
        <v>52.98</v>
      </c>
      <c r="I921" s="418">
        <f t="shared" si="139"/>
        <v>2.9337478142607232E-2</v>
      </c>
      <c r="J921" s="411"/>
      <c r="K921" s="388"/>
      <c r="M921" s="388"/>
    </row>
    <row r="922" spans="1:13">
      <c r="A922" s="408">
        <v>43201</v>
      </c>
      <c r="B922" s="411">
        <v>2642.19</v>
      </c>
      <c r="C922" s="418">
        <f t="shared" si="136"/>
        <v>-5.5252985656053522E-3</v>
      </c>
      <c r="D922" s="411">
        <v>51.47</v>
      </c>
      <c r="E922" s="418">
        <f t="shared" si="137"/>
        <v>-1.6997708174178783E-2</v>
      </c>
      <c r="F922" s="411">
        <v>2642.19</v>
      </c>
      <c r="G922" s="418">
        <f t="shared" si="138"/>
        <v>-5.5252985656053522E-3</v>
      </c>
      <c r="H922" s="411">
        <v>51.47</v>
      </c>
      <c r="I922" s="418">
        <f t="shared" si="139"/>
        <v>-1.6997708174178783E-2</v>
      </c>
      <c r="J922" s="411"/>
      <c r="K922" s="388"/>
      <c r="M922" s="388"/>
    </row>
    <row r="923" spans="1:13">
      <c r="A923" s="408">
        <v>43200</v>
      </c>
      <c r="B923" s="411">
        <v>2656.87</v>
      </c>
      <c r="C923" s="418">
        <f t="shared" si="136"/>
        <v>1.6726874741691988E-2</v>
      </c>
      <c r="D923" s="411">
        <v>52.36</v>
      </c>
      <c r="E923" s="418">
        <f t="shared" si="137"/>
        <v>-3.8051750380517779E-3</v>
      </c>
      <c r="F923" s="411">
        <v>2656.87</v>
      </c>
      <c r="G923" s="418">
        <f t="shared" si="138"/>
        <v>1.6726874741691988E-2</v>
      </c>
      <c r="H923" s="411">
        <v>52.36</v>
      </c>
      <c r="I923" s="418">
        <f t="shared" si="139"/>
        <v>-3.8051750380517779E-3</v>
      </c>
      <c r="J923" s="411"/>
      <c r="K923" s="388"/>
      <c r="M923" s="388"/>
    </row>
    <row r="924" spans="1:13">
      <c r="A924" s="408">
        <v>43199</v>
      </c>
      <c r="B924" s="411">
        <v>2613.16</v>
      </c>
      <c r="C924" s="418">
        <f t="shared" si="136"/>
        <v>3.336571356168383E-3</v>
      </c>
      <c r="D924" s="411">
        <v>52.56</v>
      </c>
      <c r="E924" s="418">
        <f t="shared" si="137"/>
        <v>-9.2365692742694128E-3</v>
      </c>
      <c r="F924" s="411">
        <v>2613.16</v>
      </c>
      <c r="G924" s="418">
        <f t="shared" si="138"/>
        <v>3.336571356168383E-3</v>
      </c>
      <c r="H924" s="411">
        <v>52.56</v>
      </c>
      <c r="I924" s="418">
        <f t="shared" si="139"/>
        <v>-9.2365692742694128E-3</v>
      </c>
      <c r="J924" s="411"/>
      <c r="K924" s="388"/>
      <c r="M924" s="388"/>
    </row>
    <row r="925" spans="1:13">
      <c r="A925" s="408">
        <v>43196</v>
      </c>
      <c r="B925" s="411">
        <v>2604.4699999999998</v>
      </c>
      <c r="C925" s="418">
        <f t="shared" si="136"/>
        <v>-2.192020549488527E-2</v>
      </c>
      <c r="D925" s="411">
        <v>53.05</v>
      </c>
      <c r="E925" s="418">
        <f t="shared" si="137"/>
        <v>-2.1398266002582655E-2</v>
      </c>
      <c r="F925" s="411">
        <v>2604.4699999999998</v>
      </c>
      <c r="G925" s="418">
        <f t="shared" si="138"/>
        <v>-2.192020549488527E-2</v>
      </c>
      <c r="H925" s="411">
        <v>53.05</v>
      </c>
      <c r="I925" s="418">
        <f t="shared" si="139"/>
        <v>-2.1398266002582655E-2</v>
      </c>
      <c r="J925" s="411"/>
      <c r="K925" s="388"/>
      <c r="M925" s="388"/>
    </row>
    <row r="926" spans="1:13">
      <c r="A926" s="408">
        <v>43195</v>
      </c>
      <c r="B926" s="411">
        <v>2662.84</v>
      </c>
      <c r="C926" s="418">
        <f t="shared" si="136"/>
        <v>6.8628081173975897E-3</v>
      </c>
      <c r="D926" s="411">
        <v>54.21</v>
      </c>
      <c r="E926" s="418">
        <f t="shared" si="137"/>
        <v>6.4983290011140227E-3</v>
      </c>
      <c r="F926" s="411">
        <v>2662.84</v>
      </c>
      <c r="G926" s="418">
        <f t="shared" si="138"/>
        <v>6.8628081173975897E-3</v>
      </c>
      <c r="H926" s="411">
        <v>54.21</v>
      </c>
      <c r="I926" s="418">
        <f t="shared" si="139"/>
        <v>6.4983290011140227E-3</v>
      </c>
      <c r="J926" s="411"/>
      <c r="K926" s="388"/>
      <c r="M926" s="388"/>
    </row>
    <row r="927" spans="1:13">
      <c r="A927" s="408">
        <v>43194</v>
      </c>
      <c r="B927" s="411">
        <v>2644.69</v>
      </c>
      <c r="C927" s="418">
        <f t="shared" si="136"/>
        <v>1.1566486259060316E-2</v>
      </c>
      <c r="D927" s="411">
        <v>53.86</v>
      </c>
      <c r="E927" s="418">
        <f t="shared" si="137"/>
        <v>2.6061057334325621E-3</v>
      </c>
      <c r="F927" s="411">
        <v>2644.69</v>
      </c>
      <c r="G927" s="418">
        <f t="shared" si="138"/>
        <v>1.1566486259060316E-2</v>
      </c>
      <c r="H927" s="411">
        <v>53.86</v>
      </c>
      <c r="I927" s="418">
        <f t="shared" si="139"/>
        <v>2.6061057334325621E-3</v>
      </c>
      <c r="J927" s="411"/>
      <c r="K927" s="388"/>
      <c r="M927" s="388"/>
    </row>
    <row r="928" spans="1:13">
      <c r="A928" s="408">
        <v>43193</v>
      </c>
      <c r="B928" s="411">
        <v>2614.4499999999998</v>
      </c>
      <c r="C928" s="418">
        <f t="shared" si="136"/>
        <v>1.261483879963432E-2</v>
      </c>
      <c r="D928" s="411">
        <v>53.72</v>
      </c>
      <c r="E928" s="418">
        <f t="shared" si="137"/>
        <v>3.4071222329162598E-2</v>
      </c>
      <c r="F928" s="411">
        <v>2614.4499999999998</v>
      </c>
      <c r="G928" s="418">
        <f t="shared" si="138"/>
        <v>1.261483879963432E-2</v>
      </c>
      <c r="H928" s="411">
        <v>53.72</v>
      </c>
      <c r="I928" s="418">
        <f t="shared" si="139"/>
        <v>3.4071222329162598E-2</v>
      </c>
      <c r="J928" s="411"/>
      <c r="K928" s="388"/>
      <c r="M928" s="388"/>
    </row>
    <row r="929" spans="1:13">
      <c r="A929" s="408">
        <v>43192</v>
      </c>
      <c r="B929" s="411">
        <v>2581.88</v>
      </c>
      <c r="C929" s="418">
        <f t="shared" si="136"/>
        <v>-2.233733580221664E-2</v>
      </c>
      <c r="D929" s="411">
        <v>51.95</v>
      </c>
      <c r="E929" s="418">
        <f t="shared" si="137"/>
        <v>-5.2180259076810787E-2</v>
      </c>
      <c r="F929" s="411">
        <v>2581.88</v>
      </c>
      <c r="G929" s="418">
        <f t="shared" si="138"/>
        <v>-2.233733580221664E-2</v>
      </c>
      <c r="H929" s="411">
        <v>51.95</v>
      </c>
      <c r="I929" s="418">
        <f t="shared" si="139"/>
        <v>-5.2180259076810787E-2</v>
      </c>
      <c r="J929" s="411"/>
      <c r="K929" s="388"/>
      <c r="M929" s="388"/>
    </row>
    <row r="930" spans="1:13">
      <c r="A930" s="408">
        <v>43188</v>
      </c>
      <c r="B930" s="411">
        <v>2640.87</v>
      </c>
      <c r="C930" s="418">
        <f t="shared" si="136"/>
        <v>1.376967370441462E-2</v>
      </c>
      <c r="D930" s="411">
        <v>54.81</v>
      </c>
      <c r="E930" s="418">
        <f t="shared" si="137"/>
        <v>1.631744854440953E-2</v>
      </c>
      <c r="F930" s="411">
        <v>2640.87</v>
      </c>
      <c r="G930" s="418">
        <f t="shared" si="138"/>
        <v>1.376967370441462E-2</v>
      </c>
      <c r="H930" s="411">
        <v>54.81</v>
      </c>
      <c r="I930" s="418">
        <f t="shared" si="139"/>
        <v>1.631744854440953E-2</v>
      </c>
      <c r="J930" s="411"/>
      <c r="K930" s="388"/>
      <c r="M930" s="388"/>
    </row>
    <row r="931" spans="1:13">
      <c r="A931" s="408">
        <v>43187</v>
      </c>
      <c r="B931" s="411">
        <v>2605</v>
      </c>
      <c r="C931" s="418">
        <f t="shared" si="136"/>
        <v>-2.9166124426820428E-3</v>
      </c>
      <c r="D931" s="411">
        <v>53.93</v>
      </c>
      <c r="E931" s="418">
        <f t="shared" si="137"/>
        <v>-6.0818282344268226E-3</v>
      </c>
      <c r="F931" s="411">
        <v>2605</v>
      </c>
      <c r="G931" s="418">
        <f t="shared" si="138"/>
        <v>-2.9166124426820428E-3</v>
      </c>
      <c r="H931" s="411">
        <v>53.93</v>
      </c>
      <c r="I931" s="418">
        <f t="shared" si="139"/>
        <v>-6.0818282344268226E-3</v>
      </c>
      <c r="J931" s="411"/>
      <c r="K931" s="388"/>
      <c r="M931" s="388"/>
    </row>
    <row r="932" spans="1:13">
      <c r="A932" s="408">
        <v>43186</v>
      </c>
      <c r="B932" s="411">
        <v>2612.62</v>
      </c>
      <c r="C932" s="418">
        <f t="shared" si="136"/>
        <v>-1.7276334844182117E-2</v>
      </c>
      <c r="D932" s="411">
        <v>54.26</v>
      </c>
      <c r="E932" s="418">
        <f t="shared" si="137"/>
        <v>-1.4529604068289181E-2</v>
      </c>
      <c r="F932" s="411">
        <v>2612.62</v>
      </c>
      <c r="G932" s="418">
        <f t="shared" si="138"/>
        <v>-1.7276334844182117E-2</v>
      </c>
      <c r="H932" s="411">
        <v>54.26</v>
      </c>
      <c r="I932" s="418">
        <f t="shared" si="139"/>
        <v>-1.4529604068289181E-2</v>
      </c>
      <c r="J932" s="411"/>
      <c r="K932" s="388"/>
      <c r="M932" s="388"/>
    </row>
    <row r="933" spans="1:13">
      <c r="A933" s="408">
        <v>43185</v>
      </c>
      <c r="B933" s="411">
        <v>2658.55</v>
      </c>
      <c r="C933" s="418">
        <f t="shared" si="136"/>
        <v>2.7157240771792601E-2</v>
      </c>
      <c r="D933" s="411">
        <v>55.06</v>
      </c>
      <c r="E933" s="418">
        <f t="shared" si="137"/>
        <v>2.1521335807050068E-2</v>
      </c>
      <c r="F933" s="411">
        <v>2658.55</v>
      </c>
      <c r="G933" s="418">
        <f t="shared" si="138"/>
        <v>2.7157240771792601E-2</v>
      </c>
      <c r="H933" s="411">
        <v>55.06</v>
      </c>
      <c r="I933" s="418">
        <f t="shared" si="139"/>
        <v>2.1521335807050068E-2</v>
      </c>
      <c r="J933" s="411"/>
      <c r="K933" s="388"/>
      <c r="M933" s="388"/>
    </row>
    <row r="934" spans="1:13">
      <c r="A934" s="408">
        <v>43182</v>
      </c>
      <c r="B934" s="411">
        <v>2588.2600000000002</v>
      </c>
      <c r="C934" s="418">
        <f t="shared" si="136"/>
        <v>-2.0966906104724736E-2</v>
      </c>
      <c r="D934" s="411">
        <v>53.9</v>
      </c>
      <c r="E934" s="418">
        <f t="shared" si="137"/>
        <v>-1.4084507042253613E-2</v>
      </c>
      <c r="F934" s="411">
        <v>2588.2600000000002</v>
      </c>
      <c r="G934" s="418">
        <f t="shared" si="138"/>
        <v>-2.0966906104724736E-2</v>
      </c>
      <c r="H934" s="411">
        <v>53.9</v>
      </c>
      <c r="I934" s="418">
        <f t="shared" si="139"/>
        <v>-1.4084507042253613E-2</v>
      </c>
      <c r="J934" s="411"/>
      <c r="K934" s="388"/>
      <c r="M934" s="388"/>
    </row>
    <row r="935" spans="1:13">
      <c r="A935" s="408">
        <v>43181</v>
      </c>
      <c r="B935" s="411">
        <v>2643.69</v>
      </c>
      <c r="C935" s="418">
        <f t="shared" si="136"/>
        <v>-2.5162891372564888E-2</v>
      </c>
      <c r="D935" s="411">
        <v>54.67</v>
      </c>
      <c r="E935" s="418">
        <f t="shared" si="137"/>
        <v>-2.2877569258266339E-2</v>
      </c>
      <c r="F935" s="411">
        <v>2643.69</v>
      </c>
      <c r="G935" s="418">
        <f t="shared" si="138"/>
        <v>-2.5162891372564888E-2</v>
      </c>
      <c r="H935" s="411">
        <v>54.67</v>
      </c>
      <c r="I935" s="418">
        <f t="shared" si="139"/>
        <v>-2.2877569258266339E-2</v>
      </c>
      <c r="J935" s="411"/>
      <c r="K935" s="388"/>
      <c r="M935" s="388"/>
    </row>
    <row r="936" spans="1:13">
      <c r="A936" s="408">
        <v>43180</v>
      </c>
      <c r="B936" s="411">
        <v>2711.93</v>
      </c>
      <c r="C936" s="418">
        <f t="shared" si="136"/>
        <v>-1.8439862492363179E-3</v>
      </c>
      <c r="D936" s="411">
        <v>55.95</v>
      </c>
      <c r="E936" s="418">
        <f t="shared" si="137"/>
        <v>-9.7345132743362761E-3</v>
      </c>
      <c r="F936" s="411">
        <v>2711.93</v>
      </c>
      <c r="G936" s="418">
        <f t="shared" si="138"/>
        <v>-1.8439862492363179E-3</v>
      </c>
      <c r="H936" s="411">
        <v>55.95</v>
      </c>
      <c r="I936" s="418">
        <f t="shared" si="139"/>
        <v>-9.7345132743362761E-3</v>
      </c>
      <c r="J936" s="411"/>
      <c r="K936" s="388"/>
      <c r="M936" s="388"/>
    </row>
    <row r="937" spans="1:13">
      <c r="A937" s="408">
        <v>43179</v>
      </c>
      <c r="B937" s="411">
        <v>2716.94</v>
      </c>
      <c r="C937" s="418">
        <f t="shared" si="136"/>
        <v>1.4817982100467919E-3</v>
      </c>
      <c r="D937" s="411">
        <v>56.5</v>
      </c>
      <c r="E937" s="418">
        <f t="shared" si="137"/>
        <v>9.6497498213008459E-3</v>
      </c>
      <c r="F937" s="411">
        <v>2716.94</v>
      </c>
      <c r="G937" s="418">
        <f t="shared" si="138"/>
        <v>1.4817982100467919E-3</v>
      </c>
      <c r="H937" s="411">
        <v>56.5</v>
      </c>
      <c r="I937" s="418">
        <f t="shared" si="139"/>
        <v>9.6497498213008459E-3</v>
      </c>
      <c r="J937" s="411"/>
      <c r="K937" s="388"/>
      <c r="M937" s="388"/>
    </row>
    <row r="938" spans="1:13">
      <c r="A938" s="408">
        <v>43178</v>
      </c>
      <c r="B938" s="411">
        <v>2712.92</v>
      </c>
      <c r="C938" s="418">
        <f t="shared" si="136"/>
        <v>-1.4204163502312905E-2</v>
      </c>
      <c r="D938" s="411">
        <v>55.96</v>
      </c>
      <c r="E938" s="418">
        <f t="shared" si="137"/>
        <v>-1.2877050626212694E-2</v>
      </c>
      <c r="F938" s="411">
        <v>2712.92</v>
      </c>
      <c r="G938" s="418">
        <f t="shared" si="138"/>
        <v>-1.4204163502312905E-2</v>
      </c>
      <c r="H938" s="411">
        <v>55.96</v>
      </c>
      <c r="I938" s="418">
        <f t="shared" si="139"/>
        <v>-1.2877050626212694E-2</v>
      </c>
      <c r="J938" s="411"/>
      <c r="K938" s="388"/>
      <c r="M938" s="388"/>
    </row>
    <row r="939" spans="1:13">
      <c r="A939" s="408">
        <v>43175</v>
      </c>
      <c r="B939" s="411">
        <v>2752.01</v>
      </c>
      <c r="C939" s="418">
        <f t="shared" si="136"/>
        <v>1.7034720983646334E-3</v>
      </c>
      <c r="D939" s="411">
        <v>56.69</v>
      </c>
      <c r="E939" s="418">
        <f t="shared" si="137"/>
        <v>6.2122825701098616E-3</v>
      </c>
      <c r="F939" s="411">
        <v>2752.01</v>
      </c>
      <c r="G939" s="418">
        <f t="shared" si="138"/>
        <v>1.7034720983646334E-3</v>
      </c>
      <c r="H939" s="411">
        <v>56.69</v>
      </c>
      <c r="I939" s="418">
        <f t="shared" si="139"/>
        <v>6.2122825701098616E-3</v>
      </c>
      <c r="J939" s="411"/>
      <c r="K939" s="388"/>
      <c r="M939" s="388"/>
    </row>
    <row r="940" spans="1:13">
      <c r="A940" s="408">
        <v>43174</v>
      </c>
      <c r="B940" s="411">
        <v>2747.33</v>
      </c>
      <c r="C940" s="418">
        <f t="shared" si="136"/>
        <v>-7.8196604448843576E-4</v>
      </c>
      <c r="D940" s="411">
        <v>56.34</v>
      </c>
      <c r="E940" s="418">
        <f t="shared" si="137"/>
        <v>3.3837934105076517E-3</v>
      </c>
      <c r="F940" s="411">
        <v>2747.33</v>
      </c>
      <c r="G940" s="418">
        <f t="shared" si="138"/>
        <v>-7.8196604448843576E-4</v>
      </c>
      <c r="H940" s="411">
        <v>56.34</v>
      </c>
      <c r="I940" s="418">
        <f t="shared" si="139"/>
        <v>3.3837934105076517E-3</v>
      </c>
      <c r="J940" s="411"/>
      <c r="K940" s="388"/>
      <c r="M940" s="388"/>
    </row>
    <row r="941" spans="1:13">
      <c r="A941" s="408">
        <v>43173</v>
      </c>
      <c r="B941" s="411">
        <v>2749.48</v>
      </c>
      <c r="C941" s="418">
        <f t="shared" si="136"/>
        <v>-5.7244938180529559E-3</v>
      </c>
      <c r="D941" s="411">
        <v>56.15</v>
      </c>
      <c r="E941" s="418">
        <f t="shared" si="137"/>
        <v>-7.7752253048242181E-3</v>
      </c>
      <c r="F941" s="411">
        <v>2749.48</v>
      </c>
      <c r="G941" s="418">
        <f t="shared" si="138"/>
        <v>-5.7244938180529559E-3</v>
      </c>
      <c r="H941" s="411">
        <v>56.15</v>
      </c>
      <c r="I941" s="418">
        <f t="shared" si="139"/>
        <v>-7.7752253048242181E-3</v>
      </c>
      <c r="J941" s="411"/>
      <c r="K941" s="388"/>
      <c r="M941" s="388"/>
    </row>
    <row r="942" spans="1:13">
      <c r="A942" s="408">
        <v>43172</v>
      </c>
      <c r="B942" s="411">
        <v>2765.31</v>
      </c>
      <c r="C942" s="418">
        <f t="shared" si="136"/>
        <v>-6.3635906317597302E-3</v>
      </c>
      <c r="D942" s="411">
        <v>56.59</v>
      </c>
      <c r="E942" s="418">
        <f t="shared" si="137"/>
        <v>7.6566951566952035E-3</v>
      </c>
      <c r="F942" s="411">
        <v>2765.31</v>
      </c>
      <c r="G942" s="418">
        <f t="shared" si="138"/>
        <v>-6.3635906317597302E-3</v>
      </c>
      <c r="H942" s="411">
        <v>56.59</v>
      </c>
      <c r="I942" s="418">
        <f t="shared" si="139"/>
        <v>7.6566951566952035E-3</v>
      </c>
      <c r="J942" s="411"/>
      <c r="K942" s="388"/>
      <c r="M942" s="388"/>
    </row>
    <row r="943" spans="1:13">
      <c r="A943" s="408">
        <v>43171</v>
      </c>
      <c r="B943" s="411">
        <v>2783.02</v>
      </c>
      <c r="C943" s="418">
        <f t="shared" si="136"/>
        <v>-1.273967637633433E-3</v>
      </c>
      <c r="D943" s="411">
        <v>56.16</v>
      </c>
      <c r="E943" s="418">
        <f t="shared" si="137"/>
        <v>1.2479942948830924E-3</v>
      </c>
      <c r="F943" s="411">
        <v>2783.02</v>
      </c>
      <c r="G943" s="418">
        <f t="shared" si="138"/>
        <v>-1.273967637633433E-3</v>
      </c>
      <c r="H943" s="411">
        <v>56.16</v>
      </c>
      <c r="I943" s="418">
        <f t="shared" si="139"/>
        <v>1.2479942948830924E-3</v>
      </c>
      <c r="J943" s="411"/>
      <c r="K943" s="388"/>
      <c r="M943" s="388"/>
    </row>
    <row r="944" spans="1:13">
      <c r="A944" s="408">
        <v>43168</v>
      </c>
      <c r="B944" s="411">
        <v>2786.57</v>
      </c>
      <c r="C944" s="418">
        <f t="shared" si="136"/>
        <v>1.7378795678667736E-2</v>
      </c>
      <c r="D944" s="411">
        <v>56.09</v>
      </c>
      <c r="E944" s="418">
        <f t="shared" si="137"/>
        <v>2.653733528550517E-2</v>
      </c>
      <c r="F944" s="411">
        <v>2786.57</v>
      </c>
      <c r="G944" s="418">
        <f t="shared" si="138"/>
        <v>1.7378795678667736E-2</v>
      </c>
      <c r="H944" s="411">
        <v>56.09</v>
      </c>
      <c r="I944" s="418">
        <f t="shared" si="139"/>
        <v>2.653733528550517E-2</v>
      </c>
      <c r="J944" s="411"/>
      <c r="K944" s="388"/>
      <c r="M944" s="388"/>
    </row>
    <row r="945" spans="1:13">
      <c r="A945" s="408">
        <v>43167</v>
      </c>
      <c r="B945" s="411">
        <v>2738.97</v>
      </c>
      <c r="C945" s="418">
        <f t="shared" si="136"/>
        <v>4.4631069385359101E-3</v>
      </c>
      <c r="D945" s="411">
        <v>54.64</v>
      </c>
      <c r="E945" s="418">
        <f t="shared" si="137"/>
        <v>2.0736035867737757E-2</v>
      </c>
      <c r="F945" s="411">
        <v>2738.97</v>
      </c>
      <c r="G945" s="418">
        <f t="shared" si="138"/>
        <v>4.4631069385359101E-3</v>
      </c>
      <c r="H945" s="411">
        <v>54.64</v>
      </c>
      <c r="I945" s="418">
        <f t="shared" si="139"/>
        <v>2.0736035867737757E-2</v>
      </c>
      <c r="J945" s="411"/>
      <c r="K945" s="388"/>
      <c r="M945" s="388"/>
    </row>
    <row r="946" spans="1:13">
      <c r="A946" s="408">
        <v>43166</v>
      </c>
      <c r="B946" s="411">
        <v>2726.8</v>
      </c>
      <c r="C946" s="418">
        <f t="shared" si="136"/>
        <v>-4.8384968403136774E-4</v>
      </c>
      <c r="D946" s="411">
        <v>53.53</v>
      </c>
      <c r="E946" s="418">
        <f t="shared" si="137"/>
        <v>-5.7578008915305512E-3</v>
      </c>
      <c r="F946" s="411">
        <v>2726.8</v>
      </c>
      <c r="G946" s="418">
        <f t="shared" si="138"/>
        <v>-4.8384968403136774E-4</v>
      </c>
      <c r="H946" s="411">
        <v>53.53</v>
      </c>
      <c r="I946" s="418">
        <f t="shared" si="139"/>
        <v>-5.7578008915305512E-3</v>
      </c>
      <c r="J946" s="411"/>
      <c r="K946" s="388"/>
      <c r="M946" s="388"/>
    </row>
    <row r="947" spans="1:13">
      <c r="A947" s="408">
        <v>43165</v>
      </c>
      <c r="B947" s="411">
        <v>2728.12</v>
      </c>
      <c r="C947" s="418">
        <f t="shared" si="136"/>
        <v>2.6387939462098053E-3</v>
      </c>
      <c r="D947" s="411">
        <v>53.84</v>
      </c>
      <c r="E947" s="418">
        <f t="shared" si="137"/>
        <v>9.2954080684148899E-4</v>
      </c>
      <c r="F947" s="411">
        <v>2728.12</v>
      </c>
      <c r="G947" s="418">
        <f t="shared" si="138"/>
        <v>2.6387939462098053E-3</v>
      </c>
      <c r="H947" s="411">
        <v>53.84</v>
      </c>
      <c r="I947" s="418">
        <f t="shared" si="139"/>
        <v>9.2954080684148899E-4</v>
      </c>
      <c r="J947" s="411"/>
      <c r="K947" s="388"/>
      <c r="M947" s="388"/>
    </row>
    <row r="948" spans="1:13">
      <c r="A948" s="408">
        <v>43164</v>
      </c>
      <c r="B948" s="411">
        <v>2720.94</v>
      </c>
      <c r="C948" s="418">
        <f t="shared" si="136"/>
        <v>1.1032048304691067E-2</v>
      </c>
      <c r="D948" s="411">
        <v>53.79</v>
      </c>
      <c r="E948" s="418">
        <f t="shared" si="137"/>
        <v>9.9511828764551336E-3</v>
      </c>
      <c r="F948" s="411">
        <v>2720.94</v>
      </c>
      <c r="G948" s="418">
        <f t="shared" si="138"/>
        <v>1.1032048304691067E-2</v>
      </c>
      <c r="H948" s="411">
        <v>53.79</v>
      </c>
      <c r="I948" s="418">
        <f t="shared" si="139"/>
        <v>9.9511828764551336E-3</v>
      </c>
      <c r="J948" s="411"/>
      <c r="K948" s="388"/>
      <c r="M948" s="388"/>
    </row>
    <row r="949" spans="1:13">
      <c r="A949" s="408">
        <v>43161</v>
      </c>
      <c r="B949" s="411">
        <v>2691.25</v>
      </c>
      <c r="C949" s="418">
        <f t="shared" si="136"/>
        <v>5.0715734201749463E-3</v>
      </c>
      <c r="D949" s="411">
        <v>53.26</v>
      </c>
      <c r="E949" s="418">
        <f t="shared" si="137"/>
        <v>-1.6869728209935042E-3</v>
      </c>
      <c r="F949" s="411">
        <v>2691.25</v>
      </c>
      <c r="G949" s="418">
        <f t="shared" si="138"/>
        <v>5.0715734201749463E-3</v>
      </c>
      <c r="H949" s="411">
        <v>53.26</v>
      </c>
      <c r="I949" s="418">
        <f t="shared" si="139"/>
        <v>-1.6869728209935042E-3</v>
      </c>
      <c r="J949" s="411"/>
      <c r="K949" s="388"/>
      <c r="M949" s="388"/>
    </row>
    <row r="950" spans="1:13">
      <c r="A950" s="408">
        <v>43160</v>
      </c>
      <c r="B950" s="411">
        <v>2677.67</v>
      </c>
      <c r="C950" s="418">
        <f t="shared" si="136"/>
        <v>-1.3324342350110263E-2</v>
      </c>
      <c r="D950" s="411">
        <v>53.35</v>
      </c>
      <c r="E950" s="418">
        <f t="shared" si="137"/>
        <v>-1.0204081632652962E-2</v>
      </c>
      <c r="F950" s="411">
        <v>2677.67</v>
      </c>
      <c r="G950" s="418">
        <f t="shared" si="138"/>
        <v>-1.3324342350110263E-2</v>
      </c>
      <c r="H950" s="411">
        <v>53.35</v>
      </c>
      <c r="I950" s="418">
        <f t="shared" si="139"/>
        <v>-1.0204081632652962E-2</v>
      </c>
      <c r="J950" s="411"/>
      <c r="K950" s="388"/>
      <c r="M950" s="388"/>
    </row>
    <row r="951" spans="1:13">
      <c r="A951" s="408">
        <v>43159</v>
      </c>
      <c r="B951" s="411">
        <v>2713.83</v>
      </c>
      <c r="C951" s="418">
        <f t="shared" si="136"/>
        <v>-1.1095806550352139E-2</v>
      </c>
      <c r="D951" s="411">
        <v>53.9</v>
      </c>
      <c r="E951" s="418">
        <f t="shared" si="137"/>
        <v>5.2219321148825326E-3</v>
      </c>
      <c r="F951" s="411">
        <v>2713.83</v>
      </c>
      <c r="G951" s="418">
        <f t="shared" si="138"/>
        <v>-1.1095806550352139E-2</v>
      </c>
      <c r="H951" s="411">
        <v>53.9</v>
      </c>
      <c r="I951" s="418">
        <f t="shared" si="139"/>
        <v>5.2219321148825326E-3</v>
      </c>
      <c r="J951" s="411"/>
      <c r="K951" s="388"/>
      <c r="M951" s="388"/>
    </row>
    <row r="952" spans="1:13">
      <c r="A952" s="408">
        <v>43158</v>
      </c>
      <c r="B952" s="411">
        <v>2744.28</v>
      </c>
      <c r="C952" s="418">
        <f t="shared" si="136"/>
        <v>-1.2706864297021059E-2</v>
      </c>
      <c r="D952" s="411">
        <v>53.62</v>
      </c>
      <c r="E952" s="418">
        <f t="shared" si="137"/>
        <v>-1.956481989394776E-2</v>
      </c>
      <c r="F952" s="411">
        <v>2744.28</v>
      </c>
      <c r="G952" s="418">
        <f t="shared" si="138"/>
        <v>-1.2706864297021059E-2</v>
      </c>
      <c r="H952" s="411">
        <v>53.62</v>
      </c>
      <c r="I952" s="418">
        <f t="shared" si="139"/>
        <v>-1.956481989394776E-2</v>
      </c>
      <c r="J952" s="411"/>
      <c r="K952" s="388"/>
      <c r="M952" s="388"/>
    </row>
    <row r="953" spans="1:13">
      <c r="A953" s="408">
        <v>43157</v>
      </c>
      <c r="B953" s="411">
        <v>2779.6</v>
      </c>
      <c r="C953" s="418">
        <f t="shared" si="136"/>
        <v>1.1756997779638123E-2</v>
      </c>
      <c r="D953" s="411">
        <v>54.69</v>
      </c>
      <c r="E953" s="418">
        <f t="shared" si="137"/>
        <v>2.3007856341189514E-2</v>
      </c>
      <c r="F953" s="411">
        <v>2779.6</v>
      </c>
      <c r="G953" s="418">
        <f t="shared" si="138"/>
        <v>1.1756997779638123E-2</v>
      </c>
      <c r="H953" s="411">
        <v>54.69</v>
      </c>
      <c r="I953" s="418">
        <f t="shared" si="139"/>
        <v>2.3007856341189514E-2</v>
      </c>
      <c r="J953" s="411"/>
      <c r="K953" s="388"/>
      <c r="M953" s="388"/>
    </row>
    <row r="954" spans="1:13">
      <c r="A954" s="408">
        <v>43154</v>
      </c>
      <c r="B954" s="411">
        <v>2747.3</v>
      </c>
      <c r="C954" s="418">
        <f t="shared" si="136"/>
        <v>1.6028343614550522E-2</v>
      </c>
      <c r="D954" s="411">
        <v>53.46</v>
      </c>
      <c r="E954" s="418">
        <f t="shared" si="137"/>
        <v>1.7316841103710789E-2</v>
      </c>
      <c r="F954" s="411">
        <v>2747.3</v>
      </c>
      <c r="G954" s="418">
        <f t="shared" si="138"/>
        <v>1.6028343614550522E-2</v>
      </c>
      <c r="H954" s="411">
        <v>53.46</v>
      </c>
      <c r="I954" s="418">
        <f t="shared" si="139"/>
        <v>1.7316841103710789E-2</v>
      </c>
      <c r="J954" s="411"/>
      <c r="K954" s="388"/>
      <c r="M954" s="388"/>
    </row>
    <row r="955" spans="1:13">
      <c r="A955" s="408">
        <v>43153</v>
      </c>
      <c r="B955" s="411">
        <v>2703.96</v>
      </c>
      <c r="C955" s="418">
        <f t="shared" si="136"/>
        <v>9.7359448864087206E-4</v>
      </c>
      <c r="D955" s="411">
        <v>52.55</v>
      </c>
      <c r="E955" s="418">
        <f t="shared" si="137"/>
        <v>-1.1474793077501877E-2</v>
      </c>
      <c r="F955" s="411">
        <v>2703.96</v>
      </c>
      <c r="G955" s="418">
        <f t="shared" si="138"/>
        <v>9.7359448864087206E-4</v>
      </c>
      <c r="H955" s="411">
        <v>52.55</v>
      </c>
      <c r="I955" s="418">
        <f t="shared" si="139"/>
        <v>-1.1474793077501877E-2</v>
      </c>
      <c r="J955" s="411"/>
      <c r="K955" s="388"/>
      <c r="M955" s="388"/>
    </row>
    <row r="956" spans="1:13">
      <c r="A956" s="408">
        <v>43152</v>
      </c>
      <c r="B956" s="411">
        <v>2701.33</v>
      </c>
      <c r="C956" s="418">
        <f t="shared" si="136"/>
        <v>-5.4965283146680699E-3</v>
      </c>
      <c r="D956" s="411">
        <v>53.16</v>
      </c>
      <c r="E956" s="418">
        <f t="shared" si="137"/>
        <v>1.3150371640937575E-2</v>
      </c>
      <c r="F956" s="411">
        <v>2701.33</v>
      </c>
      <c r="G956" s="418">
        <f t="shared" si="138"/>
        <v>-5.4965283146680699E-3</v>
      </c>
      <c r="H956" s="411">
        <v>53.16</v>
      </c>
      <c r="I956" s="418">
        <f t="shared" si="139"/>
        <v>1.3150371640937575E-2</v>
      </c>
      <c r="J956" s="411"/>
      <c r="K956" s="388"/>
      <c r="M956" s="388"/>
    </row>
    <row r="957" spans="1:13">
      <c r="A957" s="408">
        <v>43151</v>
      </c>
      <c r="B957" s="411">
        <v>2716.26</v>
      </c>
      <c r="C957" s="418">
        <f t="shared" si="136"/>
        <v>-5.841403693699454E-3</v>
      </c>
      <c r="D957" s="411">
        <v>52.47</v>
      </c>
      <c r="E957" s="418">
        <f t="shared" si="137"/>
        <v>-7.1901608325449784E-3</v>
      </c>
      <c r="F957" s="411">
        <v>2716.26</v>
      </c>
      <c r="G957" s="418">
        <f t="shared" si="138"/>
        <v>-5.841403693699454E-3</v>
      </c>
      <c r="H957" s="411">
        <v>52.47</v>
      </c>
      <c r="I957" s="418">
        <f t="shared" si="139"/>
        <v>-7.1901608325449784E-3</v>
      </c>
      <c r="J957" s="411"/>
      <c r="K957" s="388"/>
      <c r="M957" s="388"/>
    </row>
    <row r="958" spans="1:13">
      <c r="A958" s="408">
        <v>43147</v>
      </c>
      <c r="B958" s="411">
        <v>2732.22</v>
      </c>
      <c r="C958" s="418">
        <f t="shared" si="136"/>
        <v>3.7346221441114658E-4</v>
      </c>
      <c r="D958" s="411">
        <v>52.85</v>
      </c>
      <c r="E958" s="418">
        <f t="shared" si="137"/>
        <v>-1.8885741265345368E-3</v>
      </c>
      <c r="F958" s="411">
        <v>2732.22</v>
      </c>
      <c r="G958" s="418">
        <f t="shared" si="138"/>
        <v>3.7346221441114658E-4</v>
      </c>
      <c r="H958" s="411">
        <v>52.85</v>
      </c>
      <c r="I958" s="418">
        <f t="shared" si="139"/>
        <v>-1.8885741265345368E-3</v>
      </c>
      <c r="J958" s="411"/>
      <c r="K958" s="388"/>
      <c r="M958" s="388"/>
    </row>
    <row r="959" spans="1:13">
      <c r="A959" s="408">
        <v>43146</v>
      </c>
      <c r="B959" s="411">
        <v>2731.2</v>
      </c>
      <c r="C959" s="418">
        <f t="shared" si="136"/>
        <v>1.20690869070601E-2</v>
      </c>
      <c r="D959" s="411">
        <v>52.95</v>
      </c>
      <c r="E959" s="418">
        <f t="shared" si="137"/>
        <v>1.4367816091954033E-2</v>
      </c>
      <c r="F959" s="411">
        <v>2731.2</v>
      </c>
      <c r="G959" s="418">
        <f t="shared" si="138"/>
        <v>1.20690869070601E-2</v>
      </c>
      <c r="H959" s="411">
        <v>52.95</v>
      </c>
      <c r="I959" s="418">
        <f t="shared" si="139"/>
        <v>1.4367816091954033E-2</v>
      </c>
      <c r="J959" s="411"/>
      <c r="K959" s="388"/>
      <c r="M959" s="388"/>
    </row>
    <row r="960" spans="1:13">
      <c r="A960" s="408">
        <v>43145</v>
      </c>
      <c r="B960" s="411">
        <v>2698.63</v>
      </c>
      <c r="C960" s="418">
        <f t="shared" si="136"/>
        <v>1.3402479965752168E-2</v>
      </c>
      <c r="D960" s="411">
        <v>52.2</v>
      </c>
      <c r="E960" s="418">
        <f t="shared" si="137"/>
        <v>5.7504312823453141E-4</v>
      </c>
      <c r="F960" s="411">
        <v>2698.63</v>
      </c>
      <c r="G960" s="418">
        <f t="shared" si="138"/>
        <v>1.3402479965752168E-2</v>
      </c>
      <c r="H960" s="411">
        <v>52.2</v>
      </c>
      <c r="I960" s="418">
        <f t="shared" si="139"/>
        <v>5.7504312823453141E-4</v>
      </c>
      <c r="J960" s="411"/>
      <c r="K960" s="388"/>
      <c r="M960" s="388"/>
    </row>
    <row r="961" spans="1:13">
      <c r="A961" s="408">
        <v>43144</v>
      </c>
      <c r="B961" s="411">
        <v>2662.94</v>
      </c>
      <c r="C961" s="418">
        <f t="shared" si="136"/>
        <v>2.6129518072288693E-3</v>
      </c>
      <c r="D961" s="411">
        <v>52.17</v>
      </c>
      <c r="E961" s="418">
        <f t="shared" si="137"/>
        <v>2.305475504322807E-3</v>
      </c>
      <c r="F961" s="411">
        <v>2662.94</v>
      </c>
      <c r="G961" s="418">
        <f t="shared" si="138"/>
        <v>2.6129518072288693E-3</v>
      </c>
      <c r="H961" s="411">
        <v>52.17</v>
      </c>
      <c r="I961" s="418">
        <f t="shared" si="139"/>
        <v>2.305475504322807E-3</v>
      </c>
      <c r="J961" s="411"/>
      <c r="K961" s="388"/>
      <c r="M961" s="388"/>
    </row>
    <row r="962" spans="1:13">
      <c r="A962" s="408">
        <v>43143</v>
      </c>
      <c r="B962" s="411">
        <v>2656</v>
      </c>
      <c r="C962" s="418">
        <f t="shared" si="136"/>
        <v>1.3914603653299107E-2</v>
      </c>
      <c r="D962" s="411">
        <v>52.05</v>
      </c>
      <c r="E962" s="418">
        <f t="shared" si="137"/>
        <v>3.1510107015457756E-2</v>
      </c>
      <c r="F962" s="411">
        <v>2656</v>
      </c>
      <c r="G962" s="418">
        <f t="shared" si="138"/>
        <v>1.3914603653299107E-2</v>
      </c>
      <c r="H962" s="411">
        <v>52.05</v>
      </c>
      <c r="I962" s="418">
        <f t="shared" si="139"/>
        <v>3.1510107015457756E-2</v>
      </c>
      <c r="J962" s="411"/>
      <c r="K962" s="388"/>
      <c r="M962" s="388"/>
    </row>
    <row r="963" spans="1:13">
      <c r="A963" s="408">
        <v>43140</v>
      </c>
      <c r="B963" s="411">
        <v>2619.5500000000002</v>
      </c>
      <c r="C963" s="418">
        <f t="shared" si="136"/>
        <v>1.4936071290197583E-2</v>
      </c>
      <c r="D963" s="411">
        <v>50.46</v>
      </c>
      <c r="E963" s="418">
        <f t="shared" si="137"/>
        <v>-1.5030255709545082E-2</v>
      </c>
      <c r="F963" s="411">
        <v>2619.5500000000002</v>
      </c>
      <c r="G963" s="418">
        <f t="shared" si="138"/>
        <v>1.4936071290197583E-2</v>
      </c>
      <c r="H963" s="411">
        <v>50.46</v>
      </c>
      <c r="I963" s="418">
        <f t="shared" si="139"/>
        <v>-1.5030255709545082E-2</v>
      </c>
      <c r="J963" s="411"/>
      <c r="K963" s="388"/>
      <c r="M963" s="388"/>
    </row>
    <row r="964" spans="1:13">
      <c r="A964" s="408">
        <v>43139</v>
      </c>
      <c r="B964" s="411">
        <v>2581</v>
      </c>
      <c r="C964" s="418">
        <f t="shared" si="136"/>
        <v>-3.7536451302551344E-2</v>
      </c>
      <c r="D964" s="411">
        <v>51.23</v>
      </c>
      <c r="E964" s="418">
        <f t="shared" si="137"/>
        <v>-4.8653667595171868E-2</v>
      </c>
      <c r="F964" s="411">
        <v>2581</v>
      </c>
      <c r="G964" s="418">
        <f t="shared" si="138"/>
        <v>-3.7536451302551344E-2</v>
      </c>
      <c r="H964" s="411">
        <v>51.23</v>
      </c>
      <c r="I964" s="418">
        <f t="shared" si="139"/>
        <v>-4.8653667595171868E-2</v>
      </c>
      <c r="J964" s="411"/>
      <c r="K964" s="388"/>
      <c r="M964" s="388"/>
    </row>
    <row r="965" spans="1:13">
      <c r="A965" s="408">
        <v>43138</v>
      </c>
      <c r="B965" s="411">
        <v>2681.66</v>
      </c>
      <c r="C965" s="418">
        <f t="shared" si="136"/>
        <v>-5.0015954644285765E-3</v>
      </c>
      <c r="D965" s="411">
        <v>53.85</v>
      </c>
      <c r="E965" s="418">
        <f t="shared" si="137"/>
        <v>1.4124293785310771E-2</v>
      </c>
      <c r="F965" s="411">
        <v>2681.66</v>
      </c>
      <c r="G965" s="418">
        <f t="shared" si="138"/>
        <v>-5.0015954644285765E-3</v>
      </c>
      <c r="H965" s="411">
        <v>53.85</v>
      </c>
      <c r="I965" s="418">
        <f t="shared" si="139"/>
        <v>1.4124293785310771E-2</v>
      </c>
      <c r="J965" s="411"/>
      <c r="K965" s="388"/>
      <c r="M965" s="388"/>
    </row>
    <row r="966" spans="1:13">
      <c r="A966" s="408">
        <v>43137</v>
      </c>
      <c r="B966" s="411">
        <v>2695.14</v>
      </c>
      <c r="C966" s="418">
        <f t="shared" si="136"/>
        <v>1.7440938639606607E-2</v>
      </c>
      <c r="D966" s="411">
        <v>53.1</v>
      </c>
      <c r="E966" s="418">
        <f t="shared" si="137"/>
        <v>1.1043412033511002E-2</v>
      </c>
      <c r="F966" s="411">
        <v>2695.14</v>
      </c>
      <c r="G966" s="418">
        <f t="shared" si="138"/>
        <v>1.7440938639606607E-2</v>
      </c>
      <c r="H966" s="411">
        <v>53.1</v>
      </c>
      <c r="I966" s="418">
        <f t="shared" si="139"/>
        <v>1.1043412033511002E-2</v>
      </c>
      <c r="J966" s="411"/>
      <c r="K966" s="388"/>
      <c r="M966" s="388"/>
    </row>
    <row r="967" spans="1:13">
      <c r="A967" s="408">
        <v>43136</v>
      </c>
      <c r="B967" s="411">
        <v>2648.94</v>
      </c>
      <c r="C967" s="418">
        <f t="shared" si="136"/>
        <v>-4.0979244278871785E-2</v>
      </c>
      <c r="D967" s="411">
        <v>52.52</v>
      </c>
      <c r="E967" s="418">
        <f t="shared" si="137"/>
        <v>-3.8447455144635545E-2</v>
      </c>
      <c r="F967" s="411">
        <v>2648.94</v>
      </c>
      <c r="G967" s="418">
        <f t="shared" si="138"/>
        <v>-4.0979244278871785E-2</v>
      </c>
      <c r="H967" s="411">
        <v>52.52</v>
      </c>
      <c r="I967" s="418">
        <f t="shared" si="139"/>
        <v>-3.8447455144635545E-2</v>
      </c>
      <c r="J967" s="411"/>
      <c r="K967" s="388"/>
      <c r="M967" s="388"/>
    </row>
    <row r="968" spans="1:13">
      <c r="A968" s="408">
        <v>43133</v>
      </c>
      <c r="B968" s="411">
        <v>2762.13</v>
      </c>
      <c r="C968" s="418">
        <f t="shared" ref="C968:C1031" si="140">B968/B969-1</f>
        <v>-2.1208513171602883E-2</v>
      </c>
      <c r="D968" s="411">
        <v>54.62</v>
      </c>
      <c r="E968" s="418">
        <f t="shared" ref="E968:E1031" si="141">D968/D969-1</f>
        <v>-3.1903580290677191E-2</v>
      </c>
      <c r="F968" s="411">
        <v>2762.13</v>
      </c>
      <c r="G968" s="418">
        <f t="shared" ref="G968:G1031" si="142">F968/F969-1</f>
        <v>-2.1208513171602883E-2</v>
      </c>
      <c r="H968" s="411">
        <v>54.62</v>
      </c>
      <c r="I968" s="418">
        <f t="shared" ref="I968:I1031" si="143">H968/H969-1</f>
        <v>-3.1903580290677191E-2</v>
      </c>
      <c r="J968" s="411"/>
      <c r="K968" s="388"/>
      <c r="M968" s="388"/>
    </row>
    <row r="969" spans="1:13">
      <c r="A969" s="408">
        <v>43132</v>
      </c>
      <c r="B969" s="411">
        <v>2821.98</v>
      </c>
      <c r="C969" s="418">
        <f t="shared" si="140"/>
        <v>-6.4806059897792867E-4</v>
      </c>
      <c r="D969" s="411">
        <v>56.42</v>
      </c>
      <c r="E969" s="418">
        <f t="shared" si="141"/>
        <v>-6.1652281134402243E-3</v>
      </c>
      <c r="F969" s="411">
        <v>2821.98</v>
      </c>
      <c r="G969" s="418">
        <f t="shared" si="142"/>
        <v>-6.4806059897792867E-4</v>
      </c>
      <c r="H969" s="411">
        <v>56.42</v>
      </c>
      <c r="I969" s="418">
        <f t="shared" si="143"/>
        <v>-6.1652281134402243E-3</v>
      </c>
      <c r="J969" s="411"/>
      <c r="K969" s="388"/>
      <c r="M969" s="388"/>
    </row>
    <row r="970" spans="1:13">
      <c r="A970" s="408">
        <v>43131</v>
      </c>
      <c r="B970" s="411">
        <v>2823.81</v>
      </c>
      <c r="C970" s="418">
        <f t="shared" si="140"/>
        <v>4.8894038116098493E-4</v>
      </c>
      <c r="D970" s="411">
        <v>56.77</v>
      </c>
      <c r="E970" s="418">
        <f t="shared" si="141"/>
        <v>1.1582323592302268E-2</v>
      </c>
      <c r="F970" s="411">
        <v>2823.81</v>
      </c>
      <c r="G970" s="418">
        <f t="shared" si="142"/>
        <v>4.8894038116098493E-4</v>
      </c>
      <c r="H970" s="411">
        <v>56.77</v>
      </c>
      <c r="I970" s="418">
        <f t="shared" si="143"/>
        <v>1.1582323592302268E-2</v>
      </c>
      <c r="J970" s="411"/>
      <c r="K970" s="388"/>
      <c r="M970" s="388"/>
    </row>
    <row r="971" spans="1:13">
      <c r="A971" s="408">
        <v>43130</v>
      </c>
      <c r="B971" s="411">
        <v>2822.43</v>
      </c>
      <c r="C971" s="418">
        <f t="shared" si="140"/>
        <v>-1.0898781509218525E-2</v>
      </c>
      <c r="D971" s="411">
        <v>56.12</v>
      </c>
      <c r="E971" s="418">
        <f t="shared" si="141"/>
        <v>6.4562410329984665E-3</v>
      </c>
      <c r="F971" s="411">
        <v>2822.43</v>
      </c>
      <c r="G971" s="418">
        <f t="shared" si="142"/>
        <v>-1.0898781509218525E-2</v>
      </c>
      <c r="H971" s="411">
        <v>56.12</v>
      </c>
      <c r="I971" s="418">
        <f t="shared" si="143"/>
        <v>6.4562410329984665E-3</v>
      </c>
      <c r="J971" s="411"/>
      <c r="K971" s="388"/>
      <c r="M971" s="388"/>
    </row>
    <row r="972" spans="1:13">
      <c r="A972" s="408">
        <v>43129</v>
      </c>
      <c r="B972" s="411">
        <v>2853.53</v>
      </c>
      <c r="C972" s="418">
        <f t="shared" si="140"/>
        <v>-6.731944014173874E-3</v>
      </c>
      <c r="D972" s="411">
        <v>55.76</v>
      </c>
      <c r="E972" s="418">
        <f t="shared" si="141"/>
        <v>9.0481360839667069E-3</v>
      </c>
      <c r="F972" s="411">
        <v>2853.53</v>
      </c>
      <c r="G972" s="418">
        <f t="shared" si="142"/>
        <v>-6.731944014173874E-3</v>
      </c>
      <c r="H972" s="411">
        <v>55.76</v>
      </c>
      <c r="I972" s="418">
        <f t="shared" si="143"/>
        <v>9.0481360839667069E-3</v>
      </c>
      <c r="J972" s="411"/>
      <c r="K972" s="388"/>
      <c r="M972" s="388"/>
    </row>
    <row r="973" spans="1:13">
      <c r="A973" s="408">
        <v>43126</v>
      </c>
      <c r="B973" s="411">
        <v>2872.87</v>
      </c>
      <c r="C973" s="418">
        <f t="shared" si="140"/>
        <v>1.1841155234656897E-2</v>
      </c>
      <c r="D973" s="411">
        <v>55.26</v>
      </c>
      <c r="E973" s="418">
        <f t="shared" si="141"/>
        <v>8.2101806239736064E-3</v>
      </c>
      <c r="F973" s="411">
        <v>2872.87</v>
      </c>
      <c r="G973" s="418">
        <f t="shared" si="142"/>
        <v>1.1841155234656897E-2</v>
      </c>
      <c r="H973" s="411">
        <v>55.26</v>
      </c>
      <c r="I973" s="418">
        <f t="shared" si="143"/>
        <v>8.2101806239736064E-3</v>
      </c>
      <c r="J973" s="411"/>
      <c r="K973" s="388"/>
      <c r="M973" s="388"/>
    </row>
    <row r="974" spans="1:13">
      <c r="A974" s="408">
        <v>43125</v>
      </c>
      <c r="B974" s="411">
        <v>2839.25</v>
      </c>
      <c r="C974" s="418">
        <f t="shared" si="140"/>
        <v>6.0263467651555658E-4</v>
      </c>
      <c r="D974" s="411">
        <v>54.81</v>
      </c>
      <c r="E974" s="418">
        <f t="shared" si="141"/>
        <v>-3.5035211267605559E-2</v>
      </c>
      <c r="F974" s="411">
        <v>2839.25</v>
      </c>
      <c r="G974" s="418">
        <f t="shared" si="142"/>
        <v>6.0263467651555658E-4</v>
      </c>
      <c r="H974" s="411">
        <v>54.81</v>
      </c>
      <c r="I974" s="418">
        <f t="shared" si="143"/>
        <v>-3.5035211267605559E-2</v>
      </c>
      <c r="J974" s="411"/>
      <c r="K974" s="388"/>
      <c r="M974" s="388"/>
    </row>
    <row r="975" spans="1:13">
      <c r="A975" s="408">
        <v>43124</v>
      </c>
      <c r="B975" s="411">
        <v>2837.54</v>
      </c>
      <c r="C975" s="418">
        <f t="shared" si="140"/>
        <v>-5.6003071363419643E-4</v>
      </c>
      <c r="D975" s="411">
        <v>56.8</v>
      </c>
      <c r="E975" s="418">
        <f t="shared" si="141"/>
        <v>-5.2227598865342895E-2</v>
      </c>
      <c r="F975" s="411">
        <v>2837.54</v>
      </c>
      <c r="G975" s="418">
        <f t="shared" si="142"/>
        <v>-5.6003071363419643E-4</v>
      </c>
      <c r="H975" s="411">
        <v>56.8</v>
      </c>
      <c r="I975" s="418">
        <f t="shared" si="143"/>
        <v>-5.2227598865342895E-2</v>
      </c>
      <c r="J975" s="411"/>
      <c r="K975" s="388"/>
      <c r="M975" s="388"/>
    </row>
    <row r="976" spans="1:13">
      <c r="A976" s="408">
        <v>43123</v>
      </c>
      <c r="B976" s="411">
        <v>2839.13</v>
      </c>
      <c r="C976" s="418">
        <f t="shared" si="140"/>
        <v>2.1743964814313621E-3</v>
      </c>
      <c r="D976" s="411">
        <v>59.93</v>
      </c>
      <c r="E976" s="418">
        <f t="shared" si="141"/>
        <v>-3.3261267254283133E-3</v>
      </c>
      <c r="F976" s="411">
        <v>2839.13</v>
      </c>
      <c r="G976" s="418">
        <f t="shared" si="142"/>
        <v>2.1743964814313621E-3</v>
      </c>
      <c r="H976" s="411">
        <v>59.93</v>
      </c>
      <c r="I976" s="418">
        <f t="shared" si="143"/>
        <v>-3.3261267254283133E-3</v>
      </c>
      <c r="J976" s="411"/>
      <c r="K976" s="388"/>
      <c r="M976" s="388"/>
    </row>
    <row r="977" spans="1:13">
      <c r="A977" s="408">
        <v>43122</v>
      </c>
      <c r="B977" s="411">
        <v>2832.97</v>
      </c>
      <c r="C977" s="418">
        <f t="shared" si="140"/>
        <v>8.0667544390278234E-3</v>
      </c>
      <c r="D977" s="411">
        <v>60.13</v>
      </c>
      <c r="E977" s="418">
        <f t="shared" si="141"/>
        <v>1.9996667222130782E-3</v>
      </c>
      <c r="F977" s="411">
        <v>2832.97</v>
      </c>
      <c r="G977" s="418">
        <f t="shared" si="142"/>
        <v>8.0667544390278234E-3</v>
      </c>
      <c r="H977" s="411">
        <v>60.13</v>
      </c>
      <c r="I977" s="418">
        <f t="shared" si="143"/>
        <v>1.9996667222130782E-3</v>
      </c>
      <c r="J977" s="411"/>
      <c r="K977" s="388"/>
      <c r="M977" s="388"/>
    </row>
    <row r="978" spans="1:13">
      <c r="A978" s="408">
        <v>43119</v>
      </c>
      <c r="B978" s="411">
        <v>2810.3</v>
      </c>
      <c r="C978" s="418">
        <f t="shared" si="140"/>
        <v>4.3852281783969271E-3</v>
      </c>
      <c r="D978" s="411">
        <v>60.01</v>
      </c>
      <c r="E978" s="418">
        <f t="shared" si="141"/>
        <v>9.4196804037005588E-3</v>
      </c>
      <c r="F978" s="411">
        <v>2810.3</v>
      </c>
      <c r="G978" s="418">
        <f t="shared" si="142"/>
        <v>4.3852281783969271E-3</v>
      </c>
      <c r="H978" s="411">
        <v>60.01</v>
      </c>
      <c r="I978" s="418">
        <f t="shared" si="143"/>
        <v>9.4196804037005588E-3</v>
      </c>
      <c r="J978" s="411"/>
      <c r="K978" s="388"/>
      <c r="M978" s="388"/>
    </row>
    <row r="979" spans="1:13">
      <c r="A979" s="408">
        <v>43118</v>
      </c>
      <c r="B979" s="411">
        <v>2798.03</v>
      </c>
      <c r="C979" s="418">
        <f t="shared" si="140"/>
        <v>-1.616379310344751E-3</v>
      </c>
      <c r="D979" s="411">
        <v>59.45</v>
      </c>
      <c r="E979" s="418">
        <f t="shared" si="141"/>
        <v>-4.5210984594774573E-3</v>
      </c>
      <c r="F979" s="411">
        <v>2798.03</v>
      </c>
      <c r="G979" s="418">
        <f t="shared" si="142"/>
        <v>-1.616379310344751E-3</v>
      </c>
      <c r="H979" s="411">
        <v>59.45</v>
      </c>
      <c r="I979" s="418">
        <f t="shared" si="143"/>
        <v>-4.5210984594774573E-3</v>
      </c>
      <c r="J979" s="411"/>
      <c r="K979" s="388"/>
      <c r="M979" s="388"/>
    </row>
    <row r="980" spans="1:13">
      <c r="A980" s="408">
        <v>43117</v>
      </c>
      <c r="B980" s="411">
        <v>2802.56</v>
      </c>
      <c r="C980" s="418">
        <f t="shared" si="140"/>
        <v>9.4150020530034961E-3</v>
      </c>
      <c r="D980" s="411">
        <v>59.72</v>
      </c>
      <c r="E980" s="418">
        <f t="shared" si="141"/>
        <v>6.2342038753158135E-3</v>
      </c>
      <c r="F980" s="411">
        <v>2802.56</v>
      </c>
      <c r="G980" s="418">
        <f t="shared" si="142"/>
        <v>9.4150020530034961E-3</v>
      </c>
      <c r="H980" s="411">
        <v>59.72</v>
      </c>
      <c r="I980" s="418">
        <f t="shared" si="143"/>
        <v>6.2342038753158135E-3</v>
      </c>
      <c r="J980" s="411"/>
      <c r="K980" s="388"/>
      <c r="M980" s="388"/>
    </row>
    <row r="981" spans="1:13">
      <c r="A981" s="408">
        <v>43116</v>
      </c>
      <c r="B981" s="411">
        <v>2776.42</v>
      </c>
      <c r="C981" s="418">
        <f t="shared" si="140"/>
        <v>-3.5244630756861017E-3</v>
      </c>
      <c r="D981" s="411">
        <v>59.35</v>
      </c>
      <c r="E981" s="418">
        <f t="shared" si="141"/>
        <v>-8.0227310713688604E-3</v>
      </c>
      <c r="F981" s="411">
        <v>2776.42</v>
      </c>
      <c r="G981" s="418">
        <f t="shared" si="142"/>
        <v>-3.5244630756861017E-3</v>
      </c>
      <c r="H981" s="411">
        <v>59.35</v>
      </c>
      <c r="I981" s="418">
        <f t="shared" si="143"/>
        <v>-8.0227310713688604E-3</v>
      </c>
      <c r="J981" s="411"/>
      <c r="K981" s="388"/>
      <c r="M981" s="388"/>
    </row>
    <row r="982" spans="1:13">
      <c r="A982" s="408">
        <v>43112</v>
      </c>
      <c r="B982" s="411">
        <v>2786.24</v>
      </c>
      <c r="C982" s="418">
        <f t="shared" si="140"/>
        <v>6.749627831013516E-3</v>
      </c>
      <c r="D982" s="411">
        <v>59.83</v>
      </c>
      <c r="E982" s="418">
        <f t="shared" si="141"/>
        <v>2.2385509227614397E-2</v>
      </c>
      <c r="F982" s="411">
        <v>2786.24</v>
      </c>
      <c r="G982" s="418">
        <f t="shared" si="142"/>
        <v>6.749627831013516E-3</v>
      </c>
      <c r="H982" s="411">
        <v>59.83</v>
      </c>
      <c r="I982" s="418">
        <f t="shared" si="143"/>
        <v>2.2385509227614397E-2</v>
      </c>
      <c r="J982" s="411"/>
      <c r="K982" s="388"/>
      <c r="M982" s="388"/>
    </row>
    <row r="983" spans="1:13">
      <c r="A983" s="408">
        <v>43111</v>
      </c>
      <c r="B983" s="411">
        <v>2767.56</v>
      </c>
      <c r="C983" s="418">
        <f t="shared" si="140"/>
        <v>7.0336180014045624E-3</v>
      </c>
      <c r="D983" s="411">
        <v>58.52</v>
      </c>
      <c r="E983" s="418">
        <f t="shared" si="141"/>
        <v>4.7619047619047672E-2</v>
      </c>
      <c r="F983" s="411">
        <v>2767.56</v>
      </c>
      <c r="G983" s="418">
        <f t="shared" si="142"/>
        <v>7.0336180014045624E-3</v>
      </c>
      <c r="H983" s="411">
        <v>58.52</v>
      </c>
      <c r="I983" s="418">
        <f t="shared" si="143"/>
        <v>4.7619047619047672E-2</v>
      </c>
      <c r="J983" s="411"/>
      <c r="K983" s="388"/>
      <c r="M983" s="388"/>
    </row>
    <row r="984" spans="1:13">
      <c r="A984" s="408">
        <v>43110</v>
      </c>
      <c r="B984" s="411">
        <v>2748.23</v>
      </c>
      <c r="C984" s="418">
        <f t="shared" si="140"/>
        <v>-1.1122055472160275E-3</v>
      </c>
      <c r="D984" s="411">
        <v>55.86</v>
      </c>
      <c r="E984" s="418">
        <f t="shared" si="141"/>
        <v>3.1198080118146621E-2</v>
      </c>
      <c r="F984" s="411">
        <v>2748.23</v>
      </c>
      <c r="G984" s="418">
        <f t="shared" si="142"/>
        <v>-1.1122055472160275E-3</v>
      </c>
      <c r="H984" s="411">
        <v>55.86</v>
      </c>
      <c r="I984" s="418">
        <f t="shared" si="143"/>
        <v>3.1198080118146621E-2</v>
      </c>
      <c r="J984" s="411"/>
      <c r="K984" s="388"/>
      <c r="M984" s="388"/>
    </row>
    <row r="985" spans="1:13">
      <c r="A985" s="408">
        <v>43109</v>
      </c>
      <c r="B985" s="411">
        <v>2751.29</v>
      </c>
      <c r="C985" s="418">
        <f t="shared" si="140"/>
        <v>1.3029031448006378E-3</v>
      </c>
      <c r="D985" s="411">
        <v>54.17</v>
      </c>
      <c r="E985" s="418">
        <f t="shared" si="141"/>
        <v>-9.3269934162398815E-3</v>
      </c>
      <c r="F985" s="411">
        <v>2751.29</v>
      </c>
      <c r="G985" s="418">
        <f t="shared" si="142"/>
        <v>1.3029031448006378E-3</v>
      </c>
      <c r="H985" s="411">
        <v>54.17</v>
      </c>
      <c r="I985" s="418">
        <f t="shared" si="143"/>
        <v>-9.3269934162398815E-3</v>
      </c>
      <c r="J985" s="411"/>
      <c r="K985" s="388"/>
      <c r="M985" s="388"/>
    </row>
    <row r="986" spans="1:13">
      <c r="A986" s="408">
        <v>43108</v>
      </c>
      <c r="B986" s="411">
        <v>2747.71</v>
      </c>
      <c r="C986" s="418">
        <f t="shared" si="140"/>
        <v>1.6623225124401397E-3</v>
      </c>
      <c r="D986" s="411">
        <v>54.68</v>
      </c>
      <c r="E986" s="418">
        <f t="shared" si="141"/>
        <v>-2.3048061461497182E-2</v>
      </c>
      <c r="F986" s="411">
        <v>2747.71</v>
      </c>
      <c r="G986" s="418">
        <f t="shared" si="142"/>
        <v>1.6623225124401397E-3</v>
      </c>
      <c r="H986" s="411">
        <v>54.68</v>
      </c>
      <c r="I986" s="418">
        <f t="shared" si="143"/>
        <v>-2.3048061461497182E-2</v>
      </c>
      <c r="J986" s="411"/>
      <c r="K986" s="388"/>
      <c r="M986" s="388"/>
    </row>
    <row r="987" spans="1:13">
      <c r="A987" s="408">
        <v>43105</v>
      </c>
      <c r="B987" s="411">
        <v>2743.15</v>
      </c>
      <c r="C987" s="418">
        <f t="shared" si="140"/>
        <v>7.0337996835525551E-3</v>
      </c>
      <c r="D987" s="411">
        <v>55.97</v>
      </c>
      <c r="E987" s="418">
        <f t="shared" si="141"/>
        <v>5.027832644999064E-3</v>
      </c>
      <c r="F987" s="411">
        <v>2743.15</v>
      </c>
      <c r="G987" s="418">
        <f t="shared" si="142"/>
        <v>7.0337996835525551E-3</v>
      </c>
      <c r="H987" s="411">
        <v>55.97</v>
      </c>
      <c r="I987" s="418">
        <f t="shared" si="143"/>
        <v>5.027832644999064E-3</v>
      </c>
      <c r="J987" s="411"/>
      <c r="K987" s="388"/>
      <c r="M987" s="388"/>
    </row>
    <row r="988" spans="1:13">
      <c r="A988" s="408">
        <v>43104</v>
      </c>
      <c r="B988" s="411">
        <v>2723.99</v>
      </c>
      <c r="C988" s="418">
        <f t="shared" si="140"/>
        <v>4.0286613639211044E-3</v>
      </c>
      <c r="D988" s="411">
        <v>55.69</v>
      </c>
      <c r="E988" s="418">
        <f t="shared" si="141"/>
        <v>0</v>
      </c>
      <c r="F988" s="411">
        <v>2723.99</v>
      </c>
      <c r="G988" s="418">
        <f t="shared" si="142"/>
        <v>4.0286613639211044E-3</v>
      </c>
      <c r="H988" s="411">
        <v>55.69</v>
      </c>
      <c r="I988" s="418">
        <f t="shared" si="143"/>
        <v>0</v>
      </c>
      <c r="J988" s="411"/>
      <c r="K988" s="388"/>
      <c r="M988" s="388"/>
    </row>
    <row r="989" spans="1:13">
      <c r="A989" s="408">
        <v>43103</v>
      </c>
      <c r="B989" s="411">
        <v>2713.06</v>
      </c>
      <c r="C989" s="418">
        <f t="shared" si="140"/>
        <v>6.3988189078607594E-3</v>
      </c>
      <c r="D989" s="411">
        <v>55.69</v>
      </c>
      <c r="E989" s="418">
        <f t="shared" si="141"/>
        <v>-1.850546351780058E-2</v>
      </c>
      <c r="F989" s="411">
        <v>2713.06</v>
      </c>
      <c r="G989" s="418">
        <f t="shared" si="142"/>
        <v>6.3988189078607594E-3</v>
      </c>
      <c r="H989" s="411">
        <v>55.69</v>
      </c>
      <c r="I989" s="418">
        <f t="shared" si="143"/>
        <v>-1.850546351780058E-2</v>
      </c>
      <c r="J989" s="411"/>
      <c r="K989" s="388"/>
      <c r="M989" s="388"/>
    </row>
    <row r="990" spans="1:13">
      <c r="A990" s="408">
        <v>43102</v>
      </c>
      <c r="B990" s="411">
        <v>2695.81</v>
      </c>
      <c r="C990" s="418">
        <f t="shared" si="140"/>
        <v>8.3033800741318942E-3</v>
      </c>
      <c r="D990" s="411">
        <v>56.74</v>
      </c>
      <c r="E990" s="418">
        <f t="shared" si="141"/>
        <v>1.3214285714285845E-2</v>
      </c>
      <c r="F990" s="411">
        <v>2695.81</v>
      </c>
      <c r="G990" s="418">
        <f t="shared" si="142"/>
        <v>8.3033800741318942E-3</v>
      </c>
      <c r="H990" s="411">
        <v>56.74</v>
      </c>
      <c r="I990" s="418">
        <f t="shared" si="143"/>
        <v>1.3214285714285845E-2</v>
      </c>
      <c r="J990" s="411"/>
      <c r="K990" s="388"/>
      <c r="M990" s="388"/>
    </row>
    <row r="991" spans="1:13">
      <c r="A991" s="408">
        <v>43098</v>
      </c>
      <c r="B991" s="411">
        <v>2673.61</v>
      </c>
      <c r="C991" s="418">
        <f t="shared" si="140"/>
        <v>-5.1831786689685577E-3</v>
      </c>
      <c r="D991" s="411">
        <v>56</v>
      </c>
      <c r="E991" s="418">
        <f t="shared" si="141"/>
        <v>-6.2111801242236142E-3</v>
      </c>
      <c r="F991" s="411">
        <v>2673.61</v>
      </c>
      <c r="G991" s="418">
        <f t="shared" si="142"/>
        <v>-5.1831786689685577E-3</v>
      </c>
      <c r="H991" s="411">
        <v>56</v>
      </c>
      <c r="I991" s="418">
        <f t="shared" si="143"/>
        <v>-6.2111801242236142E-3</v>
      </c>
      <c r="J991" s="411"/>
      <c r="K991" s="388"/>
      <c r="M991" s="388"/>
    </row>
    <row r="992" spans="1:13">
      <c r="A992" s="408">
        <v>43097</v>
      </c>
      <c r="B992" s="411">
        <v>2687.54</v>
      </c>
      <c r="C992" s="418">
        <f t="shared" si="140"/>
        <v>1.8340279279212002E-3</v>
      </c>
      <c r="D992" s="411">
        <v>56.35</v>
      </c>
      <c r="E992" s="418">
        <f t="shared" si="141"/>
        <v>4.098360655737876E-3</v>
      </c>
      <c r="F992" s="411">
        <v>2687.54</v>
      </c>
      <c r="G992" s="418">
        <f t="shared" si="142"/>
        <v>1.8340279279212002E-3</v>
      </c>
      <c r="H992" s="411">
        <v>56.35</v>
      </c>
      <c r="I992" s="418">
        <f t="shared" si="143"/>
        <v>4.098360655737876E-3</v>
      </c>
      <c r="J992" s="411"/>
      <c r="K992" s="388"/>
      <c r="M992" s="388"/>
    </row>
    <row r="993" spans="1:13">
      <c r="A993" s="408">
        <v>43096</v>
      </c>
      <c r="B993" s="411">
        <v>2682.62</v>
      </c>
      <c r="C993" s="418">
        <f t="shared" si="140"/>
        <v>7.9089722066782997E-4</v>
      </c>
      <c r="D993" s="411">
        <v>56.12</v>
      </c>
      <c r="E993" s="418">
        <f t="shared" si="141"/>
        <v>-5.4935318093213281E-3</v>
      </c>
      <c r="F993" s="411">
        <v>2682.62</v>
      </c>
      <c r="G993" s="418">
        <f t="shared" si="142"/>
        <v>7.9089722066782997E-4</v>
      </c>
      <c r="H993" s="411">
        <v>56.12</v>
      </c>
      <c r="I993" s="418">
        <f t="shared" si="143"/>
        <v>-5.4935318093213281E-3</v>
      </c>
      <c r="J993" s="411"/>
      <c r="K993" s="388"/>
      <c r="M993" s="388"/>
    </row>
    <row r="994" spans="1:13">
      <c r="A994" s="408">
        <v>43095</v>
      </c>
      <c r="B994" s="411">
        <v>2680.5</v>
      </c>
      <c r="C994" s="418">
        <f t="shared" si="140"/>
        <v>-1.0583824636460903E-3</v>
      </c>
      <c r="D994" s="411">
        <v>56.43</v>
      </c>
      <c r="E994" s="418">
        <f t="shared" si="141"/>
        <v>7.139032661074296E-3</v>
      </c>
      <c r="F994" s="411">
        <v>2680.5</v>
      </c>
      <c r="G994" s="418">
        <f t="shared" si="142"/>
        <v>-1.0583824636460903E-3</v>
      </c>
      <c r="H994" s="411">
        <v>56.43</v>
      </c>
      <c r="I994" s="418">
        <f t="shared" si="143"/>
        <v>7.139032661074296E-3</v>
      </c>
      <c r="J994" s="411"/>
      <c r="K994" s="388"/>
      <c r="M994" s="388"/>
    </row>
    <row r="995" spans="1:13">
      <c r="A995" s="408">
        <v>43091</v>
      </c>
      <c r="B995" s="411">
        <v>2683.34</v>
      </c>
      <c r="C995" s="418">
        <f t="shared" si="140"/>
        <v>-4.5817393474556489E-4</v>
      </c>
      <c r="D995" s="411">
        <v>56.03</v>
      </c>
      <c r="E995" s="418">
        <f t="shared" si="141"/>
        <v>0</v>
      </c>
      <c r="F995" s="411">
        <v>2683.34</v>
      </c>
      <c r="G995" s="418">
        <f t="shared" si="142"/>
        <v>-4.5817393474556489E-4</v>
      </c>
      <c r="H995" s="411">
        <v>56.03</v>
      </c>
      <c r="I995" s="418">
        <f t="shared" si="143"/>
        <v>0</v>
      </c>
      <c r="J995" s="411"/>
      <c r="K995" s="388"/>
      <c r="M995" s="388"/>
    </row>
    <row r="996" spans="1:13">
      <c r="A996" s="408">
        <v>43090</v>
      </c>
      <c r="B996" s="411">
        <v>2684.57</v>
      </c>
      <c r="C996" s="418">
        <f t="shared" si="140"/>
        <v>1.9856303069889503E-3</v>
      </c>
      <c r="D996" s="411">
        <v>56.03</v>
      </c>
      <c r="E996" s="418">
        <f t="shared" si="141"/>
        <v>-3.3795802205620618E-3</v>
      </c>
      <c r="F996" s="411">
        <v>2684.57</v>
      </c>
      <c r="G996" s="418">
        <f t="shared" si="142"/>
        <v>1.9856303069889503E-3</v>
      </c>
      <c r="H996" s="411">
        <v>56.03</v>
      </c>
      <c r="I996" s="418">
        <f t="shared" si="143"/>
        <v>-3.3795802205620618E-3</v>
      </c>
      <c r="J996" s="411"/>
      <c r="K996" s="388"/>
      <c r="M996" s="388"/>
    </row>
    <row r="997" spans="1:13">
      <c r="A997" s="408">
        <v>43089</v>
      </c>
      <c r="B997" s="411">
        <v>2679.25</v>
      </c>
      <c r="C997" s="418">
        <f t="shared" si="140"/>
        <v>-8.2790409737931725E-4</v>
      </c>
      <c r="D997" s="411">
        <v>56.22</v>
      </c>
      <c r="E997" s="418">
        <f t="shared" si="141"/>
        <v>8.4304932735426164E-3</v>
      </c>
      <c r="F997" s="411">
        <v>2679.25</v>
      </c>
      <c r="G997" s="418">
        <f t="shared" si="142"/>
        <v>-8.2790409737931725E-4</v>
      </c>
      <c r="H997" s="411">
        <v>56.22</v>
      </c>
      <c r="I997" s="418">
        <f t="shared" si="143"/>
        <v>8.4304932735426164E-3</v>
      </c>
      <c r="J997" s="411"/>
      <c r="K997" s="388"/>
      <c r="M997" s="388"/>
    </row>
    <row r="998" spans="1:13">
      <c r="A998" s="408">
        <v>43088</v>
      </c>
      <c r="B998" s="411">
        <v>2681.47</v>
      </c>
      <c r="C998" s="418">
        <f t="shared" si="140"/>
        <v>-3.230291135099761E-3</v>
      </c>
      <c r="D998" s="411">
        <v>55.75</v>
      </c>
      <c r="E998" s="418">
        <f t="shared" si="141"/>
        <v>-5.7071517745674871E-3</v>
      </c>
      <c r="F998" s="411">
        <v>2681.47</v>
      </c>
      <c r="G998" s="418">
        <f t="shared" si="142"/>
        <v>-3.230291135099761E-3</v>
      </c>
      <c r="H998" s="411">
        <v>55.75</v>
      </c>
      <c r="I998" s="418">
        <f t="shared" si="143"/>
        <v>-5.7071517745674871E-3</v>
      </c>
      <c r="J998" s="411"/>
      <c r="K998" s="388"/>
      <c r="M998" s="388"/>
    </row>
    <row r="999" spans="1:13">
      <c r="A999" s="408">
        <v>43087</v>
      </c>
      <c r="B999" s="411">
        <v>2690.16</v>
      </c>
      <c r="C999" s="418">
        <f t="shared" si="140"/>
        <v>5.3628620866204013E-3</v>
      </c>
      <c r="D999" s="411">
        <v>56.07</v>
      </c>
      <c r="E999" s="418">
        <f t="shared" si="141"/>
        <v>-5.347593582888388E-4</v>
      </c>
      <c r="F999" s="411">
        <v>2690.16</v>
      </c>
      <c r="G999" s="418">
        <f t="shared" si="142"/>
        <v>5.3628620866204013E-3</v>
      </c>
      <c r="H999" s="411">
        <v>56.07</v>
      </c>
      <c r="I999" s="418">
        <f t="shared" si="143"/>
        <v>-5.347593582888388E-4</v>
      </c>
      <c r="J999" s="411"/>
      <c r="K999" s="388"/>
      <c r="M999" s="388"/>
    </row>
    <row r="1000" spans="1:13">
      <c r="A1000" s="408">
        <v>43084</v>
      </c>
      <c r="B1000" s="411">
        <v>2675.81</v>
      </c>
      <c r="C1000" s="418">
        <f t="shared" si="140"/>
        <v>8.9743251345204555E-3</v>
      </c>
      <c r="D1000" s="411">
        <v>56.1</v>
      </c>
      <c r="E1000" s="418">
        <f t="shared" si="141"/>
        <v>1.538461538461533E-2</v>
      </c>
      <c r="F1000" s="411">
        <v>2675.81</v>
      </c>
      <c r="G1000" s="418">
        <f t="shared" si="142"/>
        <v>8.9743251345204555E-3</v>
      </c>
      <c r="H1000" s="411">
        <v>56.1</v>
      </c>
      <c r="I1000" s="418">
        <f t="shared" si="143"/>
        <v>1.538461538461533E-2</v>
      </c>
      <c r="J1000" s="411"/>
      <c r="K1000" s="388"/>
      <c r="M1000" s="388"/>
    </row>
    <row r="1001" spans="1:13">
      <c r="A1001" s="408">
        <v>43083</v>
      </c>
      <c r="B1001" s="411">
        <v>2652.01</v>
      </c>
      <c r="C1001" s="418">
        <f t="shared" si="140"/>
        <v>-4.0708263702422531E-3</v>
      </c>
      <c r="D1001" s="411">
        <v>55.25</v>
      </c>
      <c r="E1001" s="418">
        <f t="shared" si="141"/>
        <v>3.0206973708745144E-2</v>
      </c>
      <c r="F1001" s="411">
        <v>2652.01</v>
      </c>
      <c r="G1001" s="418">
        <f t="shared" si="142"/>
        <v>-4.0708263702422531E-3</v>
      </c>
      <c r="H1001" s="411">
        <v>55.25</v>
      </c>
      <c r="I1001" s="418">
        <f t="shared" si="143"/>
        <v>3.0206973708745144E-2</v>
      </c>
      <c r="J1001" s="411"/>
      <c r="K1001" s="388"/>
      <c r="M1001" s="388"/>
    </row>
    <row r="1002" spans="1:13">
      <c r="A1002" s="408">
        <v>43082</v>
      </c>
      <c r="B1002" s="411">
        <v>2662.85</v>
      </c>
      <c r="C1002" s="418">
        <f t="shared" si="140"/>
        <v>-4.7295344411457663E-4</v>
      </c>
      <c r="D1002" s="411">
        <v>53.63</v>
      </c>
      <c r="E1002" s="418">
        <f t="shared" si="141"/>
        <v>1.8649757553168556E-4</v>
      </c>
      <c r="F1002" s="411">
        <v>2662.85</v>
      </c>
      <c r="G1002" s="418">
        <f t="shared" si="142"/>
        <v>-4.7295344411457663E-4</v>
      </c>
      <c r="H1002" s="411">
        <v>53.63</v>
      </c>
      <c r="I1002" s="418">
        <f t="shared" si="143"/>
        <v>1.8649757553168556E-4</v>
      </c>
      <c r="J1002" s="411"/>
      <c r="K1002" s="388"/>
      <c r="M1002" s="388"/>
    </row>
    <row r="1003" spans="1:13">
      <c r="A1003" s="408">
        <v>43081</v>
      </c>
      <c r="B1003" s="411">
        <v>2664.11</v>
      </c>
      <c r="C1003" s="418">
        <f t="shared" si="140"/>
        <v>1.5488780033008354E-3</v>
      </c>
      <c r="D1003" s="411">
        <v>53.62</v>
      </c>
      <c r="E1003" s="418">
        <f t="shared" si="141"/>
        <v>-1.3794371896266311E-2</v>
      </c>
      <c r="F1003" s="411">
        <v>2664.11</v>
      </c>
      <c r="G1003" s="418">
        <f t="shared" si="142"/>
        <v>1.5488780033008354E-3</v>
      </c>
      <c r="H1003" s="411">
        <v>53.62</v>
      </c>
      <c r="I1003" s="418">
        <f t="shared" si="143"/>
        <v>-1.3794371896266311E-2</v>
      </c>
      <c r="J1003" s="411"/>
      <c r="K1003" s="388"/>
      <c r="M1003" s="388"/>
    </row>
    <row r="1004" spans="1:13">
      <c r="A1004" s="408">
        <v>43080</v>
      </c>
      <c r="B1004" s="411">
        <v>2659.99</v>
      </c>
      <c r="C1004" s="418">
        <f t="shared" si="140"/>
        <v>3.2019611540636816E-3</v>
      </c>
      <c r="D1004" s="411">
        <v>54.37</v>
      </c>
      <c r="E1004" s="418">
        <f t="shared" si="141"/>
        <v>1.7022072577628E-2</v>
      </c>
      <c r="F1004" s="411">
        <v>2659.99</v>
      </c>
      <c r="G1004" s="418">
        <f t="shared" si="142"/>
        <v>3.2019611540636816E-3</v>
      </c>
      <c r="H1004" s="411">
        <v>54.37</v>
      </c>
      <c r="I1004" s="418">
        <f t="shared" si="143"/>
        <v>1.7022072577628E-2</v>
      </c>
      <c r="J1004" s="411"/>
      <c r="K1004" s="388"/>
      <c r="M1004" s="388"/>
    </row>
    <row r="1005" spans="1:13">
      <c r="A1005" s="408">
        <v>43077</v>
      </c>
      <c r="B1005" s="411">
        <v>2651.5</v>
      </c>
      <c r="C1005" s="418">
        <f t="shared" si="140"/>
        <v>5.5062988721947814E-3</v>
      </c>
      <c r="D1005" s="411">
        <v>53.46</v>
      </c>
      <c r="E1005" s="418">
        <f t="shared" si="141"/>
        <v>9.3615427822513197E-4</v>
      </c>
      <c r="F1005" s="411">
        <v>2651.5</v>
      </c>
      <c r="G1005" s="418">
        <f t="shared" si="142"/>
        <v>5.5062988721947814E-3</v>
      </c>
      <c r="H1005" s="411">
        <v>53.46</v>
      </c>
      <c r="I1005" s="418">
        <f t="shared" si="143"/>
        <v>9.3615427822513197E-4</v>
      </c>
      <c r="J1005" s="411"/>
      <c r="K1005" s="388"/>
      <c r="M1005" s="388"/>
    </row>
    <row r="1006" spans="1:13">
      <c r="A1006" s="408">
        <v>43076</v>
      </c>
      <c r="B1006" s="411">
        <v>2636.98</v>
      </c>
      <c r="C1006" s="418">
        <f t="shared" si="140"/>
        <v>2.9323728639507607E-3</v>
      </c>
      <c r="D1006" s="411">
        <v>53.41</v>
      </c>
      <c r="E1006" s="418">
        <f t="shared" si="141"/>
        <v>2.1223709369024846E-2</v>
      </c>
      <c r="F1006" s="411">
        <v>2636.98</v>
      </c>
      <c r="G1006" s="418">
        <f t="shared" si="142"/>
        <v>2.9323728639507607E-3</v>
      </c>
      <c r="H1006" s="411">
        <v>53.41</v>
      </c>
      <c r="I1006" s="418">
        <f t="shared" si="143"/>
        <v>2.1223709369024846E-2</v>
      </c>
      <c r="J1006" s="411"/>
      <c r="K1006" s="388"/>
      <c r="M1006" s="388"/>
    </row>
    <row r="1007" spans="1:13">
      <c r="A1007" s="408">
        <v>43075</v>
      </c>
      <c r="B1007" s="411">
        <v>2629.27</v>
      </c>
      <c r="C1007" s="418">
        <f t="shared" si="140"/>
        <v>-1.1408709408766704E-4</v>
      </c>
      <c r="D1007" s="411">
        <v>52.3</v>
      </c>
      <c r="E1007" s="418">
        <f t="shared" si="141"/>
        <v>-1.7178850925749778E-3</v>
      </c>
      <c r="F1007" s="411">
        <v>2629.27</v>
      </c>
      <c r="G1007" s="418">
        <f t="shared" si="142"/>
        <v>-1.1408709408766704E-4</v>
      </c>
      <c r="H1007" s="411">
        <v>52.3</v>
      </c>
      <c r="I1007" s="418">
        <f t="shared" si="143"/>
        <v>-1.7178850925749778E-3</v>
      </c>
      <c r="J1007" s="411"/>
      <c r="K1007" s="388"/>
      <c r="M1007" s="388"/>
    </row>
    <row r="1008" spans="1:13">
      <c r="A1008" s="408">
        <v>43074</v>
      </c>
      <c r="B1008" s="411">
        <v>2629.57</v>
      </c>
      <c r="C1008" s="418">
        <f t="shared" si="140"/>
        <v>-3.7394295759706209E-3</v>
      </c>
      <c r="D1008" s="411">
        <v>52.39</v>
      </c>
      <c r="E1008" s="418">
        <f t="shared" si="141"/>
        <v>-9.8280098280097983E-3</v>
      </c>
      <c r="F1008" s="411">
        <v>2629.57</v>
      </c>
      <c r="G1008" s="418">
        <f t="shared" si="142"/>
        <v>-3.7394295759706209E-3</v>
      </c>
      <c r="H1008" s="411">
        <v>52.39</v>
      </c>
      <c r="I1008" s="418">
        <f t="shared" si="143"/>
        <v>-9.8280098280097983E-3</v>
      </c>
      <c r="J1008" s="411"/>
      <c r="K1008" s="388"/>
      <c r="M1008" s="388"/>
    </row>
    <row r="1009" spans="1:13">
      <c r="A1009" s="408">
        <v>43073</v>
      </c>
      <c r="B1009" s="411">
        <v>2639.44</v>
      </c>
      <c r="C1009" s="418">
        <f t="shared" si="140"/>
        <v>-1.0521455442770167E-3</v>
      </c>
      <c r="D1009" s="411">
        <v>52.91</v>
      </c>
      <c r="E1009" s="418">
        <f t="shared" si="141"/>
        <v>1.6327314636957357E-2</v>
      </c>
      <c r="F1009" s="411">
        <v>2639.44</v>
      </c>
      <c r="G1009" s="418">
        <f t="shared" si="142"/>
        <v>-1.0521455442770167E-3</v>
      </c>
      <c r="H1009" s="411">
        <v>52.91</v>
      </c>
      <c r="I1009" s="418">
        <f t="shared" si="143"/>
        <v>1.6327314636957357E-2</v>
      </c>
      <c r="J1009" s="411"/>
      <c r="K1009" s="388"/>
      <c r="M1009" s="388"/>
    </row>
    <row r="1010" spans="1:13">
      <c r="A1010" s="408">
        <v>43070</v>
      </c>
      <c r="B1010" s="411">
        <v>2642.22</v>
      </c>
      <c r="C1010" s="418">
        <f t="shared" si="140"/>
        <v>-2.0244902892453398E-3</v>
      </c>
      <c r="D1010" s="411">
        <v>52.06</v>
      </c>
      <c r="E1010" s="418">
        <f t="shared" si="141"/>
        <v>-1.6250944822373437E-2</v>
      </c>
      <c r="F1010" s="411">
        <v>2642.22</v>
      </c>
      <c r="G1010" s="418">
        <f t="shared" si="142"/>
        <v>-2.0244902892453398E-3</v>
      </c>
      <c r="H1010" s="411">
        <v>52.06</v>
      </c>
      <c r="I1010" s="418">
        <f t="shared" si="143"/>
        <v>-1.6250944822373437E-2</v>
      </c>
      <c r="J1010" s="411"/>
      <c r="K1010" s="388"/>
      <c r="M1010" s="388"/>
    </row>
    <row r="1011" spans="1:13">
      <c r="A1011" s="408">
        <v>43069</v>
      </c>
      <c r="B1011" s="411">
        <v>2647.58</v>
      </c>
      <c r="C1011" s="418">
        <f t="shared" si="140"/>
        <v>8.1909469282996916E-3</v>
      </c>
      <c r="D1011" s="411">
        <v>52.92</v>
      </c>
      <c r="E1011" s="418">
        <f t="shared" si="141"/>
        <v>1.5738963531669814E-2</v>
      </c>
      <c r="F1011" s="411">
        <v>2647.58</v>
      </c>
      <c r="G1011" s="418">
        <f t="shared" si="142"/>
        <v>8.1909469282996916E-3</v>
      </c>
      <c r="H1011" s="411">
        <v>52.92</v>
      </c>
      <c r="I1011" s="418">
        <f t="shared" si="143"/>
        <v>1.5738963531669814E-2</v>
      </c>
      <c r="J1011" s="411"/>
      <c r="K1011" s="388"/>
      <c r="M1011" s="388"/>
    </row>
    <row r="1012" spans="1:13">
      <c r="A1012" s="408">
        <v>43068</v>
      </c>
      <c r="B1012" s="411">
        <v>2626.07</v>
      </c>
      <c r="C1012" s="418">
        <f t="shared" si="140"/>
        <v>-3.6923685973555553E-4</v>
      </c>
      <c r="D1012" s="411">
        <v>52.1</v>
      </c>
      <c r="E1012" s="418">
        <f t="shared" si="141"/>
        <v>3.0051403716884195E-2</v>
      </c>
      <c r="F1012" s="411">
        <v>2626.07</v>
      </c>
      <c r="G1012" s="418">
        <f t="shared" si="142"/>
        <v>-3.6923685973555553E-4</v>
      </c>
      <c r="H1012" s="411">
        <v>52.1</v>
      </c>
      <c r="I1012" s="418">
        <f t="shared" si="143"/>
        <v>3.0051403716884195E-2</v>
      </c>
      <c r="J1012" s="411"/>
      <c r="K1012" s="388"/>
      <c r="M1012" s="388"/>
    </row>
    <row r="1013" spans="1:13">
      <c r="A1013" s="408">
        <v>43067</v>
      </c>
      <c r="B1013" s="411">
        <v>2627.04</v>
      </c>
      <c r="C1013" s="418">
        <f t="shared" si="140"/>
        <v>9.8484673755101504E-3</v>
      </c>
      <c r="D1013" s="411">
        <v>50.58</v>
      </c>
      <c r="E1013" s="418">
        <f t="shared" si="141"/>
        <v>1.9963702359346636E-2</v>
      </c>
      <c r="F1013" s="411">
        <v>2627.04</v>
      </c>
      <c r="G1013" s="418">
        <f t="shared" si="142"/>
        <v>9.8484673755101504E-3</v>
      </c>
      <c r="H1013" s="411">
        <v>50.58</v>
      </c>
      <c r="I1013" s="418">
        <f t="shared" si="143"/>
        <v>1.9963702359346636E-2</v>
      </c>
      <c r="J1013" s="411"/>
      <c r="K1013" s="388"/>
      <c r="M1013" s="388"/>
    </row>
    <row r="1014" spans="1:13">
      <c r="A1014" s="408">
        <v>43066</v>
      </c>
      <c r="B1014" s="411">
        <v>2601.42</v>
      </c>
      <c r="C1014" s="418">
        <f t="shared" si="140"/>
        <v>-3.8425772934425062E-4</v>
      </c>
      <c r="D1014" s="411">
        <v>49.59</v>
      </c>
      <c r="E1014" s="418">
        <f t="shared" si="141"/>
        <v>-1.0377170225503773E-2</v>
      </c>
      <c r="F1014" s="411">
        <v>2601.42</v>
      </c>
      <c r="G1014" s="418">
        <f t="shared" si="142"/>
        <v>-3.8425772934425062E-4</v>
      </c>
      <c r="H1014" s="411">
        <v>49.59</v>
      </c>
      <c r="I1014" s="418">
        <f t="shared" si="143"/>
        <v>-1.0377170225503773E-2</v>
      </c>
      <c r="J1014" s="411"/>
      <c r="K1014" s="388"/>
      <c r="M1014" s="388"/>
    </row>
    <row r="1015" spans="1:13">
      <c r="A1015" s="408">
        <v>43063</v>
      </c>
      <c r="B1015" s="411">
        <v>2602.42</v>
      </c>
      <c r="C1015" s="418">
        <f t="shared" si="140"/>
        <v>2.056155374497548E-3</v>
      </c>
      <c r="D1015" s="411">
        <v>50.11</v>
      </c>
      <c r="E1015" s="418">
        <f t="shared" si="141"/>
        <v>-5.9512001586986552E-3</v>
      </c>
      <c r="F1015" s="411">
        <v>2602.42</v>
      </c>
      <c r="G1015" s="418">
        <f t="shared" si="142"/>
        <v>2.056155374497548E-3</v>
      </c>
      <c r="H1015" s="411">
        <v>50.11</v>
      </c>
      <c r="I1015" s="418">
        <f t="shared" si="143"/>
        <v>-5.9512001586986552E-3</v>
      </c>
      <c r="J1015" s="411"/>
      <c r="K1015" s="388"/>
      <c r="M1015" s="388"/>
    </row>
    <row r="1016" spans="1:13">
      <c r="A1016" s="408">
        <v>43061</v>
      </c>
      <c r="B1016" s="411">
        <v>2597.08</v>
      </c>
      <c r="C1016" s="418">
        <f t="shared" si="140"/>
        <v>-7.5027991212117673E-4</v>
      </c>
      <c r="D1016" s="411">
        <v>50.41</v>
      </c>
      <c r="E1016" s="418">
        <f t="shared" si="141"/>
        <v>-5.1312413656997569E-3</v>
      </c>
      <c r="F1016" s="411">
        <v>2597.08</v>
      </c>
      <c r="G1016" s="418">
        <f t="shared" si="142"/>
        <v>-7.5027991212117673E-4</v>
      </c>
      <c r="H1016" s="411">
        <v>50.41</v>
      </c>
      <c r="I1016" s="418">
        <f t="shared" si="143"/>
        <v>-5.1312413656997569E-3</v>
      </c>
      <c r="J1016" s="411"/>
      <c r="K1016" s="388"/>
      <c r="M1016" s="388"/>
    </row>
    <row r="1017" spans="1:13">
      <c r="A1017" s="408">
        <v>43060</v>
      </c>
      <c r="B1017" s="411">
        <v>2599.0300000000002</v>
      </c>
      <c r="C1017" s="418">
        <f t="shared" si="140"/>
        <v>6.5410860758907674E-3</v>
      </c>
      <c r="D1017" s="411">
        <v>50.67</v>
      </c>
      <c r="E1017" s="418">
        <f t="shared" si="141"/>
        <v>1.7674231773448623E-2</v>
      </c>
      <c r="F1017" s="411">
        <v>2599.0300000000002</v>
      </c>
      <c r="G1017" s="418">
        <f t="shared" si="142"/>
        <v>6.5410860758907674E-3</v>
      </c>
      <c r="H1017" s="411">
        <v>50.67</v>
      </c>
      <c r="I1017" s="418">
        <f t="shared" si="143"/>
        <v>1.7674231773448623E-2</v>
      </c>
      <c r="J1017" s="411"/>
      <c r="K1017" s="388"/>
      <c r="M1017" s="388"/>
    </row>
    <row r="1018" spans="1:13">
      <c r="A1018" s="408">
        <v>43059</v>
      </c>
      <c r="B1018" s="411">
        <v>2582.14</v>
      </c>
      <c r="C1018" s="418">
        <f t="shared" si="140"/>
        <v>1.275762452255913E-3</v>
      </c>
      <c r="D1018" s="411">
        <v>49.79</v>
      </c>
      <c r="E1018" s="418">
        <f t="shared" si="141"/>
        <v>-6.0216780409472204E-4</v>
      </c>
      <c r="F1018" s="411">
        <v>2582.14</v>
      </c>
      <c r="G1018" s="418">
        <f t="shared" si="142"/>
        <v>1.275762452255913E-3</v>
      </c>
      <c r="H1018" s="411">
        <v>49.79</v>
      </c>
      <c r="I1018" s="418">
        <f t="shared" si="143"/>
        <v>-6.0216780409472204E-4</v>
      </c>
      <c r="J1018" s="411"/>
      <c r="K1018" s="388"/>
      <c r="M1018" s="388"/>
    </row>
    <row r="1019" spans="1:13">
      <c r="A1019" s="408">
        <v>43056</v>
      </c>
      <c r="B1019" s="411">
        <v>2578.85</v>
      </c>
      <c r="C1019" s="418">
        <f t="shared" si="140"/>
        <v>-2.6260422951377427E-3</v>
      </c>
      <c r="D1019" s="411">
        <v>49.82</v>
      </c>
      <c r="E1019" s="418">
        <f t="shared" si="141"/>
        <v>-1.2487611496531215E-2</v>
      </c>
      <c r="F1019" s="411">
        <v>2578.85</v>
      </c>
      <c r="G1019" s="418">
        <f t="shared" si="142"/>
        <v>-2.6260422951377427E-3</v>
      </c>
      <c r="H1019" s="411">
        <v>49.82</v>
      </c>
      <c r="I1019" s="418">
        <f t="shared" si="143"/>
        <v>-1.2487611496531215E-2</v>
      </c>
      <c r="J1019" s="411"/>
      <c r="K1019" s="388"/>
      <c r="M1019" s="388"/>
    </row>
    <row r="1020" spans="1:13">
      <c r="A1020" s="408">
        <v>43055</v>
      </c>
      <c r="B1020" s="411">
        <v>2585.64</v>
      </c>
      <c r="C1020" s="418">
        <f t="shared" si="140"/>
        <v>8.1961460177335521E-3</v>
      </c>
      <c r="D1020" s="411">
        <v>50.45</v>
      </c>
      <c r="E1020" s="418">
        <f t="shared" si="141"/>
        <v>2.2704236772755015E-2</v>
      </c>
      <c r="F1020" s="411">
        <v>2585.64</v>
      </c>
      <c r="G1020" s="418">
        <f t="shared" si="142"/>
        <v>8.1961460177335521E-3</v>
      </c>
      <c r="H1020" s="411">
        <v>50.45</v>
      </c>
      <c r="I1020" s="418">
        <f t="shared" si="143"/>
        <v>2.2704236772755015E-2</v>
      </c>
      <c r="J1020" s="411"/>
      <c r="K1020" s="388"/>
      <c r="M1020" s="388"/>
    </row>
    <row r="1021" spans="1:13">
      <c r="A1021" s="408">
        <v>43054</v>
      </c>
      <c r="B1021" s="411">
        <v>2564.62</v>
      </c>
      <c r="C1021" s="418">
        <f t="shared" si="140"/>
        <v>-5.5256759743608219E-3</v>
      </c>
      <c r="D1021" s="411">
        <v>49.33</v>
      </c>
      <c r="E1021" s="418">
        <f t="shared" si="141"/>
        <v>8.7934560327198596E-3</v>
      </c>
      <c r="F1021" s="411">
        <v>2564.62</v>
      </c>
      <c r="G1021" s="418">
        <f t="shared" si="142"/>
        <v>-5.5256759743608219E-3</v>
      </c>
      <c r="H1021" s="411">
        <v>49.33</v>
      </c>
      <c r="I1021" s="418">
        <f t="shared" si="143"/>
        <v>8.7934560327198596E-3</v>
      </c>
      <c r="J1021" s="411"/>
      <c r="K1021" s="388"/>
      <c r="M1021" s="388"/>
    </row>
    <row r="1022" spans="1:13">
      <c r="A1022" s="408">
        <v>43053</v>
      </c>
      <c r="B1022" s="411">
        <v>2578.87</v>
      </c>
      <c r="C1022" s="418">
        <f t="shared" si="140"/>
        <v>-2.309620711533511E-3</v>
      </c>
      <c r="D1022" s="411">
        <v>48.9</v>
      </c>
      <c r="E1022" s="418">
        <f t="shared" si="141"/>
        <v>8.1866557511256488E-4</v>
      </c>
      <c r="F1022" s="411">
        <v>2578.87</v>
      </c>
      <c r="G1022" s="418">
        <f t="shared" si="142"/>
        <v>-2.309620711533511E-3</v>
      </c>
      <c r="H1022" s="411">
        <v>48.9</v>
      </c>
      <c r="I1022" s="418">
        <f t="shared" si="143"/>
        <v>8.1866557511256488E-4</v>
      </c>
      <c r="J1022" s="411"/>
      <c r="K1022" s="388"/>
      <c r="M1022" s="388"/>
    </row>
    <row r="1023" spans="1:13">
      <c r="A1023" s="408">
        <v>43052</v>
      </c>
      <c r="B1023" s="411">
        <v>2584.84</v>
      </c>
      <c r="C1023" s="418">
        <f t="shared" si="140"/>
        <v>9.8361925415324514E-4</v>
      </c>
      <c r="D1023" s="411">
        <v>48.86</v>
      </c>
      <c r="E1023" s="418">
        <f t="shared" si="141"/>
        <v>-6.1362241767237702E-4</v>
      </c>
      <c r="F1023" s="411">
        <v>2584.84</v>
      </c>
      <c r="G1023" s="418">
        <f t="shared" si="142"/>
        <v>9.8361925415324514E-4</v>
      </c>
      <c r="H1023" s="411">
        <v>48.86</v>
      </c>
      <c r="I1023" s="418">
        <f t="shared" si="143"/>
        <v>-6.1362241767237702E-4</v>
      </c>
      <c r="J1023" s="411"/>
      <c r="K1023" s="388"/>
      <c r="M1023" s="388"/>
    </row>
    <row r="1024" spans="1:13">
      <c r="A1024" s="408">
        <v>43049</v>
      </c>
      <c r="B1024" s="411">
        <v>2582.3000000000002</v>
      </c>
      <c r="C1024" s="418">
        <f t="shared" si="140"/>
        <v>-8.976174447306029E-4</v>
      </c>
      <c r="D1024" s="411">
        <v>48.89</v>
      </c>
      <c r="E1024" s="418">
        <f t="shared" si="141"/>
        <v>-6.0988005692212965E-3</v>
      </c>
      <c r="F1024" s="411">
        <v>2582.3000000000002</v>
      </c>
      <c r="G1024" s="418">
        <f t="shared" si="142"/>
        <v>-8.976174447306029E-4</v>
      </c>
      <c r="H1024" s="411">
        <v>48.89</v>
      </c>
      <c r="I1024" s="418">
        <f t="shared" si="143"/>
        <v>-6.0988005692212965E-3</v>
      </c>
      <c r="J1024" s="411"/>
      <c r="K1024" s="388"/>
      <c r="M1024" s="388"/>
    </row>
    <row r="1025" spans="1:13">
      <c r="A1025" s="408">
        <v>43048</v>
      </c>
      <c r="B1025" s="411">
        <v>2584.62</v>
      </c>
      <c r="C1025" s="418">
        <f t="shared" si="140"/>
        <v>-3.761977813581785E-3</v>
      </c>
      <c r="D1025" s="411">
        <v>49.19</v>
      </c>
      <c r="E1025" s="418">
        <f t="shared" si="141"/>
        <v>-1.7379145025968934E-2</v>
      </c>
      <c r="F1025" s="411">
        <v>2584.62</v>
      </c>
      <c r="G1025" s="418">
        <f t="shared" si="142"/>
        <v>-3.761977813581785E-3</v>
      </c>
      <c r="H1025" s="411">
        <v>49.19</v>
      </c>
      <c r="I1025" s="418">
        <f t="shared" si="143"/>
        <v>-1.7379145025968934E-2</v>
      </c>
      <c r="J1025" s="411"/>
      <c r="K1025" s="388"/>
      <c r="M1025" s="388"/>
    </row>
    <row r="1026" spans="1:13">
      <c r="A1026" s="408">
        <v>43047</v>
      </c>
      <c r="B1026" s="411">
        <v>2594.38</v>
      </c>
      <c r="C1026" s="418">
        <f t="shared" si="140"/>
        <v>1.4436587098169973E-3</v>
      </c>
      <c r="D1026" s="411">
        <v>50.06</v>
      </c>
      <c r="E1026" s="418">
        <f t="shared" si="141"/>
        <v>3.005409737527609E-3</v>
      </c>
      <c r="F1026" s="411">
        <v>2594.38</v>
      </c>
      <c r="G1026" s="418">
        <f t="shared" si="142"/>
        <v>1.4436587098169973E-3</v>
      </c>
      <c r="H1026" s="411">
        <v>50.06</v>
      </c>
      <c r="I1026" s="418">
        <f t="shared" si="143"/>
        <v>3.005409737527609E-3</v>
      </c>
      <c r="J1026" s="411"/>
      <c r="K1026" s="388"/>
      <c r="M1026" s="388"/>
    </row>
    <row r="1027" spans="1:13">
      <c r="A1027" s="408">
        <v>43046</v>
      </c>
      <c r="B1027" s="411">
        <v>2590.64</v>
      </c>
      <c r="C1027" s="418">
        <f t="shared" si="140"/>
        <v>-1.8910668318461443E-4</v>
      </c>
      <c r="D1027" s="411">
        <v>49.91</v>
      </c>
      <c r="E1027" s="418">
        <f t="shared" si="141"/>
        <v>-1.3051216136049093E-2</v>
      </c>
      <c r="F1027" s="411">
        <v>2590.64</v>
      </c>
      <c r="G1027" s="418">
        <f t="shared" si="142"/>
        <v>-1.8910668318461443E-4</v>
      </c>
      <c r="H1027" s="411">
        <v>49.91</v>
      </c>
      <c r="I1027" s="418">
        <f t="shared" si="143"/>
        <v>-1.3051216136049093E-2</v>
      </c>
      <c r="J1027" s="411"/>
      <c r="K1027" s="388"/>
      <c r="M1027" s="388"/>
    </row>
    <row r="1028" spans="1:13">
      <c r="A1028" s="408">
        <v>43045</v>
      </c>
      <c r="B1028" s="411">
        <v>2591.13</v>
      </c>
      <c r="C1028" s="418">
        <f t="shared" si="140"/>
        <v>1.2713305304810074E-3</v>
      </c>
      <c r="D1028" s="411">
        <v>50.57</v>
      </c>
      <c r="E1028" s="418">
        <f t="shared" si="141"/>
        <v>3.373015873015861E-3</v>
      </c>
      <c r="F1028" s="411">
        <v>2591.13</v>
      </c>
      <c r="G1028" s="418">
        <f t="shared" si="142"/>
        <v>1.2713305304810074E-3</v>
      </c>
      <c r="H1028" s="411">
        <v>50.57</v>
      </c>
      <c r="I1028" s="418">
        <f t="shared" si="143"/>
        <v>3.373015873015861E-3</v>
      </c>
      <c r="J1028" s="411"/>
      <c r="K1028" s="388"/>
      <c r="M1028" s="388"/>
    </row>
    <row r="1029" spans="1:13">
      <c r="A1029" s="408">
        <v>43042</v>
      </c>
      <c r="B1029" s="411">
        <v>2587.84</v>
      </c>
      <c r="C1029" s="418">
        <f t="shared" si="140"/>
        <v>3.0970792875555375E-3</v>
      </c>
      <c r="D1029" s="411">
        <v>50.4</v>
      </c>
      <c r="E1029" s="418">
        <f t="shared" si="141"/>
        <v>1.1918951132299238E-3</v>
      </c>
      <c r="F1029" s="411">
        <v>2587.84</v>
      </c>
      <c r="G1029" s="418">
        <f t="shared" si="142"/>
        <v>3.0970792875555375E-3</v>
      </c>
      <c r="H1029" s="411">
        <v>50.4</v>
      </c>
      <c r="I1029" s="418">
        <f t="shared" si="143"/>
        <v>1.1918951132299238E-3</v>
      </c>
      <c r="J1029" s="411"/>
      <c r="K1029" s="388"/>
      <c r="M1029" s="388"/>
    </row>
    <row r="1030" spans="1:13">
      <c r="A1030" s="408">
        <v>43041</v>
      </c>
      <c r="B1030" s="411">
        <v>2579.85</v>
      </c>
      <c r="C1030" s="418">
        <f t="shared" si="140"/>
        <v>1.8996960486306058E-4</v>
      </c>
      <c r="D1030" s="411">
        <v>50.34</v>
      </c>
      <c r="E1030" s="418">
        <f t="shared" si="141"/>
        <v>-1.9860973187679765E-4</v>
      </c>
      <c r="F1030" s="411">
        <v>2579.85</v>
      </c>
      <c r="G1030" s="418">
        <f t="shared" si="142"/>
        <v>1.8996960486306058E-4</v>
      </c>
      <c r="H1030" s="411">
        <v>50.34</v>
      </c>
      <c r="I1030" s="418">
        <f t="shared" si="143"/>
        <v>-1.9860973187679765E-4</v>
      </c>
      <c r="J1030" s="411"/>
      <c r="K1030" s="388"/>
      <c r="M1030" s="388"/>
    </row>
    <row r="1031" spans="1:13">
      <c r="A1031" s="408">
        <v>43040</v>
      </c>
      <c r="B1031" s="411">
        <v>2579.36</v>
      </c>
      <c r="C1031" s="418">
        <f t="shared" si="140"/>
        <v>1.5920722567817069E-3</v>
      </c>
      <c r="D1031" s="411">
        <v>50.35</v>
      </c>
      <c r="E1031" s="418">
        <f t="shared" si="141"/>
        <v>6.3961623026185244E-3</v>
      </c>
      <c r="F1031" s="411">
        <v>2579.36</v>
      </c>
      <c r="G1031" s="418">
        <f t="shared" si="142"/>
        <v>1.5920722567817069E-3</v>
      </c>
      <c r="H1031" s="411">
        <v>50.35</v>
      </c>
      <c r="I1031" s="418">
        <f t="shared" si="143"/>
        <v>6.3961623026185244E-3</v>
      </c>
      <c r="J1031" s="411"/>
      <c r="K1031" s="388"/>
      <c r="M1031" s="388"/>
    </row>
    <row r="1032" spans="1:13">
      <c r="A1032" s="408">
        <v>43039</v>
      </c>
      <c r="B1032" s="411">
        <v>2575.2600000000002</v>
      </c>
      <c r="C1032" s="418">
        <f t="shared" ref="C1032:C1095" si="144">B1032/B1033-1</f>
        <v>9.4448525553580964E-4</v>
      </c>
      <c r="D1032" s="411">
        <v>50.03</v>
      </c>
      <c r="E1032" s="418">
        <f t="shared" ref="E1032:E1095" si="145">D1032/D1033-1</f>
        <v>-5.9606596463341877E-3</v>
      </c>
      <c r="F1032" s="411">
        <v>2575.2600000000002</v>
      </c>
      <c r="G1032" s="418">
        <f t="shared" ref="G1032:G1095" si="146">F1032/F1033-1</f>
        <v>9.4448525553580964E-4</v>
      </c>
      <c r="H1032" s="411">
        <v>50.03</v>
      </c>
      <c r="I1032" s="418">
        <f t="shared" ref="I1032:I1095" si="147">H1032/H1033-1</f>
        <v>-5.9606596463341877E-3</v>
      </c>
      <c r="J1032" s="411"/>
      <c r="K1032" s="388"/>
      <c r="M1032" s="388"/>
    </row>
    <row r="1033" spans="1:13">
      <c r="A1033" s="408">
        <v>43038</v>
      </c>
      <c r="B1033" s="411">
        <v>2572.83</v>
      </c>
      <c r="C1033" s="418">
        <f t="shared" si="144"/>
        <v>-3.1924744388955872E-3</v>
      </c>
      <c r="D1033" s="411">
        <v>50.33</v>
      </c>
      <c r="E1033" s="418">
        <f t="shared" si="145"/>
        <v>-4.5490506329114444E-3</v>
      </c>
      <c r="F1033" s="411">
        <v>2572.83</v>
      </c>
      <c r="G1033" s="418">
        <f t="shared" si="146"/>
        <v>-3.1924744388955872E-3</v>
      </c>
      <c r="H1033" s="411">
        <v>50.33</v>
      </c>
      <c r="I1033" s="418">
        <f t="shared" si="147"/>
        <v>-4.5490506329114444E-3</v>
      </c>
      <c r="J1033" s="411"/>
      <c r="K1033" s="388"/>
      <c r="M1033" s="388"/>
    </row>
    <row r="1034" spans="1:13">
      <c r="A1034" s="408">
        <v>43035</v>
      </c>
      <c r="B1034" s="411">
        <v>2581.0700000000002</v>
      </c>
      <c r="C1034" s="418">
        <f t="shared" si="144"/>
        <v>8.0729573504141339E-3</v>
      </c>
      <c r="D1034" s="411">
        <v>50.56</v>
      </c>
      <c r="E1034" s="418">
        <f t="shared" si="145"/>
        <v>-7.2648733555860101E-3</v>
      </c>
      <c r="F1034" s="411">
        <v>2581.0700000000002</v>
      </c>
      <c r="G1034" s="418">
        <f t="shared" si="146"/>
        <v>8.0729573504141339E-3</v>
      </c>
      <c r="H1034" s="411">
        <v>50.56</v>
      </c>
      <c r="I1034" s="418">
        <f t="shared" si="147"/>
        <v>-7.2648733555860101E-3</v>
      </c>
      <c r="J1034" s="411"/>
      <c r="K1034" s="388"/>
      <c r="M1034" s="388"/>
    </row>
    <row r="1035" spans="1:13">
      <c r="A1035" s="408">
        <v>43034</v>
      </c>
      <c r="B1035" s="411">
        <v>2560.4</v>
      </c>
      <c r="C1035" s="418">
        <f t="shared" si="144"/>
        <v>1.2709461705413538E-3</v>
      </c>
      <c r="D1035" s="411">
        <v>50.93</v>
      </c>
      <c r="E1035" s="418">
        <f t="shared" si="145"/>
        <v>-2.5076569678407434E-2</v>
      </c>
      <c r="F1035" s="411">
        <v>2560.4</v>
      </c>
      <c r="G1035" s="418">
        <f t="shared" si="146"/>
        <v>1.2709461705413538E-3</v>
      </c>
      <c r="H1035" s="411">
        <v>50.93</v>
      </c>
      <c r="I1035" s="418">
        <f t="shared" si="147"/>
        <v>-2.5076569678407434E-2</v>
      </c>
      <c r="J1035" s="411"/>
      <c r="K1035" s="388"/>
      <c r="M1035" s="388"/>
    </row>
    <row r="1036" spans="1:13">
      <c r="A1036" s="408">
        <v>43033</v>
      </c>
      <c r="B1036" s="411">
        <v>2557.15</v>
      </c>
      <c r="C1036" s="418">
        <f t="shared" si="144"/>
        <v>-4.6630571438580626E-3</v>
      </c>
      <c r="D1036" s="411">
        <v>52.24</v>
      </c>
      <c r="E1036" s="418">
        <f t="shared" si="145"/>
        <v>-1.7675817976682939E-2</v>
      </c>
      <c r="F1036" s="411">
        <v>2557.15</v>
      </c>
      <c r="G1036" s="418">
        <f t="shared" si="146"/>
        <v>-4.6630571438580626E-3</v>
      </c>
      <c r="H1036" s="411">
        <v>52.24</v>
      </c>
      <c r="I1036" s="418">
        <f t="shared" si="147"/>
        <v>-1.7675817976682939E-2</v>
      </c>
      <c r="J1036" s="411"/>
      <c r="K1036" s="388"/>
      <c r="M1036" s="388"/>
    </row>
    <row r="1037" spans="1:13">
      <c r="A1037" s="408">
        <v>43032</v>
      </c>
      <c r="B1037" s="411">
        <v>2569.13</v>
      </c>
      <c r="C1037" s="418">
        <f t="shared" si="144"/>
        <v>1.6179463387628878E-3</v>
      </c>
      <c r="D1037" s="411">
        <v>53.18</v>
      </c>
      <c r="E1037" s="418">
        <f t="shared" si="145"/>
        <v>1.7214996174445218E-2</v>
      </c>
      <c r="F1037" s="411">
        <v>2569.13</v>
      </c>
      <c r="G1037" s="418">
        <f t="shared" si="146"/>
        <v>1.6179463387628878E-3</v>
      </c>
      <c r="H1037" s="411">
        <v>53.18</v>
      </c>
      <c r="I1037" s="418">
        <f t="shared" si="147"/>
        <v>1.7214996174445218E-2</v>
      </c>
      <c r="J1037" s="411"/>
      <c r="K1037" s="388"/>
      <c r="M1037" s="388"/>
    </row>
    <row r="1038" spans="1:13">
      <c r="A1038" s="408">
        <v>43031</v>
      </c>
      <c r="B1038" s="411">
        <v>2564.98</v>
      </c>
      <c r="C1038" s="418">
        <f t="shared" si="144"/>
        <v>-3.9724915637947555E-3</v>
      </c>
      <c r="D1038" s="411">
        <v>52.28</v>
      </c>
      <c r="E1038" s="418">
        <f t="shared" si="145"/>
        <v>-1.8584569175896459E-2</v>
      </c>
      <c r="F1038" s="411">
        <v>2564.98</v>
      </c>
      <c r="G1038" s="418">
        <f t="shared" si="146"/>
        <v>-3.9724915637947555E-3</v>
      </c>
      <c r="H1038" s="411">
        <v>52.28</v>
      </c>
      <c r="I1038" s="418">
        <f t="shared" si="147"/>
        <v>-1.8584569175896459E-2</v>
      </c>
      <c r="J1038" s="411"/>
      <c r="K1038" s="388"/>
      <c r="M1038" s="388"/>
    </row>
    <row r="1039" spans="1:13">
      <c r="A1039" s="408">
        <v>43028</v>
      </c>
      <c r="B1039" s="411">
        <v>2575.21</v>
      </c>
      <c r="C1039" s="418">
        <f t="shared" si="144"/>
        <v>5.1168962960073117E-3</v>
      </c>
      <c r="D1039" s="411">
        <v>53.27</v>
      </c>
      <c r="E1039" s="418">
        <f t="shared" si="145"/>
        <v>1.9131432944327509E-2</v>
      </c>
      <c r="F1039" s="411">
        <v>2575.21</v>
      </c>
      <c r="G1039" s="418">
        <f t="shared" si="146"/>
        <v>5.1168962960073117E-3</v>
      </c>
      <c r="H1039" s="411">
        <v>53.27</v>
      </c>
      <c r="I1039" s="418">
        <f t="shared" si="147"/>
        <v>1.9131432944327509E-2</v>
      </c>
      <c r="J1039" s="411"/>
      <c r="K1039" s="388"/>
      <c r="M1039" s="388"/>
    </row>
    <row r="1040" spans="1:13">
      <c r="A1040" s="408">
        <v>43027</v>
      </c>
      <c r="B1040" s="411">
        <v>2562.1</v>
      </c>
      <c r="C1040" s="418">
        <f t="shared" si="144"/>
        <v>3.2796358042519458E-4</v>
      </c>
      <c r="D1040" s="411">
        <v>52.27</v>
      </c>
      <c r="E1040" s="418">
        <f t="shared" si="145"/>
        <v>-1.1161558834657526E-2</v>
      </c>
      <c r="F1040" s="411">
        <v>2562.1</v>
      </c>
      <c r="G1040" s="418">
        <f t="shared" si="146"/>
        <v>3.2796358042519458E-4</v>
      </c>
      <c r="H1040" s="411">
        <v>52.27</v>
      </c>
      <c r="I1040" s="418">
        <f t="shared" si="147"/>
        <v>-1.1161558834657526E-2</v>
      </c>
      <c r="J1040" s="411"/>
      <c r="K1040" s="388"/>
      <c r="M1040" s="388"/>
    </row>
    <row r="1041" spans="1:13">
      <c r="A1041" s="408">
        <v>43026</v>
      </c>
      <c r="B1041" s="411">
        <v>2561.2600000000002</v>
      </c>
      <c r="C1041" s="418">
        <f t="shared" si="144"/>
        <v>7.4237309327340739E-4</v>
      </c>
      <c r="D1041" s="411">
        <v>52.86</v>
      </c>
      <c r="E1041" s="418">
        <f t="shared" si="145"/>
        <v>1.8953752843062777E-3</v>
      </c>
      <c r="F1041" s="411">
        <v>2561.2600000000002</v>
      </c>
      <c r="G1041" s="418">
        <f t="shared" si="146"/>
        <v>7.4237309327340739E-4</v>
      </c>
      <c r="H1041" s="411">
        <v>52.86</v>
      </c>
      <c r="I1041" s="418">
        <f t="shared" si="147"/>
        <v>1.8953752843062777E-3</v>
      </c>
      <c r="J1041" s="411"/>
      <c r="K1041" s="388"/>
      <c r="M1041" s="388"/>
    </row>
    <row r="1042" spans="1:13">
      <c r="A1042" s="408">
        <v>43025</v>
      </c>
      <c r="B1042" s="411">
        <v>2559.36</v>
      </c>
      <c r="C1042" s="418">
        <f t="shared" si="144"/>
        <v>6.7249495628796119E-4</v>
      </c>
      <c r="D1042" s="411">
        <v>52.76</v>
      </c>
      <c r="E1042" s="418">
        <f t="shared" si="145"/>
        <v>-1.6038791495710525E-2</v>
      </c>
      <c r="F1042" s="411">
        <v>2559.36</v>
      </c>
      <c r="G1042" s="418">
        <f t="shared" si="146"/>
        <v>6.7249495628796119E-4</v>
      </c>
      <c r="H1042" s="411">
        <v>52.76</v>
      </c>
      <c r="I1042" s="418">
        <f t="shared" si="147"/>
        <v>-1.6038791495710525E-2</v>
      </c>
      <c r="J1042" s="411"/>
      <c r="K1042" s="388"/>
      <c r="M1042" s="388"/>
    </row>
    <row r="1043" spans="1:13">
      <c r="A1043" s="408">
        <v>43024</v>
      </c>
      <c r="B1043" s="411">
        <v>2557.64</v>
      </c>
      <c r="C1043" s="418">
        <f t="shared" si="144"/>
        <v>1.7507647356032052E-3</v>
      </c>
      <c r="D1043" s="411">
        <v>53.62</v>
      </c>
      <c r="E1043" s="418">
        <f t="shared" si="145"/>
        <v>-6.3009636767976662E-3</v>
      </c>
      <c r="F1043" s="411">
        <v>2557.64</v>
      </c>
      <c r="G1043" s="418">
        <f t="shared" si="146"/>
        <v>1.7507647356032052E-3</v>
      </c>
      <c r="H1043" s="411">
        <v>53.62</v>
      </c>
      <c r="I1043" s="418">
        <f t="shared" si="147"/>
        <v>-6.3009636767976662E-3</v>
      </c>
      <c r="J1043" s="411"/>
      <c r="K1043" s="388"/>
      <c r="M1043" s="388"/>
    </row>
    <row r="1044" spans="1:13">
      <c r="A1044" s="408">
        <v>43021</v>
      </c>
      <c r="B1044" s="411">
        <v>2553.17</v>
      </c>
      <c r="C1044" s="418">
        <f t="shared" si="144"/>
        <v>8.7811112025826255E-4</v>
      </c>
      <c r="D1044" s="411">
        <v>53.96</v>
      </c>
      <c r="E1044" s="418">
        <f t="shared" si="145"/>
        <v>1.6004518922990041E-2</v>
      </c>
      <c r="F1044" s="411">
        <v>2553.17</v>
      </c>
      <c r="G1044" s="418">
        <f t="shared" si="146"/>
        <v>8.7811112025826255E-4</v>
      </c>
      <c r="H1044" s="411">
        <v>53.96</v>
      </c>
      <c r="I1044" s="418">
        <f t="shared" si="147"/>
        <v>1.6004518922990041E-2</v>
      </c>
      <c r="J1044" s="411"/>
      <c r="K1044" s="388"/>
      <c r="M1044" s="388"/>
    </row>
    <row r="1045" spans="1:13">
      <c r="A1045" s="408">
        <v>43020</v>
      </c>
      <c r="B1045" s="411">
        <v>2550.9299999999998</v>
      </c>
      <c r="C1045" s="418">
        <f t="shared" si="144"/>
        <v>-1.6867300136190755E-3</v>
      </c>
      <c r="D1045" s="411">
        <v>53.11</v>
      </c>
      <c r="E1045" s="418">
        <f t="shared" si="145"/>
        <v>7.5372149990582393E-4</v>
      </c>
      <c r="F1045" s="411">
        <v>2550.9299999999998</v>
      </c>
      <c r="G1045" s="418">
        <f t="shared" si="146"/>
        <v>-1.6867300136190755E-3</v>
      </c>
      <c r="H1045" s="411">
        <v>53.11</v>
      </c>
      <c r="I1045" s="418">
        <f t="shared" si="147"/>
        <v>7.5372149990582393E-4</v>
      </c>
      <c r="J1045" s="411"/>
      <c r="K1045" s="388"/>
      <c r="M1045" s="388"/>
    </row>
    <row r="1046" spans="1:13">
      <c r="A1046" s="408">
        <v>43019</v>
      </c>
      <c r="B1046" s="411">
        <v>2555.2399999999998</v>
      </c>
      <c r="C1046" s="418">
        <f t="shared" si="144"/>
        <v>1.8034689332873111E-3</v>
      </c>
      <c r="D1046" s="411">
        <v>53.07</v>
      </c>
      <c r="E1046" s="418">
        <f t="shared" si="145"/>
        <v>7.0208728652751962E-3</v>
      </c>
      <c r="F1046" s="411">
        <v>2555.2399999999998</v>
      </c>
      <c r="G1046" s="418">
        <f t="shared" si="146"/>
        <v>1.8034689332873111E-3</v>
      </c>
      <c r="H1046" s="411">
        <v>53.07</v>
      </c>
      <c r="I1046" s="418">
        <f t="shared" si="147"/>
        <v>7.0208728652751962E-3</v>
      </c>
      <c r="J1046" s="411"/>
      <c r="K1046" s="388"/>
      <c r="M1046" s="388"/>
    </row>
    <row r="1047" spans="1:13">
      <c r="A1047" s="408">
        <v>43018</v>
      </c>
      <c r="B1047" s="411">
        <v>2550.64</v>
      </c>
      <c r="C1047" s="418">
        <f t="shared" si="144"/>
        <v>2.3224467821731931E-3</v>
      </c>
      <c r="D1047" s="411">
        <v>52.7</v>
      </c>
      <c r="E1047" s="418">
        <f t="shared" si="145"/>
        <v>1.8554310011596353E-2</v>
      </c>
      <c r="F1047" s="411">
        <v>2550.64</v>
      </c>
      <c r="G1047" s="418">
        <f t="shared" si="146"/>
        <v>2.3224467821731931E-3</v>
      </c>
      <c r="H1047" s="411">
        <v>52.7</v>
      </c>
      <c r="I1047" s="418">
        <f t="shared" si="147"/>
        <v>1.8554310011596353E-2</v>
      </c>
      <c r="J1047" s="411"/>
      <c r="K1047" s="388"/>
      <c r="M1047" s="388"/>
    </row>
    <row r="1048" spans="1:13">
      <c r="A1048" s="408">
        <v>43017</v>
      </c>
      <c r="B1048" s="411">
        <v>2544.73</v>
      </c>
      <c r="C1048" s="418">
        <f t="shared" si="144"/>
        <v>-1.8043956647432191E-3</v>
      </c>
      <c r="D1048" s="411">
        <v>51.74</v>
      </c>
      <c r="E1048" s="418">
        <f t="shared" si="145"/>
        <v>-5.191309363583807E-3</v>
      </c>
      <c r="F1048" s="411">
        <v>2544.73</v>
      </c>
      <c r="G1048" s="418">
        <f t="shared" si="146"/>
        <v>-1.8043956647432191E-3</v>
      </c>
      <c r="H1048" s="411">
        <v>51.74</v>
      </c>
      <c r="I1048" s="418">
        <f t="shared" si="147"/>
        <v>-5.191309363583807E-3</v>
      </c>
      <c r="J1048" s="411"/>
      <c r="K1048" s="388"/>
      <c r="M1048" s="388"/>
    </row>
    <row r="1049" spans="1:13">
      <c r="A1049" s="408">
        <v>43014</v>
      </c>
      <c r="B1049" s="411">
        <v>2549.33</v>
      </c>
      <c r="C1049" s="418">
        <f t="shared" si="144"/>
        <v>-1.0736382622734686E-3</v>
      </c>
      <c r="D1049" s="411">
        <v>52.01</v>
      </c>
      <c r="E1049" s="418">
        <f t="shared" si="145"/>
        <v>6.3854489164085759E-3</v>
      </c>
      <c r="F1049" s="411">
        <v>2549.33</v>
      </c>
      <c r="G1049" s="418">
        <f t="shared" si="146"/>
        <v>-1.0736382622734686E-3</v>
      </c>
      <c r="H1049" s="411">
        <v>52.01</v>
      </c>
      <c r="I1049" s="418">
        <f t="shared" si="147"/>
        <v>6.3854489164085759E-3</v>
      </c>
      <c r="J1049" s="411"/>
      <c r="K1049" s="388"/>
      <c r="M1049" s="388"/>
    </row>
    <row r="1050" spans="1:13">
      <c r="A1050" s="408">
        <v>43013</v>
      </c>
      <c r="B1050" s="411">
        <v>2552.0700000000002</v>
      </c>
      <c r="C1050" s="418">
        <f t="shared" si="144"/>
        <v>5.6467565629261252E-3</v>
      </c>
      <c r="D1050" s="411">
        <v>51.68</v>
      </c>
      <c r="E1050" s="418">
        <f t="shared" si="145"/>
        <v>2.3273855702095059E-3</v>
      </c>
      <c r="F1050" s="411">
        <v>2552.0700000000002</v>
      </c>
      <c r="G1050" s="418">
        <f t="shared" si="146"/>
        <v>5.6467565629261252E-3</v>
      </c>
      <c r="H1050" s="411">
        <v>51.68</v>
      </c>
      <c r="I1050" s="418">
        <f t="shared" si="147"/>
        <v>2.3273855702095059E-3</v>
      </c>
      <c r="J1050" s="411"/>
      <c r="K1050" s="388"/>
      <c r="M1050" s="388"/>
    </row>
    <row r="1051" spans="1:13">
      <c r="A1051" s="408">
        <v>43012</v>
      </c>
      <c r="B1051" s="411">
        <v>2537.7399999999998</v>
      </c>
      <c r="C1051" s="418">
        <f t="shared" si="144"/>
        <v>1.2467548864110167E-3</v>
      </c>
      <c r="D1051" s="411">
        <v>51.56</v>
      </c>
      <c r="E1051" s="418">
        <f t="shared" si="145"/>
        <v>6.0487804878048834E-3</v>
      </c>
      <c r="F1051" s="411">
        <v>2537.7399999999998</v>
      </c>
      <c r="G1051" s="418">
        <f t="shared" si="146"/>
        <v>1.2467548864110167E-3</v>
      </c>
      <c r="H1051" s="411">
        <v>51.56</v>
      </c>
      <c r="I1051" s="418">
        <f t="shared" si="147"/>
        <v>6.0487804878048834E-3</v>
      </c>
      <c r="J1051" s="411"/>
      <c r="K1051" s="388"/>
      <c r="M1051" s="388"/>
    </row>
    <row r="1052" spans="1:13">
      <c r="A1052" s="408">
        <v>43011</v>
      </c>
      <c r="B1052" s="411">
        <v>2534.58</v>
      </c>
      <c r="C1052" s="418">
        <f t="shared" si="144"/>
        <v>2.1588536724235219E-3</v>
      </c>
      <c r="D1052" s="411">
        <v>51.25</v>
      </c>
      <c r="E1052" s="418">
        <f t="shared" si="145"/>
        <v>6.6153526107759486E-2</v>
      </c>
      <c r="F1052" s="411">
        <v>2534.58</v>
      </c>
      <c r="G1052" s="418">
        <f t="shared" si="146"/>
        <v>2.1588536724235219E-3</v>
      </c>
      <c r="H1052" s="411">
        <v>51.25</v>
      </c>
      <c r="I1052" s="418">
        <f t="shared" si="147"/>
        <v>6.6153526107759486E-2</v>
      </c>
      <c r="J1052" s="411"/>
      <c r="K1052" s="388"/>
      <c r="M1052" s="388"/>
    </row>
    <row r="1053" spans="1:13">
      <c r="A1053" s="408">
        <v>43010</v>
      </c>
      <c r="B1053" s="411">
        <v>2529.12</v>
      </c>
      <c r="C1053" s="418">
        <f t="shared" si="144"/>
        <v>3.8739997459671383E-3</v>
      </c>
      <c r="D1053" s="411">
        <v>48.07</v>
      </c>
      <c r="E1053" s="418">
        <f t="shared" si="145"/>
        <v>-3.1107424305266695E-3</v>
      </c>
      <c r="F1053" s="411">
        <v>2529.12</v>
      </c>
      <c r="G1053" s="418">
        <f t="shared" si="146"/>
        <v>3.8739997459671383E-3</v>
      </c>
      <c r="H1053" s="411">
        <v>48.07</v>
      </c>
      <c r="I1053" s="418">
        <f t="shared" si="147"/>
        <v>-3.1107424305266695E-3</v>
      </c>
      <c r="J1053" s="411"/>
      <c r="K1053" s="388"/>
      <c r="M1053" s="388"/>
    </row>
    <row r="1054" spans="1:13">
      <c r="A1054" s="408">
        <v>43007</v>
      </c>
      <c r="B1054" s="411">
        <v>2519.36</v>
      </c>
      <c r="C1054" s="418">
        <f t="shared" si="144"/>
        <v>3.7050907149631662E-3</v>
      </c>
      <c r="D1054" s="411">
        <v>48.22</v>
      </c>
      <c r="E1054" s="418">
        <f t="shared" si="145"/>
        <v>-1.8629683295384725E-3</v>
      </c>
      <c r="F1054" s="411">
        <v>2519.36</v>
      </c>
      <c r="G1054" s="418">
        <f t="shared" si="146"/>
        <v>3.7050907149631662E-3</v>
      </c>
      <c r="H1054" s="411">
        <v>48.22</v>
      </c>
      <c r="I1054" s="418">
        <f t="shared" si="147"/>
        <v>-1.8629683295384725E-3</v>
      </c>
      <c r="J1054" s="411"/>
      <c r="K1054" s="388"/>
      <c r="M1054" s="388"/>
    </row>
    <row r="1055" spans="1:13">
      <c r="A1055" s="408">
        <v>43006</v>
      </c>
      <c r="B1055" s="411">
        <v>2510.06</v>
      </c>
      <c r="C1055" s="418">
        <f t="shared" si="144"/>
        <v>1.2046078243665992E-3</v>
      </c>
      <c r="D1055" s="411">
        <v>48.31</v>
      </c>
      <c r="E1055" s="418">
        <f t="shared" si="145"/>
        <v>1.23637887678123E-2</v>
      </c>
      <c r="F1055" s="411">
        <v>2510.06</v>
      </c>
      <c r="G1055" s="418">
        <f t="shared" si="146"/>
        <v>1.2046078243665992E-3</v>
      </c>
      <c r="H1055" s="411">
        <v>48.31</v>
      </c>
      <c r="I1055" s="418">
        <f t="shared" si="147"/>
        <v>1.23637887678123E-2</v>
      </c>
      <c r="J1055" s="411"/>
      <c r="K1055" s="388"/>
      <c r="M1055" s="388"/>
    </row>
    <row r="1056" spans="1:13">
      <c r="A1056" s="408">
        <v>43005</v>
      </c>
      <c r="B1056" s="411">
        <v>2507.04</v>
      </c>
      <c r="C1056" s="418">
        <f t="shared" si="144"/>
        <v>4.0851636468495212E-3</v>
      </c>
      <c r="D1056" s="411">
        <v>47.72</v>
      </c>
      <c r="E1056" s="418">
        <f t="shared" si="145"/>
        <v>-1.60824742268042E-2</v>
      </c>
      <c r="F1056" s="411">
        <v>2507.04</v>
      </c>
      <c r="G1056" s="418">
        <f t="shared" si="146"/>
        <v>4.0851636468495212E-3</v>
      </c>
      <c r="H1056" s="411">
        <v>47.72</v>
      </c>
      <c r="I1056" s="418">
        <f t="shared" si="147"/>
        <v>-1.60824742268042E-2</v>
      </c>
      <c r="J1056" s="411"/>
      <c r="K1056" s="388"/>
      <c r="M1056" s="388"/>
    </row>
    <row r="1057" spans="1:13">
      <c r="A1057" s="408">
        <v>43004</v>
      </c>
      <c r="B1057" s="411">
        <v>2496.84</v>
      </c>
      <c r="C1057" s="418">
        <f t="shared" si="144"/>
        <v>7.209632068461147E-5</v>
      </c>
      <c r="D1057" s="411">
        <v>48.5</v>
      </c>
      <c r="E1057" s="418">
        <f t="shared" si="145"/>
        <v>3.7251655629138014E-3</v>
      </c>
      <c r="F1057" s="411">
        <v>2496.84</v>
      </c>
      <c r="G1057" s="418">
        <f t="shared" si="146"/>
        <v>7.209632068461147E-5</v>
      </c>
      <c r="H1057" s="411">
        <v>48.5</v>
      </c>
      <c r="I1057" s="418">
        <f t="shared" si="147"/>
        <v>3.7251655629138014E-3</v>
      </c>
      <c r="J1057" s="411"/>
      <c r="K1057" s="388"/>
      <c r="M1057" s="388"/>
    </row>
    <row r="1058" spans="1:13">
      <c r="A1058" s="408">
        <v>43003</v>
      </c>
      <c r="B1058" s="411">
        <v>2496.66</v>
      </c>
      <c r="C1058" s="418">
        <f t="shared" si="144"/>
        <v>-2.2220268401659249E-3</v>
      </c>
      <c r="D1058" s="411">
        <v>48.32</v>
      </c>
      <c r="E1058" s="418">
        <f t="shared" si="145"/>
        <v>-3.094697751186315E-3</v>
      </c>
      <c r="F1058" s="411">
        <v>2496.66</v>
      </c>
      <c r="G1058" s="418">
        <f t="shared" si="146"/>
        <v>-2.2220268401659249E-3</v>
      </c>
      <c r="H1058" s="411">
        <v>48.32</v>
      </c>
      <c r="I1058" s="418">
        <f t="shared" si="147"/>
        <v>-3.094697751186315E-3</v>
      </c>
      <c r="J1058" s="411"/>
      <c r="K1058" s="388"/>
      <c r="M1058" s="388"/>
    </row>
    <row r="1059" spans="1:13">
      <c r="A1059" s="408">
        <v>43000</v>
      </c>
      <c r="B1059" s="411">
        <v>2502.2199999999998</v>
      </c>
      <c r="C1059" s="418">
        <f t="shared" si="144"/>
        <v>6.4784451731569881E-4</v>
      </c>
      <c r="D1059" s="411">
        <v>48.47</v>
      </c>
      <c r="E1059" s="418">
        <f t="shared" si="145"/>
        <v>6.4368770764120509E-3</v>
      </c>
      <c r="F1059" s="411">
        <v>2502.2199999999998</v>
      </c>
      <c r="G1059" s="418">
        <f t="shared" si="146"/>
        <v>6.4784451731569881E-4</v>
      </c>
      <c r="H1059" s="411">
        <v>48.47</v>
      </c>
      <c r="I1059" s="418">
        <f t="shared" si="147"/>
        <v>6.4368770764120509E-3</v>
      </c>
      <c r="J1059" s="411"/>
      <c r="K1059" s="388"/>
      <c r="M1059" s="388"/>
    </row>
    <row r="1060" spans="1:13">
      <c r="A1060" s="408">
        <v>42999</v>
      </c>
      <c r="B1060" s="411">
        <v>2500.6</v>
      </c>
      <c r="C1060" s="418">
        <f t="shared" si="144"/>
        <v>-3.0459605141452961E-3</v>
      </c>
      <c r="D1060" s="411">
        <v>48.16</v>
      </c>
      <c r="E1060" s="418">
        <f t="shared" si="145"/>
        <v>2.4979184013320666E-3</v>
      </c>
      <c r="F1060" s="411">
        <v>2500.6</v>
      </c>
      <c r="G1060" s="418">
        <f t="shared" si="146"/>
        <v>-3.0459605141452961E-3</v>
      </c>
      <c r="H1060" s="411">
        <v>48.16</v>
      </c>
      <c r="I1060" s="418">
        <f t="shared" si="147"/>
        <v>2.4979184013320666E-3</v>
      </c>
      <c r="J1060" s="411"/>
      <c r="K1060" s="388"/>
      <c r="M1060" s="388"/>
    </row>
    <row r="1061" spans="1:13">
      <c r="A1061" s="408">
        <v>42998</v>
      </c>
      <c r="B1061" s="411">
        <v>2508.2399999999998</v>
      </c>
      <c r="C1061" s="418">
        <f t="shared" si="144"/>
        <v>6.3431272814296058E-4</v>
      </c>
      <c r="D1061" s="411">
        <v>48.04</v>
      </c>
      <c r="E1061" s="418">
        <f t="shared" si="145"/>
        <v>2.9227557411273253E-3</v>
      </c>
      <c r="F1061" s="411">
        <v>2508.2399999999998</v>
      </c>
      <c r="G1061" s="418">
        <f t="shared" si="146"/>
        <v>6.3431272814296058E-4</v>
      </c>
      <c r="H1061" s="411">
        <v>48.04</v>
      </c>
      <c r="I1061" s="418">
        <f t="shared" si="147"/>
        <v>2.9227557411273253E-3</v>
      </c>
      <c r="J1061" s="411"/>
      <c r="K1061" s="388"/>
      <c r="M1061" s="388"/>
    </row>
    <row r="1062" spans="1:13">
      <c r="A1062" s="408">
        <v>42997</v>
      </c>
      <c r="B1062" s="411">
        <v>2506.65</v>
      </c>
      <c r="C1062" s="418">
        <f t="shared" si="144"/>
        <v>1.1102812845715793E-3</v>
      </c>
      <c r="D1062" s="411">
        <v>47.9</v>
      </c>
      <c r="E1062" s="418">
        <f t="shared" si="145"/>
        <v>-1.2510425354462784E-3</v>
      </c>
      <c r="F1062" s="411">
        <v>2506.65</v>
      </c>
      <c r="G1062" s="418">
        <f t="shared" si="146"/>
        <v>1.1102812845715793E-3</v>
      </c>
      <c r="H1062" s="411">
        <v>47.9</v>
      </c>
      <c r="I1062" s="418">
        <f t="shared" si="147"/>
        <v>-1.2510425354462784E-3</v>
      </c>
      <c r="J1062" s="411"/>
      <c r="K1062" s="388"/>
      <c r="M1062" s="388"/>
    </row>
    <row r="1063" spans="1:13">
      <c r="A1063" s="408">
        <v>42996</v>
      </c>
      <c r="B1063" s="411">
        <v>2503.87</v>
      </c>
      <c r="C1063" s="418">
        <f t="shared" si="144"/>
        <v>1.4558660603223306E-3</v>
      </c>
      <c r="D1063" s="411">
        <v>47.96</v>
      </c>
      <c r="E1063" s="418">
        <f t="shared" si="145"/>
        <v>-6.0103626943005528E-3</v>
      </c>
      <c r="F1063" s="411">
        <v>2503.87</v>
      </c>
      <c r="G1063" s="418">
        <f t="shared" si="146"/>
        <v>1.4558660603223306E-3</v>
      </c>
      <c r="H1063" s="411">
        <v>47.96</v>
      </c>
      <c r="I1063" s="418">
        <f t="shared" si="147"/>
        <v>-6.0103626943005528E-3</v>
      </c>
      <c r="J1063" s="411"/>
      <c r="K1063" s="388"/>
      <c r="M1063" s="388"/>
    </row>
    <row r="1064" spans="1:13">
      <c r="A1064" s="408">
        <v>42993</v>
      </c>
      <c r="B1064" s="411">
        <v>2500.23</v>
      </c>
      <c r="C1064" s="418">
        <f t="shared" si="144"/>
        <v>1.8472363580994688E-3</v>
      </c>
      <c r="D1064" s="411">
        <v>48.25</v>
      </c>
      <c r="E1064" s="418">
        <f t="shared" si="145"/>
        <v>-4.1433602651752555E-4</v>
      </c>
      <c r="F1064" s="411">
        <v>2500.23</v>
      </c>
      <c r="G1064" s="418">
        <f t="shared" si="146"/>
        <v>1.8472363580994688E-3</v>
      </c>
      <c r="H1064" s="411">
        <v>48.25</v>
      </c>
      <c r="I1064" s="418">
        <f t="shared" si="147"/>
        <v>-4.1433602651752555E-4</v>
      </c>
      <c r="J1064" s="411"/>
      <c r="K1064" s="388"/>
      <c r="M1064" s="388"/>
    </row>
    <row r="1065" spans="1:13">
      <c r="A1065" s="408">
        <v>42992</v>
      </c>
      <c r="B1065" s="411">
        <v>2495.62</v>
      </c>
      <c r="C1065" s="418">
        <f t="shared" si="144"/>
        <v>-1.1007176679195263E-3</v>
      </c>
      <c r="D1065" s="411">
        <v>48.27</v>
      </c>
      <c r="E1065" s="418">
        <f t="shared" si="145"/>
        <v>-1.4495712535728789E-2</v>
      </c>
      <c r="F1065" s="411">
        <v>2495.62</v>
      </c>
      <c r="G1065" s="418">
        <f t="shared" si="146"/>
        <v>-1.1007176679195263E-3</v>
      </c>
      <c r="H1065" s="411">
        <v>48.27</v>
      </c>
      <c r="I1065" s="418">
        <f t="shared" si="147"/>
        <v>-1.4495712535728789E-2</v>
      </c>
      <c r="J1065" s="411"/>
      <c r="K1065" s="388"/>
      <c r="M1065" s="388"/>
    </row>
    <row r="1066" spans="1:13">
      <c r="A1066" s="408">
        <v>42991</v>
      </c>
      <c r="B1066" s="411">
        <v>2498.37</v>
      </c>
      <c r="C1066" s="418">
        <f t="shared" si="144"/>
        <v>7.5706594885582845E-4</v>
      </c>
      <c r="D1066" s="411">
        <v>48.98</v>
      </c>
      <c r="E1066" s="418">
        <f t="shared" si="145"/>
        <v>-1.2234910277325595E-3</v>
      </c>
      <c r="F1066" s="411">
        <v>2498.37</v>
      </c>
      <c r="G1066" s="418">
        <f t="shared" si="146"/>
        <v>7.5706594885582845E-4</v>
      </c>
      <c r="H1066" s="411">
        <v>48.98</v>
      </c>
      <c r="I1066" s="418">
        <f t="shared" si="147"/>
        <v>-1.2234910277325595E-3</v>
      </c>
      <c r="J1066" s="411"/>
      <c r="K1066" s="388"/>
      <c r="M1066" s="388"/>
    </row>
    <row r="1067" spans="1:13">
      <c r="A1067" s="408">
        <v>42990</v>
      </c>
      <c r="B1067" s="411">
        <v>2496.48</v>
      </c>
      <c r="C1067" s="418">
        <f t="shared" si="144"/>
        <v>3.363999180100441E-3</v>
      </c>
      <c r="D1067" s="411">
        <v>49.04</v>
      </c>
      <c r="E1067" s="418">
        <f t="shared" si="145"/>
        <v>4.5063498566160209E-3</v>
      </c>
      <c r="F1067" s="411">
        <v>2496.48</v>
      </c>
      <c r="G1067" s="418">
        <f t="shared" si="146"/>
        <v>3.363999180100441E-3</v>
      </c>
      <c r="H1067" s="411">
        <v>49.04</v>
      </c>
      <c r="I1067" s="418">
        <f t="shared" si="147"/>
        <v>4.5063498566160209E-3</v>
      </c>
      <c r="J1067" s="411"/>
      <c r="K1067" s="388"/>
      <c r="M1067" s="388"/>
    </row>
    <row r="1068" spans="1:13">
      <c r="A1068" s="408">
        <v>42989</v>
      </c>
      <c r="B1068" s="411">
        <v>2488.11</v>
      </c>
      <c r="C1068" s="418">
        <f t="shared" si="144"/>
        <v>1.0839227603466339E-2</v>
      </c>
      <c r="D1068" s="411">
        <v>48.82</v>
      </c>
      <c r="E1068" s="418">
        <f t="shared" si="145"/>
        <v>2.8872497365648009E-2</v>
      </c>
      <c r="F1068" s="411">
        <v>2488.11</v>
      </c>
      <c r="G1068" s="418">
        <f t="shared" si="146"/>
        <v>1.0839227603466339E-2</v>
      </c>
      <c r="H1068" s="411">
        <v>48.82</v>
      </c>
      <c r="I1068" s="418">
        <f t="shared" si="147"/>
        <v>2.8872497365648009E-2</v>
      </c>
      <c r="J1068" s="411"/>
      <c r="K1068" s="388"/>
      <c r="M1068" s="388"/>
    </row>
    <row r="1069" spans="1:13">
      <c r="A1069" s="408">
        <v>42986</v>
      </c>
      <c r="B1069" s="411">
        <v>2461.4299999999998</v>
      </c>
      <c r="C1069" s="418">
        <f t="shared" si="144"/>
        <v>-1.488783416494277E-3</v>
      </c>
      <c r="D1069" s="411">
        <v>47.45</v>
      </c>
      <c r="E1069" s="418">
        <f t="shared" si="145"/>
        <v>7.0033955857387031E-3</v>
      </c>
      <c r="F1069" s="411">
        <v>2461.4299999999998</v>
      </c>
      <c r="G1069" s="418">
        <f t="shared" si="146"/>
        <v>-1.488783416494277E-3</v>
      </c>
      <c r="H1069" s="411">
        <v>47.45</v>
      </c>
      <c r="I1069" s="418">
        <f t="shared" si="147"/>
        <v>7.0033955857387031E-3</v>
      </c>
      <c r="J1069" s="411"/>
      <c r="K1069" s="388"/>
      <c r="M1069" s="388"/>
    </row>
    <row r="1070" spans="1:13">
      <c r="A1070" s="408">
        <v>42985</v>
      </c>
      <c r="B1070" s="411">
        <v>2465.1</v>
      </c>
      <c r="C1070" s="418">
        <f t="shared" si="144"/>
        <v>-1.7845989113951521E-4</v>
      </c>
      <c r="D1070" s="411">
        <v>47.12</v>
      </c>
      <c r="E1070" s="418">
        <f t="shared" si="145"/>
        <v>-5.6974045157206499E-3</v>
      </c>
      <c r="F1070" s="411">
        <v>2465.1</v>
      </c>
      <c r="G1070" s="418">
        <f t="shared" si="146"/>
        <v>-1.7845989113951521E-4</v>
      </c>
      <c r="H1070" s="411">
        <v>47.12</v>
      </c>
      <c r="I1070" s="418">
        <f t="shared" si="147"/>
        <v>-5.6974045157206499E-3</v>
      </c>
      <c r="J1070" s="411"/>
      <c r="K1070" s="388"/>
      <c r="M1070" s="388"/>
    </row>
    <row r="1071" spans="1:13">
      <c r="A1071" s="408">
        <v>42984</v>
      </c>
      <c r="B1071" s="411">
        <v>2465.54</v>
      </c>
      <c r="C1071" s="418">
        <f t="shared" si="144"/>
        <v>3.128750737433128E-3</v>
      </c>
      <c r="D1071" s="411">
        <v>47.39</v>
      </c>
      <c r="E1071" s="418">
        <f t="shared" si="145"/>
        <v>3.3813263525305448E-2</v>
      </c>
      <c r="F1071" s="411">
        <v>2465.54</v>
      </c>
      <c r="G1071" s="418">
        <f t="shared" si="146"/>
        <v>3.128750737433128E-3</v>
      </c>
      <c r="H1071" s="411">
        <v>47.39</v>
      </c>
      <c r="I1071" s="418">
        <f t="shared" si="147"/>
        <v>3.3813263525305448E-2</v>
      </c>
      <c r="J1071" s="411"/>
      <c r="K1071" s="388"/>
      <c r="M1071" s="388"/>
    </row>
    <row r="1072" spans="1:13">
      <c r="A1072" s="408">
        <v>42983</v>
      </c>
      <c r="B1072" s="411">
        <v>2457.85</v>
      </c>
      <c r="C1072" s="418">
        <f t="shared" si="144"/>
        <v>-7.5508267549616592E-3</v>
      </c>
      <c r="D1072" s="411">
        <v>45.84</v>
      </c>
      <c r="E1072" s="418">
        <f t="shared" si="145"/>
        <v>-3.5353535353535359E-2</v>
      </c>
      <c r="F1072" s="411">
        <v>2457.85</v>
      </c>
      <c r="G1072" s="418">
        <f t="shared" si="146"/>
        <v>-7.5508267549616592E-3</v>
      </c>
      <c r="H1072" s="411">
        <v>45.84</v>
      </c>
      <c r="I1072" s="418">
        <f t="shared" si="147"/>
        <v>-3.5353535353535359E-2</v>
      </c>
      <c r="J1072" s="411"/>
      <c r="K1072" s="388"/>
      <c r="M1072" s="388"/>
    </row>
    <row r="1073" spans="1:13">
      <c r="A1073" s="408">
        <v>42979</v>
      </c>
      <c r="B1073" s="411">
        <v>2476.5500000000002</v>
      </c>
      <c r="C1073" s="418">
        <f t="shared" si="144"/>
        <v>1.9824813383773066E-3</v>
      </c>
      <c r="D1073" s="411">
        <v>47.52</v>
      </c>
      <c r="E1073" s="418">
        <f t="shared" si="145"/>
        <v>6.9930069930070893E-3</v>
      </c>
      <c r="F1073" s="411">
        <v>2476.5500000000002</v>
      </c>
      <c r="G1073" s="418">
        <f t="shared" si="146"/>
        <v>1.9824813383773066E-3</v>
      </c>
      <c r="H1073" s="411">
        <v>47.52</v>
      </c>
      <c r="I1073" s="418">
        <f t="shared" si="147"/>
        <v>6.9930069930070893E-3</v>
      </c>
      <c r="J1073" s="411"/>
      <c r="K1073" s="388"/>
      <c r="M1073" s="388"/>
    </row>
    <row r="1074" spans="1:13">
      <c r="A1074" s="408">
        <v>42978</v>
      </c>
      <c r="B1074" s="411">
        <v>2471.65</v>
      </c>
      <c r="C1074" s="418">
        <f t="shared" si="144"/>
        <v>5.721051924853171E-3</v>
      </c>
      <c r="D1074" s="411">
        <v>47.19</v>
      </c>
      <c r="E1074" s="418">
        <f t="shared" si="145"/>
        <v>7.6873798846892605E-3</v>
      </c>
      <c r="F1074" s="411">
        <v>2471.65</v>
      </c>
      <c r="G1074" s="418">
        <f t="shared" si="146"/>
        <v>5.721051924853171E-3</v>
      </c>
      <c r="H1074" s="411">
        <v>47.19</v>
      </c>
      <c r="I1074" s="418">
        <f t="shared" si="147"/>
        <v>7.6873798846892605E-3</v>
      </c>
      <c r="J1074" s="411"/>
      <c r="K1074" s="388"/>
      <c r="M1074" s="388"/>
    </row>
    <row r="1075" spans="1:13">
      <c r="A1075" s="408">
        <v>42977</v>
      </c>
      <c r="B1075" s="411">
        <v>2457.59</v>
      </c>
      <c r="C1075" s="418">
        <f t="shared" si="144"/>
        <v>4.6151330580876948E-3</v>
      </c>
      <c r="D1075" s="411">
        <v>46.83</v>
      </c>
      <c r="E1075" s="418">
        <f t="shared" si="145"/>
        <v>4.5045045045044585E-3</v>
      </c>
      <c r="F1075" s="411">
        <v>2457.59</v>
      </c>
      <c r="G1075" s="418">
        <f t="shared" si="146"/>
        <v>4.6151330580876948E-3</v>
      </c>
      <c r="H1075" s="411">
        <v>46.83</v>
      </c>
      <c r="I1075" s="418">
        <f t="shared" si="147"/>
        <v>4.5045045045044585E-3</v>
      </c>
      <c r="J1075" s="411"/>
      <c r="K1075" s="388"/>
      <c r="M1075" s="388"/>
    </row>
    <row r="1076" spans="1:13">
      <c r="A1076" s="408">
        <v>42976</v>
      </c>
      <c r="B1076" s="411">
        <v>2446.3000000000002</v>
      </c>
      <c r="C1076" s="418">
        <f t="shared" si="144"/>
        <v>8.4279776126749972E-4</v>
      </c>
      <c r="D1076" s="411">
        <v>46.62</v>
      </c>
      <c r="E1076" s="418">
        <f t="shared" si="145"/>
        <v>-7.0287539936103594E-3</v>
      </c>
      <c r="F1076" s="411">
        <v>2446.3000000000002</v>
      </c>
      <c r="G1076" s="418">
        <f t="shared" si="146"/>
        <v>8.4279776126749972E-4</v>
      </c>
      <c r="H1076" s="411">
        <v>46.62</v>
      </c>
      <c r="I1076" s="418">
        <f t="shared" si="147"/>
        <v>-7.0287539936103594E-3</v>
      </c>
      <c r="J1076" s="411"/>
      <c r="K1076" s="388"/>
      <c r="M1076" s="388"/>
    </row>
    <row r="1077" spans="1:13">
      <c r="A1077" s="408">
        <v>42975</v>
      </c>
      <c r="B1077" s="411">
        <v>2444.2399999999998</v>
      </c>
      <c r="C1077" s="418">
        <f t="shared" si="144"/>
        <v>4.8709604797259054E-4</v>
      </c>
      <c r="D1077" s="411">
        <v>46.95</v>
      </c>
      <c r="E1077" s="418">
        <f t="shared" si="145"/>
        <v>5.7840616966582381E-3</v>
      </c>
      <c r="F1077" s="411">
        <v>2444.2399999999998</v>
      </c>
      <c r="G1077" s="418">
        <f t="shared" si="146"/>
        <v>4.8709604797259054E-4</v>
      </c>
      <c r="H1077" s="411">
        <v>46.95</v>
      </c>
      <c r="I1077" s="418">
        <f t="shared" si="147"/>
        <v>5.7840616966582381E-3</v>
      </c>
      <c r="J1077" s="411"/>
      <c r="K1077" s="388"/>
      <c r="M1077" s="388"/>
    </row>
    <row r="1078" spans="1:13">
      <c r="A1078" s="408">
        <v>42972</v>
      </c>
      <c r="B1078" s="411">
        <v>2443.0500000000002</v>
      </c>
      <c r="C1078" s="418">
        <f t="shared" si="144"/>
        <v>1.6728373042720346E-3</v>
      </c>
      <c r="D1078" s="411">
        <v>46.68</v>
      </c>
      <c r="E1078" s="418">
        <f t="shared" si="145"/>
        <v>3.2514930325149294E-2</v>
      </c>
      <c r="F1078" s="411">
        <v>2443.0500000000002</v>
      </c>
      <c r="G1078" s="418">
        <f t="shared" si="146"/>
        <v>1.6728373042720346E-3</v>
      </c>
      <c r="H1078" s="411">
        <v>46.68</v>
      </c>
      <c r="I1078" s="418">
        <f t="shared" si="147"/>
        <v>3.2514930325149294E-2</v>
      </c>
      <c r="J1078" s="411"/>
      <c r="K1078" s="388"/>
      <c r="M1078" s="388"/>
    </row>
    <row r="1079" spans="1:13">
      <c r="A1079" s="408">
        <v>42971</v>
      </c>
      <c r="B1079" s="411">
        <v>2438.9699999999998</v>
      </c>
      <c r="C1079" s="418">
        <f t="shared" si="144"/>
        <v>-2.0744341336476069E-3</v>
      </c>
      <c r="D1079" s="411">
        <v>45.21</v>
      </c>
      <c r="E1079" s="418">
        <f t="shared" si="145"/>
        <v>-2.1004763967085283E-2</v>
      </c>
      <c r="F1079" s="411">
        <v>2438.9699999999998</v>
      </c>
      <c r="G1079" s="418">
        <f t="shared" si="146"/>
        <v>-2.0744341336476069E-3</v>
      </c>
      <c r="H1079" s="411">
        <v>45.21</v>
      </c>
      <c r="I1079" s="418">
        <f t="shared" si="147"/>
        <v>-2.1004763967085283E-2</v>
      </c>
      <c r="J1079" s="411"/>
      <c r="K1079" s="388"/>
      <c r="M1079" s="388"/>
    </row>
    <row r="1080" spans="1:13">
      <c r="A1080" s="408">
        <v>42970</v>
      </c>
      <c r="B1080" s="411">
        <v>2444.04</v>
      </c>
      <c r="C1080" s="418">
        <f t="shared" si="144"/>
        <v>-3.4536046743949278E-3</v>
      </c>
      <c r="D1080" s="411">
        <v>46.18</v>
      </c>
      <c r="E1080" s="418">
        <f t="shared" si="145"/>
        <v>-2.0572640509013751E-2</v>
      </c>
      <c r="F1080" s="411">
        <v>2444.04</v>
      </c>
      <c r="G1080" s="418">
        <f t="shared" si="146"/>
        <v>-3.4536046743949278E-3</v>
      </c>
      <c r="H1080" s="411">
        <v>46.18</v>
      </c>
      <c r="I1080" s="418">
        <f t="shared" si="147"/>
        <v>-2.0572640509013751E-2</v>
      </c>
      <c r="J1080" s="411"/>
      <c r="K1080" s="388"/>
      <c r="M1080" s="388"/>
    </row>
    <row r="1081" spans="1:13">
      <c r="A1081" s="408">
        <v>42969</v>
      </c>
      <c r="B1081" s="411">
        <v>2452.5100000000002</v>
      </c>
      <c r="C1081" s="418">
        <f t="shared" si="144"/>
        <v>9.9408245036796128E-3</v>
      </c>
      <c r="D1081" s="411">
        <v>47.15</v>
      </c>
      <c r="E1081" s="418">
        <f t="shared" si="145"/>
        <v>-1.3804643380046056E-2</v>
      </c>
      <c r="F1081" s="411">
        <v>2452.5100000000002</v>
      </c>
      <c r="G1081" s="418">
        <f t="shared" si="146"/>
        <v>9.9408245036796128E-3</v>
      </c>
      <c r="H1081" s="411">
        <v>47.15</v>
      </c>
      <c r="I1081" s="418">
        <f t="shared" si="147"/>
        <v>-1.3804643380046056E-2</v>
      </c>
      <c r="J1081" s="411"/>
      <c r="K1081" s="388"/>
      <c r="M1081" s="388"/>
    </row>
    <row r="1082" spans="1:13">
      <c r="A1082" s="408">
        <v>42968</v>
      </c>
      <c r="B1082" s="411">
        <v>2428.37</v>
      </c>
      <c r="C1082" s="418">
        <f t="shared" si="144"/>
        <v>1.1626229102676966E-3</v>
      </c>
      <c r="D1082" s="411">
        <v>47.81</v>
      </c>
      <c r="E1082" s="418">
        <f t="shared" si="145"/>
        <v>5.8910162002945299E-3</v>
      </c>
      <c r="F1082" s="411">
        <v>2428.37</v>
      </c>
      <c r="G1082" s="418">
        <f t="shared" si="146"/>
        <v>1.1626229102676966E-3</v>
      </c>
      <c r="H1082" s="411">
        <v>47.81</v>
      </c>
      <c r="I1082" s="418">
        <f t="shared" si="147"/>
        <v>5.8910162002945299E-3</v>
      </c>
      <c r="J1082" s="411"/>
      <c r="K1082" s="388"/>
      <c r="M1082" s="388"/>
    </row>
    <row r="1083" spans="1:13">
      <c r="A1083" s="408">
        <v>42965</v>
      </c>
      <c r="B1083" s="411">
        <v>2425.5500000000002</v>
      </c>
      <c r="C1083" s="418">
        <f t="shared" si="144"/>
        <v>-1.8353833934839914E-3</v>
      </c>
      <c r="D1083" s="411">
        <v>47.53</v>
      </c>
      <c r="E1083" s="418">
        <f t="shared" si="145"/>
        <v>0</v>
      </c>
      <c r="F1083" s="411">
        <v>2425.5500000000002</v>
      </c>
      <c r="G1083" s="418">
        <f t="shared" si="146"/>
        <v>-1.8353833934839914E-3</v>
      </c>
      <c r="H1083" s="411">
        <v>47.53</v>
      </c>
      <c r="I1083" s="418">
        <f t="shared" si="147"/>
        <v>0</v>
      </c>
      <c r="J1083" s="411"/>
      <c r="K1083" s="388"/>
      <c r="M1083" s="388"/>
    </row>
    <row r="1084" spans="1:13">
      <c r="A1084" s="408">
        <v>42964</v>
      </c>
      <c r="B1084" s="411">
        <v>2430.0100000000002</v>
      </c>
      <c r="C1084" s="418">
        <f t="shared" si="144"/>
        <v>-1.5436913265616137E-2</v>
      </c>
      <c r="D1084" s="411">
        <v>47.53</v>
      </c>
      <c r="E1084" s="418">
        <f t="shared" si="145"/>
        <v>-5.186515060841812E-2</v>
      </c>
      <c r="F1084" s="411">
        <v>2430.0100000000002</v>
      </c>
      <c r="G1084" s="418">
        <f t="shared" si="146"/>
        <v>-1.5436913265616137E-2</v>
      </c>
      <c r="H1084" s="411">
        <v>47.53</v>
      </c>
      <c r="I1084" s="418">
        <f t="shared" si="147"/>
        <v>-5.186515060841812E-2</v>
      </c>
      <c r="J1084" s="411"/>
      <c r="K1084" s="388"/>
      <c r="M1084" s="388"/>
    </row>
    <row r="1085" spans="1:13">
      <c r="A1085" s="408">
        <v>42963</v>
      </c>
      <c r="B1085" s="411">
        <v>2468.11</v>
      </c>
      <c r="C1085" s="418">
        <f t="shared" si="144"/>
        <v>1.4201029777529683E-3</v>
      </c>
      <c r="D1085" s="411">
        <v>50.13</v>
      </c>
      <c r="E1085" s="418">
        <f t="shared" si="145"/>
        <v>4.2067307692308376E-3</v>
      </c>
      <c r="F1085" s="411">
        <v>2468.11</v>
      </c>
      <c r="G1085" s="418">
        <f t="shared" si="146"/>
        <v>1.4201029777529683E-3</v>
      </c>
      <c r="H1085" s="411">
        <v>50.13</v>
      </c>
      <c r="I1085" s="418">
        <f t="shared" si="147"/>
        <v>4.2067307692308376E-3</v>
      </c>
      <c r="J1085" s="411"/>
      <c r="K1085" s="388"/>
      <c r="M1085" s="388"/>
    </row>
    <row r="1086" spans="1:13">
      <c r="A1086" s="408">
        <v>42962</v>
      </c>
      <c r="B1086" s="411">
        <v>2464.61</v>
      </c>
      <c r="C1086" s="418">
        <f t="shared" si="144"/>
        <v>-4.9881581935573571E-4</v>
      </c>
      <c r="D1086" s="411">
        <v>49.92</v>
      </c>
      <c r="E1086" s="418">
        <f t="shared" si="145"/>
        <v>-2.9958058717795E-3</v>
      </c>
      <c r="F1086" s="411">
        <v>2464.61</v>
      </c>
      <c r="G1086" s="418">
        <f t="shared" si="146"/>
        <v>-4.9881581935573571E-4</v>
      </c>
      <c r="H1086" s="411">
        <v>49.92</v>
      </c>
      <c r="I1086" s="418">
        <f t="shared" si="147"/>
        <v>-2.9958058717795E-3</v>
      </c>
      <c r="J1086" s="411"/>
      <c r="K1086" s="388"/>
      <c r="M1086" s="388"/>
    </row>
    <row r="1087" spans="1:13">
      <c r="A1087" s="408">
        <v>42961</v>
      </c>
      <c r="B1087" s="411">
        <v>2465.84</v>
      </c>
      <c r="C1087" s="418">
        <f t="shared" si="144"/>
        <v>1.004374682548792E-2</v>
      </c>
      <c r="D1087" s="411">
        <v>50.07</v>
      </c>
      <c r="E1087" s="418">
        <f t="shared" si="145"/>
        <v>1.1924009700889249E-2</v>
      </c>
      <c r="F1087" s="411">
        <v>2465.84</v>
      </c>
      <c r="G1087" s="418">
        <f t="shared" si="146"/>
        <v>1.004374682548792E-2</v>
      </c>
      <c r="H1087" s="411">
        <v>50.07</v>
      </c>
      <c r="I1087" s="418">
        <f t="shared" si="147"/>
        <v>1.1924009700889249E-2</v>
      </c>
      <c r="J1087" s="411"/>
      <c r="K1087" s="388"/>
      <c r="M1087" s="388"/>
    </row>
    <row r="1088" spans="1:13">
      <c r="A1088" s="408">
        <v>42958</v>
      </c>
      <c r="B1088" s="411">
        <v>2441.3200000000002</v>
      </c>
      <c r="C1088" s="418">
        <f t="shared" si="144"/>
        <v>1.2755258980974293E-3</v>
      </c>
      <c r="D1088" s="411">
        <v>49.48</v>
      </c>
      <c r="E1088" s="418">
        <f t="shared" si="145"/>
        <v>8.97226753670477E-3</v>
      </c>
      <c r="F1088" s="411">
        <v>2441.3200000000002</v>
      </c>
      <c r="G1088" s="418">
        <f t="shared" si="146"/>
        <v>1.2755258980974293E-3</v>
      </c>
      <c r="H1088" s="411">
        <v>49.48</v>
      </c>
      <c r="I1088" s="418">
        <f t="shared" si="147"/>
        <v>8.97226753670477E-3</v>
      </c>
      <c r="J1088" s="411"/>
      <c r="K1088" s="388"/>
      <c r="M1088" s="388"/>
    </row>
    <row r="1089" spans="1:13">
      <c r="A1089" s="408">
        <v>42957</v>
      </c>
      <c r="B1089" s="411">
        <v>2438.21</v>
      </c>
      <c r="C1089" s="418">
        <f t="shared" si="144"/>
        <v>-1.447441815345063E-2</v>
      </c>
      <c r="D1089" s="411">
        <v>49.04</v>
      </c>
      <c r="E1089" s="418">
        <f t="shared" si="145"/>
        <v>-1.2683712502516653E-2</v>
      </c>
      <c r="F1089" s="411">
        <v>2438.21</v>
      </c>
      <c r="G1089" s="418">
        <f t="shared" si="146"/>
        <v>-1.447441815345063E-2</v>
      </c>
      <c r="H1089" s="411">
        <v>49.04</v>
      </c>
      <c r="I1089" s="418">
        <f t="shared" si="147"/>
        <v>-1.2683712502516653E-2</v>
      </c>
      <c r="J1089" s="411"/>
      <c r="K1089" s="388"/>
      <c r="M1089" s="388"/>
    </row>
    <row r="1090" spans="1:13">
      <c r="A1090" s="408">
        <v>42956</v>
      </c>
      <c r="B1090" s="411">
        <v>2474.02</v>
      </c>
      <c r="C1090" s="418">
        <f t="shared" si="144"/>
        <v>-3.6364811791900209E-4</v>
      </c>
      <c r="D1090" s="411">
        <v>49.67</v>
      </c>
      <c r="E1090" s="418">
        <f t="shared" si="145"/>
        <v>-1.2721129000198728E-2</v>
      </c>
      <c r="F1090" s="411">
        <v>2474.02</v>
      </c>
      <c r="G1090" s="418">
        <f t="shared" si="146"/>
        <v>-3.6364811791900209E-4</v>
      </c>
      <c r="H1090" s="411">
        <v>49.67</v>
      </c>
      <c r="I1090" s="418">
        <f t="shared" si="147"/>
        <v>-1.2721129000198728E-2</v>
      </c>
      <c r="J1090" s="411"/>
      <c r="K1090" s="388"/>
      <c r="M1090" s="388"/>
    </row>
    <row r="1091" spans="1:13">
      <c r="A1091" s="408">
        <v>42955</v>
      </c>
      <c r="B1091" s="411">
        <v>2474.92</v>
      </c>
      <c r="C1091" s="418">
        <f t="shared" si="144"/>
        <v>-2.4144366381689819E-3</v>
      </c>
      <c r="D1091" s="411">
        <v>50.31</v>
      </c>
      <c r="E1091" s="418">
        <f t="shared" si="145"/>
        <v>-8.6699507389161878E-3</v>
      </c>
      <c r="F1091" s="411">
        <v>2474.92</v>
      </c>
      <c r="G1091" s="418">
        <f t="shared" si="146"/>
        <v>-2.4144366381689819E-3</v>
      </c>
      <c r="H1091" s="411">
        <v>50.31</v>
      </c>
      <c r="I1091" s="418">
        <f t="shared" si="147"/>
        <v>-8.6699507389161878E-3</v>
      </c>
      <c r="J1091" s="411"/>
      <c r="K1091" s="388"/>
      <c r="M1091" s="388"/>
    </row>
    <row r="1092" spans="1:13">
      <c r="A1092" s="408">
        <v>42954</v>
      </c>
      <c r="B1092" s="411">
        <v>2480.91</v>
      </c>
      <c r="C1092" s="418">
        <f t="shared" si="144"/>
        <v>1.647266869345021E-3</v>
      </c>
      <c r="D1092" s="411">
        <v>50.75</v>
      </c>
      <c r="E1092" s="418">
        <f t="shared" si="145"/>
        <v>2.7662517289073207E-3</v>
      </c>
      <c r="F1092" s="411">
        <v>2480.91</v>
      </c>
      <c r="G1092" s="418">
        <f t="shared" si="146"/>
        <v>1.647266869345021E-3</v>
      </c>
      <c r="H1092" s="411">
        <v>50.75</v>
      </c>
      <c r="I1092" s="418">
        <f t="shared" si="147"/>
        <v>2.7662517289073207E-3</v>
      </c>
      <c r="J1092" s="411"/>
      <c r="K1092" s="388"/>
      <c r="M1092" s="388"/>
    </row>
    <row r="1093" spans="1:13">
      <c r="A1093" s="408">
        <v>42951</v>
      </c>
      <c r="B1093" s="411">
        <v>2476.83</v>
      </c>
      <c r="C1093" s="418">
        <f t="shared" si="144"/>
        <v>1.8890363083294837E-3</v>
      </c>
      <c r="D1093" s="411">
        <v>50.61</v>
      </c>
      <c r="E1093" s="418">
        <f t="shared" si="145"/>
        <v>7.9098279612410671E-4</v>
      </c>
      <c r="F1093" s="411">
        <v>2476.83</v>
      </c>
      <c r="G1093" s="418">
        <f t="shared" si="146"/>
        <v>1.8890363083294837E-3</v>
      </c>
      <c r="H1093" s="411">
        <v>50.61</v>
      </c>
      <c r="I1093" s="418">
        <f t="shared" si="147"/>
        <v>7.9098279612410671E-4</v>
      </c>
      <c r="J1093" s="411"/>
      <c r="K1093" s="388"/>
      <c r="M1093" s="388"/>
    </row>
    <row r="1094" spans="1:13">
      <c r="A1094" s="408">
        <v>42950</v>
      </c>
      <c r="B1094" s="411">
        <v>2472.16</v>
      </c>
      <c r="C1094" s="418">
        <f t="shared" si="144"/>
        <v>-2.1835911800677232E-3</v>
      </c>
      <c r="D1094" s="411">
        <v>50.57</v>
      </c>
      <c r="E1094" s="418">
        <f t="shared" si="145"/>
        <v>1.1197760447910543E-2</v>
      </c>
      <c r="F1094" s="411">
        <v>2472.16</v>
      </c>
      <c r="G1094" s="418">
        <f t="shared" si="146"/>
        <v>-2.1835911800677232E-3</v>
      </c>
      <c r="H1094" s="411">
        <v>50.57</v>
      </c>
      <c r="I1094" s="418">
        <f t="shared" si="147"/>
        <v>1.1197760447910543E-2</v>
      </c>
      <c r="J1094" s="411"/>
      <c r="K1094" s="388"/>
      <c r="M1094" s="388"/>
    </row>
    <row r="1095" spans="1:13">
      <c r="A1095" s="408">
        <v>42949</v>
      </c>
      <c r="B1095" s="411">
        <v>2477.5700000000002</v>
      </c>
      <c r="C1095" s="418">
        <f t="shared" si="144"/>
        <v>4.9266056898278343E-4</v>
      </c>
      <c r="D1095" s="411">
        <v>50.01</v>
      </c>
      <c r="E1095" s="418">
        <f t="shared" si="145"/>
        <v>-1.1983223487118666E-3</v>
      </c>
      <c r="F1095" s="411">
        <v>2477.5700000000002</v>
      </c>
      <c r="G1095" s="418">
        <f t="shared" si="146"/>
        <v>4.9266056898278343E-4</v>
      </c>
      <c r="H1095" s="411">
        <v>50.01</v>
      </c>
      <c r="I1095" s="418">
        <f t="shared" si="147"/>
        <v>-1.1983223487118666E-3</v>
      </c>
      <c r="J1095" s="411"/>
      <c r="K1095" s="388"/>
      <c r="M1095" s="388"/>
    </row>
    <row r="1096" spans="1:13">
      <c r="A1096" s="408">
        <v>42948</v>
      </c>
      <c r="B1096" s="411">
        <v>2476.35</v>
      </c>
      <c r="C1096" s="418">
        <f t="shared" ref="C1096:C1159" si="148">B1096/B1097-1</f>
        <v>2.4490952515887621E-3</v>
      </c>
      <c r="D1096" s="411">
        <v>50.07</v>
      </c>
      <c r="E1096" s="418">
        <f t="shared" ref="E1096:E1159" si="149">D1096/D1097-1</f>
        <v>1.4384116693679116E-2</v>
      </c>
      <c r="F1096" s="411">
        <v>2476.35</v>
      </c>
      <c r="G1096" s="418">
        <f t="shared" ref="G1096:G1159" si="150">F1096/F1097-1</f>
        <v>2.4490952515887621E-3</v>
      </c>
      <c r="H1096" s="411">
        <v>50.07</v>
      </c>
      <c r="I1096" s="418">
        <f t="shared" ref="I1096:I1159" si="151">H1096/H1097-1</f>
        <v>1.4384116693679116E-2</v>
      </c>
      <c r="J1096" s="411"/>
      <c r="K1096" s="388"/>
      <c r="M1096" s="388"/>
    </row>
    <row r="1097" spans="1:13">
      <c r="A1097" s="408">
        <v>42947</v>
      </c>
      <c r="B1097" s="411">
        <v>2470.3000000000002</v>
      </c>
      <c r="C1097" s="418">
        <f t="shared" si="148"/>
        <v>-7.2812588487514152E-4</v>
      </c>
      <c r="D1097" s="411">
        <v>49.36</v>
      </c>
      <c r="E1097" s="418">
        <f t="shared" si="149"/>
        <v>-1.9272799523147199E-2</v>
      </c>
      <c r="F1097" s="411">
        <v>2470.3000000000002</v>
      </c>
      <c r="G1097" s="418">
        <f t="shared" si="150"/>
        <v>-7.2812588487514152E-4</v>
      </c>
      <c r="H1097" s="411">
        <v>49.36</v>
      </c>
      <c r="I1097" s="418">
        <f t="shared" si="151"/>
        <v>-1.9272799523147199E-2</v>
      </c>
      <c r="J1097" s="411"/>
      <c r="K1097" s="388"/>
      <c r="M1097" s="388"/>
    </row>
    <row r="1098" spans="1:13">
      <c r="A1098" s="408">
        <v>42944</v>
      </c>
      <c r="B1098" s="411">
        <v>2472.1</v>
      </c>
      <c r="C1098" s="418">
        <f t="shared" si="148"/>
        <v>-1.3411865461215866E-3</v>
      </c>
      <c r="D1098" s="411">
        <v>50.33</v>
      </c>
      <c r="E1098" s="418">
        <f t="shared" si="149"/>
        <v>4.9920127795526348E-3</v>
      </c>
      <c r="F1098" s="411">
        <v>2472.1</v>
      </c>
      <c r="G1098" s="418">
        <f t="shared" si="150"/>
        <v>-1.3411865461215866E-3</v>
      </c>
      <c r="H1098" s="411">
        <v>50.33</v>
      </c>
      <c r="I1098" s="418">
        <f t="shared" si="151"/>
        <v>4.9920127795526348E-3</v>
      </c>
      <c r="J1098" s="411"/>
      <c r="K1098" s="388"/>
      <c r="M1098" s="388"/>
    </row>
    <row r="1099" spans="1:13">
      <c r="A1099" s="408">
        <v>42943</v>
      </c>
      <c r="B1099" s="411">
        <v>2475.42</v>
      </c>
      <c r="C1099" s="418">
        <f t="shared" si="148"/>
        <v>-9.7262524063390643E-4</v>
      </c>
      <c r="D1099" s="411">
        <v>50.08</v>
      </c>
      <c r="E1099" s="418">
        <f t="shared" si="149"/>
        <v>-2.0535888910620081E-2</v>
      </c>
      <c r="F1099" s="411">
        <v>2475.42</v>
      </c>
      <c r="G1099" s="418">
        <f t="shared" si="150"/>
        <v>-9.7262524063390643E-4</v>
      </c>
      <c r="H1099" s="411">
        <v>50.08</v>
      </c>
      <c r="I1099" s="418">
        <f t="shared" si="151"/>
        <v>-2.0535888910620081E-2</v>
      </c>
      <c r="J1099" s="411"/>
      <c r="K1099" s="388"/>
      <c r="M1099" s="388"/>
    </row>
    <row r="1100" spans="1:13">
      <c r="A1100" s="408">
        <v>42942</v>
      </c>
      <c r="B1100" s="411">
        <v>2477.83</v>
      </c>
      <c r="C1100" s="418">
        <f t="shared" si="148"/>
        <v>2.8258508838852059E-4</v>
      </c>
      <c r="D1100" s="411">
        <v>51.13</v>
      </c>
      <c r="E1100" s="418">
        <f t="shared" si="149"/>
        <v>-1.9554165037150018E-4</v>
      </c>
      <c r="F1100" s="411">
        <v>2477.83</v>
      </c>
      <c r="G1100" s="418">
        <f t="shared" si="150"/>
        <v>2.8258508838852059E-4</v>
      </c>
      <c r="H1100" s="411">
        <v>51.13</v>
      </c>
      <c r="I1100" s="418">
        <f t="shared" si="151"/>
        <v>-1.9554165037150018E-4</v>
      </c>
      <c r="J1100" s="411"/>
      <c r="K1100" s="388"/>
      <c r="M1100" s="388"/>
    </row>
    <row r="1101" spans="1:13">
      <c r="A1101" s="408">
        <v>42941</v>
      </c>
      <c r="B1101" s="411">
        <v>2477.13</v>
      </c>
      <c r="C1101" s="418">
        <f t="shared" si="148"/>
        <v>2.9231834358338649E-3</v>
      </c>
      <c r="D1101" s="411">
        <v>51.14</v>
      </c>
      <c r="E1101" s="418">
        <f t="shared" si="149"/>
        <v>-7.5684067533475785E-3</v>
      </c>
      <c r="F1101" s="411">
        <v>2477.13</v>
      </c>
      <c r="G1101" s="418">
        <f t="shared" si="150"/>
        <v>2.9231834358338649E-3</v>
      </c>
      <c r="H1101" s="411">
        <v>51.14</v>
      </c>
      <c r="I1101" s="418">
        <f t="shared" si="151"/>
        <v>-7.5684067533475785E-3</v>
      </c>
      <c r="J1101" s="411"/>
      <c r="K1101" s="388"/>
      <c r="M1101" s="388"/>
    </row>
    <row r="1102" spans="1:13">
      <c r="A1102" s="408">
        <v>42940</v>
      </c>
      <c r="B1102" s="411">
        <v>2469.91</v>
      </c>
      <c r="C1102" s="418">
        <f t="shared" si="148"/>
        <v>-1.0636834995592093E-3</v>
      </c>
      <c r="D1102" s="411">
        <v>51.53</v>
      </c>
      <c r="E1102" s="418">
        <f t="shared" si="149"/>
        <v>-1.3968618446230319E-2</v>
      </c>
      <c r="F1102" s="411">
        <v>2469.91</v>
      </c>
      <c r="G1102" s="418">
        <f t="shared" si="150"/>
        <v>-1.0636834995592093E-3</v>
      </c>
      <c r="H1102" s="411">
        <v>51.53</v>
      </c>
      <c r="I1102" s="418">
        <f t="shared" si="151"/>
        <v>-1.3968618446230319E-2</v>
      </c>
      <c r="J1102" s="411"/>
      <c r="K1102" s="388"/>
      <c r="M1102" s="388"/>
    </row>
    <row r="1103" spans="1:13">
      <c r="A1103" s="408">
        <v>42937</v>
      </c>
      <c r="B1103" s="411">
        <v>2472.54</v>
      </c>
      <c r="C1103" s="418">
        <f t="shared" si="148"/>
        <v>-3.6790717418988539E-4</v>
      </c>
      <c r="D1103" s="411">
        <v>52.26</v>
      </c>
      <c r="E1103" s="418">
        <f t="shared" si="149"/>
        <v>-1.0789324247586607E-2</v>
      </c>
      <c r="F1103" s="411">
        <v>2472.54</v>
      </c>
      <c r="G1103" s="418">
        <f t="shared" si="150"/>
        <v>-3.6790717418988539E-4</v>
      </c>
      <c r="H1103" s="411">
        <v>52.26</v>
      </c>
      <c r="I1103" s="418">
        <f t="shared" si="151"/>
        <v>-1.0789324247586607E-2</v>
      </c>
      <c r="J1103" s="411"/>
      <c r="K1103" s="388"/>
      <c r="M1103" s="388"/>
    </row>
    <row r="1104" spans="1:13">
      <c r="A1104" s="408">
        <v>42936</v>
      </c>
      <c r="B1104" s="411">
        <v>2473.4499999999998</v>
      </c>
      <c r="C1104" s="418">
        <f t="shared" si="148"/>
        <v>-1.5360796821128897E-4</v>
      </c>
      <c r="D1104" s="411">
        <v>52.83</v>
      </c>
      <c r="E1104" s="418">
        <f t="shared" si="149"/>
        <v>-1.7847183491355278E-2</v>
      </c>
      <c r="F1104" s="411">
        <v>2473.4499999999998</v>
      </c>
      <c r="G1104" s="418">
        <f t="shared" si="150"/>
        <v>-1.5360796821128897E-4</v>
      </c>
      <c r="H1104" s="411">
        <v>52.83</v>
      </c>
      <c r="I1104" s="418">
        <f t="shared" si="151"/>
        <v>-1.7847183491355278E-2</v>
      </c>
      <c r="J1104" s="411"/>
      <c r="K1104" s="388"/>
      <c r="M1104" s="388"/>
    </row>
    <row r="1105" spans="1:13">
      <c r="A1105" s="408">
        <v>42935</v>
      </c>
      <c r="B1105" s="411">
        <v>2473.83</v>
      </c>
      <c r="C1105" s="418">
        <f t="shared" si="148"/>
        <v>5.3726514969865136E-3</v>
      </c>
      <c r="D1105" s="411">
        <v>53.79</v>
      </c>
      <c r="E1105" s="418">
        <f t="shared" si="149"/>
        <v>-3.1504818383988331E-3</v>
      </c>
      <c r="F1105" s="411">
        <v>2473.83</v>
      </c>
      <c r="G1105" s="418">
        <f t="shared" si="150"/>
        <v>5.3726514969865136E-3</v>
      </c>
      <c r="H1105" s="411">
        <v>53.79</v>
      </c>
      <c r="I1105" s="418">
        <f t="shared" si="151"/>
        <v>-3.1504818383988331E-3</v>
      </c>
      <c r="J1105" s="411"/>
      <c r="K1105" s="388"/>
      <c r="M1105" s="388"/>
    </row>
    <row r="1106" spans="1:13">
      <c r="A1106" s="408">
        <v>42934</v>
      </c>
      <c r="B1106" s="411">
        <v>2460.61</v>
      </c>
      <c r="C1106" s="418">
        <f t="shared" si="148"/>
        <v>5.9776995209714912E-4</v>
      </c>
      <c r="D1106" s="411">
        <v>53.96</v>
      </c>
      <c r="E1106" s="418">
        <f t="shared" si="149"/>
        <v>-1.2445095168374776E-2</v>
      </c>
      <c r="F1106" s="411">
        <v>2460.61</v>
      </c>
      <c r="G1106" s="418">
        <f t="shared" si="150"/>
        <v>5.9776995209714912E-4</v>
      </c>
      <c r="H1106" s="411">
        <v>53.96</v>
      </c>
      <c r="I1106" s="418">
        <f t="shared" si="151"/>
        <v>-1.2445095168374776E-2</v>
      </c>
      <c r="J1106" s="411"/>
      <c r="K1106" s="388"/>
      <c r="M1106" s="388"/>
    </row>
    <row r="1107" spans="1:13">
      <c r="A1107" s="408">
        <v>42933</v>
      </c>
      <c r="B1107" s="411">
        <v>2459.14</v>
      </c>
      <c r="C1107" s="418">
        <f t="shared" si="148"/>
        <v>-5.2861214913435539E-5</v>
      </c>
      <c r="D1107" s="411">
        <v>54.64</v>
      </c>
      <c r="E1107" s="418">
        <f t="shared" si="149"/>
        <v>-8.8880827135860985E-3</v>
      </c>
      <c r="F1107" s="411">
        <v>2459.14</v>
      </c>
      <c r="G1107" s="418">
        <f t="shared" si="150"/>
        <v>-5.2861214913435539E-5</v>
      </c>
      <c r="H1107" s="411">
        <v>54.64</v>
      </c>
      <c r="I1107" s="418">
        <f t="shared" si="151"/>
        <v>-8.8880827135860985E-3</v>
      </c>
      <c r="J1107" s="411"/>
      <c r="K1107" s="388"/>
      <c r="M1107" s="388"/>
    </row>
    <row r="1108" spans="1:13">
      <c r="A1108" s="408">
        <v>42930</v>
      </c>
      <c r="B1108" s="411">
        <v>2459.27</v>
      </c>
      <c r="C1108" s="418">
        <f t="shared" si="148"/>
        <v>4.6735271648765675E-3</v>
      </c>
      <c r="D1108" s="411">
        <v>55.13</v>
      </c>
      <c r="E1108" s="418">
        <f t="shared" si="149"/>
        <v>1.1559633027522942E-2</v>
      </c>
      <c r="F1108" s="411">
        <v>2459.27</v>
      </c>
      <c r="G1108" s="418">
        <f t="shared" si="150"/>
        <v>4.6735271648765675E-3</v>
      </c>
      <c r="H1108" s="411">
        <v>55.13</v>
      </c>
      <c r="I1108" s="418">
        <f t="shared" si="151"/>
        <v>1.1559633027522942E-2</v>
      </c>
      <c r="J1108" s="411"/>
      <c r="K1108" s="388"/>
      <c r="M1108" s="388"/>
    </row>
    <row r="1109" spans="1:13">
      <c r="A1109" s="408">
        <v>42929</v>
      </c>
      <c r="B1109" s="411">
        <v>2447.83</v>
      </c>
      <c r="C1109" s="418">
        <f t="shared" si="148"/>
        <v>1.8745523380743201E-3</v>
      </c>
      <c r="D1109" s="411">
        <v>54.5</v>
      </c>
      <c r="E1109" s="418">
        <f t="shared" si="149"/>
        <v>-1.7664023071377044E-2</v>
      </c>
      <c r="F1109" s="411">
        <v>2447.83</v>
      </c>
      <c r="G1109" s="418">
        <f t="shared" si="150"/>
        <v>1.8745523380743201E-3</v>
      </c>
      <c r="H1109" s="411">
        <v>54.5</v>
      </c>
      <c r="I1109" s="418">
        <f t="shared" si="151"/>
        <v>-1.7664023071377044E-2</v>
      </c>
      <c r="J1109" s="411"/>
      <c r="K1109" s="388"/>
      <c r="M1109" s="388"/>
    </row>
    <row r="1110" spans="1:13">
      <c r="A1110" s="408">
        <v>42928</v>
      </c>
      <c r="B1110" s="411">
        <v>2443.25</v>
      </c>
      <c r="C1110" s="418">
        <f t="shared" si="148"/>
        <v>7.3056198026821839E-3</v>
      </c>
      <c r="D1110" s="411">
        <v>55.48</v>
      </c>
      <c r="E1110" s="418">
        <f t="shared" si="149"/>
        <v>2.2107590272660183E-2</v>
      </c>
      <c r="F1110" s="411">
        <v>2443.25</v>
      </c>
      <c r="G1110" s="418">
        <f t="shared" si="150"/>
        <v>7.3056198026821839E-3</v>
      </c>
      <c r="H1110" s="411">
        <v>55.48</v>
      </c>
      <c r="I1110" s="418">
        <f t="shared" si="151"/>
        <v>2.2107590272660183E-2</v>
      </c>
      <c r="J1110" s="411"/>
      <c r="K1110" s="388"/>
      <c r="M1110" s="388"/>
    </row>
    <row r="1111" spans="1:13">
      <c r="A1111" s="408">
        <v>42927</v>
      </c>
      <c r="B1111" s="411">
        <v>2425.5300000000002</v>
      </c>
      <c r="C1111" s="418">
        <f t="shared" si="148"/>
        <v>-7.8272081996166865E-4</v>
      </c>
      <c r="D1111" s="411">
        <v>54.28</v>
      </c>
      <c r="E1111" s="418">
        <f t="shared" si="149"/>
        <v>-9.6697682904579585E-3</v>
      </c>
      <c r="F1111" s="411">
        <v>2425.5300000000002</v>
      </c>
      <c r="G1111" s="418">
        <f t="shared" si="150"/>
        <v>-7.8272081996166865E-4</v>
      </c>
      <c r="H1111" s="411">
        <v>54.28</v>
      </c>
      <c r="I1111" s="418">
        <f t="shared" si="151"/>
        <v>-9.6697682904579585E-3</v>
      </c>
      <c r="J1111" s="411"/>
      <c r="K1111" s="388"/>
      <c r="M1111" s="388"/>
    </row>
    <row r="1112" spans="1:13">
      <c r="A1112" s="408">
        <v>42926</v>
      </c>
      <c r="B1112" s="411">
        <v>2427.4299999999998</v>
      </c>
      <c r="C1112" s="418">
        <f t="shared" si="148"/>
        <v>9.2776618642731457E-4</v>
      </c>
      <c r="D1112" s="411">
        <v>54.81</v>
      </c>
      <c r="E1112" s="418">
        <f t="shared" si="149"/>
        <v>-1.1720158672917425E-2</v>
      </c>
      <c r="F1112" s="411">
        <v>2427.4299999999998</v>
      </c>
      <c r="G1112" s="418">
        <f t="shared" si="150"/>
        <v>9.2776618642731457E-4</v>
      </c>
      <c r="H1112" s="411">
        <v>54.81</v>
      </c>
      <c r="I1112" s="418">
        <f t="shared" si="151"/>
        <v>-1.1720158672917425E-2</v>
      </c>
      <c r="J1112" s="411"/>
      <c r="K1112" s="388"/>
      <c r="M1112" s="388"/>
    </row>
    <row r="1113" spans="1:13">
      <c r="A1113" s="408">
        <v>42923</v>
      </c>
      <c r="B1113" s="411">
        <v>2425.1799999999998</v>
      </c>
      <c r="C1113" s="418">
        <f t="shared" si="148"/>
        <v>6.4031538541342581E-3</v>
      </c>
      <c r="D1113" s="411">
        <v>55.46</v>
      </c>
      <c r="E1113" s="418">
        <f t="shared" si="149"/>
        <v>2.0047820489240475E-2</v>
      </c>
      <c r="F1113" s="411">
        <v>2425.1799999999998</v>
      </c>
      <c r="G1113" s="418">
        <f t="shared" si="150"/>
        <v>6.4031538541342581E-3</v>
      </c>
      <c r="H1113" s="411">
        <v>55.46</v>
      </c>
      <c r="I1113" s="418">
        <f t="shared" si="151"/>
        <v>2.0047820489240475E-2</v>
      </c>
      <c r="J1113" s="411"/>
      <c r="K1113" s="388"/>
      <c r="M1113" s="388"/>
    </row>
    <row r="1114" spans="1:13">
      <c r="A1114" s="408">
        <v>42922</v>
      </c>
      <c r="B1114" s="411">
        <v>2409.75</v>
      </c>
      <c r="C1114" s="418">
        <f t="shared" si="148"/>
        <v>-9.36880791271677E-3</v>
      </c>
      <c r="D1114" s="411">
        <v>54.37</v>
      </c>
      <c r="E1114" s="418">
        <f t="shared" si="149"/>
        <v>7.3624148720785598E-4</v>
      </c>
      <c r="F1114" s="411">
        <v>2409.75</v>
      </c>
      <c r="G1114" s="418">
        <f t="shared" si="150"/>
        <v>-9.36880791271677E-3</v>
      </c>
      <c r="H1114" s="411">
        <v>54.37</v>
      </c>
      <c r="I1114" s="418">
        <f t="shared" si="151"/>
        <v>7.3624148720785598E-4</v>
      </c>
      <c r="J1114" s="411"/>
      <c r="K1114" s="388"/>
      <c r="M1114" s="388"/>
    </row>
    <row r="1115" spans="1:13">
      <c r="A1115" s="408">
        <v>42921</v>
      </c>
      <c r="B1115" s="411">
        <v>2432.54</v>
      </c>
      <c r="C1115" s="418">
        <f t="shared" si="148"/>
        <v>1.4532669688471778E-3</v>
      </c>
      <c r="D1115" s="411">
        <v>54.33</v>
      </c>
      <c r="E1115" s="418">
        <f t="shared" si="149"/>
        <v>4.994450610432688E-3</v>
      </c>
      <c r="F1115" s="411">
        <v>2432.54</v>
      </c>
      <c r="G1115" s="418">
        <f t="shared" si="150"/>
        <v>1.4532669688471778E-3</v>
      </c>
      <c r="H1115" s="411">
        <v>54.33</v>
      </c>
      <c r="I1115" s="418">
        <f t="shared" si="151"/>
        <v>4.994450610432688E-3</v>
      </c>
      <c r="J1115" s="411"/>
      <c r="K1115" s="388"/>
      <c r="M1115" s="388"/>
    </row>
    <row r="1116" spans="1:13">
      <c r="A1116" s="408">
        <v>42919</v>
      </c>
      <c r="B1116" s="411">
        <v>2429.0100000000002</v>
      </c>
      <c r="C1116" s="418">
        <f t="shared" si="148"/>
        <v>2.3107934687074394E-3</v>
      </c>
      <c r="D1116" s="411">
        <v>54.06</v>
      </c>
      <c r="E1116" s="418">
        <f t="shared" si="149"/>
        <v>5.9545962039448952E-3</v>
      </c>
      <c r="F1116" s="411">
        <v>2429.0100000000002</v>
      </c>
      <c r="G1116" s="418">
        <f t="shared" si="150"/>
        <v>2.3107934687074394E-3</v>
      </c>
      <c r="H1116" s="411">
        <v>54.06</v>
      </c>
      <c r="I1116" s="418">
        <f t="shared" si="151"/>
        <v>5.9545962039448952E-3</v>
      </c>
      <c r="J1116" s="411"/>
      <c r="K1116" s="388"/>
      <c r="M1116" s="388"/>
    </row>
    <row r="1117" spans="1:13">
      <c r="A1117" s="408">
        <v>42916</v>
      </c>
      <c r="B1117" s="411">
        <v>2423.41</v>
      </c>
      <c r="C1117" s="418">
        <f t="shared" si="148"/>
        <v>1.5332479232963436E-3</v>
      </c>
      <c r="D1117" s="411">
        <v>53.74</v>
      </c>
      <c r="E1117" s="418">
        <f t="shared" si="149"/>
        <v>-2.4132170038981826E-3</v>
      </c>
      <c r="F1117" s="411">
        <v>2423.41</v>
      </c>
      <c r="G1117" s="418">
        <f t="shared" si="150"/>
        <v>1.5332479232963436E-3</v>
      </c>
      <c r="H1117" s="411">
        <v>53.74</v>
      </c>
      <c r="I1117" s="418">
        <f t="shared" si="151"/>
        <v>-2.4132170038981826E-3</v>
      </c>
      <c r="J1117" s="411"/>
      <c r="K1117" s="388"/>
      <c r="M1117" s="388"/>
    </row>
    <row r="1118" spans="1:13">
      <c r="A1118" s="408">
        <v>42915</v>
      </c>
      <c r="B1118" s="411">
        <v>2419.6999999999998</v>
      </c>
      <c r="C1118" s="418">
        <f t="shared" si="148"/>
        <v>-8.6000270415333979E-3</v>
      </c>
      <c r="D1118" s="411">
        <v>53.87</v>
      </c>
      <c r="E1118" s="418">
        <f t="shared" si="149"/>
        <v>5.572065378900426E-4</v>
      </c>
      <c r="F1118" s="411">
        <v>2419.6999999999998</v>
      </c>
      <c r="G1118" s="418">
        <f t="shared" si="150"/>
        <v>-8.6000270415333979E-3</v>
      </c>
      <c r="H1118" s="411">
        <v>53.87</v>
      </c>
      <c r="I1118" s="418">
        <f t="shared" si="151"/>
        <v>5.572065378900426E-4</v>
      </c>
      <c r="J1118" s="411"/>
      <c r="K1118" s="388"/>
      <c r="M1118" s="388"/>
    </row>
    <row r="1119" spans="1:13">
      <c r="A1119" s="408">
        <v>42914</v>
      </c>
      <c r="B1119" s="411">
        <v>2440.69</v>
      </c>
      <c r="C1119" s="418">
        <f t="shared" si="148"/>
        <v>8.8080417296994007E-3</v>
      </c>
      <c r="D1119" s="411">
        <v>53.84</v>
      </c>
      <c r="E1119" s="418">
        <f t="shared" si="149"/>
        <v>1.8925056775170424E-2</v>
      </c>
      <c r="F1119" s="411">
        <v>2440.69</v>
      </c>
      <c r="G1119" s="418">
        <f t="shared" si="150"/>
        <v>8.8080417296994007E-3</v>
      </c>
      <c r="H1119" s="411">
        <v>53.84</v>
      </c>
      <c r="I1119" s="418">
        <f t="shared" si="151"/>
        <v>1.8925056775170424E-2</v>
      </c>
      <c r="J1119" s="411"/>
      <c r="K1119" s="388"/>
      <c r="M1119" s="388"/>
    </row>
    <row r="1120" spans="1:13">
      <c r="A1120" s="408">
        <v>42913</v>
      </c>
      <c r="B1120" s="411">
        <v>2419.38</v>
      </c>
      <c r="C1120" s="418">
        <f t="shared" si="148"/>
        <v>-8.0727490395929857E-3</v>
      </c>
      <c r="D1120" s="411">
        <v>52.84</v>
      </c>
      <c r="E1120" s="418">
        <f t="shared" si="149"/>
        <v>-5.6742954416477698E-4</v>
      </c>
      <c r="F1120" s="411">
        <v>2419.38</v>
      </c>
      <c r="G1120" s="418">
        <f t="shared" si="150"/>
        <v>-8.0727490395929857E-3</v>
      </c>
      <c r="H1120" s="411">
        <v>52.84</v>
      </c>
      <c r="I1120" s="418">
        <f t="shared" si="151"/>
        <v>-5.6742954416477698E-4</v>
      </c>
      <c r="J1120" s="411"/>
      <c r="K1120" s="388"/>
      <c r="M1120" s="388"/>
    </row>
    <row r="1121" spans="1:13">
      <c r="A1121" s="408">
        <v>42912</v>
      </c>
      <c r="B1121" s="411">
        <v>2439.0700000000002</v>
      </c>
      <c r="C1121" s="418">
        <f t="shared" si="148"/>
        <v>3.1579379075585834E-4</v>
      </c>
      <c r="D1121" s="411">
        <v>52.87</v>
      </c>
      <c r="E1121" s="418">
        <f t="shared" si="149"/>
        <v>-9.448223733938832E-4</v>
      </c>
      <c r="F1121" s="411">
        <v>2439.0700000000002</v>
      </c>
      <c r="G1121" s="418">
        <f t="shared" si="150"/>
        <v>3.1579379075585834E-4</v>
      </c>
      <c r="H1121" s="411">
        <v>52.87</v>
      </c>
      <c r="I1121" s="418">
        <f t="shared" si="151"/>
        <v>-9.448223733938832E-4</v>
      </c>
      <c r="J1121" s="411"/>
      <c r="K1121" s="388"/>
      <c r="M1121" s="388"/>
    </row>
    <row r="1122" spans="1:13">
      <c r="A1122" s="408">
        <v>42909</v>
      </c>
      <c r="B1122" s="411">
        <v>2438.3000000000002</v>
      </c>
      <c r="C1122" s="418">
        <f t="shared" si="148"/>
        <v>1.5608954610804027E-3</v>
      </c>
      <c r="D1122" s="411">
        <v>52.92</v>
      </c>
      <c r="E1122" s="418">
        <f t="shared" si="149"/>
        <v>2.0829388373413416E-3</v>
      </c>
      <c r="F1122" s="411">
        <v>2438.3000000000002</v>
      </c>
      <c r="G1122" s="418">
        <f t="shared" si="150"/>
        <v>1.5608954610804027E-3</v>
      </c>
      <c r="H1122" s="411">
        <v>52.92</v>
      </c>
      <c r="I1122" s="418">
        <f t="shared" si="151"/>
        <v>2.0829388373413416E-3</v>
      </c>
      <c r="J1122" s="411"/>
      <c r="K1122" s="388"/>
      <c r="M1122" s="388"/>
    </row>
    <row r="1123" spans="1:13">
      <c r="A1123" s="408">
        <v>42908</v>
      </c>
      <c r="B1123" s="411">
        <v>2434.5</v>
      </c>
      <c r="C1123" s="418">
        <f t="shared" si="148"/>
        <v>-4.5573798760889517E-4</v>
      </c>
      <c r="D1123" s="411">
        <v>52.81</v>
      </c>
      <c r="E1123" s="418">
        <f t="shared" si="149"/>
        <v>1.0330973789936859E-2</v>
      </c>
      <c r="F1123" s="411">
        <v>2434.5</v>
      </c>
      <c r="G1123" s="418">
        <f t="shared" si="150"/>
        <v>-4.5573798760889517E-4</v>
      </c>
      <c r="H1123" s="411">
        <v>52.81</v>
      </c>
      <c r="I1123" s="418">
        <f t="shared" si="151"/>
        <v>1.0330973789936859E-2</v>
      </c>
      <c r="J1123" s="411"/>
      <c r="K1123" s="388"/>
      <c r="M1123" s="388"/>
    </row>
    <row r="1124" spans="1:13">
      <c r="A1124" s="408">
        <v>42907</v>
      </c>
      <c r="B1124" s="411">
        <v>2435.61</v>
      </c>
      <c r="C1124" s="418">
        <f t="shared" si="148"/>
        <v>-5.826764545369123E-4</v>
      </c>
      <c r="D1124" s="411">
        <v>52.27</v>
      </c>
      <c r="E1124" s="418">
        <f t="shared" si="149"/>
        <v>9.8531684698610622E-3</v>
      </c>
      <c r="F1124" s="411">
        <v>2435.61</v>
      </c>
      <c r="G1124" s="418">
        <f t="shared" si="150"/>
        <v>-5.826764545369123E-4</v>
      </c>
      <c r="H1124" s="411">
        <v>52.27</v>
      </c>
      <c r="I1124" s="418">
        <f t="shared" si="151"/>
        <v>9.8531684698610622E-3</v>
      </c>
      <c r="J1124" s="411"/>
      <c r="K1124" s="388"/>
      <c r="M1124" s="388"/>
    </row>
    <row r="1125" spans="1:13">
      <c r="A1125" s="408">
        <v>42906</v>
      </c>
      <c r="B1125" s="411">
        <v>2437.0300000000002</v>
      </c>
      <c r="C1125" s="418">
        <f t="shared" si="148"/>
        <v>-6.6966651178335113E-3</v>
      </c>
      <c r="D1125" s="411">
        <v>51.76</v>
      </c>
      <c r="E1125" s="418">
        <f t="shared" si="149"/>
        <v>-1.4282993715482806E-2</v>
      </c>
      <c r="F1125" s="411">
        <v>2437.0300000000002</v>
      </c>
      <c r="G1125" s="418">
        <f t="shared" si="150"/>
        <v>-6.6966651178335113E-3</v>
      </c>
      <c r="H1125" s="411">
        <v>51.76</v>
      </c>
      <c r="I1125" s="418">
        <f t="shared" si="151"/>
        <v>-1.4282993715482806E-2</v>
      </c>
      <c r="J1125" s="411"/>
      <c r="K1125" s="388"/>
      <c r="M1125" s="388"/>
    </row>
    <row r="1126" spans="1:13">
      <c r="A1126" s="408">
        <v>42905</v>
      </c>
      <c r="B1126" s="411">
        <v>2453.46</v>
      </c>
      <c r="C1126" s="418">
        <f t="shared" si="148"/>
        <v>8.3472042414154402E-3</v>
      </c>
      <c r="D1126" s="411">
        <v>52.51</v>
      </c>
      <c r="E1126" s="418">
        <f t="shared" si="149"/>
        <v>9.807692307692184E-3</v>
      </c>
      <c r="F1126" s="411">
        <v>2453.46</v>
      </c>
      <c r="G1126" s="418">
        <f t="shared" si="150"/>
        <v>8.3472042414154402E-3</v>
      </c>
      <c r="H1126" s="411">
        <v>52.51</v>
      </c>
      <c r="I1126" s="418">
        <f t="shared" si="151"/>
        <v>9.807692307692184E-3</v>
      </c>
      <c r="J1126" s="411"/>
      <c r="K1126" s="388"/>
      <c r="M1126" s="388"/>
    </row>
    <row r="1127" spans="1:13">
      <c r="A1127" s="408">
        <v>42902</v>
      </c>
      <c r="B1127" s="411">
        <v>2433.15</v>
      </c>
      <c r="C1127" s="418">
        <f t="shared" si="148"/>
        <v>2.8366345181418673E-4</v>
      </c>
      <c r="D1127" s="411">
        <v>52</v>
      </c>
      <c r="E1127" s="418">
        <f t="shared" si="149"/>
        <v>8.5337470907680402E-3</v>
      </c>
      <c r="F1127" s="411">
        <v>2433.15</v>
      </c>
      <c r="G1127" s="418">
        <f t="shared" si="150"/>
        <v>2.8366345181418673E-4</v>
      </c>
      <c r="H1127" s="411">
        <v>52</v>
      </c>
      <c r="I1127" s="418">
        <f t="shared" si="151"/>
        <v>8.5337470907680402E-3</v>
      </c>
      <c r="J1127" s="411"/>
      <c r="K1127" s="388"/>
      <c r="M1127" s="388"/>
    </row>
    <row r="1128" spans="1:13">
      <c r="A1128" s="408">
        <v>42901</v>
      </c>
      <c r="B1128" s="411">
        <v>2432.46</v>
      </c>
      <c r="C1128" s="418">
        <f t="shared" si="148"/>
        <v>-2.2396140972632539E-3</v>
      </c>
      <c r="D1128" s="411">
        <v>51.56</v>
      </c>
      <c r="E1128" s="418">
        <f t="shared" si="149"/>
        <v>-6.7424388364475396E-3</v>
      </c>
      <c r="F1128" s="411">
        <v>2432.46</v>
      </c>
      <c r="G1128" s="418">
        <f t="shared" si="150"/>
        <v>-2.2396140972632539E-3</v>
      </c>
      <c r="H1128" s="411">
        <v>51.56</v>
      </c>
      <c r="I1128" s="418">
        <f t="shared" si="151"/>
        <v>-6.7424388364475396E-3</v>
      </c>
      <c r="J1128" s="411"/>
      <c r="K1128" s="388"/>
      <c r="M1128" s="388"/>
    </row>
    <row r="1129" spans="1:13">
      <c r="A1129" s="408">
        <v>42900</v>
      </c>
      <c r="B1129" s="411">
        <v>2437.92</v>
      </c>
      <c r="C1129" s="418">
        <f t="shared" si="148"/>
        <v>-9.9575880508939729E-4</v>
      </c>
      <c r="D1129" s="411">
        <v>51.91</v>
      </c>
      <c r="E1129" s="418">
        <f t="shared" si="149"/>
        <v>7.711586658953884E-4</v>
      </c>
      <c r="F1129" s="411">
        <v>2437.92</v>
      </c>
      <c r="G1129" s="418">
        <f t="shared" si="150"/>
        <v>-9.9575880508939729E-4</v>
      </c>
      <c r="H1129" s="411">
        <v>51.91</v>
      </c>
      <c r="I1129" s="418">
        <f t="shared" si="151"/>
        <v>7.711586658953884E-4</v>
      </c>
      <c r="J1129" s="411"/>
      <c r="K1129" s="388"/>
      <c r="M1129" s="388"/>
    </row>
    <row r="1130" spans="1:13">
      <c r="A1130" s="408">
        <v>42899</v>
      </c>
      <c r="B1130" s="411">
        <v>2440.35</v>
      </c>
      <c r="C1130" s="418">
        <f t="shared" si="148"/>
        <v>4.5114205623633108E-3</v>
      </c>
      <c r="D1130" s="411">
        <v>51.87</v>
      </c>
      <c r="E1130" s="418">
        <f t="shared" si="149"/>
        <v>-7.2727272727273196E-3</v>
      </c>
      <c r="F1130" s="411">
        <v>2440.35</v>
      </c>
      <c r="G1130" s="418">
        <f t="shared" si="150"/>
        <v>4.5114205623633108E-3</v>
      </c>
      <c r="H1130" s="411">
        <v>51.87</v>
      </c>
      <c r="I1130" s="418">
        <f t="shared" si="151"/>
        <v>-7.2727272727273196E-3</v>
      </c>
      <c r="J1130" s="411"/>
      <c r="K1130" s="388"/>
      <c r="M1130" s="388"/>
    </row>
    <row r="1131" spans="1:13">
      <c r="A1131" s="408">
        <v>42898</v>
      </c>
      <c r="B1131" s="411">
        <v>2429.39</v>
      </c>
      <c r="C1131" s="418">
        <f t="shared" si="148"/>
        <v>-9.78710980068076E-4</v>
      </c>
      <c r="D1131" s="411">
        <v>52.25</v>
      </c>
      <c r="E1131" s="418">
        <f t="shared" si="149"/>
        <v>-1.4336917562723928E-2</v>
      </c>
      <c r="F1131" s="411">
        <v>2429.39</v>
      </c>
      <c r="G1131" s="418">
        <f t="shared" si="150"/>
        <v>-9.78710980068076E-4</v>
      </c>
      <c r="H1131" s="411">
        <v>52.25</v>
      </c>
      <c r="I1131" s="418">
        <f t="shared" si="151"/>
        <v>-1.4336917562723928E-2</v>
      </c>
      <c r="J1131" s="411"/>
      <c r="K1131" s="388"/>
      <c r="M1131" s="388"/>
    </row>
    <row r="1132" spans="1:13">
      <c r="A1132" s="408">
        <v>42895</v>
      </c>
      <c r="B1132" s="411">
        <v>2431.77</v>
      </c>
      <c r="C1132" s="418">
        <f t="shared" si="148"/>
        <v>-8.2998122270205865E-4</v>
      </c>
      <c r="D1132" s="411">
        <v>53.01</v>
      </c>
      <c r="E1132" s="418">
        <f t="shared" si="149"/>
        <v>3.2172596517787699E-3</v>
      </c>
      <c r="F1132" s="411">
        <v>2431.77</v>
      </c>
      <c r="G1132" s="418">
        <f t="shared" si="150"/>
        <v>-8.2998122270205865E-4</v>
      </c>
      <c r="H1132" s="411">
        <v>53.01</v>
      </c>
      <c r="I1132" s="418">
        <f t="shared" si="151"/>
        <v>3.2172596517787699E-3</v>
      </c>
      <c r="J1132" s="411"/>
      <c r="K1132" s="388"/>
      <c r="M1132" s="388"/>
    </row>
    <row r="1133" spans="1:13">
      <c r="A1133" s="408">
        <v>42894</v>
      </c>
      <c r="B1133" s="411">
        <v>2433.79</v>
      </c>
      <c r="C1133" s="418">
        <f t="shared" si="148"/>
        <v>2.6714451285170249E-4</v>
      </c>
      <c r="D1133" s="411">
        <v>52.84</v>
      </c>
      <c r="E1133" s="418">
        <f t="shared" si="149"/>
        <v>1.090491677826666E-2</v>
      </c>
      <c r="F1133" s="411">
        <v>2433.79</v>
      </c>
      <c r="G1133" s="418">
        <f t="shared" si="150"/>
        <v>2.6714451285170249E-4</v>
      </c>
      <c r="H1133" s="411">
        <v>52.84</v>
      </c>
      <c r="I1133" s="418">
        <f t="shared" si="151"/>
        <v>1.090491677826666E-2</v>
      </c>
      <c r="J1133" s="411"/>
      <c r="K1133" s="388"/>
      <c r="M1133" s="388"/>
    </row>
    <row r="1134" spans="1:13">
      <c r="A1134" s="408">
        <v>42893</v>
      </c>
      <c r="B1134" s="411">
        <v>2433.14</v>
      </c>
      <c r="C1134" s="418">
        <f t="shared" si="148"/>
        <v>1.568333655781684E-3</v>
      </c>
      <c r="D1134" s="411">
        <v>52.27</v>
      </c>
      <c r="E1134" s="418">
        <f t="shared" si="149"/>
        <v>2.0300605114190962E-2</v>
      </c>
      <c r="F1134" s="411">
        <v>2433.14</v>
      </c>
      <c r="G1134" s="418">
        <f t="shared" si="150"/>
        <v>1.568333655781684E-3</v>
      </c>
      <c r="H1134" s="411">
        <v>52.27</v>
      </c>
      <c r="I1134" s="418">
        <f t="shared" si="151"/>
        <v>2.0300605114190962E-2</v>
      </c>
      <c r="J1134" s="411"/>
      <c r="K1134" s="388"/>
      <c r="M1134" s="388"/>
    </row>
    <row r="1135" spans="1:13">
      <c r="A1135" s="408">
        <v>42892</v>
      </c>
      <c r="B1135" s="411">
        <v>2429.33</v>
      </c>
      <c r="C1135" s="418">
        <f t="shared" si="148"/>
        <v>-2.7790320594393014E-3</v>
      </c>
      <c r="D1135" s="411">
        <v>51.23</v>
      </c>
      <c r="E1135" s="418">
        <f t="shared" si="149"/>
        <v>-3.1134461957580406E-3</v>
      </c>
      <c r="F1135" s="411">
        <v>2429.33</v>
      </c>
      <c r="G1135" s="418">
        <f t="shared" si="150"/>
        <v>-2.7790320594393014E-3</v>
      </c>
      <c r="H1135" s="411">
        <v>51.23</v>
      </c>
      <c r="I1135" s="418">
        <f t="shared" si="151"/>
        <v>-3.1134461957580406E-3</v>
      </c>
      <c r="J1135" s="411"/>
      <c r="K1135" s="388"/>
      <c r="M1135" s="388"/>
    </row>
    <row r="1136" spans="1:13">
      <c r="A1136" s="408">
        <v>42891</v>
      </c>
      <c r="B1136" s="411">
        <v>2436.1</v>
      </c>
      <c r="C1136" s="418">
        <f t="shared" si="148"/>
        <v>-1.2176772294358873E-3</v>
      </c>
      <c r="D1136" s="411">
        <v>51.39</v>
      </c>
      <c r="E1136" s="418">
        <f t="shared" si="149"/>
        <v>3.9070130884939491E-3</v>
      </c>
      <c r="F1136" s="411">
        <v>2436.1</v>
      </c>
      <c r="G1136" s="418">
        <f t="shared" si="150"/>
        <v>-1.2176772294358873E-3</v>
      </c>
      <c r="H1136" s="411">
        <v>51.39</v>
      </c>
      <c r="I1136" s="418">
        <f t="shared" si="151"/>
        <v>3.9070130884939491E-3</v>
      </c>
      <c r="J1136" s="411"/>
      <c r="K1136" s="388"/>
      <c r="M1136" s="388"/>
    </row>
    <row r="1137" spans="1:13">
      <c r="A1137" s="408">
        <v>42888</v>
      </c>
      <c r="B1137" s="411">
        <v>2439.0700000000002</v>
      </c>
      <c r="C1137" s="418">
        <f t="shared" si="148"/>
        <v>3.7077273812169409E-3</v>
      </c>
      <c r="D1137" s="411">
        <v>51.19</v>
      </c>
      <c r="E1137" s="418">
        <f t="shared" si="149"/>
        <v>2.6880641925777216E-2</v>
      </c>
      <c r="F1137" s="411">
        <v>2439.0700000000002</v>
      </c>
      <c r="G1137" s="418">
        <f t="shared" si="150"/>
        <v>3.7077273812169409E-3</v>
      </c>
      <c r="H1137" s="411">
        <v>51.19</v>
      </c>
      <c r="I1137" s="418">
        <f t="shared" si="151"/>
        <v>2.6880641925777216E-2</v>
      </c>
      <c r="J1137" s="411"/>
      <c r="K1137" s="388"/>
      <c r="M1137" s="388"/>
    </row>
    <row r="1138" spans="1:13">
      <c r="A1138" s="408">
        <v>42887</v>
      </c>
      <c r="B1138" s="411">
        <v>2430.06</v>
      </c>
      <c r="C1138" s="418">
        <f t="shared" si="148"/>
        <v>7.5711087154821666E-3</v>
      </c>
      <c r="D1138" s="411">
        <v>49.85</v>
      </c>
      <c r="E1138" s="418">
        <f t="shared" si="149"/>
        <v>1.4654996946875665E-2</v>
      </c>
      <c r="F1138" s="411">
        <v>2430.06</v>
      </c>
      <c r="G1138" s="418">
        <f t="shared" si="150"/>
        <v>7.5711087154821666E-3</v>
      </c>
      <c r="H1138" s="411">
        <v>49.85</v>
      </c>
      <c r="I1138" s="418">
        <f t="shared" si="151"/>
        <v>1.4654996946875665E-2</v>
      </c>
      <c r="J1138" s="411"/>
      <c r="K1138" s="388"/>
      <c r="M1138" s="388"/>
    </row>
    <row r="1139" spans="1:13">
      <c r="A1139" s="408">
        <v>42886</v>
      </c>
      <c r="B1139" s="411">
        <v>2411.8000000000002</v>
      </c>
      <c r="C1139" s="418">
        <f t="shared" si="148"/>
        <v>-4.6002544645251664E-4</v>
      </c>
      <c r="D1139" s="411">
        <v>49.13</v>
      </c>
      <c r="E1139" s="418">
        <f t="shared" si="149"/>
        <v>1.4268242967794276E-3</v>
      </c>
      <c r="F1139" s="411">
        <v>2411.8000000000002</v>
      </c>
      <c r="G1139" s="418">
        <f t="shared" si="150"/>
        <v>-4.6002544645251664E-4</v>
      </c>
      <c r="H1139" s="411">
        <v>49.13</v>
      </c>
      <c r="I1139" s="418">
        <f t="shared" si="151"/>
        <v>1.4268242967794276E-3</v>
      </c>
      <c r="J1139" s="411"/>
      <c r="K1139" s="388"/>
      <c r="M1139" s="388"/>
    </row>
    <row r="1140" spans="1:13">
      <c r="A1140" s="408">
        <v>42885</v>
      </c>
      <c r="B1140" s="411">
        <v>2412.91</v>
      </c>
      <c r="C1140" s="418">
        <f t="shared" si="148"/>
        <v>-1.2045599423798903E-3</v>
      </c>
      <c r="D1140" s="411">
        <v>49.06</v>
      </c>
      <c r="E1140" s="418">
        <f t="shared" si="149"/>
        <v>-3.4251968503936858E-2</v>
      </c>
      <c r="F1140" s="411">
        <v>2412.91</v>
      </c>
      <c r="G1140" s="418">
        <f t="shared" si="150"/>
        <v>-1.2045599423798903E-3</v>
      </c>
      <c r="H1140" s="411">
        <v>49.06</v>
      </c>
      <c r="I1140" s="418">
        <f t="shared" si="151"/>
        <v>-3.4251968503936858E-2</v>
      </c>
      <c r="J1140" s="411"/>
      <c r="K1140" s="388"/>
      <c r="M1140" s="388"/>
    </row>
    <row r="1141" spans="1:13">
      <c r="A1141" s="408">
        <v>42881</v>
      </c>
      <c r="B1141" s="411">
        <v>2415.8200000000002</v>
      </c>
      <c r="C1141" s="418">
        <f t="shared" si="148"/>
        <v>3.1055000476176708E-4</v>
      </c>
      <c r="D1141" s="411">
        <v>50.8</v>
      </c>
      <c r="E1141" s="418">
        <f t="shared" si="149"/>
        <v>7.9365079365079083E-3</v>
      </c>
      <c r="F1141" s="411">
        <v>2415.8200000000002</v>
      </c>
      <c r="G1141" s="418">
        <f t="shared" si="150"/>
        <v>3.1055000476176708E-4</v>
      </c>
      <c r="H1141" s="411">
        <v>50.8</v>
      </c>
      <c r="I1141" s="418">
        <f t="shared" si="151"/>
        <v>7.9365079365079083E-3</v>
      </c>
      <c r="J1141" s="411"/>
      <c r="K1141" s="388"/>
      <c r="M1141" s="388"/>
    </row>
    <row r="1142" spans="1:13">
      <c r="A1142" s="408">
        <v>42880</v>
      </c>
      <c r="B1142" s="411">
        <v>2415.0700000000002</v>
      </c>
      <c r="C1142" s="418">
        <f t="shared" si="148"/>
        <v>4.4418750701842313E-3</v>
      </c>
      <c r="D1142" s="411">
        <v>50.4</v>
      </c>
      <c r="E1142" s="418">
        <f t="shared" si="149"/>
        <v>3.130755064456725E-2</v>
      </c>
      <c r="F1142" s="411">
        <v>2415.0700000000002</v>
      </c>
      <c r="G1142" s="418">
        <f t="shared" si="150"/>
        <v>4.4418750701842313E-3</v>
      </c>
      <c r="H1142" s="411">
        <v>50.4</v>
      </c>
      <c r="I1142" s="418">
        <f t="shared" si="151"/>
        <v>3.130755064456725E-2</v>
      </c>
      <c r="J1142" s="411"/>
      <c r="K1142" s="388"/>
      <c r="M1142" s="388"/>
    </row>
    <row r="1143" spans="1:13">
      <c r="A1143" s="408">
        <v>42879</v>
      </c>
      <c r="B1143" s="411">
        <v>2404.39</v>
      </c>
      <c r="C1143" s="418">
        <f t="shared" si="148"/>
        <v>2.4891386829661855E-3</v>
      </c>
      <c r="D1143" s="411">
        <v>48.87</v>
      </c>
      <c r="E1143" s="418">
        <f t="shared" si="149"/>
        <v>5.7625025725456247E-3</v>
      </c>
      <c r="F1143" s="411">
        <v>2404.39</v>
      </c>
      <c r="G1143" s="418">
        <f t="shared" si="150"/>
        <v>2.4891386829661855E-3</v>
      </c>
      <c r="H1143" s="411">
        <v>48.87</v>
      </c>
      <c r="I1143" s="418">
        <f t="shared" si="151"/>
        <v>5.7625025725456247E-3</v>
      </c>
      <c r="J1143" s="411"/>
      <c r="K1143" s="388"/>
      <c r="M1143" s="388"/>
    </row>
    <row r="1144" spans="1:13">
      <c r="A1144" s="408">
        <v>42878</v>
      </c>
      <c r="B1144" s="411">
        <v>2398.42</v>
      </c>
      <c r="C1144" s="418">
        <f t="shared" si="148"/>
        <v>1.8379127993919386E-3</v>
      </c>
      <c r="D1144" s="411">
        <v>48.59</v>
      </c>
      <c r="E1144" s="418">
        <f t="shared" si="149"/>
        <v>2.0622808826562533E-3</v>
      </c>
      <c r="F1144" s="411">
        <v>2398.42</v>
      </c>
      <c r="G1144" s="418">
        <f t="shared" si="150"/>
        <v>1.8379127993919386E-3</v>
      </c>
      <c r="H1144" s="411">
        <v>48.59</v>
      </c>
      <c r="I1144" s="418">
        <f t="shared" si="151"/>
        <v>2.0622808826562533E-3</v>
      </c>
      <c r="J1144" s="411"/>
      <c r="K1144" s="388"/>
      <c r="M1144" s="388"/>
    </row>
    <row r="1145" spans="1:13">
      <c r="A1145" s="408">
        <v>42877</v>
      </c>
      <c r="B1145" s="411">
        <v>2394.02</v>
      </c>
      <c r="C1145" s="418">
        <f t="shared" si="148"/>
        <v>5.160114706536767E-3</v>
      </c>
      <c r="D1145" s="411">
        <v>48.49</v>
      </c>
      <c r="E1145" s="418">
        <f t="shared" si="149"/>
        <v>6.0165975103734226E-3</v>
      </c>
      <c r="F1145" s="411">
        <v>2394.02</v>
      </c>
      <c r="G1145" s="418">
        <f t="shared" si="150"/>
        <v>5.160114706536767E-3</v>
      </c>
      <c r="H1145" s="411">
        <v>48.49</v>
      </c>
      <c r="I1145" s="418">
        <f t="shared" si="151"/>
        <v>6.0165975103734226E-3</v>
      </c>
      <c r="J1145" s="411"/>
      <c r="K1145" s="388"/>
      <c r="M1145" s="388"/>
    </row>
    <row r="1146" spans="1:13">
      <c r="A1146" s="408">
        <v>42874</v>
      </c>
      <c r="B1146" s="411">
        <v>2381.73</v>
      </c>
      <c r="C1146" s="418">
        <f t="shared" si="148"/>
        <v>6.7674957306866901E-3</v>
      </c>
      <c r="D1146" s="411">
        <v>48.2</v>
      </c>
      <c r="E1146" s="418">
        <f t="shared" si="149"/>
        <v>1.1330255979857373E-2</v>
      </c>
      <c r="F1146" s="411">
        <v>2381.73</v>
      </c>
      <c r="G1146" s="418">
        <f t="shared" si="150"/>
        <v>6.7674957306866901E-3</v>
      </c>
      <c r="H1146" s="411">
        <v>48.2</v>
      </c>
      <c r="I1146" s="418">
        <f t="shared" si="151"/>
        <v>1.1330255979857373E-2</v>
      </c>
      <c r="J1146" s="411"/>
      <c r="K1146" s="388"/>
      <c r="M1146" s="388"/>
    </row>
    <row r="1147" spans="1:13">
      <c r="A1147" s="408">
        <v>42873</v>
      </c>
      <c r="B1147" s="411">
        <v>2365.7199999999998</v>
      </c>
      <c r="C1147" s="418">
        <f t="shared" si="148"/>
        <v>3.6868431882495223E-3</v>
      </c>
      <c r="D1147" s="411">
        <v>47.66</v>
      </c>
      <c r="E1147" s="418">
        <f t="shared" si="149"/>
        <v>-1.6757436112275759E-3</v>
      </c>
      <c r="F1147" s="411">
        <v>2365.7199999999998</v>
      </c>
      <c r="G1147" s="418">
        <f t="shared" si="150"/>
        <v>3.6868431882495223E-3</v>
      </c>
      <c r="H1147" s="411">
        <v>47.66</v>
      </c>
      <c r="I1147" s="418">
        <f t="shared" si="151"/>
        <v>-1.6757436112275759E-3</v>
      </c>
      <c r="J1147" s="411"/>
      <c r="K1147" s="388"/>
      <c r="M1147" s="388"/>
    </row>
    <row r="1148" spans="1:13">
      <c r="A1148" s="408">
        <v>42872</v>
      </c>
      <c r="B1148" s="411">
        <v>2357.0300000000002</v>
      </c>
      <c r="C1148" s="418">
        <f t="shared" si="148"/>
        <v>-1.817825856948263E-2</v>
      </c>
      <c r="D1148" s="411">
        <v>47.74</v>
      </c>
      <c r="E1148" s="418">
        <f t="shared" si="149"/>
        <v>-3.5750353463946616E-2</v>
      </c>
      <c r="F1148" s="411">
        <v>2357.0300000000002</v>
      </c>
      <c r="G1148" s="418">
        <f t="shared" si="150"/>
        <v>-1.817825856948263E-2</v>
      </c>
      <c r="H1148" s="411">
        <v>47.74</v>
      </c>
      <c r="I1148" s="418">
        <f t="shared" si="151"/>
        <v>-3.5750353463946616E-2</v>
      </c>
      <c r="J1148" s="411"/>
      <c r="K1148" s="388"/>
      <c r="M1148" s="388"/>
    </row>
    <row r="1149" spans="1:13">
      <c r="A1149" s="408">
        <v>42871</v>
      </c>
      <c r="B1149" s="411">
        <v>2400.67</v>
      </c>
      <c r="C1149" s="418">
        <f t="shared" si="148"/>
        <v>-6.8683605847685847E-4</v>
      </c>
      <c r="D1149" s="411">
        <v>49.51</v>
      </c>
      <c r="E1149" s="418">
        <f t="shared" si="149"/>
        <v>0</v>
      </c>
      <c r="F1149" s="411">
        <v>2400.67</v>
      </c>
      <c r="G1149" s="418">
        <f t="shared" si="150"/>
        <v>-6.8683605847685847E-4</v>
      </c>
      <c r="H1149" s="411">
        <v>49.51</v>
      </c>
      <c r="I1149" s="418">
        <f t="shared" si="151"/>
        <v>0</v>
      </c>
      <c r="J1149" s="411"/>
      <c r="K1149" s="388"/>
      <c r="M1149" s="388"/>
    </row>
    <row r="1150" spans="1:13">
      <c r="A1150" s="408">
        <v>42870</v>
      </c>
      <c r="B1150" s="411">
        <v>2402.3200000000002</v>
      </c>
      <c r="C1150" s="418">
        <f t="shared" si="148"/>
        <v>4.7764440168973632E-3</v>
      </c>
      <c r="D1150" s="411">
        <v>49.51</v>
      </c>
      <c r="E1150" s="418">
        <f t="shared" si="149"/>
        <v>1.0614411104306942E-2</v>
      </c>
      <c r="F1150" s="411">
        <v>2402.3200000000002</v>
      </c>
      <c r="G1150" s="418">
        <f t="shared" si="150"/>
        <v>4.7764440168973632E-3</v>
      </c>
      <c r="H1150" s="411">
        <v>49.51</v>
      </c>
      <c r="I1150" s="418">
        <f t="shared" si="151"/>
        <v>1.0614411104306942E-2</v>
      </c>
      <c r="J1150" s="411"/>
      <c r="K1150" s="388"/>
      <c r="M1150" s="388"/>
    </row>
    <row r="1151" spans="1:13">
      <c r="A1151" s="408">
        <v>42867</v>
      </c>
      <c r="B1151" s="411">
        <v>2390.9</v>
      </c>
      <c r="C1151" s="418">
        <f t="shared" si="148"/>
        <v>-1.4784250179582514E-3</v>
      </c>
      <c r="D1151" s="411">
        <v>48.99</v>
      </c>
      <c r="E1151" s="418">
        <f t="shared" si="149"/>
        <v>-1.408734151740787E-2</v>
      </c>
      <c r="F1151" s="411">
        <v>2390.9</v>
      </c>
      <c r="G1151" s="418">
        <f t="shared" si="150"/>
        <v>-1.4784250179582514E-3</v>
      </c>
      <c r="H1151" s="411">
        <v>48.99</v>
      </c>
      <c r="I1151" s="418">
        <f t="shared" si="151"/>
        <v>-1.408734151740787E-2</v>
      </c>
      <c r="J1151" s="411"/>
      <c r="K1151" s="388"/>
      <c r="M1151" s="388"/>
    </row>
    <row r="1152" spans="1:13">
      <c r="A1152" s="408">
        <v>42866</v>
      </c>
      <c r="B1152" s="411">
        <v>2394.44</v>
      </c>
      <c r="C1152" s="418">
        <f t="shared" si="148"/>
        <v>-2.162833436821554E-3</v>
      </c>
      <c r="D1152" s="411">
        <v>49.69</v>
      </c>
      <c r="E1152" s="418">
        <f t="shared" si="149"/>
        <v>-5.6033620172103449E-3</v>
      </c>
      <c r="F1152" s="411">
        <v>2394.44</v>
      </c>
      <c r="G1152" s="418">
        <f t="shared" si="150"/>
        <v>-2.162833436821554E-3</v>
      </c>
      <c r="H1152" s="411">
        <v>49.69</v>
      </c>
      <c r="I1152" s="418">
        <f t="shared" si="151"/>
        <v>-5.6033620172103449E-3</v>
      </c>
      <c r="J1152" s="411"/>
      <c r="K1152" s="388"/>
      <c r="M1152" s="388"/>
    </row>
    <row r="1153" spans="1:13">
      <c r="A1153" s="408">
        <v>42865</v>
      </c>
      <c r="B1153" s="411">
        <v>2399.63</v>
      </c>
      <c r="C1153" s="418">
        <f t="shared" si="148"/>
        <v>1.1306176259533451E-3</v>
      </c>
      <c r="D1153" s="411">
        <v>49.97</v>
      </c>
      <c r="E1153" s="418">
        <f t="shared" si="149"/>
        <v>8.2728006456820324E-3</v>
      </c>
      <c r="F1153" s="411">
        <v>2399.63</v>
      </c>
      <c r="G1153" s="418">
        <f t="shared" si="150"/>
        <v>1.1306176259533451E-3</v>
      </c>
      <c r="H1153" s="411">
        <v>49.97</v>
      </c>
      <c r="I1153" s="418">
        <f t="shared" si="151"/>
        <v>8.2728006456820324E-3</v>
      </c>
      <c r="J1153" s="411"/>
      <c r="K1153" s="388"/>
      <c r="M1153" s="388"/>
    </row>
    <row r="1154" spans="1:13">
      <c r="A1154" s="408">
        <v>42864</v>
      </c>
      <c r="B1154" s="411">
        <v>2396.92</v>
      </c>
      <c r="C1154" s="418">
        <f t="shared" si="148"/>
        <v>-1.0252648600889147E-3</v>
      </c>
      <c r="D1154" s="411">
        <v>49.56</v>
      </c>
      <c r="E1154" s="418">
        <f t="shared" si="149"/>
        <v>2.1434460016487966E-2</v>
      </c>
      <c r="F1154" s="411">
        <v>2396.92</v>
      </c>
      <c r="G1154" s="418">
        <f t="shared" si="150"/>
        <v>-1.0252648600889147E-3</v>
      </c>
      <c r="H1154" s="411">
        <v>49.56</v>
      </c>
      <c r="I1154" s="418">
        <f t="shared" si="151"/>
        <v>2.1434460016487966E-2</v>
      </c>
      <c r="J1154" s="411"/>
      <c r="K1154" s="388"/>
      <c r="M1154" s="388"/>
    </row>
    <row r="1155" spans="1:13">
      <c r="A1155" s="408">
        <v>42863</v>
      </c>
      <c r="B1155" s="411">
        <v>2399.38</v>
      </c>
      <c r="C1155" s="418">
        <f t="shared" si="148"/>
        <v>3.7511097032982832E-5</v>
      </c>
      <c r="D1155" s="411">
        <v>48.52</v>
      </c>
      <c r="E1155" s="418">
        <f t="shared" si="149"/>
        <v>-3.6960985626283138E-3</v>
      </c>
      <c r="F1155" s="411">
        <v>2399.38</v>
      </c>
      <c r="G1155" s="418">
        <f t="shared" si="150"/>
        <v>3.7511097032982832E-5</v>
      </c>
      <c r="H1155" s="411">
        <v>48.52</v>
      </c>
      <c r="I1155" s="418">
        <f t="shared" si="151"/>
        <v>-3.6960985626283138E-3</v>
      </c>
      <c r="J1155" s="411"/>
      <c r="K1155" s="388"/>
      <c r="M1155" s="388"/>
    </row>
    <row r="1156" spans="1:13">
      <c r="A1156" s="408">
        <v>42860</v>
      </c>
      <c r="B1156" s="411">
        <v>2399.29</v>
      </c>
      <c r="C1156" s="418">
        <f t="shared" si="148"/>
        <v>4.0886872677357022E-3</v>
      </c>
      <c r="D1156" s="411">
        <v>48.7</v>
      </c>
      <c r="E1156" s="418">
        <f t="shared" si="149"/>
        <v>1.2335526315789824E-3</v>
      </c>
      <c r="F1156" s="411">
        <v>2399.29</v>
      </c>
      <c r="G1156" s="418">
        <f t="shared" si="150"/>
        <v>4.0886872677357022E-3</v>
      </c>
      <c r="H1156" s="411">
        <v>48.7</v>
      </c>
      <c r="I1156" s="418">
        <f t="shared" si="151"/>
        <v>1.2335526315789824E-3</v>
      </c>
      <c r="J1156" s="411"/>
      <c r="K1156" s="388"/>
      <c r="M1156" s="388"/>
    </row>
    <row r="1157" spans="1:13">
      <c r="A1157" s="408">
        <v>42859</v>
      </c>
      <c r="B1157" s="411">
        <v>2389.52</v>
      </c>
      <c r="C1157" s="418">
        <f t="shared" si="148"/>
        <v>5.8204536603945201E-4</v>
      </c>
      <c r="D1157" s="411">
        <v>48.64</v>
      </c>
      <c r="E1157" s="418">
        <f t="shared" si="149"/>
        <v>6.830883874973992E-3</v>
      </c>
      <c r="F1157" s="411">
        <v>2389.52</v>
      </c>
      <c r="G1157" s="418">
        <f t="shared" si="150"/>
        <v>5.8204536603945201E-4</v>
      </c>
      <c r="H1157" s="411">
        <v>48.64</v>
      </c>
      <c r="I1157" s="418">
        <f t="shared" si="151"/>
        <v>6.830883874973992E-3</v>
      </c>
      <c r="J1157" s="411"/>
      <c r="K1157" s="388"/>
      <c r="M1157" s="388"/>
    </row>
    <row r="1158" spans="1:13">
      <c r="A1158" s="408">
        <v>42858</v>
      </c>
      <c r="B1158" s="411">
        <v>2388.13</v>
      </c>
      <c r="C1158" s="418">
        <f t="shared" si="148"/>
        <v>-1.2713441536987835E-3</v>
      </c>
      <c r="D1158" s="411">
        <v>48.31</v>
      </c>
      <c r="E1158" s="418">
        <f t="shared" si="149"/>
        <v>1.0035542546519061E-2</v>
      </c>
      <c r="F1158" s="411">
        <v>2388.13</v>
      </c>
      <c r="G1158" s="418">
        <f t="shared" si="150"/>
        <v>-1.2713441536987835E-3</v>
      </c>
      <c r="H1158" s="411">
        <v>48.31</v>
      </c>
      <c r="I1158" s="418">
        <f t="shared" si="151"/>
        <v>1.0035542546519061E-2</v>
      </c>
      <c r="J1158" s="411"/>
      <c r="K1158" s="388"/>
      <c r="M1158" s="388"/>
    </row>
    <row r="1159" spans="1:13">
      <c r="A1159" s="408">
        <v>42857</v>
      </c>
      <c r="B1159" s="411">
        <v>2391.17</v>
      </c>
      <c r="C1159" s="418">
        <f t="shared" si="148"/>
        <v>1.1891154069998411E-3</v>
      </c>
      <c r="D1159" s="411">
        <v>47.83</v>
      </c>
      <c r="E1159" s="418">
        <f t="shared" si="149"/>
        <v>5.3524229074889851E-2</v>
      </c>
      <c r="F1159" s="411">
        <v>2391.17</v>
      </c>
      <c r="G1159" s="418">
        <f t="shared" si="150"/>
        <v>1.1891154069998411E-3</v>
      </c>
      <c r="H1159" s="411">
        <v>47.83</v>
      </c>
      <c r="I1159" s="418">
        <f t="shared" si="151"/>
        <v>5.3524229074889851E-2</v>
      </c>
      <c r="J1159" s="411"/>
      <c r="K1159" s="388"/>
      <c r="M1159" s="388"/>
    </row>
    <row r="1160" spans="1:13">
      <c r="A1160" s="408">
        <v>42856</v>
      </c>
      <c r="B1160" s="411">
        <v>2388.33</v>
      </c>
      <c r="C1160" s="418">
        <f t="shared" ref="C1160:C1223" si="152">B1160/B1161-1</f>
        <v>1.7322372284205301E-3</v>
      </c>
      <c r="D1160" s="411">
        <v>45.4</v>
      </c>
      <c r="E1160" s="418">
        <f t="shared" ref="E1160:E1223" si="153">D1160/D1161-1</f>
        <v>-8.8028169014087165E-4</v>
      </c>
      <c r="F1160" s="411">
        <v>2388.33</v>
      </c>
      <c r="G1160" s="418">
        <f t="shared" ref="G1160:G1223" si="154">F1160/F1161-1</f>
        <v>1.7322372284205301E-3</v>
      </c>
      <c r="H1160" s="411">
        <v>45.4</v>
      </c>
      <c r="I1160" s="418">
        <f t="shared" ref="I1160:I1223" si="155">H1160/H1161-1</f>
        <v>-8.8028169014087165E-4</v>
      </c>
      <c r="J1160" s="411"/>
      <c r="K1160" s="388"/>
      <c r="M1160" s="388"/>
    </row>
    <row r="1161" spans="1:13">
      <c r="A1161" s="408">
        <v>42853</v>
      </c>
      <c r="B1161" s="411">
        <v>2384.1999999999998</v>
      </c>
      <c r="C1161" s="418">
        <f t="shared" si="152"/>
        <v>-1.9131184668260692E-3</v>
      </c>
      <c r="D1161" s="411">
        <v>45.44</v>
      </c>
      <c r="E1161" s="418">
        <f t="shared" si="153"/>
        <v>-6.5588106689987713E-3</v>
      </c>
      <c r="F1161" s="411">
        <v>2384.1999999999998</v>
      </c>
      <c r="G1161" s="418">
        <f t="shared" si="154"/>
        <v>-1.9131184668260692E-3</v>
      </c>
      <c r="H1161" s="411">
        <v>45.44</v>
      </c>
      <c r="I1161" s="418">
        <f t="shared" si="155"/>
        <v>-6.5588106689987713E-3</v>
      </c>
      <c r="J1161" s="411"/>
      <c r="K1161" s="388"/>
      <c r="M1161" s="388"/>
    </row>
    <row r="1162" spans="1:13">
      <c r="A1162" s="408">
        <v>42852</v>
      </c>
      <c r="B1162" s="411">
        <v>2388.77</v>
      </c>
      <c r="C1162" s="418">
        <f t="shared" si="152"/>
        <v>5.5289116002432692E-4</v>
      </c>
      <c r="D1162" s="411">
        <v>45.74</v>
      </c>
      <c r="E1162" s="418">
        <f t="shared" si="153"/>
        <v>-1.35863704981668E-2</v>
      </c>
      <c r="F1162" s="411">
        <v>2388.77</v>
      </c>
      <c r="G1162" s="418">
        <f t="shared" si="154"/>
        <v>5.5289116002432692E-4</v>
      </c>
      <c r="H1162" s="411">
        <v>45.74</v>
      </c>
      <c r="I1162" s="418">
        <f t="shared" si="155"/>
        <v>-1.35863704981668E-2</v>
      </c>
      <c r="J1162" s="411"/>
      <c r="K1162" s="388"/>
      <c r="M1162" s="388"/>
    </row>
    <row r="1163" spans="1:13">
      <c r="A1163" s="408">
        <v>42851</v>
      </c>
      <c r="B1163" s="411">
        <v>2387.4499999999998</v>
      </c>
      <c r="C1163" s="418">
        <f t="shared" si="152"/>
        <v>-4.856380907726221E-4</v>
      </c>
      <c r="D1163" s="411">
        <v>46.37</v>
      </c>
      <c r="E1163" s="418">
        <f t="shared" si="153"/>
        <v>-7.7038305157286491E-3</v>
      </c>
      <c r="F1163" s="411">
        <v>2387.4499999999998</v>
      </c>
      <c r="G1163" s="418">
        <f t="shared" si="154"/>
        <v>-4.856380907726221E-4</v>
      </c>
      <c r="H1163" s="411">
        <v>46.37</v>
      </c>
      <c r="I1163" s="418">
        <f t="shared" si="155"/>
        <v>-7.7038305157286491E-3</v>
      </c>
      <c r="J1163" s="411"/>
      <c r="K1163" s="388"/>
      <c r="M1163" s="388"/>
    </row>
    <row r="1164" spans="1:13">
      <c r="A1164" s="408">
        <v>42850</v>
      </c>
      <c r="B1164" s="411">
        <v>2388.61</v>
      </c>
      <c r="C1164" s="418">
        <f t="shared" si="152"/>
        <v>6.0906008466188322E-3</v>
      </c>
      <c r="D1164" s="411">
        <v>46.73</v>
      </c>
      <c r="E1164" s="418">
        <f t="shared" si="153"/>
        <v>-1.7090365306559052E-3</v>
      </c>
      <c r="F1164" s="411">
        <v>2388.61</v>
      </c>
      <c r="G1164" s="418">
        <f t="shared" si="154"/>
        <v>6.0906008466188322E-3</v>
      </c>
      <c r="H1164" s="411">
        <v>46.73</v>
      </c>
      <c r="I1164" s="418">
        <f t="shared" si="155"/>
        <v>-1.7090365306559052E-3</v>
      </c>
      <c r="J1164" s="411"/>
      <c r="K1164" s="388"/>
      <c r="M1164" s="388"/>
    </row>
    <row r="1165" spans="1:13">
      <c r="A1165" s="408">
        <v>42849</v>
      </c>
      <c r="B1165" s="411">
        <v>2374.15</v>
      </c>
      <c r="C1165" s="418">
        <f t="shared" si="152"/>
        <v>1.0840085324159476E-2</v>
      </c>
      <c r="D1165" s="411">
        <v>46.81</v>
      </c>
      <c r="E1165" s="418">
        <f t="shared" si="153"/>
        <v>2.8113331869097369E-2</v>
      </c>
      <c r="F1165" s="411">
        <v>2374.15</v>
      </c>
      <c r="G1165" s="418">
        <f t="shared" si="154"/>
        <v>1.0840085324159476E-2</v>
      </c>
      <c r="H1165" s="411">
        <v>46.81</v>
      </c>
      <c r="I1165" s="418">
        <f t="shared" si="155"/>
        <v>2.8113331869097369E-2</v>
      </c>
      <c r="J1165" s="411"/>
      <c r="K1165" s="388"/>
      <c r="M1165" s="388"/>
    </row>
    <row r="1166" spans="1:13">
      <c r="A1166" s="408">
        <v>42846</v>
      </c>
      <c r="B1166" s="411">
        <v>2348.69</v>
      </c>
      <c r="C1166" s="418">
        <f t="shared" si="152"/>
        <v>-3.0350108666123976E-3</v>
      </c>
      <c r="D1166" s="411">
        <v>45.53</v>
      </c>
      <c r="E1166" s="418">
        <f t="shared" si="153"/>
        <v>-8.7089048552144721E-3</v>
      </c>
      <c r="F1166" s="411">
        <v>2348.69</v>
      </c>
      <c r="G1166" s="418">
        <f t="shared" si="154"/>
        <v>-3.0350108666123976E-3</v>
      </c>
      <c r="H1166" s="411">
        <v>45.53</v>
      </c>
      <c r="I1166" s="418">
        <f t="shared" si="155"/>
        <v>-8.7089048552144721E-3</v>
      </c>
      <c r="J1166" s="411"/>
      <c r="K1166" s="388"/>
      <c r="M1166" s="388"/>
    </row>
    <row r="1167" spans="1:13">
      <c r="A1167" s="408">
        <v>42845</v>
      </c>
      <c r="B1167" s="411">
        <v>2355.84</v>
      </c>
      <c r="C1167" s="418">
        <f t="shared" si="152"/>
        <v>7.5571921631019112E-3</v>
      </c>
      <c r="D1167" s="411">
        <v>45.93</v>
      </c>
      <c r="E1167" s="418">
        <f t="shared" si="153"/>
        <v>1.8855368234250269E-2</v>
      </c>
      <c r="F1167" s="411">
        <v>2355.84</v>
      </c>
      <c r="G1167" s="418">
        <f t="shared" si="154"/>
        <v>7.5571921631019112E-3</v>
      </c>
      <c r="H1167" s="411">
        <v>45.93</v>
      </c>
      <c r="I1167" s="418">
        <f t="shared" si="155"/>
        <v>1.8855368234250269E-2</v>
      </c>
      <c r="J1167" s="411"/>
      <c r="K1167" s="388"/>
      <c r="M1167" s="388"/>
    </row>
    <row r="1168" spans="1:13">
      <c r="A1168" s="408">
        <v>42844</v>
      </c>
      <c r="B1168" s="411">
        <v>2338.17</v>
      </c>
      <c r="C1168" s="418">
        <f t="shared" si="152"/>
        <v>-1.7163423974997372E-3</v>
      </c>
      <c r="D1168" s="411">
        <v>45.08</v>
      </c>
      <c r="E1168" s="418">
        <f t="shared" si="153"/>
        <v>1.5086692186444539E-2</v>
      </c>
      <c r="F1168" s="411">
        <v>2338.17</v>
      </c>
      <c r="G1168" s="418">
        <f t="shared" si="154"/>
        <v>-1.7163423974997372E-3</v>
      </c>
      <c r="H1168" s="411">
        <v>45.08</v>
      </c>
      <c r="I1168" s="418">
        <f t="shared" si="155"/>
        <v>1.5086692186444539E-2</v>
      </c>
      <c r="J1168" s="411"/>
      <c r="K1168" s="388"/>
      <c r="M1168" s="388"/>
    </row>
    <row r="1169" spans="1:13">
      <c r="A1169" s="408">
        <v>42843</v>
      </c>
      <c r="B1169" s="411">
        <v>2342.19</v>
      </c>
      <c r="C1169" s="418">
        <f t="shared" si="152"/>
        <v>-2.9033507733046138E-3</v>
      </c>
      <c r="D1169" s="411">
        <v>44.41</v>
      </c>
      <c r="E1169" s="418">
        <f t="shared" si="153"/>
        <v>1.3528748590754258E-3</v>
      </c>
      <c r="F1169" s="411">
        <v>2342.19</v>
      </c>
      <c r="G1169" s="418">
        <f t="shared" si="154"/>
        <v>-2.9033507733046138E-3</v>
      </c>
      <c r="H1169" s="411">
        <v>44.41</v>
      </c>
      <c r="I1169" s="418">
        <f t="shared" si="155"/>
        <v>1.3528748590754258E-3</v>
      </c>
      <c r="J1169" s="411"/>
      <c r="K1169" s="388"/>
      <c r="M1169" s="388"/>
    </row>
    <row r="1170" spans="1:13">
      <c r="A1170" s="408">
        <v>42842</v>
      </c>
      <c r="B1170" s="411">
        <v>2349.0100000000002</v>
      </c>
      <c r="C1170" s="418">
        <f t="shared" si="152"/>
        <v>8.6133236007643887E-3</v>
      </c>
      <c r="D1170" s="411">
        <v>44.35</v>
      </c>
      <c r="E1170" s="418">
        <f t="shared" si="153"/>
        <v>7.2677719736542468E-3</v>
      </c>
      <c r="F1170" s="411">
        <v>2349.0100000000002</v>
      </c>
      <c r="G1170" s="418">
        <f t="shared" si="154"/>
        <v>8.6133236007643887E-3</v>
      </c>
      <c r="H1170" s="411">
        <v>44.35</v>
      </c>
      <c r="I1170" s="418">
        <f t="shared" si="155"/>
        <v>7.2677719736542468E-3</v>
      </c>
      <c r="J1170" s="411"/>
      <c r="K1170" s="388"/>
      <c r="M1170" s="388"/>
    </row>
    <row r="1171" spans="1:13">
      <c r="A1171" s="408">
        <v>42838</v>
      </c>
      <c r="B1171" s="411">
        <v>2328.9499999999998</v>
      </c>
      <c r="C1171" s="418">
        <f t="shared" si="152"/>
        <v>-6.8147023578528643E-3</v>
      </c>
      <c r="D1171" s="411">
        <v>44.03</v>
      </c>
      <c r="E1171" s="418">
        <f t="shared" si="153"/>
        <v>-2.2641509433962148E-2</v>
      </c>
      <c r="F1171" s="411">
        <v>2328.9499999999998</v>
      </c>
      <c r="G1171" s="418">
        <f t="shared" si="154"/>
        <v>-6.8147023578528643E-3</v>
      </c>
      <c r="H1171" s="411">
        <v>44.03</v>
      </c>
      <c r="I1171" s="418">
        <f t="shared" si="155"/>
        <v>-2.2641509433962148E-2</v>
      </c>
      <c r="J1171" s="411"/>
      <c r="K1171" s="388"/>
      <c r="M1171" s="388"/>
    </row>
    <row r="1172" spans="1:13">
      <c r="A1172" s="408">
        <v>42837</v>
      </c>
      <c r="B1172" s="411">
        <v>2344.9299999999998</v>
      </c>
      <c r="C1172" s="418">
        <f t="shared" si="152"/>
        <v>-3.7599095922304926E-3</v>
      </c>
      <c r="D1172" s="411">
        <v>45.05</v>
      </c>
      <c r="E1172" s="418">
        <f t="shared" si="153"/>
        <v>-5.2991830426143416E-3</v>
      </c>
      <c r="F1172" s="411">
        <v>2344.9299999999998</v>
      </c>
      <c r="G1172" s="418">
        <f t="shared" si="154"/>
        <v>-3.7599095922304926E-3</v>
      </c>
      <c r="H1172" s="411">
        <v>45.05</v>
      </c>
      <c r="I1172" s="418">
        <f t="shared" si="155"/>
        <v>-5.2991830426143416E-3</v>
      </c>
      <c r="J1172" s="411"/>
      <c r="K1172" s="388"/>
      <c r="M1172" s="388"/>
    </row>
    <row r="1173" spans="1:13">
      <c r="A1173" s="408">
        <v>42836</v>
      </c>
      <c r="B1173" s="411">
        <v>2353.7800000000002</v>
      </c>
      <c r="C1173" s="418">
        <f t="shared" si="152"/>
        <v>-1.4339289653649834E-3</v>
      </c>
      <c r="D1173" s="411">
        <v>45.29</v>
      </c>
      <c r="E1173" s="418">
        <f t="shared" si="153"/>
        <v>7.1158550144541088E-3</v>
      </c>
      <c r="F1173" s="411">
        <v>2353.7800000000002</v>
      </c>
      <c r="G1173" s="418">
        <f t="shared" si="154"/>
        <v>-1.4339289653649834E-3</v>
      </c>
      <c r="H1173" s="411">
        <v>45.29</v>
      </c>
      <c r="I1173" s="418">
        <f t="shared" si="155"/>
        <v>7.1158550144541088E-3</v>
      </c>
      <c r="J1173" s="411"/>
      <c r="K1173" s="388"/>
      <c r="M1173" s="388"/>
    </row>
    <row r="1174" spans="1:13">
      <c r="A1174" s="408">
        <v>42835</v>
      </c>
      <c r="B1174" s="411">
        <v>2357.16</v>
      </c>
      <c r="C1174" s="418">
        <f t="shared" si="152"/>
        <v>6.8774039073837834E-4</v>
      </c>
      <c r="D1174" s="411">
        <v>44.97</v>
      </c>
      <c r="E1174" s="418">
        <f t="shared" si="153"/>
        <v>-4.4277175116228529E-3</v>
      </c>
      <c r="F1174" s="411">
        <v>2357.16</v>
      </c>
      <c r="G1174" s="418">
        <f t="shared" si="154"/>
        <v>6.8774039073837834E-4</v>
      </c>
      <c r="H1174" s="411">
        <v>44.97</v>
      </c>
      <c r="I1174" s="418">
        <f t="shared" si="155"/>
        <v>-4.4277175116228529E-3</v>
      </c>
      <c r="J1174" s="411"/>
      <c r="K1174" s="388"/>
      <c r="M1174" s="388"/>
    </row>
    <row r="1175" spans="1:13">
      <c r="A1175" s="408">
        <v>42832</v>
      </c>
      <c r="B1175" s="411">
        <v>2355.54</v>
      </c>
      <c r="C1175" s="418">
        <f t="shared" si="152"/>
        <v>-8.2715091050222789E-4</v>
      </c>
      <c r="D1175" s="411">
        <v>45.17</v>
      </c>
      <c r="E1175" s="418">
        <f t="shared" si="153"/>
        <v>-1.9885108263366646E-3</v>
      </c>
      <c r="F1175" s="411">
        <v>2355.54</v>
      </c>
      <c r="G1175" s="418">
        <f t="shared" si="154"/>
        <v>-8.2715091050222789E-4</v>
      </c>
      <c r="H1175" s="411">
        <v>45.17</v>
      </c>
      <c r="I1175" s="418">
        <f t="shared" si="155"/>
        <v>-1.9885108263366646E-3</v>
      </c>
      <c r="J1175" s="411"/>
      <c r="K1175" s="388"/>
      <c r="M1175" s="388"/>
    </row>
    <row r="1176" spans="1:13">
      <c r="A1176" s="408">
        <v>42831</v>
      </c>
      <c r="B1176" s="411">
        <v>2357.4899999999998</v>
      </c>
      <c r="C1176" s="418">
        <f t="shared" si="152"/>
        <v>1.9294927644020188E-3</v>
      </c>
      <c r="D1176" s="411">
        <v>45.26</v>
      </c>
      <c r="E1176" s="418">
        <f t="shared" si="153"/>
        <v>3.9929015084294583E-3</v>
      </c>
      <c r="F1176" s="411">
        <v>2357.4899999999998</v>
      </c>
      <c r="G1176" s="418">
        <f t="shared" si="154"/>
        <v>1.9294927644020188E-3</v>
      </c>
      <c r="H1176" s="411">
        <v>45.26</v>
      </c>
      <c r="I1176" s="418">
        <f t="shared" si="155"/>
        <v>3.9929015084294583E-3</v>
      </c>
      <c r="J1176" s="411"/>
      <c r="K1176" s="388"/>
      <c r="M1176" s="388"/>
    </row>
    <row r="1177" spans="1:13">
      <c r="A1177" s="408">
        <v>42830</v>
      </c>
      <c r="B1177" s="411">
        <v>2352.9499999999998</v>
      </c>
      <c r="C1177" s="418">
        <f t="shared" si="152"/>
        <v>-3.0548776354145657E-3</v>
      </c>
      <c r="D1177" s="411">
        <v>45.08</v>
      </c>
      <c r="E1177" s="418">
        <f t="shared" si="153"/>
        <v>-6.6504101086239942E-4</v>
      </c>
      <c r="F1177" s="411">
        <v>2352.9499999999998</v>
      </c>
      <c r="G1177" s="418">
        <f t="shared" si="154"/>
        <v>-3.0548776354145657E-3</v>
      </c>
      <c r="H1177" s="411">
        <v>45.08</v>
      </c>
      <c r="I1177" s="418">
        <f t="shared" si="155"/>
        <v>-6.6504101086239942E-4</v>
      </c>
      <c r="J1177" s="411"/>
      <c r="K1177" s="388"/>
      <c r="M1177" s="388"/>
    </row>
    <row r="1178" spans="1:13">
      <c r="A1178" s="408">
        <v>42829</v>
      </c>
      <c r="B1178" s="411">
        <v>2360.16</v>
      </c>
      <c r="C1178" s="418">
        <f t="shared" si="152"/>
        <v>5.5959709009489877E-4</v>
      </c>
      <c r="D1178" s="411">
        <v>45.11</v>
      </c>
      <c r="E1178" s="418">
        <f t="shared" si="153"/>
        <v>-2.6122625215889483E-2</v>
      </c>
      <c r="F1178" s="411">
        <v>2360.16</v>
      </c>
      <c r="G1178" s="418">
        <f t="shared" si="154"/>
        <v>5.5959709009489877E-4</v>
      </c>
      <c r="H1178" s="411">
        <v>45.11</v>
      </c>
      <c r="I1178" s="418">
        <f t="shared" si="155"/>
        <v>-2.6122625215889483E-2</v>
      </c>
      <c r="J1178" s="411"/>
      <c r="K1178" s="388"/>
      <c r="M1178" s="388"/>
    </row>
    <row r="1179" spans="1:13">
      <c r="A1179" s="408">
        <v>42828</v>
      </c>
      <c r="B1179" s="411">
        <v>2358.84</v>
      </c>
      <c r="C1179" s="418">
        <f t="shared" si="152"/>
        <v>-1.6421751202002621E-3</v>
      </c>
      <c r="D1179" s="411">
        <v>46.32</v>
      </c>
      <c r="E1179" s="418">
        <f t="shared" si="153"/>
        <v>7.8328981723236879E-3</v>
      </c>
      <c r="F1179" s="411">
        <v>2358.84</v>
      </c>
      <c r="G1179" s="418">
        <f t="shared" si="154"/>
        <v>-1.6421751202002621E-3</v>
      </c>
      <c r="H1179" s="411">
        <v>46.32</v>
      </c>
      <c r="I1179" s="418">
        <f t="shared" si="155"/>
        <v>7.8328981723236879E-3</v>
      </c>
      <c r="J1179" s="411"/>
      <c r="K1179" s="388"/>
      <c r="M1179" s="388"/>
    </row>
    <row r="1180" spans="1:13">
      <c r="A1180" s="408">
        <v>42825</v>
      </c>
      <c r="B1180" s="411">
        <v>2362.7199999999998</v>
      </c>
      <c r="C1180" s="418">
        <f t="shared" si="152"/>
        <v>-2.255010430479043E-3</v>
      </c>
      <c r="D1180" s="411">
        <v>45.96</v>
      </c>
      <c r="E1180" s="418">
        <f t="shared" si="153"/>
        <v>-6.6998054895180958E-3</v>
      </c>
      <c r="F1180" s="411">
        <v>2362.7199999999998</v>
      </c>
      <c r="G1180" s="418">
        <f t="shared" si="154"/>
        <v>-2.255010430479043E-3</v>
      </c>
      <c r="H1180" s="411">
        <v>45.96</v>
      </c>
      <c r="I1180" s="418">
        <f t="shared" si="155"/>
        <v>-6.6998054895180958E-3</v>
      </c>
      <c r="J1180" s="411"/>
      <c r="K1180" s="388"/>
      <c r="M1180" s="388"/>
    </row>
    <row r="1181" spans="1:13">
      <c r="A1181" s="408">
        <v>42824</v>
      </c>
      <c r="B1181" s="411">
        <v>2368.06</v>
      </c>
      <c r="C1181" s="418">
        <f t="shared" si="152"/>
        <v>2.9350353432466836E-3</v>
      </c>
      <c r="D1181" s="411">
        <v>46.27</v>
      </c>
      <c r="E1181" s="418">
        <f t="shared" si="153"/>
        <v>6.9640914036996904E-3</v>
      </c>
      <c r="F1181" s="411">
        <v>2368.06</v>
      </c>
      <c r="G1181" s="418">
        <f t="shared" si="154"/>
        <v>2.9350353432466836E-3</v>
      </c>
      <c r="H1181" s="411">
        <v>46.27</v>
      </c>
      <c r="I1181" s="418">
        <f t="shared" si="155"/>
        <v>6.9640914036996904E-3</v>
      </c>
      <c r="J1181" s="411"/>
      <c r="K1181" s="388"/>
      <c r="M1181" s="388"/>
    </row>
    <row r="1182" spans="1:13">
      <c r="A1182" s="408">
        <v>42823</v>
      </c>
      <c r="B1182" s="411">
        <v>2361.13</v>
      </c>
      <c r="C1182" s="418">
        <f t="shared" si="152"/>
        <v>1.0854034436120763E-3</v>
      </c>
      <c r="D1182" s="411">
        <v>45.95</v>
      </c>
      <c r="E1182" s="418">
        <f t="shared" si="153"/>
        <v>-1.2465076294863486E-2</v>
      </c>
      <c r="F1182" s="411">
        <v>2361.13</v>
      </c>
      <c r="G1182" s="418">
        <f t="shared" si="154"/>
        <v>1.0854034436120763E-3</v>
      </c>
      <c r="H1182" s="411">
        <v>45.95</v>
      </c>
      <c r="I1182" s="418">
        <f t="shared" si="155"/>
        <v>-1.2465076294863486E-2</v>
      </c>
      <c r="J1182" s="411"/>
      <c r="K1182" s="388"/>
      <c r="M1182" s="388"/>
    </row>
    <row r="1183" spans="1:13">
      <c r="A1183" s="408">
        <v>42822</v>
      </c>
      <c r="B1183" s="411">
        <v>2358.5700000000002</v>
      </c>
      <c r="C1183" s="418">
        <f t="shared" si="152"/>
        <v>7.251482966702083E-3</v>
      </c>
      <c r="D1183" s="411">
        <v>46.53</v>
      </c>
      <c r="E1183" s="418">
        <f t="shared" si="153"/>
        <v>9.3275488069415324E-3</v>
      </c>
      <c r="F1183" s="411">
        <v>2358.5700000000002</v>
      </c>
      <c r="G1183" s="418">
        <f t="shared" si="154"/>
        <v>7.251482966702083E-3</v>
      </c>
      <c r="H1183" s="411">
        <v>46.53</v>
      </c>
      <c r="I1183" s="418">
        <f t="shared" si="155"/>
        <v>9.3275488069415324E-3</v>
      </c>
      <c r="J1183" s="411"/>
      <c r="K1183" s="388"/>
      <c r="M1183" s="388"/>
    </row>
    <row r="1184" spans="1:13">
      <c r="A1184" s="408">
        <v>42821</v>
      </c>
      <c r="B1184" s="411">
        <v>2341.59</v>
      </c>
      <c r="C1184" s="418">
        <f t="shared" si="152"/>
        <v>-1.0196332733214408E-3</v>
      </c>
      <c r="D1184" s="411">
        <v>46.1</v>
      </c>
      <c r="E1184" s="418">
        <f t="shared" si="153"/>
        <v>2.1739130434783593E-3</v>
      </c>
      <c r="F1184" s="411">
        <v>2341.59</v>
      </c>
      <c r="G1184" s="418">
        <f t="shared" si="154"/>
        <v>-1.0196332733214408E-3</v>
      </c>
      <c r="H1184" s="411">
        <v>46.1</v>
      </c>
      <c r="I1184" s="418">
        <f t="shared" si="155"/>
        <v>2.1739130434783593E-3</v>
      </c>
      <c r="J1184" s="411"/>
      <c r="K1184" s="388"/>
      <c r="M1184" s="388"/>
    </row>
    <row r="1185" spans="1:13">
      <c r="A1185" s="408">
        <v>42818</v>
      </c>
      <c r="B1185" s="411">
        <v>2343.98</v>
      </c>
      <c r="C1185" s="418">
        <f t="shared" si="152"/>
        <v>-8.440041603438031E-4</v>
      </c>
      <c r="D1185" s="411">
        <v>46</v>
      </c>
      <c r="E1185" s="418">
        <f t="shared" si="153"/>
        <v>1.7421602787455193E-3</v>
      </c>
      <c r="F1185" s="411">
        <v>2343.98</v>
      </c>
      <c r="G1185" s="418">
        <f t="shared" si="154"/>
        <v>-8.440041603438031E-4</v>
      </c>
      <c r="H1185" s="411">
        <v>46</v>
      </c>
      <c r="I1185" s="418">
        <f t="shared" si="155"/>
        <v>1.7421602787455193E-3</v>
      </c>
      <c r="J1185" s="411"/>
      <c r="K1185" s="388"/>
      <c r="M1185" s="388"/>
    </row>
    <row r="1186" spans="1:13">
      <c r="A1186" s="408">
        <v>42817</v>
      </c>
      <c r="B1186" s="411">
        <v>2345.96</v>
      </c>
      <c r="C1186" s="418">
        <f t="shared" si="152"/>
        <v>-1.0602737976110888E-3</v>
      </c>
      <c r="D1186" s="411">
        <v>45.92</v>
      </c>
      <c r="E1186" s="418">
        <f t="shared" si="153"/>
        <v>3.935286401399285E-3</v>
      </c>
      <c r="F1186" s="411">
        <v>2345.96</v>
      </c>
      <c r="G1186" s="418">
        <f t="shared" si="154"/>
        <v>-1.0602737976110888E-3</v>
      </c>
      <c r="H1186" s="411">
        <v>45.92</v>
      </c>
      <c r="I1186" s="418">
        <f t="shared" si="155"/>
        <v>3.935286401399285E-3</v>
      </c>
      <c r="J1186" s="411"/>
      <c r="K1186" s="388"/>
      <c r="M1186" s="388"/>
    </row>
    <row r="1187" spans="1:13">
      <c r="A1187" s="408">
        <v>42816</v>
      </c>
      <c r="B1187" s="411">
        <v>2348.4499999999998</v>
      </c>
      <c r="C1187" s="418">
        <f t="shared" si="152"/>
        <v>1.8899156150544716E-3</v>
      </c>
      <c r="D1187" s="411">
        <v>45.74</v>
      </c>
      <c r="E1187" s="418">
        <f t="shared" si="153"/>
        <v>4.833040421792667E-3</v>
      </c>
      <c r="F1187" s="411">
        <v>2348.4499999999998</v>
      </c>
      <c r="G1187" s="418">
        <f t="shared" si="154"/>
        <v>1.8899156150544716E-3</v>
      </c>
      <c r="H1187" s="411">
        <v>45.74</v>
      </c>
      <c r="I1187" s="418">
        <f t="shared" si="155"/>
        <v>4.833040421792667E-3</v>
      </c>
      <c r="J1187" s="411"/>
      <c r="K1187" s="388"/>
      <c r="M1187" s="388"/>
    </row>
    <row r="1188" spans="1:13">
      <c r="A1188" s="408">
        <v>42815</v>
      </c>
      <c r="B1188" s="411">
        <v>2344.02</v>
      </c>
      <c r="C1188" s="418">
        <f t="shared" si="152"/>
        <v>-1.2407993359932812E-2</v>
      </c>
      <c r="D1188" s="411">
        <v>45.52</v>
      </c>
      <c r="E1188" s="418">
        <f t="shared" si="153"/>
        <v>-2.8388473852721363E-2</v>
      </c>
      <c r="F1188" s="411">
        <v>2344.02</v>
      </c>
      <c r="G1188" s="418">
        <f t="shared" si="154"/>
        <v>-1.2407993359932812E-2</v>
      </c>
      <c r="H1188" s="411">
        <v>45.52</v>
      </c>
      <c r="I1188" s="418">
        <f t="shared" si="155"/>
        <v>-2.8388473852721363E-2</v>
      </c>
      <c r="J1188" s="411"/>
      <c r="K1188" s="388"/>
      <c r="M1188" s="388"/>
    </row>
    <row r="1189" spans="1:13">
      <c r="A1189" s="408">
        <v>42814</v>
      </c>
      <c r="B1189" s="411">
        <v>2373.4699999999998</v>
      </c>
      <c r="C1189" s="418">
        <f t="shared" si="152"/>
        <v>-2.00988121517931E-3</v>
      </c>
      <c r="D1189" s="411">
        <v>46.85</v>
      </c>
      <c r="E1189" s="418">
        <f t="shared" si="153"/>
        <v>7.3102558589550615E-3</v>
      </c>
      <c r="F1189" s="411">
        <v>2373.4699999999998</v>
      </c>
      <c r="G1189" s="418">
        <f t="shared" si="154"/>
        <v>-2.00988121517931E-3</v>
      </c>
      <c r="H1189" s="411">
        <v>46.85</v>
      </c>
      <c r="I1189" s="418">
        <f t="shared" si="155"/>
        <v>7.3102558589550615E-3</v>
      </c>
      <c r="J1189" s="411"/>
      <c r="K1189" s="388"/>
      <c r="M1189" s="388"/>
    </row>
    <row r="1190" spans="1:13">
      <c r="A1190" s="408">
        <v>42811</v>
      </c>
      <c r="B1190" s="411">
        <v>2378.25</v>
      </c>
      <c r="C1190" s="418">
        <f t="shared" si="152"/>
        <v>-1.3143639402364293E-3</v>
      </c>
      <c r="D1190" s="411">
        <v>46.51</v>
      </c>
      <c r="E1190" s="418">
        <f t="shared" si="153"/>
        <v>-1.8983336848766075E-2</v>
      </c>
      <c r="F1190" s="411">
        <v>2378.25</v>
      </c>
      <c r="G1190" s="418">
        <f t="shared" si="154"/>
        <v>-1.3143639402364293E-3</v>
      </c>
      <c r="H1190" s="411">
        <v>46.51</v>
      </c>
      <c r="I1190" s="418">
        <f t="shared" si="155"/>
        <v>-1.8983336848766075E-2</v>
      </c>
      <c r="J1190" s="411"/>
      <c r="K1190" s="388"/>
      <c r="M1190" s="388"/>
    </row>
    <row r="1191" spans="1:13">
      <c r="A1191" s="408">
        <v>42810</v>
      </c>
      <c r="B1191" s="411">
        <v>2381.38</v>
      </c>
      <c r="C1191" s="418">
        <f t="shared" si="152"/>
        <v>-1.6266570520614421E-3</v>
      </c>
      <c r="D1191" s="411">
        <v>47.41</v>
      </c>
      <c r="E1191" s="418">
        <f t="shared" si="153"/>
        <v>4.6620046620047262E-3</v>
      </c>
      <c r="F1191" s="411">
        <v>2381.38</v>
      </c>
      <c r="G1191" s="418">
        <f t="shared" si="154"/>
        <v>-1.6266570520614421E-3</v>
      </c>
      <c r="H1191" s="411">
        <v>47.41</v>
      </c>
      <c r="I1191" s="418">
        <f t="shared" si="155"/>
        <v>4.6620046620047262E-3</v>
      </c>
      <c r="J1191" s="411"/>
      <c r="K1191" s="388"/>
      <c r="M1191" s="388"/>
    </row>
    <row r="1192" spans="1:13">
      <c r="A1192" s="408">
        <v>42809</v>
      </c>
      <c r="B1192" s="411">
        <v>2385.2600000000002</v>
      </c>
      <c r="C1192" s="418">
        <f t="shared" si="152"/>
        <v>8.374727853051489E-3</v>
      </c>
      <c r="D1192" s="411">
        <v>47.19</v>
      </c>
      <c r="E1192" s="418">
        <f t="shared" si="153"/>
        <v>1.9662921348314599E-2</v>
      </c>
      <c r="F1192" s="411">
        <v>2385.2600000000002</v>
      </c>
      <c r="G1192" s="418">
        <f t="shared" si="154"/>
        <v>8.374727853051489E-3</v>
      </c>
      <c r="H1192" s="411">
        <v>47.19</v>
      </c>
      <c r="I1192" s="418">
        <f t="shared" si="155"/>
        <v>1.9662921348314599E-2</v>
      </c>
      <c r="J1192" s="411"/>
      <c r="K1192" s="388"/>
      <c r="M1192" s="388"/>
    </row>
    <row r="1193" spans="1:13">
      <c r="A1193" s="408">
        <v>42808</v>
      </c>
      <c r="B1193" s="411">
        <v>2365.4499999999998</v>
      </c>
      <c r="C1193" s="418">
        <f t="shared" si="152"/>
        <v>-3.3790189048102937E-3</v>
      </c>
      <c r="D1193" s="411">
        <v>46.28</v>
      </c>
      <c r="E1193" s="418">
        <f t="shared" si="153"/>
        <v>-2.259767687434E-2</v>
      </c>
      <c r="F1193" s="411">
        <v>2365.4499999999998</v>
      </c>
      <c r="G1193" s="418">
        <f t="shared" si="154"/>
        <v>-3.3790189048102937E-3</v>
      </c>
      <c r="H1193" s="411">
        <v>46.28</v>
      </c>
      <c r="I1193" s="418">
        <f t="shared" si="155"/>
        <v>-2.259767687434E-2</v>
      </c>
      <c r="J1193" s="411"/>
      <c r="K1193" s="388"/>
      <c r="M1193" s="388"/>
    </row>
    <row r="1194" spans="1:13">
      <c r="A1194" s="408">
        <v>42807</v>
      </c>
      <c r="B1194" s="411">
        <v>2373.4699999999998</v>
      </c>
      <c r="C1194" s="418">
        <f t="shared" si="152"/>
        <v>3.6668633566550035E-4</v>
      </c>
      <c r="D1194" s="411">
        <v>47.35</v>
      </c>
      <c r="E1194" s="418">
        <f t="shared" si="153"/>
        <v>-1.1688582759340371E-2</v>
      </c>
      <c r="F1194" s="411">
        <v>2373.4699999999998</v>
      </c>
      <c r="G1194" s="418">
        <f t="shared" si="154"/>
        <v>3.6668633566550035E-4</v>
      </c>
      <c r="H1194" s="411">
        <v>47.35</v>
      </c>
      <c r="I1194" s="418">
        <f t="shared" si="155"/>
        <v>-1.1688582759340371E-2</v>
      </c>
      <c r="J1194" s="411"/>
      <c r="K1194" s="388"/>
      <c r="M1194" s="388"/>
    </row>
    <row r="1195" spans="1:13">
      <c r="A1195" s="408">
        <v>42804</v>
      </c>
      <c r="B1195" s="411">
        <v>2372.6</v>
      </c>
      <c r="C1195" s="418">
        <f t="shared" si="152"/>
        <v>3.2686786165836423E-3</v>
      </c>
      <c r="D1195" s="411">
        <v>47.91</v>
      </c>
      <c r="E1195" s="418">
        <f t="shared" si="153"/>
        <v>1.3968253968253963E-2</v>
      </c>
      <c r="F1195" s="411">
        <v>2372.6</v>
      </c>
      <c r="G1195" s="418">
        <f t="shared" si="154"/>
        <v>3.2686786165836423E-3</v>
      </c>
      <c r="H1195" s="411">
        <v>47.91</v>
      </c>
      <c r="I1195" s="418">
        <f t="shared" si="155"/>
        <v>1.3968253968253963E-2</v>
      </c>
      <c r="J1195" s="411"/>
      <c r="K1195" s="388"/>
      <c r="M1195" s="388"/>
    </row>
    <row r="1196" spans="1:13">
      <c r="A1196" s="408">
        <v>42803</v>
      </c>
      <c r="B1196" s="411">
        <v>2364.87</v>
      </c>
      <c r="C1196" s="418">
        <f t="shared" si="152"/>
        <v>7.9983749333467635E-4</v>
      </c>
      <c r="D1196" s="411">
        <v>47.25</v>
      </c>
      <c r="E1196" s="418">
        <f t="shared" si="153"/>
        <v>-8.8105726872247381E-3</v>
      </c>
      <c r="F1196" s="411">
        <v>2364.87</v>
      </c>
      <c r="G1196" s="418">
        <f t="shared" si="154"/>
        <v>7.9983749333467635E-4</v>
      </c>
      <c r="H1196" s="411">
        <v>47.25</v>
      </c>
      <c r="I1196" s="418">
        <f t="shared" si="155"/>
        <v>-8.8105726872247381E-3</v>
      </c>
      <c r="J1196" s="411"/>
      <c r="K1196" s="388"/>
      <c r="M1196" s="388"/>
    </row>
    <row r="1197" spans="1:13">
      <c r="A1197" s="408">
        <v>42802</v>
      </c>
      <c r="B1197" s="411">
        <v>2362.98</v>
      </c>
      <c r="C1197" s="418">
        <f t="shared" si="152"/>
        <v>-2.2842521713062336E-3</v>
      </c>
      <c r="D1197" s="411">
        <v>47.67</v>
      </c>
      <c r="E1197" s="418">
        <f t="shared" si="153"/>
        <v>6.2972292191432189E-4</v>
      </c>
      <c r="F1197" s="411">
        <v>2362.98</v>
      </c>
      <c r="G1197" s="418">
        <f t="shared" si="154"/>
        <v>-2.2842521713062336E-3</v>
      </c>
      <c r="H1197" s="411">
        <v>47.67</v>
      </c>
      <c r="I1197" s="418">
        <f t="shared" si="155"/>
        <v>6.2972292191432189E-4</v>
      </c>
      <c r="J1197" s="411"/>
      <c r="K1197" s="388"/>
      <c r="M1197" s="388"/>
    </row>
    <row r="1198" spans="1:13">
      <c r="A1198" s="408">
        <v>42801</v>
      </c>
      <c r="B1198" s="411">
        <v>2368.39</v>
      </c>
      <c r="C1198" s="418">
        <f t="shared" si="152"/>
        <v>-2.9133039476952893E-3</v>
      </c>
      <c r="D1198" s="411">
        <v>47.64</v>
      </c>
      <c r="E1198" s="418">
        <f t="shared" si="153"/>
        <v>-2.4769703172978552E-2</v>
      </c>
      <c r="F1198" s="411">
        <v>2368.39</v>
      </c>
      <c r="G1198" s="418">
        <f t="shared" si="154"/>
        <v>-2.9133039476952893E-3</v>
      </c>
      <c r="H1198" s="411">
        <v>47.64</v>
      </c>
      <c r="I1198" s="418">
        <f t="shared" si="155"/>
        <v>-2.4769703172978552E-2</v>
      </c>
      <c r="J1198" s="411"/>
      <c r="K1198" s="388"/>
      <c r="M1198" s="388"/>
    </row>
    <row r="1199" spans="1:13">
      <c r="A1199" s="408">
        <v>42800</v>
      </c>
      <c r="B1199" s="411">
        <v>2375.31</v>
      </c>
      <c r="C1199" s="418">
        <f t="shared" si="152"/>
        <v>-3.2772164221692712E-3</v>
      </c>
      <c r="D1199" s="411">
        <v>48.85</v>
      </c>
      <c r="E1199" s="418">
        <f t="shared" si="153"/>
        <v>-2.5533612607221201E-2</v>
      </c>
      <c r="F1199" s="411">
        <v>2375.31</v>
      </c>
      <c r="G1199" s="418">
        <f t="shared" si="154"/>
        <v>-3.2772164221692712E-3</v>
      </c>
      <c r="H1199" s="411">
        <v>48.85</v>
      </c>
      <c r="I1199" s="418">
        <f t="shared" si="155"/>
        <v>-2.5533612607221201E-2</v>
      </c>
      <c r="J1199" s="411"/>
      <c r="K1199" s="388"/>
      <c r="M1199" s="388"/>
    </row>
    <row r="1200" spans="1:13">
      <c r="A1200" s="408">
        <v>42797</v>
      </c>
      <c r="B1200" s="411">
        <v>2383.12</v>
      </c>
      <c r="C1200" s="418">
        <f t="shared" si="152"/>
        <v>5.0379525760724242E-4</v>
      </c>
      <c r="D1200" s="411">
        <v>50.13</v>
      </c>
      <c r="E1200" s="418">
        <f t="shared" si="153"/>
        <v>3.402722177742179E-3</v>
      </c>
      <c r="F1200" s="411">
        <v>2383.12</v>
      </c>
      <c r="G1200" s="418">
        <f t="shared" si="154"/>
        <v>5.0379525760724242E-4</v>
      </c>
      <c r="H1200" s="411">
        <v>50.13</v>
      </c>
      <c r="I1200" s="418">
        <f t="shared" si="155"/>
        <v>3.402722177742179E-3</v>
      </c>
      <c r="J1200" s="411"/>
      <c r="K1200" s="388"/>
      <c r="M1200" s="388"/>
    </row>
    <row r="1201" spans="1:13">
      <c r="A1201" s="408">
        <v>42796</v>
      </c>
      <c r="B1201" s="411">
        <v>2381.92</v>
      </c>
      <c r="C1201" s="418">
        <f t="shared" si="152"/>
        <v>-5.8598641045760624E-3</v>
      </c>
      <c r="D1201" s="411">
        <v>49.96</v>
      </c>
      <c r="E1201" s="418">
        <f t="shared" si="153"/>
        <v>-2.0968058005095047E-2</v>
      </c>
      <c r="F1201" s="411">
        <v>2381.92</v>
      </c>
      <c r="G1201" s="418">
        <f t="shared" si="154"/>
        <v>-5.8598641045760624E-3</v>
      </c>
      <c r="H1201" s="411">
        <v>49.96</v>
      </c>
      <c r="I1201" s="418">
        <f t="shared" si="155"/>
        <v>-2.0968058005095047E-2</v>
      </c>
      <c r="J1201" s="411"/>
      <c r="K1201" s="388"/>
      <c r="M1201" s="388"/>
    </row>
    <row r="1202" spans="1:13">
      <c r="A1202" s="408">
        <v>42795</v>
      </c>
      <c r="B1202" s="411">
        <v>2395.96</v>
      </c>
      <c r="C1202" s="418">
        <f t="shared" si="152"/>
        <v>1.3673825117192173E-2</v>
      </c>
      <c r="D1202" s="411">
        <v>51.03</v>
      </c>
      <c r="E1202" s="418">
        <f t="shared" si="153"/>
        <v>2.2030843180452564E-2</v>
      </c>
      <c r="F1202" s="411">
        <v>2395.96</v>
      </c>
      <c r="G1202" s="418">
        <f t="shared" si="154"/>
        <v>1.3673825117192173E-2</v>
      </c>
      <c r="H1202" s="411">
        <v>51.03</v>
      </c>
      <c r="I1202" s="418">
        <f t="shared" si="155"/>
        <v>2.2030843180452564E-2</v>
      </c>
      <c r="J1202" s="411"/>
      <c r="K1202" s="388"/>
      <c r="M1202" s="388"/>
    </row>
    <row r="1203" spans="1:13">
      <c r="A1203" s="408">
        <v>42794</v>
      </c>
      <c r="B1203" s="411">
        <v>2363.64</v>
      </c>
      <c r="C1203" s="418">
        <f t="shared" si="152"/>
        <v>-2.5783310475788745E-3</v>
      </c>
      <c r="D1203" s="411">
        <v>49.93</v>
      </c>
      <c r="E1203" s="418">
        <f t="shared" si="153"/>
        <v>-1.01110229976209E-2</v>
      </c>
      <c r="F1203" s="411">
        <v>2363.64</v>
      </c>
      <c r="G1203" s="418">
        <f t="shared" si="154"/>
        <v>-2.5783310475788745E-3</v>
      </c>
      <c r="H1203" s="411">
        <v>49.93</v>
      </c>
      <c r="I1203" s="418">
        <f t="shared" si="155"/>
        <v>-1.01110229976209E-2</v>
      </c>
      <c r="J1203" s="411"/>
      <c r="K1203" s="388"/>
      <c r="M1203" s="388"/>
    </row>
    <row r="1204" spans="1:13">
      <c r="A1204" s="408">
        <v>42793</v>
      </c>
      <c r="B1204" s="411">
        <v>2369.75</v>
      </c>
      <c r="C1204" s="418">
        <f t="shared" si="152"/>
        <v>1.018020225231675E-3</v>
      </c>
      <c r="D1204" s="411">
        <v>50.44</v>
      </c>
      <c r="E1204" s="418">
        <f t="shared" si="153"/>
        <v>-3.9635354736433648E-4</v>
      </c>
      <c r="F1204" s="411">
        <v>2369.75</v>
      </c>
      <c r="G1204" s="418">
        <f t="shared" si="154"/>
        <v>1.018020225231675E-3</v>
      </c>
      <c r="H1204" s="411">
        <v>50.44</v>
      </c>
      <c r="I1204" s="418">
        <f t="shared" si="155"/>
        <v>-3.9635354736433648E-4</v>
      </c>
      <c r="J1204" s="411"/>
      <c r="K1204" s="388"/>
      <c r="M1204" s="388"/>
    </row>
    <row r="1205" spans="1:13">
      <c r="A1205" s="408">
        <v>42790</v>
      </c>
      <c r="B1205" s="411">
        <v>2367.34</v>
      </c>
      <c r="C1205" s="418">
        <f t="shared" si="152"/>
        <v>1.493351834538359E-3</v>
      </c>
      <c r="D1205" s="411">
        <v>50.46</v>
      </c>
      <c r="E1205" s="418">
        <f t="shared" si="153"/>
        <v>-3.9619651347055918E-4</v>
      </c>
      <c r="F1205" s="411">
        <v>2367.34</v>
      </c>
      <c r="G1205" s="418">
        <f t="shared" si="154"/>
        <v>1.493351834538359E-3</v>
      </c>
      <c r="H1205" s="411">
        <v>50.46</v>
      </c>
      <c r="I1205" s="418">
        <f t="shared" si="155"/>
        <v>-3.9619651347055918E-4</v>
      </c>
      <c r="J1205" s="411"/>
      <c r="K1205" s="388"/>
      <c r="M1205" s="388"/>
    </row>
    <row r="1206" spans="1:13">
      <c r="A1206" s="408">
        <v>42789</v>
      </c>
      <c r="B1206" s="411">
        <v>2363.81</v>
      </c>
      <c r="C1206" s="418">
        <f t="shared" si="152"/>
        <v>4.1899086684549225E-4</v>
      </c>
      <c r="D1206" s="411">
        <v>50.48</v>
      </c>
      <c r="E1206" s="418">
        <f t="shared" si="153"/>
        <v>-8.8356567838210331E-3</v>
      </c>
      <c r="F1206" s="411">
        <v>2363.81</v>
      </c>
      <c r="G1206" s="418">
        <f t="shared" si="154"/>
        <v>4.1899086684549225E-4</v>
      </c>
      <c r="H1206" s="411">
        <v>50.48</v>
      </c>
      <c r="I1206" s="418">
        <f t="shared" si="155"/>
        <v>-8.8356567838210331E-3</v>
      </c>
      <c r="J1206" s="411"/>
      <c r="K1206" s="388"/>
      <c r="M1206" s="388"/>
    </row>
    <row r="1207" spans="1:13">
      <c r="A1207" s="408">
        <v>42788</v>
      </c>
      <c r="B1207" s="411">
        <v>2362.8200000000002</v>
      </c>
      <c r="C1207" s="418">
        <f t="shared" si="152"/>
        <v>-1.0822785345272479E-3</v>
      </c>
      <c r="D1207" s="411">
        <v>50.93</v>
      </c>
      <c r="E1207" s="418">
        <f t="shared" si="153"/>
        <v>-5.4676820933411419E-3</v>
      </c>
      <c r="F1207" s="411">
        <v>2362.8200000000002</v>
      </c>
      <c r="G1207" s="418">
        <f t="shared" si="154"/>
        <v>-1.0822785345272479E-3</v>
      </c>
      <c r="H1207" s="411">
        <v>50.93</v>
      </c>
      <c r="I1207" s="418">
        <f t="shared" si="155"/>
        <v>-5.4676820933411419E-3</v>
      </c>
      <c r="J1207" s="411"/>
      <c r="K1207" s="388"/>
      <c r="M1207" s="388"/>
    </row>
    <row r="1208" spans="1:13">
      <c r="A1208" s="408">
        <v>42787</v>
      </c>
      <c r="B1208" s="411">
        <v>2365.38</v>
      </c>
      <c r="C1208" s="418">
        <f t="shared" si="152"/>
        <v>6.0480783953453798E-3</v>
      </c>
      <c r="D1208" s="411">
        <v>51.21</v>
      </c>
      <c r="E1208" s="418">
        <f t="shared" si="153"/>
        <v>-3.9039625219594587E-4</v>
      </c>
      <c r="F1208" s="411">
        <v>2365.38</v>
      </c>
      <c r="G1208" s="418">
        <f t="shared" si="154"/>
        <v>6.0480783953453798E-3</v>
      </c>
      <c r="H1208" s="411">
        <v>51.21</v>
      </c>
      <c r="I1208" s="418">
        <f t="shared" si="155"/>
        <v>-3.9039625219594587E-4</v>
      </c>
      <c r="J1208" s="411"/>
      <c r="K1208" s="388"/>
      <c r="M1208" s="388"/>
    </row>
    <row r="1209" spans="1:13">
      <c r="A1209" s="408">
        <v>42783</v>
      </c>
      <c r="B1209" s="411">
        <v>2351.16</v>
      </c>
      <c r="C1209" s="418">
        <f t="shared" si="152"/>
        <v>1.6785814708464297E-3</v>
      </c>
      <c r="D1209" s="411">
        <v>51.23</v>
      </c>
      <c r="E1209" s="418">
        <f t="shared" si="153"/>
        <v>7.8693684831792066E-3</v>
      </c>
      <c r="F1209" s="411">
        <v>2351.16</v>
      </c>
      <c r="G1209" s="418">
        <f t="shared" si="154"/>
        <v>1.6785814708464297E-3</v>
      </c>
      <c r="H1209" s="411">
        <v>51.23</v>
      </c>
      <c r="I1209" s="418">
        <f t="shared" si="155"/>
        <v>7.8693684831792066E-3</v>
      </c>
      <c r="J1209" s="411"/>
      <c r="K1209" s="388"/>
      <c r="M1209" s="388"/>
    </row>
    <row r="1210" spans="1:13">
      <c r="A1210" s="408">
        <v>42782</v>
      </c>
      <c r="B1210" s="411">
        <v>2347.2199999999998</v>
      </c>
      <c r="C1210" s="418">
        <f t="shared" si="152"/>
        <v>-8.641055656061214E-4</v>
      </c>
      <c r="D1210" s="411">
        <v>50.83</v>
      </c>
      <c r="E1210" s="418">
        <f t="shared" si="153"/>
        <v>-6.6445182724252927E-3</v>
      </c>
      <c r="F1210" s="411">
        <v>2347.2199999999998</v>
      </c>
      <c r="G1210" s="418">
        <f t="shared" si="154"/>
        <v>-8.641055656061214E-4</v>
      </c>
      <c r="H1210" s="411">
        <v>50.83</v>
      </c>
      <c r="I1210" s="418">
        <f t="shared" si="155"/>
        <v>-6.6445182724252927E-3</v>
      </c>
      <c r="J1210" s="411"/>
      <c r="K1210" s="388"/>
      <c r="M1210" s="388"/>
    </row>
    <row r="1211" spans="1:13">
      <c r="A1211" s="408">
        <v>42781</v>
      </c>
      <c r="B1211" s="411">
        <v>2349.25</v>
      </c>
      <c r="C1211" s="418">
        <f t="shared" si="152"/>
        <v>4.9923425080640182E-3</v>
      </c>
      <c r="D1211" s="411">
        <v>51.17</v>
      </c>
      <c r="E1211" s="418">
        <f t="shared" si="153"/>
        <v>2.6273565984757274E-2</v>
      </c>
      <c r="F1211" s="411">
        <v>2349.25</v>
      </c>
      <c r="G1211" s="418">
        <f t="shared" si="154"/>
        <v>4.9923425080640182E-3</v>
      </c>
      <c r="H1211" s="411">
        <v>51.17</v>
      </c>
      <c r="I1211" s="418">
        <f t="shared" si="155"/>
        <v>2.6273565984757274E-2</v>
      </c>
      <c r="J1211" s="411"/>
      <c r="K1211" s="388"/>
      <c r="M1211" s="388"/>
    </row>
    <row r="1212" spans="1:13">
      <c r="A1212" s="408">
        <v>42780</v>
      </c>
      <c r="B1212" s="411">
        <v>2337.58</v>
      </c>
      <c r="C1212" s="418">
        <f t="shared" si="152"/>
        <v>4.0073016213895141E-3</v>
      </c>
      <c r="D1212" s="411">
        <v>49.86</v>
      </c>
      <c r="E1212" s="418">
        <f t="shared" si="153"/>
        <v>-3.9952057530963092E-3</v>
      </c>
      <c r="F1212" s="411">
        <v>2337.58</v>
      </c>
      <c r="G1212" s="418">
        <f t="shared" si="154"/>
        <v>4.0073016213895141E-3</v>
      </c>
      <c r="H1212" s="411">
        <v>49.86</v>
      </c>
      <c r="I1212" s="418">
        <f t="shared" si="155"/>
        <v>-3.9952057530963092E-3</v>
      </c>
      <c r="J1212" s="411"/>
      <c r="K1212" s="388"/>
      <c r="M1212" s="388"/>
    </row>
    <row r="1213" spans="1:13">
      <c r="A1213" s="408">
        <v>42779</v>
      </c>
      <c r="B1213" s="411">
        <v>2328.25</v>
      </c>
      <c r="C1213" s="418">
        <f t="shared" si="152"/>
        <v>5.2458874832692626E-3</v>
      </c>
      <c r="D1213" s="411">
        <v>50.06</v>
      </c>
      <c r="E1213" s="418">
        <f t="shared" si="153"/>
        <v>1.6240357287860441E-2</v>
      </c>
      <c r="F1213" s="411">
        <v>2328.25</v>
      </c>
      <c r="G1213" s="418">
        <f t="shared" si="154"/>
        <v>5.2458874832692626E-3</v>
      </c>
      <c r="H1213" s="411">
        <v>50.06</v>
      </c>
      <c r="I1213" s="418">
        <f t="shared" si="155"/>
        <v>1.6240357287860441E-2</v>
      </c>
      <c r="J1213" s="411"/>
      <c r="K1213" s="388"/>
      <c r="M1213" s="388"/>
    </row>
    <row r="1214" spans="1:13">
      <c r="A1214" s="408">
        <v>42776</v>
      </c>
      <c r="B1214" s="411">
        <v>2316.1</v>
      </c>
      <c r="C1214" s="418">
        <f t="shared" si="152"/>
        <v>3.5660587468098193E-3</v>
      </c>
      <c r="D1214" s="411">
        <v>49.26</v>
      </c>
      <c r="E1214" s="418">
        <f t="shared" si="153"/>
        <v>-1.4190147982972023E-3</v>
      </c>
      <c r="F1214" s="411">
        <v>2316.1</v>
      </c>
      <c r="G1214" s="418">
        <f t="shared" si="154"/>
        <v>3.5660587468098193E-3</v>
      </c>
      <c r="H1214" s="411">
        <v>49.26</v>
      </c>
      <c r="I1214" s="418">
        <f t="shared" si="155"/>
        <v>-1.4190147982972023E-3</v>
      </c>
      <c r="J1214" s="411"/>
      <c r="K1214" s="388"/>
      <c r="M1214" s="388"/>
    </row>
    <row r="1215" spans="1:13">
      <c r="A1215" s="408">
        <v>42775</v>
      </c>
      <c r="B1215" s="411">
        <v>2307.87</v>
      </c>
      <c r="C1215" s="418">
        <f t="shared" si="152"/>
        <v>5.7524611382027135E-3</v>
      </c>
      <c r="D1215" s="411">
        <v>49.33</v>
      </c>
      <c r="E1215" s="418">
        <f t="shared" si="153"/>
        <v>2.5571725571725601E-2</v>
      </c>
      <c r="F1215" s="411">
        <v>2307.87</v>
      </c>
      <c r="G1215" s="418">
        <f t="shared" si="154"/>
        <v>5.7524611382027135E-3</v>
      </c>
      <c r="H1215" s="411">
        <v>49.33</v>
      </c>
      <c r="I1215" s="418">
        <f t="shared" si="155"/>
        <v>2.5571725571725601E-2</v>
      </c>
      <c r="J1215" s="411"/>
      <c r="K1215" s="388"/>
      <c r="M1215" s="388"/>
    </row>
    <row r="1216" spans="1:13">
      <c r="A1216" s="408">
        <v>42774</v>
      </c>
      <c r="B1216" s="411">
        <v>2294.67</v>
      </c>
      <c r="C1216" s="418">
        <f t="shared" si="152"/>
        <v>6.9339054895611874E-4</v>
      </c>
      <c r="D1216" s="411">
        <v>48.1</v>
      </c>
      <c r="E1216" s="418">
        <f t="shared" si="153"/>
        <v>-1.0384215991692258E-3</v>
      </c>
      <c r="F1216" s="411">
        <v>2294.67</v>
      </c>
      <c r="G1216" s="418">
        <f t="shared" si="154"/>
        <v>6.9339054895611874E-4</v>
      </c>
      <c r="H1216" s="411">
        <v>48.1</v>
      </c>
      <c r="I1216" s="418">
        <f t="shared" si="155"/>
        <v>-1.0384215991692258E-3</v>
      </c>
      <c r="J1216" s="411"/>
      <c r="K1216" s="388"/>
      <c r="M1216" s="388"/>
    </row>
    <row r="1217" spans="1:13">
      <c r="A1217" s="408">
        <v>42773</v>
      </c>
      <c r="B1217" s="411">
        <v>2293.08</v>
      </c>
      <c r="C1217" s="418">
        <f t="shared" si="152"/>
        <v>2.2682067208701362E-4</v>
      </c>
      <c r="D1217" s="411">
        <v>48.15</v>
      </c>
      <c r="E1217" s="418">
        <f t="shared" si="153"/>
        <v>-2.2793203481143998E-3</v>
      </c>
      <c r="F1217" s="411">
        <v>2293.08</v>
      </c>
      <c r="G1217" s="418">
        <f t="shared" si="154"/>
        <v>2.2682067208701362E-4</v>
      </c>
      <c r="H1217" s="411">
        <v>48.15</v>
      </c>
      <c r="I1217" s="418">
        <f t="shared" si="155"/>
        <v>-2.2793203481143998E-3</v>
      </c>
      <c r="J1217" s="411"/>
      <c r="K1217" s="388"/>
      <c r="M1217" s="388"/>
    </row>
    <row r="1218" spans="1:13">
      <c r="A1218" s="408">
        <v>42772</v>
      </c>
      <c r="B1218" s="411">
        <v>2292.56</v>
      </c>
      <c r="C1218" s="418">
        <f t="shared" si="152"/>
        <v>-2.1154164236404371E-3</v>
      </c>
      <c r="D1218" s="411">
        <v>48.26</v>
      </c>
      <c r="E1218" s="418">
        <f t="shared" si="153"/>
        <v>9.4122568500312198E-3</v>
      </c>
      <c r="F1218" s="411">
        <v>2292.56</v>
      </c>
      <c r="G1218" s="418">
        <f t="shared" si="154"/>
        <v>-2.1154164236404371E-3</v>
      </c>
      <c r="H1218" s="411">
        <v>48.26</v>
      </c>
      <c r="I1218" s="418">
        <f t="shared" si="155"/>
        <v>9.4122568500312198E-3</v>
      </c>
      <c r="J1218" s="411"/>
      <c r="K1218" s="388"/>
      <c r="M1218" s="388"/>
    </row>
    <row r="1219" spans="1:13">
      <c r="A1219" s="408">
        <v>42769</v>
      </c>
      <c r="B1219" s="411">
        <v>2297.42</v>
      </c>
      <c r="C1219" s="418">
        <f t="shared" si="152"/>
        <v>7.2648354780016078E-3</v>
      </c>
      <c r="D1219" s="411">
        <v>47.81</v>
      </c>
      <c r="E1219" s="418">
        <f t="shared" si="153"/>
        <v>9.0755593077247454E-3</v>
      </c>
      <c r="F1219" s="411">
        <v>2297.42</v>
      </c>
      <c r="G1219" s="418">
        <f t="shared" si="154"/>
        <v>7.2648354780016078E-3</v>
      </c>
      <c r="H1219" s="411">
        <v>47.81</v>
      </c>
      <c r="I1219" s="418">
        <f t="shared" si="155"/>
        <v>9.0755593077247454E-3</v>
      </c>
      <c r="J1219" s="411"/>
      <c r="K1219" s="388"/>
      <c r="M1219" s="388"/>
    </row>
    <row r="1220" spans="1:13">
      <c r="A1220" s="408">
        <v>42768</v>
      </c>
      <c r="B1220" s="411">
        <v>2280.85</v>
      </c>
      <c r="C1220" s="418">
        <f t="shared" si="152"/>
        <v>5.7028799543767938E-4</v>
      </c>
      <c r="D1220" s="411">
        <v>47.38</v>
      </c>
      <c r="E1220" s="418">
        <f t="shared" si="153"/>
        <v>2.5391451544647392E-3</v>
      </c>
      <c r="F1220" s="411">
        <v>2280.85</v>
      </c>
      <c r="G1220" s="418">
        <f t="shared" si="154"/>
        <v>5.7028799543767938E-4</v>
      </c>
      <c r="H1220" s="411">
        <v>47.38</v>
      </c>
      <c r="I1220" s="418">
        <f t="shared" si="155"/>
        <v>2.5391451544647392E-3</v>
      </c>
      <c r="J1220" s="411"/>
      <c r="K1220" s="388"/>
      <c r="M1220" s="388"/>
    </row>
    <row r="1221" spans="1:13">
      <c r="A1221" s="408">
        <v>42767</v>
      </c>
      <c r="B1221" s="411">
        <v>2279.5500000000002</v>
      </c>
      <c r="C1221" s="418">
        <f t="shared" si="152"/>
        <v>2.9839350204285964E-4</v>
      </c>
      <c r="D1221" s="411">
        <v>47.26</v>
      </c>
      <c r="E1221" s="418">
        <f t="shared" si="153"/>
        <v>4.2337002540215884E-4</v>
      </c>
      <c r="F1221" s="411">
        <v>2279.5500000000002</v>
      </c>
      <c r="G1221" s="418">
        <f t="shared" si="154"/>
        <v>2.9839350204285964E-4</v>
      </c>
      <c r="H1221" s="411">
        <v>47.26</v>
      </c>
      <c r="I1221" s="418">
        <f t="shared" si="155"/>
        <v>4.2337002540215884E-4</v>
      </c>
      <c r="J1221" s="411"/>
      <c r="K1221" s="388"/>
      <c r="M1221" s="388"/>
    </row>
    <row r="1222" spans="1:13">
      <c r="A1222" s="408">
        <v>42766</v>
      </c>
      <c r="B1222" s="411">
        <v>2278.87</v>
      </c>
      <c r="C1222" s="418">
        <f t="shared" si="152"/>
        <v>-8.8999956157664872E-4</v>
      </c>
      <c r="D1222" s="411">
        <v>47.24</v>
      </c>
      <c r="E1222" s="418">
        <f t="shared" si="153"/>
        <v>-9.0203482273967239E-3</v>
      </c>
      <c r="F1222" s="411">
        <v>2278.87</v>
      </c>
      <c r="G1222" s="418">
        <f t="shared" si="154"/>
        <v>-8.8999956157664872E-4</v>
      </c>
      <c r="H1222" s="411">
        <v>47.24</v>
      </c>
      <c r="I1222" s="418">
        <f t="shared" si="155"/>
        <v>-9.0203482273967239E-3</v>
      </c>
      <c r="J1222" s="411"/>
      <c r="K1222" s="388"/>
      <c r="M1222" s="388"/>
    </row>
    <row r="1223" spans="1:13">
      <c r="A1223" s="408">
        <v>42765</v>
      </c>
      <c r="B1223" s="411">
        <v>2280.9</v>
      </c>
      <c r="C1223" s="418">
        <f t="shared" si="152"/>
        <v>-6.0095263412487387E-3</v>
      </c>
      <c r="D1223" s="411">
        <v>47.67</v>
      </c>
      <c r="E1223" s="418">
        <f t="shared" si="153"/>
        <v>-4.0845070422535268E-2</v>
      </c>
      <c r="F1223" s="411">
        <v>2280.9</v>
      </c>
      <c r="G1223" s="418">
        <f t="shared" si="154"/>
        <v>-6.0095263412487387E-3</v>
      </c>
      <c r="H1223" s="411">
        <v>47.67</v>
      </c>
      <c r="I1223" s="418">
        <f t="shared" si="155"/>
        <v>-4.0845070422535268E-2</v>
      </c>
      <c r="J1223" s="411"/>
      <c r="K1223" s="388"/>
      <c r="M1223" s="388"/>
    </row>
    <row r="1224" spans="1:13">
      <c r="A1224" s="408">
        <v>42762</v>
      </c>
      <c r="B1224" s="411">
        <v>2294.69</v>
      </c>
      <c r="C1224" s="418">
        <f t="shared" ref="C1224:C1287" si="156">B1224/B1225-1</f>
        <v>-8.6646811919810496E-4</v>
      </c>
      <c r="D1224" s="411">
        <v>49.7</v>
      </c>
      <c r="E1224" s="418">
        <f t="shared" ref="E1224:E1287" si="157">D1224/D1225-1</f>
        <v>-2.3575638506876162E-2</v>
      </c>
      <c r="F1224" s="411">
        <v>2294.69</v>
      </c>
      <c r="G1224" s="418">
        <f t="shared" ref="G1224:G1261" si="158">F1224/F1225-1</f>
        <v>-8.6646811919810496E-4</v>
      </c>
      <c r="H1224" s="411">
        <v>49.7</v>
      </c>
      <c r="I1224" s="418">
        <f t="shared" ref="I1224:I1261" si="159">H1224/H1225-1</f>
        <v>-2.3575638506876162E-2</v>
      </c>
      <c r="J1224" s="411"/>
      <c r="K1224" s="388"/>
      <c r="M1224" s="388"/>
    </row>
    <row r="1225" spans="1:13">
      <c r="A1225" s="408">
        <v>42761</v>
      </c>
      <c r="B1225" s="411">
        <v>2296.6799999999998</v>
      </c>
      <c r="C1225" s="418">
        <f t="shared" si="156"/>
        <v>-7.3530371524166416E-4</v>
      </c>
      <c r="D1225" s="411">
        <v>50.9</v>
      </c>
      <c r="E1225" s="418">
        <f t="shared" si="157"/>
        <v>1.414624427176725E-2</v>
      </c>
      <c r="F1225" s="411">
        <v>2296.6799999999998</v>
      </c>
      <c r="G1225" s="418">
        <f t="shared" si="158"/>
        <v>-7.3530371524166416E-4</v>
      </c>
      <c r="H1225" s="411">
        <v>50.9</v>
      </c>
      <c r="I1225" s="418">
        <f t="shared" si="159"/>
        <v>1.414624427176725E-2</v>
      </c>
      <c r="J1225" s="411"/>
      <c r="K1225" s="388"/>
      <c r="M1225" s="388"/>
    </row>
    <row r="1226" spans="1:13">
      <c r="A1226" s="408">
        <v>42760</v>
      </c>
      <c r="B1226" s="411">
        <v>2298.37</v>
      </c>
      <c r="C1226" s="418">
        <f t="shared" si="156"/>
        <v>8.0260693750628942E-3</v>
      </c>
      <c r="D1226" s="411">
        <v>50.19</v>
      </c>
      <c r="E1226" s="418">
        <f t="shared" si="157"/>
        <v>1.5169902912621325E-2</v>
      </c>
      <c r="F1226" s="411">
        <v>2298.37</v>
      </c>
      <c r="G1226" s="418">
        <f t="shared" si="158"/>
        <v>8.0260693750628942E-3</v>
      </c>
      <c r="H1226" s="411">
        <v>50.19</v>
      </c>
      <c r="I1226" s="418">
        <f t="shared" si="159"/>
        <v>1.5169902912621325E-2</v>
      </c>
      <c r="J1226" s="411"/>
      <c r="K1226" s="388"/>
      <c r="M1226" s="388"/>
    </row>
    <row r="1227" spans="1:13">
      <c r="A1227" s="408">
        <v>42759</v>
      </c>
      <c r="B1227" s="411">
        <v>2280.0700000000002</v>
      </c>
      <c r="C1227" s="418">
        <f t="shared" si="156"/>
        <v>6.5645417623170221E-3</v>
      </c>
      <c r="D1227" s="411">
        <v>49.44</v>
      </c>
      <c r="E1227" s="418">
        <f t="shared" si="157"/>
        <v>1.3737953660036828E-2</v>
      </c>
      <c r="F1227" s="411">
        <v>2280.0700000000002</v>
      </c>
      <c r="G1227" s="418">
        <f t="shared" si="158"/>
        <v>6.5645417623170221E-3</v>
      </c>
      <c r="H1227" s="411">
        <v>49.44</v>
      </c>
      <c r="I1227" s="418">
        <f t="shared" si="159"/>
        <v>1.3737953660036828E-2</v>
      </c>
      <c r="J1227" s="411"/>
      <c r="K1227" s="388"/>
      <c r="M1227" s="388"/>
    </row>
    <row r="1228" spans="1:13">
      <c r="A1228" s="408">
        <v>42758</v>
      </c>
      <c r="B1228" s="411">
        <v>2265.1999999999998</v>
      </c>
      <c r="C1228" s="418">
        <f t="shared" si="156"/>
        <v>-2.6900775323491777E-3</v>
      </c>
      <c r="D1228" s="411">
        <v>48.77</v>
      </c>
      <c r="E1228" s="418">
        <f t="shared" si="157"/>
        <v>-3.4257425742574177E-2</v>
      </c>
      <c r="F1228" s="411">
        <v>2265.1999999999998</v>
      </c>
      <c r="G1228" s="418">
        <f t="shared" si="158"/>
        <v>-2.6900775323491777E-3</v>
      </c>
      <c r="H1228" s="411">
        <v>48.77</v>
      </c>
      <c r="I1228" s="418">
        <f t="shared" si="159"/>
        <v>-3.4257425742574177E-2</v>
      </c>
      <c r="J1228" s="411"/>
      <c r="K1228" s="388"/>
      <c r="M1228" s="388"/>
    </row>
    <row r="1229" spans="1:13">
      <c r="A1229" s="408">
        <v>42755</v>
      </c>
      <c r="B1229" s="411">
        <v>2271.31</v>
      </c>
      <c r="C1229" s="418">
        <f t="shared" si="156"/>
        <v>3.3661852992237229E-3</v>
      </c>
      <c r="D1229" s="411">
        <v>50.5</v>
      </c>
      <c r="E1229" s="418">
        <f t="shared" si="157"/>
        <v>1.609657947686105E-2</v>
      </c>
      <c r="F1229" s="411">
        <v>2271.31</v>
      </c>
      <c r="G1229" s="418">
        <f t="shared" si="158"/>
        <v>3.3661852992237229E-3</v>
      </c>
      <c r="H1229" s="411">
        <v>50.5</v>
      </c>
      <c r="I1229" s="418">
        <f t="shared" si="159"/>
        <v>1.609657947686105E-2</v>
      </c>
      <c r="J1229" s="411"/>
      <c r="K1229" s="388"/>
      <c r="M1229" s="388"/>
    </row>
    <row r="1230" spans="1:13">
      <c r="A1230" s="408">
        <v>42754</v>
      </c>
      <c r="B1230" s="411">
        <v>2263.69</v>
      </c>
      <c r="C1230" s="418">
        <f t="shared" si="156"/>
        <v>-3.6093296770529637E-3</v>
      </c>
      <c r="D1230" s="411">
        <v>49.7</v>
      </c>
      <c r="E1230" s="418">
        <f t="shared" si="157"/>
        <v>-1.1928429423459175E-2</v>
      </c>
      <c r="F1230" s="411">
        <v>2263.69</v>
      </c>
      <c r="G1230" s="418">
        <f t="shared" si="158"/>
        <v>-3.6093296770529637E-3</v>
      </c>
      <c r="H1230" s="411">
        <v>49.7</v>
      </c>
      <c r="I1230" s="418">
        <f t="shared" si="159"/>
        <v>-1.1928429423459175E-2</v>
      </c>
      <c r="J1230" s="411"/>
      <c r="K1230" s="388"/>
      <c r="M1230" s="388"/>
    </row>
    <row r="1231" spans="1:13">
      <c r="A1231" s="408">
        <v>42753</v>
      </c>
      <c r="B1231" s="411">
        <v>2271.89</v>
      </c>
      <c r="C1231" s="418">
        <f t="shared" si="156"/>
        <v>1.7637539739581154E-3</v>
      </c>
      <c r="D1231" s="411">
        <v>50.3</v>
      </c>
      <c r="E1231" s="418">
        <f t="shared" si="157"/>
        <v>-5.9606596463346317E-4</v>
      </c>
      <c r="F1231" s="411">
        <v>2271.89</v>
      </c>
      <c r="G1231" s="418">
        <f t="shared" si="158"/>
        <v>1.7637539739581154E-3</v>
      </c>
      <c r="H1231" s="411">
        <v>50.3</v>
      </c>
      <c r="I1231" s="418">
        <f t="shared" si="159"/>
        <v>-5.9606596463346317E-4</v>
      </c>
      <c r="J1231" s="411"/>
      <c r="K1231" s="388"/>
      <c r="M1231" s="388"/>
    </row>
    <row r="1232" spans="1:13">
      <c r="A1232" s="408">
        <v>42752</v>
      </c>
      <c r="B1232" s="411">
        <v>2267.89</v>
      </c>
      <c r="C1232" s="418">
        <f t="shared" si="156"/>
        <v>-2.9675025498540064E-3</v>
      </c>
      <c r="D1232" s="411">
        <v>50.33</v>
      </c>
      <c r="E1232" s="418">
        <f t="shared" si="157"/>
        <v>-1.7567831348819007E-2</v>
      </c>
      <c r="F1232" s="411">
        <v>2267.89</v>
      </c>
      <c r="G1232" s="418">
        <f t="shared" si="158"/>
        <v>-2.9675025498540064E-3</v>
      </c>
      <c r="H1232" s="411">
        <v>50.33</v>
      </c>
      <c r="I1232" s="418">
        <f t="shared" si="159"/>
        <v>-1.7567831348819007E-2</v>
      </c>
      <c r="J1232" s="411"/>
      <c r="K1232" s="388"/>
      <c r="M1232" s="388"/>
    </row>
    <row r="1233" spans="1:13">
      <c r="A1233" s="408">
        <v>42748</v>
      </c>
      <c r="B1233" s="411">
        <v>2274.64</v>
      </c>
      <c r="C1233" s="418">
        <f t="shared" si="156"/>
        <v>1.8498617008155804E-3</v>
      </c>
      <c r="D1233" s="411">
        <v>51.23</v>
      </c>
      <c r="E1233" s="418">
        <f t="shared" si="157"/>
        <v>6.6810768323835035E-3</v>
      </c>
      <c r="F1233" s="411">
        <v>2274.64</v>
      </c>
      <c r="G1233" s="418">
        <f t="shared" si="158"/>
        <v>1.8498617008155804E-3</v>
      </c>
      <c r="H1233" s="411">
        <v>51.23</v>
      </c>
      <c r="I1233" s="418">
        <f t="shared" si="159"/>
        <v>6.6810768323835035E-3</v>
      </c>
      <c r="J1233" s="411"/>
      <c r="K1233" s="388"/>
      <c r="M1233" s="388"/>
    </row>
    <row r="1234" spans="1:13">
      <c r="A1234" s="408">
        <v>42747</v>
      </c>
      <c r="B1234" s="411">
        <v>2270.44</v>
      </c>
      <c r="C1234" s="418">
        <f t="shared" si="156"/>
        <v>-2.144753265474808E-3</v>
      </c>
      <c r="D1234" s="411">
        <v>50.89</v>
      </c>
      <c r="E1234" s="418">
        <f t="shared" si="157"/>
        <v>-1.0692068429237866E-2</v>
      </c>
      <c r="F1234" s="411">
        <v>2270.44</v>
      </c>
      <c r="G1234" s="418">
        <f t="shared" si="158"/>
        <v>-2.144753265474808E-3</v>
      </c>
      <c r="H1234" s="411">
        <v>50.89</v>
      </c>
      <c r="I1234" s="418">
        <f t="shared" si="159"/>
        <v>-1.0692068429237866E-2</v>
      </c>
      <c r="J1234" s="411"/>
      <c r="K1234" s="388"/>
      <c r="M1234" s="388"/>
    </row>
    <row r="1235" spans="1:13">
      <c r="A1235" s="408">
        <v>42746</v>
      </c>
      <c r="B1235" s="411">
        <v>2275.3200000000002</v>
      </c>
      <c r="C1235" s="418">
        <f t="shared" si="156"/>
        <v>2.829564987438804E-3</v>
      </c>
      <c r="D1235" s="411">
        <v>51.44</v>
      </c>
      <c r="E1235" s="418">
        <f t="shared" si="157"/>
        <v>1.0013744354997023E-2</v>
      </c>
      <c r="F1235" s="411">
        <v>2275.3200000000002</v>
      </c>
      <c r="G1235" s="418">
        <f t="shared" si="158"/>
        <v>2.829564987438804E-3</v>
      </c>
      <c r="H1235" s="411">
        <v>51.44</v>
      </c>
      <c r="I1235" s="418">
        <f t="shared" si="159"/>
        <v>1.0013744354997023E-2</v>
      </c>
      <c r="J1235" s="411"/>
      <c r="K1235" s="388"/>
      <c r="M1235" s="388"/>
    </row>
    <row r="1236" spans="1:13">
      <c r="A1236" s="408">
        <v>42745</v>
      </c>
      <c r="B1236" s="411">
        <v>2268.9</v>
      </c>
      <c r="C1236" s="418">
        <f t="shared" si="156"/>
        <v>0</v>
      </c>
      <c r="D1236" s="411">
        <v>50.93</v>
      </c>
      <c r="E1236" s="418">
        <f t="shared" si="157"/>
        <v>2.4954719259408398E-2</v>
      </c>
      <c r="F1236" s="411">
        <v>2268.9</v>
      </c>
      <c r="G1236" s="418">
        <f t="shared" si="158"/>
        <v>0</v>
      </c>
      <c r="H1236" s="411">
        <v>50.93</v>
      </c>
      <c r="I1236" s="418">
        <f t="shared" si="159"/>
        <v>2.4954719259408398E-2</v>
      </c>
      <c r="J1236" s="411"/>
      <c r="K1236" s="388"/>
      <c r="M1236" s="388"/>
    </row>
    <row r="1237" spans="1:13">
      <c r="A1237" s="408">
        <v>42744</v>
      </c>
      <c r="B1237" s="411">
        <v>2268.9</v>
      </c>
      <c r="C1237" s="418">
        <f t="shared" si="156"/>
        <v>-3.5485599346501973E-3</v>
      </c>
      <c r="D1237" s="411">
        <v>49.69</v>
      </c>
      <c r="E1237" s="418">
        <f t="shared" si="157"/>
        <v>2.0128824476639551E-4</v>
      </c>
      <c r="F1237" s="411">
        <v>2268.9</v>
      </c>
      <c r="G1237" s="418">
        <f t="shared" si="158"/>
        <v>-3.5485599346501973E-3</v>
      </c>
      <c r="H1237" s="411">
        <v>49.69</v>
      </c>
      <c r="I1237" s="418">
        <f t="shared" si="159"/>
        <v>2.0128824476639551E-4</v>
      </c>
      <c r="J1237" s="411"/>
      <c r="K1237" s="388"/>
      <c r="M1237" s="388"/>
    </row>
    <row r="1238" spans="1:13">
      <c r="A1238" s="408">
        <v>42741</v>
      </c>
      <c r="B1238" s="411">
        <v>2276.98</v>
      </c>
      <c r="C1238" s="418">
        <f t="shared" si="156"/>
        <v>3.51696782723665E-3</v>
      </c>
      <c r="D1238" s="411">
        <v>49.68</v>
      </c>
      <c r="E1238" s="418">
        <f t="shared" si="157"/>
        <v>-1.0054293183188179E-3</v>
      </c>
      <c r="F1238" s="411">
        <v>2276.98</v>
      </c>
      <c r="G1238" s="418">
        <f t="shared" si="158"/>
        <v>3.51696782723665E-3</v>
      </c>
      <c r="H1238" s="411">
        <v>49.68</v>
      </c>
      <c r="I1238" s="418">
        <f t="shared" si="159"/>
        <v>-1.0054293183188179E-3</v>
      </c>
      <c r="J1238" s="411"/>
      <c r="K1238" s="388"/>
      <c r="M1238" s="388"/>
    </row>
    <row r="1239" spans="1:13">
      <c r="A1239" s="408">
        <v>42740</v>
      </c>
      <c r="B1239" s="411">
        <v>2269</v>
      </c>
      <c r="C1239" s="418">
        <f t="shared" si="156"/>
        <v>-7.7067048332046806E-4</v>
      </c>
      <c r="D1239" s="411">
        <v>49.73</v>
      </c>
      <c r="E1239" s="418">
        <f t="shared" si="157"/>
        <v>-1.9132149901380791E-2</v>
      </c>
      <c r="F1239" s="411">
        <v>2269</v>
      </c>
      <c r="G1239" s="418">
        <f t="shared" si="158"/>
        <v>-7.7067048332046806E-4</v>
      </c>
      <c r="H1239" s="411">
        <v>49.73</v>
      </c>
      <c r="I1239" s="418">
        <f t="shared" si="159"/>
        <v>-1.9132149901380791E-2</v>
      </c>
      <c r="J1239" s="411"/>
      <c r="K1239" s="388"/>
      <c r="M1239" s="388"/>
    </row>
    <row r="1240" spans="1:13">
      <c r="A1240" s="408">
        <v>42739</v>
      </c>
      <c r="B1240" s="411">
        <v>2270.75</v>
      </c>
      <c r="C1240" s="418">
        <f t="shared" si="156"/>
        <v>5.7223085883348901E-3</v>
      </c>
      <c r="D1240" s="411">
        <v>50.7</v>
      </c>
      <c r="E1240" s="418">
        <f t="shared" si="157"/>
        <v>2.4656426839126944E-2</v>
      </c>
      <c r="F1240" s="411">
        <v>2270.75</v>
      </c>
      <c r="G1240" s="418">
        <f t="shared" si="158"/>
        <v>5.7223085883348901E-3</v>
      </c>
      <c r="H1240" s="411">
        <v>50.7</v>
      </c>
      <c r="I1240" s="418">
        <f t="shared" si="159"/>
        <v>2.4656426839126944E-2</v>
      </c>
      <c r="J1240" s="411"/>
      <c r="K1240" s="388"/>
      <c r="M1240" s="388"/>
    </row>
    <row r="1241" spans="1:13">
      <c r="A1241" s="408">
        <v>42738</v>
      </c>
      <c r="B1241" s="411">
        <v>2257.83</v>
      </c>
      <c r="C1241" s="418">
        <f t="shared" si="156"/>
        <v>8.4865755774221618E-3</v>
      </c>
      <c r="D1241" s="411">
        <v>49.48</v>
      </c>
      <c r="E1241" s="418">
        <f t="shared" si="157"/>
        <v>5.8955072169140088E-3</v>
      </c>
      <c r="F1241" s="411">
        <v>2257.83</v>
      </c>
      <c r="G1241" s="418">
        <f t="shared" si="158"/>
        <v>8.4865755774221618E-3</v>
      </c>
      <c r="H1241" s="411">
        <v>49.48</v>
      </c>
      <c r="I1241" s="418">
        <f t="shared" si="159"/>
        <v>5.8955072169140088E-3</v>
      </c>
      <c r="J1241" s="411"/>
      <c r="K1241" s="388"/>
      <c r="M1241" s="388"/>
    </row>
    <row r="1242" spans="1:13">
      <c r="A1242" s="408">
        <v>42734</v>
      </c>
      <c r="B1242" s="411">
        <v>2238.83</v>
      </c>
      <c r="C1242" s="418">
        <f t="shared" si="156"/>
        <v>-4.6370806398550179E-3</v>
      </c>
      <c r="D1242" s="411">
        <v>49.19</v>
      </c>
      <c r="E1242" s="418">
        <f t="shared" si="157"/>
        <v>-2.4335834516325816E-3</v>
      </c>
      <c r="F1242" s="411">
        <v>2238.83</v>
      </c>
      <c r="G1242" s="418">
        <f t="shared" si="158"/>
        <v>-4.6370806398550179E-3</v>
      </c>
      <c r="H1242" s="411">
        <v>49.19</v>
      </c>
      <c r="I1242" s="418">
        <f t="shared" si="159"/>
        <v>-2.4335834516325816E-3</v>
      </c>
      <c r="J1242" s="411"/>
      <c r="K1242" s="388"/>
      <c r="M1242" s="388"/>
    </row>
    <row r="1243" spans="1:13">
      <c r="A1243" s="408">
        <v>42733</v>
      </c>
      <c r="B1243" s="411">
        <v>2249.2600000000002</v>
      </c>
      <c r="C1243" s="418">
        <f t="shared" si="156"/>
        <v>-2.9334376333378653E-4</v>
      </c>
      <c r="D1243" s="411">
        <v>49.31</v>
      </c>
      <c r="E1243" s="418">
        <f t="shared" si="157"/>
        <v>-4.0395879620277464E-3</v>
      </c>
      <c r="F1243" s="411">
        <v>2249.2600000000002</v>
      </c>
      <c r="G1243" s="418">
        <f t="shared" si="158"/>
        <v>-2.9334376333378653E-4</v>
      </c>
      <c r="H1243" s="411">
        <v>49.31</v>
      </c>
      <c r="I1243" s="418">
        <f t="shared" si="159"/>
        <v>-4.0395879620277464E-3</v>
      </c>
      <c r="J1243" s="411"/>
      <c r="K1243" s="388"/>
      <c r="M1243" s="388"/>
    </row>
    <row r="1244" spans="1:13">
      <c r="A1244" s="408">
        <v>42732</v>
      </c>
      <c r="B1244" s="411">
        <v>2249.92</v>
      </c>
      <c r="C1244" s="418">
        <f t="shared" si="156"/>
        <v>-8.3565459610027704E-3</v>
      </c>
      <c r="D1244" s="411">
        <v>49.51</v>
      </c>
      <c r="E1244" s="418">
        <f t="shared" si="157"/>
        <v>-1.6878474980143054E-2</v>
      </c>
      <c r="F1244" s="411">
        <v>2249.92</v>
      </c>
      <c r="G1244" s="418">
        <f t="shared" si="158"/>
        <v>-8.3565459610027704E-3</v>
      </c>
      <c r="H1244" s="411">
        <v>49.51</v>
      </c>
      <c r="I1244" s="418">
        <f t="shared" si="159"/>
        <v>-1.6878474980143054E-2</v>
      </c>
      <c r="J1244" s="411"/>
      <c r="K1244" s="388"/>
      <c r="M1244" s="388"/>
    </row>
    <row r="1245" spans="1:13">
      <c r="A1245" s="408">
        <v>42731</v>
      </c>
      <c r="B1245" s="411">
        <v>2268.88</v>
      </c>
      <c r="C1245" s="418">
        <f t="shared" si="156"/>
        <v>2.248441772426002E-3</v>
      </c>
      <c r="D1245" s="411">
        <v>50.36</v>
      </c>
      <c r="E1245" s="418">
        <f t="shared" si="157"/>
        <v>9.4207255963119074E-3</v>
      </c>
      <c r="F1245" s="411">
        <v>2268.88</v>
      </c>
      <c r="G1245" s="418">
        <f t="shared" si="158"/>
        <v>2.248441772426002E-3</v>
      </c>
      <c r="H1245" s="411">
        <v>50.36</v>
      </c>
      <c r="I1245" s="418">
        <f t="shared" si="159"/>
        <v>9.4207255963119074E-3</v>
      </c>
      <c r="J1245" s="411"/>
      <c r="K1245" s="388"/>
      <c r="M1245" s="388"/>
    </row>
    <row r="1246" spans="1:13">
      <c r="A1246" s="408">
        <v>42727</v>
      </c>
      <c r="B1246" s="411">
        <v>2263.79</v>
      </c>
      <c r="C1246" s="418">
        <f t="shared" si="156"/>
        <v>1.2516807020026555E-3</v>
      </c>
      <c r="D1246" s="411">
        <v>49.89</v>
      </c>
      <c r="E1246" s="418">
        <f t="shared" si="157"/>
        <v>1.8072289156627619E-3</v>
      </c>
      <c r="F1246" s="411">
        <v>2263.79</v>
      </c>
      <c r="G1246" s="418">
        <f t="shared" si="158"/>
        <v>1.2516807020026555E-3</v>
      </c>
      <c r="H1246" s="411">
        <v>49.89</v>
      </c>
      <c r="I1246" s="418">
        <f t="shared" si="159"/>
        <v>1.8072289156627619E-3</v>
      </c>
      <c r="J1246" s="411"/>
      <c r="K1246" s="388"/>
      <c r="M1246" s="388"/>
    </row>
    <row r="1247" spans="1:13">
      <c r="A1247" s="408">
        <v>42726</v>
      </c>
      <c r="B1247" s="411">
        <v>2260.96</v>
      </c>
      <c r="C1247" s="418">
        <f t="shared" si="156"/>
        <v>-1.8629866059208799E-3</v>
      </c>
      <c r="D1247" s="411">
        <v>49.8</v>
      </c>
      <c r="E1247" s="418">
        <f t="shared" si="157"/>
        <v>-2.1995286724273422E-2</v>
      </c>
      <c r="F1247" s="411">
        <v>2260.96</v>
      </c>
      <c r="G1247" s="418">
        <f t="shared" si="158"/>
        <v>-1.8629866059208799E-3</v>
      </c>
      <c r="H1247" s="411">
        <v>49.8</v>
      </c>
      <c r="I1247" s="418">
        <f t="shared" si="159"/>
        <v>-2.1995286724273422E-2</v>
      </c>
      <c r="J1247" s="411"/>
      <c r="K1247" s="388"/>
      <c r="M1247" s="388"/>
    </row>
    <row r="1248" spans="1:13">
      <c r="A1248" s="408">
        <v>42725</v>
      </c>
      <c r="B1248" s="411">
        <v>2265.1799999999998</v>
      </c>
      <c r="C1248" s="418">
        <f t="shared" si="156"/>
        <v>-2.4573270623052812E-3</v>
      </c>
      <c r="D1248" s="411">
        <v>50.92</v>
      </c>
      <c r="E1248" s="418">
        <f t="shared" si="157"/>
        <v>3.1520882584712417E-3</v>
      </c>
      <c r="F1248" s="413">
        <v>2265.1799999999998</v>
      </c>
      <c r="G1248" s="420">
        <f t="shared" si="158"/>
        <v>-2.4573270623052812E-3</v>
      </c>
      <c r="H1248" s="413">
        <v>50.92</v>
      </c>
      <c r="I1248" s="420">
        <f t="shared" si="159"/>
        <v>3.1520882584712417E-3</v>
      </c>
      <c r="J1248" s="411"/>
      <c r="K1248" s="388"/>
      <c r="M1248" s="388"/>
    </row>
    <row r="1249" spans="1:9">
      <c r="A1249" s="408">
        <v>42724</v>
      </c>
      <c r="B1249" s="411">
        <v>2270.7600000000002</v>
      </c>
      <c r="C1249" s="418">
        <f t="shared" si="156"/>
        <v>3.6375208284531446E-3</v>
      </c>
      <c r="D1249" s="411">
        <v>50.76</v>
      </c>
      <c r="E1249" s="418">
        <f t="shared" si="157"/>
        <v>6.7433558111860137E-3</v>
      </c>
      <c r="F1249" s="411">
        <v>2270.7600000000002</v>
      </c>
      <c r="G1249" s="419">
        <f t="shared" si="158"/>
        <v>3.6375208284531446E-3</v>
      </c>
      <c r="H1249" s="415">
        <v>50.76</v>
      </c>
      <c r="I1249" s="419">
        <f t="shared" si="159"/>
        <v>6.7433558111860137E-3</v>
      </c>
    </row>
    <row r="1250" spans="1:9">
      <c r="A1250" s="408">
        <v>42723</v>
      </c>
      <c r="B1250" s="411">
        <v>2262.5300000000002</v>
      </c>
      <c r="C1250" s="418">
        <f t="shared" si="156"/>
        <v>1.975138060378967E-3</v>
      </c>
      <c r="D1250" s="411">
        <v>50.42</v>
      </c>
      <c r="E1250" s="418">
        <f t="shared" si="157"/>
        <v>5.1834130781500676E-3</v>
      </c>
      <c r="F1250" s="411">
        <v>2262.5300000000002</v>
      </c>
      <c r="G1250" s="388">
        <f t="shared" si="158"/>
        <v>1.975138060378967E-3</v>
      </c>
      <c r="H1250" s="3">
        <v>50.42</v>
      </c>
      <c r="I1250" s="388">
        <f t="shared" si="159"/>
        <v>5.1834130781500676E-3</v>
      </c>
    </row>
    <row r="1251" spans="1:9">
      <c r="A1251" s="408">
        <v>42720</v>
      </c>
      <c r="B1251" s="411">
        <v>2258.0700000000002</v>
      </c>
      <c r="C1251" s="418">
        <f t="shared" si="156"/>
        <v>-1.7506399119374683E-3</v>
      </c>
      <c r="D1251" s="411">
        <v>50.16</v>
      </c>
      <c r="E1251" s="418">
        <f t="shared" si="157"/>
        <v>-6.7326732673268497E-3</v>
      </c>
      <c r="F1251" s="411">
        <v>2258.0700000000002</v>
      </c>
      <c r="G1251" s="388">
        <f t="shared" si="158"/>
        <v>-1.7506399119374683E-3</v>
      </c>
      <c r="H1251" s="3">
        <v>50.16</v>
      </c>
      <c r="I1251" s="388">
        <f t="shared" si="159"/>
        <v>-6.7326732673268497E-3</v>
      </c>
    </row>
    <row r="1252" spans="1:9">
      <c r="A1252" s="408">
        <v>42719</v>
      </c>
      <c r="B1252" s="411">
        <v>2262.0300000000002</v>
      </c>
      <c r="C1252" s="418">
        <f t="shared" si="156"/>
        <v>3.8832280053966439E-3</v>
      </c>
      <c r="D1252" s="411">
        <v>50.5</v>
      </c>
      <c r="E1252" s="418">
        <f t="shared" si="157"/>
        <v>1.3649136892814218E-2</v>
      </c>
      <c r="F1252" s="411">
        <v>2262.0300000000002</v>
      </c>
      <c r="G1252" s="388">
        <f t="shared" si="158"/>
        <v>3.8832280053966439E-3</v>
      </c>
      <c r="H1252" s="3">
        <v>50.5</v>
      </c>
      <c r="I1252" s="388">
        <f t="shared" si="159"/>
        <v>1.3649136892814218E-2</v>
      </c>
    </row>
    <row r="1253" spans="1:9">
      <c r="A1253" s="408">
        <v>42718</v>
      </c>
      <c r="B1253" s="411">
        <v>2253.2800000000002</v>
      </c>
      <c r="C1253" s="418">
        <f t="shared" si="156"/>
        <v>-8.1171975419503939E-3</v>
      </c>
      <c r="D1253" s="411">
        <v>49.82</v>
      </c>
      <c r="E1253" s="418">
        <f t="shared" si="157"/>
        <v>3.2219089810714419E-3</v>
      </c>
      <c r="F1253" s="411">
        <v>2253.2800000000002</v>
      </c>
      <c r="G1253" s="388">
        <f t="shared" si="158"/>
        <v>-8.1171975419503939E-3</v>
      </c>
      <c r="H1253" s="3">
        <v>49.82</v>
      </c>
      <c r="I1253" s="388">
        <f t="shared" si="159"/>
        <v>3.2219089810714419E-3</v>
      </c>
    </row>
    <row r="1254" spans="1:9">
      <c r="A1254" s="408">
        <v>42717</v>
      </c>
      <c r="B1254" s="411">
        <v>2271.7199999999998</v>
      </c>
      <c r="C1254" s="418">
        <f t="shared" si="156"/>
        <v>6.5397703105061211E-3</v>
      </c>
      <c r="D1254" s="411">
        <v>49.66</v>
      </c>
      <c r="E1254" s="418">
        <f t="shared" si="157"/>
        <v>-6.2037222333400921E-3</v>
      </c>
      <c r="F1254" s="411">
        <v>2271.7199999999998</v>
      </c>
      <c r="G1254" s="388">
        <f t="shared" si="158"/>
        <v>6.5397703105061211E-3</v>
      </c>
      <c r="H1254" s="3">
        <v>49.66</v>
      </c>
      <c r="I1254" s="388">
        <f t="shared" si="159"/>
        <v>-6.2037222333400921E-3</v>
      </c>
    </row>
    <row r="1255" spans="1:9">
      <c r="A1255" s="408">
        <v>42716</v>
      </c>
      <c r="B1255" s="411">
        <v>2256.96</v>
      </c>
      <c r="C1255" s="418">
        <f t="shared" si="156"/>
        <v>-1.1374046815045835E-3</v>
      </c>
      <c r="D1255" s="411">
        <v>49.97</v>
      </c>
      <c r="E1255" s="418">
        <f t="shared" si="157"/>
        <v>-3.4955581305523453E-2</v>
      </c>
      <c r="F1255" s="411">
        <v>2256.96</v>
      </c>
      <c r="G1255" s="388">
        <f t="shared" si="158"/>
        <v>-1.1374046815045835E-3</v>
      </c>
      <c r="H1255" s="3">
        <v>49.97</v>
      </c>
      <c r="I1255" s="388">
        <f t="shared" si="159"/>
        <v>-3.4955581305523453E-2</v>
      </c>
    </row>
    <row r="1256" spans="1:9">
      <c r="A1256" s="408">
        <v>42713</v>
      </c>
      <c r="B1256" s="411">
        <v>2259.5300000000002</v>
      </c>
      <c r="C1256" s="418">
        <f t="shared" si="156"/>
        <v>5.9389455032745619E-3</v>
      </c>
      <c r="D1256" s="411">
        <v>51.78</v>
      </c>
      <c r="E1256" s="418">
        <f t="shared" si="157"/>
        <v>8.3739045764361641E-3</v>
      </c>
      <c r="F1256" s="411">
        <v>2259.5300000000002</v>
      </c>
      <c r="G1256" s="388">
        <f t="shared" si="158"/>
        <v>5.9389455032745619E-3</v>
      </c>
      <c r="H1256" s="3">
        <v>51.78</v>
      </c>
      <c r="I1256" s="388">
        <f t="shared" si="159"/>
        <v>8.3739045764361641E-3</v>
      </c>
    </row>
    <row r="1257" spans="1:9">
      <c r="A1257" s="408">
        <v>42712</v>
      </c>
      <c r="B1257" s="411">
        <v>2246.19</v>
      </c>
      <c r="C1257" s="418">
        <f t="shared" si="156"/>
        <v>2.159412853860454E-3</v>
      </c>
      <c r="D1257" s="411">
        <v>51.35</v>
      </c>
      <c r="E1257" s="418">
        <f t="shared" si="157"/>
        <v>4.8923679060666192E-3</v>
      </c>
      <c r="F1257" s="411">
        <v>2246.19</v>
      </c>
      <c r="G1257" s="388">
        <f t="shared" si="158"/>
        <v>2.159412853860454E-3</v>
      </c>
      <c r="H1257" s="3">
        <v>51.35</v>
      </c>
      <c r="I1257" s="388">
        <f t="shared" si="159"/>
        <v>4.8923679060666192E-3</v>
      </c>
    </row>
    <row r="1258" spans="1:9">
      <c r="A1258" s="408">
        <v>42711</v>
      </c>
      <c r="B1258" s="411">
        <v>2241.35</v>
      </c>
      <c r="C1258" s="418">
        <f t="shared" si="156"/>
        <v>1.3163188276083426E-2</v>
      </c>
      <c r="D1258" s="411">
        <v>51.1</v>
      </c>
      <c r="E1258" s="418">
        <f t="shared" si="157"/>
        <v>3.378515071818744E-2</v>
      </c>
      <c r="F1258" s="411">
        <v>2241.35</v>
      </c>
      <c r="G1258" s="388">
        <f t="shared" si="158"/>
        <v>1.3163188276083426E-2</v>
      </c>
      <c r="H1258" s="3">
        <v>51.1</v>
      </c>
      <c r="I1258" s="388">
        <f t="shared" si="159"/>
        <v>3.378515071818744E-2</v>
      </c>
    </row>
    <row r="1259" spans="1:9">
      <c r="A1259" s="408">
        <v>42710</v>
      </c>
      <c r="B1259" s="411">
        <v>2212.23</v>
      </c>
      <c r="C1259" s="418">
        <f t="shared" si="156"/>
        <v>3.4108794353906458E-3</v>
      </c>
      <c r="D1259" s="411">
        <v>49.43</v>
      </c>
      <c r="E1259" s="418">
        <f t="shared" si="157"/>
        <v>3.366792137181096E-2</v>
      </c>
      <c r="F1259" s="411">
        <v>2212.23</v>
      </c>
      <c r="G1259" s="388">
        <f t="shared" si="158"/>
        <v>3.4108794353906458E-3</v>
      </c>
      <c r="H1259" s="3">
        <v>49.43</v>
      </c>
      <c r="I1259" s="388">
        <f t="shared" si="159"/>
        <v>3.366792137181096E-2</v>
      </c>
    </row>
    <row r="1260" spans="1:9">
      <c r="A1260" s="408">
        <v>42709</v>
      </c>
      <c r="B1260" s="411">
        <v>2204.71</v>
      </c>
      <c r="C1260" s="418">
        <f t="shared" si="156"/>
        <v>5.8213006683547341E-3</v>
      </c>
      <c r="D1260" s="411">
        <v>47.82</v>
      </c>
      <c r="E1260" s="418">
        <f t="shared" si="157"/>
        <v>-1.0142827571931301E-2</v>
      </c>
      <c r="F1260" s="411">
        <v>2204.71</v>
      </c>
      <c r="G1260" s="388">
        <f t="shared" si="158"/>
        <v>5.8213006683547341E-3</v>
      </c>
      <c r="H1260" s="3">
        <v>47.82</v>
      </c>
      <c r="I1260" s="388">
        <f t="shared" si="159"/>
        <v>-1.0142827571931301E-2</v>
      </c>
    </row>
    <row r="1261" spans="1:9">
      <c r="A1261" s="408">
        <v>42706</v>
      </c>
      <c r="B1261" s="411">
        <v>2191.9499999999998</v>
      </c>
      <c r="C1261" s="418">
        <f t="shared" si="156"/>
        <v>3.9706446136156259E-4</v>
      </c>
      <c r="D1261" s="411">
        <v>48.31</v>
      </c>
      <c r="E1261" s="418">
        <f t="shared" si="157"/>
        <v>1.130416579443172E-2</v>
      </c>
      <c r="F1261" s="411">
        <v>2191.9499999999998</v>
      </c>
      <c r="G1261" s="388">
        <f t="shared" si="158"/>
        <v>3.9706446136156259E-4</v>
      </c>
      <c r="H1261" s="3">
        <v>48.31</v>
      </c>
      <c r="I1261" s="388">
        <f t="shared" si="159"/>
        <v>1.130416579443172E-2</v>
      </c>
    </row>
    <row r="1262" spans="1:9">
      <c r="A1262" s="408">
        <v>42705</v>
      </c>
      <c r="B1262" s="411">
        <v>2191.08</v>
      </c>
      <c r="C1262" s="418">
        <f t="shared" si="156"/>
        <v>-3.5155379500729778E-3</v>
      </c>
      <c r="D1262" s="411">
        <v>47.77</v>
      </c>
      <c r="E1262" s="418">
        <f t="shared" si="157"/>
        <v>-8.5097550850974368E-3</v>
      </c>
      <c r="F1262" s="411">
        <v>2191.08</v>
      </c>
      <c r="G1262" s="418">
        <f>IFERROR(F1262/F1263-1,"")</f>
        <v>-3.5155379500729778E-3</v>
      </c>
      <c r="H1262" s="3">
        <v>47.77</v>
      </c>
      <c r="I1262" s="418">
        <f>IFERROR(H1262/H1263-1,"")</f>
        <v>-8.5097550850974368E-3</v>
      </c>
    </row>
    <row r="1263" spans="1:9">
      <c r="A1263" s="408">
        <v>42704</v>
      </c>
      <c r="B1263" s="411">
        <v>2198.81</v>
      </c>
      <c r="C1263" s="418">
        <f t="shared" si="156"/>
        <v>-2.6534703763845258E-3</v>
      </c>
      <c r="D1263" s="411">
        <v>48.18</v>
      </c>
      <c r="E1263" s="418">
        <f t="shared" si="157"/>
        <v>-8.4379501955135217E-3</v>
      </c>
      <c r="F1263" s="411">
        <v>2198.81</v>
      </c>
      <c r="G1263" s="418">
        <f t="shared" ref="G1263" si="160">IFERROR(F1263/F1264-1,"")</f>
        <v>-2.6534703763845258E-3</v>
      </c>
      <c r="H1263" s="3">
        <v>48.18</v>
      </c>
      <c r="I1263" s="418">
        <f t="shared" ref="I1263" si="161">IFERROR(H1263/H1264-1,"")</f>
        <v>-8.4379501955135217E-3</v>
      </c>
    </row>
    <row r="1264" spans="1:9">
      <c r="A1264" s="408">
        <v>42703</v>
      </c>
      <c r="B1264" s="411">
        <v>2204.66</v>
      </c>
      <c r="C1264" s="418">
        <f t="shared" si="156"/>
        <v>1.33531965917566E-3</v>
      </c>
      <c r="D1264" s="411">
        <v>48.59</v>
      </c>
      <c r="E1264" s="418">
        <f t="shared" si="157"/>
        <v>2.0622808826562533E-3</v>
      </c>
      <c r="F1264" s="411">
        <v>2204.66</v>
      </c>
      <c r="G1264" s="418">
        <f t="shared" ref="G1264" si="162">IFERROR(F1264/F1265-1,"")</f>
        <v>1.33531965917566E-3</v>
      </c>
      <c r="H1264" s="3">
        <v>48.59</v>
      </c>
      <c r="I1264" s="418">
        <f t="shared" ref="I1264" si="163">IFERROR(H1264/H1265-1,"")</f>
        <v>2.0622808826562533E-3</v>
      </c>
    </row>
    <row r="1265" spans="1:9">
      <c r="A1265" s="408">
        <v>42702</v>
      </c>
      <c r="B1265" s="411">
        <v>2201.7199999999998</v>
      </c>
      <c r="C1265" s="418">
        <f t="shared" si="156"/>
        <v>-5.2544785054330356E-3</v>
      </c>
      <c r="D1265" s="411">
        <v>48.49</v>
      </c>
      <c r="E1265" s="418">
        <f t="shared" si="157"/>
        <v>-1.523151909017062E-2</v>
      </c>
      <c r="F1265" s="411">
        <v>2201.7199999999998</v>
      </c>
      <c r="G1265" s="418">
        <f t="shared" ref="G1265" si="164">IFERROR(F1265/F1266-1,"")</f>
        <v>-5.2544785054330356E-3</v>
      </c>
      <c r="H1265" s="3">
        <v>48.49</v>
      </c>
      <c r="I1265" s="418">
        <f t="shared" ref="I1265" si="165">IFERROR(H1265/H1266-1,"")</f>
        <v>-1.523151909017062E-2</v>
      </c>
    </row>
    <row r="1266" spans="1:9">
      <c r="A1266" s="408">
        <v>42699</v>
      </c>
      <c r="B1266" s="411">
        <v>2213.35</v>
      </c>
      <c r="C1266" s="418">
        <f t="shared" si="156"/>
        <v>3.9143292572298982E-3</v>
      </c>
      <c r="D1266" s="411">
        <v>49.24</v>
      </c>
      <c r="E1266" s="418">
        <f t="shared" si="157"/>
        <v>6.0963218857956747E-4</v>
      </c>
      <c r="F1266" s="411">
        <v>2213.35</v>
      </c>
      <c r="G1266" s="418">
        <f t="shared" ref="G1266" si="166">IFERROR(F1266/F1267-1,"")</f>
        <v>3.9143292572298982E-3</v>
      </c>
      <c r="H1266" s="3">
        <v>49.24</v>
      </c>
      <c r="I1266" s="418">
        <f t="shared" ref="I1266" si="167">IFERROR(H1266/H1267-1,"")</f>
        <v>6.0963218857956747E-4</v>
      </c>
    </row>
    <row r="1267" spans="1:9">
      <c r="A1267" s="408">
        <v>42697</v>
      </c>
      <c r="B1267" s="411">
        <v>2204.7199999999998</v>
      </c>
      <c r="C1267" s="418">
        <f t="shared" si="156"/>
        <v>8.080111124224576E-4</v>
      </c>
      <c r="D1267" s="411">
        <v>49.21</v>
      </c>
      <c r="E1267" s="418">
        <f t="shared" si="157"/>
        <v>6.3394683026585241E-3</v>
      </c>
      <c r="F1267" s="411">
        <v>2204.7199999999998</v>
      </c>
      <c r="G1267" s="418" t="str">
        <f t="shared" ref="G1267" si="168">IFERROR(F1267/F1268-1,"")</f>
        <v/>
      </c>
      <c r="H1267" s="3">
        <v>49.21</v>
      </c>
      <c r="I1267" s="418" t="str">
        <f t="shared" ref="I1267" si="169">IFERROR(H1267/H1268-1,"")</f>
        <v/>
      </c>
    </row>
    <row r="1268" spans="1:9">
      <c r="A1268" s="408">
        <v>42696</v>
      </c>
      <c r="B1268" s="411">
        <v>2202.94</v>
      </c>
      <c r="C1268" s="418">
        <f t="shared" si="156"/>
        <v>2.1654277629676866E-3</v>
      </c>
      <c r="D1268" s="411">
        <v>48.9</v>
      </c>
      <c r="E1268" s="418">
        <f t="shared" si="157"/>
        <v>5.9658506480146922E-3</v>
      </c>
      <c r="F1268" s="411"/>
      <c r="G1268" s="418" t="str">
        <f t="shared" ref="G1268" si="170">IFERROR(F1268/F1269-1,"")</f>
        <v/>
      </c>
      <c r="I1268" s="418" t="str">
        <f t="shared" ref="I1268" si="171">IFERROR(H1268/H1269-1,"")</f>
        <v/>
      </c>
    </row>
    <row r="1269" spans="1:9">
      <c r="A1269" s="408">
        <v>42695</v>
      </c>
      <c r="B1269" s="411">
        <v>2198.1799999999998</v>
      </c>
      <c r="C1269" s="418">
        <f t="shared" si="156"/>
        <v>7.4613868646591364E-3</v>
      </c>
      <c r="D1269" s="411">
        <v>48.61</v>
      </c>
      <c r="E1269" s="418">
        <f t="shared" si="157"/>
        <v>-5.9304703476482645E-3</v>
      </c>
      <c r="F1269" s="411"/>
      <c r="G1269" s="418" t="str">
        <f t="shared" ref="G1269" si="172">IFERROR(F1269/F1270-1,"")</f>
        <v/>
      </c>
      <c r="I1269" s="418" t="str">
        <f t="shared" ref="I1269" si="173">IFERROR(H1269/H1270-1,"")</f>
        <v/>
      </c>
    </row>
    <row r="1270" spans="1:9">
      <c r="A1270" s="408">
        <v>42692</v>
      </c>
      <c r="B1270" s="411">
        <v>2181.9</v>
      </c>
      <c r="C1270" s="418">
        <f t="shared" si="156"/>
        <v>-2.3867003182266311E-3</v>
      </c>
      <c r="D1270" s="411">
        <v>48.9</v>
      </c>
      <c r="E1270" s="418">
        <f t="shared" si="157"/>
        <v>8.0395794681509258E-3</v>
      </c>
      <c r="F1270" s="411"/>
      <c r="G1270" s="418" t="str">
        <f t="shared" ref="G1270" si="174">IFERROR(F1270/F1271-1,"")</f>
        <v/>
      </c>
      <c r="I1270" s="418" t="str">
        <f t="shared" ref="I1270" si="175">IFERROR(H1270/H1271-1,"")</f>
        <v/>
      </c>
    </row>
    <row r="1271" spans="1:9">
      <c r="A1271" s="408">
        <v>42691</v>
      </c>
      <c r="B1271" s="411">
        <v>2187.12</v>
      </c>
      <c r="C1271" s="418">
        <f t="shared" si="156"/>
        <v>4.6762887355644711E-3</v>
      </c>
      <c r="D1271" s="411">
        <v>48.51</v>
      </c>
      <c r="E1271" s="418">
        <f t="shared" si="157"/>
        <v>2.3849725622625551E-2</v>
      </c>
      <c r="F1271" s="411"/>
      <c r="G1271" s="418" t="str">
        <f t="shared" ref="G1271" si="176">IFERROR(F1271/F1272-1,"")</f>
        <v/>
      </c>
      <c r="I1271" s="418" t="str">
        <f t="shared" ref="I1271" si="177">IFERROR(H1271/H1272-1,"")</f>
        <v/>
      </c>
    </row>
    <row r="1272" spans="1:9">
      <c r="A1272" s="408">
        <v>42690</v>
      </c>
      <c r="B1272" s="411">
        <v>2176.94</v>
      </c>
      <c r="C1272" s="418">
        <f t="shared" si="156"/>
        <v>-1.5822857378724464E-3</v>
      </c>
      <c r="D1272" s="411">
        <v>47.38</v>
      </c>
      <c r="E1272" s="418">
        <f t="shared" si="157"/>
        <v>-5.6663168940187525E-3</v>
      </c>
      <c r="F1272" s="411"/>
      <c r="G1272" s="418" t="str">
        <f t="shared" ref="G1272" si="178">IFERROR(F1272/F1273-1,"")</f>
        <v/>
      </c>
      <c r="I1272" s="418" t="str">
        <f t="shared" ref="I1272" si="179">IFERROR(H1272/H1273-1,"")</f>
        <v/>
      </c>
    </row>
    <row r="1273" spans="1:9">
      <c r="A1273" s="408">
        <v>42689</v>
      </c>
      <c r="B1273" s="411">
        <v>2180.39</v>
      </c>
      <c r="C1273" s="418">
        <f t="shared" si="156"/>
        <v>7.4808243230755078E-3</v>
      </c>
      <c r="D1273" s="411">
        <v>47.65</v>
      </c>
      <c r="E1273" s="418">
        <f t="shared" si="157"/>
        <v>3.7918685485569537E-3</v>
      </c>
      <c r="F1273" s="411"/>
      <c r="G1273" s="418" t="str">
        <f t="shared" ref="G1273" si="180">IFERROR(F1273/F1274-1,"")</f>
        <v/>
      </c>
      <c r="I1273" s="418" t="str">
        <f t="shared" ref="I1273" si="181">IFERROR(H1273/H1274-1,"")</f>
        <v/>
      </c>
    </row>
    <row r="1274" spans="1:9">
      <c r="A1274" s="408">
        <v>42688</v>
      </c>
      <c r="B1274" s="411">
        <v>2164.1999999999998</v>
      </c>
      <c r="C1274" s="418">
        <f t="shared" si="156"/>
        <v>-1.1550278361704969E-4</v>
      </c>
      <c r="D1274" s="411">
        <v>47.47</v>
      </c>
      <c r="E1274" s="418">
        <f t="shared" si="157"/>
        <v>2.3501509271237619E-2</v>
      </c>
      <c r="F1274" s="411"/>
      <c r="G1274" s="418" t="str">
        <f t="shared" ref="G1274" si="182">IFERROR(F1274/F1275-1,"")</f>
        <v/>
      </c>
      <c r="I1274" s="418" t="str">
        <f t="shared" ref="I1274" si="183">IFERROR(H1274/H1275-1,"")</f>
        <v/>
      </c>
    </row>
    <row r="1275" spans="1:9">
      <c r="A1275" s="408">
        <v>42685</v>
      </c>
      <c r="B1275" s="411">
        <v>2164.4499999999998</v>
      </c>
      <c r="C1275" s="418">
        <f t="shared" si="156"/>
        <v>-1.3979367745031723E-3</v>
      </c>
      <c r="D1275" s="411">
        <v>46.38</v>
      </c>
      <c r="E1275" s="418">
        <f t="shared" si="157"/>
        <v>9.3579978237214867E-3</v>
      </c>
      <c r="F1275" s="411"/>
      <c r="G1275" s="388"/>
      <c r="I1275" s="388"/>
    </row>
    <row r="1276" spans="1:9">
      <c r="A1276" s="408">
        <v>42684</v>
      </c>
      <c r="B1276" s="411">
        <v>2167.48</v>
      </c>
      <c r="C1276" s="418">
        <f t="shared" si="156"/>
        <v>1.9507595018628532E-3</v>
      </c>
      <c r="D1276" s="411">
        <v>45.95</v>
      </c>
      <c r="E1276" s="418">
        <f t="shared" si="157"/>
        <v>1.5469613259668558E-2</v>
      </c>
      <c r="F1276" s="411"/>
      <c r="G1276" s="388"/>
      <c r="I1276" s="388"/>
    </row>
    <row r="1277" spans="1:9">
      <c r="A1277" s="408">
        <v>42683</v>
      </c>
      <c r="B1277" s="411">
        <v>2163.2600000000002</v>
      </c>
      <c r="C1277" s="418">
        <f t="shared" si="156"/>
        <v>1.1077043878180648E-2</v>
      </c>
      <c r="D1277" s="411">
        <v>45.25</v>
      </c>
      <c r="E1277" s="418">
        <f t="shared" si="157"/>
        <v>1.6168874915787113E-2</v>
      </c>
      <c r="F1277" s="411"/>
      <c r="G1277" s="388"/>
      <c r="I1277" s="388"/>
    </row>
    <row r="1278" spans="1:9">
      <c r="A1278" s="408">
        <v>42682</v>
      </c>
      <c r="B1278" s="411">
        <v>2139.56</v>
      </c>
      <c r="C1278" s="418">
        <f t="shared" si="156"/>
        <v>3.771956162738288E-3</v>
      </c>
      <c r="D1278" s="411">
        <v>44.53</v>
      </c>
      <c r="E1278" s="418">
        <f t="shared" si="157"/>
        <v>7.2381814069215622E-3</v>
      </c>
      <c r="F1278" s="411"/>
      <c r="G1278" s="388"/>
      <c r="I1278" s="388"/>
    </row>
    <row r="1279" spans="1:9">
      <c r="A1279" s="408">
        <v>42681</v>
      </c>
      <c r="B1279" s="411">
        <v>2131.52</v>
      </c>
      <c r="C1279" s="418">
        <f t="shared" si="156"/>
        <v>2.2223501088635134E-2</v>
      </c>
      <c r="D1279" s="411">
        <v>44.21</v>
      </c>
      <c r="E1279" s="418">
        <f t="shared" si="157"/>
        <v>3.101679104477606E-2</v>
      </c>
      <c r="F1279" s="411"/>
      <c r="G1279" s="388"/>
      <c r="I1279" s="388"/>
    </row>
    <row r="1280" spans="1:9">
      <c r="A1280" s="408">
        <v>42678</v>
      </c>
      <c r="B1280" s="411">
        <v>2085.1799999999998</v>
      </c>
      <c r="C1280" s="418">
        <f t="shared" si="156"/>
        <v>-1.6661400132141901E-3</v>
      </c>
      <c r="D1280" s="411">
        <v>42.88</v>
      </c>
      <c r="E1280" s="418">
        <f t="shared" si="157"/>
        <v>2.2900763358778553E-2</v>
      </c>
      <c r="F1280" s="411"/>
      <c r="G1280" s="388"/>
      <c r="I1280" s="388"/>
    </row>
    <row r="1281" spans="1:9">
      <c r="A1281" s="408">
        <v>42677</v>
      </c>
      <c r="B1281" s="411">
        <v>2088.66</v>
      </c>
      <c r="C1281" s="418">
        <f t="shared" si="156"/>
        <v>-4.4233867508127744E-3</v>
      </c>
      <c r="D1281" s="411">
        <v>41.92</v>
      </c>
      <c r="E1281" s="418">
        <f t="shared" si="157"/>
        <v>-2.3849272597176174E-4</v>
      </c>
      <c r="F1281" s="411"/>
      <c r="G1281" s="388"/>
      <c r="I1281" s="388"/>
    </row>
    <row r="1282" spans="1:9">
      <c r="A1282" s="408">
        <v>42676</v>
      </c>
      <c r="B1282" s="411">
        <v>2097.94</v>
      </c>
      <c r="C1282" s="418">
        <f t="shared" si="156"/>
        <v>-6.5254863334153201E-3</v>
      </c>
      <c r="D1282" s="411">
        <v>41.93</v>
      </c>
      <c r="E1282" s="418">
        <f t="shared" si="157"/>
        <v>1.1938872970391756E-3</v>
      </c>
      <c r="F1282" s="411"/>
      <c r="G1282" s="388"/>
      <c r="I1282" s="388"/>
    </row>
    <row r="1283" spans="1:9">
      <c r="A1283" s="408">
        <v>42675</v>
      </c>
      <c r="B1283" s="411">
        <v>2111.7199999999998</v>
      </c>
      <c r="C1283" s="418">
        <f t="shared" si="156"/>
        <v>-6.7869153164171747E-3</v>
      </c>
      <c r="D1283" s="411">
        <v>41.88</v>
      </c>
      <c r="E1283" s="418">
        <f t="shared" si="157"/>
        <v>2.6334689968876557E-3</v>
      </c>
      <c r="F1283" s="411"/>
      <c r="G1283" s="388"/>
      <c r="I1283" s="388"/>
    </row>
    <row r="1284" spans="1:9">
      <c r="A1284" s="408">
        <v>42674</v>
      </c>
      <c r="B1284" s="411">
        <v>2126.15</v>
      </c>
      <c r="C1284" s="418">
        <f t="shared" si="156"/>
        <v>-1.2227181023405365E-4</v>
      </c>
      <c r="D1284" s="411">
        <v>41.77</v>
      </c>
      <c r="E1284" s="418">
        <f t="shared" si="157"/>
        <v>1.0401548137397132E-2</v>
      </c>
      <c r="F1284" s="411"/>
      <c r="G1284" s="388"/>
      <c r="I1284" s="388"/>
    </row>
    <row r="1285" spans="1:9">
      <c r="A1285" s="408">
        <v>42671</v>
      </c>
      <c r="B1285" s="411">
        <v>2126.41</v>
      </c>
      <c r="C1285" s="418">
        <f t="shared" si="156"/>
        <v>-3.1082398829839208E-3</v>
      </c>
      <c r="D1285" s="411">
        <v>41.34</v>
      </c>
      <c r="E1285" s="418">
        <f t="shared" si="157"/>
        <v>-3.1347962382444194E-3</v>
      </c>
      <c r="F1285" s="411"/>
      <c r="G1285" s="388"/>
      <c r="I1285" s="388"/>
    </row>
    <row r="1286" spans="1:9">
      <c r="A1286" s="408">
        <v>42670</v>
      </c>
      <c r="B1286" s="411">
        <v>2133.04</v>
      </c>
      <c r="C1286" s="418">
        <f t="shared" si="156"/>
        <v>-2.9867768517781723E-3</v>
      </c>
      <c r="D1286" s="411">
        <v>41.47</v>
      </c>
      <c r="E1286" s="418">
        <f t="shared" si="157"/>
        <v>1.6908212560386993E-3</v>
      </c>
      <c r="F1286" s="411"/>
      <c r="G1286" s="388"/>
      <c r="I1286" s="388"/>
    </row>
    <row r="1287" spans="1:9">
      <c r="A1287" s="408">
        <v>42669</v>
      </c>
      <c r="B1287" s="411">
        <v>2139.4299999999998</v>
      </c>
      <c r="C1287" s="418">
        <f t="shared" si="156"/>
        <v>-1.7404206872095873E-3</v>
      </c>
      <c r="D1287" s="411">
        <v>41.4</v>
      </c>
      <c r="E1287" s="418">
        <f t="shared" si="157"/>
        <v>4.6105314244115903E-3</v>
      </c>
      <c r="F1287" s="411"/>
      <c r="G1287" s="388"/>
      <c r="I1287" s="388"/>
    </row>
    <row r="1288" spans="1:9">
      <c r="A1288" s="408">
        <v>42668</v>
      </c>
      <c r="B1288" s="411">
        <v>2143.16</v>
      </c>
      <c r="C1288" s="418">
        <f t="shared" ref="C1288:C1351" si="184">B1288/B1289-1</f>
        <v>-3.7976507555791406E-3</v>
      </c>
      <c r="D1288" s="411">
        <v>41.21</v>
      </c>
      <c r="E1288" s="418">
        <f t="shared" ref="E1288:E1351" si="185">D1288/D1289-1</f>
        <v>-3.8675368624606632E-3</v>
      </c>
      <c r="F1288" s="411"/>
      <c r="G1288" s="388"/>
      <c r="I1288" s="388"/>
    </row>
    <row r="1289" spans="1:9">
      <c r="A1289" s="408">
        <v>42667</v>
      </c>
      <c r="B1289" s="411">
        <v>2151.33</v>
      </c>
      <c r="C1289" s="418">
        <f t="shared" si="184"/>
        <v>4.7497618113545581E-3</v>
      </c>
      <c r="D1289" s="411">
        <v>41.37</v>
      </c>
      <c r="E1289" s="418">
        <f t="shared" si="185"/>
        <v>4.8579062424094488E-3</v>
      </c>
      <c r="F1289" s="411"/>
      <c r="G1289" s="388"/>
      <c r="I1289" s="388"/>
    </row>
    <row r="1290" spans="1:9">
      <c r="A1290" s="408">
        <v>42664</v>
      </c>
      <c r="B1290" s="411">
        <v>2141.16</v>
      </c>
      <c r="C1290" s="418">
        <f t="shared" si="184"/>
        <v>-8.4059514136147762E-5</v>
      </c>
      <c r="D1290" s="411">
        <v>41.17</v>
      </c>
      <c r="E1290" s="418">
        <f t="shared" si="185"/>
        <v>-6.9946936806560833E-3</v>
      </c>
      <c r="F1290" s="411"/>
      <c r="G1290" s="388"/>
      <c r="I1290" s="388"/>
    </row>
    <row r="1291" spans="1:9">
      <c r="A1291" s="408">
        <v>42663</v>
      </c>
      <c r="B1291" s="411">
        <v>2141.34</v>
      </c>
      <c r="C1291" s="418">
        <f t="shared" si="184"/>
        <v>-1.3757467506726462E-3</v>
      </c>
      <c r="D1291" s="411">
        <v>41.46</v>
      </c>
      <c r="E1291" s="418">
        <f t="shared" si="185"/>
        <v>1.3691931540342317E-2</v>
      </c>
      <c r="F1291" s="411"/>
      <c r="G1291" s="388"/>
      <c r="I1291" s="388"/>
    </row>
    <row r="1292" spans="1:9">
      <c r="A1292" s="408">
        <v>42662</v>
      </c>
      <c r="B1292" s="411">
        <v>2144.29</v>
      </c>
      <c r="C1292" s="418">
        <f t="shared" si="184"/>
        <v>2.1919985043934442E-3</v>
      </c>
      <c r="D1292" s="411">
        <v>40.9</v>
      </c>
      <c r="E1292" s="418">
        <f t="shared" si="185"/>
        <v>3.6492650785605596E-2</v>
      </c>
      <c r="F1292" s="411"/>
      <c r="G1292" s="388"/>
      <c r="I1292" s="388"/>
    </row>
    <row r="1293" spans="1:9">
      <c r="A1293" s="408">
        <v>42661</v>
      </c>
      <c r="B1293" s="411">
        <v>2139.6</v>
      </c>
      <c r="C1293" s="418">
        <f t="shared" si="184"/>
        <v>6.1603573947801582E-3</v>
      </c>
      <c r="D1293" s="411">
        <v>39.46</v>
      </c>
      <c r="E1293" s="418">
        <f t="shared" si="185"/>
        <v>2.7954256670901234E-3</v>
      </c>
      <c r="F1293" s="411"/>
      <c r="G1293" s="388"/>
      <c r="I1293" s="388"/>
    </row>
    <row r="1294" spans="1:9">
      <c r="A1294" s="408">
        <v>42660</v>
      </c>
      <c r="B1294" s="411">
        <v>2126.5</v>
      </c>
      <c r="C1294" s="418">
        <f t="shared" si="184"/>
        <v>-3.0380031692749387E-3</v>
      </c>
      <c r="D1294" s="411">
        <v>39.35</v>
      </c>
      <c r="E1294" s="418">
        <f t="shared" si="185"/>
        <v>-1.7232767232767121E-2</v>
      </c>
      <c r="F1294" s="411"/>
      <c r="G1294" s="388"/>
      <c r="I1294" s="388"/>
    </row>
    <row r="1295" spans="1:9">
      <c r="A1295" s="408">
        <v>42657</v>
      </c>
      <c r="B1295" s="411">
        <v>2132.98</v>
      </c>
      <c r="C1295" s="418">
        <f t="shared" si="184"/>
        <v>2.0163653841631657E-4</v>
      </c>
      <c r="D1295" s="411">
        <v>40.04</v>
      </c>
      <c r="E1295" s="418">
        <f t="shared" si="185"/>
        <v>7.4981254686323773E-4</v>
      </c>
      <c r="F1295" s="411"/>
      <c r="G1295" s="388"/>
      <c r="I1295" s="388"/>
    </row>
    <row r="1296" spans="1:9">
      <c r="A1296" s="408">
        <v>42656</v>
      </c>
      <c r="B1296" s="411">
        <v>2132.5500000000002</v>
      </c>
      <c r="C1296" s="418">
        <f t="shared" si="184"/>
        <v>-3.0993184304264343E-3</v>
      </c>
      <c r="D1296" s="411">
        <v>40.01</v>
      </c>
      <c r="E1296" s="418">
        <f t="shared" si="185"/>
        <v>1.8843901196842205E-2</v>
      </c>
      <c r="F1296" s="411"/>
      <c r="G1296" s="388"/>
      <c r="I1296" s="388"/>
    </row>
    <row r="1297" spans="1:9">
      <c r="A1297" s="408">
        <v>42655</v>
      </c>
      <c r="B1297" s="411">
        <v>2139.1799999999998</v>
      </c>
      <c r="C1297" s="418">
        <f t="shared" si="184"/>
        <v>1.1466118788989732E-3</v>
      </c>
      <c r="D1297" s="411">
        <v>39.270000000000003</v>
      </c>
      <c r="E1297" s="418">
        <f t="shared" si="185"/>
        <v>8.4745762711866401E-3</v>
      </c>
      <c r="F1297" s="411"/>
      <c r="G1297" s="388"/>
      <c r="I1297" s="388"/>
    </row>
    <row r="1298" spans="1:9">
      <c r="A1298" s="408">
        <v>42654</v>
      </c>
      <c r="B1298" s="411">
        <v>2136.73</v>
      </c>
      <c r="C1298" s="418">
        <f t="shared" si="184"/>
        <v>-1.2446502685264704E-2</v>
      </c>
      <c r="D1298" s="411">
        <v>38.94</v>
      </c>
      <c r="E1298" s="418">
        <f t="shared" si="185"/>
        <v>-2.0870002514458252E-2</v>
      </c>
      <c r="F1298" s="411"/>
      <c r="G1298" s="388"/>
      <c r="I1298" s="388"/>
    </row>
    <row r="1299" spans="1:9">
      <c r="A1299" s="408">
        <v>42653</v>
      </c>
      <c r="B1299" s="411">
        <v>2163.66</v>
      </c>
      <c r="C1299" s="418">
        <f t="shared" si="184"/>
        <v>4.605941292820992E-3</v>
      </c>
      <c r="D1299" s="411">
        <v>39.770000000000003</v>
      </c>
      <c r="E1299" s="418">
        <f t="shared" si="185"/>
        <v>2.1052631578947434E-2</v>
      </c>
      <c r="F1299" s="411"/>
      <c r="G1299" s="388"/>
      <c r="I1299" s="388"/>
    </row>
    <row r="1300" spans="1:9">
      <c r="A1300" s="408">
        <v>42650</v>
      </c>
      <c r="B1300" s="411">
        <v>2153.7399999999998</v>
      </c>
      <c r="C1300" s="418">
        <f t="shared" si="184"/>
        <v>-3.2534698278855467E-3</v>
      </c>
      <c r="D1300" s="411">
        <v>38.950000000000003</v>
      </c>
      <c r="E1300" s="418">
        <f t="shared" si="185"/>
        <v>-2.4787180771156603E-2</v>
      </c>
      <c r="F1300" s="411"/>
      <c r="G1300" s="388"/>
      <c r="I1300" s="388"/>
    </row>
    <row r="1301" spans="1:9">
      <c r="A1301" s="408">
        <v>42649</v>
      </c>
      <c r="B1301" s="411">
        <v>2160.77</v>
      </c>
      <c r="C1301" s="418">
        <f t="shared" si="184"/>
        <v>4.8154167419078853E-4</v>
      </c>
      <c r="D1301" s="411">
        <v>39.94</v>
      </c>
      <c r="E1301" s="418">
        <f t="shared" si="185"/>
        <v>-9.4246031746032521E-3</v>
      </c>
      <c r="F1301" s="411"/>
      <c r="G1301" s="388"/>
      <c r="I1301" s="388"/>
    </row>
    <row r="1302" spans="1:9">
      <c r="A1302" s="408">
        <v>42648</v>
      </c>
      <c r="B1302" s="411">
        <v>2159.73</v>
      </c>
      <c r="C1302" s="418">
        <f t="shared" si="184"/>
        <v>4.2966951717982038E-3</v>
      </c>
      <c r="D1302" s="411">
        <v>40.32</v>
      </c>
      <c r="E1302" s="418">
        <f t="shared" si="185"/>
        <v>4.2341220423411929E-3</v>
      </c>
      <c r="F1302" s="411"/>
      <c r="G1302" s="388"/>
      <c r="I1302" s="388"/>
    </row>
    <row r="1303" spans="1:9">
      <c r="A1303" s="408">
        <v>42647</v>
      </c>
      <c r="B1303" s="411">
        <v>2150.4899999999998</v>
      </c>
      <c r="C1303" s="418">
        <f t="shared" si="184"/>
        <v>-4.9555802332037491E-3</v>
      </c>
      <c r="D1303" s="411">
        <v>40.15</v>
      </c>
      <c r="E1303" s="418">
        <f t="shared" si="185"/>
        <v>4.2521260630314917E-3</v>
      </c>
      <c r="F1303" s="411"/>
      <c r="G1303" s="388"/>
      <c r="I1303" s="388"/>
    </row>
    <row r="1304" spans="1:9">
      <c r="A1304" s="408">
        <v>42646</v>
      </c>
      <c r="B1304" s="411">
        <v>2161.1999999999998</v>
      </c>
      <c r="C1304" s="418">
        <f t="shared" si="184"/>
        <v>-3.2606640316935609E-3</v>
      </c>
      <c r="D1304" s="411">
        <v>39.979999999999997</v>
      </c>
      <c r="E1304" s="418">
        <f t="shared" si="185"/>
        <v>1.5752032520325088E-2</v>
      </c>
      <c r="F1304" s="411"/>
      <c r="G1304" s="388"/>
      <c r="I1304" s="388"/>
    </row>
    <row r="1305" spans="1:9">
      <c r="A1305" s="408">
        <v>42643</v>
      </c>
      <c r="B1305" s="411">
        <v>2168.27</v>
      </c>
      <c r="C1305" s="418">
        <f t="shared" si="184"/>
        <v>7.9679052405015049E-3</v>
      </c>
      <c r="D1305" s="411">
        <v>39.36</v>
      </c>
      <c r="E1305" s="418">
        <f t="shared" si="185"/>
        <v>8.4550345887777212E-3</v>
      </c>
      <c r="F1305" s="411"/>
      <c r="G1305" s="388"/>
      <c r="I1305" s="388"/>
    </row>
    <row r="1306" spans="1:9">
      <c r="A1306" s="408">
        <v>42642</v>
      </c>
      <c r="B1306" s="411">
        <v>2151.13</v>
      </c>
      <c r="C1306" s="418">
        <f t="shared" si="184"/>
        <v>-9.3213040614910092E-3</v>
      </c>
      <c r="D1306" s="411">
        <v>39.03</v>
      </c>
      <c r="E1306" s="418">
        <f t="shared" si="185"/>
        <v>-5.0981391791994346E-3</v>
      </c>
      <c r="F1306" s="411"/>
      <c r="G1306" s="388"/>
      <c r="I1306" s="388"/>
    </row>
    <row r="1307" spans="1:9">
      <c r="A1307" s="408">
        <v>42641</v>
      </c>
      <c r="B1307" s="411">
        <v>2171.37</v>
      </c>
      <c r="C1307" s="418">
        <f t="shared" si="184"/>
        <v>5.2964679410907323E-3</v>
      </c>
      <c r="D1307" s="411">
        <v>39.229999999999997</v>
      </c>
      <c r="E1307" s="418">
        <f t="shared" si="185"/>
        <v>5.1007396072422218E-4</v>
      </c>
      <c r="F1307" s="411"/>
      <c r="G1307" s="388"/>
      <c r="I1307" s="388"/>
    </row>
    <row r="1308" spans="1:9">
      <c r="A1308" s="408">
        <v>42640</v>
      </c>
      <c r="B1308" s="411">
        <v>2159.9299999999998</v>
      </c>
      <c r="C1308" s="418">
        <f t="shared" si="184"/>
        <v>6.4442477051396274E-3</v>
      </c>
      <c r="D1308" s="411">
        <v>39.21</v>
      </c>
      <c r="E1308" s="418">
        <f t="shared" si="185"/>
        <v>3.0757097791798138E-2</v>
      </c>
      <c r="F1308" s="411"/>
      <c r="G1308" s="388"/>
      <c r="I1308" s="388"/>
    </row>
    <row r="1309" spans="1:9">
      <c r="A1309" s="408">
        <v>42639</v>
      </c>
      <c r="B1309" s="411">
        <v>2146.1</v>
      </c>
      <c r="C1309" s="418">
        <f t="shared" si="184"/>
        <v>-8.58783474770064E-3</v>
      </c>
      <c r="D1309" s="411">
        <v>38.04</v>
      </c>
      <c r="E1309" s="418">
        <f t="shared" si="185"/>
        <v>-1.9082001031459517E-2</v>
      </c>
      <c r="F1309" s="411"/>
      <c r="G1309" s="388"/>
      <c r="I1309" s="388"/>
    </row>
    <row r="1310" spans="1:9">
      <c r="A1310" s="408">
        <v>42636</v>
      </c>
      <c r="B1310" s="411">
        <v>2164.69</v>
      </c>
      <c r="C1310" s="418">
        <f t="shared" si="184"/>
        <v>-5.7367787688660243E-3</v>
      </c>
      <c r="D1310" s="411">
        <v>38.78</v>
      </c>
      <c r="E1310" s="418">
        <f t="shared" si="185"/>
        <v>7.2727272727273196E-3</v>
      </c>
      <c r="F1310" s="411"/>
      <c r="G1310" s="388"/>
      <c r="I1310" s="388"/>
    </row>
    <row r="1311" spans="1:9">
      <c r="A1311" s="408">
        <v>42635</v>
      </c>
      <c r="B1311" s="411">
        <v>2177.1799999999998</v>
      </c>
      <c r="C1311" s="418">
        <f t="shared" si="184"/>
        <v>6.4998705573431348E-3</v>
      </c>
      <c r="D1311" s="411">
        <v>38.5</v>
      </c>
      <c r="E1311" s="418">
        <f t="shared" si="185"/>
        <v>1.1826544021025009E-2</v>
      </c>
      <c r="F1311" s="411"/>
      <c r="G1311" s="388"/>
      <c r="I1311" s="388"/>
    </row>
    <row r="1312" spans="1:9">
      <c r="A1312" s="408">
        <v>42634</v>
      </c>
      <c r="B1312" s="411">
        <v>2163.12</v>
      </c>
      <c r="C1312" s="418">
        <f t="shared" si="184"/>
        <v>1.0917112199498868E-2</v>
      </c>
      <c r="D1312" s="411">
        <v>38.049999999999997</v>
      </c>
      <c r="E1312" s="418">
        <f t="shared" si="185"/>
        <v>1.1161307467446147E-2</v>
      </c>
      <c r="F1312" s="411"/>
      <c r="G1312" s="388"/>
      <c r="I1312" s="388"/>
    </row>
    <row r="1313" spans="1:9">
      <c r="A1313" s="408">
        <v>42633</v>
      </c>
      <c r="B1313" s="411">
        <v>2139.7600000000002</v>
      </c>
      <c r="C1313" s="418">
        <f t="shared" si="184"/>
        <v>2.9918845132592686E-4</v>
      </c>
      <c r="D1313" s="411">
        <v>37.630000000000003</v>
      </c>
      <c r="E1313" s="418">
        <f t="shared" si="185"/>
        <v>1.5970188980569677E-3</v>
      </c>
      <c r="F1313" s="411"/>
      <c r="G1313" s="388"/>
      <c r="I1313" s="388"/>
    </row>
    <row r="1314" spans="1:9">
      <c r="A1314" s="408">
        <v>42632</v>
      </c>
      <c r="B1314" s="411">
        <v>2139.12</v>
      </c>
      <c r="C1314" s="418">
        <f t="shared" si="184"/>
        <v>-1.8698928551330596E-5</v>
      </c>
      <c r="D1314" s="411">
        <v>37.57</v>
      </c>
      <c r="E1314" s="418">
        <f t="shared" si="185"/>
        <v>2.1756867011150316E-2</v>
      </c>
      <c r="F1314" s="411"/>
      <c r="G1314" s="388"/>
      <c r="I1314" s="388"/>
    </row>
    <row r="1315" spans="1:9">
      <c r="A1315" s="408">
        <v>42629</v>
      </c>
      <c r="B1315" s="411">
        <v>2139.16</v>
      </c>
      <c r="C1315" s="418">
        <f t="shared" si="184"/>
        <v>-3.7722492851356426E-3</v>
      </c>
      <c r="D1315" s="411">
        <v>36.770000000000003</v>
      </c>
      <c r="E1315" s="418">
        <f t="shared" si="185"/>
        <v>-1.394475730758904E-2</v>
      </c>
      <c r="F1315" s="411"/>
      <c r="G1315" s="388"/>
      <c r="I1315" s="388"/>
    </row>
    <row r="1316" spans="1:9">
      <c r="A1316" s="408">
        <v>42628</v>
      </c>
      <c r="B1316" s="411">
        <v>2147.2600000000002</v>
      </c>
      <c r="C1316" s="418">
        <f t="shared" si="184"/>
        <v>1.010927804983619E-2</v>
      </c>
      <c r="D1316" s="411">
        <v>37.29</v>
      </c>
      <c r="E1316" s="418">
        <f t="shared" si="185"/>
        <v>4.579741379310498E-3</v>
      </c>
      <c r="F1316" s="411"/>
      <c r="G1316" s="388"/>
      <c r="I1316" s="388"/>
    </row>
    <row r="1317" spans="1:9">
      <c r="A1317" s="408">
        <v>42627</v>
      </c>
      <c r="B1317" s="411">
        <v>2125.77</v>
      </c>
      <c r="C1317" s="418">
        <f t="shared" si="184"/>
        <v>-5.8767665560266469E-4</v>
      </c>
      <c r="D1317" s="411">
        <v>37.119999999999997</v>
      </c>
      <c r="E1317" s="418">
        <f t="shared" si="185"/>
        <v>-1.09245936584067E-2</v>
      </c>
      <c r="F1317" s="411"/>
      <c r="G1317" s="388"/>
      <c r="I1317" s="388"/>
    </row>
    <row r="1318" spans="1:9">
      <c r="A1318" s="408">
        <v>42626</v>
      </c>
      <c r="B1318" s="411">
        <v>2127.02</v>
      </c>
      <c r="C1318" s="418">
        <f t="shared" si="184"/>
        <v>-1.4830665480954464E-2</v>
      </c>
      <c r="D1318" s="411">
        <v>37.53</v>
      </c>
      <c r="E1318" s="418">
        <f t="shared" si="185"/>
        <v>-2.3673257023933303E-2</v>
      </c>
      <c r="F1318" s="411"/>
      <c r="G1318" s="388"/>
      <c r="I1318" s="388"/>
    </row>
    <row r="1319" spans="1:9">
      <c r="A1319" s="408">
        <v>42625</v>
      </c>
      <c r="B1319" s="411">
        <v>2159.04</v>
      </c>
      <c r="C1319" s="418">
        <f t="shared" si="184"/>
        <v>1.4677062331693191E-2</v>
      </c>
      <c r="D1319" s="411">
        <v>38.44</v>
      </c>
      <c r="E1319" s="418">
        <f t="shared" si="185"/>
        <v>1.8278145695364234E-2</v>
      </c>
      <c r="F1319" s="411"/>
      <c r="G1319" s="388"/>
      <c r="I1319" s="388"/>
    </row>
    <row r="1320" spans="1:9">
      <c r="A1320" s="408">
        <v>42622</v>
      </c>
      <c r="B1320" s="411">
        <v>2127.81</v>
      </c>
      <c r="C1320" s="418">
        <f t="shared" si="184"/>
        <v>-2.4522073992573334E-2</v>
      </c>
      <c r="D1320" s="411">
        <v>37.75</v>
      </c>
      <c r="E1320" s="418">
        <f t="shared" si="185"/>
        <v>-3.9195724102825125E-2</v>
      </c>
      <c r="F1320" s="411"/>
      <c r="G1320" s="388"/>
      <c r="I1320" s="388"/>
    </row>
    <row r="1321" spans="1:9">
      <c r="A1321" s="408">
        <v>42621</v>
      </c>
      <c r="B1321" s="411">
        <v>2181.3000000000002</v>
      </c>
      <c r="C1321" s="418">
        <f t="shared" si="184"/>
        <v>-2.2230760786033921E-3</v>
      </c>
      <c r="D1321" s="411">
        <v>39.29</v>
      </c>
      <c r="E1321" s="418">
        <f t="shared" si="185"/>
        <v>1.0025706940874013E-2</v>
      </c>
      <c r="F1321" s="411"/>
      <c r="G1321" s="388"/>
      <c r="I1321" s="388"/>
    </row>
    <row r="1322" spans="1:9">
      <c r="A1322" s="408">
        <v>42620</v>
      </c>
      <c r="B1322" s="411">
        <v>2186.16</v>
      </c>
      <c r="C1322" s="418">
        <f t="shared" si="184"/>
        <v>-1.4635395704520882E-4</v>
      </c>
      <c r="D1322" s="411">
        <v>38.9</v>
      </c>
      <c r="E1322" s="418">
        <f t="shared" si="185"/>
        <v>5.6491037479630579E-2</v>
      </c>
      <c r="F1322" s="411"/>
      <c r="G1322" s="388"/>
      <c r="I1322" s="388"/>
    </row>
    <row r="1323" spans="1:9">
      <c r="A1323" s="408">
        <v>42619</v>
      </c>
      <c r="B1323" s="411">
        <v>2186.48</v>
      </c>
      <c r="C1323" s="418">
        <f t="shared" si="184"/>
        <v>2.9816787309975279E-3</v>
      </c>
      <c r="D1323" s="411">
        <v>36.82</v>
      </c>
      <c r="E1323" s="418">
        <f t="shared" si="185"/>
        <v>-9.4161958568738102E-3</v>
      </c>
      <c r="F1323" s="411"/>
      <c r="G1323" s="388"/>
      <c r="I1323" s="388"/>
    </row>
    <row r="1324" spans="1:9">
      <c r="A1324" s="408">
        <v>42615</v>
      </c>
      <c r="B1324" s="411">
        <v>2179.98</v>
      </c>
      <c r="C1324" s="418">
        <f t="shared" si="184"/>
        <v>4.2011000248749486E-3</v>
      </c>
      <c r="D1324" s="411">
        <v>37.17</v>
      </c>
      <c r="E1324" s="418">
        <f t="shared" si="185"/>
        <v>9.5057034220533687E-3</v>
      </c>
      <c r="F1324" s="411"/>
      <c r="G1324" s="388"/>
      <c r="I1324" s="388"/>
    </row>
    <row r="1325" spans="1:9">
      <c r="A1325" s="408">
        <v>42614</v>
      </c>
      <c r="B1325" s="411">
        <v>2170.86</v>
      </c>
      <c r="C1325" s="418">
        <f t="shared" si="184"/>
        <v>-4.1456505216475037E-5</v>
      </c>
      <c r="D1325" s="411">
        <v>36.82</v>
      </c>
      <c r="E1325" s="418">
        <f t="shared" si="185"/>
        <v>1.9047619047618536E-3</v>
      </c>
      <c r="F1325" s="411"/>
      <c r="G1325" s="388"/>
      <c r="I1325" s="388"/>
    </row>
    <row r="1326" spans="1:9">
      <c r="A1326" s="408">
        <v>42613</v>
      </c>
      <c r="B1326" s="411">
        <v>2170.9499999999998</v>
      </c>
      <c r="C1326" s="418">
        <f t="shared" si="184"/>
        <v>-2.3757880999210057E-3</v>
      </c>
      <c r="D1326" s="411">
        <v>36.75</v>
      </c>
      <c r="E1326" s="418">
        <f t="shared" si="185"/>
        <v>-1.1033369214208721E-2</v>
      </c>
      <c r="F1326" s="411"/>
      <c r="G1326" s="388"/>
      <c r="I1326" s="388"/>
    </row>
    <row r="1327" spans="1:9">
      <c r="A1327" s="408">
        <v>42612</v>
      </c>
      <c r="B1327" s="411">
        <v>2176.12</v>
      </c>
      <c r="C1327" s="418">
        <f t="shared" si="184"/>
        <v>-1.9537878718389745E-3</v>
      </c>
      <c r="D1327" s="411">
        <v>37.159999999999997</v>
      </c>
      <c r="E1327" s="418">
        <f t="shared" si="185"/>
        <v>1.6689466484268056E-2</v>
      </c>
      <c r="F1327" s="411"/>
      <c r="G1327" s="388"/>
      <c r="I1327" s="388"/>
    </row>
    <row r="1328" spans="1:9">
      <c r="A1328" s="408">
        <v>42611</v>
      </c>
      <c r="B1328" s="411">
        <v>2180.38</v>
      </c>
      <c r="C1328" s="418">
        <f t="shared" si="184"/>
        <v>5.2281193523402436E-3</v>
      </c>
      <c r="D1328" s="411">
        <v>36.549999999999997</v>
      </c>
      <c r="E1328" s="418">
        <f t="shared" si="185"/>
        <v>1.2745912995289377E-2</v>
      </c>
      <c r="F1328" s="411"/>
      <c r="G1328" s="388"/>
      <c r="I1328" s="388"/>
    </row>
    <row r="1329" spans="1:9">
      <c r="A1329" s="408">
        <v>42608</v>
      </c>
      <c r="B1329" s="411">
        <v>2169.04</v>
      </c>
      <c r="C1329" s="418">
        <f t="shared" si="184"/>
        <v>-1.5788480393283955E-3</v>
      </c>
      <c r="D1329" s="411">
        <v>36.090000000000003</v>
      </c>
      <c r="E1329" s="418">
        <f t="shared" si="185"/>
        <v>-1.0419522895530497E-2</v>
      </c>
      <c r="F1329" s="411"/>
      <c r="G1329" s="388"/>
      <c r="I1329" s="388"/>
    </row>
    <row r="1330" spans="1:9">
      <c r="A1330" s="408">
        <v>42607</v>
      </c>
      <c r="B1330" s="411">
        <v>2172.4699999999998</v>
      </c>
      <c r="C1330" s="418">
        <f t="shared" si="184"/>
        <v>-1.3652410546832749E-3</v>
      </c>
      <c r="D1330" s="411">
        <v>36.47</v>
      </c>
      <c r="E1330" s="418">
        <f t="shared" si="185"/>
        <v>-8.158825129181535E-3</v>
      </c>
      <c r="F1330" s="411"/>
      <c r="G1330" s="388"/>
      <c r="I1330" s="388"/>
    </row>
    <row r="1331" spans="1:9">
      <c r="A1331" s="408">
        <v>42606</v>
      </c>
      <c r="B1331" s="411">
        <v>2175.44</v>
      </c>
      <c r="C1331" s="418">
        <f t="shared" si="184"/>
        <v>-5.240294480771901E-3</v>
      </c>
      <c r="D1331" s="411">
        <v>36.770000000000003</v>
      </c>
      <c r="E1331" s="418">
        <f t="shared" si="185"/>
        <v>2.1804306350505787E-3</v>
      </c>
      <c r="F1331" s="411"/>
      <c r="G1331" s="388"/>
      <c r="I1331" s="388"/>
    </row>
    <row r="1332" spans="1:9">
      <c r="A1332" s="408">
        <v>42605</v>
      </c>
      <c r="B1332" s="411">
        <v>2186.9</v>
      </c>
      <c r="C1332" s="418">
        <f t="shared" si="184"/>
        <v>1.9517648352453953E-3</v>
      </c>
      <c r="D1332" s="411">
        <v>36.69</v>
      </c>
      <c r="E1332" s="418">
        <f t="shared" si="185"/>
        <v>2.1851953018301451E-3</v>
      </c>
      <c r="F1332" s="411"/>
      <c r="G1332" s="388"/>
      <c r="I1332" s="388"/>
    </row>
    <row r="1333" spans="1:9">
      <c r="A1333" s="408">
        <v>42604</v>
      </c>
      <c r="B1333" s="411">
        <v>2182.64</v>
      </c>
      <c r="C1333" s="418">
        <f t="shared" si="184"/>
        <v>-5.6322033820699335E-4</v>
      </c>
      <c r="D1333" s="411">
        <v>36.61</v>
      </c>
      <c r="E1333" s="418">
        <f t="shared" si="185"/>
        <v>-4.3513734022301298E-3</v>
      </c>
      <c r="F1333" s="411"/>
      <c r="G1333" s="388"/>
      <c r="I1333" s="388"/>
    </row>
    <row r="1334" spans="1:9">
      <c r="A1334" s="408">
        <v>42601</v>
      </c>
      <c r="B1334" s="411">
        <v>2183.87</v>
      </c>
      <c r="C1334" s="418">
        <f t="shared" si="184"/>
        <v>-1.4403160464925291E-3</v>
      </c>
      <c r="D1334" s="411">
        <v>36.770000000000003</v>
      </c>
      <c r="E1334" s="418">
        <f t="shared" si="185"/>
        <v>-8.0927974103047751E-3</v>
      </c>
      <c r="F1334" s="411"/>
      <c r="G1334" s="388"/>
      <c r="I1334" s="388"/>
    </row>
    <row r="1335" spans="1:9">
      <c r="A1335" s="408">
        <v>42600</v>
      </c>
      <c r="B1335" s="411">
        <v>2187.02</v>
      </c>
      <c r="C1335" s="418">
        <f t="shared" si="184"/>
        <v>2.1995949079378629E-3</v>
      </c>
      <c r="D1335" s="411">
        <v>37.07</v>
      </c>
      <c r="E1335" s="418">
        <f t="shared" si="185"/>
        <v>-1.1730205278592365E-2</v>
      </c>
      <c r="F1335" s="411"/>
      <c r="G1335" s="388"/>
      <c r="I1335" s="388"/>
    </row>
    <row r="1336" spans="1:9">
      <c r="A1336" s="408">
        <v>42599</v>
      </c>
      <c r="B1336" s="411">
        <v>2182.2199999999998</v>
      </c>
      <c r="C1336" s="418">
        <f t="shared" si="184"/>
        <v>1.868558180106783E-3</v>
      </c>
      <c r="D1336" s="411">
        <v>37.51</v>
      </c>
      <c r="E1336" s="418">
        <f t="shared" si="185"/>
        <v>1.5430427720628082E-2</v>
      </c>
      <c r="F1336" s="411"/>
      <c r="G1336" s="388"/>
      <c r="I1336" s="388"/>
    </row>
    <row r="1337" spans="1:9">
      <c r="A1337" s="408">
        <v>42598</v>
      </c>
      <c r="B1337" s="411">
        <v>2178.15</v>
      </c>
      <c r="C1337" s="418">
        <f t="shared" si="184"/>
        <v>-5.4790767755633629E-3</v>
      </c>
      <c r="D1337" s="411">
        <v>36.94</v>
      </c>
      <c r="E1337" s="418">
        <f t="shared" si="185"/>
        <v>5.4171180931739116E-4</v>
      </c>
      <c r="F1337" s="411"/>
      <c r="G1337" s="388"/>
      <c r="I1337" s="388"/>
    </row>
    <row r="1338" spans="1:9">
      <c r="A1338" s="408">
        <v>42597</v>
      </c>
      <c r="B1338" s="411">
        <v>2190.15</v>
      </c>
      <c r="C1338" s="418">
        <f t="shared" si="184"/>
        <v>2.7929763512739569E-3</v>
      </c>
      <c r="D1338" s="411">
        <v>36.92</v>
      </c>
      <c r="E1338" s="418">
        <f t="shared" si="185"/>
        <v>1.5680880330123825E-2</v>
      </c>
      <c r="F1338" s="411"/>
      <c r="G1338" s="388"/>
      <c r="I1338" s="388"/>
    </row>
    <row r="1339" spans="1:9">
      <c r="A1339" s="408">
        <v>42594</v>
      </c>
      <c r="B1339" s="411">
        <v>2184.0500000000002</v>
      </c>
      <c r="C1339" s="418">
        <f t="shared" si="184"/>
        <v>-7.960508557545154E-4</v>
      </c>
      <c r="D1339" s="411">
        <v>36.35</v>
      </c>
      <c r="E1339" s="418">
        <f t="shared" si="185"/>
        <v>-9.5367847411444995E-3</v>
      </c>
      <c r="F1339" s="411"/>
      <c r="G1339" s="388"/>
      <c r="I1339" s="388"/>
    </row>
    <row r="1340" spans="1:9">
      <c r="A1340" s="408">
        <v>42593</v>
      </c>
      <c r="B1340" s="411">
        <v>2185.79</v>
      </c>
      <c r="C1340" s="418">
        <f t="shared" si="184"/>
        <v>4.7345655461528136E-3</v>
      </c>
      <c r="D1340" s="411">
        <v>36.700000000000003</v>
      </c>
      <c r="E1340" s="418">
        <f t="shared" si="185"/>
        <v>6.0307017543861363E-3</v>
      </c>
      <c r="F1340" s="411"/>
      <c r="G1340" s="388"/>
      <c r="I1340" s="388"/>
    </row>
    <row r="1341" spans="1:9">
      <c r="A1341" s="408">
        <v>42592</v>
      </c>
      <c r="B1341" s="411">
        <v>2175.4899999999998</v>
      </c>
      <c r="C1341" s="418">
        <f t="shared" si="184"/>
        <v>-2.8646859845811168E-3</v>
      </c>
      <c r="D1341" s="411">
        <v>36.479999999999997</v>
      </c>
      <c r="E1341" s="418">
        <f t="shared" si="185"/>
        <v>-1.8034993270524935E-2</v>
      </c>
      <c r="F1341" s="411"/>
      <c r="G1341" s="388"/>
      <c r="I1341" s="388"/>
    </row>
    <row r="1342" spans="1:9">
      <c r="A1342" s="408">
        <v>42591</v>
      </c>
      <c r="B1342" s="411">
        <v>2181.7399999999998</v>
      </c>
      <c r="C1342" s="418">
        <f t="shared" si="184"/>
        <v>3.8974913911293818E-4</v>
      </c>
      <c r="D1342" s="411">
        <v>37.15</v>
      </c>
      <c r="E1342" s="418">
        <f t="shared" si="185"/>
        <v>-7.7457264957264682E-3</v>
      </c>
      <c r="F1342" s="411"/>
      <c r="G1342" s="388"/>
      <c r="I1342" s="388"/>
    </row>
    <row r="1343" spans="1:9">
      <c r="A1343" s="408">
        <v>42590</v>
      </c>
      <c r="B1343" s="411">
        <v>2180.89</v>
      </c>
      <c r="C1343" s="418">
        <f t="shared" si="184"/>
        <v>-9.0706272018037382E-4</v>
      </c>
      <c r="D1343" s="411">
        <v>37.44</v>
      </c>
      <c r="E1343" s="418">
        <f t="shared" si="185"/>
        <v>-6.1056543668702723E-3</v>
      </c>
      <c r="F1343" s="411"/>
      <c r="G1343" s="388"/>
      <c r="I1343" s="388"/>
    </row>
    <row r="1344" spans="1:9">
      <c r="A1344" s="408">
        <v>42587</v>
      </c>
      <c r="B1344" s="411">
        <v>2182.87</v>
      </c>
      <c r="C1344" s="418">
        <f t="shared" si="184"/>
        <v>8.6034423010279415E-3</v>
      </c>
      <c r="D1344" s="411">
        <v>37.67</v>
      </c>
      <c r="E1344" s="418">
        <f t="shared" si="185"/>
        <v>3.0925013683634539E-2</v>
      </c>
      <c r="F1344" s="411"/>
      <c r="G1344" s="388"/>
      <c r="I1344" s="388"/>
    </row>
    <row r="1345" spans="1:9">
      <c r="A1345" s="408">
        <v>42586</v>
      </c>
      <c r="B1345" s="411">
        <v>2164.25</v>
      </c>
      <c r="C1345" s="418">
        <f t="shared" si="184"/>
        <v>2.1258994634409945E-4</v>
      </c>
      <c r="D1345" s="411">
        <v>36.54</v>
      </c>
      <c r="E1345" s="418">
        <f t="shared" si="185"/>
        <v>1.6447368421053099E-3</v>
      </c>
      <c r="F1345" s="411"/>
      <c r="G1345" s="388"/>
      <c r="I1345" s="388"/>
    </row>
    <row r="1346" spans="1:9">
      <c r="A1346" s="408">
        <v>42585</v>
      </c>
      <c r="B1346" s="411">
        <v>2163.79</v>
      </c>
      <c r="C1346" s="418">
        <f t="shared" si="184"/>
        <v>3.1339387954731901E-3</v>
      </c>
      <c r="D1346" s="411">
        <v>36.479999999999997</v>
      </c>
      <c r="E1346" s="418">
        <f t="shared" si="185"/>
        <v>2.4732069249793209E-3</v>
      </c>
      <c r="F1346" s="411"/>
      <c r="G1346" s="388"/>
      <c r="I1346" s="388"/>
    </row>
    <row r="1347" spans="1:9">
      <c r="A1347" s="408">
        <v>42584</v>
      </c>
      <c r="B1347" s="411">
        <v>2157.0300000000002</v>
      </c>
      <c r="C1347" s="418">
        <f t="shared" si="184"/>
        <v>-6.3615927475078049E-3</v>
      </c>
      <c r="D1347" s="411">
        <v>36.39</v>
      </c>
      <c r="E1347" s="418">
        <f t="shared" si="185"/>
        <v>-7.8267477203647351E-2</v>
      </c>
      <c r="F1347" s="411"/>
      <c r="G1347" s="388"/>
      <c r="I1347" s="388"/>
    </row>
    <row r="1348" spans="1:9">
      <c r="A1348" s="408">
        <v>42583</v>
      </c>
      <c r="B1348" s="411">
        <v>2170.84</v>
      </c>
      <c r="C1348" s="418">
        <f t="shared" si="184"/>
        <v>-1.2697828487301388E-3</v>
      </c>
      <c r="D1348" s="411">
        <v>39.479999999999997</v>
      </c>
      <c r="E1348" s="418">
        <f t="shared" si="185"/>
        <v>1.8838709677419185E-2</v>
      </c>
      <c r="F1348" s="411"/>
      <c r="G1348" s="388"/>
      <c r="I1348" s="388"/>
    </row>
    <row r="1349" spans="1:9">
      <c r="A1349" s="408">
        <v>42580</v>
      </c>
      <c r="B1349" s="411">
        <v>2173.6</v>
      </c>
      <c r="C1349" s="418">
        <f t="shared" si="184"/>
        <v>1.6312913007012764E-3</v>
      </c>
      <c r="D1349" s="411">
        <v>38.75</v>
      </c>
      <c r="E1349" s="418">
        <f t="shared" si="185"/>
        <v>-1.5497967479674801E-2</v>
      </c>
      <c r="F1349" s="411"/>
      <c r="G1349" s="388"/>
      <c r="I1349" s="388"/>
    </row>
    <row r="1350" spans="1:9">
      <c r="A1350" s="408">
        <v>42579</v>
      </c>
      <c r="B1350" s="411">
        <v>2170.06</v>
      </c>
      <c r="C1350" s="418">
        <f t="shared" si="184"/>
        <v>1.6062180948777094E-3</v>
      </c>
      <c r="D1350" s="411">
        <v>39.36</v>
      </c>
      <c r="E1350" s="418">
        <f t="shared" si="185"/>
        <v>2.1276595744680771E-2</v>
      </c>
      <c r="F1350" s="411"/>
      <c r="G1350" s="388"/>
      <c r="I1350" s="388"/>
    </row>
    <row r="1351" spans="1:9">
      <c r="A1351" s="408">
        <v>42578</v>
      </c>
      <c r="B1351" s="411">
        <v>2166.58</v>
      </c>
      <c r="C1351" s="418">
        <f t="shared" si="184"/>
        <v>-1.1986096128490109E-3</v>
      </c>
      <c r="D1351" s="411">
        <v>38.54</v>
      </c>
      <c r="E1351" s="418">
        <f t="shared" si="185"/>
        <v>-1.255444529848837E-2</v>
      </c>
      <c r="F1351" s="411"/>
      <c r="G1351" s="388"/>
      <c r="I1351" s="388"/>
    </row>
    <row r="1352" spans="1:9">
      <c r="A1352" s="408">
        <v>42577</v>
      </c>
      <c r="B1352" s="411">
        <v>2169.1799999999998</v>
      </c>
      <c r="C1352" s="418">
        <f t="shared" ref="C1352:C1415" si="186">B1352/B1353-1</f>
        <v>3.2280675865115072E-4</v>
      </c>
      <c r="D1352" s="411">
        <v>39.03</v>
      </c>
      <c r="E1352" s="418">
        <f t="shared" ref="E1352:E1415" si="187">D1352/D1353-1</f>
        <v>1.7967145790553918E-3</v>
      </c>
      <c r="F1352" s="411"/>
      <c r="G1352" s="388"/>
      <c r="I1352" s="388"/>
    </row>
    <row r="1353" spans="1:9">
      <c r="A1353" s="408">
        <v>42576</v>
      </c>
      <c r="B1353" s="411">
        <v>2168.48</v>
      </c>
      <c r="C1353" s="418">
        <f t="shared" si="186"/>
        <v>-3.0114527155947757E-3</v>
      </c>
      <c r="D1353" s="411">
        <v>38.96</v>
      </c>
      <c r="E1353" s="418">
        <f t="shared" si="187"/>
        <v>0</v>
      </c>
      <c r="F1353" s="411"/>
      <c r="G1353" s="388"/>
      <c r="I1353" s="388"/>
    </row>
    <row r="1354" spans="1:9">
      <c r="A1354" s="408">
        <v>42573</v>
      </c>
      <c r="B1354" s="411">
        <v>2175.0300000000002</v>
      </c>
      <c r="C1354" s="418">
        <f t="shared" si="186"/>
        <v>4.5539149350859454E-3</v>
      </c>
      <c r="D1354" s="411">
        <v>38.96</v>
      </c>
      <c r="E1354" s="418">
        <f t="shared" si="187"/>
        <v>1.1422637590861928E-2</v>
      </c>
      <c r="F1354" s="411"/>
      <c r="G1354" s="388"/>
      <c r="I1354" s="388"/>
    </row>
    <row r="1355" spans="1:9">
      <c r="A1355" s="408">
        <v>42572</v>
      </c>
      <c r="B1355" s="411">
        <v>2165.17</v>
      </c>
      <c r="C1355" s="418">
        <f t="shared" si="186"/>
        <v>-3.6124840084306165E-3</v>
      </c>
      <c r="D1355" s="411">
        <v>38.520000000000003</v>
      </c>
      <c r="E1355" s="418">
        <f t="shared" si="187"/>
        <v>-4.2029345933847218E-2</v>
      </c>
      <c r="F1355" s="411"/>
      <c r="G1355" s="388"/>
      <c r="I1355" s="388"/>
    </row>
    <row r="1356" spans="1:9">
      <c r="A1356" s="408">
        <v>42571</v>
      </c>
      <c r="B1356" s="411">
        <v>2173.02</v>
      </c>
      <c r="C1356" s="418">
        <f t="shared" si="186"/>
        <v>4.2703047444747622E-3</v>
      </c>
      <c r="D1356" s="411">
        <v>40.21</v>
      </c>
      <c r="E1356" s="418">
        <f t="shared" si="187"/>
        <v>-7.8953861337280884E-3</v>
      </c>
      <c r="F1356" s="411"/>
      <c r="G1356" s="388"/>
      <c r="I1356" s="388"/>
    </row>
    <row r="1357" spans="1:9">
      <c r="A1357" s="408">
        <v>42570</v>
      </c>
      <c r="B1357" s="411">
        <v>2163.7800000000002</v>
      </c>
      <c r="C1357" s="418">
        <f t="shared" si="186"/>
        <v>-1.4352366756040791E-3</v>
      </c>
      <c r="D1357" s="411">
        <v>40.53</v>
      </c>
      <c r="E1357" s="418">
        <f t="shared" si="187"/>
        <v>1.0723192019950201E-2</v>
      </c>
      <c r="F1357" s="411"/>
      <c r="G1357" s="388"/>
      <c r="I1357" s="388"/>
    </row>
    <row r="1358" spans="1:9">
      <c r="A1358" s="408">
        <v>42569</v>
      </c>
      <c r="B1358" s="411">
        <v>2166.89</v>
      </c>
      <c r="C1358" s="418">
        <f t="shared" si="186"/>
        <v>2.3823401519147414E-3</v>
      </c>
      <c r="D1358" s="411">
        <v>40.1</v>
      </c>
      <c r="E1358" s="418">
        <f t="shared" si="187"/>
        <v>3.0015007503751967E-3</v>
      </c>
      <c r="F1358" s="411"/>
      <c r="G1358" s="388"/>
      <c r="I1358" s="388"/>
    </row>
    <row r="1359" spans="1:9">
      <c r="A1359" s="408">
        <v>42566</v>
      </c>
      <c r="B1359" s="411">
        <v>2161.7399999999998</v>
      </c>
      <c r="C1359" s="418">
        <f t="shared" si="186"/>
        <v>-9.2894280762578774E-4</v>
      </c>
      <c r="D1359" s="411">
        <v>39.979999999999997</v>
      </c>
      <c r="E1359" s="418">
        <f t="shared" si="187"/>
        <v>-2.4402147388970286E-2</v>
      </c>
      <c r="F1359" s="411"/>
      <c r="G1359" s="388"/>
      <c r="I1359" s="388"/>
    </row>
    <row r="1360" spans="1:9">
      <c r="A1360" s="408">
        <v>42565</v>
      </c>
      <c r="B1360" s="411">
        <v>2163.75</v>
      </c>
      <c r="C1360" s="418">
        <f t="shared" si="186"/>
        <v>5.2591721914301282E-3</v>
      </c>
      <c r="D1360" s="411">
        <v>40.98</v>
      </c>
      <c r="E1360" s="418">
        <f t="shared" si="187"/>
        <v>3.5894843276036204E-2</v>
      </c>
      <c r="F1360" s="411"/>
      <c r="G1360" s="388"/>
      <c r="I1360" s="388"/>
    </row>
    <row r="1361" spans="1:9">
      <c r="A1361" s="408">
        <v>42564</v>
      </c>
      <c r="B1361" s="411">
        <v>2152.4299999999998</v>
      </c>
      <c r="C1361" s="418">
        <f t="shared" si="186"/>
        <v>1.3474959807435738E-4</v>
      </c>
      <c r="D1361" s="411">
        <v>39.56</v>
      </c>
      <c r="E1361" s="418">
        <f t="shared" si="187"/>
        <v>-1.6165133051479708E-2</v>
      </c>
      <c r="F1361" s="411"/>
      <c r="G1361" s="388"/>
      <c r="I1361" s="388"/>
    </row>
    <row r="1362" spans="1:9">
      <c r="A1362" s="408">
        <v>42563</v>
      </c>
      <c r="B1362" s="411">
        <v>2152.14</v>
      </c>
      <c r="C1362" s="418">
        <f t="shared" si="186"/>
        <v>7.0093020644219628E-3</v>
      </c>
      <c r="D1362" s="411">
        <v>40.21</v>
      </c>
      <c r="E1362" s="418">
        <f t="shared" si="187"/>
        <v>5.4826862539349541E-2</v>
      </c>
      <c r="F1362" s="411"/>
      <c r="G1362" s="388"/>
      <c r="I1362" s="388"/>
    </row>
    <row r="1363" spans="1:9">
      <c r="A1363" s="408">
        <v>42562</v>
      </c>
      <c r="B1363" s="411">
        <v>2137.16</v>
      </c>
      <c r="C1363" s="418">
        <f t="shared" si="186"/>
        <v>3.4086107328981097E-3</v>
      </c>
      <c r="D1363" s="411">
        <v>38.119999999999997</v>
      </c>
      <c r="E1363" s="418">
        <f t="shared" si="187"/>
        <v>2.0069574525020117E-2</v>
      </c>
      <c r="F1363" s="411"/>
      <c r="G1363" s="388"/>
      <c r="I1363" s="388"/>
    </row>
    <row r="1364" spans="1:9">
      <c r="A1364" s="408">
        <v>42559</v>
      </c>
      <c r="B1364" s="411">
        <v>2129.9</v>
      </c>
      <c r="C1364" s="418">
        <f t="shared" si="186"/>
        <v>1.5253348586681925E-2</v>
      </c>
      <c r="D1364" s="411">
        <v>37.369999999999997</v>
      </c>
      <c r="E1364" s="418">
        <f t="shared" si="187"/>
        <v>2.7495188342040233E-2</v>
      </c>
      <c r="F1364" s="411"/>
      <c r="G1364" s="388"/>
      <c r="I1364" s="388"/>
    </row>
    <row r="1365" spans="1:9">
      <c r="A1365" s="408">
        <v>42558</v>
      </c>
      <c r="B1365" s="411">
        <v>2097.9</v>
      </c>
      <c r="C1365" s="418">
        <f t="shared" si="186"/>
        <v>-8.7154062665195653E-4</v>
      </c>
      <c r="D1365" s="411">
        <v>36.369999999999997</v>
      </c>
      <c r="E1365" s="418">
        <f t="shared" si="187"/>
        <v>2.220348510399095E-2</v>
      </c>
      <c r="F1365" s="411"/>
      <c r="G1365" s="388"/>
      <c r="I1365" s="388"/>
    </row>
    <row r="1366" spans="1:9">
      <c r="A1366" s="408">
        <v>42557</v>
      </c>
      <c r="B1366" s="411">
        <v>2099.73</v>
      </c>
      <c r="C1366" s="418">
        <f t="shared" si="186"/>
        <v>5.3529960977711788E-3</v>
      </c>
      <c r="D1366" s="411">
        <v>35.58</v>
      </c>
      <c r="E1366" s="418">
        <f t="shared" si="187"/>
        <v>-1.122964626614209E-3</v>
      </c>
      <c r="F1366" s="411"/>
      <c r="G1366" s="388"/>
      <c r="I1366" s="388"/>
    </row>
    <row r="1367" spans="1:9">
      <c r="A1367" s="408">
        <v>42556</v>
      </c>
      <c r="B1367" s="411">
        <v>2088.5500000000002</v>
      </c>
      <c r="C1367" s="418">
        <f t="shared" si="186"/>
        <v>-6.8475237166835123E-3</v>
      </c>
      <c r="D1367" s="411">
        <v>35.619999999999997</v>
      </c>
      <c r="E1367" s="418">
        <f t="shared" si="187"/>
        <v>-3.1275496328528885E-2</v>
      </c>
      <c r="F1367" s="411"/>
      <c r="G1367" s="388"/>
      <c r="I1367" s="388"/>
    </row>
    <row r="1368" spans="1:9">
      <c r="A1368" s="408">
        <v>42552</v>
      </c>
      <c r="B1368" s="411">
        <v>2102.9499999999998</v>
      </c>
      <c r="C1368" s="418">
        <f t="shared" si="186"/>
        <v>1.9486769007936999E-3</v>
      </c>
      <c r="D1368" s="411">
        <v>36.770000000000003</v>
      </c>
      <c r="E1368" s="418">
        <f t="shared" si="187"/>
        <v>9.3329673346145281E-3</v>
      </c>
      <c r="F1368" s="411"/>
      <c r="G1368" s="388"/>
      <c r="I1368" s="388"/>
    </row>
    <row r="1369" spans="1:9">
      <c r="A1369" s="408">
        <v>42551</v>
      </c>
      <c r="B1369" s="411">
        <v>2098.86</v>
      </c>
      <c r="C1369" s="418">
        <f t="shared" si="186"/>
        <v>1.3565002390415248E-2</v>
      </c>
      <c r="D1369" s="411">
        <v>36.43</v>
      </c>
      <c r="E1369" s="418">
        <f t="shared" si="187"/>
        <v>5.2428256070640167E-3</v>
      </c>
      <c r="F1369" s="411"/>
      <c r="G1369" s="388"/>
      <c r="I1369" s="388"/>
    </row>
    <row r="1370" spans="1:9">
      <c r="A1370" s="408">
        <v>42550</v>
      </c>
      <c r="B1370" s="411">
        <v>2070.77</v>
      </c>
      <c r="C1370" s="418">
        <f t="shared" si="186"/>
        <v>1.703264590465059E-2</v>
      </c>
      <c r="D1370" s="411">
        <v>36.24</v>
      </c>
      <c r="E1370" s="418">
        <f t="shared" si="187"/>
        <v>4.5284107297375309E-2</v>
      </c>
      <c r="F1370" s="411"/>
      <c r="G1370" s="388"/>
      <c r="I1370" s="388"/>
    </row>
    <row r="1371" spans="1:9">
      <c r="A1371" s="408">
        <v>42549</v>
      </c>
      <c r="B1371" s="411">
        <v>2036.09</v>
      </c>
      <c r="C1371" s="418">
        <f t="shared" si="186"/>
        <v>1.7770202045447769E-2</v>
      </c>
      <c r="D1371" s="411">
        <v>34.67</v>
      </c>
      <c r="E1371" s="418">
        <f t="shared" si="187"/>
        <v>3.9268585131894573E-2</v>
      </c>
      <c r="F1371" s="411"/>
      <c r="G1371" s="388"/>
      <c r="I1371" s="388"/>
    </row>
    <row r="1372" spans="1:9">
      <c r="A1372" s="408">
        <v>42548</v>
      </c>
      <c r="B1372" s="411">
        <v>2000.54</v>
      </c>
      <c r="C1372" s="418">
        <f t="shared" si="186"/>
        <v>-1.809650487628911E-2</v>
      </c>
      <c r="D1372" s="411">
        <v>33.36</v>
      </c>
      <c r="E1372" s="418">
        <f t="shared" si="187"/>
        <v>-5.1733939738487833E-2</v>
      </c>
      <c r="F1372" s="411"/>
      <c r="G1372" s="388"/>
      <c r="I1372" s="388"/>
    </row>
    <row r="1373" spans="1:9">
      <c r="A1373" s="408">
        <v>42545</v>
      </c>
      <c r="B1373" s="411">
        <v>2037.41</v>
      </c>
      <c r="C1373" s="418">
        <f t="shared" si="186"/>
        <v>-3.5919784982870628E-2</v>
      </c>
      <c r="D1373" s="411">
        <v>35.18</v>
      </c>
      <c r="E1373" s="418">
        <f t="shared" si="187"/>
        <v>-8.1701905507700401E-2</v>
      </c>
      <c r="F1373" s="411"/>
      <c r="G1373" s="388"/>
      <c r="I1373" s="388"/>
    </row>
    <row r="1374" spans="1:9">
      <c r="A1374" s="408">
        <v>42544</v>
      </c>
      <c r="B1374" s="411">
        <v>2113.3200000000002</v>
      </c>
      <c r="C1374" s="418">
        <f t="shared" si="186"/>
        <v>1.3364022153492305E-2</v>
      </c>
      <c r="D1374" s="411">
        <v>38.31</v>
      </c>
      <c r="E1374" s="418">
        <f t="shared" si="187"/>
        <v>-6.2256809338520069E-3</v>
      </c>
      <c r="F1374" s="411"/>
      <c r="G1374" s="388"/>
      <c r="I1374" s="388"/>
    </row>
    <row r="1375" spans="1:9">
      <c r="A1375" s="408">
        <v>42543</v>
      </c>
      <c r="B1375" s="411">
        <v>2085.4499999999998</v>
      </c>
      <c r="C1375" s="418">
        <f t="shared" si="186"/>
        <v>-1.6515869596439581E-3</v>
      </c>
      <c r="D1375" s="411">
        <v>38.549999999999997</v>
      </c>
      <c r="E1375" s="418">
        <f t="shared" si="187"/>
        <v>-3.1031807602793782E-3</v>
      </c>
      <c r="F1375" s="411"/>
      <c r="G1375" s="388"/>
      <c r="I1375" s="388"/>
    </row>
    <row r="1376" spans="1:9">
      <c r="A1376" s="408">
        <v>42542</v>
      </c>
      <c r="B1376" s="411">
        <v>2088.9</v>
      </c>
      <c r="C1376" s="418">
        <f t="shared" si="186"/>
        <v>2.7121084843393373E-3</v>
      </c>
      <c r="D1376" s="411">
        <v>38.67</v>
      </c>
      <c r="E1376" s="418">
        <f t="shared" si="187"/>
        <v>1.5227093725387109E-2</v>
      </c>
      <c r="F1376" s="411"/>
      <c r="G1376" s="388"/>
      <c r="I1376" s="388"/>
    </row>
    <row r="1377" spans="1:9">
      <c r="A1377" s="408">
        <v>42541</v>
      </c>
      <c r="B1377" s="411">
        <v>2083.25</v>
      </c>
      <c r="C1377" s="418">
        <f t="shared" si="186"/>
        <v>5.8081710296347122E-3</v>
      </c>
      <c r="D1377" s="411">
        <v>38.090000000000003</v>
      </c>
      <c r="E1377" s="418">
        <f t="shared" si="187"/>
        <v>2.1047092870298822E-3</v>
      </c>
      <c r="F1377" s="411"/>
      <c r="G1377" s="388"/>
      <c r="I1377" s="388"/>
    </row>
    <row r="1378" spans="1:9">
      <c r="A1378" s="408">
        <v>42538</v>
      </c>
      <c r="B1378" s="411">
        <v>2071.2199999999998</v>
      </c>
      <c r="C1378" s="418">
        <f t="shared" si="186"/>
        <v>-3.2579560055631118E-3</v>
      </c>
      <c r="D1378" s="411">
        <v>38.01</v>
      </c>
      <c r="E1378" s="418">
        <f t="shared" si="187"/>
        <v>-2.6301946344042815E-4</v>
      </c>
      <c r="F1378" s="411"/>
      <c r="G1378" s="388"/>
      <c r="I1378" s="388"/>
    </row>
    <row r="1379" spans="1:9">
      <c r="A1379" s="408">
        <v>42537</v>
      </c>
      <c r="B1379" s="411">
        <v>2077.9899999999998</v>
      </c>
      <c r="C1379" s="418">
        <f t="shared" si="186"/>
        <v>3.1329954139511784E-3</v>
      </c>
      <c r="D1379" s="411">
        <v>38.020000000000003</v>
      </c>
      <c r="E1379" s="418">
        <f t="shared" si="187"/>
        <v>-2.2370789406016889E-2</v>
      </c>
      <c r="F1379" s="411"/>
      <c r="G1379" s="388"/>
      <c r="I1379" s="388"/>
    </row>
    <row r="1380" spans="1:9">
      <c r="A1380" s="408">
        <v>42536</v>
      </c>
      <c r="B1380" s="411">
        <v>2071.5</v>
      </c>
      <c r="C1380" s="418">
        <f t="shared" si="186"/>
        <v>-1.8406799915194894E-3</v>
      </c>
      <c r="D1380" s="411">
        <v>38.89</v>
      </c>
      <c r="E1380" s="418">
        <f t="shared" si="187"/>
        <v>-5.6251598056762386E-3</v>
      </c>
      <c r="F1380" s="411"/>
      <c r="G1380" s="388"/>
      <c r="I1380" s="388"/>
    </row>
    <row r="1381" spans="1:9">
      <c r="A1381" s="408">
        <v>42535</v>
      </c>
      <c r="B1381" s="411">
        <v>2075.3200000000002</v>
      </c>
      <c r="C1381" s="418">
        <f t="shared" si="186"/>
        <v>-1.7988898829277566E-3</v>
      </c>
      <c r="D1381" s="411">
        <v>39.11</v>
      </c>
      <c r="E1381" s="418">
        <f t="shared" si="187"/>
        <v>-3.5987182647276295E-2</v>
      </c>
      <c r="F1381" s="411"/>
      <c r="G1381" s="388"/>
      <c r="I1381" s="388"/>
    </row>
    <row r="1382" spans="1:9">
      <c r="A1382" s="408">
        <v>42534</v>
      </c>
      <c r="B1382" s="411">
        <v>2079.06</v>
      </c>
      <c r="C1382" s="418">
        <f t="shared" si="186"/>
        <v>-8.1151869928008935E-3</v>
      </c>
      <c r="D1382" s="411">
        <v>40.57</v>
      </c>
      <c r="E1382" s="418">
        <f t="shared" si="187"/>
        <v>-3.4966698382492889E-2</v>
      </c>
      <c r="F1382" s="411"/>
      <c r="G1382" s="388"/>
      <c r="I1382" s="388"/>
    </row>
    <row r="1383" spans="1:9">
      <c r="A1383" s="408">
        <v>42531</v>
      </c>
      <c r="B1383" s="411">
        <v>2096.0700000000002</v>
      </c>
      <c r="C1383" s="418">
        <f t="shared" si="186"/>
        <v>-9.175222644506098E-3</v>
      </c>
      <c r="D1383" s="411">
        <v>42.04</v>
      </c>
      <c r="E1383" s="418">
        <f t="shared" si="187"/>
        <v>-8.4905660377357917E-3</v>
      </c>
      <c r="F1383" s="411"/>
      <c r="G1383" s="388"/>
      <c r="I1383" s="388"/>
    </row>
    <row r="1384" spans="1:9">
      <c r="A1384" s="408">
        <v>42530</v>
      </c>
      <c r="B1384" s="411">
        <v>2115.48</v>
      </c>
      <c r="C1384" s="418">
        <f t="shared" si="186"/>
        <v>-1.7176941371889187E-3</v>
      </c>
      <c r="D1384" s="411">
        <v>42.4</v>
      </c>
      <c r="E1384" s="418">
        <f t="shared" si="187"/>
        <v>1.3142174432496878E-2</v>
      </c>
      <c r="F1384" s="411"/>
      <c r="G1384" s="388"/>
      <c r="I1384" s="388"/>
    </row>
    <row r="1385" spans="1:9">
      <c r="A1385" s="408">
        <v>42529</v>
      </c>
      <c r="B1385" s="411">
        <v>2119.12</v>
      </c>
      <c r="C1385" s="418">
        <f t="shared" si="186"/>
        <v>3.3094553839014829E-3</v>
      </c>
      <c r="D1385" s="411">
        <v>41.85</v>
      </c>
      <c r="E1385" s="418">
        <f t="shared" si="187"/>
        <v>-5.9382422802850554E-3</v>
      </c>
      <c r="F1385" s="411"/>
      <c r="G1385" s="388"/>
      <c r="I1385" s="388"/>
    </row>
    <row r="1386" spans="1:9">
      <c r="A1386" s="408">
        <v>42528</v>
      </c>
      <c r="B1386" s="411">
        <v>2112.13</v>
      </c>
      <c r="C1386" s="418">
        <f t="shared" si="186"/>
        <v>1.2894600859958416E-3</v>
      </c>
      <c r="D1386" s="411">
        <v>42.1</v>
      </c>
      <c r="E1386" s="418">
        <f t="shared" si="187"/>
        <v>1.9864341085271242E-2</v>
      </c>
      <c r="F1386" s="411"/>
      <c r="G1386" s="388"/>
      <c r="I1386" s="388"/>
    </row>
    <row r="1387" spans="1:9">
      <c r="A1387" s="408">
        <v>42527</v>
      </c>
      <c r="B1387" s="411">
        <v>2109.41</v>
      </c>
      <c r="C1387" s="418">
        <f t="shared" si="186"/>
        <v>4.8972669629798737E-3</v>
      </c>
      <c r="D1387" s="411">
        <v>41.28</v>
      </c>
      <c r="E1387" s="418">
        <f t="shared" si="187"/>
        <v>-6.9761847486167206E-3</v>
      </c>
      <c r="F1387" s="411"/>
      <c r="G1387" s="388"/>
      <c r="I1387" s="388"/>
    </row>
    <row r="1388" spans="1:9">
      <c r="A1388" s="408">
        <v>42524</v>
      </c>
      <c r="B1388" s="411">
        <v>2099.13</v>
      </c>
      <c r="C1388" s="418">
        <f t="shared" si="186"/>
        <v>-2.9117543676315805E-3</v>
      </c>
      <c r="D1388" s="411">
        <v>41.57</v>
      </c>
      <c r="E1388" s="418">
        <f t="shared" si="187"/>
        <v>-2.0730270906949455E-2</v>
      </c>
      <c r="F1388" s="411"/>
      <c r="G1388" s="388"/>
      <c r="I1388" s="388"/>
    </row>
    <row r="1389" spans="1:9">
      <c r="A1389" s="408">
        <v>42523</v>
      </c>
      <c r="B1389" s="411">
        <v>2105.2600000000002</v>
      </c>
      <c r="C1389" s="418">
        <f t="shared" si="186"/>
        <v>2.8247107410461769E-3</v>
      </c>
      <c r="D1389" s="411">
        <v>42.45</v>
      </c>
      <c r="E1389" s="418">
        <f t="shared" si="187"/>
        <v>-2.4362215582624525E-2</v>
      </c>
      <c r="F1389" s="411"/>
      <c r="G1389" s="388"/>
      <c r="I1389" s="388"/>
    </row>
    <row r="1390" spans="1:9">
      <c r="A1390" s="408">
        <v>42522</v>
      </c>
      <c r="B1390" s="411">
        <v>2099.33</v>
      </c>
      <c r="C1390" s="418">
        <f t="shared" si="186"/>
        <v>1.130207538531991E-3</v>
      </c>
      <c r="D1390" s="411">
        <v>43.51</v>
      </c>
      <c r="E1390" s="418">
        <f t="shared" si="187"/>
        <v>1.1504832029451961E-3</v>
      </c>
      <c r="F1390" s="411"/>
      <c r="G1390" s="388"/>
      <c r="I1390" s="388"/>
    </row>
    <row r="1391" spans="1:9">
      <c r="A1391" s="408">
        <v>42521</v>
      </c>
      <c r="B1391" s="411">
        <v>2096.96</v>
      </c>
      <c r="C1391" s="418">
        <f t="shared" si="186"/>
        <v>-1.0004478195001498E-3</v>
      </c>
      <c r="D1391" s="411">
        <v>43.46</v>
      </c>
      <c r="E1391" s="418">
        <f t="shared" si="187"/>
        <v>7.8849721706866216E-3</v>
      </c>
      <c r="F1391" s="411"/>
      <c r="G1391" s="388"/>
      <c r="I1391" s="388"/>
    </row>
    <row r="1392" spans="1:9">
      <c r="A1392" s="408">
        <v>42517</v>
      </c>
      <c r="B1392" s="411">
        <v>2099.06</v>
      </c>
      <c r="C1392" s="418">
        <f t="shared" si="186"/>
        <v>4.2868762260179771E-3</v>
      </c>
      <c r="D1392" s="411">
        <v>43.12</v>
      </c>
      <c r="E1392" s="418">
        <f t="shared" si="187"/>
        <v>8.4190832553787676E-3</v>
      </c>
      <c r="F1392" s="411"/>
      <c r="G1392" s="388"/>
      <c r="I1392" s="388"/>
    </row>
    <row r="1393" spans="1:9">
      <c r="A1393" s="408">
        <v>42516</v>
      </c>
      <c r="B1393" s="411">
        <v>2090.1</v>
      </c>
      <c r="C1393" s="418">
        <f t="shared" si="186"/>
        <v>-2.104719354808493E-4</v>
      </c>
      <c r="D1393" s="411">
        <v>42.76</v>
      </c>
      <c r="E1393" s="418">
        <f t="shared" si="187"/>
        <v>-1.7011494252873627E-2</v>
      </c>
      <c r="F1393" s="411"/>
      <c r="G1393" s="388"/>
      <c r="I1393" s="388"/>
    </row>
    <row r="1394" spans="1:9">
      <c r="A1394" s="408">
        <v>42515</v>
      </c>
      <c r="B1394" s="411">
        <v>2090.54</v>
      </c>
      <c r="C1394" s="418">
        <f t="shared" si="186"/>
        <v>6.9747502480661527E-3</v>
      </c>
      <c r="D1394" s="411">
        <v>43.5</v>
      </c>
      <c r="E1394" s="418">
        <f t="shared" si="187"/>
        <v>-2.9796011918404863E-3</v>
      </c>
      <c r="F1394" s="411"/>
      <c r="G1394" s="388"/>
      <c r="I1394" s="388"/>
    </row>
    <row r="1395" spans="1:9">
      <c r="A1395" s="408">
        <v>42514</v>
      </c>
      <c r="B1395" s="411">
        <v>2076.06</v>
      </c>
      <c r="C1395" s="418">
        <f t="shared" si="186"/>
        <v>1.3681373410675546E-2</v>
      </c>
      <c r="D1395" s="411">
        <v>43.63</v>
      </c>
      <c r="E1395" s="418">
        <f t="shared" si="187"/>
        <v>1.5832363213038381E-2</v>
      </c>
      <c r="F1395" s="411"/>
      <c r="G1395" s="388"/>
      <c r="I1395" s="388"/>
    </row>
    <row r="1396" spans="1:9">
      <c r="A1396" s="408">
        <v>42513</v>
      </c>
      <c r="B1396" s="411">
        <v>2048.04</v>
      </c>
      <c r="C1396" s="418">
        <f t="shared" si="186"/>
        <v>-2.0854447649489849E-3</v>
      </c>
      <c r="D1396" s="411">
        <v>42.95</v>
      </c>
      <c r="E1396" s="418">
        <f t="shared" si="187"/>
        <v>-3.4802784222737193E-3</v>
      </c>
      <c r="F1396" s="411"/>
      <c r="G1396" s="388"/>
      <c r="I1396" s="388"/>
    </row>
    <row r="1397" spans="1:9">
      <c r="A1397" s="408">
        <v>42510</v>
      </c>
      <c r="B1397" s="411">
        <v>2052.3200000000002</v>
      </c>
      <c r="C1397" s="418">
        <f t="shared" si="186"/>
        <v>6.019489813925416E-3</v>
      </c>
      <c r="D1397" s="411">
        <v>43.1</v>
      </c>
      <c r="E1397" s="418">
        <f t="shared" si="187"/>
        <v>0</v>
      </c>
      <c r="F1397" s="411"/>
      <c r="G1397" s="388"/>
      <c r="I1397" s="388"/>
    </row>
    <row r="1398" spans="1:9">
      <c r="A1398" s="408">
        <v>42509</v>
      </c>
      <c r="B1398" s="411">
        <v>2040.04</v>
      </c>
      <c r="C1398" s="418">
        <f t="shared" si="186"/>
        <v>-3.7067243593813526E-3</v>
      </c>
      <c r="D1398" s="411">
        <v>43.1</v>
      </c>
      <c r="E1398" s="418">
        <f t="shared" si="187"/>
        <v>-1.7327861377108955E-2</v>
      </c>
      <c r="F1398" s="411"/>
      <c r="G1398" s="388"/>
      <c r="I1398" s="388"/>
    </row>
    <row r="1399" spans="1:9">
      <c r="A1399" s="408">
        <v>42508</v>
      </c>
      <c r="B1399" s="411">
        <v>2047.63</v>
      </c>
      <c r="C1399" s="418">
        <f t="shared" si="186"/>
        <v>2.0515726281145064E-4</v>
      </c>
      <c r="D1399" s="411">
        <v>43.86</v>
      </c>
      <c r="E1399" s="418">
        <f t="shared" si="187"/>
        <v>4.3508129150446884E-3</v>
      </c>
      <c r="F1399" s="411"/>
      <c r="G1399" s="388"/>
      <c r="I1399" s="388"/>
    </row>
    <row r="1400" spans="1:9">
      <c r="A1400" s="408">
        <v>42507</v>
      </c>
      <c r="B1400" s="411">
        <v>2047.21</v>
      </c>
      <c r="C1400" s="418">
        <f t="shared" si="186"/>
        <v>-9.4113206816794914E-3</v>
      </c>
      <c r="D1400" s="411">
        <v>43.67</v>
      </c>
      <c r="E1400" s="418">
        <f t="shared" si="187"/>
        <v>1.558139534883729E-2</v>
      </c>
      <c r="F1400" s="411"/>
      <c r="G1400" s="388"/>
      <c r="I1400" s="388"/>
    </row>
    <row r="1401" spans="1:9">
      <c r="A1401" s="408">
        <v>42506</v>
      </c>
      <c r="B1401" s="411">
        <v>2066.66</v>
      </c>
      <c r="C1401" s="418">
        <f t="shared" si="186"/>
        <v>9.7966881819202545E-3</v>
      </c>
      <c r="D1401" s="411">
        <v>43</v>
      </c>
      <c r="E1401" s="418">
        <f t="shared" si="187"/>
        <v>3.3653846153846034E-2</v>
      </c>
      <c r="F1401" s="411"/>
      <c r="G1401" s="388"/>
      <c r="I1401" s="388"/>
    </row>
    <row r="1402" spans="1:9">
      <c r="A1402" s="408">
        <v>42503</v>
      </c>
      <c r="B1402" s="411">
        <v>2046.61</v>
      </c>
      <c r="C1402" s="418">
        <f t="shared" si="186"/>
        <v>-8.478230326872227E-3</v>
      </c>
      <c r="D1402" s="411">
        <v>41.6</v>
      </c>
      <c r="E1402" s="418">
        <f t="shared" si="187"/>
        <v>1.2904796688580467E-2</v>
      </c>
      <c r="F1402" s="411"/>
      <c r="G1402" s="388"/>
      <c r="I1402" s="388"/>
    </row>
    <row r="1403" spans="1:9">
      <c r="A1403" s="408">
        <v>42502</v>
      </c>
      <c r="B1403" s="411">
        <v>2064.11</v>
      </c>
      <c r="C1403" s="418">
        <f t="shared" si="186"/>
        <v>-1.6953585925616466E-4</v>
      </c>
      <c r="D1403" s="411">
        <v>41.07</v>
      </c>
      <c r="E1403" s="418">
        <f t="shared" si="187"/>
        <v>-2.9078014184397039E-2</v>
      </c>
      <c r="F1403" s="411"/>
      <c r="G1403" s="388"/>
      <c r="I1403" s="388"/>
    </row>
    <row r="1404" spans="1:9">
      <c r="A1404" s="408">
        <v>42501</v>
      </c>
      <c r="B1404" s="411">
        <v>2064.46</v>
      </c>
      <c r="C1404" s="418">
        <f t="shared" si="186"/>
        <v>-9.5615503816462999E-3</v>
      </c>
      <c r="D1404" s="411">
        <v>42.3</v>
      </c>
      <c r="E1404" s="418">
        <f t="shared" si="187"/>
        <v>-1.5133876600698648E-2</v>
      </c>
      <c r="F1404" s="411"/>
      <c r="G1404" s="388"/>
      <c r="I1404" s="388"/>
    </row>
    <row r="1405" spans="1:9">
      <c r="A1405" s="408">
        <v>42500</v>
      </c>
      <c r="B1405" s="411">
        <v>2084.39</v>
      </c>
      <c r="C1405" s="418">
        <f t="shared" si="186"/>
        <v>1.2483666797817872E-2</v>
      </c>
      <c r="D1405" s="411">
        <v>42.95</v>
      </c>
      <c r="E1405" s="418">
        <f t="shared" si="187"/>
        <v>1.2971698113207752E-2</v>
      </c>
      <c r="F1405" s="411"/>
      <c r="G1405" s="388"/>
      <c r="I1405" s="388"/>
    </row>
    <row r="1406" spans="1:9">
      <c r="A1406" s="408">
        <v>42499</v>
      </c>
      <c r="B1406" s="411">
        <v>2058.69</v>
      </c>
      <c r="C1406" s="418">
        <f t="shared" si="186"/>
        <v>7.5347326871288978E-4</v>
      </c>
      <c r="D1406" s="411">
        <v>42.4</v>
      </c>
      <c r="E1406" s="418">
        <f t="shared" si="187"/>
        <v>8.5632730732636553E-3</v>
      </c>
      <c r="F1406" s="411"/>
      <c r="G1406" s="388"/>
      <c r="I1406" s="388"/>
    </row>
    <row r="1407" spans="1:9">
      <c r="A1407" s="408">
        <v>42496</v>
      </c>
      <c r="B1407" s="411">
        <v>2057.14</v>
      </c>
      <c r="C1407" s="418">
        <f t="shared" si="186"/>
        <v>3.174634136826171E-3</v>
      </c>
      <c r="D1407" s="411">
        <v>42.04</v>
      </c>
      <c r="E1407" s="418">
        <f t="shared" si="187"/>
        <v>6.9461077844310548E-3</v>
      </c>
      <c r="F1407" s="411"/>
      <c r="G1407" s="388"/>
      <c r="I1407" s="388"/>
    </row>
    <row r="1408" spans="1:9">
      <c r="A1408" s="408">
        <v>42495</v>
      </c>
      <c r="B1408" s="411">
        <v>2050.63</v>
      </c>
      <c r="C1408" s="418">
        <f t="shared" si="186"/>
        <v>-2.3889387261577522E-4</v>
      </c>
      <c r="D1408" s="411">
        <v>41.75</v>
      </c>
      <c r="E1408" s="418">
        <f t="shared" si="187"/>
        <v>7.7238715906349231E-3</v>
      </c>
      <c r="F1408" s="411"/>
      <c r="G1408" s="388"/>
      <c r="I1408" s="388"/>
    </row>
    <row r="1409" spans="1:9">
      <c r="A1409" s="408">
        <v>42494</v>
      </c>
      <c r="B1409" s="411">
        <v>2051.12</v>
      </c>
      <c r="C1409" s="418">
        <f t="shared" si="186"/>
        <v>-5.9368896513954938E-3</v>
      </c>
      <c r="D1409" s="411">
        <v>41.43</v>
      </c>
      <c r="E1409" s="418">
        <f t="shared" si="187"/>
        <v>-3.4715750232991671E-2</v>
      </c>
      <c r="F1409" s="411"/>
      <c r="G1409" s="388"/>
      <c r="I1409" s="388"/>
    </row>
    <row r="1410" spans="1:9">
      <c r="A1410" s="408">
        <v>42493</v>
      </c>
      <c r="B1410" s="411">
        <v>2063.37</v>
      </c>
      <c r="C1410" s="418">
        <f t="shared" si="186"/>
        <v>-8.6767270578400613E-3</v>
      </c>
      <c r="D1410" s="411">
        <v>42.92</v>
      </c>
      <c r="E1410" s="418">
        <f t="shared" si="187"/>
        <v>1.778515532368985E-2</v>
      </c>
      <c r="F1410" s="411"/>
      <c r="G1410" s="388"/>
      <c r="I1410" s="388"/>
    </row>
    <row r="1411" spans="1:9">
      <c r="A1411" s="408">
        <v>42492</v>
      </c>
      <c r="B1411" s="411">
        <v>2081.4299999999998</v>
      </c>
      <c r="C1411" s="418">
        <f t="shared" si="186"/>
        <v>7.8100033893380161E-3</v>
      </c>
      <c r="D1411" s="411">
        <v>42.17</v>
      </c>
      <c r="E1411" s="418">
        <f t="shared" si="187"/>
        <v>1.1999040076793754E-2</v>
      </c>
      <c r="F1411" s="411"/>
      <c r="G1411" s="388"/>
      <c r="I1411" s="388"/>
    </row>
    <row r="1412" spans="1:9">
      <c r="A1412" s="408">
        <v>42489</v>
      </c>
      <c r="B1412" s="411">
        <v>2065.3000000000002</v>
      </c>
      <c r="C1412" s="418">
        <f t="shared" si="186"/>
        <v>-5.0630838082482699E-3</v>
      </c>
      <c r="D1412" s="411">
        <v>41.67</v>
      </c>
      <c r="E1412" s="418">
        <f t="shared" si="187"/>
        <v>-2.7764815678954724E-2</v>
      </c>
      <c r="F1412" s="411"/>
      <c r="G1412" s="388"/>
      <c r="I1412" s="388"/>
    </row>
    <row r="1413" spans="1:9">
      <c r="A1413" s="408">
        <v>42488</v>
      </c>
      <c r="B1413" s="411">
        <v>2075.81</v>
      </c>
      <c r="C1413" s="418">
        <f t="shared" si="186"/>
        <v>-9.2308426604300609E-3</v>
      </c>
      <c r="D1413" s="411">
        <v>42.86</v>
      </c>
      <c r="E1413" s="418">
        <f t="shared" si="187"/>
        <v>-1.8997482261386978E-2</v>
      </c>
      <c r="F1413" s="411"/>
      <c r="G1413" s="388"/>
      <c r="I1413" s="388"/>
    </row>
    <row r="1414" spans="1:9">
      <c r="A1414" s="408">
        <v>42487</v>
      </c>
      <c r="B1414" s="411">
        <v>2095.15</v>
      </c>
      <c r="C1414" s="418">
        <f t="shared" si="186"/>
        <v>1.6493761055602629E-3</v>
      </c>
      <c r="D1414" s="411">
        <v>43.69</v>
      </c>
      <c r="E1414" s="418">
        <f t="shared" si="187"/>
        <v>2.2941041523283356E-3</v>
      </c>
      <c r="F1414" s="411"/>
      <c r="G1414" s="388"/>
      <c r="I1414" s="388"/>
    </row>
    <row r="1415" spans="1:9">
      <c r="A1415" s="408">
        <v>42486</v>
      </c>
      <c r="B1415" s="411">
        <v>2091.6999999999998</v>
      </c>
      <c r="C1415" s="418">
        <f t="shared" si="186"/>
        <v>1.8727937196747479E-3</v>
      </c>
      <c r="D1415" s="411">
        <v>43.59</v>
      </c>
      <c r="E1415" s="418">
        <f t="shared" si="187"/>
        <v>-7.7395857045298166E-3</v>
      </c>
      <c r="F1415" s="411"/>
      <c r="G1415" s="388"/>
      <c r="I1415" s="388"/>
    </row>
    <row r="1416" spans="1:9">
      <c r="A1416" s="408">
        <v>42485</v>
      </c>
      <c r="B1416" s="411">
        <v>2087.79</v>
      </c>
      <c r="C1416" s="418">
        <f t="shared" ref="C1416:C1479" si="188">B1416/B1417-1</f>
        <v>-1.8120272712495167E-3</v>
      </c>
      <c r="D1416" s="411">
        <v>43.93</v>
      </c>
      <c r="E1416" s="418">
        <f t="shared" ref="E1416:E1479" si="189">D1416/D1417-1</f>
        <v>-1.5463917525773141E-2</v>
      </c>
      <c r="F1416" s="411"/>
      <c r="G1416" s="388"/>
      <c r="I1416" s="388"/>
    </row>
    <row r="1417" spans="1:9">
      <c r="A1417" s="408">
        <v>42482</v>
      </c>
      <c r="B1417" s="411">
        <v>2091.58</v>
      </c>
      <c r="C1417" s="418">
        <f t="shared" si="188"/>
        <v>4.7813031919918814E-5</v>
      </c>
      <c r="D1417" s="411">
        <v>44.62</v>
      </c>
      <c r="E1417" s="418">
        <f t="shared" si="189"/>
        <v>-7.7829664220592232E-3</v>
      </c>
      <c r="F1417" s="411"/>
      <c r="G1417" s="388"/>
      <c r="I1417" s="388"/>
    </row>
    <row r="1418" spans="1:9">
      <c r="A1418" s="408">
        <v>42481</v>
      </c>
      <c r="B1418" s="411">
        <v>2091.48</v>
      </c>
      <c r="C1418" s="418">
        <f t="shared" si="188"/>
        <v>-5.1940639269406619E-3</v>
      </c>
      <c r="D1418" s="411">
        <v>44.97</v>
      </c>
      <c r="E1418" s="418">
        <f t="shared" si="189"/>
        <v>-3.4978540772532263E-2</v>
      </c>
      <c r="F1418" s="411"/>
      <c r="G1418" s="388"/>
      <c r="I1418" s="388"/>
    </row>
    <row r="1419" spans="1:9">
      <c r="A1419" s="408">
        <v>42480</v>
      </c>
      <c r="B1419" s="411">
        <v>2102.4</v>
      </c>
      <c r="C1419" s="418">
        <f t="shared" si="188"/>
        <v>7.6161462300072813E-4</v>
      </c>
      <c r="D1419" s="411">
        <v>46.6</v>
      </c>
      <c r="E1419" s="418">
        <f t="shared" si="189"/>
        <v>-5.7606144655428793E-3</v>
      </c>
      <c r="F1419" s="411"/>
      <c r="G1419" s="388"/>
      <c r="I1419" s="388"/>
    </row>
    <row r="1420" spans="1:9">
      <c r="A1420" s="408">
        <v>42479</v>
      </c>
      <c r="B1420" s="411">
        <v>2100.8000000000002</v>
      </c>
      <c r="C1420" s="418">
        <f t="shared" si="188"/>
        <v>3.0845039487379378E-3</v>
      </c>
      <c r="D1420" s="411">
        <v>46.87</v>
      </c>
      <c r="E1420" s="418">
        <f t="shared" si="189"/>
        <v>6.8743286788399693E-3</v>
      </c>
      <c r="F1420" s="411"/>
      <c r="G1420" s="388"/>
      <c r="I1420" s="388"/>
    </row>
    <row r="1421" spans="1:9">
      <c r="A1421" s="408">
        <v>42478</v>
      </c>
      <c r="B1421" s="411">
        <v>2094.34</v>
      </c>
      <c r="C1421" s="418">
        <f t="shared" si="188"/>
        <v>6.5409736006114549E-3</v>
      </c>
      <c r="D1421" s="411">
        <v>46.55</v>
      </c>
      <c r="E1421" s="418">
        <f t="shared" si="189"/>
        <v>-2.0000000000000018E-2</v>
      </c>
      <c r="F1421" s="411"/>
      <c r="G1421" s="388"/>
      <c r="I1421" s="388"/>
    </row>
    <row r="1422" spans="1:9">
      <c r="A1422" s="408">
        <v>42475</v>
      </c>
      <c r="B1422" s="411">
        <v>2080.73</v>
      </c>
      <c r="C1422" s="418">
        <f t="shared" si="188"/>
        <v>-9.8426141983321003E-4</v>
      </c>
      <c r="D1422" s="411">
        <v>47.5</v>
      </c>
      <c r="E1422" s="418">
        <f t="shared" si="189"/>
        <v>-2.0416580738296553E-2</v>
      </c>
      <c r="F1422" s="411"/>
      <c r="G1422" s="388"/>
      <c r="I1422" s="388"/>
    </row>
    <row r="1423" spans="1:9">
      <c r="A1423" s="408">
        <v>42474</v>
      </c>
      <c r="B1423" s="411">
        <v>2082.7800000000002</v>
      </c>
      <c r="C1423" s="418">
        <f t="shared" si="188"/>
        <v>1.7287578874580767E-4</v>
      </c>
      <c r="D1423" s="411">
        <v>48.49</v>
      </c>
      <c r="E1423" s="418">
        <f t="shared" si="189"/>
        <v>9.3671940049959712E-3</v>
      </c>
      <c r="F1423" s="411"/>
      <c r="G1423" s="388"/>
      <c r="I1423" s="388"/>
    </row>
    <row r="1424" spans="1:9">
      <c r="A1424" s="408">
        <v>42473</v>
      </c>
      <c r="B1424" s="411">
        <v>2082.42</v>
      </c>
      <c r="C1424" s="418">
        <f t="shared" si="188"/>
        <v>1.0040160642570406E-2</v>
      </c>
      <c r="D1424" s="411">
        <v>48.04</v>
      </c>
      <c r="E1424" s="418">
        <f t="shared" si="189"/>
        <v>3.0238044177568035E-2</v>
      </c>
      <c r="F1424" s="411"/>
      <c r="G1424" s="388"/>
      <c r="I1424" s="388"/>
    </row>
    <row r="1425" spans="1:9">
      <c r="A1425" s="408">
        <v>42472</v>
      </c>
      <c r="B1425" s="411">
        <v>2061.7199999999998</v>
      </c>
      <c r="C1425" s="418">
        <f t="shared" si="188"/>
        <v>9.6621433013872604E-3</v>
      </c>
      <c r="D1425" s="411">
        <v>46.63</v>
      </c>
      <c r="E1425" s="418">
        <f t="shared" si="189"/>
        <v>1.7185821697101034E-3</v>
      </c>
      <c r="F1425" s="411"/>
      <c r="G1425" s="388"/>
      <c r="I1425" s="388"/>
    </row>
    <row r="1426" spans="1:9">
      <c r="A1426" s="408">
        <v>42471</v>
      </c>
      <c r="B1426" s="411">
        <v>2041.99</v>
      </c>
      <c r="C1426" s="418">
        <f t="shared" si="188"/>
        <v>-2.7397929283062838E-3</v>
      </c>
      <c r="D1426" s="411">
        <v>46.55</v>
      </c>
      <c r="E1426" s="418">
        <f t="shared" si="189"/>
        <v>5.6167638798876318E-3</v>
      </c>
      <c r="F1426" s="411"/>
      <c r="G1426" s="388"/>
      <c r="I1426" s="388"/>
    </row>
    <row r="1427" spans="1:9">
      <c r="A1427" s="408">
        <v>42468</v>
      </c>
      <c r="B1427" s="411">
        <v>2047.6</v>
      </c>
      <c r="C1427" s="418">
        <f t="shared" si="188"/>
        <v>2.7866066574921966E-3</v>
      </c>
      <c r="D1427" s="411">
        <v>46.29</v>
      </c>
      <c r="E1427" s="418">
        <f t="shared" si="189"/>
        <v>1.0698689956331942E-2</v>
      </c>
      <c r="F1427" s="411"/>
      <c r="G1427" s="388"/>
      <c r="I1427" s="388"/>
    </row>
    <row r="1428" spans="1:9">
      <c r="A1428" s="408">
        <v>42467</v>
      </c>
      <c r="B1428" s="411">
        <v>2041.91</v>
      </c>
      <c r="C1428" s="418">
        <f t="shared" si="188"/>
        <v>-1.1975845083371128E-2</v>
      </c>
      <c r="D1428" s="411">
        <v>45.8</v>
      </c>
      <c r="E1428" s="418">
        <f t="shared" si="189"/>
        <v>-2.9661016949152685E-2</v>
      </c>
      <c r="F1428" s="411"/>
      <c r="G1428" s="388"/>
      <c r="I1428" s="388"/>
    </row>
    <row r="1429" spans="1:9">
      <c r="A1429" s="408">
        <v>42466</v>
      </c>
      <c r="B1429" s="411">
        <v>2066.66</v>
      </c>
      <c r="C1429" s="418">
        <f t="shared" si="188"/>
        <v>1.0507683957812652E-2</v>
      </c>
      <c r="D1429" s="411">
        <v>47.2</v>
      </c>
      <c r="E1429" s="418">
        <f t="shared" si="189"/>
        <v>8.4817642069556776E-4</v>
      </c>
      <c r="F1429" s="411"/>
      <c r="G1429" s="388"/>
      <c r="I1429" s="388"/>
    </row>
    <row r="1430" spans="1:9">
      <c r="A1430" s="408">
        <v>42465</v>
      </c>
      <c r="B1430" s="411">
        <v>2045.17</v>
      </c>
      <c r="C1430" s="418">
        <f t="shared" si="188"/>
        <v>-1.0144569799577008E-2</v>
      </c>
      <c r="D1430" s="411">
        <v>47.16</v>
      </c>
      <c r="E1430" s="418">
        <f t="shared" si="189"/>
        <v>2.1208907741243621E-4</v>
      </c>
      <c r="F1430" s="411"/>
      <c r="G1430" s="388"/>
      <c r="I1430" s="388"/>
    </row>
    <row r="1431" spans="1:9">
      <c r="A1431" s="408">
        <v>42464</v>
      </c>
      <c r="B1431" s="411">
        <v>2066.13</v>
      </c>
      <c r="C1431" s="418">
        <f t="shared" si="188"/>
        <v>-3.2082517199124583E-3</v>
      </c>
      <c r="D1431" s="411">
        <v>47.15</v>
      </c>
      <c r="E1431" s="418">
        <f t="shared" si="189"/>
        <v>2.9780897681344065E-3</v>
      </c>
      <c r="F1431" s="411"/>
      <c r="G1431" s="388"/>
      <c r="I1431" s="388"/>
    </row>
    <row r="1432" spans="1:9">
      <c r="A1432" s="408">
        <v>42461</v>
      </c>
      <c r="B1432" s="411">
        <v>2072.7800000000002</v>
      </c>
      <c r="C1432" s="418">
        <f t="shared" si="188"/>
        <v>6.3308961325216906E-3</v>
      </c>
      <c r="D1432" s="411">
        <v>47.01</v>
      </c>
      <c r="E1432" s="418">
        <f t="shared" si="189"/>
        <v>-3.4305669679539852E-2</v>
      </c>
      <c r="F1432" s="411"/>
      <c r="G1432" s="388"/>
      <c r="I1432" s="388"/>
    </row>
    <row r="1433" spans="1:9">
      <c r="A1433" s="408">
        <v>42460</v>
      </c>
      <c r="B1433" s="411">
        <v>2059.7399999999998</v>
      </c>
      <c r="C1433" s="418">
        <f t="shared" si="188"/>
        <v>-2.0397780953995692E-3</v>
      </c>
      <c r="D1433" s="411">
        <v>48.68</v>
      </c>
      <c r="E1433" s="418">
        <f t="shared" si="189"/>
        <v>-1.3176565984188038E-2</v>
      </c>
      <c r="F1433" s="411"/>
      <c r="G1433" s="388"/>
      <c r="I1433" s="388"/>
    </row>
    <row r="1434" spans="1:9">
      <c r="A1434" s="408">
        <v>42459</v>
      </c>
      <c r="B1434" s="411">
        <v>2063.9499999999998</v>
      </c>
      <c r="C1434" s="418">
        <f t="shared" si="188"/>
        <v>4.3503437939473866E-3</v>
      </c>
      <c r="D1434" s="411">
        <v>49.33</v>
      </c>
      <c r="E1434" s="418">
        <f t="shared" si="189"/>
        <v>4.0708324852432032E-3</v>
      </c>
      <c r="F1434" s="411"/>
      <c r="G1434" s="388"/>
      <c r="I1434" s="388"/>
    </row>
    <row r="1435" spans="1:9">
      <c r="A1435" s="408">
        <v>42458</v>
      </c>
      <c r="B1435" s="411">
        <v>2055.0100000000002</v>
      </c>
      <c r="C1435" s="418">
        <f t="shared" si="188"/>
        <v>8.8166711666382014E-3</v>
      </c>
      <c r="D1435" s="411">
        <v>49.13</v>
      </c>
      <c r="E1435" s="418">
        <f t="shared" si="189"/>
        <v>1.9294605809128562E-2</v>
      </c>
      <c r="F1435" s="411"/>
      <c r="G1435" s="388"/>
      <c r="I1435" s="388"/>
    </row>
    <row r="1436" spans="1:9">
      <c r="A1436" s="408">
        <v>42457</v>
      </c>
      <c r="B1436" s="411">
        <v>2037.05</v>
      </c>
      <c r="C1436" s="418">
        <f t="shared" si="188"/>
        <v>5.4520270734892406E-4</v>
      </c>
      <c r="D1436" s="411">
        <v>48.2</v>
      </c>
      <c r="E1436" s="418">
        <f t="shared" si="189"/>
        <v>7.5250836120401843E-3</v>
      </c>
      <c r="F1436" s="411"/>
      <c r="G1436" s="388"/>
      <c r="I1436" s="388"/>
    </row>
    <row r="1437" spans="1:9">
      <c r="A1437" s="408">
        <v>42453</v>
      </c>
      <c r="B1437" s="411">
        <v>2035.94</v>
      </c>
      <c r="C1437" s="418">
        <f t="shared" si="188"/>
        <v>-3.7806069592627445E-4</v>
      </c>
      <c r="D1437" s="411">
        <v>47.84</v>
      </c>
      <c r="E1437" s="418">
        <f t="shared" si="189"/>
        <v>-2.1876916785933176E-2</v>
      </c>
      <c r="F1437" s="411"/>
      <c r="G1437" s="388"/>
      <c r="I1437" s="388"/>
    </row>
    <row r="1438" spans="1:9">
      <c r="A1438" s="408">
        <v>42452</v>
      </c>
      <c r="B1438" s="411">
        <v>2036.71</v>
      </c>
      <c r="C1438" s="418">
        <f t="shared" si="188"/>
        <v>-6.3859888769636219E-3</v>
      </c>
      <c r="D1438" s="411">
        <v>48.91</v>
      </c>
      <c r="E1438" s="418">
        <f t="shared" si="189"/>
        <v>-9.7185665114396524E-3</v>
      </c>
      <c r="F1438" s="411"/>
      <c r="G1438" s="388"/>
      <c r="I1438" s="388"/>
    </row>
    <row r="1439" spans="1:9">
      <c r="A1439" s="408">
        <v>42451</v>
      </c>
      <c r="B1439" s="411">
        <v>2049.8000000000002</v>
      </c>
      <c r="C1439" s="418">
        <f t="shared" si="188"/>
        <v>-8.7736400857851837E-4</v>
      </c>
      <c r="D1439" s="411">
        <v>49.39</v>
      </c>
      <c r="E1439" s="418">
        <f t="shared" si="189"/>
        <v>-1.4565043894652741E-2</v>
      </c>
      <c r="F1439" s="411"/>
      <c r="G1439" s="388"/>
      <c r="I1439" s="388"/>
    </row>
    <row r="1440" spans="1:9">
      <c r="A1440" s="408">
        <v>42450</v>
      </c>
      <c r="B1440" s="411">
        <v>2051.6</v>
      </c>
      <c r="C1440" s="418">
        <f t="shared" si="188"/>
        <v>9.8556777486114022E-4</v>
      </c>
      <c r="D1440" s="411">
        <v>50.12</v>
      </c>
      <c r="E1440" s="418">
        <f t="shared" si="189"/>
        <v>1.3986013986013734E-3</v>
      </c>
      <c r="F1440" s="411"/>
      <c r="G1440" s="388"/>
      <c r="I1440" s="388"/>
    </row>
    <row r="1441" spans="1:9">
      <c r="A1441" s="408">
        <v>42447</v>
      </c>
      <c r="B1441" s="411">
        <v>2049.58</v>
      </c>
      <c r="C1441" s="418">
        <f t="shared" si="188"/>
        <v>4.4055885797735783E-3</v>
      </c>
      <c r="D1441" s="411">
        <v>50.05</v>
      </c>
      <c r="E1441" s="418">
        <f t="shared" si="189"/>
        <v>2.9411764705882248E-2</v>
      </c>
      <c r="F1441" s="411"/>
      <c r="G1441" s="388"/>
      <c r="I1441" s="388"/>
    </row>
    <row r="1442" spans="1:9">
      <c r="A1442" s="408">
        <v>42446</v>
      </c>
      <c r="B1442" s="411">
        <v>2040.59</v>
      </c>
      <c r="C1442" s="418">
        <f t="shared" si="188"/>
        <v>6.5952387999328455E-3</v>
      </c>
      <c r="D1442" s="411">
        <v>48.62</v>
      </c>
      <c r="E1442" s="418">
        <f t="shared" si="189"/>
        <v>-3.0756612671725136E-3</v>
      </c>
      <c r="F1442" s="411"/>
      <c r="G1442" s="388"/>
      <c r="I1442" s="388"/>
    </row>
    <row r="1443" spans="1:9">
      <c r="A1443" s="408">
        <v>42445</v>
      </c>
      <c r="B1443" s="411">
        <v>2027.22</v>
      </c>
      <c r="C1443" s="418">
        <f t="shared" si="188"/>
        <v>5.6003928707841766E-3</v>
      </c>
      <c r="D1443" s="411">
        <v>48.77</v>
      </c>
      <c r="E1443" s="418">
        <f t="shared" si="189"/>
        <v>2.114740368509227E-2</v>
      </c>
      <c r="F1443" s="411"/>
      <c r="G1443" s="388"/>
      <c r="I1443" s="388"/>
    </row>
    <row r="1444" spans="1:9">
      <c r="A1444" s="408">
        <v>42444</v>
      </c>
      <c r="B1444" s="411">
        <v>2015.93</v>
      </c>
      <c r="C1444" s="418">
        <f t="shared" si="188"/>
        <v>-1.8369610425620353E-3</v>
      </c>
      <c r="D1444" s="411">
        <v>47.76</v>
      </c>
      <c r="E1444" s="418">
        <f t="shared" si="189"/>
        <v>-2.7145541866778755E-3</v>
      </c>
      <c r="F1444" s="411"/>
      <c r="G1444" s="388"/>
      <c r="I1444" s="388"/>
    </row>
    <row r="1445" spans="1:9">
      <c r="A1445" s="408">
        <v>42443</v>
      </c>
      <c r="B1445" s="411">
        <v>2019.64</v>
      </c>
      <c r="C1445" s="418">
        <f t="shared" si="188"/>
        <v>-1.2610091039911842E-3</v>
      </c>
      <c r="D1445" s="411">
        <v>47.89</v>
      </c>
      <c r="E1445" s="418">
        <f t="shared" si="189"/>
        <v>4.1937513105474444E-3</v>
      </c>
      <c r="F1445" s="411"/>
      <c r="G1445" s="388"/>
      <c r="I1445" s="388"/>
    </row>
    <row r="1446" spans="1:9">
      <c r="A1446" s="408">
        <v>42440</v>
      </c>
      <c r="B1446" s="411">
        <v>2022.19</v>
      </c>
      <c r="C1446" s="418">
        <f t="shared" si="188"/>
        <v>1.6395502545776264E-2</v>
      </c>
      <c r="D1446" s="411">
        <v>47.69</v>
      </c>
      <c r="E1446" s="418">
        <f t="shared" si="189"/>
        <v>1.4680851063829659E-2</v>
      </c>
      <c r="F1446" s="411"/>
      <c r="G1446" s="388"/>
      <c r="I1446" s="388"/>
    </row>
    <row r="1447" spans="1:9">
      <c r="A1447" s="408">
        <v>42439</v>
      </c>
      <c r="B1447" s="411">
        <v>1989.57</v>
      </c>
      <c r="C1447" s="418">
        <f t="shared" si="188"/>
        <v>1.5583684385145347E-4</v>
      </c>
      <c r="D1447" s="411">
        <v>47</v>
      </c>
      <c r="E1447" s="418">
        <f t="shared" si="189"/>
        <v>5.5626872058194277E-3</v>
      </c>
      <c r="F1447" s="411"/>
      <c r="G1447" s="388"/>
      <c r="I1447" s="388"/>
    </row>
    <row r="1448" spans="1:9">
      <c r="A1448" s="408">
        <v>42438</v>
      </c>
      <c r="B1448" s="411">
        <v>1989.26</v>
      </c>
      <c r="C1448" s="418">
        <f t="shared" si="188"/>
        <v>5.0523933187149872E-3</v>
      </c>
      <c r="D1448" s="411">
        <v>46.74</v>
      </c>
      <c r="E1448" s="418">
        <f t="shared" si="189"/>
        <v>1.1250540891388994E-2</v>
      </c>
      <c r="F1448" s="411"/>
      <c r="G1448" s="388"/>
      <c r="I1448" s="388"/>
    </row>
    <row r="1449" spans="1:9">
      <c r="A1449" s="408">
        <v>42437</v>
      </c>
      <c r="B1449" s="411">
        <v>1979.26</v>
      </c>
      <c r="C1449" s="418">
        <f t="shared" si="188"/>
        <v>-1.1240108704340224E-2</v>
      </c>
      <c r="D1449" s="411">
        <v>46.22</v>
      </c>
      <c r="E1449" s="418">
        <f t="shared" si="189"/>
        <v>-4.484397602810497E-2</v>
      </c>
      <c r="F1449" s="411"/>
      <c r="G1449" s="388"/>
      <c r="I1449" s="388"/>
    </row>
    <row r="1450" spans="1:9">
      <c r="A1450" s="408">
        <v>42436</v>
      </c>
      <c r="B1450" s="411">
        <v>2001.76</v>
      </c>
      <c r="C1450" s="418">
        <f t="shared" si="188"/>
        <v>8.8500442502215115E-4</v>
      </c>
      <c r="D1450" s="411">
        <v>48.39</v>
      </c>
      <c r="E1450" s="418">
        <f t="shared" si="189"/>
        <v>-5.7530306143415144E-3</v>
      </c>
      <c r="F1450" s="411"/>
      <c r="G1450" s="388"/>
      <c r="I1450" s="388"/>
    </row>
    <row r="1451" spans="1:9">
      <c r="A1451" s="408">
        <v>42433</v>
      </c>
      <c r="B1451" s="411">
        <v>1999.99</v>
      </c>
      <c r="C1451" s="418">
        <f t="shared" si="188"/>
        <v>3.3059095013543427E-3</v>
      </c>
      <c r="D1451" s="411">
        <v>48.67</v>
      </c>
      <c r="E1451" s="418">
        <f t="shared" si="189"/>
        <v>-2.4595203935232623E-3</v>
      </c>
      <c r="F1451" s="411"/>
      <c r="G1451" s="388"/>
      <c r="I1451" s="388"/>
    </row>
    <row r="1452" spans="1:9">
      <c r="A1452" s="408">
        <v>42432</v>
      </c>
      <c r="B1452" s="411">
        <v>1993.4</v>
      </c>
      <c r="C1452" s="418">
        <f t="shared" si="188"/>
        <v>3.4987037176874569E-3</v>
      </c>
      <c r="D1452" s="411">
        <v>48.79</v>
      </c>
      <c r="E1452" s="418">
        <f t="shared" si="189"/>
        <v>4.9433573635426775E-3</v>
      </c>
      <c r="F1452" s="411"/>
      <c r="G1452" s="388"/>
      <c r="I1452" s="388"/>
    </row>
    <row r="1453" spans="1:9">
      <c r="A1453" s="408">
        <v>42431</v>
      </c>
      <c r="B1453" s="411">
        <v>1986.45</v>
      </c>
      <c r="C1453" s="418">
        <f t="shared" si="188"/>
        <v>4.0943210250967699E-3</v>
      </c>
      <c r="D1453" s="411">
        <v>48.55</v>
      </c>
      <c r="E1453" s="418">
        <f t="shared" si="189"/>
        <v>-7.1574642126789323E-3</v>
      </c>
      <c r="F1453" s="411"/>
      <c r="G1453" s="388"/>
      <c r="I1453" s="388"/>
    </row>
    <row r="1454" spans="1:9">
      <c r="A1454" s="408">
        <v>42430</v>
      </c>
      <c r="B1454" s="411">
        <v>1978.35</v>
      </c>
      <c r="C1454" s="418">
        <f t="shared" si="188"/>
        <v>2.3868794087660294E-2</v>
      </c>
      <c r="D1454" s="411">
        <v>48.9</v>
      </c>
      <c r="E1454" s="418">
        <f t="shared" si="189"/>
        <v>1.3681592039801016E-2</v>
      </c>
      <c r="F1454" s="411"/>
      <c r="G1454" s="388"/>
      <c r="I1454" s="388"/>
    </row>
    <row r="1455" spans="1:9">
      <c r="A1455" s="408">
        <v>42429</v>
      </c>
      <c r="B1455" s="411">
        <v>1932.23</v>
      </c>
      <c r="C1455" s="418">
        <f t="shared" si="188"/>
        <v>-8.1209414542747771E-3</v>
      </c>
      <c r="D1455" s="411">
        <v>48.24</v>
      </c>
      <c r="E1455" s="418">
        <f t="shared" si="189"/>
        <v>7.9398244880903857E-3</v>
      </c>
      <c r="F1455" s="411"/>
      <c r="G1455" s="388"/>
      <c r="I1455" s="388"/>
    </row>
    <row r="1456" spans="1:9">
      <c r="A1456" s="408">
        <v>42426</v>
      </c>
      <c r="B1456" s="411">
        <v>1948.05</v>
      </c>
      <c r="C1456" s="418">
        <f t="shared" si="188"/>
        <v>-1.8701644719988364E-3</v>
      </c>
      <c r="D1456" s="411">
        <v>47.86</v>
      </c>
      <c r="E1456" s="418">
        <f t="shared" si="189"/>
        <v>-2.7235772357723675E-2</v>
      </c>
      <c r="F1456" s="411"/>
      <c r="G1456" s="388"/>
      <c r="I1456" s="388"/>
    </row>
    <row r="1457" spans="1:9">
      <c r="A1457" s="408">
        <v>42425</v>
      </c>
      <c r="B1457" s="411">
        <v>1951.7</v>
      </c>
      <c r="C1457" s="418">
        <f t="shared" si="188"/>
        <v>1.1348326251425123E-2</v>
      </c>
      <c r="D1457" s="411">
        <v>49.2</v>
      </c>
      <c r="E1457" s="418">
        <f t="shared" si="189"/>
        <v>5.312627707396933E-3</v>
      </c>
      <c r="F1457" s="411"/>
      <c r="G1457" s="388"/>
      <c r="I1457" s="388"/>
    </row>
    <row r="1458" spans="1:9">
      <c r="A1458" s="408">
        <v>42424</v>
      </c>
      <c r="B1458" s="411">
        <v>1929.8</v>
      </c>
      <c r="C1458" s="418">
        <f t="shared" si="188"/>
        <v>4.4397716094042305E-3</v>
      </c>
      <c r="D1458" s="411">
        <v>48.94</v>
      </c>
      <c r="E1458" s="418">
        <f t="shared" si="189"/>
        <v>-2.0429009193068115E-4</v>
      </c>
      <c r="F1458" s="411"/>
      <c r="G1458" s="388"/>
      <c r="I1458" s="388"/>
    </row>
    <row r="1459" spans="1:9">
      <c r="A1459" s="408">
        <v>42423</v>
      </c>
      <c r="B1459" s="411">
        <v>1921.27</v>
      </c>
      <c r="C1459" s="418">
        <f t="shared" si="188"/>
        <v>-1.2454381906964795E-2</v>
      </c>
      <c r="D1459" s="411">
        <v>48.95</v>
      </c>
      <c r="E1459" s="418">
        <f t="shared" si="189"/>
        <v>2.6628430970914163E-3</v>
      </c>
      <c r="F1459" s="411"/>
      <c r="G1459" s="388"/>
      <c r="I1459" s="388"/>
    </row>
    <row r="1460" spans="1:9">
      <c r="A1460" s="408">
        <v>42422</v>
      </c>
      <c r="B1460" s="411">
        <v>1945.5</v>
      </c>
      <c r="C1460" s="418">
        <f t="shared" si="188"/>
        <v>1.4454212683415291E-2</v>
      </c>
      <c r="D1460" s="411">
        <v>48.82</v>
      </c>
      <c r="E1460" s="418">
        <f t="shared" si="189"/>
        <v>4.4948630136986356E-2</v>
      </c>
      <c r="F1460" s="411"/>
      <c r="G1460" s="388"/>
      <c r="I1460" s="388"/>
    </row>
    <row r="1461" spans="1:9">
      <c r="A1461" s="408">
        <v>42419</v>
      </c>
      <c r="B1461" s="411">
        <v>1917.78</v>
      </c>
      <c r="C1461" s="418">
        <f t="shared" si="188"/>
        <v>-2.60711324778784E-5</v>
      </c>
      <c r="D1461" s="411">
        <v>46.72</v>
      </c>
      <c r="E1461" s="418">
        <f t="shared" si="189"/>
        <v>5.5962117950925094E-3</v>
      </c>
      <c r="F1461" s="411"/>
      <c r="G1461" s="388"/>
      <c r="I1461" s="388"/>
    </row>
    <row r="1462" spans="1:9">
      <c r="A1462" s="408">
        <v>42418</v>
      </c>
      <c r="B1462" s="411">
        <v>1917.83</v>
      </c>
      <c r="C1462" s="418">
        <f t="shared" si="188"/>
        <v>-4.6657186452289112E-3</v>
      </c>
      <c r="D1462" s="411">
        <v>46.46</v>
      </c>
      <c r="E1462" s="418">
        <f t="shared" si="189"/>
        <v>7.8091106290671952E-3</v>
      </c>
      <c r="F1462" s="411"/>
      <c r="G1462" s="388"/>
      <c r="I1462" s="388"/>
    </row>
    <row r="1463" spans="1:9">
      <c r="A1463" s="408">
        <v>42417</v>
      </c>
      <c r="B1463" s="411">
        <v>1926.82</v>
      </c>
      <c r="C1463" s="418">
        <f t="shared" si="188"/>
        <v>1.6480443980206649E-2</v>
      </c>
      <c r="D1463" s="411">
        <v>46.1</v>
      </c>
      <c r="E1463" s="418">
        <f t="shared" si="189"/>
        <v>3.4096007178106902E-2</v>
      </c>
      <c r="F1463" s="411"/>
      <c r="G1463" s="388"/>
      <c r="I1463" s="388"/>
    </row>
    <row r="1464" spans="1:9">
      <c r="A1464" s="408">
        <v>42416</v>
      </c>
      <c r="B1464" s="411">
        <v>1895.58</v>
      </c>
      <c r="C1464" s="418">
        <f t="shared" si="188"/>
        <v>1.651669365823305E-2</v>
      </c>
      <c r="D1464" s="411">
        <v>44.58</v>
      </c>
      <c r="E1464" s="418">
        <f t="shared" si="189"/>
        <v>3.6985345429169536E-2</v>
      </c>
      <c r="F1464" s="411"/>
      <c r="G1464" s="388"/>
      <c r="I1464" s="388"/>
    </row>
    <row r="1465" spans="1:9">
      <c r="A1465" s="408">
        <v>42412</v>
      </c>
      <c r="B1465" s="411">
        <v>1864.78</v>
      </c>
      <c r="C1465" s="418">
        <f t="shared" si="188"/>
        <v>1.9518009053731911E-2</v>
      </c>
      <c r="D1465" s="411">
        <v>42.99</v>
      </c>
      <c r="E1465" s="418">
        <f t="shared" si="189"/>
        <v>6.791569086651128E-3</v>
      </c>
      <c r="F1465" s="411"/>
      <c r="G1465" s="388"/>
      <c r="I1465" s="388"/>
    </row>
    <row r="1466" spans="1:9">
      <c r="A1466" s="408">
        <v>42411</v>
      </c>
      <c r="B1466" s="411">
        <v>1829.08</v>
      </c>
      <c r="C1466" s="418">
        <f t="shared" si="188"/>
        <v>-1.2301145874958119E-2</v>
      </c>
      <c r="D1466" s="411">
        <v>42.7</v>
      </c>
      <c r="E1466" s="418">
        <f t="shared" si="189"/>
        <v>-1.3173099144904055E-2</v>
      </c>
      <c r="F1466" s="411"/>
      <c r="G1466" s="388"/>
      <c r="I1466" s="388"/>
    </row>
    <row r="1467" spans="1:9">
      <c r="A1467" s="408">
        <v>42410</v>
      </c>
      <c r="B1467" s="411">
        <v>1851.86</v>
      </c>
      <c r="C1467" s="418">
        <f t="shared" si="188"/>
        <v>-1.8896345446794971E-4</v>
      </c>
      <c r="D1467" s="411">
        <v>43.27</v>
      </c>
      <c r="E1467" s="418">
        <f t="shared" si="189"/>
        <v>3.0728918532634708E-2</v>
      </c>
      <c r="F1467" s="411"/>
      <c r="G1467" s="388"/>
      <c r="I1467" s="388"/>
    </row>
    <row r="1468" spans="1:9">
      <c r="A1468" s="408">
        <v>42409</v>
      </c>
      <c r="B1468" s="411">
        <v>1852.21</v>
      </c>
      <c r="C1468" s="418">
        <f t="shared" si="188"/>
        <v>-6.636308701657434E-4</v>
      </c>
      <c r="D1468" s="411">
        <v>41.98</v>
      </c>
      <c r="E1468" s="418">
        <f t="shared" si="189"/>
        <v>2.9678685307824137E-2</v>
      </c>
      <c r="F1468" s="411"/>
      <c r="G1468" s="388"/>
      <c r="I1468" s="388"/>
    </row>
    <row r="1469" spans="1:9">
      <c r="A1469" s="408">
        <v>42408</v>
      </c>
      <c r="B1469" s="411">
        <v>1853.44</v>
      </c>
      <c r="C1469" s="418">
        <f t="shared" si="188"/>
        <v>-1.4153878886199789E-2</v>
      </c>
      <c r="D1469" s="411">
        <v>40.770000000000003</v>
      </c>
      <c r="E1469" s="418">
        <f t="shared" si="189"/>
        <v>-2.9516781718638252E-2</v>
      </c>
      <c r="F1469" s="411"/>
      <c r="G1469" s="388"/>
      <c r="I1469" s="388"/>
    </row>
    <row r="1470" spans="1:9">
      <c r="A1470" s="408">
        <v>42405</v>
      </c>
      <c r="B1470" s="411">
        <v>1880.05</v>
      </c>
      <c r="C1470" s="418">
        <f t="shared" si="188"/>
        <v>-1.8481296823200877E-2</v>
      </c>
      <c r="D1470" s="411">
        <v>42.01</v>
      </c>
      <c r="E1470" s="418">
        <f t="shared" si="189"/>
        <v>-4.6094459582198044E-2</v>
      </c>
      <c r="F1470" s="411"/>
      <c r="G1470" s="388"/>
      <c r="I1470" s="388"/>
    </row>
    <row r="1471" spans="1:9">
      <c r="A1471" s="408">
        <v>42404</v>
      </c>
      <c r="B1471" s="411">
        <v>1915.45</v>
      </c>
      <c r="C1471" s="418">
        <f t="shared" si="188"/>
        <v>1.5267734362336416E-3</v>
      </c>
      <c r="D1471" s="411">
        <v>44.04</v>
      </c>
      <c r="E1471" s="418">
        <f t="shared" si="189"/>
        <v>5.479452054794498E-3</v>
      </c>
      <c r="F1471" s="411"/>
      <c r="G1471" s="388"/>
      <c r="I1471" s="388"/>
    </row>
    <row r="1472" spans="1:9">
      <c r="A1472" s="408">
        <v>42403</v>
      </c>
      <c r="B1472" s="411">
        <v>1912.53</v>
      </c>
      <c r="C1472" s="418">
        <f t="shared" si="188"/>
        <v>4.992039011471272E-3</v>
      </c>
      <c r="D1472" s="411">
        <v>43.8</v>
      </c>
      <c r="E1472" s="418">
        <f t="shared" si="189"/>
        <v>4.3567988993349349E-3</v>
      </c>
      <c r="F1472" s="411"/>
      <c r="G1472" s="388"/>
      <c r="I1472" s="388"/>
    </row>
    <row r="1473" spans="1:9">
      <c r="A1473" s="408">
        <v>42402</v>
      </c>
      <c r="B1473" s="411">
        <v>1903.03</v>
      </c>
      <c r="C1473" s="418">
        <f t="shared" si="188"/>
        <v>-1.8743103466056232E-2</v>
      </c>
      <c r="D1473" s="411">
        <v>43.61</v>
      </c>
      <c r="E1473" s="418">
        <f t="shared" si="189"/>
        <v>-3.5390400353904061E-2</v>
      </c>
      <c r="F1473" s="411"/>
      <c r="G1473" s="388"/>
      <c r="I1473" s="388"/>
    </row>
    <row r="1474" spans="1:9">
      <c r="A1474" s="408">
        <v>42401</v>
      </c>
      <c r="B1474" s="411">
        <v>1939.38</v>
      </c>
      <c r="C1474" s="418">
        <f t="shared" si="188"/>
        <v>-4.4324413474616797E-4</v>
      </c>
      <c r="D1474" s="411">
        <v>45.21</v>
      </c>
      <c r="E1474" s="418">
        <f t="shared" si="189"/>
        <v>2.0772183337096406E-2</v>
      </c>
      <c r="F1474" s="411"/>
      <c r="G1474" s="388"/>
      <c r="I1474" s="388"/>
    </row>
    <row r="1475" spans="1:9">
      <c r="A1475" s="408">
        <v>42398</v>
      </c>
      <c r="B1475" s="411">
        <v>1940.24</v>
      </c>
      <c r="C1475" s="418">
        <f t="shared" si="188"/>
        <v>2.476021464486422E-2</v>
      </c>
      <c r="D1475" s="411">
        <v>44.29</v>
      </c>
      <c r="E1475" s="418">
        <f t="shared" si="189"/>
        <v>2.5231481481481355E-2</v>
      </c>
      <c r="F1475" s="411"/>
      <c r="G1475" s="388"/>
      <c r="I1475" s="388"/>
    </row>
    <row r="1476" spans="1:9">
      <c r="A1476" s="408">
        <v>42397</v>
      </c>
      <c r="B1476" s="411">
        <v>1893.36</v>
      </c>
      <c r="C1476" s="418">
        <f t="shared" si="188"/>
        <v>5.5285589102205268E-3</v>
      </c>
      <c r="D1476" s="411">
        <v>43.2</v>
      </c>
      <c r="E1476" s="418">
        <f t="shared" si="189"/>
        <v>-3.3989266547405972E-2</v>
      </c>
      <c r="F1476" s="411"/>
      <c r="G1476" s="388"/>
      <c r="I1476" s="388"/>
    </row>
    <row r="1477" spans="1:9">
      <c r="A1477" s="408">
        <v>42396</v>
      </c>
      <c r="B1477" s="411">
        <v>1882.95</v>
      </c>
      <c r="C1477" s="418">
        <f t="shared" si="188"/>
        <v>-1.0863455608495332E-2</v>
      </c>
      <c r="D1477" s="411">
        <v>44.72</v>
      </c>
      <c r="E1477" s="418">
        <f t="shared" si="189"/>
        <v>-3.0145304706137521E-2</v>
      </c>
      <c r="F1477" s="411"/>
      <c r="G1477" s="388"/>
      <c r="I1477" s="388"/>
    </row>
    <row r="1478" spans="1:9">
      <c r="A1478" s="408">
        <v>42395</v>
      </c>
      <c r="B1478" s="411">
        <v>1903.63</v>
      </c>
      <c r="C1478" s="418">
        <f t="shared" si="188"/>
        <v>1.4144309246276299E-2</v>
      </c>
      <c r="D1478" s="411">
        <v>46.11</v>
      </c>
      <c r="E1478" s="418">
        <f t="shared" si="189"/>
        <v>3.7004788855028448E-3</v>
      </c>
      <c r="F1478" s="411"/>
      <c r="G1478" s="388"/>
      <c r="I1478" s="388"/>
    </row>
    <row r="1479" spans="1:9">
      <c r="A1479" s="408">
        <v>42394</v>
      </c>
      <c r="B1479" s="411">
        <v>1877.08</v>
      </c>
      <c r="C1479" s="418">
        <f t="shared" si="188"/>
        <v>-1.5637946405160252E-2</v>
      </c>
      <c r="D1479" s="411">
        <v>45.94</v>
      </c>
      <c r="E1479" s="418">
        <f t="shared" si="189"/>
        <v>-1.7536355859709141E-2</v>
      </c>
      <c r="F1479" s="411"/>
      <c r="G1479" s="388"/>
      <c r="I1479" s="388"/>
    </row>
    <row r="1480" spans="1:9">
      <c r="A1480" s="408">
        <v>42391</v>
      </c>
      <c r="B1480" s="411">
        <v>1906.9</v>
      </c>
      <c r="C1480" s="418">
        <f t="shared" ref="C1480:C1543" si="190">B1480/B1481-1</f>
        <v>2.0283682630725774E-2</v>
      </c>
      <c r="D1480" s="411">
        <v>46.76</v>
      </c>
      <c r="E1480" s="418">
        <f t="shared" ref="E1480:E1543" si="191">D1480/D1481-1</f>
        <v>5.1590713671538779E-3</v>
      </c>
      <c r="F1480" s="411"/>
      <c r="G1480" s="388"/>
      <c r="I1480" s="388"/>
    </row>
    <row r="1481" spans="1:9">
      <c r="A1481" s="408">
        <v>42390</v>
      </c>
      <c r="B1481" s="411">
        <v>1868.99</v>
      </c>
      <c r="C1481" s="418">
        <f t="shared" si="190"/>
        <v>5.195419855539507E-3</v>
      </c>
      <c r="D1481" s="411">
        <v>46.52</v>
      </c>
      <c r="E1481" s="418">
        <f t="shared" si="191"/>
        <v>1.8165900634712351E-2</v>
      </c>
      <c r="F1481" s="411"/>
      <c r="G1481" s="388"/>
      <c r="I1481" s="388"/>
    </row>
    <row r="1482" spans="1:9">
      <c r="A1482" s="408">
        <v>42389</v>
      </c>
      <c r="B1482" s="411">
        <v>1859.33</v>
      </c>
      <c r="C1482" s="418">
        <f t="shared" si="190"/>
        <v>-1.1693854879261001E-2</v>
      </c>
      <c r="D1482" s="411">
        <v>45.69</v>
      </c>
      <c r="E1482" s="418">
        <f t="shared" si="191"/>
        <v>-5.8746736292428769E-3</v>
      </c>
      <c r="F1482" s="411"/>
      <c r="G1482" s="388"/>
      <c r="I1482" s="388"/>
    </row>
    <row r="1483" spans="1:9">
      <c r="A1483" s="408">
        <v>42388</v>
      </c>
      <c r="B1483" s="411">
        <v>1881.33</v>
      </c>
      <c r="C1483" s="418">
        <f t="shared" si="190"/>
        <v>5.3182154196340647E-4</v>
      </c>
      <c r="D1483" s="411">
        <v>45.96</v>
      </c>
      <c r="E1483" s="418">
        <f t="shared" si="191"/>
        <v>3.2808988764045033E-2</v>
      </c>
      <c r="F1483" s="411"/>
      <c r="G1483" s="388"/>
      <c r="I1483" s="388"/>
    </row>
    <row r="1484" spans="1:9">
      <c r="A1484" s="408">
        <v>42384</v>
      </c>
      <c r="B1484" s="411">
        <v>1880.33</v>
      </c>
      <c r="C1484" s="418">
        <f t="shared" si="190"/>
        <v>-2.1599092536319309E-2</v>
      </c>
      <c r="D1484" s="411">
        <v>44.5</v>
      </c>
      <c r="E1484" s="418">
        <f t="shared" si="191"/>
        <v>-1.8526687251874785E-2</v>
      </c>
      <c r="F1484" s="411"/>
      <c r="G1484" s="388"/>
      <c r="I1484" s="388"/>
    </row>
    <row r="1485" spans="1:9">
      <c r="A1485" s="408">
        <v>42383</v>
      </c>
      <c r="B1485" s="411">
        <v>1921.84</v>
      </c>
      <c r="C1485" s="418">
        <f t="shared" si="190"/>
        <v>1.6695939225934708E-2</v>
      </c>
      <c r="D1485" s="411">
        <v>45.34</v>
      </c>
      <c r="E1485" s="418">
        <f t="shared" si="191"/>
        <v>8.9007565643079989E-3</v>
      </c>
      <c r="F1485" s="411"/>
      <c r="G1485" s="388"/>
      <c r="I1485" s="388"/>
    </row>
    <row r="1486" spans="1:9">
      <c r="A1486" s="408">
        <v>42382</v>
      </c>
      <c r="B1486" s="411">
        <v>1890.28</v>
      </c>
      <c r="C1486" s="418">
        <f t="shared" si="190"/>
        <v>-2.4965440402748285E-2</v>
      </c>
      <c r="D1486" s="411">
        <v>44.94</v>
      </c>
      <c r="E1486" s="418">
        <f t="shared" si="191"/>
        <v>-4.3015332197615108E-2</v>
      </c>
      <c r="F1486" s="411"/>
      <c r="G1486" s="388"/>
      <c r="I1486" s="388"/>
    </row>
    <row r="1487" spans="1:9">
      <c r="A1487" s="408">
        <v>42381</v>
      </c>
      <c r="B1487" s="411">
        <v>1938.68</v>
      </c>
      <c r="C1487" s="418">
        <f t="shared" si="190"/>
        <v>7.8027936184481561E-3</v>
      </c>
      <c r="D1487" s="411">
        <v>46.96</v>
      </c>
      <c r="E1487" s="418">
        <f t="shared" si="191"/>
        <v>4.7068891741548491E-3</v>
      </c>
      <c r="F1487" s="411"/>
      <c r="G1487" s="388"/>
      <c r="I1487" s="388"/>
    </row>
    <row r="1488" spans="1:9">
      <c r="A1488" s="408">
        <v>42380</v>
      </c>
      <c r="B1488" s="411">
        <v>1923.67</v>
      </c>
      <c r="C1488" s="418">
        <f t="shared" si="190"/>
        <v>8.5326451720324492E-4</v>
      </c>
      <c r="D1488" s="411">
        <v>46.74</v>
      </c>
      <c r="E1488" s="418">
        <f t="shared" si="191"/>
        <v>2.7891010512766101E-3</v>
      </c>
      <c r="F1488" s="411"/>
      <c r="G1488" s="388"/>
      <c r="I1488" s="388"/>
    </row>
    <row r="1489" spans="1:9">
      <c r="A1489" s="408">
        <v>42377</v>
      </c>
      <c r="B1489" s="411">
        <v>1922.03</v>
      </c>
      <c r="C1489" s="418">
        <f t="shared" si="190"/>
        <v>-1.083840686741222E-2</v>
      </c>
      <c r="D1489" s="411">
        <v>46.61</v>
      </c>
      <c r="E1489" s="418">
        <f t="shared" si="191"/>
        <v>-8.2978723404255605E-3</v>
      </c>
      <c r="F1489" s="411"/>
      <c r="G1489" s="388"/>
      <c r="I1489" s="388"/>
    </row>
    <row r="1490" spans="1:9">
      <c r="A1490" s="408">
        <v>42376</v>
      </c>
      <c r="B1490" s="411">
        <v>1943.09</v>
      </c>
      <c r="C1490" s="418">
        <f t="shared" si="190"/>
        <v>-2.3700421050516063E-2</v>
      </c>
      <c r="D1490" s="411">
        <v>47</v>
      </c>
      <c r="E1490" s="418">
        <f t="shared" si="191"/>
        <v>-3.9444103821786203E-2</v>
      </c>
      <c r="F1490" s="411"/>
      <c r="G1490" s="388"/>
      <c r="I1490" s="388"/>
    </row>
    <row r="1491" spans="1:9">
      <c r="A1491" s="408">
        <v>42375</v>
      </c>
      <c r="B1491" s="411">
        <v>1990.26</v>
      </c>
      <c r="C1491" s="418">
        <f t="shared" si="190"/>
        <v>-1.3115420660382515E-2</v>
      </c>
      <c r="D1491" s="411">
        <v>48.93</v>
      </c>
      <c r="E1491" s="418">
        <f t="shared" si="191"/>
        <v>7.4119827053735765E-3</v>
      </c>
      <c r="F1491" s="411"/>
      <c r="G1491" s="388"/>
      <c r="I1491" s="388"/>
    </row>
    <row r="1492" spans="1:9">
      <c r="A1492" s="408">
        <v>42374</v>
      </c>
      <c r="B1492" s="411">
        <v>2016.71</v>
      </c>
      <c r="C1492" s="418">
        <f t="shared" si="190"/>
        <v>2.0122623791400951E-3</v>
      </c>
      <c r="D1492" s="411">
        <v>48.57</v>
      </c>
      <c r="E1492" s="418">
        <f t="shared" si="191"/>
        <v>-1.8495684340319452E-3</v>
      </c>
      <c r="F1492" s="411"/>
      <c r="G1492" s="388"/>
      <c r="I1492" s="388"/>
    </row>
    <row r="1493" spans="1:9">
      <c r="A1493" s="408">
        <v>42373</v>
      </c>
      <c r="B1493" s="411">
        <v>2012.66</v>
      </c>
      <c r="C1493" s="418">
        <f t="shared" si="190"/>
        <v>-1.5303776040392569E-2</v>
      </c>
      <c r="D1493" s="411">
        <v>48.66</v>
      </c>
      <c r="E1493" s="418">
        <f t="shared" si="191"/>
        <v>-4.0047346616689738E-2</v>
      </c>
      <c r="F1493" s="411"/>
      <c r="G1493" s="388"/>
      <c r="I1493" s="388"/>
    </row>
    <row r="1494" spans="1:9">
      <c r="A1494" s="408">
        <v>42369</v>
      </c>
      <c r="B1494" s="411">
        <v>2043.94</v>
      </c>
      <c r="C1494" s="418">
        <f t="shared" si="190"/>
        <v>-9.411833126550917E-3</v>
      </c>
      <c r="D1494" s="411">
        <v>50.69</v>
      </c>
      <c r="E1494" s="418">
        <f t="shared" si="191"/>
        <v>-9.3804963846004785E-3</v>
      </c>
      <c r="F1494" s="411"/>
      <c r="G1494" s="388"/>
      <c r="I1494" s="388"/>
    </row>
    <row r="1495" spans="1:9">
      <c r="A1495" s="408">
        <v>42368</v>
      </c>
      <c r="B1495" s="411">
        <v>2063.36</v>
      </c>
      <c r="C1495" s="418">
        <f t="shared" si="190"/>
        <v>-7.2172289689947933E-3</v>
      </c>
      <c r="D1495" s="411">
        <v>51.17</v>
      </c>
      <c r="E1495" s="418">
        <f t="shared" si="191"/>
        <v>-1.916810427448723E-2</v>
      </c>
      <c r="F1495" s="411"/>
      <c r="G1495" s="388"/>
      <c r="I1495" s="388"/>
    </row>
    <row r="1496" spans="1:9">
      <c r="A1496" s="408">
        <v>42367</v>
      </c>
      <c r="B1496" s="411">
        <v>2078.36</v>
      </c>
      <c r="C1496" s="418">
        <f t="shared" si="190"/>
        <v>1.0629710673474513E-2</v>
      </c>
      <c r="D1496" s="411">
        <v>52.17</v>
      </c>
      <c r="E1496" s="418">
        <f t="shared" si="191"/>
        <v>4.2348411934551855E-3</v>
      </c>
      <c r="F1496" s="411"/>
      <c r="G1496" s="388"/>
      <c r="I1496" s="388"/>
    </row>
    <row r="1497" spans="1:9">
      <c r="A1497" s="408">
        <v>42366</v>
      </c>
      <c r="B1497" s="411">
        <v>2056.5</v>
      </c>
      <c r="C1497" s="418">
        <f t="shared" si="190"/>
        <v>-2.1785646703768036E-3</v>
      </c>
      <c r="D1497" s="411">
        <v>51.95</v>
      </c>
      <c r="E1497" s="418">
        <f t="shared" si="191"/>
        <v>-5.9318790662072907E-3</v>
      </c>
      <c r="F1497" s="411"/>
      <c r="G1497" s="388"/>
      <c r="I1497" s="388"/>
    </row>
    <row r="1498" spans="1:9">
      <c r="A1498" s="408">
        <v>42362</v>
      </c>
      <c r="B1498" s="411">
        <v>2060.9899999999998</v>
      </c>
      <c r="C1498" s="418">
        <f t="shared" si="190"/>
        <v>-1.5986125980361754E-3</v>
      </c>
      <c r="D1498" s="411">
        <v>52.26</v>
      </c>
      <c r="E1498" s="418">
        <f t="shared" si="191"/>
        <v>1.0050251256281229E-2</v>
      </c>
      <c r="F1498" s="411"/>
      <c r="G1498" s="388"/>
      <c r="I1498" s="388"/>
    </row>
    <row r="1499" spans="1:9">
      <c r="A1499" s="408">
        <v>42361</v>
      </c>
      <c r="B1499" s="411">
        <v>2064.29</v>
      </c>
      <c r="C1499" s="418">
        <f t="shared" si="190"/>
        <v>1.2418034595898853E-2</v>
      </c>
      <c r="D1499" s="411">
        <v>51.74</v>
      </c>
      <c r="E1499" s="418">
        <f t="shared" si="191"/>
        <v>-1.9323671497584183E-4</v>
      </c>
      <c r="F1499" s="411"/>
      <c r="G1499" s="388"/>
      <c r="I1499" s="388"/>
    </row>
    <row r="1500" spans="1:9">
      <c r="A1500" s="408">
        <v>42360</v>
      </c>
      <c r="B1500" s="411">
        <v>2038.97</v>
      </c>
      <c r="C1500" s="418">
        <f t="shared" si="190"/>
        <v>8.8167627340869359E-3</v>
      </c>
      <c r="D1500" s="411">
        <v>51.75</v>
      </c>
      <c r="E1500" s="418">
        <f t="shared" si="191"/>
        <v>5.6354450058297978E-3</v>
      </c>
      <c r="F1500" s="411"/>
      <c r="G1500" s="388"/>
      <c r="I1500" s="388"/>
    </row>
    <row r="1501" spans="1:9">
      <c r="A1501" s="408">
        <v>42359</v>
      </c>
      <c r="B1501" s="411">
        <v>2021.15</v>
      </c>
      <c r="C1501" s="418">
        <f t="shared" si="190"/>
        <v>7.7784148986563828E-3</v>
      </c>
      <c r="D1501" s="411">
        <v>51.46</v>
      </c>
      <c r="E1501" s="418">
        <f t="shared" si="191"/>
        <v>3.0024019215372233E-2</v>
      </c>
      <c r="F1501" s="411"/>
      <c r="G1501" s="388"/>
      <c r="I1501" s="388"/>
    </row>
    <row r="1502" spans="1:9">
      <c r="A1502" s="408">
        <v>42356</v>
      </c>
      <c r="B1502" s="411">
        <v>2005.55</v>
      </c>
      <c r="C1502" s="418">
        <f t="shared" si="190"/>
        <v>-1.7797236873680844E-2</v>
      </c>
      <c r="D1502" s="411">
        <v>49.96</v>
      </c>
      <c r="E1502" s="418">
        <f t="shared" si="191"/>
        <v>-2.0968058005095047E-2</v>
      </c>
      <c r="F1502" s="411"/>
      <c r="G1502" s="388"/>
      <c r="I1502" s="388"/>
    </row>
    <row r="1503" spans="1:9">
      <c r="A1503" s="408">
        <v>42355</v>
      </c>
      <c r="B1503" s="411">
        <v>2041.89</v>
      </c>
      <c r="C1503" s="418">
        <f t="shared" si="190"/>
        <v>-1.5040495497016582E-2</v>
      </c>
      <c r="D1503" s="411">
        <v>51.03</v>
      </c>
      <c r="E1503" s="418">
        <f t="shared" si="191"/>
        <v>-2.0913277052954649E-2</v>
      </c>
      <c r="F1503" s="411"/>
      <c r="G1503" s="388"/>
      <c r="I1503" s="388"/>
    </row>
    <row r="1504" spans="1:9">
      <c r="A1504" s="408">
        <v>42354</v>
      </c>
      <c r="B1504" s="411">
        <v>2073.0700000000002</v>
      </c>
      <c r="C1504" s="418">
        <f t="shared" si="190"/>
        <v>1.4514952946300674E-2</v>
      </c>
      <c r="D1504" s="411">
        <v>52.12</v>
      </c>
      <c r="E1504" s="418">
        <f t="shared" si="191"/>
        <v>1.8963831867057745E-2</v>
      </c>
      <c r="F1504" s="411"/>
      <c r="G1504" s="388"/>
      <c r="I1504" s="388"/>
    </row>
    <row r="1505" spans="1:9">
      <c r="A1505" s="408">
        <v>42353</v>
      </c>
      <c r="B1505" s="411">
        <v>2043.41</v>
      </c>
      <c r="C1505" s="418">
        <f t="shared" si="190"/>
        <v>1.0618514891638675E-2</v>
      </c>
      <c r="D1505" s="411">
        <v>51.15</v>
      </c>
      <c r="E1505" s="418">
        <f t="shared" si="191"/>
        <v>1.9330410522120367E-2</v>
      </c>
      <c r="F1505" s="411"/>
      <c r="G1505" s="388"/>
      <c r="I1505" s="388"/>
    </row>
    <row r="1506" spans="1:9">
      <c r="A1506" s="408">
        <v>42352</v>
      </c>
      <c r="B1506" s="411">
        <v>2021.94</v>
      </c>
      <c r="C1506" s="418">
        <f t="shared" si="190"/>
        <v>4.7555866962836202E-3</v>
      </c>
      <c r="D1506" s="411">
        <v>50.18</v>
      </c>
      <c r="E1506" s="418">
        <f t="shared" si="191"/>
        <v>1.8262987012986898E-2</v>
      </c>
      <c r="F1506" s="411"/>
      <c r="G1506" s="388"/>
      <c r="I1506" s="388"/>
    </row>
    <row r="1507" spans="1:9">
      <c r="A1507" s="408">
        <v>42349</v>
      </c>
      <c r="B1507" s="411">
        <v>2012.37</v>
      </c>
      <c r="C1507" s="418">
        <f t="shared" si="190"/>
        <v>-1.9422774250449582E-2</v>
      </c>
      <c r="D1507" s="411">
        <v>49.28</v>
      </c>
      <c r="E1507" s="418">
        <f t="shared" si="191"/>
        <v>-3.9001560062402518E-2</v>
      </c>
      <c r="F1507" s="411"/>
      <c r="G1507" s="388"/>
      <c r="I1507" s="388"/>
    </row>
    <row r="1508" spans="1:9">
      <c r="A1508" s="408">
        <v>42348</v>
      </c>
      <c r="B1508" s="411">
        <v>2052.23</v>
      </c>
      <c r="C1508" s="418">
        <f t="shared" si="190"/>
        <v>2.2513943016770899E-3</v>
      </c>
      <c r="D1508" s="411">
        <v>51.28</v>
      </c>
      <c r="E1508" s="418">
        <f t="shared" si="191"/>
        <v>3.5750353463946727E-2</v>
      </c>
      <c r="F1508" s="411"/>
      <c r="G1508" s="388"/>
      <c r="I1508" s="388"/>
    </row>
    <row r="1509" spans="1:9">
      <c r="A1509" s="408">
        <v>42347</v>
      </c>
      <c r="B1509" s="411">
        <v>2047.62</v>
      </c>
      <c r="C1509" s="418">
        <f t="shared" si="190"/>
        <v>-7.7389403902908827E-3</v>
      </c>
      <c r="D1509" s="411">
        <v>49.51</v>
      </c>
      <c r="E1509" s="418">
        <f t="shared" si="191"/>
        <v>-1.5118360851402501E-2</v>
      </c>
      <c r="F1509" s="411"/>
      <c r="G1509" s="388"/>
      <c r="I1509" s="388"/>
    </row>
    <row r="1510" spans="1:9">
      <c r="A1510" s="408">
        <v>42346</v>
      </c>
      <c r="B1510" s="411">
        <v>2063.59</v>
      </c>
      <c r="C1510" s="418">
        <f t="shared" si="190"/>
        <v>-6.489911269239812E-3</v>
      </c>
      <c r="D1510" s="411">
        <v>50.27</v>
      </c>
      <c r="E1510" s="418">
        <f t="shared" si="191"/>
        <v>-2.9161838547701824E-2</v>
      </c>
      <c r="F1510" s="411"/>
      <c r="G1510" s="388"/>
      <c r="I1510" s="388"/>
    </row>
    <row r="1511" spans="1:9">
      <c r="A1511" s="408">
        <v>42345</v>
      </c>
      <c r="B1511" s="411">
        <v>2077.0700000000002</v>
      </c>
      <c r="C1511" s="418">
        <f t="shared" si="190"/>
        <v>-6.9895634630370296E-3</v>
      </c>
      <c r="D1511" s="411">
        <v>51.78</v>
      </c>
      <c r="E1511" s="418">
        <f t="shared" si="191"/>
        <v>4.0176777822418686E-2</v>
      </c>
      <c r="F1511" s="411"/>
      <c r="G1511" s="388"/>
      <c r="I1511" s="388"/>
    </row>
    <row r="1512" spans="1:9">
      <c r="A1512" s="408">
        <v>42342</v>
      </c>
      <c r="B1512" s="411">
        <v>2091.69</v>
      </c>
      <c r="C1512" s="418">
        <f t="shared" si="190"/>
        <v>2.0525755993794137E-2</v>
      </c>
      <c r="D1512" s="411">
        <v>49.78</v>
      </c>
      <c r="E1512" s="418">
        <f t="shared" si="191"/>
        <v>3.2351721277478207E-2</v>
      </c>
      <c r="F1512" s="411"/>
      <c r="G1512" s="388"/>
      <c r="I1512" s="388"/>
    </row>
    <row r="1513" spans="1:9">
      <c r="A1513" s="408">
        <v>42341</v>
      </c>
      <c r="B1513" s="411">
        <v>2049.62</v>
      </c>
      <c r="C1513" s="418">
        <f t="shared" si="190"/>
        <v>-1.4373578391063457E-2</v>
      </c>
      <c r="D1513" s="411">
        <v>48.22</v>
      </c>
      <c r="E1513" s="418">
        <f t="shared" si="191"/>
        <v>-2.2760190357955512E-3</v>
      </c>
      <c r="F1513" s="411"/>
      <c r="G1513" s="388"/>
      <c r="I1513" s="388"/>
    </row>
    <row r="1514" spans="1:9">
      <c r="A1514" s="408">
        <v>42340</v>
      </c>
      <c r="B1514" s="411">
        <v>2079.5100000000002</v>
      </c>
      <c r="C1514" s="418">
        <f t="shared" si="190"/>
        <v>-1.0995752937987158E-2</v>
      </c>
      <c r="D1514" s="411">
        <v>48.33</v>
      </c>
      <c r="E1514" s="418">
        <f t="shared" si="191"/>
        <v>1.3845185651353065E-2</v>
      </c>
      <c r="F1514" s="411"/>
      <c r="G1514" s="388"/>
      <c r="I1514" s="388"/>
    </row>
    <row r="1515" spans="1:9">
      <c r="A1515" s="408">
        <v>42339</v>
      </c>
      <c r="B1515" s="411">
        <v>2102.63</v>
      </c>
      <c r="C1515" s="418">
        <f t="shared" si="190"/>
        <v>1.0680586999677999E-2</v>
      </c>
      <c r="D1515" s="411">
        <v>47.67</v>
      </c>
      <c r="E1515" s="418">
        <f t="shared" si="191"/>
        <v>2.6043908738699884E-2</v>
      </c>
      <c r="F1515" s="411"/>
      <c r="G1515" s="388"/>
      <c r="I1515" s="388"/>
    </row>
    <row r="1516" spans="1:9">
      <c r="A1516" s="408">
        <v>42338</v>
      </c>
      <c r="B1516" s="411">
        <v>2080.41</v>
      </c>
      <c r="C1516" s="418">
        <f t="shared" si="190"/>
        <v>-4.6409040672501511E-3</v>
      </c>
      <c r="D1516" s="411">
        <v>46.46</v>
      </c>
      <c r="E1516" s="418">
        <f t="shared" si="191"/>
        <v>-1.4425116673737803E-2</v>
      </c>
      <c r="F1516" s="411"/>
      <c r="G1516" s="388"/>
      <c r="I1516" s="388"/>
    </row>
    <row r="1517" spans="1:9">
      <c r="A1517" s="408">
        <v>42335</v>
      </c>
      <c r="B1517" s="411">
        <v>2090.11</v>
      </c>
      <c r="C1517" s="418">
        <f t="shared" si="190"/>
        <v>5.9362238913873711E-4</v>
      </c>
      <c r="D1517" s="411">
        <v>47.14</v>
      </c>
      <c r="E1517" s="418">
        <f t="shared" si="191"/>
        <v>5.7606144655431013E-3</v>
      </c>
      <c r="F1517" s="411"/>
      <c r="G1517" s="388"/>
      <c r="I1517" s="388"/>
    </row>
    <row r="1518" spans="1:9">
      <c r="A1518" s="408">
        <v>42333</v>
      </c>
      <c r="B1518" s="411">
        <v>2088.87</v>
      </c>
      <c r="C1518" s="418">
        <f t="shared" si="190"/>
        <v>-1.2923978287715521E-4</v>
      </c>
      <c r="D1518" s="411">
        <v>46.87</v>
      </c>
      <c r="E1518" s="418">
        <f t="shared" si="191"/>
        <v>-7.8323454699408268E-3</v>
      </c>
      <c r="F1518" s="411"/>
      <c r="G1518" s="388"/>
      <c r="I1518" s="388"/>
    </row>
    <row r="1519" spans="1:9">
      <c r="A1519" s="408">
        <v>42332</v>
      </c>
      <c r="B1519" s="411">
        <v>2089.14</v>
      </c>
      <c r="C1519" s="418">
        <f t="shared" si="190"/>
        <v>1.2220896294909966E-3</v>
      </c>
      <c r="D1519" s="411">
        <v>47.24</v>
      </c>
      <c r="E1519" s="418">
        <f t="shared" si="191"/>
        <v>-3.0775543701272001E-2</v>
      </c>
      <c r="F1519" s="411"/>
      <c r="G1519" s="388"/>
      <c r="I1519" s="388"/>
    </row>
    <row r="1520" spans="1:9">
      <c r="A1520" s="408">
        <v>42331</v>
      </c>
      <c r="B1520" s="411">
        <v>2086.59</v>
      </c>
      <c r="C1520" s="418">
        <f t="shared" si="190"/>
        <v>-1.2349401915593416E-3</v>
      </c>
      <c r="D1520" s="411">
        <v>48.74</v>
      </c>
      <c r="E1520" s="418">
        <f t="shared" si="191"/>
        <v>-4.1017227235429221E-4</v>
      </c>
      <c r="F1520" s="411"/>
      <c r="G1520" s="388"/>
      <c r="I1520" s="388"/>
    </row>
    <row r="1521" spans="1:9">
      <c r="A1521" s="408">
        <v>42328</v>
      </c>
      <c r="B1521" s="411">
        <v>2089.17</v>
      </c>
      <c r="C1521" s="418">
        <f t="shared" si="190"/>
        <v>3.8102285176146999E-3</v>
      </c>
      <c r="D1521" s="411">
        <v>48.76</v>
      </c>
      <c r="E1521" s="418">
        <f t="shared" si="191"/>
        <v>5.1535765821479895E-3</v>
      </c>
      <c r="F1521" s="411"/>
      <c r="G1521" s="388"/>
      <c r="I1521" s="388"/>
    </row>
    <row r="1522" spans="1:9">
      <c r="A1522" s="408">
        <v>42327</v>
      </c>
      <c r="B1522" s="411">
        <v>2081.2399999999998</v>
      </c>
      <c r="C1522" s="418">
        <f t="shared" si="190"/>
        <v>-1.1230670288638889E-3</v>
      </c>
      <c r="D1522" s="411">
        <v>48.51</v>
      </c>
      <c r="E1522" s="418">
        <f t="shared" si="191"/>
        <v>1.5916230366492146E-2</v>
      </c>
      <c r="F1522" s="411"/>
      <c r="G1522" s="388"/>
      <c r="I1522" s="388"/>
    </row>
    <row r="1523" spans="1:9">
      <c r="A1523" s="408">
        <v>42326</v>
      </c>
      <c r="B1523" s="411">
        <v>2083.58</v>
      </c>
      <c r="C1523" s="418">
        <f t="shared" si="190"/>
        <v>1.6162384658902518E-2</v>
      </c>
      <c r="D1523" s="411">
        <v>47.75</v>
      </c>
      <c r="E1523" s="418">
        <f t="shared" si="191"/>
        <v>-4.1867280720120359E-4</v>
      </c>
      <c r="F1523" s="411"/>
      <c r="G1523" s="388"/>
      <c r="I1523" s="388"/>
    </row>
    <row r="1524" spans="1:9">
      <c r="A1524" s="408">
        <v>42325</v>
      </c>
      <c r="B1524" s="411">
        <v>2050.44</v>
      </c>
      <c r="C1524" s="418">
        <f t="shared" si="190"/>
        <v>-1.3393792099123392E-3</v>
      </c>
      <c r="D1524" s="411">
        <v>47.77</v>
      </c>
      <c r="E1524" s="418">
        <f t="shared" si="191"/>
        <v>-3.3382015439181734E-3</v>
      </c>
      <c r="F1524" s="411"/>
      <c r="G1524" s="388"/>
      <c r="I1524" s="388"/>
    </row>
    <row r="1525" spans="1:9">
      <c r="A1525" s="408">
        <v>42324</v>
      </c>
      <c r="B1525" s="411">
        <v>2053.19</v>
      </c>
      <c r="C1525" s="418">
        <f t="shared" si="190"/>
        <v>1.4903313824738973E-2</v>
      </c>
      <c r="D1525" s="411">
        <v>47.93</v>
      </c>
      <c r="E1525" s="418">
        <f t="shared" si="191"/>
        <v>-2.1637068789548963E-2</v>
      </c>
      <c r="F1525" s="411"/>
      <c r="G1525" s="388"/>
      <c r="I1525" s="388"/>
    </row>
    <row r="1526" spans="1:9">
      <c r="A1526" s="408">
        <v>42321</v>
      </c>
      <c r="B1526" s="411">
        <v>2023.04</v>
      </c>
      <c r="C1526" s="418">
        <f t="shared" si="190"/>
        <v>-1.1207397957936904E-2</v>
      </c>
      <c r="D1526" s="411">
        <v>48.99</v>
      </c>
      <c r="E1526" s="418">
        <f t="shared" si="191"/>
        <v>-1.9807923169267605E-2</v>
      </c>
      <c r="F1526" s="411"/>
      <c r="G1526" s="388"/>
      <c r="I1526" s="388"/>
    </row>
    <row r="1527" spans="1:9">
      <c r="A1527" s="408">
        <v>42320</v>
      </c>
      <c r="B1527" s="411">
        <v>2045.97</v>
      </c>
      <c r="C1527" s="418">
        <f t="shared" si="190"/>
        <v>-1.3990361445783139E-2</v>
      </c>
      <c r="D1527" s="411">
        <v>49.98</v>
      </c>
      <c r="E1527" s="418">
        <f t="shared" si="191"/>
        <v>0</v>
      </c>
      <c r="F1527" s="411"/>
      <c r="G1527" s="388"/>
      <c r="I1527" s="388"/>
    </row>
    <row r="1528" spans="1:9">
      <c r="A1528" s="408">
        <v>42319</v>
      </c>
      <c r="B1528" s="411">
        <v>2075</v>
      </c>
      <c r="C1528" s="418">
        <f t="shared" si="190"/>
        <v>-3.2280998405164185E-3</v>
      </c>
      <c r="D1528" s="411">
        <v>49.98</v>
      </c>
      <c r="E1528" s="418">
        <f t="shared" si="191"/>
        <v>-6.3618290258449228E-3</v>
      </c>
      <c r="F1528" s="411"/>
      <c r="G1528" s="388"/>
      <c r="I1528" s="388"/>
    </row>
    <row r="1529" spans="1:9">
      <c r="A1529" s="408">
        <v>42318</v>
      </c>
      <c r="B1529" s="411">
        <v>2081.7199999999998</v>
      </c>
      <c r="C1529" s="418">
        <f t="shared" si="190"/>
        <v>1.5106466914911465E-3</v>
      </c>
      <c r="D1529" s="411">
        <v>50.3</v>
      </c>
      <c r="E1529" s="418">
        <f t="shared" si="191"/>
        <v>-6.5178747777998591E-3</v>
      </c>
      <c r="F1529" s="411"/>
      <c r="G1529" s="388"/>
      <c r="I1529" s="388"/>
    </row>
    <row r="1530" spans="1:9">
      <c r="A1530" s="408">
        <v>42317</v>
      </c>
      <c r="B1530" s="411">
        <v>2078.58</v>
      </c>
      <c r="C1530" s="418">
        <f t="shared" si="190"/>
        <v>-9.8227896341462895E-3</v>
      </c>
      <c r="D1530" s="411">
        <v>50.63</v>
      </c>
      <c r="E1530" s="418">
        <f t="shared" si="191"/>
        <v>-1.1132812499999978E-2</v>
      </c>
      <c r="F1530" s="411"/>
      <c r="G1530" s="388"/>
      <c r="I1530" s="388"/>
    </row>
    <row r="1531" spans="1:9">
      <c r="A1531" s="408">
        <v>42314</v>
      </c>
      <c r="B1531" s="411">
        <v>2099.1999999999998</v>
      </c>
      <c r="C1531" s="418">
        <f t="shared" si="190"/>
        <v>-3.4763063530685034E-4</v>
      </c>
      <c r="D1531" s="411">
        <v>51.2</v>
      </c>
      <c r="E1531" s="418">
        <f t="shared" si="191"/>
        <v>1.3058963197467355E-2</v>
      </c>
      <c r="F1531" s="411"/>
      <c r="G1531" s="388"/>
      <c r="I1531" s="388"/>
    </row>
    <row r="1532" spans="1:9">
      <c r="A1532" s="408">
        <v>42313</v>
      </c>
      <c r="B1532" s="411">
        <v>2099.9299999999998</v>
      </c>
      <c r="C1532" s="418">
        <f t="shared" si="190"/>
        <v>-1.1320880364932284E-3</v>
      </c>
      <c r="D1532" s="411">
        <v>50.54</v>
      </c>
      <c r="E1532" s="418">
        <f t="shared" si="191"/>
        <v>-2.3687327279904302E-3</v>
      </c>
      <c r="F1532" s="411"/>
      <c r="G1532" s="388"/>
      <c r="I1532" s="388"/>
    </row>
    <row r="1533" spans="1:9">
      <c r="A1533" s="408">
        <v>42312</v>
      </c>
      <c r="B1533" s="411">
        <v>2102.31</v>
      </c>
      <c r="C1533" s="418">
        <f t="shared" si="190"/>
        <v>-3.5453765540646165E-3</v>
      </c>
      <c r="D1533" s="411">
        <v>50.66</v>
      </c>
      <c r="E1533" s="418">
        <f t="shared" si="191"/>
        <v>-6.6666666666667096E-3</v>
      </c>
      <c r="F1533" s="411"/>
      <c r="G1533" s="388"/>
      <c r="I1533" s="388"/>
    </row>
    <row r="1534" spans="1:9">
      <c r="A1534" s="408">
        <v>42311</v>
      </c>
      <c r="B1534" s="411">
        <v>2109.79</v>
      </c>
      <c r="C1534" s="418">
        <f t="shared" si="190"/>
        <v>2.7280720515194812E-3</v>
      </c>
      <c r="D1534" s="411">
        <v>51</v>
      </c>
      <c r="E1534" s="418">
        <f t="shared" si="191"/>
        <v>5.9171597633136397E-3</v>
      </c>
      <c r="F1534" s="411"/>
      <c r="G1534" s="388"/>
      <c r="I1534" s="388"/>
    </row>
    <row r="1535" spans="1:9">
      <c r="A1535" s="408">
        <v>42310</v>
      </c>
      <c r="B1535" s="411">
        <v>2104.0500000000002</v>
      </c>
      <c r="C1535" s="418">
        <f t="shared" si="190"/>
        <v>1.1873845798707316E-2</v>
      </c>
      <c r="D1535" s="411">
        <v>50.7</v>
      </c>
      <c r="E1535" s="418">
        <f t="shared" si="191"/>
        <v>-2.7537372147915518E-3</v>
      </c>
      <c r="F1535" s="411"/>
      <c r="G1535" s="388"/>
      <c r="I1535" s="388"/>
    </row>
    <row r="1536" spans="1:9">
      <c r="A1536" s="408">
        <v>42307</v>
      </c>
      <c r="B1536" s="411">
        <v>2079.36</v>
      </c>
      <c r="C1536" s="418">
        <f t="shared" si="190"/>
        <v>-4.8099702786910115E-3</v>
      </c>
      <c r="D1536" s="411">
        <v>50.84</v>
      </c>
      <c r="E1536" s="418">
        <f t="shared" si="191"/>
        <v>6.7326732673267387E-3</v>
      </c>
      <c r="F1536" s="411"/>
      <c r="G1536" s="388"/>
      <c r="I1536" s="388"/>
    </row>
    <row r="1537" spans="1:9">
      <c r="A1537" s="408">
        <v>42306</v>
      </c>
      <c r="B1537" s="411">
        <v>2089.41</v>
      </c>
      <c r="C1537" s="418">
        <f t="shared" si="190"/>
        <v>-4.4968545937285054E-4</v>
      </c>
      <c r="D1537" s="411">
        <v>50.5</v>
      </c>
      <c r="E1537" s="418">
        <f t="shared" si="191"/>
        <v>7.1798962903868446E-3</v>
      </c>
      <c r="F1537" s="411"/>
      <c r="G1537" s="388"/>
      <c r="I1537" s="388"/>
    </row>
    <row r="1538" spans="1:9">
      <c r="A1538" s="408">
        <v>42305</v>
      </c>
      <c r="B1538" s="411">
        <v>2090.35</v>
      </c>
      <c r="C1538" s="418">
        <f t="shared" si="190"/>
        <v>1.1839933394323987E-2</v>
      </c>
      <c r="D1538" s="411">
        <v>50.14</v>
      </c>
      <c r="E1538" s="418">
        <f t="shared" si="191"/>
        <v>-1.4350304698250382E-2</v>
      </c>
      <c r="F1538" s="411"/>
      <c r="G1538" s="388"/>
      <c r="I1538" s="388"/>
    </row>
    <row r="1539" spans="1:9">
      <c r="A1539" s="408">
        <v>42304</v>
      </c>
      <c r="B1539" s="411">
        <v>2065.89</v>
      </c>
      <c r="C1539" s="418">
        <f t="shared" si="190"/>
        <v>-2.5540995953997614E-3</v>
      </c>
      <c r="D1539" s="411">
        <v>50.87</v>
      </c>
      <c r="E1539" s="418">
        <f t="shared" si="191"/>
        <v>-8.7685113016368055E-3</v>
      </c>
      <c r="F1539" s="411"/>
      <c r="G1539" s="388"/>
      <c r="I1539" s="388"/>
    </row>
    <row r="1540" spans="1:9">
      <c r="A1540" s="408">
        <v>42303</v>
      </c>
      <c r="B1540" s="411">
        <v>2071.1799999999998</v>
      </c>
      <c r="C1540" s="418">
        <f t="shared" si="190"/>
        <v>-1.9131147145990957E-3</v>
      </c>
      <c r="D1540" s="411">
        <v>51.32</v>
      </c>
      <c r="E1540" s="418">
        <f t="shared" si="191"/>
        <v>6.2745098039216352E-3</v>
      </c>
      <c r="F1540" s="411"/>
      <c r="G1540" s="388"/>
      <c r="I1540" s="388"/>
    </row>
    <row r="1541" spans="1:9">
      <c r="A1541" s="408">
        <v>42300</v>
      </c>
      <c r="B1541" s="411">
        <v>2075.15</v>
      </c>
      <c r="C1541" s="418">
        <f t="shared" si="190"/>
        <v>1.1030396928638497E-2</v>
      </c>
      <c r="D1541" s="411">
        <v>51</v>
      </c>
      <c r="E1541" s="418">
        <f t="shared" si="191"/>
        <v>3.7394213737453885E-3</v>
      </c>
      <c r="F1541" s="411"/>
      <c r="G1541" s="388"/>
      <c r="I1541" s="388"/>
    </row>
    <row r="1542" spans="1:9">
      <c r="A1542" s="408">
        <v>42299</v>
      </c>
      <c r="B1542" s="411">
        <v>2052.5100000000002</v>
      </c>
      <c r="C1542" s="418">
        <f t="shared" si="190"/>
        <v>1.6627537222502875E-2</v>
      </c>
      <c r="D1542" s="411">
        <v>50.81</v>
      </c>
      <c r="E1542" s="418">
        <f t="shared" si="191"/>
        <v>2.7710355987055069E-2</v>
      </c>
      <c r="F1542" s="411"/>
      <c r="G1542" s="388"/>
      <c r="I1542" s="388"/>
    </row>
    <row r="1543" spans="1:9">
      <c r="A1543" s="408">
        <v>42298</v>
      </c>
      <c r="B1543" s="411">
        <v>2018.94</v>
      </c>
      <c r="C1543" s="418">
        <f t="shared" si="190"/>
        <v>-5.8253765812966707E-3</v>
      </c>
      <c r="D1543" s="411">
        <v>49.44</v>
      </c>
      <c r="E1543" s="418">
        <f t="shared" si="191"/>
        <v>-1.4157527417746785E-2</v>
      </c>
      <c r="F1543" s="411"/>
      <c r="G1543" s="388"/>
      <c r="I1543" s="388"/>
    </row>
    <row r="1544" spans="1:9">
      <c r="A1544" s="408">
        <v>42297</v>
      </c>
      <c r="B1544" s="411">
        <v>2030.77</v>
      </c>
      <c r="C1544" s="418">
        <f t="shared" ref="C1544:C1607" si="192">B1544/B1545-1</f>
        <v>-1.4210831702448079E-3</v>
      </c>
      <c r="D1544" s="411">
        <v>50.15</v>
      </c>
      <c r="E1544" s="418">
        <f t="shared" ref="E1544:E1607" si="193">D1544/D1545-1</f>
        <v>-2.3871096081162779E-3</v>
      </c>
      <c r="F1544" s="411"/>
      <c r="G1544" s="388"/>
      <c r="I1544" s="388"/>
    </row>
    <row r="1545" spans="1:9">
      <c r="A1545" s="408">
        <v>42296</v>
      </c>
      <c r="B1545" s="411">
        <v>2033.66</v>
      </c>
      <c r="C1545" s="418">
        <f t="shared" si="192"/>
        <v>2.7052151629769483E-4</v>
      </c>
      <c r="D1545" s="411">
        <v>50.27</v>
      </c>
      <c r="E1545" s="418">
        <f t="shared" si="193"/>
        <v>2.3412052117264048E-2</v>
      </c>
      <c r="F1545" s="411"/>
      <c r="G1545" s="388"/>
      <c r="I1545" s="388"/>
    </row>
    <row r="1546" spans="1:9">
      <c r="A1546" s="408">
        <v>42293</v>
      </c>
      <c r="B1546" s="411">
        <v>2033.11</v>
      </c>
      <c r="C1546" s="418">
        <f t="shared" si="192"/>
        <v>4.5704742422894018E-3</v>
      </c>
      <c r="D1546" s="411">
        <v>49.12</v>
      </c>
      <c r="E1546" s="418">
        <f t="shared" si="193"/>
        <v>3.8830983036990396E-3</v>
      </c>
      <c r="F1546" s="411"/>
      <c r="G1546" s="388"/>
      <c r="I1546" s="388"/>
    </row>
    <row r="1547" spans="1:9">
      <c r="A1547" s="408">
        <v>42292</v>
      </c>
      <c r="B1547" s="411">
        <v>2023.86</v>
      </c>
      <c r="C1547" s="418">
        <f t="shared" si="192"/>
        <v>1.4852775994865119E-2</v>
      </c>
      <c r="D1547" s="411">
        <v>48.93</v>
      </c>
      <c r="E1547" s="418">
        <f t="shared" si="193"/>
        <v>6.9973245523768934E-3</v>
      </c>
      <c r="F1547" s="411"/>
      <c r="G1547" s="388"/>
      <c r="I1547" s="388"/>
    </row>
    <row r="1548" spans="1:9">
      <c r="A1548" s="408">
        <v>42291</v>
      </c>
      <c r="B1548" s="411">
        <v>1994.24</v>
      </c>
      <c r="C1548" s="418">
        <f t="shared" si="192"/>
        <v>-4.7162984293978027E-3</v>
      </c>
      <c r="D1548" s="411">
        <v>48.59</v>
      </c>
      <c r="E1548" s="418">
        <f t="shared" si="193"/>
        <v>1.8018018018018056E-2</v>
      </c>
      <c r="F1548" s="411"/>
      <c r="G1548" s="388"/>
      <c r="I1548" s="388"/>
    </row>
    <row r="1549" spans="1:9">
      <c r="A1549" s="408">
        <v>42290</v>
      </c>
      <c r="B1549" s="411">
        <v>2003.69</v>
      </c>
      <c r="C1549" s="418">
        <f t="shared" si="192"/>
        <v>-6.8254141346049124E-3</v>
      </c>
      <c r="D1549" s="411">
        <v>47.73</v>
      </c>
      <c r="E1549" s="418">
        <f t="shared" si="193"/>
        <v>-1.5876288659793847E-2</v>
      </c>
      <c r="F1549" s="411"/>
      <c r="G1549" s="388"/>
      <c r="I1549" s="388"/>
    </row>
    <row r="1550" spans="1:9">
      <c r="A1550" s="408">
        <v>42289</v>
      </c>
      <c r="B1550" s="411">
        <v>2017.46</v>
      </c>
      <c r="C1550" s="418">
        <f t="shared" si="192"/>
        <v>1.2755038736604885E-3</v>
      </c>
      <c r="D1550" s="411">
        <v>48.5</v>
      </c>
      <c r="E1550" s="418">
        <f t="shared" si="193"/>
        <v>2.732471933912306E-2</v>
      </c>
      <c r="F1550" s="411"/>
      <c r="G1550" s="388"/>
      <c r="I1550" s="388"/>
    </row>
    <row r="1551" spans="1:9">
      <c r="A1551" s="408">
        <v>42286</v>
      </c>
      <c r="B1551" s="411">
        <v>2014.89</v>
      </c>
      <c r="C1551" s="418">
        <f t="shared" si="192"/>
        <v>7.2513074703373093E-4</v>
      </c>
      <c r="D1551" s="411">
        <v>47.21</v>
      </c>
      <c r="E1551" s="418">
        <f t="shared" si="193"/>
        <v>2.7197563098346311E-2</v>
      </c>
      <c r="F1551" s="411"/>
      <c r="G1551" s="388"/>
      <c r="I1551" s="388"/>
    </row>
    <row r="1552" spans="1:9">
      <c r="A1552" s="408">
        <v>42285</v>
      </c>
      <c r="B1552" s="411">
        <v>2013.43</v>
      </c>
      <c r="C1552" s="418">
        <f t="shared" si="192"/>
        <v>8.818386335509576E-3</v>
      </c>
      <c r="D1552" s="411">
        <v>45.96</v>
      </c>
      <c r="E1552" s="418">
        <f t="shared" si="193"/>
        <v>-6.5231572080892697E-4</v>
      </c>
      <c r="F1552" s="411"/>
      <c r="G1552" s="388"/>
      <c r="I1552" s="388"/>
    </row>
    <row r="1553" spans="1:9">
      <c r="A1553" s="408">
        <v>42284</v>
      </c>
      <c r="B1553" s="411">
        <v>1995.83</v>
      </c>
      <c r="C1553" s="418">
        <f t="shared" si="192"/>
        <v>8.0356782092205759E-3</v>
      </c>
      <c r="D1553" s="411">
        <v>45.99</v>
      </c>
      <c r="E1553" s="418">
        <f t="shared" si="193"/>
        <v>1.9960079840319223E-2</v>
      </c>
      <c r="F1553" s="411"/>
      <c r="G1553" s="388"/>
      <c r="I1553" s="388"/>
    </row>
    <row r="1554" spans="1:9">
      <c r="A1554" s="408">
        <v>42283</v>
      </c>
      <c r="B1554" s="411">
        <v>1979.92</v>
      </c>
      <c r="C1554" s="418">
        <f t="shared" si="192"/>
        <v>-3.5882338139452408E-3</v>
      </c>
      <c r="D1554" s="411">
        <v>45.09</v>
      </c>
      <c r="E1554" s="418">
        <f t="shared" si="193"/>
        <v>-3.9821124361158367E-2</v>
      </c>
      <c r="F1554" s="411"/>
      <c r="G1554" s="388"/>
      <c r="I1554" s="388"/>
    </row>
    <row r="1555" spans="1:9">
      <c r="A1555" s="408">
        <v>42282</v>
      </c>
      <c r="B1555" s="411">
        <v>1987.05</v>
      </c>
      <c r="C1555" s="418">
        <f t="shared" si="192"/>
        <v>1.8289808133814311E-2</v>
      </c>
      <c r="D1555" s="411">
        <v>46.96</v>
      </c>
      <c r="E1555" s="418">
        <f t="shared" si="193"/>
        <v>4.6579006017383628E-2</v>
      </c>
      <c r="F1555" s="411"/>
      <c r="G1555" s="388"/>
      <c r="I1555" s="388"/>
    </row>
    <row r="1556" spans="1:9">
      <c r="A1556" s="408">
        <v>42279</v>
      </c>
      <c r="B1556" s="411">
        <v>1951.36</v>
      </c>
      <c r="C1556" s="418">
        <f t="shared" si="192"/>
        <v>1.4315268580220586E-2</v>
      </c>
      <c r="D1556" s="411">
        <v>44.87</v>
      </c>
      <c r="E1556" s="418">
        <f t="shared" si="193"/>
        <v>-1.1891653820744308E-2</v>
      </c>
      <c r="F1556" s="411"/>
      <c r="G1556" s="388"/>
      <c r="I1556" s="388"/>
    </row>
    <row r="1557" spans="1:9">
      <c r="A1557" s="408">
        <v>42278</v>
      </c>
      <c r="B1557" s="411">
        <v>1923.82</v>
      </c>
      <c r="C1557" s="418">
        <f t="shared" si="192"/>
        <v>1.9739274907162319E-3</v>
      </c>
      <c r="D1557" s="411">
        <v>45.41</v>
      </c>
      <c r="E1557" s="418">
        <f t="shared" si="193"/>
        <v>1.2034767104969868E-2</v>
      </c>
      <c r="F1557" s="411"/>
      <c r="G1557" s="388"/>
      <c r="I1557" s="388"/>
    </row>
    <row r="1558" spans="1:9">
      <c r="A1558" s="408">
        <v>42277</v>
      </c>
      <c r="B1558" s="411">
        <v>1920.03</v>
      </c>
      <c r="C1558" s="418">
        <f t="shared" si="192"/>
        <v>1.9075521869974299E-2</v>
      </c>
      <c r="D1558" s="411">
        <v>44.87</v>
      </c>
      <c r="E1558" s="418">
        <f t="shared" si="193"/>
        <v>1.884650317892822E-2</v>
      </c>
      <c r="F1558" s="411"/>
      <c r="G1558" s="388"/>
      <c r="I1558" s="388"/>
    </row>
    <row r="1559" spans="1:9">
      <c r="A1559" s="408">
        <v>42276</v>
      </c>
      <c r="B1559" s="411">
        <v>1884.09</v>
      </c>
      <c r="C1559" s="418">
        <f t="shared" si="192"/>
        <v>1.2328818080848958E-3</v>
      </c>
      <c r="D1559" s="411">
        <v>44.04</v>
      </c>
      <c r="E1559" s="418">
        <f t="shared" si="193"/>
        <v>-1.3882669055082841E-2</v>
      </c>
      <c r="F1559" s="411"/>
      <c r="G1559" s="388"/>
      <c r="I1559" s="388"/>
    </row>
    <row r="1560" spans="1:9">
      <c r="A1560" s="408">
        <v>42275</v>
      </c>
      <c r="B1560" s="411">
        <v>1881.77</v>
      </c>
      <c r="C1560" s="418">
        <f t="shared" si="192"/>
        <v>-2.5666117824929779E-2</v>
      </c>
      <c r="D1560" s="411">
        <v>44.66</v>
      </c>
      <c r="E1560" s="418">
        <f t="shared" si="193"/>
        <v>-2.9973935708079935E-2</v>
      </c>
      <c r="F1560" s="411"/>
      <c r="G1560" s="388"/>
      <c r="I1560" s="388"/>
    </row>
    <row r="1561" spans="1:9">
      <c r="A1561" s="408">
        <v>42272</v>
      </c>
      <c r="B1561" s="411">
        <v>1931.34</v>
      </c>
      <c r="C1561" s="418">
        <f t="shared" si="192"/>
        <v>-4.6578064836666488E-4</v>
      </c>
      <c r="D1561" s="411">
        <v>46.04</v>
      </c>
      <c r="E1561" s="418">
        <f t="shared" si="193"/>
        <v>2.8316270964932055E-3</v>
      </c>
      <c r="F1561" s="411"/>
      <c r="G1561" s="388"/>
      <c r="I1561" s="388"/>
    </row>
    <row r="1562" spans="1:9">
      <c r="A1562" s="408">
        <v>42271</v>
      </c>
      <c r="B1562" s="411">
        <v>1932.24</v>
      </c>
      <c r="C1562" s="418">
        <f t="shared" si="192"/>
        <v>-3.3629742722152134E-3</v>
      </c>
      <c r="D1562" s="411">
        <v>45.91</v>
      </c>
      <c r="E1562" s="418">
        <f t="shared" si="193"/>
        <v>-1.4595406739643879E-2</v>
      </c>
      <c r="F1562" s="411"/>
      <c r="G1562" s="388"/>
      <c r="I1562" s="388"/>
    </row>
    <row r="1563" spans="1:9">
      <c r="A1563" s="408">
        <v>42270</v>
      </c>
      <c r="B1563" s="411">
        <v>1938.76</v>
      </c>
      <c r="C1563" s="418">
        <f t="shared" si="192"/>
        <v>-2.0486529334856618E-3</v>
      </c>
      <c r="D1563" s="411">
        <v>46.59</v>
      </c>
      <c r="E1563" s="418">
        <f t="shared" si="193"/>
        <v>2.7981058975463657E-3</v>
      </c>
      <c r="F1563" s="411"/>
      <c r="G1563" s="388"/>
      <c r="I1563" s="388"/>
    </row>
    <row r="1564" spans="1:9">
      <c r="A1564" s="408">
        <v>42269</v>
      </c>
      <c r="B1564" s="411">
        <v>1942.74</v>
      </c>
      <c r="C1564" s="418">
        <f t="shared" si="192"/>
        <v>-1.2318439020422289E-2</v>
      </c>
      <c r="D1564" s="411">
        <v>46.46</v>
      </c>
      <c r="E1564" s="418">
        <f t="shared" si="193"/>
        <v>-1.671957671957669E-2</v>
      </c>
      <c r="F1564" s="411"/>
      <c r="G1564" s="388"/>
      <c r="I1564" s="388"/>
    </row>
    <row r="1565" spans="1:9">
      <c r="A1565" s="408">
        <v>42268</v>
      </c>
      <c r="B1565" s="411">
        <v>1966.97</v>
      </c>
      <c r="C1565" s="418">
        <f t="shared" si="192"/>
        <v>4.5658135983617232E-3</v>
      </c>
      <c r="D1565" s="411">
        <v>47.25</v>
      </c>
      <c r="E1565" s="418">
        <f t="shared" si="193"/>
        <v>1.2427683736875972E-2</v>
      </c>
      <c r="F1565" s="411"/>
      <c r="G1565" s="388"/>
      <c r="I1565" s="388"/>
    </row>
    <row r="1566" spans="1:9">
      <c r="A1566" s="408">
        <v>42265</v>
      </c>
      <c r="B1566" s="411">
        <v>1958.03</v>
      </c>
      <c r="C1566" s="418">
        <f t="shared" si="192"/>
        <v>-1.6164204602552523E-2</v>
      </c>
      <c r="D1566" s="411">
        <v>46.67</v>
      </c>
      <c r="E1566" s="418">
        <f t="shared" si="193"/>
        <v>-1.7266793009054537E-2</v>
      </c>
      <c r="F1566" s="411"/>
      <c r="G1566" s="388"/>
      <c r="I1566" s="388"/>
    </row>
    <row r="1567" spans="1:9">
      <c r="A1567" s="408">
        <v>42264</v>
      </c>
      <c r="B1567" s="411">
        <v>1990.2</v>
      </c>
      <c r="C1567" s="418">
        <f t="shared" si="192"/>
        <v>-2.5610055580335134E-3</v>
      </c>
      <c r="D1567" s="411">
        <v>47.49</v>
      </c>
      <c r="E1567" s="418">
        <f t="shared" si="193"/>
        <v>8.4943724782331476E-3</v>
      </c>
      <c r="F1567" s="411"/>
      <c r="G1567" s="388"/>
      <c r="I1567" s="388"/>
    </row>
    <row r="1568" spans="1:9">
      <c r="A1568" s="408">
        <v>42263</v>
      </c>
      <c r="B1568" s="411">
        <v>1995.31</v>
      </c>
      <c r="C1568" s="418">
        <f t="shared" si="192"/>
        <v>8.7053672987578157E-3</v>
      </c>
      <c r="D1568" s="411">
        <v>47.09</v>
      </c>
      <c r="E1568" s="418">
        <f t="shared" si="193"/>
        <v>4.2653017701002049E-3</v>
      </c>
      <c r="F1568" s="411"/>
      <c r="G1568" s="388"/>
      <c r="I1568" s="388"/>
    </row>
    <row r="1569" spans="1:9">
      <c r="A1569" s="408">
        <v>42262</v>
      </c>
      <c r="B1569" s="411">
        <v>1978.09</v>
      </c>
      <c r="C1569" s="418">
        <f t="shared" si="192"/>
        <v>1.2831344116577714E-2</v>
      </c>
      <c r="D1569" s="411">
        <v>46.89</v>
      </c>
      <c r="E1569" s="418">
        <f t="shared" si="193"/>
        <v>0</v>
      </c>
      <c r="F1569" s="411"/>
      <c r="G1569" s="388"/>
      <c r="I1569" s="388"/>
    </row>
    <row r="1570" spans="1:9">
      <c r="A1570" s="408">
        <v>42261</v>
      </c>
      <c r="B1570" s="411">
        <v>1953.03</v>
      </c>
      <c r="C1570" s="418">
        <f t="shared" si="192"/>
        <v>-4.0896458529868784E-3</v>
      </c>
      <c r="D1570" s="411">
        <v>46.89</v>
      </c>
      <c r="E1570" s="418">
        <f t="shared" si="193"/>
        <v>-6.3938618925829527E-4</v>
      </c>
      <c r="F1570" s="411"/>
      <c r="G1570" s="388"/>
      <c r="I1570" s="388"/>
    </row>
    <row r="1571" spans="1:9">
      <c r="A1571" s="408">
        <v>42258</v>
      </c>
      <c r="B1571" s="411">
        <v>1961.05</v>
      </c>
      <c r="C1571" s="418">
        <f t="shared" si="192"/>
        <v>4.4870382986135215E-3</v>
      </c>
      <c r="D1571" s="411">
        <v>46.92</v>
      </c>
      <c r="E1571" s="418">
        <f t="shared" si="193"/>
        <v>9.2493009249301483E-3</v>
      </c>
      <c r="F1571" s="411"/>
      <c r="G1571" s="388"/>
      <c r="I1571" s="388"/>
    </row>
    <row r="1572" spans="1:9">
      <c r="A1572" s="408">
        <v>42257</v>
      </c>
      <c r="B1572" s="411">
        <v>1952.29</v>
      </c>
      <c r="C1572" s="418">
        <f t="shared" si="192"/>
        <v>5.2779551399559921E-3</v>
      </c>
      <c r="D1572" s="411">
        <v>46.49</v>
      </c>
      <c r="E1572" s="418">
        <f t="shared" si="193"/>
        <v>1.0432514670723814E-2</v>
      </c>
      <c r="F1572" s="411"/>
      <c r="G1572" s="388"/>
      <c r="I1572" s="388"/>
    </row>
    <row r="1573" spans="1:9">
      <c r="A1573" s="408">
        <v>42256</v>
      </c>
      <c r="B1573" s="411">
        <v>1942.04</v>
      </c>
      <c r="C1573" s="418">
        <f t="shared" si="192"/>
        <v>-1.3897563229596788E-2</v>
      </c>
      <c r="D1573" s="411">
        <v>46.01</v>
      </c>
      <c r="E1573" s="418">
        <f t="shared" si="193"/>
        <v>-1.2449023395578518E-2</v>
      </c>
      <c r="F1573" s="411"/>
      <c r="G1573" s="388"/>
      <c r="I1573" s="388"/>
    </row>
    <row r="1574" spans="1:9">
      <c r="A1574" s="408">
        <v>42255</v>
      </c>
      <c r="B1574" s="411">
        <v>1969.41</v>
      </c>
      <c r="C1574" s="418">
        <f t="shared" si="192"/>
        <v>2.5083020164270664E-2</v>
      </c>
      <c r="D1574" s="411">
        <v>46.59</v>
      </c>
      <c r="E1574" s="418">
        <f t="shared" si="193"/>
        <v>2.6211453744493518E-2</v>
      </c>
      <c r="F1574" s="411"/>
      <c r="G1574" s="388"/>
      <c r="I1574" s="388"/>
    </row>
    <row r="1575" spans="1:9">
      <c r="A1575" s="408">
        <v>42251</v>
      </c>
      <c r="B1575" s="411">
        <v>1921.22</v>
      </c>
      <c r="C1575" s="418">
        <f t="shared" si="192"/>
        <v>-1.5329578244401953E-2</v>
      </c>
      <c r="D1575" s="411">
        <v>45.4</v>
      </c>
      <c r="E1575" s="418">
        <f t="shared" si="193"/>
        <v>7.54549489569456E-3</v>
      </c>
      <c r="F1575" s="411"/>
      <c r="G1575" s="388"/>
      <c r="I1575" s="388"/>
    </row>
    <row r="1576" spans="1:9">
      <c r="A1576" s="408">
        <v>42250</v>
      </c>
      <c r="B1576" s="411">
        <v>1951.13</v>
      </c>
      <c r="C1576" s="418">
        <f t="shared" si="192"/>
        <v>1.1647835144650287E-3</v>
      </c>
      <c r="D1576" s="411">
        <v>45.06</v>
      </c>
      <c r="E1576" s="418">
        <f t="shared" si="193"/>
        <v>-2.022178734507496E-2</v>
      </c>
      <c r="F1576" s="411"/>
      <c r="G1576" s="388"/>
      <c r="I1576" s="388"/>
    </row>
    <row r="1577" spans="1:9">
      <c r="A1577" s="408">
        <v>42249</v>
      </c>
      <c r="B1577" s="411">
        <v>1948.86</v>
      </c>
      <c r="C1577" s="418">
        <f t="shared" si="192"/>
        <v>1.8292969668469272E-2</v>
      </c>
      <c r="D1577" s="411">
        <v>45.99</v>
      </c>
      <c r="E1577" s="418">
        <f t="shared" si="193"/>
        <v>5.0719671007539491E-2</v>
      </c>
      <c r="F1577" s="411"/>
      <c r="G1577" s="388"/>
      <c r="I1577" s="388"/>
    </row>
    <row r="1578" spans="1:9">
      <c r="A1578" s="408">
        <v>42248</v>
      </c>
      <c r="B1578" s="411">
        <v>1913.85</v>
      </c>
      <c r="C1578" s="418">
        <f t="shared" si="192"/>
        <v>-2.9576407832956453E-2</v>
      </c>
      <c r="D1578" s="411">
        <v>43.77</v>
      </c>
      <c r="E1578" s="418">
        <f t="shared" si="193"/>
        <v>-2.2841480127910874E-4</v>
      </c>
      <c r="F1578" s="411"/>
      <c r="G1578" s="388"/>
      <c r="I1578" s="388"/>
    </row>
    <row r="1579" spans="1:9">
      <c r="A1579" s="408">
        <v>42247</v>
      </c>
      <c r="B1579" s="411">
        <v>1972.18</v>
      </c>
      <c r="C1579" s="418">
        <f t="shared" si="192"/>
        <v>-8.3916998094394346E-3</v>
      </c>
      <c r="D1579" s="411">
        <v>43.78</v>
      </c>
      <c r="E1579" s="418">
        <f t="shared" si="193"/>
        <v>-3.6413290851159408E-3</v>
      </c>
      <c r="F1579" s="411"/>
      <c r="G1579" s="388"/>
      <c r="I1579" s="388"/>
    </row>
    <row r="1580" spans="1:9">
      <c r="A1580" s="408">
        <v>42244</v>
      </c>
      <c r="B1580" s="411">
        <v>1988.87</v>
      </c>
      <c r="C1580" s="418">
        <f t="shared" si="192"/>
        <v>6.0875602467214129E-4</v>
      </c>
      <c r="D1580" s="411">
        <v>43.94</v>
      </c>
      <c r="E1580" s="418">
        <f t="shared" si="193"/>
        <v>1.8239854081167906E-3</v>
      </c>
      <c r="F1580" s="411"/>
      <c r="G1580" s="388"/>
      <c r="I1580" s="388"/>
    </row>
    <row r="1581" spans="1:9">
      <c r="A1581" s="408">
        <v>42243</v>
      </c>
      <c r="B1581" s="411">
        <v>1987.66</v>
      </c>
      <c r="C1581" s="418">
        <f t="shared" si="192"/>
        <v>2.4297736162143035E-2</v>
      </c>
      <c r="D1581" s="411">
        <v>43.86</v>
      </c>
      <c r="E1581" s="418">
        <f t="shared" si="193"/>
        <v>3.6613272311212253E-3</v>
      </c>
      <c r="F1581" s="411"/>
      <c r="G1581" s="388"/>
      <c r="I1581" s="388"/>
    </row>
    <row r="1582" spans="1:9">
      <c r="A1582" s="408">
        <v>42242</v>
      </c>
      <c r="B1582" s="411">
        <v>1940.51</v>
      </c>
      <c r="C1582" s="418">
        <f t="shared" si="192"/>
        <v>3.9033845395987532E-2</v>
      </c>
      <c r="D1582" s="411">
        <v>43.7</v>
      </c>
      <c r="E1582" s="418">
        <f t="shared" si="193"/>
        <v>5.6321005559584414E-2</v>
      </c>
      <c r="F1582" s="411"/>
      <c r="G1582" s="388"/>
      <c r="I1582" s="388"/>
    </row>
    <row r="1583" spans="1:9">
      <c r="A1583" s="408">
        <v>42241</v>
      </c>
      <c r="B1583" s="411">
        <v>1867.61</v>
      </c>
      <c r="C1583" s="418">
        <f t="shared" si="192"/>
        <v>-1.3522007595565322E-2</v>
      </c>
      <c r="D1583" s="411">
        <v>41.37</v>
      </c>
      <c r="E1583" s="418">
        <f t="shared" si="193"/>
        <v>-1.85053380782918E-2</v>
      </c>
      <c r="F1583" s="411"/>
      <c r="G1583" s="388"/>
      <c r="I1583" s="388"/>
    </row>
    <row r="1584" spans="1:9">
      <c r="A1584" s="408">
        <v>42240</v>
      </c>
      <c r="B1584" s="411">
        <v>1893.21</v>
      </c>
      <c r="C1584" s="418">
        <f t="shared" si="192"/>
        <v>-3.941366590728046E-2</v>
      </c>
      <c r="D1584" s="411">
        <v>42.15</v>
      </c>
      <c r="E1584" s="418">
        <f t="shared" si="193"/>
        <v>-3.325688073394506E-2</v>
      </c>
      <c r="F1584" s="411"/>
      <c r="G1584" s="388"/>
      <c r="I1584" s="388"/>
    </row>
    <row r="1585" spans="1:9">
      <c r="A1585" s="408">
        <v>42237</v>
      </c>
      <c r="B1585" s="411">
        <v>1970.89</v>
      </c>
      <c r="C1585" s="418">
        <f t="shared" si="192"/>
        <v>-3.1850982202944356E-2</v>
      </c>
      <c r="D1585" s="411">
        <v>43.6</v>
      </c>
      <c r="E1585" s="418">
        <f t="shared" si="193"/>
        <v>-4.616057755414571E-2</v>
      </c>
      <c r="F1585" s="411"/>
      <c r="G1585" s="388"/>
      <c r="I1585" s="388"/>
    </row>
    <row r="1586" spans="1:9">
      <c r="A1586" s="408">
        <v>42236</v>
      </c>
      <c r="B1586" s="411">
        <v>2035.73</v>
      </c>
      <c r="C1586" s="418">
        <f t="shared" si="192"/>
        <v>-2.1100110116800797E-2</v>
      </c>
      <c r="D1586" s="411">
        <v>45.71</v>
      </c>
      <c r="E1586" s="418">
        <f t="shared" si="193"/>
        <v>-2.9099405267629552E-2</v>
      </c>
      <c r="F1586" s="411"/>
      <c r="G1586" s="388"/>
      <c r="I1586" s="388"/>
    </row>
    <row r="1587" spans="1:9">
      <c r="A1587" s="408">
        <v>42235</v>
      </c>
      <c r="B1587" s="411">
        <v>2079.61</v>
      </c>
      <c r="C1587" s="418">
        <f t="shared" si="192"/>
        <v>-8.254964424012301E-3</v>
      </c>
      <c r="D1587" s="411">
        <v>47.08</v>
      </c>
      <c r="E1587" s="418">
        <f t="shared" si="193"/>
        <v>-5.9121621621621712E-3</v>
      </c>
      <c r="F1587" s="411"/>
      <c r="G1587" s="388"/>
      <c r="I1587" s="388"/>
    </row>
    <row r="1588" spans="1:9">
      <c r="A1588" s="408">
        <v>42234</v>
      </c>
      <c r="B1588" s="411">
        <v>2096.92</v>
      </c>
      <c r="C1588" s="418">
        <f t="shared" si="192"/>
        <v>-2.6255208234241545E-3</v>
      </c>
      <c r="D1588" s="411">
        <v>47.36</v>
      </c>
      <c r="E1588" s="418">
        <f t="shared" si="193"/>
        <v>-1.3127734944780256E-2</v>
      </c>
      <c r="F1588" s="411"/>
      <c r="G1588" s="388"/>
      <c r="I1588" s="388"/>
    </row>
    <row r="1589" spans="1:9">
      <c r="A1589" s="408">
        <v>42233</v>
      </c>
      <c r="B1589" s="411">
        <v>2102.44</v>
      </c>
      <c r="C1589" s="418">
        <f t="shared" si="192"/>
        <v>5.2114709735411324E-3</v>
      </c>
      <c r="D1589" s="411">
        <v>47.99</v>
      </c>
      <c r="E1589" s="418">
        <f t="shared" si="193"/>
        <v>7.5582615998319724E-3</v>
      </c>
      <c r="F1589" s="411"/>
      <c r="G1589" s="388"/>
      <c r="I1589" s="388"/>
    </row>
    <row r="1590" spans="1:9">
      <c r="A1590" s="408">
        <v>42230</v>
      </c>
      <c r="B1590" s="411">
        <v>2091.54</v>
      </c>
      <c r="C1590" s="418">
        <f t="shared" si="192"/>
        <v>3.9118935964941315E-3</v>
      </c>
      <c r="D1590" s="411">
        <v>47.63</v>
      </c>
      <c r="E1590" s="418">
        <f t="shared" si="193"/>
        <v>3.7934668071655242E-3</v>
      </c>
      <c r="F1590" s="411"/>
      <c r="G1590" s="388"/>
      <c r="I1590" s="388"/>
    </row>
    <row r="1591" spans="1:9">
      <c r="A1591" s="408">
        <v>42229</v>
      </c>
      <c r="B1591" s="411">
        <v>2083.39</v>
      </c>
      <c r="C1591" s="418">
        <f t="shared" si="192"/>
        <v>-1.2751372210638712E-3</v>
      </c>
      <c r="D1591" s="411">
        <v>47.45</v>
      </c>
      <c r="E1591" s="418">
        <f t="shared" si="193"/>
        <v>1.8240343347639465E-2</v>
      </c>
      <c r="F1591" s="411"/>
      <c r="G1591" s="388"/>
      <c r="I1591" s="388"/>
    </row>
    <row r="1592" spans="1:9">
      <c r="A1592" s="408">
        <v>42228</v>
      </c>
      <c r="B1592" s="411">
        <v>2086.0500000000002</v>
      </c>
      <c r="C1592" s="418">
        <f t="shared" si="192"/>
        <v>9.5006405734943122E-4</v>
      </c>
      <c r="D1592" s="411">
        <v>46.6</v>
      </c>
      <c r="E1592" s="418">
        <f t="shared" si="193"/>
        <v>-1.0615711252653925E-2</v>
      </c>
      <c r="F1592" s="411"/>
      <c r="G1592" s="388"/>
      <c r="I1592" s="388"/>
    </row>
    <row r="1593" spans="1:9">
      <c r="A1593" s="408">
        <v>42227</v>
      </c>
      <c r="B1593" s="411">
        <v>2084.0700000000002</v>
      </c>
      <c r="C1593" s="418">
        <f t="shared" si="192"/>
        <v>-9.557167162504987E-3</v>
      </c>
      <c r="D1593" s="411">
        <v>47.1</v>
      </c>
      <c r="E1593" s="418">
        <f t="shared" si="193"/>
        <v>1.6839378238342029E-2</v>
      </c>
      <c r="F1593" s="411"/>
      <c r="G1593" s="388"/>
      <c r="I1593" s="388"/>
    </row>
    <row r="1594" spans="1:9">
      <c r="A1594" s="408">
        <v>42226</v>
      </c>
      <c r="B1594" s="411">
        <v>2104.1799999999998</v>
      </c>
      <c r="C1594" s="418">
        <f t="shared" si="192"/>
        <v>1.2808232694927035E-2</v>
      </c>
      <c r="D1594" s="411">
        <v>46.32</v>
      </c>
      <c r="E1594" s="418">
        <f t="shared" si="193"/>
        <v>-6.4724919093850364E-4</v>
      </c>
      <c r="F1594" s="411"/>
      <c r="G1594" s="388"/>
      <c r="I1594" s="388"/>
    </row>
    <row r="1595" spans="1:9">
      <c r="A1595" s="408">
        <v>42223</v>
      </c>
      <c r="B1595" s="411">
        <v>2077.5700000000002</v>
      </c>
      <c r="C1595" s="418">
        <f t="shared" si="192"/>
        <v>-2.8748872122712488E-3</v>
      </c>
      <c r="D1595" s="411">
        <v>46.35</v>
      </c>
      <c r="E1595" s="418">
        <f t="shared" si="193"/>
        <v>6.7332754126847583E-3</v>
      </c>
      <c r="F1595" s="411"/>
      <c r="G1595" s="388"/>
      <c r="I1595" s="388"/>
    </row>
    <row r="1596" spans="1:9">
      <c r="A1596" s="408">
        <v>42222</v>
      </c>
      <c r="B1596" s="411">
        <v>2083.56</v>
      </c>
      <c r="C1596" s="418">
        <f t="shared" si="192"/>
        <v>-7.7529716549833427E-3</v>
      </c>
      <c r="D1596" s="411">
        <v>46.04</v>
      </c>
      <c r="E1596" s="418">
        <f t="shared" si="193"/>
        <v>-5.6155507559394469E-3</v>
      </c>
      <c r="F1596" s="411"/>
      <c r="G1596" s="388"/>
      <c r="I1596" s="388"/>
    </row>
    <row r="1597" spans="1:9">
      <c r="A1597" s="408">
        <v>42221</v>
      </c>
      <c r="B1597" s="411">
        <v>2099.84</v>
      </c>
      <c r="C1597" s="418">
        <f t="shared" si="192"/>
        <v>3.1146695201880181E-3</v>
      </c>
      <c r="D1597" s="411">
        <v>46.3</v>
      </c>
      <c r="E1597" s="418">
        <f t="shared" si="193"/>
        <v>-1.0787486515643208E-3</v>
      </c>
      <c r="F1597" s="411"/>
      <c r="G1597" s="388"/>
      <c r="I1597" s="388"/>
    </row>
    <row r="1598" spans="1:9">
      <c r="A1598" s="408">
        <v>42220</v>
      </c>
      <c r="B1598" s="411">
        <v>2093.3200000000002</v>
      </c>
      <c r="C1598" s="418">
        <f t="shared" si="192"/>
        <v>-2.2497187851517886E-3</v>
      </c>
      <c r="D1598" s="411">
        <v>46.35</v>
      </c>
      <c r="E1598" s="418">
        <f t="shared" si="193"/>
        <v>1.3557839492674528E-2</v>
      </c>
      <c r="F1598" s="411"/>
      <c r="G1598" s="388"/>
      <c r="I1598" s="388"/>
    </row>
    <row r="1599" spans="1:9">
      <c r="A1599" s="408">
        <v>42219</v>
      </c>
      <c r="B1599" s="411">
        <v>2098.04</v>
      </c>
      <c r="C1599" s="418">
        <f t="shared" si="192"/>
        <v>-2.7568636398206392E-3</v>
      </c>
      <c r="D1599" s="411">
        <v>45.73</v>
      </c>
      <c r="E1599" s="418">
        <f t="shared" si="193"/>
        <v>3.1348669373026494E-2</v>
      </c>
      <c r="F1599" s="411"/>
      <c r="G1599" s="388"/>
      <c r="I1599" s="388"/>
    </row>
    <row r="1600" spans="1:9">
      <c r="A1600" s="408">
        <v>42216</v>
      </c>
      <c r="B1600" s="411">
        <v>2103.84</v>
      </c>
      <c r="C1600" s="418">
        <f t="shared" si="192"/>
        <v>-2.2716171163267296E-3</v>
      </c>
      <c r="D1600" s="411">
        <v>44.34</v>
      </c>
      <c r="E1600" s="418">
        <f t="shared" si="193"/>
        <v>7.0406540994776279E-3</v>
      </c>
      <c r="F1600" s="411"/>
      <c r="G1600" s="388"/>
      <c r="I1600" s="388"/>
    </row>
    <row r="1601" spans="1:9">
      <c r="A1601" s="408">
        <v>42215</v>
      </c>
      <c r="B1601" s="411">
        <v>2108.63</v>
      </c>
      <c r="C1601" s="418">
        <f t="shared" si="192"/>
        <v>2.8455303831442791E-5</v>
      </c>
      <c r="D1601" s="411">
        <v>44.03</v>
      </c>
      <c r="E1601" s="418">
        <f t="shared" si="193"/>
        <v>-3.3952014486192672E-3</v>
      </c>
      <c r="F1601" s="411"/>
      <c r="G1601" s="388"/>
      <c r="I1601" s="388"/>
    </row>
    <row r="1602" spans="1:9">
      <c r="A1602" s="408">
        <v>42214</v>
      </c>
      <c r="B1602" s="411">
        <v>2108.5700000000002</v>
      </c>
      <c r="C1602" s="418">
        <f t="shared" si="192"/>
        <v>7.3187626895976354E-3</v>
      </c>
      <c r="D1602" s="411">
        <v>44.18</v>
      </c>
      <c r="E1602" s="418">
        <f t="shared" si="193"/>
        <v>-1.6254731685593327E-2</v>
      </c>
      <c r="F1602" s="411"/>
      <c r="G1602" s="388"/>
      <c r="I1602" s="388"/>
    </row>
    <row r="1603" spans="1:9">
      <c r="A1603" s="408">
        <v>42213</v>
      </c>
      <c r="B1603" s="411">
        <v>2093.25</v>
      </c>
      <c r="C1603" s="418">
        <f t="shared" si="192"/>
        <v>1.2386102029366963E-2</v>
      </c>
      <c r="D1603" s="411">
        <v>44.91</v>
      </c>
      <c r="E1603" s="418">
        <f t="shared" si="193"/>
        <v>2.2308217618939086E-2</v>
      </c>
      <c r="F1603" s="411"/>
      <c r="G1603" s="388"/>
      <c r="I1603" s="388"/>
    </row>
    <row r="1604" spans="1:9">
      <c r="A1604" s="408">
        <v>42212</v>
      </c>
      <c r="B1604" s="411">
        <v>2067.64</v>
      </c>
      <c r="C1604" s="418">
        <f t="shared" si="192"/>
        <v>-5.7750102180655905E-3</v>
      </c>
      <c r="D1604" s="411">
        <v>43.93</v>
      </c>
      <c r="E1604" s="418">
        <f t="shared" si="193"/>
        <v>-3.8548752834467459E-3</v>
      </c>
      <c r="F1604" s="411"/>
      <c r="G1604" s="388"/>
      <c r="I1604" s="388"/>
    </row>
    <row r="1605" spans="1:9">
      <c r="A1605" s="408">
        <v>42209</v>
      </c>
      <c r="B1605" s="411">
        <v>2079.65</v>
      </c>
      <c r="C1605" s="418">
        <f t="shared" si="192"/>
        <v>-1.0703327545608099E-2</v>
      </c>
      <c r="D1605" s="411">
        <v>44.1</v>
      </c>
      <c r="E1605" s="418">
        <f t="shared" si="193"/>
        <v>-2.3472099202834218E-2</v>
      </c>
      <c r="F1605" s="411"/>
      <c r="G1605" s="388"/>
      <c r="I1605" s="388"/>
    </row>
    <row r="1606" spans="1:9">
      <c r="A1606" s="408">
        <v>42208</v>
      </c>
      <c r="B1606" s="411">
        <v>2102.15</v>
      </c>
      <c r="C1606" s="418">
        <f t="shared" si="192"/>
        <v>-5.6760400160821289E-3</v>
      </c>
      <c r="D1606" s="411">
        <v>45.16</v>
      </c>
      <c r="E1606" s="418">
        <f t="shared" si="193"/>
        <v>-1.3268465280850128E-3</v>
      </c>
      <c r="F1606" s="411"/>
      <c r="G1606" s="388"/>
      <c r="I1606" s="388"/>
    </row>
    <row r="1607" spans="1:9">
      <c r="A1607" s="408">
        <v>42207</v>
      </c>
      <c r="B1607" s="411">
        <v>2114.15</v>
      </c>
      <c r="C1607" s="418">
        <f t="shared" si="192"/>
        <v>-2.3876822023300992E-3</v>
      </c>
      <c r="D1607" s="411">
        <v>45.22</v>
      </c>
      <c r="E1607" s="418">
        <f t="shared" si="193"/>
        <v>1.2765957446808418E-2</v>
      </c>
      <c r="F1607" s="411"/>
      <c r="G1607" s="388"/>
      <c r="I1607" s="388"/>
    </row>
    <row r="1608" spans="1:9">
      <c r="A1608" s="408">
        <v>42206</v>
      </c>
      <c r="B1608" s="411">
        <v>2119.21</v>
      </c>
      <c r="C1608" s="418">
        <f t="shared" ref="C1608:C1671" si="194">B1608/B1609-1</f>
        <v>-4.2616573007311365E-3</v>
      </c>
      <c r="D1608" s="411">
        <v>44.65</v>
      </c>
      <c r="E1608" s="418">
        <f t="shared" ref="E1608:E1671" si="195">D1608/D1609-1</f>
        <v>1.2701292810160858E-2</v>
      </c>
      <c r="F1608" s="411"/>
      <c r="G1608" s="388"/>
      <c r="I1608" s="388"/>
    </row>
    <row r="1609" spans="1:9">
      <c r="A1609" s="408">
        <v>42205</v>
      </c>
      <c r="B1609" s="411">
        <v>2128.2800000000002</v>
      </c>
      <c r="C1609" s="418">
        <f t="shared" si="194"/>
        <v>7.7116954444589325E-4</v>
      </c>
      <c r="D1609" s="411">
        <v>44.09</v>
      </c>
      <c r="E1609" s="418">
        <f t="shared" si="195"/>
        <v>-1.8914107699154248E-2</v>
      </c>
      <c r="F1609" s="411"/>
      <c r="G1609" s="388"/>
      <c r="I1609" s="388"/>
    </row>
    <row r="1610" spans="1:9">
      <c r="A1610" s="408">
        <v>42202</v>
      </c>
      <c r="B1610" s="411">
        <v>2126.64</v>
      </c>
      <c r="C1610" s="418">
        <f t="shared" si="194"/>
        <v>1.1062519712468077E-3</v>
      </c>
      <c r="D1610" s="411">
        <v>44.94</v>
      </c>
      <c r="E1610" s="418">
        <f t="shared" si="195"/>
        <v>1.0568922869350184E-2</v>
      </c>
      <c r="F1610" s="411"/>
      <c r="G1610" s="388"/>
      <c r="I1610" s="388"/>
    </row>
    <row r="1611" spans="1:9">
      <c r="A1611" s="408">
        <v>42201</v>
      </c>
      <c r="B1611" s="411">
        <v>2124.29</v>
      </c>
      <c r="C1611" s="418">
        <f t="shared" si="194"/>
        <v>8.0146151656068643E-3</v>
      </c>
      <c r="D1611" s="411">
        <v>44.47</v>
      </c>
      <c r="E1611" s="418">
        <f t="shared" si="195"/>
        <v>1.0911570811547922E-2</v>
      </c>
      <c r="F1611" s="411"/>
      <c r="G1611" s="388"/>
      <c r="I1611" s="388"/>
    </row>
    <row r="1612" spans="1:9">
      <c r="A1612" s="408">
        <v>42200</v>
      </c>
      <c r="B1612" s="411">
        <v>2107.4</v>
      </c>
      <c r="C1612" s="418">
        <f t="shared" si="194"/>
        <v>-7.3496289622787536E-4</v>
      </c>
      <c r="D1612" s="411">
        <v>43.99</v>
      </c>
      <c r="E1612" s="418">
        <f t="shared" si="195"/>
        <v>7.5584058634907691E-3</v>
      </c>
      <c r="F1612" s="411"/>
      <c r="G1612" s="388"/>
      <c r="I1612" s="388"/>
    </row>
    <row r="1613" spans="1:9">
      <c r="A1613" s="408">
        <v>42199</v>
      </c>
      <c r="B1613" s="411">
        <v>2108.9499999999998</v>
      </c>
      <c r="C1613" s="418">
        <f t="shared" si="194"/>
        <v>4.4532291865115869E-3</v>
      </c>
      <c r="D1613" s="411">
        <v>43.66</v>
      </c>
      <c r="E1613" s="418">
        <f t="shared" si="195"/>
        <v>6.6866497578972339E-3</v>
      </c>
      <c r="F1613" s="411"/>
      <c r="G1613" s="388"/>
      <c r="I1613" s="388"/>
    </row>
    <row r="1614" spans="1:9">
      <c r="A1614" s="408">
        <v>42198</v>
      </c>
      <c r="B1614" s="411">
        <v>2099.6</v>
      </c>
      <c r="C1614" s="418">
        <f t="shared" si="194"/>
        <v>1.1066059269389639E-2</v>
      </c>
      <c r="D1614" s="411">
        <v>43.37</v>
      </c>
      <c r="E1614" s="418">
        <f t="shared" si="195"/>
        <v>2.1431935939707936E-2</v>
      </c>
      <c r="F1614" s="411"/>
      <c r="G1614" s="388"/>
      <c r="I1614" s="388"/>
    </row>
    <row r="1615" spans="1:9">
      <c r="A1615" s="408">
        <v>42195</v>
      </c>
      <c r="B1615" s="411">
        <v>2076.62</v>
      </c>
      <c r="C1615" s="418">
        <f t="shared" si="194"/>
        <v>1.2338456888524973E-2</v>
      </c>
      <c r="D1615" s="411">
        <v>42.46</v>
      </c>
      <c r="E1615" s="418">
        <f t="shared" si="195"/>
        <v>4.7102342786683238E-2</v>
      </c>
      <c r="F1615" s="411"/>
      <c r="G1615" s="388"/>
      <c r="I1615" s="388"/>
    </row>
    <row r="1616" spans="1:9">
      <c r="A1616" s="408">
        <v>42194</v>
      </c>
      <c r="B1616" s="411">
        <v>2051.31</v>
      </c>
      <c r="C1616" s="418">
        <f t="shared" si="194"/>
        <v>2.2622002462524549E-3</v>
      </c>
      <c r="D1616" s="411">
        <v>40.549999999999997</v>
      </c>
      <c r="E1616" s="418">
        <f t="shared" si="195"/>
        <v>9.459795867562848E-3</v>
      </c>
      <c r="F1616" s="411"/>
      <c r="G1616" s="388"/>
      <c r="I1616" s="388"/>
    </row>
    <row r="1617" spans="1:9">
      <c r="A1617" s="408">
        <v>42193</v>
      </c>
      <c r="B1617" s="411">
        <v>2046.68</v>
      </c>
      <c r="C1617" s="418">
        <f t="shared" si="194"/>
        <v>-1.6652733335255188E-2</v>
      </c>
      <c r="D1617" s="411">
        <v>40.17</v>
      </c>
      <c r="E1617" s="418">
        <f t="shared" si="195"/>
        <v>-2.452646915978629E-2</v>
      </c>
      <c r="F1617" s="411"/>
      <c r="G1617" s="388"/>
      <c r="I1617" s="388"/>
    </row>
    <row r="1618" spans="1:9">
      <c r="A1618" s="408">
        <v>42192</v>
      </c>
      <c r="B1618" s="411">
        <v>2081.34</v>
      </c>
      <c r="C1618" s="418">
        <f t="shared" si="194"/>
        <v>6.0809373731123273E-3</v>
      </c>
      <c r="D1618" s="411">
        <v>41.18</v>
      </c>
      <c r="E1618" s="418">
        <f t="shared" si="195"/>
        <v>1.7292490118577142E-2</v>
      </c>
      <c r="F1618" s="411"/>
      <c r="G1618" s="388"/>
      <c r="I1618" s="388"/>
    </row>
    <row r="1619" spans="1:9">
      <c r="A1619" s="408">
        <v>42191</v>
      </c>
      <c r="B1619" s="411">
        <v>2068.7600000000002</v>
      </c>
      <c r="C1619" s="418">
        <f t="shared" si="194"/>
        <v>-3.8617475129768541E-3</v>
      </c>
      <c r="D1619" s="411">
        <v>40.479999999999997</v>
      </c>
      <c r="E1619" s="418">
        <f t="shared" si="195"/>
        <v>1.2000000000000011E-2</v>
      </c>
      <c r="F1619" s="411"/>
      <c r="G1619" s="388"/>
      <c r="I1619" s="388"/>
    </row>
    <row r="1620" spans="1:9">
      <c r="A1620" s="408">
        <v>42187</v>
      </c>
      <c r="B1620" s="411">
        <v>2076.7800000000002</v>
      </c>
      <c r="C1620" s="418">
        <f t="shared" si="194"/>
        <v>-3.0807443848612781E-4</v>
      </c>
      <c r="D1620" s="411">
        <v>40</v>
      </c>
      <c r="E1620" s="418">
        <f t="shared" si="195"/>
        <v>-6.7047429848523521E-3</v>
      </c>
      <c r="F1620" s="411"/>
      <c r="G1620" s="388"/>
      <c r="I1620" s="388"/>
    </row>
    <row r="1621" spans="1:9">
      <c r="A1621" s="408">
        <v>42186</v>
      </c>
      <c r="B1621" s="411">
        <v>2077.42</v>
      </c>
      <c r="C1621" s="418">
        <f t="shared" si="194"/>
        <v>6.9361304050681305E-3</v>
      </c>
      <c r="D1621" s="411">
        <v>40.270000000000003</v>
      </c>
      <c r="E1621" s="418">
        <f t="shared" si="195"/>
        <v>-1.9717624148003821E-2</v>
      </c>
      <c r="F1621" s="411"/>
      <c r="G1621" s="388"/>
      <c r="I1621" s="388"/>
    </row>
    <row r="1622" spans="1:9">
      <c r="A1622" s="408">
        <v>42185</v>
      </c>
      <c r="B1622" s="411">
        <v>2063.11</v>
      </c>
      <c r="C1622" s="418">
        <f t="shared" si="194"/>
        <v>2.6583853346553443E-3</v>
      </c>
      <c r="D1622" s="411">
        <v>41.08</v>
      </c>
      <c r="E1622" s="418">
        <f t="shared" si="195"/>
        <v>-9.7276264591439343E-4</v>
      </c>
      <c r="F1622" s="411"/>
      <c r="G1622" s="388"/>
      <c r="I1622" s="388"/>
    </row>
    <row r="1623" spans="1:9">
      <c r="A1623" s="408">
        <v>42184</v>
      </c>
      <c r="B1623" s="411">
        <v>2057.64</v>
      </c>
      <c r="C1623" s="418">
        <f t="shared" si="194"/>
        <v>-2.0866147352592623E-2</v>
      </c>
      <c r="D1623" s="411">
        <v>41.12</v>
      </c>
      <c r="E1623" s="418">
        <f t="shared" si="195"/>
        <v>-2.9043683589138225E-2</v>
      </c>
      <c r="F1623" s="411"/>
      <c r="G1623" s="388"/>
      <c r="I1623" s="388"/>
    </row>
    <row r="1624" spans="1:9">
      <c r="A1624" s="408">
        <v>42181</v>
      </c>
      <c r="B1624" s="411">
        <v>2101.4899999999998</v>
      </c>
      <c r="C1624" s="418">
        <f t="shared" si="194"/>
        <v>-3.900471386237836E-4</v>
      </c>
      <c r="D1624" s="411">
        <v>42.35</v>
      </c>
      <c r="E1624" s="418">
        <f t="shared" si="195"/>
        <v>-5.8685446009389963E-3</v>
      </c>
      <c r="F1624" s="411"/>
      <c r="G1624" s="388"/>
      <c r="I1624" s="388"/>
    </row>
    <row r="1625" spans="1:9">
      <c r="A1625" s="408">
        <v>42180</v>
      </c>
      <c r="B1625" s="411">
        <v>2102.31</v>
      </c>
      <c r="C1625" s="418">
        <f t="shared" si="194"/>
        <v>-2.9735651481090919E-3</v>
      </c>
      <c r="D1625" s="411">
        <v>42.6</v>
      </c>
      <c r="E1625" s="418">
        <f t="shared" si="195"/>
        <v>-1.4064697608999754E-3</v>
      </c>
      <c r="F1625" s="411"/>
      <c r="G1625" s="388"/>
      <c r="I1625" s="388"/>
    </row>
    <row r="1626" spans="1:9">
      <c r="A1626" s="408">
        <v>42179</v>
      </c>
      <c r="B1626" s="411">
        <v>2108.58</v>
      </c>
      <c r="C1626" s="418">
        <f t="shared" si="194"/>
        <v>-7.3533565577629245E-3</v>
      </c>
      <c r="D1626" s="411">
        <v>42.66</v>
      </c>
      <c r="E1626" s="418">
        <f t="shared" si="195"/>
        <v>-1.0208816705336576E-2</v>
      </c>
      <c r="F1626" s="411"/>
      <c r="G1626" s="388"/>
      <c r="I1626" s="388"/>
    </row>
    <row r="1627" spans="1:9">
      <c r="A1627" s="408">
        <v>42178</v>
      </c>
      <c r="B1627" s="411">
        <v>2124.1999999999998</v>
      </c>
      <c r="C1627" s="418">
        <f t="shared" si="194"/>
        <v>6.3593753680191156E-4</v>
      </c>
      <c r="D1627" s="411">
        <v>43.1</v>
      </c>
      <c r="E1627" s="418">
        <f t="shared" si="195"/>
        <v>3.9599347775449711E-3</v>
      </c>
      <c r="F1627" s="411"/>
      <c r="G1627" s="388"/>
      <c r="I1627" s="388"/>
    </row>
    <row r="1628" spans="1:9">
      <c r="A1628" s="408">
        <v>42177</v>
      </c>
      <c r="B1628" s="411">
        <v>2122.85</v>
      </c>
      <c r="C1628" s="418">
        <f t="shared" si="194"/>
        <v>6.0948156152398347E-3</v>
      </c>
      <c r="D1628" s="411">
        <v>42.93</v>
      </c>
      <c r="E1628" s="418">
        <f t="shared" si="195"/>
        <v>2.2386282448201955E-2</v>
      </c>
      <c r="F1628" s="411"/>
      <c r="G1628" s="388"/>
      <c r="I1628" s="388"/>
    </row>
    <row r="1629" spans="1:9">
      <c r="A1629" s="408">
        <v>42174</v>
      </c>
      <c r="B1629" s="411">
        <v>2109.9899999999998</v>
      </c>
      <c r="C1629" s="418">
        <f t="shared" si="194"/>
        <v>-5.3035017254059458E-3</v>
      </c>
      <c r="D1629" s="411">
        <v>41.99</v>
      </c>
      <c r="E1629" s="418">
        <f t="shared" si="195"/>
        <v>1.5477629987908026E-2</v>
      </c>
      <c r="F1629" s="411"/>
      <c r="G1629" s="388"/>
      <c r="I1629" s="388"/>
    </row>
    <row r="1630" spans="1:9">
      <c r="A1630" s="408">
        <v>42173</v>
      </c>
      <c r="B1630" s="411">
        <v>2121.2399999999998</v>
      </c>
      <c r="C1630" s="418">
        <f t="shared" si="194"/>
        <v>9.9026870560452451E-3</v>
      </c>
      <c r="D1630" s="411">
        <v>41.35</v>
      </c>
      <c r="E1630" s="418">
        <f t="shared" si="195"/>
        <v>1.3480392156862919E-2</v>
      </c>
      <c r="F1630" s="411"/>
      <c r="G1630" s="388"/>
      <c r="I1630" s="388"/>
    </row>
    <row r="1631" spans="1:9">
      <c r="A1631" s="408">
        <v>42172</v>
      </c>
      <c r="B1631" s="411">
        <v>2100.44</v>
      </c>
      <c r="C1631" s="418">
        <f t="shared" si="194"/>
        <v>1.9796879248576982E-3</v>
      </c>
      <c r="D1631" s="411">
        <v>40.799999999999997</v>
      </c>
      <c r="E1631" s="418">
        <f t="shared" si="195"/>
        <v>5.6692137047078539E-3</v>
      </c>
      <c r="F1631" s="411"/>
      <c r="G1631" s="388"/>
      <c r="I1631" s="388"/>
    </row>
    <row r="1632" spans="1:9">
      <c r="A1632" s="408">
        <v>42171</v>
      </c>
      <c r="B1632" s="411">
        <v>2096.29</v>
      </c>
      <c r="C1632" s="418">
        <f t="shared" si="194"/>
        <v>5.6898048867077833E-3</v>
      </c>
      <c r="D1632" s="411">
        <v>40.57</v>
      </c>
      <c r="E1632" s="418">
        <f t="shared" si="195"/>
        <v>-3.1941031941032927E-3</v>
      </c>
      <c r="F1632" s="411"/>
      <c r="G1632" s="388"/>
      <c r="I1632" s="388"/>
    </row>
    <row r="1633" spans="1:9">
      <c r="A1633" s="408">
        <v>42170</v>
      </c>
      <c r="B1633" s="411">
        <v>2084.4299999999998</v>
      </c>
      <c r="C1633" s="418">
        <f t="shared" si="194"/>
        <v>-4.622488789987278E-3</v>
      </c>
      <c r="D1633" s="411">
        <v>40.700000000000003</v>
      </c>
      <c r="E1633" s="418">
        <f t="shared" si="195"/>
        <v>-1.0695187165775333E-2</v>
      </c>
      <c r="F1633" s="411"/>
      <c r="G1633" s="388"/>
      <c r="I1633" s="388"/>
    </row>
    <row r="1634" spans="1:9">
      <c r="A1634" s="408">
        <v>42167</v>
      </c>
      <c r="B1634" s="411">
        <v>2094.11</v>
      </c>
      <c r="C1634" s="418">
        <f t="shared" si="194"/>
        <v>-6.9943002380432606E-3</v>
      </c>
      <c r="D1634" s="411">
        <v>41.14</v>
      </c>
      <c r="E1634" s="418">
        <f t="shared" si="195"/>
        <v>8.3333333333335258E-3</v>
      </c>
      <c r="F1634" s="411"/>
      <c r="G1634" s="388"/>
      <c r="I1634" s="388"/>
    </row>
    <row r="1635" spans="1:9">
      <c r="A1635" s="408">
        <v>42166</v>
      </c>
      <c r="B1635" s="411">
        <v>2108.86</v>
      </c>
      <c r="C1635" s="418">
        <f t="shared" si="194"/>
        <v>1.738552156564932E-3</v>
      </c>
      <c r="D1635" s="411">
        <v>40.799999999999997</v>
      </c>
      <c r="E1635" s="418">
        <f t="shared" si="195"/>
        <v>-6.3321967851924787E-3</v>
      </c>
      <c r="F1635" s="411"/>
      <c r="G1635" s="388"/>
      <c r="I1635" s="388"/>
    </row>
    <row r="1636" spans="1:9">
      <c r="A1636" s="408">
        <v>42165</v>
      </c>
      <c r="B1636" s="411">
        <v>2105.1999999999998</v>
      </c>
      <c r="C1636" s="418">
        <f t="shared" si="194"/>
        <v>1.2042400788404573E-2</v>
      </c>
      <c r="D1636" s="411">
        <v>41.06</v>
      </c>
      <c r="E1636" s="418">
        <f t="shared" si="195"/>
        <v>8.3497053045187286E-3</v>
      </c>
      <c r="F1636" s="411"/>
      <c r="G1636" s="388"/>
      <c r="I1636" s="388"/>
    </row>
    <row r="1637" spans="1:9">
      <c r="A1637" s="408">
        <v>42164</v>
      </c>
      <c r="B1637" s="411">
        <v>2080.15</v>
      </c>
      <c r="C1637" s="418">
        <f t="shared" si="194"/>
        <v>4.1841406640763523E-4</v>
      </c>
      <c r="D1637" s="411">
        <v>40.72</v>
      </c>
      <c r="E1637" s="418">
        <f t="shared" si="195"/>
        <v>-7.3619631901844507E-4</v>
      </c>
      <c r="F1637" s="411"/>
      <c r="G1637" s="388"/>
      <c r="I1637" s="388"/>
    </row>
    <row r="1638" spans="1:9">
      <c r="A1638" s="408">
        <v>42163</v>
      </c>
      <c r="B1638" s="411">
        <v>2079.2800000000002</v>
      </c>
      <c r="C1638" s="418">
        <f t="shared" si="194"/>
        <v>-6.4744866998274198E-3</v>
      </c>
      <c r="D1638" s="411">
        <v>40.75</v>
      </c>
      <c r="E1638" s="418">
        <f t="shared" si="195"/>
        <v>-5.011655011655014E-2</v>
      </c>
      <c r="F1638" s="411"/>
      <c r="G1638" s="388"/>
      <c r="I1638" s="388"/>
    </row>
    <row r="1639" spans="1:9">
      <c r="A1639" s="408">
        <v>42160</v>
      </c>
      <c r="B1639" s="411">
        <v>2092.83</v>
      </c>
      <c r="C1639" s="418">
        <f t="shared" si="194"/>
        <v>-1.4361783342240475E-3</v>
      </c>
      <c r="D1639" s="411">
        <v>42.9</v>
      </c>
      <c r="E1639" s="418">
        <f t="shared" si="195"/>
        <v>-4.6598322460400521E-4</v>
      </c>
      <c r="F1639" s="411"/>
      <c r="G1639" s="388"/>
      <c r="I1639" s="388"/>
    </row>
    <row r="1640" spans="1:9">
      <c r="A1640" s="408">
        <v>42159</v>
      </c>
      <c r="B1640" s="411">
        <v>2095.84</v>
      </c>
      <c r="C1640" s="418">
        <f t="shared" si="194"/>
        <v>-8.6231770944197317E-3</v>
      </c>
      <c r="D1640" s="411">
        <v>42.92</v>
      </c>
      <c r="E1640" s="418">
        <f t="shared" si="195"/>
        <v>-7.4005550416281762E-3</v>
      </c>
      <c r="F1640" s="411"/>
      <c r="G1640" s="388"/>
      <c r="I1640" s="388"/>
    </row>
    <row r="1641" spans="1:9">
      <c r="A1641" s="408">
        <v>42158</v>
      </c>
      <c r="B1641" s="411">
        <v>2114.0700000000002</v>
      </c>
      <c r="C1641" s="418">
        <f t="shared" si="194"/>
        <v>2.1188850967008843E-3</v>
      </c>
      <c r="D1641" s="411">
        <v>43.24</v>
      </c>
      <c r="E1641" s="418">
        <f t="shared" si="195"/>
        <v>6.9428373061786175E-4</v>
      </c>
      <c r="F1641" s="411"/>
      <c r="G1641" s="388"/>
      <c r="I1641" s="388"/>
    </row>
    <row r="1642" spans="1:9">
      <c r="A1642" s="408">
        <v>42157</v>
      </c>
      <c r="B1642" s="411">
        <v>2109.6</v>
      </c>
      <c r="C1642" s="418">
        <f t="shared" si="194"/>
        <v>-1.0086516742198182E-3</v>
      </c>
      <c r="D1642" s="411">
        <v>43.21</v>
      </c>
      <c r="E1642" s="418">
        <f t="shared" si="195"/>
        <v>-2.57046223224352E-2</v>
      </c>
      <c r="F1642" s="411"/>
      <c r="G1642" s="388"/>
      <c r="I1642" s="388"/>
    </row>
    <row r="1643" spans="1:9">
      <c r="A1643" s="408">
        <v>42156</v>
      </c>
      <c r="B1643" s="411">
        <v>2111.73</v>
      </c>
      <c r="C1643" s="418">
        <f t="shared" si="194"/>
        <v>2.0594194714789182E-3</v>
      </c>
      <c r="D1643" s="411">
        <v>44.35</v>
      </c>
      <c r="E1643" s="418">
        <f t="shared" si="195"/>
        <v>3.3317800559179878E-2</v>
      </c>
      <c r="F1643" s="411"/>
      <c r="G1643" s="388"/>
      <c r="I1643" s="388"/>
    </row>
    <row r="1644" spans="1:9">
      <c r="A1644" s="408">
        <v>42153</v>
      </c>
      <c r="B1644" s="411">
        <v>2107.39</v>
      </c>
      <c r="C1644" s="418">
        <f t="shared" si="194"/>
        <v>-6.3184002187864907E-3</v>
      </c>
      <c r="D1644" s="411">
        <v>42.92</v>
      </c>
      <c r="E1644" s="418">
        <f t="shared" si="195"/>
        <v>1.5857988165680403E-2</v>
      </c>
      <c r="F1644" s="411"/>
      <c r="G1644" s="388"/>
      <c r="I1644" s="388"/>
    </row>
    <row r="1645" spans="1:9">
      <c r="A1645" s="408">
        <v>42152</v>
      </c>
      <c r="B1645" s="411">
        <v>2120.79</v>
      </c>
      <c r="C1645" s="418">
        <f t="shared" si="194"/>
        <v>-1.2667884792887385E-3</v>
      </c>
      <c r="D1645" s="411">
        <v>42.25</v>
      </c>
      <c r="E1645" s="418">
        <f t="shared" si="195"/>
        <v>-6.5835880554903081E-3</v>
      </c>
      <c r="F1645" s="411"/>
      <c r="G1645" s="388"/>
      <c r="I1645" s="388"/>
    </row>
    <row r="1646" spans="1:9">
      <c r="A1646" s="408">
        <v>42151</v>
      </c>
      <c r="B1646" s="411">
        <v>2123.48</v>
      </c>
      <c r="C1646" s="418">
        <f t="shared" si="194"/>
        <v>9.1626271266991299E-3</v>
      </c>
      <c r="D1646" s="411">
        <v>42.53</v>
      </c>
      <c r="E1646" s="418">
        <f t="shared" si="195"/>
        <v>1.6248506571087118E-2</v>
      </c>
      <c r="F1646" s="411"/>
      <c r="G1646" s="388"/>
      <c r="I1646" s="388"/>
    </row>
    <row r="1647" spans="1:9">
      <c r="A1647" s="408">
        <v>42150</v>
      </c>
      <c r="B1647" s="411">
        <v>2104.1999999999998</v>
      </c>
      <c r="C1647" s="418">
        <f t="shared" si="194"/>
        <v>-1.028192995494015E-2</v>
      </c>
      <c r="D1647" s="411">
        <v>41.85</v>
      </c>
      <c r="E1647" s="418">
        <f t="shared" si="195"/>
        <v>-3.0801296896711405E-2</v>
      </c>
      <c r="F1647" s="411"/>
      <c r="G1647" s="388"/>
      <c r="I1647" s="388"/>
    </row>
    <row r="1648" spans="1:9">
      <c r="A1648" s="408">
        <v>42146</v>
      </c>
      <c r="B1648" s="411">
        <v>2126.06</v>
      </c>
      <c r="C1648" s="418">
        <f t="shared" si="194"/>
        <v>-2.2338817919862475E-3</v>
      </c>
      <c r="D1648" s="411">
        <v>43.18</v>
      </c>
      <c r="E1648" s="418">
        <f t="shared" si="195"/>
        <v>-1.3028571428571389E-2</v>
      </c>
      <c r="F1648" s="411"/>
      <c r="G1648" s="388"/>
      <c r="I1648" s="388"/>
    </row>
    <row r="1649" spans="1:9">
      <c r="A1649" s="408">
        <v>42145</v>
      </c>
      <c r="B1649" s="411">
        <v>2130.8200000000002</v>
      </c>
      <c r="C1649" s="418">
        <f t="shared" si="194"/>
        <v>2.3378883740623468E-3</v>
      </c>
      <c r="D1649" s="411">
        <v>43.75</v>
      </c>
      <c r="E1649" s="418">
        <f t="shared" si="195"/>
        <v>2.9802842732691293E-3</v>
      </c>
      <c r="F1649" s="411"/>
      <c r="G1649" s="388"/>
      <c r="I1649" s="388"/>
    </row>
    <row r="1650" spans="1:9">
      <c r="A1650" s="408">
        <v>42144</v>
      </c>
      <c r="B1650" s="411">
        <v>2125.85</v>
      </c>
      <c r="C1650" s="418">
        <f t="shared" si="194"/>
        <v>-9.305254649102368E-4</v>
      </c>
      <c r="D1650" s="411">
        <v>43.62</v>
      </c>
      <c r="E1650" s="418">
        <f t="shared" si="195"/>
        <v>-5.6048474356200084E-2</v>
      </c>
      <c r="F1650" s="411"/>
      <c r="G1650" s="388"/>
      <c r="I1650" s="388"/>
    </row>
    <row r="1651" spans="1:9">
      <c r="A1651" s="408">
        <v>42143</v>
      </c>
      <c r="B1651" s="411">
        <v>2127.83</v>
      </c>
      <c r="C1651" s="418">
        <f t="shared" si="194"/>
        <v>-6.4343415367273948E-4</v>
      </c>
      <c r="D1651" s="411">
        <v>46.21</v>
      </c>
      <c r="E1651" s="418">
        <f t="shared" si="195"/>
        <v>-2.448807261980146E-2</v>
      </c>
      <c r="F1651" s="411"/>
      <c r="G1651" s="388"/>
      <c r="I1651" s="388"/>
    </row>
    <row r="1652" spans="1:9">
      <c r="A1652" s="408">
        <v>42142</v>
      </c>
      <c r="B1652" s="411">
        <v>2129.1999999999998</v>
      </c>
      <c r="C1652" s="418">
        <f t="shared" si="194"/>
        <v>3.0479618227470251E-3</v>
      </c>
      <c r="D1652" s="411">
        <v>47.37</v>
      </c>
      <c r="E1652" s="418">
        <f t="shared" si="195"/>
        <v>7.8723404255318652E-3</v>
      </c>
      <c r="F1652" s="411"/>
      <c r="G1652" s="388"/>
      <c r="I1652" s="388"/>
    </row>
    <row r="1653" spans="1:9">
      <c r="A1653" s="408">
        <v>42139</v>
      </c>
      <c r="B1653" s="411">
        <v>2122.73</v>
      </c>
      <c r="C1653" s="418">
        <f t="shared" si="194"/>
        <v>7.6846919051432039E-4</v>
      </c>
      <c r="D1653" s="411">
        <v>47</v>
      </c>
      <c r="E1653" s="418">
        <f t="shared" si="195"/>
        <v>-8.4388185654008518E-3</v>
      </c>
      <c r="F1653" s="411"/>
      <c r="G1653" s="388"/>
      <c r="I1653" s="388"/>
    </row>
    <row r="1654" spans="1:9">
      <c r="A1654" s="408">
        <v>42138</v>
      </c>
      <c r="B1654" s="411">
        <v>2121.1</v>
      </c>
      <c r="C1654" s="418">
        <f t="shared" si="194"/>
        <v>1.0779230681254859E-2</v>
      </c>
      <c r="D1654" s="411">
        <v>47.4</v>
      </c>
      <c r="E1654" s="418">
        <f t="shared" si="195"/>
        <v>1.3253527148354038E-2</v>
      </c>
      <c r="F1654" s="411"/>
      <c r="G1654" s="388"/>
      <c r="I1654" s="388"/>
    </row>
    <row r="1655" spans="1:9">
      <c r="A1655" s="408">
        <v>42137</v>
      </c>
      <c r="B1655" s="411">
        <v>2098.48</v>
      </c>
      <c r="C1655" s="418">
        <f t="shared" si="194"/>
        <v>-3.0488966805131135E-4</v>
      </c>
      <c r="D1655" s="411">
        <v>46.78</v>
      </c>
      <c r="E1655" s="418">
        <f t="shared" si="195"/>
        <v>1.4750542299349245E-2</v>
      </c>
      <c r="F1655" s="411"/>
      <c r="G1655" s="388"/>
      <c r="I1655" s="388"/>
    </row>
    <row r="1656" spans="1:9">
      <c r="A1656" s="408">
        <v>42136</v>
      </c>
      <c r="B1656" s="411">
        <v>2099.12</v>
      </c>
      <c r="C1656" s="418">
        <f t="shared" si="194"/>
        <v>-2.9496563484109339E-3</v>
      </c>
      <c r="D1656" s="411">
        <v>46.1</v>
      </c>
      <c r="E1656" s="418">
        <f t="shared" si="195"/>
        <v>-1.5167699209570618E-2</v>
      </c>
      <c r="F1656" s="411"/>
      <c r="G1656" s="388"/>
      <c r="I1656" s="388"/>
    </row>
    <row r="1657" spans="1:9">
      <c r="A1657" s="408">
        <v>42135</v>
      </c>
      <c r="B1657" s="411">
        <v>2105.33</v>
      </c>
      <c r="C1657" s="418">
        <f t="shared" si="194"/>
        <v>-5.0895515334814512E-3</v>
      </c>
      <c r="D1657" s="411">
        <v>46.81</v>
      </c>
      <c r="E1657" s="418">
        <f t="shared" si="195"/>
        <v>1.38618150314056E-2</v>
      </c>
      <c r="F1657" s="411"/>
      <c r="G1657" s="388"/>
      <c r="I1657" s="388"/>
    </row>
    <row r="1658" spans="1:9">
      <c r="A1658" s="408">
        <v>42132</v>
      </c>
      <c r="B1658" s="411">
        <v>2116.1</v>
      </c>
      <c r="C1658" s="418">
        <f t="shared" si="194"/>
        <v>1.3457854406130121E-2</v>
      </c>
      <c r="D1658" s="411">
        <v>46.17</v>
      </c>
      <c r="E1658" s="418">
        <f t="shared" si="195"/>
        <v>1.7857142857143016E-2</v>
      </c>
      <c r="F1658" s="411"/>
      <c r="G1658" s="388"/>
      <c r="I1658" s="388"/>
    </row>
    <row r="1659" spans="1:9">
      <c r="A1659" s="408">
        <v>42131</v>
      </c>
      <c r="B1659" s="411">
        <v>2088</v>
      </c>
      <c r="C1659" s="418">
        <f t="shared" si="194"/>
        <v>3.7737663149290945E-3</v>
      </c>
      <c r="D1659" s="411">
        <v>45.36</v>
      </c>
      <c r="E1659" s="418">
        <f t="shared" si="195"/>
        <v>2.9505220154334877E-2</v>
      </c>
      <c r="F1659" s="411"/>
      <c r="G1659" s="388"/>
      <c r="I1659" s="388"/>
    </row>
    <row r="1660" spans="1:9">
      <c r="A1660" s="408">
        <v>42130</v>
      </c>
      <c r="B1660" s="411">
        <v>2080.15</v>
      </c>
      <c r="C1660" s="418">
        <f t="shared" si="194"/>
        <v>-4.4556966871822645E-3</v>
      </c>
      <c r="D1660" s="411">
        <v>44.06</v>
      </c>
      <c r="E1660" s="418">
        <f t="shared" si="195"/>
        <v>3.6446469248292424E-3</v>
      </c>
      <c r="F1660" s="411"/>
      <c r="G1660" s="388"/>
      <c r="I1660" s="388"/>
    </row>
    <row r="1661" spans="1:9">
      <c r="A1661" s="408">
        <v>42129</v>
      </c>
      <c r="B1661" s="411">
        <v>2089.46</v>
      </c>
      <c r="C1661" s="418">
        <f t="shared" si="194"/>
        <v>-1.1837369767650707E-2</v>
      </c>
      <c r="D1661" s="411">
        <v>43.9</v>
      </c>
      <c r="E1661" s="418">
        <f t="shared" si="195"/>
        <v>-3.069110178847434E-2</v>
      </c>
      <c r="F1661" s="411"/>
      <c r="G1661" s="388"/>
      <c r="I1661" s="388"/>
    </row>
    <row r="1662" spans="1:9">
      <c r="A1662" s="408">
        <v>42128</v>
      </c>
      <c r="B1662" s="411">
        <v>2114.4899999999998</v>
      </c>
      <c r="C1662" s="418">
        <f t="shared" si="194"/>
        <v>2.9407719051932624E-3</v>
      </c>
      <c r="D1662" s="411">
        <v>45.29</v>
      </c>
      <c r="E1662" s="418">
        <f t="shared" si="195"/>
        <v>-8.1033727551467205E-3</v>
      </c>
      <c r="F1662" s="411"/>
      <c r="G1662" s="388"/>
      <c r="I1662" s="388"/>
    </row>
    <row r="1663" spans="1:9">
      <c r="A1663" s="408">
        <v>42125</v>
      </c>
      <c r="B1663" s="411">
        <v>2108.29</v>
      </c>
      <c r="C1663" s="418">
        <f t="shared" si="194"/>
        <v>1.0922987662490113E-2</v>
      </c>
      <c r="D1663" s="411">
        <v>45.66</v>
      </c>
      <c r="E1663" s="418">
        <f t="shared" si="195"/>
        <v>2.2849462365591267E-2</v>
      </c>
      <c r="F1663" s="411"/>
      <c r="G1663" s="388"/>
      <c r="I1663" s="388"/>
    </row>
    <row r="1664" spans="1:9">
      <c r="A1664" s="408">
        <v>42124</v>
      </c>
      <c r="B1664" s="411">
        <v>2085.5100000000002</v>
      </c>
      <c r="C1664" s="418">
        <f t="shared" si="194"/>
        <v>-1.0128865367728945E-2</v>
      </c>
      <c r="D1664" s="411">
        <v>44.64</v>
      </c>
      <c r="E1664" s="418">
        <f t="shared" si="195"/>
        <v>-8.6608927381746081E-3</v>
      </c>
      <c r="F1664" s="411"/>
      <c r="G1664" s="388"/>
      <c r="I1664" s="388"/>
    </row>
    <row r="1665" spans="1:9">
      <c r="A1665" s="408">
        <v>42123</v>
      </c>
      <c r="B1665" s="411">
        <v>2106.85</v>
      </c>
      <c r="C1665" s="418">
        <f t="shared" si="194"/>
        <v>-3.740377158637509E-3</v>
      </c>
      <c r="D1665" s="411">
        <v>45.03</v>
      </c>
      <c r="E1665" s="418">
        <f t="shared" si="195"/>
        <v>-2.5324675324675305E-2</v>
      </c>
      <c r="F1665" s="411"/>
      <c r="G1665" s="388"/>
      <c r="I1665" s="388"/>
    </row>
    <row r="1666" spans="1:9">
      <c r="A1666" s="408">
        <v>42122</v>
      </c>
      <c r="B1666" s="411">
        <v>2114.7600000000002</v>
      </c>
      <c r="C1666" s="418">
        <f t="shared" si="194"/>
        <v>2.7691899171140566E-3</v>
      </c>
      <c r="D1666" s="411">
        <v>46.2</v>
      </c>
      <c r="E1666" s="418">
        <f t="shared" si="195"/>
        <v>-5.3821313240043356E-3</v>
      </c>
      <c r="F1666" s="411"/>
      <c r="G1666" s="388"/>
      <c r="I1666" s="388"/>
    </row>
    <row r="1667" spans="1:9">
      <c r="A1667" s="408">
        <v>42121</v>
      </c>
      <c r="B1667" s="411">
        <v>2108.92</v>
      </c>
      <c r="C1667" s="418">
        <f t="shared" si="194"/>
        <v>-4.1413049124281454E-3</v>
      </c>
      <c r="D1667" s="411">
        <v>46.45</v>
      </c>
      <c r="E1667" s="418">
        <f t="shared" si="195"/>
        <v>-1.1281396338867489E-2</v>
      </c>
      <c r="F1667" s="411"/>
      <c r="G1667" s="388"/>
      <c r="I1667" s="388"/>
    </row>
    <row r="1668" spans="1:9">
      <c r="A1668" s="408">
        <v>42118</v>
      </c>
      <c r="B1668" s="411">
        <v>2117.69</v>
      </c>
      <c r="C1668" s="418">
        <f t="shared" si="194"/>
        <v>2.2527958806020099E-3</v>
      </c>
      <c r="D1668" s="411">
        <v>46.98</v>
      </c>
      <c r="E1668" s="418">
        <f t="shared" si="195"/>
        <v>1.1845789360327208E-2</v>
      </c>
      <c r="F1668" s="411"/>
      <c r="G1668" s="388"/>
      <c r="I1668" s="388"/>
    </row>
    <row r="1669" spans="1:9">
      <c r="A1669" s="408">
        <v>42117</v>
      </c>
      <c r="B1669" s="411">
        <v>2112.9299999999998</v>
      </c>
      <c r="C1669" s="418">
        <f t="shared" si="194"/>
        <v>2.357729748192483E-3</v>
      </c>
      <c r="D1669" s="411">
        <v>46.43</v>
      </c>
      <c r="E1669" s="418">
        <f t="shared" si="195"/>
        <v>-2.1491510853213214E-3</v>
      </c>
      <c r="F1669" s="411"/>
      <c r="G1669" s="388"/>
      <c r="I1669" s="388"/>
    </row>
    <row r="1670" spans="1:9">
      <c r="A1670" s="408">
        <v>42116</v>
      </c>
      <c r="B1670" s="411">
        <v>2107.96</v>
      </c>
      <c r="C1670" s="418">
        <f t="shared" si="194"/>
        <v>5.08751770141469E-3</v>
      </c>
      <c r="D1670" s="411">
        <v>46.53</v>
      </c>
      <c r="E1670" s="418">
        <f t="shared" si="195"/>
        <v>6.4892926670994111E-3</v>
      </c>
      <c r="F1670" s="411"/>
      <c r="G1670" s="388"/>
      <c r="I1670" s="388"/>
    </row>
    <row r="1671" spans="1:9">
      <c r="A1671" s="408">
        <v>42115</v>
      </c>
      <c r="B1671" s="411">
        <v>2097.29</v>
      </c>
      <c r="C1671" s="418">
        <f t="shared" si="194"/>
        <v>-1.4806703485050754E-3</v>
      </c>
      <c r="D1671" s="411">
        <v>46.23</v>
      </c>
      <c r="E1671" s="418">
        <f t="shared" si="195"/>
        <v>1.0933741526350405E-2</v>
      </c>
      <c r="F1671" s="411"/>
      <c r="G1671" s="388"/>
      <c r="I1671" s="388"/>
    </row>
    <row r="1672" spans="1:9">
      <c r="A1672" s="408">
        <v>42114</v>
      </c>
      <c r="B1672" s="411">
        <v>2100.4</v>
      </c>
      <c r="C1672" s="418">
        <f t="shared" ref="C1672:C1735" si="196">B1672/B1673-1</f>
        <v>9.2351454463335259E-3</v>
      </c>
      <c r="D1672" s="411">
        <v>45.73</v>
      </c>
      <c r="E1672" s="418">
        <f t="shared" ref="E1672:E1735" si="197">D1672/D1673-1</f>
        <v>2.1671134941912307E-2</v>
      </c>
      <c r="F1672" s="411"/>
      <c r="G1672" s="388"/>
      <c r="I1672" s="388"/>
    </row>
    <row r="1673" spans="1:9">
      <c r="A1673" s="408">
        <v>42111</v>
      </c>
      <c r="B1673" s="411">
        <v>2081.1799999999998</v>
      </c>
      <c r="C1673" s="418">
        <f t="shared" si="196"/>
        <v>-1.131121763048748E-2</v>
      </c>
      <c r="D1673" s="411">
        <v>44.76</v>
      </c>
      <c r="E1673" s="418">
        <f t="shared" si="197"/>
        <v>-5.1122471660369762E-3</v>
      </c>
      <c r="F1673" s="411"/>
      <c r="G1673" s="388"/>
      <c r="I1673" s="388"/>
    </row>
    <row r="1674" spans="1:9">
      <c r="A1674" s="408">
        <v>42110</v>
      </c>
      <c r="B1674" s="411">
        <v>2104.9899999999998</v>
      </c>
      <c r="C1674" s="418">
        <f t="shared" si="196"/>
        <v>-7.784945624055295E-4</v>
      </c>
      <c r="D1674" s="411">
        <v>44.99</v>
      </c>
      <c r="E1674" s="418">
        <f t="shared" si="197"/>
        <v>1.7873303167420751E-2</v>
      </c>
      <c r="F1674" s="411"/>
      <c r="G1674" s="388"/>
      <c r="I1674" s="388"/>
    </row>
    <row r="1675" spans="1:9">
      <c r="A1675" s="408">
        <v>42109</v>
      </c>
      <c r="B1675" s="411">
        <v>2106.63</v>
      </c>
      <c r="C1675" s="418">
        <f t="shared" si="196"/>
        <v>5.1482937628826164E-3</v>
      </c>
      <c r="D1675" s="411">
        <v>44.2</v>
      </c>
      <c r="E1675" s="418">
        <f t="shared" si="197"/>
        <v>2.5998142989786643E-2</v>
      </c>
      <c r="F1675" s="411"/>
      <c r="G1675" s="388"/>
      <c r="I1675" s="388"/>
    </row>
    <row r="1676" spans="1:9">
      <c r="A1676" s="408">
        <v>42108</v>
      </c>
      <c r="B1676" s="411">
        <v>2095.84</v>
      </c>
      <c r="C1676" s="418">
        <f t="shared" si="196"/>
        <v>1.6296841471401535E-3</v>
      </c>
      <c r="D1676" s="411">
        <v>43.08</v>
      </c>
      <c r="E1676" s="418">
        <f t="shared" si="197"/>
        <v>2.3218017181325656E-4</v>
      </c>
      <c r="F1676" s="411"/>
      <c r="G1676" s="388"/>
      <c r="I1676" s="388"/>
    </row>
    <row r="1677" spans="1:9">
      <c r="A1677" s="408">
        <v>42107</v>
      </c>
      <c r="B1677" s="411">
        <v>2092.4299999999998</v>
      </c>
      <c r="C1677" s="418">
        <f t="shared" si="196"/>
        <v>-4.5812203267271423E-3</v>
      </c>
      <c r="D1677" s="411">
        <v>43.07</v>
      </c>
      <c r="E1677" s="418">
        <f t="shared" si="197"/>
        <v>-3.7011334721257505E-3</v>
      </c>
      <c r="F1677" s="411"/>
      <c r="G1677" s="388"/>
      <c r="I1677" s="388"/>
    </row>
    <row r="1678" spans="1:9">
      <c r="A1678" s="408">
        <v>42104</v>
      </c>
      <c r="B1678" s="411">
        <v>2102.06</v>
      </c>
      <c r="C1678" s="418">
        <f t="shared" si="196"/>
        <v>5.2028041584177842E-3</v>
      </c>
      <c r="D1678" s="411">
        <v>43.23</v>
      </c>
      <c r="E1678" s="418">
        <f t="shared" si="197"/>
        <v>2.0862308762168436E-3</v>
      </c>
      <c r="F1678" s="411"/>
      <c r="G1678" s="388"/>
      <c r="I1678" s="388"/>
    </row>
    <row r="1679" spans="1:9">
      <c r="A1679" s="408">
        <v>42103</v>
      </c>
      <c r="B1679" s="411">
        <v>2091.1799999999998</v>
      </c>
      <c r="C1679" s="418">
        <f t="shared" si="196"/>
        <v>4.4574667371151122E-3</v>
      </c>
      <c r="D1679" s="411">
        <v>43.14</v>
      </c>
      <c r="E1679" s="418">
        <f t="shared" si="197"/>
        <v>-3.4650034650034467E-3</v>
      </c>
      <c r="F1679" s="411"/>
      <c r="G1679" s="388"/>
      <c r="I1679" s="388"/>
    </row>
    <row r="1680" spans="1:9">
      <c r="A1680" s="408">
        <v>42102</v>
      </c>
      <c r="B1680" s="411">
        <v>2081.9</v>
      </c>
      <c r="C1680" s="418">
        <f t="shared" si="196"/>
        <v>2.6826178882932705E-3</v>
      </c>
      <c r="D1680" s="411">
        <v>43.29</v>
      </c>
      <c r="E1680" s="418">
        <f t="shared" si="197"/>
        <v>3.9625360230547413E-2</v>
      </c>
      <c r="F1680" s="411"/>
      <c r="G1680" s="388"/>
      <c r="I1680" s="388"/>
    </row>
    <row r="1681" spans="1:9">
      <c r="A1681" s="408">
        <v>42101</v>
      </c>
      <c r="B1681" s="411">
        <v>2076.33</v>
      </c>
      <c r="C1681" s="418">
        <f t="shared" si="196"/>
        <v>-2.0618853995443276E-3</v>
      </c>
      <c r="D1681" s="411">
        <v>41.64</v>
      </c>
      <c r="E1681" s="418">
        <f t="shared" si="197"/>
        <v>-2.8735632183907178E-3</v>
      </c>
      <c r="F1681" s="411"/>
      <c r="G1681" s="388"/>
      <c r="I1681" s="388"/>
    </row>
    <row r="1682" spans="1:9">
      <c r="A1682" s="408">
        <v>42100</v>
      </c>
      <c r="B1682" s="411">
        <v>2080.62</v>
      </c>
      <c r="C1682" s="418">
        <f t="shared" si="196"/>
        <v>6.6087394047296133E-3</v>
      </c>
      <c r="D1682" s="411">
        <v>41.76</v>
      </c>
      <c r="E1682" s="418">
        <f t="shared" si="197"/>
        <v>-1.1597633136094743E-2</v>
      </c>
      <c r="F1682" s="411"/>
      <c r="G1682" s="388"/>
      <c r="I1682" s="388"/>
    </row>
    <row r="1683" spans="1:9">
      <c r="A1683" s="408">
        <v>42096</v>
      </c>
      <c r="B1683" s="411">
        <v>2066.96</v>
      </c>
      <c r="C1683" s="418">
        <f t="shared" si="196"/>
        <v>3.5296573756244953E-3</v>
      </c>
      <c r="D1683" s="411">
        <v>42.25</v>
      </c>
      <c r="E1683" s="418">
        <f t="shared" si="197"/>
        <v>-2.3347202958853397E-2</v>
      </c>
      <c r="F1683" s="411"/>
      <c r="G1683" s="388"/>
      <c r="I1683" s="388"/>
    </row>
    <row r="1684" spans="1:9">
      <c r="A1684" s="408">
        <v>42095</v>
      </c>
      <c r="B1684" s="411">
        <v>2059.69</v>
      </c>
      <c r="C1684" s="418">
        <f t="shared" si="196"/>
        <v>-3.965394677666545E-3</v>
      </c>
      <c r="D1684" s="411">
        <v>43.26</v>
      </c>
      <c r="E1684" s="418">
        <f t="shared" si="197"/>
        <v>-3.7811387900355986E-2</v>
      </c>
      <c r="F1684" s="411"/>
      <c r="G1684" s="388"/>
      <c r="I1684" s="388"/>
    </row>
    <row r="1685" spans="1:9">
      <c r="A1685" s="408">
        <v>42094</v>
      </c>
      <c r="B1685" s="411">
        <v>2067.89</v>
      </c>
      <c r="C1685" s="418">
        <f t="shared" si="196"/>
        <v>-8.7957282000152848E-3</v>
      </c>
      <c r="D1685" s="411">
        <v>44.96</v>
      </c>
      <c r="E1685" s="418">
        <f t="shared" si="197"/>
        <v>-1.3169446883230962E-2</v>
      </c>
      <c r="F1685" s="411"/>
      <c r="G1685" s="388"/>
      <c r="I1685" s="388"/>
    </row>
    <row r="1686" spans="1:9">
      <c r="A1686" s="408">
        <v>42093</v>
      </c>
      <c r="B1686" s="411">
        <v>2086.2399999999998</v>
      </c>
      <c r="C1686" s="418">
        <f t="shared" si="196"/>
        <v>1.2236659518102488E-2</v>
      </c>
      <c r="D1686" s="411">
        <v>45.56</v>
      </c>
      <c r="E1686" s="418">
        <f t="shared" si="197"/>
        <v>1.5151515151515138E-2</v>
      </c>
      <c r="F1686" s="411"/>
      <c r="G1686" s="388"/>
      <c r="I1686" s="388"/>
    </row>
    <row r="1687" spans="1:9">
      <c r="A1687" s="408">
        <v>42090</v>
      </c>
      <c r="B1687" s="411">
        <v>2061.02</v>
      </c>
      <c r="C1687" s="418">
        <f t="shared" si="196"/>
        <v>2.3685042433674308E-3</v>
      </c>
      <c r="D1687" s="411">
        <v>44.88</v>
      </c>
      <c r="E1687" s="418">
        <f t="shared" si="197"/>
        <v>1.7917895214334401E-2</v>
      </c>
      <c r="F1687" s="411"/>
      <c r="G1687" s="388"/>
      <c r="I1687" s="388"/>
    </row>
    <row r="1688" spans="1:9">
      <c r="A1688" s="408">
        <v>42089</v>
      </c>
      <c r="B1688" s="411">
        <v>2056.15</v>
      </c>
      <c r="C1688" s="418">
        <f t="shared" si="196"/>
        <v>-2.3774289803740745E-3</v>
      </c>
      <c r="D1688" s="411">
        <v>44.09</v>
      </c>
      <c r="E1688" s="418">
        <f t="shared" si="197"/>
        <v>-9.6585804132973685E-3</v>
      </c>
      <c r="F1688" s="411"/>
      <c r="G1688" s="388"/>
      <c r="I1688" s="388"/>
    </row>
    <row r="1689" spans="1:9">
      <c r="A1689" s="408">
        <v>42088</v>
      </c>
      <c r="B1689" s="411">
        <v>2061.0500000000002</v>
      </c>
      <c r="C1689" s="418">
        <f t="shared" si="196"/>
        <v>-1.4558928998326448E-2</v>
      </c>
      <c r="D1689" s="411">
        <v>44.52</v>
      </c>
      <c r="E1689" s="418">
        <f t="shared" si="197"/>
        <v>-3.2804692591787865E-2</v>
      </c>
      <c r="F1689" s="411"/>
      <c r="G1689" s="388"/>
      <c r="I1689" s="388"/>
    </row>
    <row r="1690" spans="1:9">
      <c r="A1690" s="408">
        <v>42087</v>
      </c>
      <c r="B1690" s="411">
        <v>2091.5</v>
      </c>
      <c r="C1690" s="418">
        <f t="shared" si="196"/>
        <v>-6.1394588532707184E-3</v>
      </c>
      <c r="D1690" s="411">
        <v>46.03</v>
      </c>
      <c r="E1690" s="418">
        <f t="shared" si="197"/>
        <v>-1.180764276513524E-2</v>
      </c>
      <c r="F1690" s="411"/>
      <c r="G1690" s="388"/>
      <c r="I1690" s="388"/>
    </row>
    <row r="1691" spans="1:9">
      <c r="A1691" s="408">
        <v>42086</v>
      </c>
      <c r="B1691" s="411">
        <v>2104.42</v>
      </c>
      <c r="C1691" s="418">
        <f t="shared" si="196"/>
        <v>-1.7456477396706749E-3</v>
      </c>
      <c r="D1691" s="411">
        <v>46.58</v>
      </c>
      <c r="E1691" s="418">
        <f t="shared" si="197"/>
        <v>-1.7714044706874765E-2</v>
      </c>
      <c r="F1691" s="411"/>
      <c r="G1691" s="388"/>
      <c r="I1691" s="388"/>
    </row>
    <row r="1692" spans="1:9">
      <c r="A1692" s="408">
        <v>42083</v>
      </c>
      <c r="B1692" s="411">
        <v>2108.1</v>
      </c>
      <c r="C1692" s="418">
        <f t="shared" si="196"/>
        <v>9.0127173606091571E-3</v>
      </c>
      <c r="D1692" s="411">
        <v>47.42</v>
      </c>
      <c r="E1692" s="418">
        <f t="shared" si="197"/>
        <v>3.3855268726197263E-3</v>
      </c>
      <c r="F1692" s="411"/>
      <c r="G1692" s="388"/>
      <c r="I1692" s="388"/>
    </row>
    <row r="1693" spans="1:9">
      <c r="A1693" s="408">
        <v>42082</v>
      </c>
      <c r="B1693" s="411">
        <v>2089.27</v>
      </c>
      <c r="C1693" s="418">
        <f t="shared" si="196"/>
        <v>-4.8725887115980138E-3</v>
      </c>
      <c r="D1693" s="411">
        <v>47.26</v>
      </c>
      <c r="E1693" s="418">
        <f t="shared" si="197"/>
        <v>3.1652477624972697E-2</v>
      </c>
      <c r="F1693" s="411"/>
      <c r="G1693" s="388"/>
      <c r="I1693" s="388"/>
    </row>
    <row r="1694" spans="1:9">
      <c r="A1694" s="408">
        <v>42081</v>
      </c>
      <c r="B1694" s="411">
        <v>2099.5</v>
      </c>
      <c r="C1694" s="418">
        <f t="shared" si="196"/>
        <v>1.2158435698169878E-2</v>
      </c>
      <c r="D1694" s="411">
        <v>45.81</v>
      </c>
      <c r="E1694" s="418">
        <f t="shared" si="197"/>
        <v>-1.8006430868167111E-2</v>
      </c>
      <c r="F1694" s="411"/>
      <c r="G1694" s="388"/>
      <c r="I1694" s="388"/>
    </row>
    <row r="1695" spans="1:9">
      <c r="A1695" s="408">
        <v>42080</v>
      </c>
      <c r="B1695" s="411">
        <v>2074.2800000000002</v>
      </c>
      <c r="C1695" s="418">
        <f t="shared" si="196"/>
        <v>-3.3202158380540858E-3</v>
      </c>
      <c r="D1695" s="411">
        <v>46.65</v>
      </c>
      <c r="E1695" s="418">
        <f t="shared" si="197"/>
        <v>1.0615251299826767E-2</v>
      </c>
      <c r="F1695" s="411"/>
      <c r="G1695" s="388"/>
      <c r="I1695" s="388"/>
    </row>
    <row r="1696" spans="1:9">
      <c r="A1696" s="408">
        <v>42079</v>
      </c>
      <c r="B1696" s="411">
        <v>2081.19</v>
      </c>
      <c r="C1696" s="418">
        <f t="shared" si="196"/>
        <v>1.353365150482122E-2</v>
      </c>
      <c r="D1696" s="411">
        <v>46.16</v>
      </c>
      <c r="E1696" s="418">
        <f t="shared" si="197"/>
        <v>1.4505494505494321E-2</v>
      </c>
      <c r="F1696" s="411"/>
      <c r="G1696" s="388"/>
      <c r="I1696" s="388"/>
    </row>
    <row r="1697" spans="1:9">
      <c r="A1697" s="408">
        <v>42076</v>
      </c>
      <c r="B1697" s="411">
        <v>2053.4</v>
      </c>
      <c r="C1697" s="418">
        <f t="shared" si="196"/>
        <v>-6.0746871899125532E-3</v>
      </c>
      <c r="D1697" s="411">
        <v>45.5</v>
      </c>
      <c r="E1697" s="418">
        <f t="shared" si="197"/>
        <v>3.7502757555702981E-3</v>
      </c>
      <c r="F1697" s="411"/>
      <c r="G1697" s="388"/>
      <c r="I1697" s="388"/>
    </row>
    <row r="1698" spans="1:9">
      <c r="A1698" s="408">
        <v>42075</v>
      </c>
      <c r="B1698" s="411">
        <v>2065.9499999999998</v>
      </c>
      <c r="C1698" s="418">
        <f t="shared" si="196"/>
        <v>1.2601458651923192E-2</v>
      </c>
      <c r="D1698" s="411">
        <v>45.33</v>
      </c>
      <c r="E1698" s="418">
        <f t="shared" si="197"/>
        <v>2.9759200363471017E-2</v>
      </c>
      <c r="F1698" s="411"/>
      <c r="G1698" s="388"/>
      <c r="I1698" s="388"/>
    </row>
    <row r="1699" spans="1:9">
      <c r="A1699" s="408">
        <v>42074</v>
      </c>
      <c r="B1699" s="411">
        <v>2040.24</v>
      </c>
      <c r="C1699" s="418">
        <f t="shared" si="196"/>
        <v>-1.9176581089542788E-3</v>
      </c>
      <c r="D1699" s="411">
        <v>44.02</v>
      </c>
      <c r="E1699" s="418">
        <f t="shared" si="197"/>
        <v>1.381851681252888E-2</v>
      </c>
      <c r="F1699" s="411"/>
      <c r="G1699" s="388"/>
      <c r="I1699" s="388"/>
    </row>
    <row r="1700" spans="1:9">
      <c r="A1700" s="408">
        <v>42073</v>
      </c>
      <c r="B1700" s="411">
        <v>2044.16</v>
      </c>
      <c r="C1700" s="418">
        <f t="shared" si="196"/>
        <v>-1.6961378839393415E-2</v>
      </c>
      <c r="D1700" s="411">
        <v>43.42</v>
      </c>
      <c r="E1700" s="418">
        <f t="shared" si="197"/>
        <v>-2.5802109041956456E-2</v>
      </c>
      <c r="F1700" s="411"/>
      <c r="G1700" s="388"/>
      <c r="I1700" s="388"/>
    </row>
    <row r="1701" spans="1:9">
      <c r="A1701" s="408">
        <v>42072</v>
      </c>
      <c r="B1701" s="411">
        <v>2079.4299999999998</v>
      </c>
      <c r="C1701" s="418">
        <f t="shared" si="196"/>
        <v>3.9444589283814668E-3</v>
      </c>
      <c r="D1701" s="411">
        <v>44.57</v>
      </c>
      <c r="E1701" s="418">
        <f t="shared" si="197"/>
        <v>1.8044769301050589E-2</v>
      </c>
      <c r="F1701" s="411"/>
      <c r="G1701" s="388"/>
      <c r="I1701" s="388"/>
    </row>
    <row r="1702" spans="1:9">
      <c r="A1702" s="408">
        <v>42069</v>
      </c>
      <c r="B1702" s="411">
        <v>2071.2600000000002</v>
      </c>
      <c r="C1702" s="418">
        <f t="shared" si="196"/>
        <v>-1.4173932909416154E-2</v>
      </c>
      <c r="D1702" s="411">
        <v>43.78</v>
      </c>
      <c r="E1702" s="418">
        <f t="shared" si="197"/>
        <v>-1.3741833746339305E-2</v>
      </c>
      <c r="F1702" s="411"/>
      <c r="G1702" s="388"/>
      <c r="I1702" s="388"/>
    </row>
    <row r="1703" spans="1:9">
      <c r="A1703" s="408">
        <v>42068</v>
      </c>
      <c r="B1703" s="411">
        <v>2101.04</v>
      </c>
      <c r="C1703" s="418">
        <f t="shared" si="196"/>
        <v>1.1960753479816066E-3</v>
      </c>
      <c r="D1703" s="411">
        <v>44.39</v>
      </c>
      <c r="E1703" s="418">
        <f t="shared" si="197"/>
        <v>-1.683277962347729E-2</v>
      </c>
      <c r="F1703" s="411"/>
      <c r="G1703" s="388"/>
      <c r="I1703" s="388"/>
    </row>
    <row r="1704" spans="1:9">
      <c r="A1704" s="408">
        <v>42067</v>
      </c>
      <c r="B1704" s="411">
        <v>2098.5300000000002</v>
      </c>
      <c r="C1704" s="418">
        <f t="shared" si="196"/>
        <v>-4.3885035440131004E-3</v>
      </c>
      <c r="D1704" s="411">
        <v>45.15</v>
      </c>
      <c r="E1704" s="418">
        <f t="shared" si="197"/>
        <v>-1.3761467889908285E-2</v>
      </c>
      <c r="F1704" s="411"/>
      <c r="G1704" s="388"/>
      <c r="I1704" s="388"/>
    </row>
    <row r="1705" spans="1:9">
      <c r="A1705" s="408">
        <v>42066</v>
      </c>
      <c r="B1705" s="411">
        <v>2107.7800000000002</v>
      </c>
      <c r="C1705" s="418">
        <f t="shared" si="196"/>
        <v>-4.5386064919545888E-3</v>
      </c>
      <c r="D1705" s="411">
        <v>45.78</v>
      </c>
      <c r="E1705" s="418">
        <f t="shared" si="197"/>
        <v>8.5922009253138754E-3</v>
      </c>
      <c r="F1705" s="411"/>
      <c r="G1705" s="388"/>
      <c r="I1705" s="388"/>
    </row>
    <row r="1706" spans="1:9">
      <c r="A1706" s="408">
        <v>42065</v>
      </c>
      <c r="B1706" s="411">
        <v>2117.39</v>
      </c>
      <c r="C1706" s="418">
        <f t="shared" si="196"/>
        <v>6.1249703017343116E-3</v>
      </c>
      <c r="D1706" s="411">
        <v>45.39</v>
      </c>
      <c r="E1706" s="418">
        <f t="shared" si="197"/>
        <v>1.9541778975741275E-2</v>
      </c>
      <c r="F1706" s="411"/>
      <c r="G1706" s="388"/>
      <c r="I1706" s="388"/>
    </row>
    <row r="1707" spans="1:9">
      <c r="A1707" s="408">
        <v>42062</v>
      </c>
      <c r="B1707" s="411">
        <v>2104.5</v>
      </c>
      <c r="C1707" s="418">
        <f t="shared" si="196"/>
        <v>-2.9563091617157422E-3</v>
      </c>
      <c r="D1707" s="411">
        <v>44.52</v>
      </c>
      <c r="E1707" s="418">
        <f t="shared" si="197"/>
        <v>-3.0487804878048697E-2</v>
      </c>
      <c r="F1707" s="411"/>
      <c r="G1707" s="388"/>
      <c r="I1707" s="388"/>
    </row>
    <row r="1708" spans="1:9">
      <c r="A1708" s="408">
        <v>42061</v>
      </c>
      <c r="B1708" s="411">
        <v>2110.7399999999998</v>
      </c>
      <c r="C1708" s="418">
        <f t="shared" si="196"/>
        <v>-1.4759728648067183E-3</v>
      </c>
      <c r="D1708" s="411">
        <v>45.92</v>
      </c>
      <c r="E1708" s="418">
        <f t="shared" si="197"/>
        <v>-1.964133219470543E-2</v>
      </c>
      <c r="F1708" s="411"/>
      <c r="G1708" s="388"/>
      <c r="I1708" s="388"/>
    </row>
    <row r="1709" spans="1:9">
      <c r="A1709" s="408">
        <v>42060</v>
      </c>
      <c r="B1709" s="411">
        <v>2113.86</v>
      </c>
      <c r="C1709" s="418">
        <f t="shared" si="196"/>
        <v>-7.6578365193713527E-4</v>
      </c>
      <c r="D1709" s="411">
        <v>46.84</v>
      </c>
      <c r="E1709" s="418">
        <f t="shared" si="197"/>
        <v>-2.4776181553195831E-2</v>
      </c>
      <c r="F1709" s="411"/>
      <c r="G1709" s="388"/>
      <c r="I1709" s="388"/>
    </row>
    <row r="1710" spans="1:9">
      <c r="A1710" s="408">
        <v>42059</v>
      </c>
      <c r="B1710" s="411">
        <v>2115.48</v>
      </c>
      <c r="C1710" s="418">
        <f t="shared" si="196"/>
        <v>2.7587383749041461E-3</v>
      </c>
      <c r="D1710" s="411">
        <v>48.03</v>
      </c>
      <c r="E1710" s="418">
        <f t="shared" si="197"/>
        <v>1.7800381436745116E-2</v>
      </c>
      <c r="F1710" s="411"/>
      <c r="G1710" s="388"/>
      <c r="I1710" s="388"/>
    </row>
    <row r="1711" spans="1:9">
      <c r="A1711" s="408">
        <v>42058</v>
      </c>
      <c r="B1711" s="411">
        <v>2109.66</v>
      </c>
      <c r="C1711" s="418">
        <f t="shared" si="196"/>
        <v>-3.032744159600087E-4</v>
      </c>
      <c r="D1711" s="411">
        <v>47.19</v>
      </c>
      <c r="E1711" s="418">
        <f t="shared" si="197"/>
        <v>-5.2698145025295018E-3</v>
      </c>
      <c r="F1711" s="411"/>
      <c r="G1711" s="388"/>
      <c r="I1711" s="388"/>
    </row>
    <row r="1712" spans="1:9">
      <c r="A1712" s="408">
        <v>42055</v>
      </c>
      <c r="B1712" s="411">
        <v>2110.3000000000002</v>
      </c>
      <c r="C1712" s="418">
        <f t="shared" si="196"/>
        <v>6.1264869245991616E-3</v>
      </c>
      <c r="D1712" s="411">
        <v>47.44</v>
      </c>
      <c r="E1712" s="418">
        <f t="shared" si="197"/>
        <v>3.3101045296167086E-2</v>
      </c>
      <c r="F1712" s="411"/>
      <c r="G1712" s="388"/>
      <c r="I1712" s="388"/>
    </row>
    <row r="1713" spans="1:9">
      <c r="A1713" s="408">
        <v>42054</v>
      </c>
      <c r="B1713" s="411">
        <v>2097.4499999999998</v>
      </c>
      <c r="C1713" s="418">
        <f t="shared" si="196"/>
        <v>-1.0620666006249113E-3</v>
      </c>
      <c r="D1713" s="411">
        <v>45.92</v>
      </c>
      <c r="E1713" s="418">
        <f t="shared" si="197"/>
        <v>1.4358294676386052E-2</v>
      </c>
      <c r="F1713" s="411"/>
      <c r="G1713" s="388"/>
      <c r="I1713" s="388"/>
    </row>
    <row r="1714" spans="1:9">
      <c r="A1714" s="408">
        <v>42053</v>
      </c>
      <c r="B1714" s="411">
        <v>2099.6799999999998</v>
      </c>
      <c r="C1714" s="418">
        <f t="shared" si="196"/>
        <v>-3.1423483816916953E-4</v>
      </c>
      <c r="D1714" s="411">
        <v>45.27</v>
      </c>
      <c r="E1714" s="418">
        <f t="shared" si="197"/>
        <v>1.1394101876675666E-2</v>
      </c>
      <c r="F1714" s="411"/>
      <c r="G1714" s="388"/>
      <c r="I1714" s="388"/>
    </row>
    <row r="1715" spans="1:9">
      <c r="A1715" s="408">
        <v>42052</v>
      </c>
      <c r="B1715" s="411">
        <v>2100.34</v>
      </c>
      <c r="C1715" s="418">
        <f t="shared" si="196"/>
        <v>1.5975278852071728E-3</v>
      </c>
      <c r="D1715" s="411">
        <v>44.76</v>
      </c>
      <c r="E1715" s="418">
        <f t="shared" si="197"/>
        <v>5.8426966292133287E-3</v>
      </c>
      <c r="F1715" s="411"/>
      <c r="G1715" s="388"/>
      <c r="I1715" s="388"/>
    </row>
    <row r="1716" spans="1:9">
      <c r="A1716" s="408">
        <v>42048</v>
      </c>
      <c r="B1716" s="411">
        <v>2096.9899999999998</v>
      </c>
      <c r="C1716" s="418">
        <f t="shared" si="196"/>
        <v>4.0747337776754211E-3</v>
      </c>
      <c r="D1716" s="411">
        <v>44.5</v>
      </c>
      <c r="E1716" s="418">
        <f t="shared" si="197"/>
        <v>-6.9180986386967458E-3</v>
      </c>
      <c r="F1716" s="411"/>
      <c r="G1716" s="388"/>
      <c r="I1716" s="388"/>
    </row>
    <row r="1717" spans="1:9">
      <c r="A1717" s="408">
        <v>42047</v>
      </c>
      <c r="B1717" s="411">
        <v>2088.48</v>
      </c>
      <c r="C1717" s="418">
        <f t="shared" si="196"/>
        <v>9.644530173601451E-3</v>
      </c>
      <c r="D1717" s="411">
        <v>44.81</v>
      </c>
      <c r="E1717" s="418">
        <f t="shared" si="197"/>
        <v>-3.7794575366828509E-3</v>
      </c>
      <c r="F1717" s="411"/>
      <c r="G1717" s="388"/>
      <c r="I1717" s="388"/>
    </row>
    <row r="1718" spans="1:9">
      <c r="A1718" s="408">
        <v>42046</v>
      </c>
      <c r="B1718" s="411">
        <v>2068.5300000000002</v>
      </c>
      <c r="C1718" s="418">
        <f t="shared" si="196"/>
        <v>-2.9005264455483903E-5</v>
      </c>
      <c r="D1718" s="411">
        <v>44.98</v>
      </c>
      <c r="E1718" s="418">
        <f t="shared" si="197"/>
        <v>-7.5022065313328223E-3</v>
      </c>
      <c r="F1718" s="411"/>
      <c r="G1718" s="388"/>
      <c r="I1718" s="388"/>
    </row>
    <row r="1719" spans="1:9">
      <c r="A1719" s="408">
        <v>42045</v>
      </c>
      <c r="B1719" s="411">
        <v>2068.59</v>
      </c>
      <c r="C1719" s="418">
        <f t="shared" si="196"/>
        <v>1.0675513255225422E-2</v>
      </c>
      <c r="D1719" s="411">
        <v>45.32</v>
      </c>
      <c r="E1719" s="418">
        <f t="shared" si="197"/>
        <v>1.9572553430821094E-2</v>
      </c>
      <c r="F1719" s="411"/>
      <c r="G1719" s="388"/>
      <c r="I1719" s="388"/>
    </row>
    <row r="1720" spans="1:9">
      <c r="A1720" s="408">
        <v>42044</v>
      </c>
      <c r="B1720" s="411">
        <v>2046.74</v>
      </c>
      <c r="C1720" s="418">
        <f t="shared" si="196"/>
        <v>-4.2472038025365144E-3</v>
      </c>
      <c r="D1720" s="411">
        <v>44.45</v>
      </c>
      <c r="E1720" s="418">
        <f t="shared" si="197"/>
        <v>-2.329158426719391E-2</v>
      </c>
      <c r="F1720" s="411"/>
      <c r="G1720" s="388"/>
      <c r="I1720" s="388"/>
    </row>
    <row r="1721" spans="1:9">
      <c r="A1721" s="408">
        <v>42041</v>
      </c>
      <c r="B1721" s="411">
        <v>2055.4699999999998</v>
      </c>
      <c r="C1721" s="418">
        <f t="shared" si="196"/>
        <v>-3.4181486724977894E-3</v>
      </c>
      <c r="D1721" s="411">
        <v>45.51</v>
      </c>
      <c r="E1721" s="418">
        <f t="shared" si="197"/>
        <v>-1.3654096228868706E-2</v>
      </c>
      <c r="F1721" s="411"/>
      <c r="G1721" s="388"/>
      <c r="I1721" s="388"/>
    </row>
    <row r="1722" spans="1:9">
      <c r="A1722" s="408">
        <v>42040</v>
      </c>
      <c r="B1722" s="411">
        <v>2062.52</v>
      </c>
      <c r="C1722" s="418">
        <f t="shared" si="196"/>
        <v>1.0291401952476242E-2</v>
      </c>
      <c r="D1722" s="411">
        <v>46.14</v>
      </c>
      <c r="E1722" s="418">
        <f t="shared" si="197"/>
        <v>-1.7461669505962507E-2</v>
      </c>
      <c r="F1722" s="411"/>
      <c r="G1722" s="388"/>
      <c r="I1722" s="388"/>
    </row>
    <row r="1723" spans="1:9">
      <c r="A1723" s="408">
        <v>42039</v>
      </c>
      <c r="B1723" s="411">
        <v>2041.51</v>
      </c>
      <c r="C1723" s="418">
        <f t="shared" si="196"/>
        <v>-4.1560367409257948E-3</v>
      </c>
      <c r="D1723" s="411">
        <v>46.96</v>
      </c>
      <c r="E1723" s="418">
        <f t="shared" si="197"/>
        <v>2.0647685285807515E-2</v>
      </c>
      <c r="F1723" s="411"/>
      <c r="G1723" s="388"/>
      <c r="I1723" s="388"/>
    </row>
    <row r="1724" spans="1:9">
      <c r="A1724" s="408">
        <v>42038</v>
      </c>
      <c r="B1724" s="411">
        <v>2050.0300000000002</v>
      </c>
      <c r="C1724" s="418">
        <f t="shared" si="196"/>
        <v>1.443946854046585E-2</v>
      </c>
      <c r="D1724" s="411">
        <v>46.01</v>
      </c>
      <c r="E1724" s="418">
        <f t="shared" si="197"/>
        <v>-1.0750376263169215E-2</v>
      </c>
      <c r="F1724" s="411"/>
      <c r="G1724" s="388"/>
      <c r="I1724" s="388"/>
    </row>
    <row r="1725" spans="1:9">
      <c r="A1725" s="408">
        <v>42037</v>
      </c>
      <c r="B1725" s="411">
        <v>2020.85</v>
      </c>
      <c r="C1725" s="418">
        <f t="shared" si="196"/>
        <v>1.29624709898295E-2</v>
      </c>
      <c r="D1725" s="411">
        <v>46.51</v>
      </c>
      <c r="E1725" s="418">
        <f t="shared" si="197"/>
        <v>-1.6909744240118485E-2</v>
      </c>
      <c r="F1725" s="411"/>
      <c r="G1725" s="388"/>
      <c r="I1725" s="388"/>
    </row>
    <row r="1726" spans="1:9">
      <c r="A1726" s="408">
        <v>42034</v>
      </c>
      <c r="B1726" s="411">
        <v>1994.99</v>
      </c>
      <c r="C1726" s="418">
        <f t="shared" si="196"/>
        <v>-1.2991960420531856E-2</v>
      </c>
      <c r="D1726" s="411">
        <v>47.31</v>
      </c>
      <c r="E1726" s="418">
        <f t="shared" si="197"/>
        <v>-5.7757418840868269E-2</v>
      </c>
      <c r="F1726" s="411"/>
      <c r="G1726" s="388"/>
      <c r="I1726" s="388"/>
    </row>
    <row r="1727" spans="1:9">
      <c r="A1727" s="408">
        <v>42033</v>
      </c>
      <c r="B1727" s="411">
        <v>2021.25</v>
      </c>
      <c r="C1727" s="418">
        <f t="shared" si="196"/>
        <v>9.5347025212770831E-3</v>
      </c>
      <c r="D1727" s="411">
        <v>50.21</v>
      </c>
      <c r="E1727" s="418">
        <f t="shared" si="197"/>
        <v>3.6112257531985215E-2</v>
      </c>
      <c r="F1727" s="411"/>
      <c r="G1727" s="388"/>
      <c r="I1727" s="388"/>
    </row>
    <row r="1728" spans="1:9">
      <c r="A1728" s="408">
        <v>42032</v>
      </c>
      <c r="B1728" s="411">
        <v>2002.16</v>
      </c>
      <c r="C1728" s="418">
        <f t="shared" si="196"/>
        <v>-1.3495602473454604E-2</v>
      </c>
      <c r="D1728" s="411">
        <v>48.46</v>
      </c>
      <c r="E1728" s="418">
        <f t="shared" si="197"/>
        <v>-1.4640097600650659E-2</v>
      </c>
      <c r="F1728" s="411"/>
      <c r="G1728" s="388"/>
      <c r="I1728" s="388"/>
    </row>
    <row r="1729" spans="1:9">
      <c r="A1729" s="408">
        <v>42031</v>
      </c>
      <c r="B1729" s="411">
        <v>2029.55</v>
      </c>
      <c r="C1729" s="418">
        <f t="shared" si="196"/>
        <v>-1.3387843993213799E-2</v>
      </c>
      <c r="D1729" s="411">
        <v>49.18</v>
      </c>
      <c r="E1729" s="418">
        <f t="shared" si="197"/>
        <v>-1.9341974077766722E-2</v>
      </c>
      <c r="F1729" s="411"/>
      <c r="G1729" s="388"/>
      <c r="I1729" s="388"/>
    </row>
    <row r="1730" spans="1:9">
      <c r="A1730" s="408">
        <v>42030</v>
      </c>
      <c r="B1730" s="411">
        <v>2057.09</v>
      </c>
      <c r="C1730" s="418">
        <f t="shared" si="196"/>
        <v>2.5684514236141709E-3</v>
      </c>
      <c r="D1730" s="411">
        <v>50.15</v>
      </c>
      <c r="E1730" s="418">
        <f t="shared" si="197"/>
        <v>-8.1091772151899999E-3</v>
      </c>
      <c r="F1730" s="411"/>
      <c r="G1730" s="388"/>
      <c r="I1730" s="388"/>
    </row>
    <row r="1731" spans="1:9">
      <c r="A1731" s="408">
        <v>42027</v>
      </c>
      <c r="B1731" s="411">
        <v>2051.8200000000002</v>
      </c>
      <c r="C1731" s="418">
        <f t="shared" si="196"/>
        <v>-5.4916026464386647E-3</v>
      </c>
      <c r="D1731" s="411">
        <v>50.56</v>
      </c>
      <c r="E1731" s="418">
        <f t="shared" si="197"/>
        <v>-2.7613412228797429E-3</v>
      </c>
      <c r="F1731" s="411"/>
      <c r="G1731" s="388"/>
      <c r="I1731" s="388"/>
    </row>
    <row r="1732" spans="1:9">
      <c r="A1732" s="408">
        <v>42026</v>
      </c>
      <c r="B1732" s="411">
        <v>2063.15</v>
      </c>
      <c r="C1732" s="418">
        <f t="shared" si="196"/>
        <v>1.526976753341347E-2</v>
      </c>
      <c r="D1732" s="411">
        <v>50.7</v>
      </c>
      <c r="E1732" s="418">
        <f t="shared" si="197"/>
        <v>3.0906872712484823E-2</v>
      </c>
      <c r="F1732" s="411"/>
      <c r="G1732" s="388"/>
      <c r="I1732" s="388"/>
    </row>
    <row r="1733" spans="1:9">
      <c r="A1733" s="408">
        <v>42025</v>
      </c>
      <c r="B1733" s="411">
        <v>2032.12</v>
      </c>
      <c r="C1733" s="418">
        <f t="shared" si="196"/>
        <v>4.7316506390446822E-3</v>
      </c>
      <c r="D1733" s="411">
        <v>49.18</v>
      </c>
      <c r="E1733" s="418">
        <f t="shared" si="197"/>
        <v>2.0337604230213913E-4</v>
      </c>
      <c r="F1733" s="411"/>
      <c r="G1733" s="388"/>
      <c r="I1733" s="388"/>
    </row>
    <row r="1734" spans="1:9">
      <c r="A1734" s="408">
        <v>42024</v>
      </c>
      <c r="B1734" s="411">
        <v>2022.55</v>
      </c>
      <c r="C1734" s="418">
        <f t="shared" si="196"/>
        <v>1.5499499856392873E-3</v>
      </c>
      <c r="D1734" s="411">
        <v>49.17</v>
      </c>
      <c r="E1734" s="418">
        <f t="shared" si="197"/>
        <v>7.2643979057591679E-2</v>
      </c>
      <c r="F1734" s="411"/>
      <c r="G1734" s="388"/>
      <c r="I1734" s="388"/>
    </row>
    <row r="1735" spans="1:9">
      <c r="A1735" s="408">
        <v>42020</v>
      </c>
      <c r="B1735" s="411">
        <v>2019.42</v>
      </c>
      <c r="C1735" s="418">
        <f t="shared" si="196"/>
        <v>1.3424199691870697E-2</v>
      </c>
      <c r="D1735" s="411">
        <v>45.84</v>
      </c>
      <c r="E1735" s="418">
        <f t="shared" si="197"/>
        <v>1.7536071032186573E-2</v>
      </c>
      <c r="F1735" s="411"/>
      <c r="G1735" s="388"/>
      <c r="I1735" s="388"/>
    </row>
    <row r="1736" spans="1:9">
      <c r="A1736" s="408">
        <v>42019</v>
      </c>
      <c r="B1736" s="411">
        <v>1992.67</v>
      </c>
      <c r="C1736" s="418">
        <f t="shared" ref="C1736:C1799" si="198">B1736/B1737-1</f>
        <v>-9.2478881502732202E-3</v>
      </c>
      <c r="D1736" s="411">
        <v>45.05</v>
      </c>
      <c r="E1736" s="418">
        <f t="shared" ref="E1736:E1799" si="199">D1736/D1737-1</f>
        <v>-5.7382476274554506E-3</v>
      </c>
      <c r="F1736" s="411"/>
      <c r="G1736" s="388"/>
      <c r="I1736" s="388"/>
    </row>
    <row r="1737" spans="1:9">
      <c r="A1737" s="408">
        <v>42018</v>
      </c>
      <c r="B1737" s="411">
        <v>2011.27</v>
      </c>
      <c r="C1737" s="418">
        <f t="shared" si="198"/>
        <v>-5.8130625843413331E-3</v>
      </c>
      <c r="D1737" s="411">
        <v>45.31</v>
      </c>
      <c r="E1737" s="418">
        <f t="shared" si="199"/>
        <v>-2.7891010512765435E-2</v>
      </c>
      <c r="F1737" s="411"/>
      <c r="G1737" s="388"/>
      <c r="I1737" s="388"/>
    </row>
    <row r="1738" spans="1:9">
      <c r="A1738" s="408">
        <v>42017</v>
      </c>
      <c r="B1738" s="411">
        <v>2023.03</v>
      </c>
      <c r="C1738" s="418">
        <f t="shared" si="198"/>
        <v>-2.5785648782700177E-3</v>
      </c>
      <c r="D1738" s="411">
        <v>46.61</v>
      </c>
      <c r="E1738" s="418">
        <f t="shared" si="199"/>
        <v>1.1940946591402435E-2</v>
      </c>
      <c r="F1738" s="411"/>
      <c r="G1738" s="388"/>
      <c r="I1738" s="388"/>
    </row>
    <row r="1739" spans="1:9">
      <c r="A1739" s="408">
        <v>42016</v>
      </c>
      <c r="B1739" s="411">
        <v>2028.26</v>
      </c>
      <c r="C1739" s="418">
        <f t="shared" si="198"/>
        <v>-8.0936615137836565E-3</v>
      </c>
      <c r="D1739" s="411">
        <v>46.06</v>
      </c>
      <c r="E1739" s="418">
        <f t="shared" si="199"/>
        <v>-1.7491467576791764E-2</v>
      </c>
      <c r="F1739" s="411"/>
      <c r="G1739" s="388"/>
      <c r="I1739" s="388"/>
    </row>
    <row r="1740" spans="1:9">
      <c r="A1740" s="408">
        <v>42013</v>
      </c>
      <c r="B1740" s="411">
        <v>2044.81</v>
      </c>
      <c r="C1740" s="418">
        <f t="shared" si="198"/>
        <v>-8.4038911034167718E-3</v>
      </c>
      <c r="D1740" s="411">
        <v>46.88</v>
      </c>
      <c r="E1740" s="418">
        <f t="shared" si="199"/>
        <v>-2.7184063083627197E-2</v>
      </c>
      <c r="F1740" s="411"/>
      <c r="G1740" s="388"/>
      <c r="I1740" s="388"/>
    </row>
    <row r="1741" spans="1:9">
      <c r="A1741" s="408">
        <v>42012</v>
      </c>
      <c r="B1741" s="411">
        <v>2062.14</v>
      </c>
      <c r="C1741" s="418">
        <f t="shared" si="198"/>
        <v>1.7888345920331616E-2</v>
      </c>
      <c r="D1741" s="411">
        <v>48.19</v>
      </c>
      <c r="E1741" s="418">
        <f t="shared" si="199"/>
        <v>2.5974025974025983E-2</v>
      </c>
      <c r="F1741" s="411"/>
      <c r="G1741" s="388"/>
      <c r="I1741" s="388"/>
    </row>
    <row r="1742" spans="1:9">
      <c r="A1742" s="408">
        <v>42011</v>
      </c>
      <c r="B1742" s="411">
        <v>2025.9</v>
      </c>
      <c r="C1742" s="418">
        <f t="shared" si="198"/>
        <v>1.1629823080879564E-2</v>
      </c>
      <c r="D1742" s="411">
        <v>46.97</v>
      </c>
      <c r="E1742" s="418">
        <f t="shared" si="199"/>
        <v>-5.2943667937315197E-3</v>
      </c>
      <c r="F1742" s="411"/>
      <c r="G1742" s="388"/>
      <c r="I1742" s="388"/>
    </row>
    <row r="1743" spans="1:9">
      <c r="A1743" s="408">
        <v>42010</v>
      </c>
      <c r="B1743" s="411">
        <v>2002.61</v>
      </c>
      <c r="C1743" s="418">
        <f t="shared" si="198"/>
        <v>-8.8934860287640527E-3</v>
      </c>
      <c r="D1743" s="411">
        <v>47.22</v>
      </c>
      <c r="E1743" s="418">
        <f t="shared" si="199"/>
        <v>-2.3573200992555887E-2</v>
      </c>
      <c r="F1743" s="411"/>
      <c r="G1743" s="388"/>
      <c r="I1743" s="388"/>
    </row>
    <row r="1744" spans="1:9">
      <c r="A1744" s="408">
        <v>42009</v>
      </c>
      <c r="B1744" s="411">
        <v>2020.58</v>
      </c>
      <c r="C1744" s="418">
        <f t="shared" si="198"/>
        <v>-1.8278107083859685E-2</v>
      </c>
      <c r="D1744" s="411">
        <v>48.36</v>
      </c>
      <c r="E1744" s="418">
        <f t="shared" si="199"/>
        <v>-1.6673444489629929E-2</v>
      </c>
      <c r="F1744" s="411"/>
      <c r="G1744" s="388"/>
      <c r="I1744" s="388"/>
    </row>
    <row r="1745" spans="1:9">
      <c r="A1745" s="408">
        <v>42006</v>
      </c>
      <c r="B1745" s="411">
        <v>2058.1999999999998</v>
      </c>
      <c r="C1745" s="418">
        <f t="shared" si="198"/>
        <v>-3.3998737189777639E-4</v>
      </c>
      <c r="D1745" s="411">
        <v>49.18</v>
      </c>
      <c r="E1745" s="418">
        <f t="shared" si="199"/>
        <v>-2.0329335230728773E-4</v>
      </c>
      <c r="F1745" s="411"/>
      <c r="G1745" s="388"/>
      <c r="I1745" s="388"/>
    </row>
    <row r="1746" spans="1:9">
      <c r="A1746" s="408">
        <v>42004</v>
      </c>
      <c r="B1746" s="411">
        <v>2058.9</v>
      </c>
      <c r="C1746" s="418">
        <f t="shared" si="198"/>
        <v>-1.0310765015502099E-2</v>
      </c>
      <c r="D1746" s="411">
        <v>49.19</v>
      </c>
      <c r="E1746" s="418">
        <f t="shared" si="199"/>
        <v>-8.1251269551085858E-4</v>
      </c>
      <c r="F1746" s="411"/>
      <c r="G1746" s="388"/>
      <c r="I1746" s="388"/>
    </row>
    <row r="1747" spans="1:9">
      <c r="A1747" s="408">
        <v>42003</v>
      </c>
      <c r="B1747" s="411">
        <v>2080.35</v>
      </c>
      <c r="C1747" s="418">
        <f t="shared" si="198"/>
        <v>-4.8886188934119668E-3</v>
      </c>
      <c r="D1747" s="411">
        <v>49.23</v>
      </c>
      <c r="E1747" s="418">
        <f t="shared" si="199"/>
        <v>9.2250922509224953E-3</v>
      </c>
      <c r="F1747" s="411"/>
      <c r="G1747" s="388"/>
      <c r="I1747" s="388"/>
    </row>
    <row r="1748" spans="1:9">
      <c r="A1748" s="408">
        <v>42002</v>
      </c>
      <c r="B1748" s="411">
        <v>2090.5700000000002</v>
      </c>
      <c r="C1748" s="418">
        <f t="shared" si="198"/>
        <v>8.617511741360051E-4</v>
      </c>
      <c r="D1748" s="411">
        <v>48.78</v>
      </c>
      <c r="E1748" s="418">
        <f t="shared" si="199"/>
        <v>8.0595164290142574E-3</v>
      </c>
      <c r="F1748" s="411"/>
      <c r="G1748" s="388"/>
      <c r="I1748" s="388"/>
    </row>
    <row r="1749" spans="1:9">
      <c r="A1749" s="408">
        <v>41999</v>
      </c>
      <c r="B1749" s="411">
        <v>2088.77</v>
      </c>
      <c r="C1749" s="418">
        <f t="shared" si="198"/>
        <v>3.3095087132783974E-3</v>
      </c>
      <c r="D1749" s="411">
        <v>48.39</v>
      </c>
      <c r="E1749" s="418">
        <f t="shared" si="199"/>
        <v>7.0759625390219849E-3</v>
      </c>
      <c r="F1749" s="411"/>
      <c r="G1749" s="388"/>
      <c r="I1749" s="388"/>
    </row>
    <row r="1750" spans="1:9">
      <c r="A1750" s="408">
        <v>41997</v>
      </c>
      <c r="B1750" s="411">
        <v>2081.88</v>
      </c>
      <c r="C1750" s="418">
        <f t="shared" si="198"/>
        <v>-1.3927777270827946E-4</v>
      </c>
      <c r="D1750" s="411">
        <v>48.05</v>
      </c>
      <c r="E1750" s="418">
        <f t="shared" si="199"/>
        <v>1.9520475281137095E-2</v>
      </c>
      <c r="F1750" s="411"/>
      <c r="G1750" s="388"/>
      <c r="I1750" s="388"/>
    </row>
    <row r="1751" spans="1:9">
      <c r="A1751" s="408">
        <v>41996</v>
      </c>
      <c r="B1751" s="411">
        <v>2082.17</v>
      </c>
      <c r="C1751" s="418">
        <f t="shared" si="198"/>
        <v>1.7464181588999761E-3</v>
      </c>
      <c r="D1751" s="411">
        <v>47.13</v>
      </c>
      <c r="E1751" s="418">
        <f t="shared" si="199"/>
        <v>-5.9059270196160085E-3</v>
      </c>
      <c r="F1751" s="411"/>
      <c r="G1751" s="388"/>
      <c r="I1751" s="388"/>
    </row>
    <row r="1752" spans="1:9">
      <c r="A1752" s="408">
        <v>41995</v>
      </c>
      <c r="B1752" s="411">
        <v>2078.54</v>
      </c>
      <c r="C1752" s="418">
        <f t="shared" si="198"/>
        <v>3.8103977012049484E-3</v>
      </c>
      <c r="D1752" s="411">
        <v>47.41</v>
      </c>
      <c r="E1752" s="418">
        <f t="shared" si="199"/>
        <v>6.3317855635269815E-4</v>
      </c>
      <c r="F1752" s="411"/>
      <c r="G1752" s="388"/>
      <c r="I1752" s="388"/>
    </row>
    <row r="1753" spans="1:9">
      <c r="A1753" s="408">
        <v>41992</v>
      </c>
      <c r="B1753" s="411">
        <v>2070.65</v>
      </c>
      <c r="C1753" s="418">
        <f t="shared" si="198"/>
        <v>4.5700867928373246E-3</v>
      </c>
      <c r="D1753" s="411">
        <v>47.38</v>
      </c>
      <c r="E1753" s="418">
        <f t="shared" si="199"/>
        <v>1.304254864229204E-2</v>
      </c>
      <c r="F1753" s="411"/>
      <c r="G1753" s="388"/>
      <c r="I1753" s="388"/>
    </row>
    <row r="1754" spans="1:9">
      <c r="A1754" s="408">
        <v>41991</v>
      </c>
      <c r="B1754" s="411">
        <v>2061.23</v>
      </c>
      <c r="C1754" s="418">
        <f t="shared" si="198"/>
        <v>2.4015221894887473E-2</v>
      </c>
      <c r="D1754" s="411">
        <v>46.77</v>
      </c>
      <c r="E1754" s="418">
        <f t="shared" si="199"/>
        <v>1.2995451591942819E-2</v>
      </c>
      <c r="F1754" s="411"/>
      <c r="G1754" s="388"/>
      <c r="I1754" s="388"/>
    </row>
    <row r="1755" spans="1:9">
      <c r="A1755" s="408">
        <v>41990</v>
      </c>
      <c r="B1755" s="411">
        <v>2012.89</v>
      </c>
      <c r="C1755" s="418">
        <f t="shared" si="198"/>
        <v>2.0352403256384655E-2</v>
      </c>
      <c r="D1755" s="411">
        <v>46.17</v>
      </c>
      <c r="E1755" s="418">
        <f t="shared" si="199"/>
        <v>1.7408550022036229E-2</v>
      </c>
      <c r="F1755" s="411"/>
      <c r="G1755" s="388"/>
      <c r="I1755" s="388"/>
    </row>
    <row r="1756" spans="1:9">
      <c r="A1756" s="408">
        <v>41989</v>
      </c>
      <c r="B1756" s="411">
        <v>1972.74</v>
      </c>
      <c r="C1756" s="418">
        <f t="shared" si="198"/>
        <v>-8.4890155456039951E-3</v>
      </c>
      <c r="D1756" s="411">
        <v>45.38</v>
      </c>
      <c r="E1756" s="418">
        <f t="shared" si="199"/>
        <v>-5.0627615062761366E-2</v>
      </c>
      <c r="F1756" s="411"/>
      <c r="G1756" s="388"/>
      <c r="I1756" s="388"/>
    </row>
    <row r="1757" spans="1:9">
      <c r="A1757" s="408">
        <v>41988</v>
      </c>
      <c r="B1757" s="411">
        <v>1989.63</v>
      </c>
      <c r="C1757" s="418">
        <f t="shared" si="198"/>
        <v>-6.342610858349973E-3</v>
      </c>
      <c r="D1757" s="411">
        <v>47.8</v>
      </c>
      <c r="E1757" s="418">
        <f t="shared" si="199"/>
        <v>2.5167785234898599E-3</v>
      </c>
      <c r="F1757" s="411"/>
      <c r="G1757" s="388"/>
      <c r="I1757" s="388"/>
    </row>
    <row r="1758" spans="1:9">
      <c r="A1758" s="408">
        <v>41985</v>
      </c>
      <c r="B1758" s="411">
        <v>2002.33</v>
      </c>
      <c r="C1758" s="418">
        <f t="shared" si="198"/>
        <v>-1.6213586985894146E-2</v>
      </c>
      <c r="D1758" s="411">
        <v>47.68</v>
      </c>
      <c r="E1758" s="418">
        <f t="shared" si="199"/>
        <v>-1.3449203393337439E-2</v>
      </c>
      <c r="F1758" s="411"/>
      <c r="G1758" s="388"/>
      <c r="I1758" s="388"/>
    </row>
    <row r="1759" spans="1:9">
      <c r="A1759" s="408">
        <v>41984</v>
      </c>
      <c r="B1759" s="411">
        <v>2035.33</v>
      </c>
      <c r="C1759" s="418">
        <f t="shared" si="198"/>
        <v>4.5357181636016541E-3</v>
      </c>
      <c r="D1759" s="411">
        <v>48.33</v>
      </c>
      <c r="E1759" s="418">
        <f t="shared" si="199"/>
        <v>4.5651233232366861E-2</v>
      </c>
      <c r="F1759" s="411"/>
      <c r="G1759" s="388"/>
      <c r="I1759" s="388"/>
    </row>
    <row r="1760" spans="1:9">
      <c r="A1760" s="408">
        <v>41983</v>
      </c>
      <c r="B1760" s="411">
        <v>2026.14</v>
      </c>
      <c r="C1760" s="418">
        <f t="shared" si="198"/>
        <v>-1.6350943286306596E-2</v>
      </c>
      <c r="D1760" s="411">
        <v>46.22</v>
      </c>
      <c r="E1760" s="418">
        <f t="shared" si="199"/>
        <v>-2.3742715303258777E-3</v>
      </c>
      <c r="F1760" s="411"/>
      <c r="G1760" s="388"/>
      <c r="I1760" s="388"/>
    </row>
    <row r="1761" spans="1:9">
      <c r="A1761" s="408">
        <v>41982</v>
      </c>
      <c r="B1761" s="411">
        <v>2059.8200000000002</v>
      </c>
      <c r="C1761" s="418">
        <f t="shared" si="198"/>
        <v>-2.378282879760274E-4</v>
      </c>
      <c r="D1761" s="411">
        <v>46.33</v>
      </c>
      <c r="E1761" s="418">
        <f t="shared" si="199"/>
        <v>-2.1335023236163986E-2</v>
      </c>
      <c r="F1761" s="411"/>
      <c r="G1761" s="388"/>
      <c r="I1761" s="388"/>
    </row>
    <row r="1762" spans="1:9">
      <c r="A1762" s="408">
        <v>41981</v>
      </c>
      <c r="B1762" s="411">
        <v>2060.31</v>
      </c>
      <c r="C1762" s="418">
        <f t="shared" si="198"/>
        <v>-7.2565373885138396E-3</v>
      </c>
      <c r="D1762" s="411">
        <v>47.34</v>
      </c>
      <c r="E1762" s="418">
        <f t="shared" si="199"/>
        <v>1.2690355329949554E-3</v>
      </c>
      <c r="F1762" s="411"/>
      <c r="G1762" s="388"/>
      <c r="I1762" s="388"/>
    </row>
    <row r="1763" spans="1:9">
      <c r="A1763" s="408">
        <v>41978</v>
      </c>
      <c r="B1763" s="411">
        <v>2075.37</v>
      </c>
      <c r="C1763" s="418">
        <f t="shared" si="198"/>
        <v>1.6651222054904213E-3</v>
      </c>
      <c r="D1763" s="411">
        <v>47.28</v>
      </c>
      <c r="E1763" s="418">
        <f t="shared" si="199"/>
        <v>1.8526497199482961E-2</v>
      </c>
      <c r="F1763" s="411"/>
      <c r="G1763" s="388"/>
      <c r="I1763" s="388"/>
    </row>
    <row r="1764" spans="1:9">
      <c r="A1764" s="408">
        <v>41977</v>
      </c>
      <c r="B1764" s="411">
        <v>2071.92</v>
      </c>
      <c r="C1764" s="418">
        <f t="shared" si="198"/>
        <v>-1.1618209253108081E-3</v>
      </c>
      <c r="D1764" s="411">
        <v>46.42</v>
      </c>
      <c r="E1764" s="418">
        <f t="shared" si="199"/>
        <v>3.7318435754190027E-2</v>
      </c>
      <c r="F1764" s="411"/>
      <c r="G1764" s="388"/>
      <c r="I1764" s="388"/>
    </row>
    <row r="1765" spans="1:9">
      <c r="A1765" s="408">
        <v>41976</v>
      </c>
      <c r="B1765" s="411">
        <v>2074.33</v>
      </c>
      <c r="C1765" s="418">
        <f t="shared" si="198"/>
        <v>3.7647286540367642E-3</v>
      </c>
      <c r="D1765" s="411">
        <v>44.75</v>
      </c>
      <c r="E1765" s="418">
        <f t="shared" si="199"/>
        <v>1.7909111260352439E-3</v>
      </c>
      <c r="F1765" s="411"/>
      <c r="G1765" s="388"/>
      <c r="I1765" s="388"/>
    </row>
    <row r="1766" spans="1:9">
      <c r="A1766" s="408">
        <v>41975</v>
      </c>
      <c r="B1766" s="411">
        <v>2066.5500000000002</v>
      </c>
      <c r="C1766" s="418">
        <f t="shared" si="198"/>
        <v>6.3844086021505042E-3</v>
      </c>
      <c r="D1766" s="411">
        <v>44.67</v>
      </c>
      <c r="E1766" s="418">
        <f t="shared" si="199"/>
        <v>-2.0824199912319097E-2</v>
      </c>
      <c r="F1766" s="411"/>
      <c r="G1766" s="388"/>
      <c r="I1766" s="388"/>
    </row>
    <row r="1767" spans="1:9">
      <c r="A1767" s="408">
        <v>41974</v>
      </c>
      <c r="B1767" s="411">
        <v>2053.44</v>
      </c>
      <c r="C1767" s="418">
        <f t="shared" si="198"/>
        <v>-6.8293060419044593E-3</v>
      </c>
      <c r="D1767" s="411">
        <v>45.62</v>
      </c>
      <c r="E1767" s="418">
        <f t="shared" si="199"/>
        <v>-2.2498392971930681E-2</v>
      </c>
      <c r="F1767" s="411"/>
      <c r="G1767" s="388"/>
      <c r="I1767" s="388"/>
    </row>
    <row r="1768" spans="1:9">
      <c r="A1768" s="408">
        <v>41971</v>
      </c>
      <c r="B1768" s="411">
        <v>2067.56</v>
      </c>
      <c r="C1768" s="418">
        <f t="shared" si="198"/>
        <v>-2.5424178538520081E-3</v>
      </c>
      <c r="D1768" s="411">
        <v>46.67</v>
      </c>
      <c r="E1768" s="418">
        <f t="shared" si="199"/>
        <v>5.4927667269439429E-2</v>
      </c>
      <c r="F1768" s="411"/>
      <c r="G1768" s="388"/>
      <c r="I1768" s="388"/>
    </row>
    <row r="1769" spans="1:9">
      <c r="A1769" s="408">
        <v>41969</v>
      </c>
      <c r="B1769" s="411">
        <v>2072.83</v>
      </c>
      <c r="C1769" s="418">
        <f t="shared" si="198"/>
        <v>2.805958307329659E-3</v>
      </c>
      <c r="D1769" s="411">
        <v>44.24</v>
      </c>
      <c r="E1769" s="418">
        <f t="shared" si="199"/>
        <v>3.6297640653357721E-3</v>
      </c>
      <c r="F1769" s="411"/>
      <c r="G1769" s="388"/>
      <c r="I1769" s="388"/>
    </row>
    <row r="1770" spans="1:9">
      <c r="A1770" s="408">
        <v>41968</v>
      </c>
      <c r="B1770" s="411">
        <v>2067.0300000000002</v>
      </c>
      <c r="C1770" s="418">
        <f t="shared" si="198"/>
        <v>-1.1500862564690628E-3</v>
      </c>
      <c r="D1770" s="411">
        <v>44.08</v>
      </c>
      <c r="E1770" s="418">
        <f t="shared" si="199"/>
        <v>1.3100436681222627E-2</v>
      </c>
      <c r="F1770" s="411"/>
      <c r="G1770" s="388"/>
      <c r="I1770" s="388"/>
    </row>
    <row r="1771" spans="1:9">
      <c r="A1771" s="408">
        <v>41967</v>
      </c>
      <c r="B1771" s="411">
        <v>2069.41</v>
      </c>
      <c r="C1771" s="418">
        <f t="shared" si="198"/>
        <v>2.8640659074388175E-3</v>
      </c>
      <c r="D1771" s="411">
        <v>43.51</v>
      </c>
      <c r="E1771" s="418">
        <f t="shared" si="199"/>
        <v>9.7470410768158988E-3</v>
      </c>
      <c r="F1771" s="411"/>
      <c r="G1771" s="388"/>
      <c r="I1771" s="388"/>
    </row>
    <row r="1772" spans="1:9">
      <c r="A1772" s="408">
        <v>41964</v>
      </c>
      <c r="B1772" s="411">
        <v>2063.5</v>
      </c>
      <c r="C1772" s="418">
        <f t="shared" si="198"/>
        <v>5.2368773596394025E-3</v>
      </c>
      <c r="D1772" s="411">
        <v>43.09</v>
      </c>
      <c r="E1772" s="418">
        <f t="shared" si="199"/>
        <v>-1.979071883530481E-2</v>
      </c>
      <c r="F1772" s="411"/>
      <c r="G1772" s="388"/>
      <c r="I1772" s="388"/>
    </row>
    <row r="1773" spans="1:9">
      <c r="A1773" s="408">
        <v>41963</v>
      </c>
      <c r="B1773" s="411">
        <v>2052.75</v>
      </c>
      <c r="C1773" s="418">
        <f t="shared" si="198"/>
        <v>1.9670818852748351E-3</v>
      </c>
      <c r="D1773" s="411">
        <v>43.96</v>
      </c>
      <c r="E1773" s="418">
        <f t="shared" si="199"/>
        <v>-1.1023622047244164E-2</v>
      </c>
      <c r="F1773" s="411"/>
      <c r="G1773" s="388"/>
      <c r="I1773" s="388"/>
    </row>
    <row r="1774" spans="1:9">
      <c r="A1774" s="408">
        <v>41962</v>
      </c>
      <c r="B1774" s="411">
        <v>2048.7199999999998</v>
      </c>
      <c r="C1774" s="418">
        <f t="shared" si="198"/>
        <v>-1.5011209669559822E-3</v>
      </c>
      <c r="D1774" s="411">
        <v>44.45</v>
      </c>
      <c r="E1774" s="418">
        <f t="shared" si="199"/>
        <v>-7.5909801294931079E-3</v>
      </c>
      <c r="F1774" s="411"/>
      <c r="G1774" s="388"/>
      <c r="I1774" s="388"/>
    </row>
    <row r="1775" spans="1:9">
      <c r="A1775" s="408">
        <v>41961</v>
      </c>
      <c r="B1775" s="411">
        <v>2051.8000000000002</v>
      </c>
      <c r="C1775" s="418">
        <f t="shared" si="198"/>
        <v>5.133932945349251E-3</v>
      </c>
      <c r="D1775" s="411">
        <v>44.79</v>
      </c>
      <c r="E1775" s="418">
        <f t="shared" si="199"/>
        <v>3.1314759382915058E-2</v>
      </c>
      <c r="F1775" s="411"/>
      <c r="G1775" s="388"/>
      <c r="I1775" s="388"/>
    </row>
    <row r="1776" spans="1:9">
      <c r="A1776" s="408">
        <v>41960</v>
      </c>
      <c r="B1776" s="411">
        <v>2041.32</v>
      </c>
      <c r="C1776" s="418">
        <f t="shared" si="198"/>
        <v>7.3535900226495698E-4</v>
      </c>
      <c r="D1776" s="411">
        <v>43.43</v>
      </c>
      <c r="E1776" s="418">
        <f t="shared" si="199"/>
        <v>-7.3142857142857176E-3</v>
      </c>
      <c r="F1776" s="411"/>
      <c r="G1776" s="388"/>
      <c r="I1776" s="388"/>
    </row>
    <row r="1777" spans="1:9">
      <c r="A1777" s="408">
        <v>41957</v>
      </c>
      <c r="B1777" s="411">
        <v>2039.82</v>
      </c>
      <c r="C1777" s="418">
        <f t="shared" si="198"/>
        <v>2.4027499227696758E-4</v>
      </c>
      <c r="D1777" s="411">
        <v>43.75</v>
      </c>
      <c r="E1777" s="418">
        <f t="shared" si="199"/>
        <v>-7.4863883847549051E-3</v>
      </c>
      <c r="F1777" s="411"/>
      <c r="G1777" s="388"/>
      <c r="I1777" s="388"/>
    </row>
    <row r="1778" spans="1:9">
      <c r="A1778" s="408">
        <v>41956</v>
      </c>
      <c r="B1778" s="411">
        <v>2039.33</v>
      </c>
      <c r="C1778" s="418">
        <f t="shared" si="198"/>
        <v>5.2986630688089953E-4</v>
      </c>
      <c r="D1778" s="411">
        <v>44.08</v>
      </c>
      <c r="E1778" s="418">
        <f t="shared" si="199"/>
        <v>1.5668202764977046E-2</v>
      </c>
      <c r="F1778" s="411"/>
      <c r="G1778" s="388"/>
      <c r="I1778" s="388"/>
    </row>
    <row r="1779" spans="1:9">
      <c r="A1779" s="408">
        <v>41955</v>
      </c>
      <c r="B1779" s="411">
        <v>2038.25</v>
      </c>
      <c r="C1779" s="418">
        <f t="shared" si="198"/>
        <v>-7.0109036711640815E-4</v>
      </c>
      <c r="D1779" s="411">
        <v>43.4</v>
      </c>
      <c r="E1779" s="418">
        <f t="shared" si="199"/>
        <v>-1.0036496350365076E-2</v>
      </c>
      <c r="F1779" s="411"/>
      <c r="G1779" s="388"/>
      <c r="I1779" s="388"/>
    </row>
    <row r="1780" spans="1:9">
      <c r="A1780" s="408">
        <v>41954</v>
      </c>
      <c r="B1780" s="411">
        <v>2039.68</v>
      </c>
      <c r="C1780" s="418">
        <f t="shared" si="198"/>
        <v>6.9667265216422081E-4</v>
      </c>
      <c r="D1780" s="411">
        <v>43.84</v>
      </c>
      <c r="E1780" s="418">
        <f t="shared" si="199"/>
        <v>1.0836984090385249E-2</v>
      </c>
      <c r="F1780" s="411"/>
      <c r="G1780" s="388"/>
      <c r="I1780" s="388"/>
    </row>
    <row r="1781" spans="1:9">
      <c r="A1781" s="408">
        <v>41953</v>
      </c>
      <c r="B1781" s="411">
        <v>2038.26</v>
      </c>
      <c r="C1781" s="418">
        <f t="shared" si="198"/>
        <v>3.1202015827394014E-3</v>
      </c>
      <c r="D1781" s="411">
        <v>43.37</v>
      </c>
      <c r="E1781" s="418">
        <f t="shared" si="199"/>
        <v>1.5928788943546435E-2</v>
      </c>
      <c r="F1781" s="411"/>
      <c r="G1781" s="388"/>
      <c r="I1781" s="388"/>
    </row>
    <row r="1782" spans="1:9">
      <c r="A1782" s="408">
        <v>41950</v>
      </c>
      <c r="B1782" s="411">
        <v>2031.92</v>
      </c>
      <c r="C1782" s="418">
        <f t="shared" si="198"/>
        <v>3.4954534489295419E-4</v>
      </c>
      <c r="D1782" s="411">
        <v>42.69</v>
      </c>
      <c r="E1782" s="418">
        <f t="shared" si="199"/>
        <v>-4.8951048951049181E-3</v>
      </c>
      <c r="F1782" s="411"/>
      <c r="G1782" s="388"/>
      <c r="I1782" s="388"/>
    </row>
    <row r="1783" spans="1:9">
      <c r="A1783" s="408">
        <v>41949</v>
      </c>
      <c r="B1783" s="411">
        <v>2031.21</v>
      </c>
      <c r="C1783" s="418">
        <f t="shared" si="198"/>
        <v>3.7755056657293729E-3</v>
      </c>
      <c r="D1783" s="411">
        <v>42.9</v>
      </c>
      <c r="E1783" s="418">
        <f t="shared" si="199"/>
        <v>2.4599952233102407E-2</v>
      </c>
      <c r="F1783" s="411"/>
      <c r="G1783" s="388"/>
      <c r="I1783" s="388"/>
    </row>
    <row r="1784" spans="1:9">
      <c r="A1784" s="408">
        <v>41948</v>
      </c>
      <c r="B1784" s="411">
        <v>2023.57</v>
      </c>
      <c r="C1784" s="418">
        <f t="shared" si="198"/>
        <v>5.7005119029869267E-3</v>
      </c>
      <c r="D1784" s="411">
        <v>41.87</v>
      </c>
      <c r="E1784" s="418">
        <f t="shared" si="199"/>
        <v>-1.0633270321361077E-2</v>
      </c>
      <c r="F1784" s="411"/>
      <c r="G1784" s="388"/>
      <c r="I1784" s="388"/>
    </row>
    <row r="1785" spans="1:9">
      <c r="A1785" s="408">
        <v>41947</v>
      </c>
      <c r="B1785" s="411">
        <v>2012.1</v>
      </c>
      <c r="C1785" s="418">
        <f t="shared" si="198"/>
        <v>-2.8298006254305896E-3</v>
      </c>
      <c r="D1785" s="411">
        <v>42.32</v>
      </c>
      <c r="E1785" s="418">
        <f t="shared" si="199"/>
        <v>4.2107855208076916E-2</v>
      </c>
      <c r="F1785" s="411"/>
      <c r="G1785" s="388"/>
      <c r="I1785" s="388"/>
    </row>
    <row r="1786" spans="1:9">
      <c r="A1786" s="408">
        <v>41946</v>
      </c>
      <c r="B1786" s="411">
        <v>2017.81</v>
      </c>
      <c r="C1786" s="418">
        <f t="shared" si="198"/>
        <v>-1.1892668665292039E-4</v>
      </c>
      <c r="D1786" s="411">
        <v>40.61</v>
      </c>
      <c r="E1786" s="418">
        <f t="shared" si="199"/>
        <v>9.4456872980364093E-3</v>
      </c>
      <c r="F1786" s="411"/>
      <c r="G1786" s="388"/>
      <c r="I1786" s="388"/>
    </row>
    <row r="1787" spans="1:9">
      <c r="A1787" s="408">
        <v>41943</v>
      </c>
      <c r="B1787" s="411">
        <v>2018.05</v>
      </c>
      <c r="C1787" s="418">
        <f t="shared" si="198"/>
        <v>1.173138144536634E-2</v>
      </c>
      <c r="D1787" s="411">
        <v>40.229999999999997</v>
      </c>
      <c r="E1787" s="418">
        <f t="shared" si="199"/>
        <v>2.7848748083801667E-2</v>
      </c>
      <c r="F1787" s="411"/>
      <c r="G1787" s="388"/>
      <c r="I1787" s="388"/>
    </row>
    <row r="1788" spans="1:9">
      <c r="A1788" s="408">
        <v>41942</v>
      </c>
      <c r="B1788" s="411">
        <v>1994.65</v>
      </c>
      <c r="C1788" s="418">
        <f t="shared" si="198"/>
        <v>6.2301367098824834E-3</v>
      </c>
      <c r="D1788" s="411">
        <v>39.14</v>
      </c>
      <c r="E1788" s="418">
        <f t="shared" si="199"/>
        <v>-1.1116725618999457E-2</v>
      </c>
      <c r="F1788" s="411"/>
      <c r="G1788" s="388"/>
      <c r="I1788" s="388"/>
    </row>
    <row r="1789" spans="1:9">
      <c r="A1789" s="408">
        <v>41941</v>
      </c>
      <c r="B1789" s="411">
        <v>1982.3</v>
      </c>
      <c r="C1789" s="418">
        <f t="shared" si="198"/>
        <v>-1.3853555326062139E-3</v>
      </c>
      <c r="D1789" s="411">
        <v>39.58</v>
      </c>
      <c r="E1789" s="418">
        <f t="shared" si="199"/>
        <v>-6.5261044176707639E-3</v>
      </c>
      <c r="F1789" s="411"/>
      <c r="G1789" s="388"/>
      <c r="I1789" s="388"/>
    </row>
    <row r="1790" spans="1:9">
      <c r="A1790" s="408">
        <v>41940</v>
      </c>
      <c r="B1790" s="411">
        <v>1985.05</v>
      </c>
      <c r="C1790" s="418">
        <f t="shared" si="198"/>
        <v>1.1939050687438391E-2</v>
      </c>
      <c r="D1790" s="411">
        <v>39.840000000000003</v>
      </c>
      <c r="E1790" s="418">
        <f t="shared" si="199"/>
        <v>2.2641509433962703E-3</v>
      </c>
      <c r="F1790" s="411"/>
      <c r="G1790" s="388"/>
      <c r="I1790" s="388"/>
    </row>
    <row r="1791" spans="1:9">
      <c r="A1791" s="408">
        <v>41939</v>
      </c>
      <c r="B1791" s="411">
        <v>1961.63</v>
      </c>
      <c r="C1791" s="418">
        <f t="shared" si="198"/>
        <v>-1.5015932158526368E-3</v>
      </c>
      <c r="D1791" s="411">
        <v>39.75</v>
      </c>
      <c r="E1791" s="418">
        <f t="shared" si="199"/>
        <v>7.8600405679514207E-3</v>
      </c>
      <c r="F1791" s="411"/>
      <c r="G1791" s="388"/>
      <c r="I1791" s="388"/>
    </row>
    <row r="1792" spans="1:9">
      <c r="A1792" s="408">
        <v>41936</v>
      </c>
      <c r="B1792" s="411">
        <v>1964.58</v>
      </c>
      <c r="C1792" s="418">
        <f t="shared" si="198"/>
        <v>7.0534441926983771E-3</v>
      </c>
      <c r="D1792" s="411">
        <v>39.44</v>
      </c>
      <c r="E1792" s="418">
        <f t="shared" si="199"/>
        <v>4.0084388185653852E-2</v>
      </c>
      <c r="F1792" s="411"/>
      <c r="G1792" s="388"/>
      <c r="I1792" s="388"/>
    </row>
    <row r="1793" spans="1:9">
      <c r="A1793" s="408">
        <v>41935</v>
      </c>
      <c r="B1793" s="411">
        <v>1950.82</v>
      </c>
      <c r="C1793" s="418">
        <f t="shared" si="198"/>
        <v>1.2303397315150733E-2</v>
      </c>
      <c r="D1793" s="411">
        <v>37.92</v>
      </c>
      <c r="E1793" s="418">
        <f t="shared" si="199"/>
        <v>1.6621983914209215E-2</v>
      </c>
      <c r="F1793" s="411"/>
      <c r="G1793" s="388"/>
      <c r="I1793" s="388"/>
    </row>
    <row r="1794" spans="1:9">
      <c r="A1794" s="408">
        <v>41934</v>
      </c>
      <c r="B1794" s="411">
        <v>1927.11</v>
      </c>
      <c r="C1794" s="418">
        <f t="shared" si="198"/>
        <v>-7.2993076732877915E-3</v>
      </c>
      <c r="D1794" s="411">
        <v>37.299999999999997</v>
      </c>
      <c r="E1794" s="418">
        <f t="shared" si="199"/>
        <v>-4.8025613660619415E-3</v>
      </c>
      <c r="F1794" s="411"/>
      <c r="G1794" s="388"/>
      <c r="I1794" s="388"/>
    </row>
    <row r="1795" spans="1:9">
      <c r="A1795" s="408">
        <v>41933</v>
      </c>
      <c r="B1795" s="411">
        <v>1941.28</v>
      </c>
      <c r="C1795" s="418">
        <f t="shared" si="198"/>
        <v>1.9574477024805637E-2</v>
      </c>
      <c r="D1795" s="411">
        <v>37.479999999999997</v>
      </c>
      <c r="E1795" s="418">
        <f t="shared" si="199"/>
        <v>3.9955604883462836E-2</v>
      </c>
      <c r="F1795" s="411"/>
      <c r="G1795" s="388"/>
      <c r="I1795" s="388"/>
    </row>
    <row r="1796" spans="1:9">
      <c r="A1796" s="408">
        <v>41932</v>
      </c>
      <c r="B1796" s="411">
        <v>1904.01</v>
      </c>
      <c r="C1796" s="418">
        <f t="shared" si="198"/>
        <v>9.1426572537047779E-3</v>
      </c>
      <c r="D1796" s="411">
        <v>36.04</v>
      </c>
      <c r="E1796" s="418">
        <f t="shared" si="199"/>
        <v>4.7979063681302669E-2</v>
      </c>
      <c r="F1796" s="411"/>
      <c r="G1796" s="388"/>
      <c r="I1796" s="388"/>
    </row>
    <row r="1797" spans="1:9">
      <c r="A1797" s="408">
        <v>41929</v>
      </c>
      <c r="B1797" s="411">
        <v>1886.76</v>
      </c>
      <c r="C1797" s="418">
        <f t="shared" si="198"/>
        <v>1.2884107453456251E-2</v>
      </c>
      <c r="D1797" s="411">
        <v>34.39</v>
      </c>
      <c r="E1797" s="418">
        <f t="shared" si="199"/>
        <v>3.2112845138055235E-2</v>
      </c>
      <c r="F1797" s="411"/>
      <c r="G1797" s="388"/>
      <c r="I1797" s="388"/>
    </row>
    <row r="1798" spans="1:9">
      <c r="A1798" s="408">
        <v>41928</v>
      </c>
      <c r="B1798" s="411">
        <v>1862.76</v>
      </c>
      <c r="C1798" s="418">
        <f t="shared" si="198"/>
        <v>1.449672213005293E-4</v>
      </c>
      <c r="D1798" s="411">
        <v>33.32</v>
      </c>
      <c r="E1798" s="418">
        <f t="shared" si="199"/>
        <v>2.9030265596046823E-2</v>
      </c>
      <c r="F1798" s="411"/>
      <c r="G1798" s="388"/>
      <c r="I1798" s="388"/>
    </row>
    <row r="1799" spans="1:9">
      <c r="A1799" s="408">
        <v>41927</v>
      </c>
      <c r="B1799" s="411">
        <v>1862.49</v>
      </c>
      <c r="C1799" s="418">
        <f t="shared" si="198"/>
        <v>-8.1003355168557389E-3</v>
      </c>
      <c r="D1799" s="411">
        <v>32.380000000000003</v>
      </c>
      <c r="E1799" s="418">
        <f t="shared" si="199"/>
        <v>-1.2503812137846793E-2</v>
      </c>
      <c r="F1799" s="411"/>
      <c r="G1799" s="388"/>
      <c r="I1799" s="388"/>
    </row>
    <row r="1800" spans="1:9">
      <c r="A1800" s="408">
        <v>41926</v>
      </c>
      <c r="B1800" s="411">
        <v>1877.7</v>
      </c>
      <c r="C1800" s="418">
        <f t="shared" ref="C1800:C1863" si="200">B1800/B1801-1</f>
        <v>1.5788856054705924E-3</v>
      </c>
      <c r="D1800" s="411">
        <v>32.79</v>
      </c>
      <c r="E1800" s="418">
        <f t="shared" ref="E1800:E1863" si="201">D1800/D1801-1</f>
        <v>6.1165048543689426E-2</v>
      </c>
      <c r="F1800" s="411"/>
      <c r="G1800" s="388"/>
      <c r="I1800" s="388"/>
    </row>
    <row r="1801" spans="1:9">
      <c r="A1801" s="408">
        <v>41925</v>
      </c>
      <c r="B1801" s="411">
        <v>1874.74</v>
      </c>
      <c r="C1801" s="418">
        <f t="shared" si="200"/>
        <v>-1.6467921915084505E-2</v>
      </c>
      <c r="D1801" s="411">
        <v>30.9</v>
      </c>
      <c r="E1801" s="418">
        <f t="shared" si="201"/>
        <v>-6.1075660893345485E-2</v>
      </c>
      <c r="F1801" s="411"/>
      <c r="G1801" s="388"/>
      <c r="I1801" s="388"/>
    </row>
    <row r="1802" spans="1:9">
      <c r="A1802" s="408">
        <v>41922</v>
      </c>
      <c r="B1802" s="411">
        <v>1906.13</v>
      </c>
      <c r="C1802" s="418">
        <f t="shared" si="200"/>
        <v>-1.1451034897651202E-2</v>
      </c>
      <c r="D1802" s="411">
        <v>32.909999999999997</v>
      </c>
      <c r="E1802" s="418">
        <f t="shared" si="201"/>
        <v>-2.3731830317413327E-2</v>
      </c>
      <c r="F1802" s="411"/>
      <c r="G1802" s="388"/>
      <c r="I1802" s="388"/>
    </row>
    <row r="1803" spans="1:9">
      <c r="A1803" s="408">
        <v>41921</v>
      </c>
      <c r="B1803" s="411">
        <v>1928.21</v>
      </c>
      <c r="C1803" s="418">
        <f t="shared" si="200"/>
        <v>-2.0661387888607274E-2</v>
      </c>
      <c r="D1803" s="411">
        <v>33.71</v>
      </c>
      <c r="E1803" s="418">
        <f t="shared" si="201"/>
        <v>-3.1600114909508759E-2</v>
      </c>
      <c r="F1803" s="411"/>
      <c r="G1803" s="388"/>
      <c r="I1803" s="388"/>
    </row>
    <row r="1804" spans="1:9">
      <c r="A1804" s="408">
        <v>41920</v>
      </c>
      <c r="B1804" s="411">
        <v>1968.89</v>
      </c>
      <c r="C1804" s="418">
        <f t="shared" si="200"/>
        <v>1.7461629889928165E-2</v>
      </c>
      <c r="D1804" s="411">
        <v>34.81</v>
      </c>
      <c r="E1804" s="418">
        <f t="shared" si="201"/>
        <v>-1.3042245534448549E-2</v>
      </c>
      <c r="F1804" s="411"/>
      <c r="G1804" s="388"/>
      <c r="I1804" s="388"/>
    </row>
    <row r="1805" spans="1:9">
      <c r="A1805" s="408">
        <v>41919</v>
      </c>
      <c r="B1805" s="411">
        <v>1935.1</v>
      </c>
      <c r="C1805" s="418">
        <f t="shared" si="200"/>
        <v>-1.5126067527814313E-2</v>
      </c>
      <c r="D1805" s="411">
        <v>35.270000000000003</v>
      </c>
      <c r="E1805" s="418">
        <f t="shared" si="201"/>
        <v>-2.3262254223206713E-2</v>
      </c>
      <c r="F1805" s="411"/>
      <c r="G1805" s="388"/>
      <c r="I1805" s="388"/>
    </row>
    <row r="1806" spans="1:9">
      <c r="A1806" s="408">
        <v>41918</v>
      </c>
      <c r="B1806" s="411">
        <v>1964.82</v>
      </c>
      <c r="C1806" s="418">
        <f t="shared" si="200"/>
        <v>-1.5651201788710045E-3</v>
      </c>
      <c r="D1806" s="411">
        <v>36.11</v>
      </c>
      <c r="E1806" s="418">
        <f t="shared" si="201"/>
        <v>-2.2733423545331588E-2</v>
      </c>
      <c r="F1806" s="411"/>
      <c r="G1806" s="388"/>
      <c r="I1806" s="388"/>
    </row>
    <row r="1807" spans="1:9">
      <c r="A1807" s="408">
        <v>41915</v>
      </c>
      <c r="B1807" s="411">
        <v>1967.9</v>
      </c>
      <c r="C1807" s="418">
        <f t="shared" si="200"/>
        <v>1.1165519969992266E-2</v>
      </c>
      <c r="D1807" s="411">
        <v>36.950000000000003</v>
      </c>
      <c r="E1807" s="418">
        <f t="shared" si="201"/>
        <v>4.7335600907029596E-2</v>
      </c>
      <c r="F1807" s="411"/>
      <c r="G1807" s="388"/>
      <c r="I1807" s="388"/>
    </row>
    <row r="1808" spans="1:9">
      <c r="A1808" s="408">
        <v>41914</v>
      </c>
      <c r="B1808" s="411">
        <v>1946.17</v>
      </c>
      <c r="C1808" s="418">
        <f t="shared" si="200"/>
        <v>5.138323673214984E-6</v>
      </c>
      <c r="D1808" s="411">
        <v>35.28</v>
      </c>
      <c r="E1808" s="418">
        <f t="shared" si="201"/>
        <v>1.0888252148997246E-2</v>
      </c>
      <c r="F1808" s="411"/>
      <c r="G1808" s="388"/>
      <c r="I1808" s="388"/>
    </row>
    <row r="1809" spans="1:9">
      <c r="A1809" s="408">
        <v>41913</v>
      </c>
      <c r="B1809" s="411">
        <v>1946.16</v>
      </c>
      <c r="C1809" s="418">
        <f t="shared" si="200"/>
        <v>-1.3248558781923436E-2</v>
      </c>
      <c r="D1809" s="411">
        <v>34.9</v>
      </c>
      <c r="E1809" s="418">
        <f t="shared" si="201"/>
        <v>-3.457814661134162E-2</v>
      </c>
      <c r="F1809" s="411"/>
      <c r="G1809" s="388"/>
      <c r="I1809" s="388"/>
    </row>
    <row r="1810" spans="1:9">
      <c r="A1810" s="408">
        <v>41912</v>
      </c>
      <c r="B1810" s="411">
        <v>1972.29</v>
      </c>
      <c r="C1810" s="418">
        <f t="shared" si="200"/>
        <v>-2.7859237536657089E-3</v>
      </c>
      <c r="D1810" s="411">
        <v>36.15</v>
      </c>
      <c r="E1810" s="418">
        <f t="shared" si="201"/>
        <v>4.1666666666666519E-3</v>
      </c>
      <c r="F1810" s="411"/>
      <c r="G1810" s="388"/>
      <c r="I1810" s="388"/>
    </row>
    <row r="1811" spans="1:9">
      <c r="A1811" s="408">
        <v>41911</v>
      </c>
      <c r="B1811" s="411">
        <v>1977.8</v>
      </c>
      <c r="C1811" s="418">
        <f t="shared" si="200"/>
        <v>-2.5468391456741069E-3</v>
      </c>
      <c r="D1811" s="411">
        <v>36</v>
      </c>
      <c r="E1811" s="418">
        <f t="shared" si="201"/>
        <v>-1.423877327491796E-2</v>
      </c>
      <c r="F1811" s="411"/>
      <c r="G1811" s="388"/>
      <c r="I1811" s="388"/>
    </row>
    <row r="1812" spans="1:9">
      <c r="A1812" s="408">
        <v>41908</v>
      </c>
      <c r="B1812" s="411">
        <v>1982.85</v>
      </c>
      <c r="C1812" s="418">
        <f t="shared" si="200"/>
        <v>8.5758320235604923E-3</v>
      </c>
      <c r="D1812" s="411">
        <v>36.520000000000003</v>
      </c>
      <c r="E1812" s="418">
        <f t="shared" si="201"/>
        <v>-3.818876159301543E-3</v>
      </c>
      <c r="F1812" s="411"/>
      <c r="G1812" s="388"/>
      <c r="I1812" s="388"/>
    </row>
    <row r="1813" spans="1:9">
      <c r="A1813" s="408">
        <v>41907</v>
      </c>
      <c r="B1813" s="411">
        <v>1965.99</v>
      </c>
      <c r="C1813" s="418">
        <f t="shared" si="200"/>
        <v>-1.6168743431917099E-2</v>
      </c>
      <c r="D1813" s="411">
        <v>36.659999999999997</v>
      </c>
      <c r="E1813" s="418">
        <f t="shared" si="201"/>
        <v>-2.6553372278279364E-2</v>
      </c>
      <c r="F1813" s="411"/>
      <c r="G1813" s="388"/>
      <c r="I1813" s="388"/>
    </row>
    <row r="1814" spans="1:9">
      <c r="A1814" s="408">
        <v>41906</v>
      </c>
      <c r="B1814" s="411">
        <v>1998.3</v>
      </c>
      <c r="C1814" s="418">
        <f t="shared" si="200"/>
        <v>7.8324767875244117E-3</v>
      </c>
      <c r="D1814" s="411">
        <v>37.659999999999997</v>
      </c>
      <c r="E1814" s="418">
        <f t="shared" si="201"/>
        <v>-1.0610079575598119E-3</v>
      </c>
      <c r="F1814" s="411"/>
      <c r="G1814" s="388"/>
      <c r="I1814" s="388"/>
    </row>
    <row r="1815" spans="1:9">
      <c r="A1815" s="408">
        <v>41905</v>
      </c>
      <c r="B1815" s="411">
        <v>1982.77</v>
      </c>
      <c r="C1815" s="418">
        <f t="shared" si="200"/>
        <v>-5.7764918843297153E-3</v>
      </c>
      <c r="D1815" s="411">
        <v>37.700000000000003</v>
      </c>
      <c r="E1815" s="418">
        <f t="shared" si="201"/>
        <v>-6.5876152832674562E-3</v>
      </c>
      <c r="F1815" s="411"/>
      <c r="G1815" s="388"/>
      <c r="I1815" s="388"/>
    </row>
    <row r="1816" spans="1:9">
      <c r="A1816" s="408">
        <v>41904</v>
      </c>
      <c r="B1816" s="411">
        <v>1994.29</v>
      </c>
      <c r="C1816" s="418">
        <f t="shared" si="200"/>
        <v>-8.0133306804616167E-3</v>
      </c>
      <c r="D1816" s="411">
        <v>37.950000000000003</v>
      </c>
      <c r="E1816" s="418">
        <f t="shared" si="201"/>
        <v>-1.7857142857142794E-2</v>
      </c>
      <c r="F1816" s="411"/>
      <c r="G1816" s="388"/>
      <c r="I1816" s="388"/>
    </row>
    <row r="1817" spans="1:9">
      <c r="A1817" s="408">
        <v>41901</v>
      </c>
      <c r="B1817" s="411">
        <v>2010.4</v>
      </c>
      <c r="C1817" s="418">
        <f t="shared" si="200"/>
        <v>-4.7728899848853423E-4</v>
      </c>
      <c r="D1817" s="411">
        <v>38.64</v>
      </c>
      <c r="E1817" s="418">
        <f t="shared" si="201"/>
        <v>-2.0283975659229125E-2</v>
      </c>
      <c r="F1817" s="411"/>
      <c r="G1817" s="388"/>
      <c r="I1817" s="388"/>
    </row>
    <row r="1818" spans="1:9">
      <c r="A1818" s="408">
        <v>41900</v>
      </c>
      <c r="B1818" s="411">
        <v>2011.36</v>
      </c>
      <c r="C1818" s="418">
        <f t="shared" si="200"/>
        <v>4.8911604390553531E-3</v>
      </c>
      <c r="D1818" s="411">
        <v>39.44</v>
      </c>
      <c r="E1818" s="418">
        <f t="shared" si="201"/>
        <v>1.2840267077555145E-2</v>
      </c>
      <c r="F1818" s="411"/>
      <c r="G1818" s="388"/>
      <c r="I1818" s="388"/>
    </row>
    <row r="1819" spans="1:9">
      <c r="A1819" s="408">
        <v>41899</v>
      </c>
      <c r="B1819" s="411">
        <v>2001.57</v>
      </c>
      <c r="C1819" s="418">
        <f t="shared" si="200"/>
        <v>1.2956607870013848E-3</v>
      </c>
      <c r="D1819" s="411">
        <v>38.94</v>
      </c>
      <c r="E1819" s="418">
        <f t="shared" si="201"/>
        <v>-1.4676113360324039E-2</v>
      </c>
      <c r="F1819" s="411"/>
      <c r="G1819" s="388"/>
      <c r="I1819" s="388"/>
    </row>
    <row r="1820" spans="1:9">
      <c r="A1820" s="408">
        <v>41898</v>
      </c>
      <c r="B1820" s="411">
        <v>1998.98</v>
      </c>
      <c r="C1820" s="418">
        <f t="shared" si="200"/>
        <v>7.4843886237292434E-3</v>
      </c>
      <c r="D1820" s="411">
        <v>39.520000000000003</v>
      </c>
      <c r="E1820" s="418">
        <f t="shared" si="201"/>
        <v>8.1632653061225469E-3</v>
      </c>
      <c r="F1820" s="411"/>
      <c r="G1820" s="388"/>
      <c r="I1820" s="388"/>
    </row>
    <row r="1821" spans="1:9">
      <c r="A1821" s="408">
        <v>41897</v>
      </c>
      <c r="B1821" s="411">
        <v>1984.13</v>
      </c>
      <c r="C1821" s="418">
        <f t="shared" si="200"/>
        <v>-7.1013427077759594E-4</v>
      </c>
      <c r="D1821" s="411">
        <v>39.200000000000003</v>
      </c>
      <c r="E1821" s="418">
        <f t="shared" si="201"/>
        <v>-1.2345679012345512E-2</v>
      </c>
      <c r="F1821" s="411"/>
      <c r="G1821" s="388"/>
      <c r="I1821" s="388"/>
    </row>
    <row r="1822" spans="1:9">
      <c r="A1822" s="408">
        <v>41894</v>
      </c>
      <c r="B1822" s="411">
        <v>1985.54</v>
      </c>
      <c r="C1822" s="418">
        <f t="shared" si="200"/>
        <v>-5.9626023179554233E-3</v>
      </c>
      <c r="D1822" s="411">
        <v>39.69</v>
      </c>
      <c r="E1822" s="418">
        <f t="shared" si="201"/>
        <v>3.2861476238623677E-3</v>
      </c>
      <c r="F1822" s="411"/>
      <c r="G1822" s="388"/>
      <c r="I1822" s="388"/>
    </row>
    <row r="1823" spans="1:9">
      <c r="A1823" s="408">
        <v>41893</v>
      </c>
      <c r="B1823" s="411">
        <v>1997.45</v>
      </c>
      <c r="C1823" s="418">
        <f t="shared" si="200"/>
        <v>8.8190049556802208E-4</v>
      </c>
      <c r="D1823" s="411">
        <v>39.56</v>
      </c>
      <c r="E1823" s="418">
        <f t="shared" si="201"/>
        <v>2.5284450063223218E-4</v>
      </c>
      <c r="F1823" s="411"/>
      <c r="G1823" s="388"/>
      <c r="I1823" s="388"/>
    </row>
    <row r="1824" spans="1:9">
      <c r="A1824" s="408">
        <v>41892</v>
      </c>
      <c r="B1824" s="411">
        <v>1995.69</v>
      </c>
      <c r="C1824" s="418">
        <f t="shared" si="200"/>
        <v>3.6460743095090287E-3</v>
      </c>
      <c r="D1824" s="411">
        <v>39.549999999999997</v>
      </c>
      <c r="E1824" s="418">
        <f t="shared" si="201"/>
        <v>1.880473982483255E-2</v>
      </c>
      <c r="F1824" s="411"/>
      <c r="G1824" s="388"/>
      <c r="I1824" s="388"/>
    </row>
    <row r="1825" spans="1:9">
      <c r="A1825" s="408">
        <v>41891</v>
      </c>
      <c r="B1825" s="411">
        <v>1988.44</v>
      </c>
      <c r="C1825" s="418">
        <f t="shared" si="200"/>
        <v>-6.5449603805070034E-3</v>
      </c>
      <c r="D1825" s="411">
        <v>38.82</v>
      </c>
      <c r="E1825" s="418">
        <f t="shared" si="201"/>
        <v>-5.6352459016393297E-3</v>
      </c>
      <c r="F1825" s="411"/>
      <c r="G1825" s="388"/>
      <c r="I1825" s="388"/>
    </row>
    <row r="1826" spans="1:9">
      <c r="A1826" s="408">
        <v>41890</v>
      </c>
      <c r="B1826" s="411">
        <v>2001.54</v>
      </c>
      <c r="C1826" s="418">
        <f t="shared" si="200"/>
        <v>-3.0731529952034986E-3</v>
      </c>
      <c r="D1826" s="411">
        <v>39.04</v>
      </c>
      <c r="E1826" s="418">
        <f t="shared" si="201"/>
        <v>-4.5894951555328634E-3</v>
      </c>
      <c r="F1826" s="411"/>
      <c r="G1826" s="388"/>
      <c r="I1826" s="388"/>
    </row>
    <row r="1827" spans="1:9">
      <c r="A1827" s="408">
        <v>41887</v>
      </c>
      <c r="B1827" s="411">
        <v>2007.71</v>
      </c>
      <c r="C1827" s="418">
        <f t="shared" si="200"/>
        <v>5.035917202713236E-3</v>
      </c>
      <c r="D1827" s="411">
        <v>39.22</v>
      </c>
      <c r="E1827" s="418">
        <f t="shared" si="201"/>
        <v>-1.7816238228557379E-3</v>
      </c>
      <c r="F1827" s="411"/>
      <c r="G1827" s="388"/>
      <c r="I1827" s="388"/>
    </row>
    <row r="1828" spans="1:9">
      <c r="A1828" s="408">
        <v>41886</v>
      </c>
      <c r="B1828" s="411">
        <v>1997.65</v>
      </c>
      <c r="C1828" s="418">
        <f t="shared" si="200"/>
        <v>-1.5344475988643413E-3</v>
      </c>
      <c r="D1828" s="411">
        <v>39.29</v>
      </c>
      <c r="E1828" s="418">
        <f t="shared" si="201"/>
        <v>1.2107161257083998E-2</v>
      </c>
      <c r="F1828" s="411"/>
      <c r="G1828" s="388"/>
      <c r="I1828" s="388"/>
    </row>
    <row r="1829" spans="1:9">
      <c r="A1829" s="408">
        <v>41885</v>
      </c>
      <c r="B1829" s="411">
        <v>2000.72</v>
      </c>
      <c r="C1829" s="418">
        <f t="shared" si="200"/>
        <v>-7.7911181253365047E-4</v>
      </c>
      <c r="D1829" s="411">
        <v>38.82</v>
      </c>
      <c r="E1829" s="418">
        <f t="shared" si="201"/>
        <v>-5.1551429269484417E-2</v>
      </c>
      <c r="F1829" s="411"/>
      <c r="G1829" s="388"/>
      <c r="I1829" s="388"/>
    </row>
    <row r="1830" spans="1:9">
      <c r="A1830" s="408">
        <v>41884</v>
      </c>
      <c r="B1830" s="411">
        <v>2002.28</v>
      </c>
      <c r="C1830" s="418">
        <f t="shared" si="200"/>
        <v>-5.4408321977461593E-4</v>
      </c>
      <c r="D1830" s="411">
        <v>40.93</v>
      </c>
      <c r="E1830" s="418">
        <f t="shared" si="201"/>
        <v>3.4108135421930363E-2</v>
      </c>
      <c r="F1830" s="411"/>
      <c r="G1830" s="388"/>
      <c r="I1830" s="388"/>
    </row>
    <row r="1831" spans="1:9">
      <c r="A1831" s="408">
        <v>41880</v>
      </c>
      <c r="B1831" s="411">
        <v>2003.37</v>
      </c>
      <c r="C1831" s="418">
        <f t="shared" si="200"/>
        <v>3.3204122720034146E-3</v>
      </c>
      <c r="D1831" s="411">
        <v>39.58</v>
      </c>
      <c r="E1831" s="418">
        <f t="shared" si="201"/>
        <v>-7.7713712709952532E-3</v>
      </c>
      <c r="F1831" s="411"/>
      <c r="G1831" s="388"/>
      <c r="I1831" s="388"/>
    </row>
    <row r="1832" spans="1:9">
      <c r="A1832" s="408">
        <v>41879</v>
      </c>
      <c r="B1832" s="411">
        <v>1996.74</v>
      </c>
      <c r="C1832" s="418">
        <f t="shared" si="200"/>
        <v>-1.6898986060835952E-3</v>
      </c>
      <c r="D1832" s="411">
        <v>39.89</v>
      </c>
      <c r="E1832" s="418">
        <f t="shared" si="201"/>
        <v>-6.7231075697210541E-3</v>
      </c>
      <c r="F1832" s="411"/>
      <c r="G1832" s="388"/>
      <c r="I1832" s="388"/>
    </row>
    <row r="1833" spans="1:9">
      <c r="A1833" s="408">
        <v>41878</v>
      </c>
      <c r="B1833" s="411">
        <v>2000.12</v>
      </c>
      <c r="C1833" s="418">
        <f t="shared" si="200"/>
        <v>4.9999500004949127E-5</v>
      </c>
      <c r="D1833" s="411">
        <v>40.159999999999997</v>
      </c>
      <c r="E1833" s="418">
        <f t="shared" si="201"/>
        <v>6.5162907268170311E-3</v>
      </c>
      <c r="F1833" s="411"/>
      <c r="G1833" s="388"/>
      <c r="I1833" s="388"/>
    </row>
    <row r="1834" spans="1:9">
      <c r="A1834" s="408">
        <v>41877</v>
      </c>
      <c r="B1834" s="411">
        <v>2000.02</v>
      </c>
      <c r="C1834" s="418">
        <f t="shared" si="200"/>
        <v>1.0510931368623577E-3</v>
      </c>
      <c r="D1834" s="411">
        <v>39.9</v>
      </c>
      <c r="E1834" s="418">
        <f t="shared" si="201"/>
        <v>-1.530108588351442E-2</v>
      </c>
      <c r="F1834" s="411"/>
      <c r="G1834" s="388"/>
      <c r="I1834" s="388"/>
    </row>
    <row r="1835" spans="1:9">
      <c r="A1835" s="408">
        <v>41876</v>
      </c>
      <c r="B1835" s="411">
        <v>1997.92</v>
      </c>
      <c r="C1835" s="418">
        <f t="shared" si="200"/>
        <v>4.787769060551117E-3</v>
      </c>
      <c r="D1835" s="411">
        <v>40.520000000000003</v>
      </c>
      <c r="E1835" s="418">
        <f t="shared" si="201"/>
        <v>2.7220984904727796E-3</v>
      </c>
      <c r="F1835" s="411"/>
      <c r="G1835" s="388"/>
      <c r="I1835" s="388"/>
    </row>
    <row r="1836" spans="1:9">
      <c r="A1836" s="408">
        <v>41873</v>
      </c>
      <c r="B1836" s="411">
        <v>1988.4</v>
      </c>
      <c r="C1836" s="418">
        <f t="shared" si="200"/>
        <v>-1.9926017757744274E-3</v>
      </c>
      <c r="D1836" s="411">
        <v>40.409999999999997</v>
      </c>
      <c r="E1836" s="418">
        <f t="shared" si="201"/>
        <v>1.2528188423953868E-2</v>
      </c>
      <c r="F1836" s="411"/>
      <c r="G1836" s="388"/>
      <c r="I1836" s="388"/>
    </row>
    <row r="1837" spans="1:9">
      <c r="A1837" s="408">
        <v>41872</v>
      </c>
      <c r="B1837" s="411">
        <v>1992.37</v>
      </c>
      <c r="C1837" s="418">
        <f t="shared" si="200"/>
        <v>2.9498970556403048E-3</v>
      </c>
      <c r="D1837" s="411">
        <v>39.909999999999997</v>
      </c>
      <c r="E1837" s="418">
        <f t="shared" si="201"/>
        <v>-1.505429417571591E-2</v>
      </c>
      <c r="F1837" s="411"/>
      <c r="G1837" s="388"/>
      <c r="I1837" s="388"/>
    </row>
    <row r="1838" spans="1:9">
      <c r="A1838" s="408">
        <v>41871</v>
      </c>
      <c r="B1838" s="411">
        <v>1986.51</v>
      </c>
      <c r="C1838" s="418">
        <f t="shared" si="200"/>
        <v>2.4777957206298939E-3</v>
      </c>
      <c r="D1838" s="411">
        <v>40.520000000000003</v>
      </c>
      <c r="E1838" s="418">
        <f t="shared" si="201"/>
        <v>2.4785027819929306E-2</v>
      </c>
      <c r="F1838" s="411"/>
      <c r="G1838" s="388"/>
      <c r="I1838" s="388"/>
    </row>
    <row r="1839" spans="1:9">
      <c r="A1839" s="408">
        <v>41870</v>
      </c>
      <c r="B1839" s="411">
        <v>1981.6</v>
      </c>
      <c r="C1839" s="418">
        <f t="shared" si="200"/>
        <v>5.0006593161369128E-3</v>
      </c>
      <c r="D1839" s="411">
        <v>39.54</v>
      </c>
      <c r="E1839" s="418">
        <f t="shared" si="201"/>
        <v>7.5930144267277733E-4</v>
      </c>
      <c r="F1839" s="411"/>
      <c r="G1839" s="388"/>
      <c r="I1839" s="388"/>
    </row>
    <row r="1840" spans="1:9">
      <c r="A1840" s="408">
        <v>41869</v>
      </c>
      <c r="B1840" s="411">
        <v>1971.74</v>
      </c>
      <c r="C1840" s="418">
        <f t="shared" si="200"/>
        <v>8.5317074667785597E-3</v>
      </c>
      <c r="D1840" s="411">
        <v>39.51</v>
      </c>
      <c r="E1840" s="418">
        <f t="shared" si="201"/>
        <v>2.5434726187386403E-2</v>
      </c>
      <c r="F1840" s="411"/>
      <c r="G1840" s="388"/>
      <c r="I1840" s="388"/>
    </row>
    <row r="1841" spans="1:9">
      <c r="A1841" s="408">
        <v>41866</v>
      </c>
      <c r="B1841" s="411">
        <v>1955.06</v>
      </c>
      <c r="C1841" s="418">
        <f t="shared" si="200"/>
        <v>-6.1375423234699689E-5</v>
      </c>
      <c r="D1841" s="411">
        <v>38.53</v>
      </c>
      <c r="E1841" s="418">
        <f t="shared" si="201"/>
        <v>3.3854166666666963E-3</v>
      </c>
      <c r="F1841" s="411"/>
      <c r="G1841" s="388"/>
      <c r="I1841" s="388"/>
    </row>
    <row r="1842" spans="1:9">
      <c r="A1842" s="408">
        <v>41865</v>
      </c>
      <c r="B1842" s="411">
        <v>1955.18</v>
      </c>
      <c r="C1842" s="418">
        <f t="shared" si="200"/>
        <v>4.3457713487302652E-3</v>
      </c>
      <c r="D1842" s="411">
        <v>38.4</v>
      </c>
      <c r="E1842" s="418">
        <f t="shared" si="201"/>
        <v>3.0319291655486857E-2</v>
      </c>
      <c r="F1842" s="411"/>
      <c r="G1842" s="388"/>
      <c r="I1842" s="388"/>
    </row>
    <row r="1843" spans="1:9">
      <c r="A1843" s="408">
        <v>41864</v>
      </c>
      <c r="B1843" s="411">
        <v>1946.72</v>
      </c>
      <c r="C1843" s="418">
        <f t="shared" si="200"/>
        <v>6.7071751777634248E-3</v>
      </c>
      <c r="D1843" s="411">
        <v>37.270000000000003</v>
      </c>
      <c r="E1843" s="418">
        <f t="shared" si="201"/>
        <v>2.0816214735688954E-2</v>
      </c>
      <c r="F1843" s="411"/>
      <c r="G1843" s="388"/>
      <c r="I1843" s="388"/>
    </row>
    <row r="1844" spans="1:9">
      <c r="A1844" s="408">
        <v>41863</v>
      </c>
      <c r="B1844" s="411">
        <v>1933.75</v>
      </c>
      <c r="C1844" s="418">
        <f t="shared" si="200"/>
        <v>-1.636618962063574E-3</v>
      </c>
      <c r="D1844" s="411">
        <v>36.51</v>
      </c>
      <c r="E1844" s="418">
        <f t="shared" si="201"/>
        <v>-4.9059689288634134E-3</v>
      </c>
      <c r="F1844" s="411"/>
      <c r="G1844" s="388"/>
      <c r="I1844" s="388"/>
    </row>
    <row r="1845" spans="1:9">
      <c r="A1845" s="408">
        <v>41862</v>
      </c>
      <c r="B1845" s="411">
        <v>1936.92</v>
      </c>
      <c r="C1845" s="418">
        <f t="shared" si="200"/>
        <v>2.7593847555642537E-3</v>
      </c>
      <c r="D1845" s="411">
        <v>36.69</v>
      </c>
      <c r="E1845" s="418">
        <f t="shared" si="201"/>
        <v>1.2417218543046227E-2</v>
      </c>
      <c r="F1845" s="411"/>
      <c r="G1845" s="388"/>
      <c r="I1845" s="388"/>
    </row>
    <row r="1846" spans="1:9">
      <c r="A1846" s="408">
        <v>41859</v>
      </c>
      <c r="B1846" s="411">
        <v>1931.59</v>
      </c>
      <c r="C1846" s="418">
        <f t="shared" si="200"/>
        <v>1.1531391884036735E-2</v>
      </c>
      <c r="D1846" s="411">
        <v>36.24</v>
      </c>
      <c r="E1846" s="418">
        <f t="shared" si="201"/>
        <v>1.7691659646166924E-2</v>
      </c>
      <c r="F1846" s="411"/>
      <c r="G1846" s="388"/>
      <c r="I1846" s="388"/>
    </row>
    <row r="1847" spans="1:9">
      <c r="A1847" s="408">
        <v>41858</v>
      </c>
      <c r="B1847" s="411">
        <v>1909.57</v>
      </c>
      <c r="C1847" s="418">
        <f t="shared" si="200"/>
        <v>-5.5565970920301577E-3</v>
      </c>
      <c r="D1847" s="411">
        <v>35.61</v>
      </c>
      <c r="E1847" s="418">
        <f t="shared" si="201"/>
        <v>-1.1382565241532583E-2</v>
      </c>
      <c r="F1847" s="411"/>
      <c r="G1847" s="388"/>
      <c r="I1847" s="388"/>
    </row>
    <row r="1848" spans="1:9">
      <c r="A1848" s="408">
        <v>41857</v>
      </c>
      <c r="B1848" s="411">
        <v>1920.24</v>
      </c>
      <c r="C1848" s="418">
        <f t="shared" si="200"/>
        <v>1.5623291202526701E-5</v>
      </c>
      <c r="D1848" s="411">
        <v>36.020000000000003</v>
      </c>
      <c r="E1848" s="418">
        <f t="shared" si="201"/>
        <v>-5.7963014076730657E-3</v>
      </c>
      <c r="F1848" s="411"/>
      <c r="G1848" s="388"/>
      <c r="I1848" s="388"/>
    </row>
    <row r="1849" spans="1:9">
      <c r="A1849" s="408">
        <v>41856</v>
      </c>
      <c r="B1849" s="411">
        <v>1920.21</v>
      </c>
      <c r="C1849" s="418">
        <f t="shared" si="200"/>
        <v>-9.6854547986322537E-3</v>
      </c>
      <c r="D1849" s="411">
        <v>36.229999999999997</v>
      </c>
      <c r="E1849" s="418">
        <f t="shared" si="201"/>
        <v>-2.8165236051502229E-2</v>
      </c>
      <c r="F1849" s="411"/>
      <c r="G1849" s="388"/>
      <c r="I1849" s="388"/>
    </row>
    <row r="1850" spans="1:9">
      <c r="A1850" s="408">
        <v>41855</v>
      </c>
      <c r="B1850" s="411">
        <v>1938.99</v>
      </c>
      <c r="C1850" s="418">
        <f t="shared" si="200"/>
        <v>7.1890502038802762E-3</v>
      </c>
      <c r="D1850" s="411">
        <v>37.28</v>
      </c>
      <c r="E1850" s="418">
        <f t="shared" si="201"/>
        <v>-7.9829696647152337E-3</v>
      </c>
      <c r="F1850" s="411"/>
      <c r="G1850" s="388"/>
      <c r="I1850" s="388"/>
    </row>
    <row r="1851" spans="1:9">
      <c r="A1851" s="408">
        <v>41852</v>
      </c>
      <c r="B1851" s="411">
        <v>1925.15</v>
      </c>
      <c r="C1851" s="418">
        <f t="shared" si="200"/>
        <v>-2.8591110857888458E-3</v>
      </c>
      <c r="D1851" s="411">
        <v>37.58</v>
      </c>
      <c r="E1851" s="418">
        <f t="shared" si="201"/>
        <v>3.2034169781098853E-3</v>
      </c>
      <c r="F1851" s="411"/>
      <c r="G1851" s="388"/>
      <c r="I1851" s="388"/>
    </row>
    <row r="1852" spans="1:9">
      <c r="A1852" s="408">
        <v>41851</v>
      </c>
      <c r="B1852" s="411">
        <v>1930.67</v>
      </c>
      <c r="C1852" s="418">
        <f t="shared" si="200"/>
        <v>-1.9999289365352446E-2</v>
      </c>
      <c r="D1852" s="411">
        <v>37.46</v>
      </c>
      <c r="E1852" s="418">
        <f t="shared" si="201"/>
        <v>-1.004228329809731E-2</v>
      </c>
      <c r="F1852" s="411"/>
      <c r="G1852" s="388"/>
      <c r="I1852" s="388"/>
    </row>
    <row r="1853" spans="1:9">
      <c r="A1853" s="408">
        <v>41850</v>
      </c>
      <c r="B1853" s="411">
        <v>1970.07</v>
      </c>
      <c r="C1853" s="418">
        <f t="shared" si="200"/>
        <v>6.0915251655968561E-5</v>
      </c>
      <c r="D1853" s="411">
        <v>37.840000000000003</v>
      </c>
      <c r="E1853" s="418">
        <f t="shared" si="201"/>
        <v>4.2462845010615702E-3</v>
      </c>
      <c r="F1853" s="411"/>
      <c r="G1853" s="388"/>
      <c r="I1853" s="388"/>
    </row>
    <row r="1854" spans="1:9">
      <c r="A1854" s="408">
        <v>41849</v>
      </c>
      <c r="B1854" s="411">
        <v>1969.95</v>
      </c>
      <c r="C1854" s="418">
        <f t="shared" si="200"/>
        <v>-4.5277450717819967E-3</v>
      </c>
      <c r="D1854" s="411">
        <v>37.68</v>
      </c>
      <c r="E1854" s="418">
        <f t="shared" si="201"/>
        <v>-1.3354281225451681E-2</v>
      </c>
      <c r="F1854" s="411"/>
      <c r="G1854" s="388"/>
      <c r="I1854" s="388"/>
    </row>
    <row r="1855" spans="1:9">
      <c r="A1855" s="408">
        <v>41848</v>
      </c>
      <c r="B1855" s="411">
        <v>1978.91</v>
      </c>
      <c r="C1855" s="418">
        <f t="shared" si="200"/>
        <v>2.8812034331826553E-4</v>
      </c>
      <c r="D1855" s="411">
        <v>38.19</v>
      </c>
      <c r="E1855" s="418">
        <f t="shared" si="201"/>
        <v>3.4156594850234256E-3</v>
      </c>
      <c r="F1855" s="411"/>
      <c r="G1855" s="388"/>
      <c r="I1855" s="388"/>
    </row>
    <row r="1856" spans="1:9">
      <c r="A1856" s="408">
        <v>41845</v>
      </c>
      <c r="B1856" s="411">
        <v>1978.34</v>
      </c>
      <c r="C1856" s="418">
        <f t="shared" si="200"/>
        <v>-4.8491433515428506E-3</v>
      </c>
      <c r="D1856" s="411">
        <v>38.06</v>
      </c>
      <c r="E1856" s="418">
        <f t="shared" si="201"/>
        <v>-2.6267402153923314E-4</v>
      </c>
      <c r="F1856" s="411"/>
      <c r="G1856" s="388"/>
      <c r="I1856" s="388"/>
    </row>
    <row r="1857" spans="1:9">
      <c r="A1857" s="408">
        <v>41844</v>
      </c>
      <c r="B1857" s="411">
        <v>1987.98</v>
      </c>
      <c r="C1857" s="418">
        <f t="shared" si="200"/>
        <v>4.8817066849182744E-4</v>
      </c>
      <c r="D1857" s="411">
        <v>38.07</v>
      </c>
      <c r="E1857" s="418">
        <f t="shared" si="201"/>
        <v>-2.7586206896551668E-2</v>
      </c>
      <c r="F1857" s="411"/>
      <c r="G1857" s="388"/>
      <c r="I1857" s="388"/>
    </row>
    <row r="1858" spans="1:9">
      <c r="A1858" s="408">
        <v>41843</v>
      </c>
      <c r="B1858" s="411">
        <v>1987.01</v>
      </c>
      <c r="C1858" s="418">
        <f t="shared" si="200"/>
        <v>1.7544478782776096E-3</v>
      </c>
      <c r="D1858" s="411">
        <v>39.15</v>
      </c>
      <c r="E1858" s="418">
        <f t="shared" si="201"/>
        <v>3.9012738853503093E-2</v>
      </c>
      <c r="F1858" s="411"/>
      <c r="G1858" s="388"/>
      <c r="I1858" s="388"/>
    </row>
    <row r="1859" spans="1:9">
      <c r="A1859" s="408">
        <v>41842</v>
      </c>
      <c r="B1859" s="411">
        <v>1983.53</v>
      </c>
      <c r="C1859" s="418">
        <f t="shared" si="200"/>
        <v>5.016137776584273E-3</v>
      </c>
      <c r="D1859" s="411">
        <v>37.68</v>
      </c>
      <c r="E1859" s="418">
        <f t="shared" si="201"/>
        <v>1.4266487213997259E-2</v>
      </c>
      <c r="F1859" s="411"/>
      <c r="G1859" s="388"/>
      <c r="I1859" s="388"/>
    </row>
    <row r="1860" spans="1:9">
      <c r="A1860" s="408">
        <v>41841</v>
      </c>
      <c r="B1860" s="411">
        <v>1973.63</v>
      </c>
      <c r="C1860" s="418">
        <f t="shared" si="200"/>
        <v>-2.3202677154209317E-3</v>
      </c>
      <c r="D1860" s="411">
        <v>37.15</v>
      </c>
      <c r="E1860" s="418">
        <f t="shared" si="201"/>
        <v>-8.0688542227003168E-4</v>
      </c>
      <c r="F1860" s="411"/>
      <c r="G1860" s="388"/>
      <c r="I1860" s="388"/>
    </row>
    <row r="1861" spans="1:9">
      <c r="A1861" s="408">
        <v>41838</v>
      </c>
      <c r="B1861" s="411">
        <v>1978.22</v>
      </c>
      <c r="C1861" s="418">
        <f t="shared" si="200"/>
        <v>1.0264948011357911E-2</v>
      </c>
      <c r="D1861" s="411">
        <v>37.18</v>
      </c>
      <c r="E1861" s="418">
        <f t="shared" si="201"/>
        <v>1.6680339075745065E-2</v>
      </c>
      <c r="F1861" s="411"/>
      <c r="G1861" s="388"/>
      <c r="I1861" s="388"/>
    </row>
    <row r="1862" spans="1:9">
      <c r="A1862" s="408">
        <v>41837</v>
      </c>
      <c r="B1862" s="411">
        <v>1958.12</v>
      </c>
      <c r="C1862" s="418">
        <f t="shared" si="200"/>
        <v>-1.1834050777918548E-2</v>
      </c>
      <c r="D1862" s="411">
        <v>36.57</v>
      </c>
      <c r="E1862" s="418">
        <f t="shared" si="201"/>
        <v>-3.432796408766825E-2</v>
      </c>
      <c r="F1862" s="411"/>
      <c r="G1862" s="388"/>
      <c r="I1862" s="388"/>
    </row>
    <row r="1863" spans="1:9">
      <c r="A1863" s="408">
        <v>41836</v>
      </c>
      <c r="B1863" s="411">
        <v>1981.57</v>
      </c>
      <c r="C1863" s="418">
        <f t="shared" si="200"/>
        <v>4.2011270574879855E-3</v>
      </c>
      <c r="D1863" s="411">
        <v>37.869999999999997</v>
      </c>
      <c r="E1863" s="418">
        <f t="shared" si="201"/>
        <v>-4.2072048382856275E-3</v>
      </c>
      <c r="F1863" s="411"/>
      <c r="G1863" s="388"/>
      <c r="I1863" s="388"/>
    </row>
    <row r="1864" spans="1:9">
      <c r="A1864" s="408">
        <v>41835</v>
      </c>
      <c r="B1864" s="411">
        <v>1973.28</v>
      </c>
      <c r="C1864" s="418">
        <f t="shared" ref="C1864:C1927" si="202">B1864/B1865-1</f>
        <v>-1.9321228061301987E-3</v>
      </c>
      <c r="D1864" s="411">
        <v>38.03</v>
      </c>
      <c r="E1864" s="418">
        <f t="shared" ref="E1864:E1927" si="203">D1864/D1865-1</f>
        <v>1.738897806313533E-2</v>
      </c>
      <c r="F1864" s="411"/>
      <c r="G1864" s="388"/>
      <c r="I1864" s="388"/>
    </row>
    <row r="1865" spans="1:9">
      <c r="A1865" s="408">
        <v>41834</v>
      </c>
      <c r="B1865" s="411">
        <v>1977.1</v>
      </c>
      <c r="C1865" s="418">
        <f t="shared" si="202"/>
        <v>4.8435379681535107E-3</v>
      </c>
      <c r="D1865" s="411">
        <v>37.380000000000003</v>
      </c>
      <c r="E1865" s="418">
        <f t="shared" si="203"/>
        <v>4.0290088638197386E-3</v>
      </c>
      <c r="F1865" s="411"/>
      <c r="G1865" s="388"/>
      <c r="I1865" s="388"/>
    </row>
    <row r="1866" spans="1:9">
      <c r="A1866" s="408">
        <v>41831</v>
      </c>
      <c r="B1866" s="411">
        <v>1967.57</v>
      </c>
      <c r="C1866" s="418">
        <f t="shared" si="202"/>
        <v>1.4709774619785509E-3</v>
      </c>
      <c r="D1866" s="411">
        <v>37.229999999999997</v>
      </c>
      <c r="E1866" s="418">
        <f t="shared" si="203"/>
        <v>-5.8744993324434391E-3</v>
      </c>
      <c r="F1866" s="411"/>
      <c r="G1866" s="388"/>
      <c r="I1866" s="388"/>
    </row>
    <row r="1867" spans="1:9">
      <c r="A1867" s="408">
        <v>41830</v>
      </c>
      <c r="B1867" s="411">
        <v>1964.68</v>
      </c>
      <c r="C1867" s="418">
        <f t="shared" si="202"/>
        <v>-4.1311212826243837E-3</v>
      </c>
      <c r="D1867" s="411">
        <v>37.450000000000003</v>
      </c>
      <c r="E1867" s="418">
        <f t="shared" si="203"/>
        <v>1.3257575757575912E-2</v>
      </c>
      <c r="F1867" s="411"/>
      <c r="G1867" s="388"/>
      <c r="I1867" s="388"/>
    </row>
    <row r="1868" spans="1:9">
      <c r="A1868" s="408">
        <v>41829</v>
      </c>
      <c r="B1868" s="411">
        <v>1972.83</v>
      </c>
      <c r="C1868" s="418">
        <f t="shared" si="202"/>
        <v>4.6442702843088046E-3</v>
      </c>
      <c r="D1868" s="411">
        <v>36.96</v>
      </c>
      <c r="E1868" s="418">
        <f t="shared" si="203"/>
        <v>1.4270032930845389E-2</v>
      </c>
      <c r="F1868" s="411"/>
      <c r="G1868" s="388"/>
      <c r="I1868" s="388"/>
    </row>
    <row r="1869" spans="1:9">
      <c r="A1869" s="408">
        <v>41828</v>
      </c>
      <c r="B1869" s="411">
        <v>1963.71</v>
      </c>
      <c r="C1869" s="418">
        <f t="shared" si="202"/>
        <v>-7.0487700048037505E-3</v>
      </c>
      <c r="D1869" s="411">
        <v>36.44</v>
      </c>
      <c r="E1869" s="418">
        <f t="shared" si="203"/>
        <v>-1.2466124661246636E-2</v>
      </c>
      <c r="F1869" s="411"/>
      <c r="G1869" s="388"/>
      <c r="I1869" s="388"/>
    </row>
    <row r="1870" spans="1:9">
      <c r="A1870" s="408">
        <v>41827</v>
      </c>
      <c r="B1870" s="411">
        <v>1977.65</v>
      </c>
      <c r="C1870" s="418">
        <f t="shared" si="202"/>
        <v>-3.9235635425900472E-3</v>
      </c>
      <c r="D1870" s="411">
        <v>36.9</v>
      </c>
      <c r="E1870" s="418">
        <f t="shared" si="203"/>
        <v>-4.4041450777202118E-2</v>
      </c>
      <c r="F1870" s="411"/>
      <c r="G1870" s="388"/>
      <c r="I1870" s="388"/>
    </row>
    <row r="1871" spans="1:9">
      <c r="A1871" s="408">
        <v>41823</v>
      </c>
      <c r="B1871" s="411">
        <v>1985.44</v>
      </c>
      <c r="C1871" s="418">
        <f t="shared" si="202"/>
        <v>5.4795353029950533E-3</v>
      </c>
      <c r="D1871" s="411">
        <v>38.6</v>
      </c>
      <c r="E1871" s="418">
        <f t="shared" si="203"/>
        <v>9.4142259414224938E-3</v>
      </c>
      <c r="F1871" s="411"/>
      <c r="G1871" s="388"/>
      <c r="I1871" s="388"/>
    </row>
    <row r="1872" spans="1:9">
      <c r="A1872" s="408">
        <v>41822</v>
      </c>
      <c r="B1872" s="411">
        <v>1974.62</v>
      </c>
      <c r="C1872" s="418">
        <f t="shared" si="202"/>
        <v>6.5878823505571837E-4</v>
      </c>
      <c r="D1872" s="411">
        <v>38.24</v>
      </c>
      <c r="E1872" s="418">
        <f t="shared" si="203"/>
        <v>-5.1352021830811223E-2</v>
      </c>
      <c r="F1872" s="411"/>
      <c r="G1872" s="388"/>
      <c r="I1872" s="388"/>
    </row>
    <row r="1873" spans="1:9">
      <c r="A1873" s="408">
        <v>41821</v>
      </c>
      <c r="B1873" s="411">
        <v>1973.32</v>
      </c>
      <c r="C1873" s="418">
        <f t="shared" si="202"/>
        <v>6.677787810614122E-3</v>
      </c>
      <c r="D1873" s="411">
        <v>40.31</v>
      </c>
      <c r="E1873" s="418">
        <f t="shared" si="203"/>
        <v>4.1064049586776896E-2</v>
      </c>
      <c r="F1873" s="411"/>
      <c r="G1873" s="388"/>
      <c r="I1873" s="388"/>
    </row>
    <row r="1874" spans="1:9">
      <c r="A1874" s="408">
        <v>41820</v>
      </c>
      <c r="B1874" s="411">
        <v>1960.23</v>
      </c>
      <c r="C1874" s="418">
        <f t="shared" si="202"/>
        <v>-3.7226664490863648E-4</v>
      </c>
      <c r="D1874" s="411">
        <v>38.72</v>
      </c>
      <c r="E1874" s="418">
        <f t="shared" si="203"/>
        <v>-1.5509788965166527E-2</v>
      </c>
      <c r="F1874" s="411"/>
      <c r="G1874" s="388"/>
      <c r="I1874" s="388"/>
    </row>
    <row r="1875" spans="1:9">
      <c r="A1875" s="408">
        <v>41817</v>
      </c>
      <c r="B1875" s="411">
        <v>1960.96</v>
      </c>
      <c r="C1875" s="418">
        <f t="shared" si="202"/>
        <v>1.9108735860047243E-3</v>
      </c>
      <c r="D1875" s="411">
        <v>39.33</v>
      </c>
      <c r="E1875" s="418">
        <f t="shared" si="203"/>
        <v>7.6335877862598878E-4</v>
      </c>
      <c r="F1875" s="411"/>
      <c r="G1875" s="388"/>
      <c r="I1875" s="388"/>
    </row>
    <row r="1876" spans="1:9">
      <c r="A1876" s="408">
        <v>41816</v>
      </c>
      <c r="B1876" s="411">
        <v>1957.22</v>
      </c>
      <c r="C1876" s="418">
        <f t="shared" si="202"/>
        <v>-1.1788541129760244E-3</v>
      </c>
      <c r="D1876" s="411">
        <v>39.299999999999997</v>
      </c>
      <c r="E1876" s="418">
        <f t="shared" si="203"/>
        <v>-1.2706480304957024E-3</v>
      </c>
      <c r="F1876" s="411"/>
      <c r="G1876" s="388"/>
      <c r="I1876" s="388"/>
    </row>
    <row r="1877" spans="1:9">
      <c r="A1877" s="408">
        <v>41815</v>
      </c>
      <c r="B1877" s="411">
        <v>1959.53</v>
      </c>
      <c r="C1877" s="418">
        <f t="shared" si="202"/>
        <v>4.8974861280628446E-3</v>
      </c>
      <c r="D1877" s="411">
        <v>39.35</v>
      </c>
      <c r="E1877" s="418">
        <f t="shared" si="203"/>
        <v>2.0222971221156349E-2</v>
      </c>
      <c r="F1877" s="411"/>
      <c r="G1877" s="388"/>
      <c r="I1877" s="388"/>
    </row>
    <row r="1878" spans="1:9">
      <c r="A1878" s="408">
        <v>41814</v>
      </c>
      <c r="B1878" s="411">
        <v>1949.98</v>
      </c>
      <c r="C1878" s="418">
        <f t="shared" si="202"/>
        <v>-6.4353080846423216E-3</v>
      </c>
      <c r="D1878" s="411">
        <v>38.57</v>
      </c>
      <c r="E1878" s="418">
        <f t="shared" si="203"/>
        <v>-1.2797542871768597E-2</v>
      </c>
      <c r="F1878" s="411"/>
      <c r="G1878" s="388"/>
      <c r="I1878" s="388"/>
    </row>
    <row r="1879" spans="1:9">
      <c r="A1879" s="408">
        <v>41813</v>
      </c>
      <c r="B1879" s="411">
        <v>1962.61</v>
      </c>
      <c r="C1879" s="418">
        <f t="shared" si="202"/>
        <v>-1.3245910325188071E-4</v>
      </c>
      <c r="D1879" s="411">
        <v>39.07</v>
      </c>
      <c r="E1879" s="418">
        <f t="shared" si="203"/>
        <v>-1.2635835228708592E-2</v>
      </c>
      <c r="F1879" s="411"/>
      <c r="G1879" s="388"/>
      <c r="I1879" s="388"/>
    </row>
    <row r="1880" spans="1:9">
      <c r="A1880" s="408">
        <v>41810</v>
      </c>
      <c r="B1880" s="411">
        <v>1962.87</v>
      </c>
      <c r="C1880" s="418">
        <f t="shared" si="202"/>
        <v>1.7300508298119244E-3</v>
      </c>
      <c r="D1880" s="411">
        <v>39.57</v>
      </c>
      <c r="E1880" s="418">
        <f t="shared" si="203"/>
        <v>-1.2619888944976898E-3</v>
      </c>
      <c r="F1880" s="411"/>
      <c r="G1880" s="388"/>
      <c r="I1880" s="388"/>
    </row>
    <row r="1881" spans="1:9">
      <c r="A1881" s="408">
        <v>41809</v>
      </c>
      <c r="B1881" s="411">
        <v>1959.48</v>
      </c>
      <c r="C1881" s="418">
        <f t="shared" si="202"/>
        <v>1.2774785639098063E-3</v>
      </c>
      <c r="D1881" s="411">
        <v>39.619999999999997</v>
      </c>
      <c r="E1881" s="418">
        <f t="shared" si="203"/>
        <v>-3.2704402515724151E-3</v>
      </c>
      <c r="F1881" s="411"/>
      <c r="G1881" s="388"/>
      <c r="I1881" s="388"/>
    </row>
    <row r="1882" spans="1:9">
      <c r="A1882" s="408">
        <v>41808</v>
      </c>
      <c r="B1882" s="411">
        <v>1956.98</v>
      </c>
      <c r="C1882" s="418">
        <f t="shared" si="202"/>
        <v>7.7188862970458683E-3</v>
      </c>
      <c r="D1882" s="411">
        <v>39.75</v>
      </c>
      <c r="E1882" s="418">
        <f t="shared" si="203"/>
        <v>6.5839453026081962E-3</v>
      </c>
      <c r="F1882" s="411"/>
      <c r="G1882" s="388"/>
      <c r="I1882" s="388"/>
    </row>
    <row r="1883" spans="1:9">
      <c r="A1883" s="408">
        <v>41807</v>
      </c>
      <c r="B1883" s="411">
        <v>1941.99</v>
      </c>
      <c r="C1883" s="418">
        <f t="shared" si="202"/>
        <v>2.1725892516177847E-3</v>
      </c>
      <c r="D1883" s="411">
        <v>39.49</v>
      </c>
      <c r="E1883" s="418">
        <f t="shared" si="203"/>
        <v>1.673532440782699E-2</v>
      </c>
      <c r="F1883" s="411"/>
      <c r="G1883" s="388"/>
      <c r="I1883" s="388"/>
    </row>
    <row r="1884" spans="1:9">
      <c r="A1884" s="408">
        <v>41806</v>
      </c>
      <c r="B1884" s="411">
        <v>1937.78</v>
      </c>
      <c r="C1884" s="418">
        <f t="shared" si="202"/>
        <v>8.3670771010657674E-4</v>
      </c>
      <c r="D1884" s="411">
        <v>38.840000000000003</v>
      </c>
      <c r="E1884" s="418">
        <f t="shared" si="203"/>
        <v>-1.0193679918450549E-2</v>
      </c>
      <c r="F1884" s="411"/>
      <c r="G1884" s="388"/>
      <c r="I1884" s="388"/>
    </row>
    <row r="1885" spans="1:9">
      <c r="A1885" s="408">
        <v>41803</v>
      </c>
      <c r="B1885" s="411">
        <v>1936.16</v>
      </c>
      <c r="C1885" s="418">
        <f t="shared" si="202"/>
        <v>3.1345363735746368E-3</v>
      </c>
      <c r="D1885" s="411">
        <v>39.24</v>
      </c>
      <c r="E1885" s="418">
        <f t="shared" si="203"/>
        <v>1.9220779220779249E-2</v>
      </c>
      <c r="F1885" s="411"/>
      <c r="G1885" s="388"/>
      <c r="I1885" s="388"/>
    </row>
    <row r="1886" spans="1:9">
      <c r="A1886" s="408">
        <v>41802</v>
      </c>
      <c r="B1886" s="411">
        <v>1930.11</v>
      </c>
      <c r="C1886" s="418">
        <f t="shared" si="202"/>
        <v>-7.0888784859226561E-3</v>
      </c>
      <c r="D1886" s="411">
        <v>38.5</v>
      </c>
      <c r="E1886" s="418">
        <f t="shared" si="203"/>
        <v>-5.4286416113976887E-2</v>
      </c>
      <c r="F1886" s="411"/>
      <c r="G1886" s="388"/>
      <c r="I1886" s="388"/>
    </row>
    <row r="1887" spans="1:9">
      <c r="A1887" s="408">
        <v>41801</v>
      </c>
      <c r="B1887" s="411">
        <v>1943.89</v>
      </c>
      <c r="C1887" s="418">
        <f t="shared" si="202"/>
        <v>-3.5370285884179786E-3</v>
      </c>
      <c r="D1887" s="411">
        <v>40.71</v>
      </c>
      <c r="E1887" s="418">
        <f t="shared" si="203"/>
        <v>-2.8864503816793952E-2</v>
      </c>
      <c r="F1887" s="411"/>
      <c r="G1887" s="388"/>
      <c r="I1887" s="388"/>
    </row>
    <row r="1888" spans="1:9">
      <c r="A1888" s="408">
        <v>41800</v>
      </c>
      <c r="B1888" s="411">
        <v>1950.79</v>
      </c>
      <c r="C1888" s="418">
        <f t="shared" si="202"/>
        <v>-2.4599363491473181E-4</v>
      </c>
      <c r="D1888" s="411">
        <v>41.92</v>
      </c>
      <c r="E1888" s="418">
        <f t="shared" si="203"/>
        <v>1.194172438500285E-3</v>
      </c>
      <c r="F1888" s="411"/>
      <c r="G1888" s="388"/>
      <c r="I1888" s="388"/>
    </row>
    <row r="1889" spans="1:9">
      <c r="A1889" s="408">
        <v>41799</v>
      </c>
      <c r="B1889" s="411">
        <v>1951.27</v>
      </c>
      <c r="C1889" s="418">
        <f t="shared" si="202"/>
        <v>9.3873112278397564E-4</v>
      </c>
      <c r="D1889" s="411">
        <v>41.87</v>
      </c>
      <c r="E1889" s="418">
        <f t="shared" si="203"/>
        <v>-8.5247454416291779E-3</v>
      </c>
      <c r="F1889" s="411"/>
      <c r="G1889" s="388"/>
      <c r="I1889" s="388"/>
    </row>
    <row r="1890" spans="1:9">
      <c r="A1890" s="408">
        <v>41796</v>
      </c>
      <c r="B1890" s="411">
        <v>1949.44</v>
      </c>
      <c r="C1890" s="418">
        <f t="shared" si="202"/>
        <v>4.6277686734073065E-3</v>
      </c>
      <c r="D1890" s="411">
        <v>42.23</v>
      </c>
      <c r="E1890" s="418">
        <f t="shared" si="203"/>
        <v>1.7590361445783076E-2</v>
      </c>
      <c r="F1890" s="411"/>
      <c r="G1890" s="388"/>
      <c r="I1890" s="388"/>
    </row>
    <row r="1891" spans="1:9">
      <c r="A1891" s="408">
        <v>41795</v>
      </c>
      <c r="B1891" s="411">
        <v>1940.46</v>
      </c>
      <c r="C1891" s="418">
        <f t="shared" si="202"/>
        <v>6.5253024047140507E-3</v>
      </c>
      <c r="D1891" s="411">
        <v>41.5</v>
      </c>
      <c r="E1891" s="418">
        <f t="shared" si="203"/>
        <v>-1.5888072089162986E-2</v>
      </c>
      <c r="F1891" s="411"/>
      <c r="G1891" s="388"/>
      <c r="I1891" s="388"/>
    </row>
    <row r="1892" spans="1:9">
      <c r="A1892" s="408">
        <v>41794</v>
      </c>
      <c r="B1892" s="411">
        <v>1927.88</v>
      </c>
      <c r="C1892" s="418">
        <f t="shared" si="202"/>
        <v>1.8916559264956501E-3</v>
      </c>
      <c r="D1892" s="411">
        <v>42.17</v>
      </c>
      <c r="E1892" s="418">
        <f t="shared" si="203"/>
        <v>2.4787363304981769E-2</v>
      </c>
      <c r="F1892" s="411"/>
      <c r="G1892" s="388"/>
      <c r="I1892" s="388"/>
    </row>
    <row r="1893" spans="1:9">
      <c r="A1893" s="408">
        <v>41793</v>
      </c>
      <c r="B1893" s="411">
        <v>1924.24</v>
      </c>
      <c r="C1893" s="418">
        <f t="shared" si="202"/>
        <v>-3.7922668924716962E-4</v>
      </c>
      <c r="D1893" s="411">
        <v>41.15</v>
      </c>
      <c r="E1893" s="418">
        <f t="shared" si="203"/>
        <v>9.3205788570025483E-3</v>
      </c>
      <c r="F1893" s="411"/>
      <c r="G1893" s="388"/>
      <c r="I1893" s="388"/>
    </row>
    <row r="1894" spans="1:9">
      <c r="A1894" s="408">
        <v>41792</v>
      </c>
      <c r="B1894" s="411">
        <v>1924.97</v>
      </c>
      <c r="C1894" s="418">
        <f t="shared" si="202"/>
        <v>7.2781338864724709E-4</v>
      </c>
      <c r="D1894" s="411">
        <v>40.770000000000003</v>
      </c>
      <c r="E1894" s="418">
        <f t="shared" si="203"/>
        <v>2.1548484089200848E-2</v>
      </c>
      <c r="F1894" s="411"/>
      <c r="G1894" s="388"/>
      <c r="I1894" s="388"/>
    </row>
    <row r="1895" spans="1:9">
      <c r="A1895" s="408">
        <v>41789</v>
      </c>
      <c r="B1895" s="411">
        <v>1923.57</v>
      </c>
      <c r="C1895" s="418">
        <f t="shared" si="202"/>
        <v>1.8437211918562735E-3</v>
      </c>
      <c r="D1895" s="411">
        <v>39.909999999999997</v>
      </c>
      <c r="E1895" s="418">
        <f t="shared" si="203"/>
        <v>-5.7299451918286781E-3</v>
      </c>
      <c r="F1895" s="411"/>
      <c r="G1895" s="388"/>
      <c r="I1895" s="388"/>
    </row>
    <row r="1896" spans="1:9">
      <c r="A1896" s="408">
        <v>41788</v>
      </c>
      <c r="B1896" s="411">
        <v>1920.03</v>
      </c>
      <c r="C1896" s="418">
        <f t="shared" si="202"/>
        <v>5.367110347788806E-3</v>
      </c>
      <c r="D1896" s="411">
        <v>40.14</v>
      </c>
      <c r="E1896" s="418">
        <f t="shared" si="203"/>
        <v>-3.2282095852993464E-3</v>
      </c>
      <c r="F1896" s="411"/>
      <c r="G1896" s="388"/>
      <c r="I1896" s="388"/>
    </row>
    <row r="1897" spans="1:9">
      <c r="A1897" s="408">
        <v>41787</v>
      </c>
      <c r="B1897" s="411">
        <v>1909.78</v>
      </c>
      <c r="C1897" s="418">
        <f t="shared" si="202"/>
        <v>-1.1140691768964928E-3</v>
      </c>
      <c r="D1897" s="411">
        <v>40.270000000000003</v>
      </c>
      <c r="E1897" s="418">
        <f t="shared" si="203"/>
        <v>2.0527116066903162E-2</v>
      </c>
      <c r="F1897" s="411"/>
      <c r="G1897" s="388"/>
      <c r="I1897" s="388"/>
    </row>
    <row r="1898" spans="1:9">
      <c r="A1898" s="408">
        <v>41786</v>
      </c>
      <c r="B1898" s="411">
        <v>1911.91</v>
      </c>
      <c r="C1898" s="418">
        <f t="shared" si="202"/>
        <v>5.9878034022089466E-3</v>
      </c>
      <c r="D1898" s="411">
        <v>39.46</v>
      </c>
      <c r="E1898" s="418">
        <f t="shared" si="203"/>
        <v>7.6608784473954916E-3</v>
      </c>
      <c r="F1898" s="411"/>
      <c r="G1898" s="388"/>
      <c r="I1898" s="388"/>
    </row>
    <row r="1899" spans="1:9">
      <c r="A1899" s="408">
        <v>41782</v>
      </c>
      <c r="B1899" s="411">
        <v>1900.53</v>
      </c>
      <c r="C1899" s="418">
        <f t="shared" si="202"/>
        <v>4.2483711935068502E-3</v>
      </c>
      <c r="D1899" s="411">
        <v>39.159999999999997</v>
      </c>
      <c r="E1899" s="418">
        <f t="shared" si="203"/>
        <v>1.3719906808179916E-2</v>
      </c>
      <c r="F1899" s="411"/>
      <c r="G1899" s="388"/>
      <c r="I1899" s="388"/>
    </row>
    <row r="1900" spans="1:9">
      <c r="A1900" s="408">
        <v>41781</v>
      </c>
      <c r="B1900" s="411">
        <v>1892.49</v>
      </c>
      <c r="C1900" s="418">
        <f t="shared" si="202"/>
        <v>2.362250599831528E-3</v>
      </c>
      <c r="D1900" s="411">
        <v>38.630000000000003</v>
      </c>
      <c r="E1900" s="418">
        <f t="shared" si="203"/>
        <v>7.5639019300990373E-3</v>
      </c>
      <c r="F1900" s="411"/>
      <c r="G1900" s="388"/>
      <c r="I1900" s="388"/>
    </row>
    <row r="1901" spans="1:9">
      <c r="A1901" s="408">
        <v>41780</v>
      </c>
      <c r="B1901" s="411">
        <v>1888.03</v>
      </c>
      <c r="C1901" s="418">
        <f t="shared" si="202"/>
        <v>8.1160596530385209E-3</v>
      </c>
      <c r="D1901" s="411">
        <v>38.340000000000003</v>
      </c>
      <c r="E1901" s="418">
        <f t="shared" si="203"/>
        <v>1.3481363996828089E-2</v>
      </c>
      <c r="F1901" s="411"/>
      <c r="G1901" s="388"/>
      <c r="I1901" s="388"/>
    </row>
    <row r="1902" spans="1:9">
      <c r="A1902" s="408">
        <v>41779</v>
      </c>
      <c r="B1902" s="411">
        <v>1872.83</v>
      </c>
      <c r="C1902" s="418">
        <f t="shared" si="202"/>
        <v>-6.4983979459757313E-3</v>
      </c>
      <c r="D1902" s="411">
        <v>37.83</v>
      </c>
      <c r="E1902" s="418">
        <f t="shared" si="203"/>
        <v>-1.4587132065642106E-2</v>
      </c>
      <c r="F1902" s="411"/>
      <c r="G1902" s="388"/>
      <c r="I1902" s="388"/>
    </row>
    <row r="1903" spans="1:9">
      <c r="A1903" s="408">
        <v>41778</v>
      </c>
      <c r="B1903" s="411">
        <v>1885.08</v>
      </c>
      <c r="C1903" s="418">
        <f t="shared" si="202"/>
        <v>3.844802061921504E-3</v>
      </c>
      <c r="D1903" s="411">
        <v>38.39</v>
      </c>
      <c r="E1903" s="418">
        <f t="shared" si="203"/>
        <v>1.3998943475964198E-2</v>
      </c>
      <c r="F1903" s="411"/>
      <c r="G1903" s="388"/>
      <c r="I1903" s="388"/>
    </row>
    <row r="1904" spans="1:9">
      <c r="A1904" s="408">
        <v>41775</v>
      </c>
      <c r="B1904" s="411">
        <v>1877.86</v>
      </c>
      <c r="C1904" s="418">
        <f t="shared" si="202"/>
        <v>3.7469599379960083E-3</v>
      </c>
      <c r="D1904" s="411">
        <v>37.86</v>
      </c>
      <c r="E1904" s="418">
        <f t="shared" si="203"/>
        <v>-7.0810385523211172E-3</v>
      </c>
      <c r="F1904" s="411"/>
      <c r="G1904" s="388"/>
      <c r="I1904" s="388"/>
    </row>
    <row r="1905" spans="1:9">
      <c r="A1905" s="408">
        <v>41774</v>
      </c>
      <c r="B1905" s="411">
        <v>1870.85</v>
      </c>
      <c r="C1905" s="418">
        <f t="shared" si="202"/>
        <v>-9.3617787379602913E-3</v>
      </c>
      <c r="D1905" s="411">
        <v>38.130000000000003</v>
      </c>
      <c r="E1905" s="418">
        <f t="shared" si="203"/>
        <v>-8.0645161290321399E-3</v>
      </c>
      <c r="F1905" s="411"/>
      <c r="G1905" s="388"/>
      <c r="I1905" s="388"/>
    </row>
    <row r="1906" spans="1:9">
      <c r="A1906" s="408">
        <v>41773</v>
      </c>
      <c r="B1906" s="411">
        <v>1888.53</v>
      </c>
      <c r="C1906" s="418">
        <f t="shared" si="202"/>
        <v>-4.7010461408732995E-3</v>
      </c>
      <c r="D1906" s="411">
        <v>38.44</v>
      </c>
      <c r="E1906" s="418">
        <f t="shared" si="203"/>
        <v>-8.7674058793193455E-3</v>
      </c>
      <c r="F1906" s="411"/>
      <c r="G1906" s="388"/>
      <c r="I1906" s="388"/>
    </row>
    <row r="1907" spans="1:9">
      <c r="A1907" s="408">
        <v>41772</v>
      </c>
      <c r="B1907" s="411">
        <v>1897.45</v>
      </c>
      <c r="C1907" s="418">
        <f t="shared" si="202"/>
        <v>4.2179632509942167E-4</v>
      </c>
      <c r="D1907" s="411">
        <v>38.78</v>
      </c>
      <c r="E1907" s="418">
        <f t="shared" si="203"/>
        <v>3.363518758085382E-3</v>
      </c>
      <c r="F1907" s="411"/>
      <c r="G1907" s="388"/>
      <c r="I1907" s="388"/>
    </row>
    <row r="1908" spans="1:9">
      <c r="A1908" s="408">
        <v>41771</v>
      </c>
      <c r="B1908" s="411">
        <v>1896.65</v>
      </c>
      <c r="C1908" s="418">
        <f t="shared" si="202"/>
        <v>9.6727141092798341E-3</v>
      </c>
      <c r="D1908" s="411">
        <v>38.65</v>
      </c>
      <c r="E1908" s="418">
        <f t="shared" si="203"/>
        <v>2.6015396867533847E-2</v>
      </c>
      <c r="F1908" s="411"/>
      <c r="G1908" s="388"/>
      <c r="I1908" s="388"/>
    </row>
    <row r="1909" spans="1:9">
      <c r="A1909" s="408">
        <v>41768</v>
      </c>
      <c r="B1909" s="411">
        <v>1878.48</v>
      </c>
      <c r="C1909" s="418">
        <f t="shared" si="202"/>
        <v>1.5194894515442314E-3</v>
      </c>
      <c r="D1909" s="411">
        <v>37.67</v>
      </c>
      <c r="E1909" s="418">
        <f t="shared" si="203"/>
        <v>-7.9575596816983118E-4</v>
      </c>
      <c r="F1909" s="411"/>
      <c r="G1909" s="388"/>
      <c r="I1909" s="388"/>
    </row>
    <row r="1910" spans="1:9">
      <c r="A1910" s="408">
        <v>41767</v>
      </c>
      <c r="B1910" s="411">
        <v>1875.63</v>
      </c>
      <c r="C1910" s="418">
        <f t="shared" si="202"/>
        <v>-1.3736483140862621E-3</v>
      </c>
      <c r="D1910" s="411">
        <v>37.700000000000003</v>
      </c>
      <c r="E1910" s="418">
        <f t="shared" si="203"/>
        <v>-1.4121338912133852E-2</v>
      </c>
      <c r="F1910" s="411"/>
      <c r="G1910" s="388"/>
      <c r="I1910" s="388"/>
    </row>
    <row r="1911" spans="1:9">
      <c r="A1911" s="408">
        <v>41766</v>
      </c>
      <c r="B1911" s="411">
        <v>1878.21</v>
      </c>
      <c r="C1911" s="418">
        <f t="shared" si="202"/>
        <v>5.6164735613475347E-3</v>
      </c>
      <c r="D1911" s="411">
        <v>38.24</v>
      </c>
      <c r="E1911" s="418">
        <f t="shared" si="203"/>
        <v>1.4592730167153123E-2</v>
      </c>
      <c r="F1911" s="411"/>
      <c r="G1911" s="388"/>
      <c r="I1911" s="388"/>
    </row>
    <row r="1912" spans="1:9">
      <c r="A1912" s="408">
        <v>41765</v>
      </c>
      <c r="B1912" s="411">
        <v>1867.72</v>
      </c>
      <c r="C1912" s="418">
        <f t="shared" si="202"/>
        <v>-8.9883586429382323E-3</v>
      </c>
      <c r="D1912" s="411">
        <v>37.69</v>
      </c>
      <c r="E1912" s="418">
        <f t="shared" si="203"/>
        <v>3.7283621837549408E-3</v>
      </c>
      <c r="F1912" s="411"/>
      <c r="G1912" s="388"/>
      <c r="I1912" s="388"/>
    </row>
    <row r="1913" spans="1:9">
      <c r="A1913" s="408">
        <v>41764</v>
      </c>
      <c r="B1913" s="411">
        <v>1884.66</v>
      </c>
      <c r="C1913" s="418">
        <f t="shared" si="202"/>
        <v>1.8712057582104258E-3</v>
      </c>
      <c r="D1913" s="411">
        <v>37.549999999999997</v>
      </c>
      <c r="E1913" s="418">
        <f t="shared" si="203"/>
        <v>8.5952189094815612E-3</v>
      </c>
      <c r="F1913" s="411"/>
      <c r="G1913" s="388"/>
      <c r="I1913" s="388"/>
    </row>
    <row r="1914" spans="1:9">
      <c r="A1914" s="408">
        <v>41761</v>
      </c>
      <c r="B1914" s="411">
        <v>1881.14</v>
      </c>
      <c r="C1914" s="418">
        <f t="shared" si="202"/>
        <v>-1.3484243608256063E-3</v>
      </c>
      <c r="D1914" s="411">
        <v>37.229999999999997</v>
      </c>
      <c r="E1914" s="418">
        <f t="shared" si="203"/>
        <v>2.9633620689655249E-3</v>
      </c>
      <c r="F1914" s="411"/>
      <c r="G1914" s="388"/>
      <c r="I1914" s="388"/>
    </row>
    <row r="1915" spans="1:9">
      <c r="A1915" s="408">
        <v>41760</v>
      </c>
      <c r="B1915" s="411">
        <v>1883.68</v>
      </c>
      <c r="C1915" s="418">
        <f t="shared" si="202"/>
        <v>-1.4331590541150074E-4</v>
      </c>
      <c r="D1915" s="411">
        <v>37.119999999999997</v>
      </c>
      <c r="E1915" s="418">
        <f t="shared" si="203"/>
        <v>7.8740157480314821E-3</v>
      </c>
      <c r="F1915" s="411"/>
      <c r="G1915" s="388"/>
      <c r="I1915" s="388"/>
    </row>
    <row r="1916" spans="1:9">
      <c r="A1916" s="408">
        <v>41759</v>
      </c>
      <c r="B1916" s="411">
        <v>1883.95</v>
      </c>
      <c r="C1916" s="418">
        <f t="shared" si="202"/>
        <v>2.9920195066894806E-3</v>
      </c>
      <c r="D1916" s="411">
        <v>36.83</v>
      </c>
      <c r="E1916" s="418">
        <f t="shared" si="203"/>
        <v>2.4496461622209864E-3</v>
      </c>
      <c r="F1916" s="411"/>
      <c r="G1916" s="388"/>
      <c r="I1916" s="388"/>
    </row>
    <row r="1917" spans="1:9">
      <c r="A1917" s="408">
        <v>41758</v>
      </c>
      <c r="B1917" s="411">
        <v>1878.33</v>
      </c>
      <c r="C1917" s="418">
        <f t="shared" si="202"/>
        <v>4.7608094445898974E-3</v>
      </c>
      <c r="D1917" s="411">
        <v>36.74</v>
      </c>
      <c r="E1917" s="418">
        <f t="shared" si="203"/>
        <v>2.5111607142857206E-2</v>
      </c>
      <c r="F1917" s="411"/>
      <c r="G1917" s="388"/>
      <c r="I1917" s="388"/>
    </row>
    <row r="1918" spans="1:9">
      <c r="A1918" s="408">
        <v>41757</v>
      </c>
      <c r="B1918" s="411">
        <v>1869.43</v>
      </c>
      <c r="C1918" s="418">
        <f t="shared" si="202"/>
        <v>3.2360201781689302E-3</v>
      </c>
      <c r="D1918" s="411">
        <v>35.840000000000003</v>
      </c>
      <c r="E1918" s="418">
        <f t="shared" si="203"/>
        <v>-6.3764901580259936E-3</v>
      </c>
      <c r="F1918" s="411"/>
      <c r="G1918" s="388"/>
      <c r="I1918" s="388"/>
    </row>
    <row r="1919" spans="1:9">
      <c r="A1919" s="408">
        <v>41754</v>
      </c>
      <c r="B1919" s="411">
        <v>1863.4</v>
      </c>
      <c r="C1919" s="418">
        <f t="shared" si="202"/>
        <v>-8.0964117086568255E-3</v>
      </c>
      <c r="D1919" s="411">
        <v>36.07</v>
      </c>
      <c r="E1919" s="418">
        <f t="shared" si="203"/>
        <v>-1.7968962700789404E-2</v>
      </c>
      <c r="F1919" s="411"/>
      <c r="G1919" s="388"/>
      <c r="I1919" s="388"/>
    </row>
    <row r="1920" spans="1:9">
      <c r="A1920" s="408">
        <v>41753</v>
      </c>
      <c r="B1920" s="411">
        <v>1878.61</v>
      </c>
      <c r="C1920" s="418">
        <f t="shared" si="202"/>
        <v>1.7169762022830604E-3</v>
      </c>
      <c r="D1920" s="411">
        <v>36.729999999999997</v>
      </c>
      <c r="E1920" s="418">
        <f t="shared" si="203"/>
        <v>-9.7061202480455133E-3</v>
      </c>
      <c r="F1920" s="411"/>
      <c r="G1920" s="388"/>
      <c r="I1920" s="388"/>
    </row>
    <row r="1921" spans="1:9">
      <c r="A1921" s="408">
        <v>41752</v>
      </c>
      <c r="B1921" s="411">
        <v>1875.39</v>
      </c>
      <c r="C1921" s="418">
        <f t="shared" si="202"/>
        <v>-2.2132957356812977E-3</v>
      </c>
      <c r="D1921" s="411">
        <v>37.090000000000003</v>
      </c>
      <c r="E1921" s="418">
        <f t="shared" si="203"/>
        <v>6.1230329041487952E-2</v>
      </c>
      <c r="F1921" s="411"/>
      <c r="G1921" s="388"/>
      <c r="I1921" s="388"/>
    </row>
    <row r="1922" spans="1:9">
      <c r="A1922" s="408">
        <v>41751</v>
      </c>
      <c r="B1922" s="411">
        <v>1879.55</v>
      </c>
      <c r="C1922" s="418">
        <f t="shared" si="202"/>
        <v>4.0921207976962748E-3</v>
      </c>
      <c r="D1922" s="411">
        <v>34.950000000000003</v>
      </c>
      <c r="E1922" s="418">
        <f t="shared" si="203"/>
        <v>2.9758397171479212E-2</v>
      </c>
      <c r="F1922" s="411"/>
      <c r="G1922" s="388"/>
      <c r="I1922" s="388"/>
    </row>
    <row r="1923" spans="1:9">
      <c r="A1923" s="408">
        <v>41750</v>
      </c>
      <c r="B1923" s="411">
        <v>1871.89</v>
      </c>
      <c r="C1923" s="418">
        <f t="shared" si="202"/>
        <v>3.7751025551653328E-3</v>
      </c>
      <c r="D1923" s="411">
        <v>33.94</v>
      </c>
      <c r="E1923" s="418">
        <f t="shared" si="203"/>
        <v>5.3317535545023276E-3</v>
      </c>
      <c r="F1923" s="411"/>
      <c r="G1923" s="388"/>
      <c r="I1923" s="388"/>
    </row>
    <row r="1924" spans="1:9">
      <c r="A1924" s="408">
        <v>41746</v>
      </c>
      <c r="B1924" s="411">
        <v>1864.85</v>
      </c>
      <c r="C1924" s="418">
        <f t="shared" si="202"/>
        <v>1.3638975251166752E-3</v>
      </c>
      <c r="D1924" s="411">
        <v>33.76</v>
      </c>
      <c r="E1924" s="418">
        <f t="shared" si="203"/>
        <v>4.1641879833431705E-3</v>
      </c>
      <c r="F1924" s="411"/>
      <c r="G1924" s="388"/>
      <c r="I1924" s="388"/>
    </row>
    <row r="1925" spans="1:9">
      <c r="A1925" s="408">
        <v>41745</v>
      </c>
      <c r="B1925" s="411">
        <v>1862.31</v>
      </c>
      <c r="C1925" s="418">
        <f t="shared" si="202"/>
        <v>1.048844805695115E-2</v>
      </c>
      <c r="D1925" s="411">
        <v>33.619999999999997</v>
      </c>
      <c r="E1925" s="418">
        <f t="shared" si="203"/>
        <v>5.3588216859918436E-2</v>
      </c>
      <c r="F1925" s="411"/>
      <c r="G1925" s="388"/>
      <c r="I1925" s="388"/>
    </row>
    <row r="1926" spans="1:9">
      <c r="A1926" s="408">
        <v>41744</v>
      </c>
      <c r="B1926" s="411">
        <v>1842.98</v>
      </c>
      <c r="C1926" s="418">
        <f t="shared" si="202"/>
        <v>6.7573104047284893E-3</v>
      </c>
      <c r="D1926" s="411">
        <v>31.91</v>
      </c>
      <c r="E1926" s="418">
        <f t="shared" si="203"/>
        <v>5.6728647967223544E-3</v>
      </c>
      <c r="F1926" s="411"/>
      <c r="G1926" s="388"/>
      <c r="I1926" s="388"/>
    </row>
    <row r="1927" spans="1:9">
      <c r="A1927" s="408">
        <v>41743</v>
      </c>
      <c r="B1927" s="411">
        <v>1830.61</v>
      </c>
      <c r="C1927" s="418">
        <f t="shared" si="202"/>
        <v>8.2172617572382478E-3</v>
      </c>
      <c r="D1927" s="411">
        <v>31.73</v>
      </c>
      <c r="E1927" s="418">
        <f t="shared" si="203"/>
        <v>-2.4292742927429334E-2</v>
      </c>
      <c r="F1927" s="411"/>
      <c r="G1927" s="388"/>
      <c r="I1927" s="388"/>
    </row>
    <row r="1928" spans="1:9">
      <c r="A1928" s="408">
        <v>41740</v>
      </c>
      <c r="B1928" s="411">
        <v>1815.69</v>
      </c>
      <c r="C1928" s="418">
        <f t="shared" ref="C1928:C1991" si="204">B1928/B1929-1</f>
        <v>-9.4867654439522164E-3</v>
      </c>
      <c r="D1928" s="411">
        <v>32.520000000000003</v>
      </c>
      <c r="E1928" s="418">
        <f t="shared" ref="E1928:E1991" si="205">D1928/D1929-1</f>
        <v>-1.4843986670705744E-2</v>
      </c>
      <c r="F1928" s="411"/>
      <c r="G1928" s="388"/>
      <c r="I1928" s="388"/>
    </row>
    <row r="1929" spans="1:9">
      <c r="A1929" s="408">
        <v>41739</v>
      </c>
      <c r="B1929" s="411">
        <v>1833.08</v>
      </c>
      <c r="C1929" s="418">
        <f t="shared" si="204"/>
        <v>-2.0884743988291765E-2</v>
      </c>
      <c r="D1929" s="411">
        <v>33.01</v>
      </c>
      <c r="E1929" s="418">
        <f t="shared" si="205"/>
        <v>-4.9524906420961634E-2</v>
      </c>
      <c r="F1929" s="411"/>
      <c r="G1929" s="388"/>
      <c r="I1929" s="388"/>
    </row>
    <row r="1930" spans="1:9">
      <c r="A1930" s="408">
        <v>41738</v>
      </c>
      <c r="B1930" s="411">
        <v>1872.18</v>
      </c>
      <c r="C1930" s="418">
        <f t="shared" si="204"/>
        <v>1.0918162379317087E-2</v>
      </c>
      <c r="D1930" s="411">
        <v>34.729999999999997</v>
      </c>
      <c r="E1930" s="418">
        <f t="shared" si="205"/>
        <v>3.6407042673828771E-2</v>
      </c>
      <c r="F1930" s="411"/>
      <c r="G1930" s="388"/>
      <c r="I1930" s="388"/>
    </row>
    <row r="1931" spans="1:9">
      <c r="A1931" s="408">
        <v>41737</v>
      </c>
      <c r="B1931" s="411">
        <v>1851.96</v>
      </c>
      <c r="C1931" s="418">
        <f t="shared" si="204"/>
        <v>3.7505961930364151E-3</v>
      </c>
      <c r="D1931" s="411">
        <v>33.51</v>
      </c>
      <c r="E1931" s="418">
        <f t="shared" si="205"/>
        <v>-1.4121800529567685E-2</v>
      </c>
      <c r="F1931" s="411"/>
      <c r="G1931" s="388"/>
      <c r="I1931" s="388"/>
    </row>
    <row r="1932" spans="1:9">
      <c r="A1932" s="408">
        <v>41736</v>
      </c>
      <c r="B1932" s="411">
        <v>1845.04</v>
      </c>
      <c r="C1932" s="418">
        <f t="shared" si="204"/>
        <v>-1.0750151467221358E-2</v>
      </c>
      <c r="D1932" s="411">
        <v>33.99</v>
      </c>
      <c r="E1932" s="418">
        <f t="shared" si="205"/>
        <v>-1.7913897717422689E-2</v>
      </c>
      <c r="F1932" s="411"/>
      <c r="G1932" s="388"/>
      <c r="I1932" s="388"/>
    </row>
    <row r="1933" spans="1:9">
      <c r="A1933" s="408">
        <v>41733</v>
      </c>
      <c r="B1933" s="411">
        <v>1865.09</v>
      </c>
      <c r="C1933" s="418">
        <f t="shared" si="204"/>
        <v>-1.2537259698110481E-2</v>
      </c>
      <c r="D1933" s="411">
        <v>34.61</v>
      </c>
      <c r="E1933" s="418">
        <f t="shared" si="205"/>
        <v>-2.1487135990952755E-2</v>
      </c>
      <c r="F1933" s="411"/>
      <c r="G1933" s="388"/>
      <c r="I1933" s="388"/>
    </row>
    <row r="1934" spans="1:9">
      <c r="A1934" s="408">
        <v>41732</v>
      </c>
      <c r="B1934" s="411">
        <v>1888.77</v>
      </c>
      <c r="C1934" s="418">
        <f t="shared" si="204"/>
        <v>-1.1264477233063896E-3</v>
      </c>
      <c r="D1934" s="411">
        <v>35.369999999999997</v>
      </c>
      <c r="E1934" s="418">
        <f t="shared" si="205"/>
        <v>-9.2436974789917858E-3</v>
      </c>
      <c r="F1934" s="411"/>
      <c r="G1934" s="388"/>
      <c r="I1934" s="388"/>
    </row>
    <row r="1935" spans="1:9">
      <c r="A1935" s="408">
        <v>41731</v>
      </c>
      <c r="B1935" s="411">
        <v>1890.9</v>
      </c>
      <c r="C1935" s="418">
        <f t="shared" si="204"/>
        <v>2.8533242818957749E-3</v>
      </c>
      <c r="D1935" s="411">
        <v>35.700000000000003</v>
      </c>
      <c r="E1935" s="418">
        <f t="shared" si="205"/>
        <v>-1.3986013986013734E-3</v>
      </c>
      <c r="F1935" s="411"/>
      <c r="G1935" s="388"/>
      <c r="I1935" s="388"/>
    </row>
    <row r="1936" spans="1:9">
      <c r="A1936" s="408">
        <v>41730</v>
      </c>
      <c r="B1936" s="411">
        <v>1885.52</v>
      </c>
      <c r="C1936" s="418">
        <f t="shared" si="204"/>
        <v>7.0393197816636111E-3</v>
      </c>
      <c r="D1936" s="411">
        <v>35.75</v>
      </c>
      <c r="E1936" s="418">
        <f t="shared" si="205"/>
        <v>3.1746031746031855E-2</v>
      </c>
      <c r="F1936" s="411"/>
      <c r="G1936" s="388"/>
      <c r="I1936" s="388"/>
    </row>
    <row r="1937" spans="1:9">
      <c r="A1937" s="408">
        <v>41729</v>
      </c>
      <c r="B1937" s="411">
        <v>1872.34</v>
      </c>
      <c r="C1937" s="418">
        <f t="shared" si="204"/>
        <v>7.9241179573863452E-3</v>
      </c>
      <c r="D1937" s="411">
        <v>34.65</v>
      </c>
      <c r="E1937" s="418">
        <f t="shared" si="205"/>
        <v>3.3402922755741082E-2</v>
      </c>
      <c r="F1937" s="411"/>
      <c r="G1937" s="388"/>
      <c r="I1937" s="388"/>
    </row>
    <row r="1938" spans="1:9">
      <c r="A1938" s="408">
        <v>41726</v>
      </c>
      <c r="B1938" s="411">
        <v>1857.62</v>
      </c>
      <c r="C1938" s="418">
        <f t="shared" si="204"/>
        <v>4.6402457491454552E-3</v>
      </c>
      <c r="D1938" s="411">
        <v>33.53</v>
      </c>
      <c r="E1938" s="418">
        <f t="shared" si="205"/>
        <v>-1.7579841781424022E-2</v>
      </c>
      <c r="F1938" s="411"/>
      <c r="G1938" s="388"/>
      <c r="I1938" s="388"/>
    </row>
    <row r="1939" spans="1:9">
      <c r="A1939" s="408">
        <v>41725</v>
      </c>
      <c r="B1939" s="411">
        <v>1849.04</v>
      </c>
      <c r="C1939" s="418">
        <f t="shared" si="204"/>
        <v>-1.9000734119272167E-3</v>
      </c>
      <c r="D1939" s="411">
        <v>34.130000000000003</v>
      </c>
      <c r="E1939" s="418">
        <f t="shared" si="205"/>
        <v>5.0058892815076916E-3</v>
      </c>
      <c r="F1939" s="411"/>
      <c r="G1939" s="388"/>
      <c r="I1939" s="388"/>
    </row>
    <row r="1940" spans="1:9">
      <c r="A1940" s="408">
        <v>41724</v>
      </c>
      <c r="B1940" s="411">
        <v>1852.56</v>
      </c>
      <c r="C1940" s="418">
        <f t="shared" si="204"/>
        <v>-7.0003537697923557E-3</v>
      </c>
      <c r="D1940" s="411">
        <v>33.96</v>
      </c>
      <c r="E1940" s="418">
        <f t="shared" si="205"/>
        <v>-1.3650885855358674E-2</v>
      </c>
      <c r="F1940" s="411"/>
      <c r="G1940" s="388"/>
      <c r="I1940" s="388"/>
    </row>
    <row r="1941" spans="1:9">
      <c r="A1941" s="408">
        <v>41723</v>
      </c>
      <c r="B1941" s="411">
        <v>1865.62</v>
      </c>
      <c r="C1941" s="418">
        <f t="shared" si="204"/>
        <v>4.403910758893792E-3</v>
      </c>
      <c r="D1941" s="411">
        <v>34.43</v>
      </c>
      <c r="E1941" s="418">
        <f t="shared" si="205"/>
        <v>3.3313325330132093E-2</v>
      </c>
      <c r="F1941" s="411"/>
      <c r="G1941" s="388"/>
      <c r="I1941" s="388"/>
    </row>
    <row r="1942" spans="1:9">
      <c r="A1942" s="408">
        <v>41722</v>
      </c>
      <c r="B1942" s="411">
        <v>1857.44</v>
      </c>
      <c r="C1942" s="418">
        <f t="shared" si="204"/>
        <v>-4.8646679381950664E-3</v>
      </c>
      <c r="D1942" s="411">
        <v>33.32</v>
      </c>
      <c r="E1942" s="418">
        <f t="shared" si="205"/>
        <v>1.8026275588145513E-2</v>
      </c>
      <c r="F1942" s="411"/>
      <c r="G1942" s="388"/>
      <c r="I1942" s="388"/>
    </row>
    <row r="1943" spans="1:9">
      <c r="A1943" s="408">
        <v>41719</v>
      </c>
      <c r="B1943" s="411">
        <v>1866.52</v>
      </c>
      <c r="C1943" s="418">
        <f t="shared" si="204"/>
        <v>-2.9326766416846173E-3</v>
      </c>
      <c r="D1943" s="411">
        <v>32.729999999999997</v>
      </c>
      <c r="E1943" s="418">
        <f t="shared" si="205"/>
        <v>-2.7051129607610136E-2</v>
      </c>
      <c r="F1943" s="411"/>
      <c r="G1943" s="388"/>
      <c r="I1943" s="388"/>
    </row>
    <row r="1944" spans="1:9">
      <c r="A1944" s="408">
        <v>41718</v>
      </c>
      <c r="B1944" s="411">
        <v>1872.01</v>
      </c>
      <c r="C1944" s="418">
        <f t="shared" si="204"/>
        <v>6.0405101114056059E-3</v>
      </c>
      <c r="D1944" s="411">
        <v>33.64</v>
      </c>
      <c r="E1944" s="418">
        <f t="shared" si="205"/>
        <v>-2.6682478505780649E-3</v>
      </c>
      <c r="F1944" s="411"/>
      <c r="G1944" s="388"/>
      <c r="I1944" s="388"/>
    </row>
    <row r="1945" spans="1:9">
      <c r="A1945" s="408">
        <v>41717</v>
      </c>
      <c r="B1945" s="411">
        <v>1860.77</v>
      </c>
      <c r="C1945" s="418">
        <f t="shared" si="204"/>
        <v>-6.131659767659281E-3</v>
      </c>
      <c r="D1945" s="411">
        <v>33.729999999999997</v>
      </c>
      <c r="E1945" s="418">
        <f t="shared" si="205"/>
        <v>-9.9794540651600983E-3</v>
      </c>
      <c r="F1945" s="411"/>
      <c r="G1945" s="388"/>
      <c r="I1945" s="388"/>
    </row>
    <row r="1946" spans="1:9">
      <c r="A1946" s="408">
        <v>41716</v>
      </c>
      <c r="B1946" s="411">
        <v>1872.25</v>
      </c>
      <c r="C1946" s="418">
        <f t="shared" si="204"/>
        <v>7.219595121662481E-3</v>
      </c>
      <c r="D1946" s="411">
        <v>34.07</v>
      </c>
      <c r="E1946" s="418">
        <f t="shared" si="205"/>
        <v>-3.8011695906433607E-3</v>
      </c>
      <c r="F1946" s="411"/>
      <c r="G1946" s="388"/>
      <c r="I1946" s="388"/>
    </row>
    <row r="1947" spans="1:9">
      <c r="A1947" s="408">
        <v>41715</v>
      </c>
      <c r="B1947" s="411">
        <v>1858.83</v>
      </c>
      <c r="C1947" s="418">
        <f t="shared" si="204"/>
        <v>9.6136611754735757E-3</v>
      </c>
      <c r="D1947" s="411">
        <v>34.200000000000003</v>
      </c>
      <c r="E1947" s="418">
        <f t="shared" si="205"/>
        <v>2.3446658851116187E-3</v>
      </c>
      <c r="F1947" s="411"/>
      <c r="G1947" s="388"/>
      <c r="I1947" s="388"/>
    </row>
    <row r="1948" spans="1:9">
      <c r="A1948" s="408">
        <v>41712</v>
      </c>
      <c r="B1948" s="411">
        <v>1841.13</v>
      </c>
      <c r="C1948" s="418">
        <f t="shared" si="204"/>
        <v>-2.8217988019539897E-3</v>
      </c>
      <c r="D1948" s="411">
        <v>34.119999999999997</v>
      </c>
      <c r="E1948" s="418">
        <f t="shared" si="205"/>
        <v>1.6081000595592698E-2</v>
      </c>
      <c r="F1948" s="411"/>
      <c r="G1948" s="388"/>
      <c r="I1948" s="388"/>
    </row>
    <row r="1949" spans="1:9">
      <c r="A1949" s="408">
        <v>41711</v>
      </c>
      <c r="B1949" s="411">
        <v>1846.34</v>
      </c>
      <c r="C1949" s="418">
        <f t="shared" si="204"/>
        <v>-1.1701102665667595E-2</v>
      </c>
      <c r="D1949" s="411">
        <v>33.58</v>
      </c>
      <c r="E1949" s="418">
        <f t="shared" si="205"/>
        <v>-2.6666666666666727E-2</v>
      </c>
      <c r="F1949" s="411"/>
      <c r="G1949" s="388"/>
      <c r="I1949" s="388"/>
    </row>
    <row r="1950" spans="1:9">
      <c r="A1950" s="408">
        <v>41710</v>
      </c>
      <c r="B1950" s="411">
        <v>1868.2</v>
      </c>
      <c r="C1950" s="418">
        <f t="shared" si="204"/>
        <v>3.0519963804387373E-4</v>
      </c>
      <c r="D1950" s="411">
        <v>34.5</v>
      </c>
      <c r="E1950" s="418">
        <f t="shared" si="205"/>
        <v>-1.2027491408934776E-2</v>
      </c>
      <c r="F1950" s="411"/>
      <c r="G1950" s="388"/>
      <c r="I1950" s="388"/>
    </row>
    <row r="1951" spans="1:9">
      <c r="A1951" s="408">
        <v>41709</v>
      </c>
      <c r="B1951" s="411">
        <v>1867.63</v>
      </c>
      <c r="C1951" s="418">
        <f t="shared" si="204"/>
        <v>-5.0821182950930854E-3</v>
      </c>
      <c r="D1951" s="411">
        <v>34.92</v>
      </c>
      <c r="E1951" s="418">
        <f t="shared" si="205"/>
        <v>-7.1083309638896308E-3</v>
      </c>
      <c r="F1951" s="411"/>
      <c r="G1951" s="388"/>
      <c r="I1951" s="388"/>
    </row>
    <row r="1952" spans="1:9">
      <c r="A1952" s="408">
        <v>41708</v>
      </c>
      <c r="B1952" s="411">
        <v>1877.17</v>
      </c>
      <c r="C1952" s="418">
        <f t="shared" si="204"/>
        <v>-4.6324891908577914E-4</v>
      </c>
      <c r="D1952" s="411">
        <v>35.17</v>
      </c>
      <c r="E1952" s="418">
        <f t="shared" si="205"/>
        <v>-5.3733031674207954E-3</v>
      </c>
      <c r="F1952" s="411"/>
      <c r="G1952" s="388"/>
      <c r="I1952" s="388"/>
    </row>
    <row r="1953" spans="1:9">
      <c r="A1953" s="408">
        <v>41705</v>
      </c>
      <c r="B1953" s="411">
        <v>1878.04</v>
      </c>
      <c r="C1953" s="418">
        <f t="shared" si="204"/>
        <v>5.380841009468007E-4</v>
      </c>
      <c r="D1953" s="411">
        <v>35.36</v>
      </c>
      <c r="E1953" s="418">
        <f t="shared" si="205"/>
        <v>-2.8272547356511524E-4</v>
      </c>
      <c r="F1953" s="411"/>
      <c r="G1953" s="388"/>
      <c r="I1953" s="388"/>
    </row>
    <row r="1954" spans="1:9">
      <c r="A1954" s="408">
        <v>41704</v>
      </c>
      <c r="B1954" s="411">
        <v>1877.03</v>
      </c>
      <c r="C1954" s="418">
        <f t="shared" si="204"/>
        <v>1.7184239597398676E-3</v>
      </c>
      <c r="D1954" s="411">
        <v>35.369999999999997</v>
      </c>
      <c r="E1954" s="418">
        <f t="shared" si="205"/>
        <v>1.872119815668194E-2</v>
      </c>
      <c r="F1954" s="411"/>
      <c r="G1954" s="388"/>
      <c r="I1954" s="388"/>
    </row>
    <row r="1955" spans="1:9">
      <c r="A1955" s="408">
        <v>41703</v>
      </c>
      <c r="B1955" s="411">
        <v>1873.81</v>
      </c>
      <c r="C1955" s="418">
        <f t="shared" si="204"/>
        <v>-5.3364355812268727E-5</v>
      </c>
      <c r="D1955" s="411">
        <v>34.72</v>
      </c>
      <c r="E1955" s="418">
        <f t="shared" si="205"/>
        <v>7.8374455732945769E-3</v>
      </c>
      <c r="F1955" s="411"/>
      <c r="G1955" s="388"/>
      <c r="I1955" s="388"/>
    </row>
    <row r="1956" spans="1:9">
      <c r="A1956" s="408">
        <v>41702</v>
      </c>
      <c r="B1956" s="411">
        <v>1873.91</v>
      </c>
      <c r="C1956" s="418">
        <f t="shared" si="204"/>
        <v>1.526767186966671E-2</v>
      </c>
      <c r="D1956" s="411">
        <v>34.450000000000003</v>
      </c>
      <c r="E1956" s="418">
        <f t="shared" si="205"/>
        <v>5.7072721693770978E-2</v>
      </c>
      <c r="F1956" s="411"/>
      <c r="G1956" s="388"/>
      <c r="I1956" s="388"/>
    </row>
    <row r="1957" spans="1:9">
      <c r="A1957" s="408">
        <v>41701</v>
      </c>
      <c r="B1957" s="411">
        <v>1845.73</v>
      </c>
      <c r="C1957" s="418">
        <f t="shared" si="204"/>
        <v>-7.3785259081986521E-3</v>
      </c>
      <c r="D1957" s="411">
        <v>32.590000000000003</v>
      </c>
      <c r="E1957" s="418">
        <f t="shared" si="205"/>
        <v>-1.866907557964459E-2</v>
      </c>
      <c r="F1957" s="411"/>
      <c r="G1957" s="388"/>
      <c r="I1957" s="388"/>
    </row>
    <row r="1958" spans="1:9">
      <c r="A1958" s="408">
        <v>41698</v>
      </c>
      <c r="B1958" s="411">
        <v>1859.45</v>
      </c>
      <c r="C1958" s="418">
        <f t="shared" si="204"/>
        <v>2.7827362494539098E-3</v>
      </c>
      <c r="D1958" s="411">
        <v>33.21</v>
      </c>
      <c r="E1958" s="418">
        <f t="shared" si="205"/>
        <v>-3.3013205282113045E-3</v>
      </c>
      <c r="F1958" s="411"/>
      <c r="G1958" s="388"/>
      <c r="I1958" s="388"/>
    </row>
    <row r="1959" spans="1:9">
      <c r="A1959" s="408">
        <v>41697</v>
      </c>
      <c r="B1959" s="411">
        <v>1854.29</v>
      </c>
      <c r="C1959" s="418">
        <f t="shared" si="204"/>
        <v>4.9480803832728792E-3</v>
      </c>
      <c r="D1959" s="411">
        <v>33.32</v>
      </c>
      <c r="E1959" s="418">
        <f t="shared" si="205"/>
        <v>-5.6699492688748743E-3</v>
      </c>
      <c r="F1959" s="411"/>
      <c r="G1959" s="388"/>
      <c r="I1959" s="388"/>
    </row>
    <row r="1960" spans="1:9">
      <c r="A1960" s="408">
        <v>41696</v>
      </c>
      <c r="B1960" s="411">
        <v>1845.16</v>
      </c>
      <c r="C1960" s="418">
        <f t="shared" si="204"/>
        <v>2.167880679859735E-5</v>
      </c>
      <c r="D1960" s="411">
        <v>33.51</v>
      </c>
      <c r="E1960" s="418">
        <f t="shared" si="205"/>
        <v>8.1227436823103627E-3</v>
      </c>
      <c r="F1960" s="411"/>
      <c r="G1960" s="388"/>
      <c r="I1960" s="388"/>
    </row>
    <row r="1961" spans="1:9">
      <c r="A1961" s="408">
        <v>41695</v>
      </c>
      <c r="B1961" s="411">
        <v>1845.12</v>
      </c>
      <c r="C1961" s="418">
        <f t="shared" si="204"/>
        <v>-1.3476870118693807E-3</v>
      </c>
      <c r="D1961" s="411">
        <v>33.24</v>
      </c>
      <c r="E1961" s="418">
        <f t="shared" si="205"/>
        <v>2.4345146379044724E-2</v>
      </c>
      <c r="F1961" s="411"/>
      <c r="G1961" s="388"/>
      <c r="I1961" s="388"/>
    </row>
    <row r="1962" spans="1:9">
      <c r="A1962" s="408">
        <v>41694</v>
      </c>
      <c r="B1962" s="411">
        <v>1847.61</v>
      </c>
      <c r="C1962" s="418">
        <f t="shared" si="204"/>
        <v>6.1865214431584548E-3</v>
      </c>
      <c r="D1962" s="411">
        <v>32.450000000000003</v>
      </c>
      <c r="E1962" s="418">
        <f t="shared" si="205"/>
        <v>2.1725440806045437E-2</v>
      </c>
      <c r="F1962" s="411"/>
      <c r="G1962" s="388"/>
      <c r="I1962" s="388"/>
    </row>
    <row r="1963" spans="1:9">
      <c r="A1963" s="408">
        <v>41691</v>
      </c>
      <c r="B1963" s="411">
        <v>1836.25</v>
      </c>
      <c r="C1963" s="418">
        <f t="shared" si="204"/>
        <v>-1.9187076715694307E-3</v>
      </c>
      <c r="D1963" s="411">
        <v>31.76</v>
      </c>
      <c r="E1963" s="418">
        <f t="shared" si="205"/>
        <v>-2.5125628140703071E-3</v>
      </c>
      <c r="F1963" s="411"/>
      <c r="G1963" s="388"/>
      <c r="I1963" s="388"/>
    </row>
    <row r="1964" spans="1:9">
      <c r="A1964" s="408">
        <v>41690</v>
      </c>
      <c r="B1964" s="411">
        <v>1839.78</v>
      </c>
      <c r="C1964" s="418">
        <f t="shared" si="204"/>
        <v>6.0314422419684988E-3</v>
      </c>
      <c r="D1964" s="411">
        <v>31.84</v>
      </c>
      <c r="E1964" s="418">
        <f t="shared" si="205"/>
        <v>4.1543997383055364E-2</v>
      </c>
      <c r="F1964" s="411"/>
      <c r="G1964" s="388"/>
      <c r="I1964" s="388"/>
    </row>
    <row r="1965" spans="1:9">
      <c r="A1965" s="408">
        <v>41689</v>
      </c>
      <c r="B1965" s="411">
        <v>1828.75</v>
      </c>
      <c r="C1965" s="418">
        <f t="shared" si="204"/>
        <v>-6.5244790195354563E-3</v>
      </c>
      <c r="D1965" s="411">
        <v>30.57</v>
      </c>
      <c r="E1965" s="418">
        <f t="shared" si="205"/>
        <v>-1.1319534282018151E-2</v>
      </c>
      <c r="F1965" s="411"/>
      <c r="G1965" s="388"/>
      <c r="I1965" s="388"/>
    </row>
    <row r="1966" spans="1:9">
      <c r="A1966" s="408">
        <v>41688</v>
      </c>
      <c r="B1966" s="411">
        <v>1840.76</v>
      </c>
      <c r="C1966" s="418">
        <f t="shared" si="204"/>
        <v>1.1584712530525731E-3</v>
      </c>
      <c r="D1966" s="411">
        <v>30.92</v>
      </c>
      <c r="E1966" s="418">
        <f t="shared" si="205"/>
        <v>-1.340140395660494E-2</v>
      </c>
      <c r="F1966" s="411"/>
      <c r="G1966" s="388"/>
      <c r="I1966" s="388"/>
    </row>
    <row r="1967" spans="1:9">
      <c r="A1967" s="408">
        <v>41684</v>
      </c>
      <c r="B1967" s="411">
        <v>1838.63</v>
      </c>
      <c r="C1967" s="418">
        <f t="shared" si="204"/>
        <v>4.8091899247471037E-3</v>
      </c>
      <c r="D1967" s="411">
        <v>31.34</v>
      </c>
      <c r="E1967" s="418">
        <f t="shared" si="205"/>
        <v>-3.1897926634771867E-4</v>
      </c>
      <c r="F1967" s="411"/>
      <c r="G1967" s="388"/>
      <c r="I1967" s="388"/>
    </row>
    <row r="1968" spans="1:9">
      <c r="A1968" s="408">
        <v>41683</v>
      </c>
      <c r="B1968" s="411">
        <v>1829.83</v>
      </c>
      <c r="C1968" s="418">
        <f t="shared" si="204"/>
        <v>5.8100546375998707E-3</v>
      </c>
      <c r="D1968" s="411">
        <v>31.35</v>
      </c>
      <c r="E1968" s="418">
        <f t="shared" si="205"/>
        <v>7.0671378091873294E-3</v>
      </c>
      <c r="F1968" s="411"/>
      <c r="G1968" s="388"/>
      <c r="I1968" s="388"/>
    </row>
    <row r="1969" spans="1:9">
      <c r="A1969" s="408">
        <v>41682</v>
      </c>
      <c r="B1969" s="411">
        <v>1819.26</v>
      </c>
      <c r="C1969" s="418">
        <f t="shared" si="204"/>
        <v>-2.6926775655999879E-4</v>
      </c>
      <c r="D1969" s="411">
        <v>31.13</v>
      </c>
      <c r="E1969" s="418">
        <f t="shared" si="205"/>
        <v>-8.9143584845591262E-3</v>
      </c>
      <c r="F1969" s="411"/>
      <c r="G1969" s="388"/>
      <c r="I1969" s="388"/>
    </row>
    <row r="1970" spans="1:9">
      <c r="A1970" s="408">
        <v>41681</v>
      </c>
      <c r="B1970" s="411">
        <v>1819.75</v>
      </c>
      <c r="C1970" s="418">
        <f t="shared" si="204"/>
        <v>1.1062094408391898E-2</v>
      </c>
      <c r="D1970" s="411">
        <v>31.41</v>
      </c>
      <c r="E1970" s="418">
        <f t="shared" si="205"/>
        <v>6.4082024991989339E-3</v>
      </c>
      <c r="F1970" s="411"/>
      <c r="G1970" s="388"/>
      <c r="I1970" s="388"/>
    </row>
    <row r="1971" spans="1:9">
      <c r="A1971" s="408">
        <v>41680</v>
      </c>
      <c r="B1971" s="411">
        <v>1799.84</v>
      </c>
      <c r="C1971" s="418">
        <f t="shared" si="204"/>
        <v>1.5692646715117498E-3</v>
      </c>
      <c r="D1971" s="411">
        <v>31.21</v>
      </c>
      <c r="E1971" s="418">
        <f t="shared" si="205"/>
        <v>-1.3902053712480211E-2</v>
      </c>
      <c r="F1971" s="411"/>
      <c r="G1971" s="388"/>
      <c r="I1971" s="388"/>
    </row>
    <row r="1972" spans="1:9">
      <c r="A1972" s="408">
        <v>41677</v>
      </c>
      <c r="B1972" s="411">
        <v>1797.02</v>
      </c>
      <c r="C1972" s="418">
        <f t="shared" si="204"/>
        <v>1.3301906475022829E-2</v>
      </c>
      <c r="D1972" s="411">
        <v>31.65</v>
      </c>
      <c r="E1972" s="418">
        <f t="shared" si="205"/>
        <v>2.4603431531239783E-2</v>
      </c>
      <c r="F1972" s="411"/>
      <c r="G1972" s="388"/>
      <c r="I1972" s="388"/>
    </row>
    <row r="1973" spans="1:9">
      <c r="A1973" s="408">
        <v>41676</v>
      </c>
      <c r="B1973" s="411">
        <v>1773.43</v>
      </c>
      <c r="C1973" s="418">
        <f t="shared" si="204"/>
        <v>1.2439770729145261E-2</v>
      </c>
      <c r="D1973" s="411">
        <v>30.89</v>
      </c>
      <c r="E1973" s="418">
        <f t="shared" si="205"/>
        <v>2.8980679546968702E-2</v>
      </c>
      <c r="F1973" s="411"/>
      <c r="G1973" s="388"/>
      <c r="I1973" s="388"/>
    </row>
    <row r="1974" spans="1:9">
      <c r="A1974" s="408">
        <v>41675</v>
      </c>
      <c r="B1974" s="411">
        <v>1751.64</v>
      </c>
      <c r="C1974" s="418">
        <f t="shared" si="204"/>
        <v>-2.0282588878759444E-3</v>
      </c>
      <c r="D1974" s="411">
        <v>30.02</v>
      </c>
      <c r="E1974" s="418">
        <f t="shared" si="205"/>
        <v>2.6720106880426808E-3</v>
      </c>
      <c r="F1974" s="411"/>
      <c r="G1974" s="388"/>
      <c r="I1974" s="388"/>
    </row>
    <row r="1975" spans="1:9">
      <c r="A1975" s="408">
        <v>41674</v>
      </c>
      <c r="B1975" s="411">
        <v>1755.2</v>
      </c>
      <c r="C1975" s="418">
        <f t="shared" si="204"/>
        <v>7.6411254442014798E-3</v>
      </c>
      <c r="D1975" s="411">
        <v>29.94</v>
      </c>
      <c r="E1975" s="418">
        <f t="shared" si="205"/>
        <v>1.9060585432266963E-2</v>
      </c>
      <c r="F1975" s="411"/>
      <c r="G1975" s="388"/>
      <c r="I1975" s="388"/>
    </row>
    <row r="1976" spans="1:9">
      <c r="A1976" s="408">
        <v>41673</v>
      </c>
      <c r="B1976" s="411">
        <v>1741.89</v>
      </c>
      <c r="C1976" s="418">
        <f t="shared" si="204"/>
        <v>-2.2831946774075851E-2</v>
      </c>
      <c r="D1976" s="411">
        <v>29.38</v>
      </c>
      <c r="E1976" s="418">
        <f t="shared" si="205"/>
        <v>-4.018294674942835E-2</v>
      </c>
      <c r="F1976" s="411"/>
      <c r="G1976" s="388"/>
      <c r="I1976" s="388"/>
    </row>
    <row r="1977" spans="1:9">
      <c r="A1977" s="408">
        <v>41670</v>
      </c>
      <c r="B1977" s="411">
        <v>1782.59</v>
      </c>
      <c r="C1977" s="418">
        <f t="shared" si="204"/>
        <v>-6.4653130381955304E-3</v>
      </c>
      <c r="D1977" s="411">
        <v>30.61</v>
      </c>
      <c r="E1977" s="418">
        <f t="shared" si="205"/>
        <v>9.8103335513410883E-4</v>
      </c>
      <c r="F1977" s="411"/>
      <c r="G1977" s="388"/>
      <c r="I1977" s="388"/>
    </row>
    <row r="1978" spans="1:9">
      <c r="A1978" s="408">
        <v>41669</v>
      </c>
      <c r="B1978" s="411">
        <v>1794.19</v>
      </c>
      <c r="C1978" s="418">
        <f t="shared" si="204"/>
        <v>1.1267049938000318E-2</v>
      </c>
      <c r="D1978" s="411">
        <v>30.58</v>
      </c>
      <c r="E1978" s="418">
        <f t="shared" si="205"/>
        <v>2.2058823529411686E-2</v>
      </c>
      <c r="F1978" s="411"/>
      <c r="G1978" s="388"/>
      <c r="I1978" s="388"/>
    </row>
    <row r="1979" spans="1:9">
      <c r="A1979" s="408">
        <v>41668</v>
      </c>
      <c r="B1979" s="411">
        <v>1774.2</v>
      </c>
      <c r="C1979" s="418">
        <f t="shared" si="204"/>
        <v>-1.0209205020920487E-2</v>
      </c>
      <c r="D1979" s="411">
        <v>29.92</v>
      </c>
      <c r="E1979" s="418">
        <f t="shared" si="205"/>
        <v>-3.17152103559869E-2</v>
      </c>
      <c r="F1979" s="411"/>
      <c r="G1979" s="388"/>
      <c r="I1979" s="388"/>
    </row>
    <row r="1980" spans="1:9">
      <c r="A1980" s="408">
        <v>41667</v>
      </c>
      <c r="B1980" s="411">
        <v>1792.5</v>
      </c>
      <c r="C1980" s="418">
        <f t="shared" si="204"/>
        <v>6.1406856911920826E-3</v>
      </c>
      <c r="D1980" s="411">
        <v>30.9</v>
      </c>
      <c r="E1980" s="418">
        <f t="shared" si="205"/>
        <v>1.0134030728996324E-2</v>
      </c>
      <c r="F1980" s="411"/>
      <c r="G1980" s="388"/>
      <c r="I1980" s="388"/>
    </row>
    <row r="1981" spans="1:9">
      <c r="A1981" s="408">
        <v>41666</v>
      </c>
      <c r="B1981" s="411">
        <v>1781.56</v>
      </c>
      <c r="C1981" s="418">
        <f t="shared" si="204"/>
        <v>-4.8763049561802996E-3</v>
      </c>
      <c r="D1981" s="411">
        <v>30.59</v>
      </c>
      <c r="E1981" s="418">
        <f t="shared" si="205"/>
        <v>-1.671488267438126E-2</v>
      </c>
      <c r="F1981" s="411"/>
      <c r="G1981" s="388"/>
      <c r="I1981" s="388"/>
    </row>
    <row r="1982" spans="1:9">
      <c r="A1982" s="408">
        <v>41663</v>
      </c>
      <c r="B1982" s="411">
        <v>1790.29</v>
      </c>
      <c r="C1982" s="418">
        <f t="shared" si="204"/>
        <v>-2.0875490850223777E-2</v>
      </c>
      <c r="D1982" s="411">
        <v>31.11</v>
      </c>
      <c r="E1982" s="418">
        <f t="shared" si="205"/>
        <v>-4.2769230769230782E-2</v>
      </c>
      <c r="F1982" s="411"/>
      <c r="G1982" s="388"/>
      <c r="I1982" s="388"/>
    </row>
    <row r="1983" spans="1:9">
      <c r="A1983" s="408">
        <v>41662</v>
      </c>
      <c r="B1983" s="411">
        <v>1828.46</v>
      </c>
      <c r="C1983" s="418">
        <f t="shared" si="204"/>
        <v>-8.8895634357077924E-3</v>
      </c>
      <c r="D1983" s="411">
        <v>32.5</v>
      </c>
      <c r="E1983" s="418">
        <f t="shared" si="205"/>
        <v>-1.0353227771011109E-2</v>
      </c>
      <c r="F1983" s="411"/>
      <c r="G1983" s="388"/>
      <c r="I1983" s="388"/>
    </row>
    <row r="1984" spans="1:9">
      <c r="A1984" s="408">
        <v>41661</v>
      </c>
      <c r="B1984" s="411">
        <v>1844.86</v>
      </c>
      <c r="C1984" s="418">
        <f t="shared" si="204"/>
        <v>5.7489966373780454E-4</v>
      </c>
      <c r="D1984" s="411">
        <v>32.840000000000003</v>
      </c>
      <c r="E1984" s="418">
        <f t="shared" si="205"/>
        <v>2.3690773067331916E-2</v>
      </c>
      <c r="F1984" s="411"/>
      <c r="G1984" s="388"/>
      <c r="I1984" s="388"/>
    </row>
    <row r="1985" spans="1:9">
      <c r="A1985" s="408">
        <v>41660</v>
      </c>
      <c r="B1985" s="411">
        <v>1843.8</v>
      </c>
      <c r="C1985" s="418">
        <f t="shared" si="204"/>
        <v>2.7736988089410719E-3</v>
      </c>
      <c r="D1985" s="411">
        <v>32.08</v>
      </c>
      <c r="E1985" s="418">
        <f t="shared" si="205"/>
        <v>3.2507241712262491E-2</v>
      </c>
      <c r="F1985" s="411"/>
      <c r="G1985" s="388"/>
      <c r="I1985" s="388"/>
    </row>
    <row r="1986" spans="1:9">
      <c r="A1986" s="408">
        <v>41656</v>
      </c>
      <c r="B1986" s="411">
        <v>1838.7</v>
      </c>
      <c r="C1986" s="418">
        <f t="shared" si="204"/>
        <v>-3.8951400137603454E-3</v>
      </c>
      <c r="D1986" s="411">
        <v>31.07</v>
      </c>
      <c r="E1986" s="418">
        <f t="shared" si="205"/>
        <v>-1.61494616846104E-2</v>
      </c>
      <c r="F1986" s="411"/>
      <c r="G1986" s="388"/>
      <c r="I1986" s="388"/>
    </row>
    <row r="1987" spans="1:9">
      <c r="A1987" s="408">
        <v>41655</v>
      </c>
      <c r="B1987" s="411">
        <v>1845.89</v>
      </c>
      <c r="C1987" s="418">
        <f t="shared" si="204"/>
        <v>-1.3471255910580959E-3</v>
      </c>
      <c r="D1987" s="411">
        <v>31.58</v>
      </c>
      <c r="E1987" s="418">
        <f t="shared" si="205"/>
        <v>2.5396825396823974E-3</v>
      </c>
      <c r="F1987" s="411"/>
      <c r="G1987" s="388"/>
      <c r="I1987" s="388"/>
    </row>
    <row r="1988" spans="1:9">
      <c r="A1988" s="408">
        <v>41654</v>
      </c>
      <c r="B1988" s="411">
        <v>1848.38</v>
      </c>
      <c r="C1988" s="418">
        <f t="shared" si="204"/>
        <v>5.1661881145044219E-3</v>
      </c>
      <c r="D1988" s="411">
        <v>31.5</v>
      </c>
      <c r="E1988" s="418">
        <f t="shared" si="205"/>
        <v>-1.5932521087160256E-2</v>
      </c>
      <c r="F1988" s="411"/>
      <c r="G1988" s="388"/>
      <c r="I1988" s="388"/>
    </row>
    <row r="1989" spans="1:9">
      <c r="A1989" s="408">
        <v>41653</v>
      </c>
      <c r="B1989" s="411">
        <v>1838.88</v>
      </c>
      <c r="C1989" s="418">
        <f t="shared" si="204"/>
        <v>1.0817941952506738E-2</v>
      </c>
      <c r="D1989" s="411">
        <v>32.01</v>
      </c>
      <c r="E1989" s="418">
        <f t="shared" si="205"/>
        <v>3.5252263906856207E-2</v>
      </c>
      <c r="F1989" s="411"/>
      <c r="G1989" s="388"/>
      <c r="I1989" s="388"/>
    </row>
    <row r="1990" spans="1:9">
      <c r="A1990" s="408">
        <v>41652</v>
      </c>
      <c r="B1990" s="411">
        <v>1819.2</v>
      </c>
      <c r="C1990" s="418">
        <f t="shared" si="204"/>
        <v>-1.2576192621460369E-2</v>
      </c>
      <c r="D1990" s="411">
        <v>30.92</v>
      </c>
      <c r="E1990" s="418">
        <f t="shared" si="205"/>
        <v>-1.7476962186208977E-2</v>
      </c>
      <c r="F1990" s="411"/>
      <c r="G1990" s="388"/>
      <c r="I1990" s="388"/>
    </row>
    <row r="1991" spans="1:9">
      <c r="A1991" s="408">
        <v>41649</v>
      </c>
      <c r="B1991" s="411">
        <v>1842.37</v>
      </c>
      <c r="C1991" s="418">
        <f t="shared" si="204"/>
        <v>2.3066921273249275E-3</v>
      </c>
      <c r="D1991" s="411">
        <v>31.47</v>
      </c>
      <c r="E1991" s="418">
        <f t="shared" si="205"/>
        <v>1.3200257566001294E-2</v>
      </c>
      <c r="F1991" s="411"/>
      <c r="G1991" s="388"/>
      <c r="I1991" s="388"/>
    </row>
    <row r="1992" spans="1:9">
      <c r="A1992" s="408">
        <v>41648</v>
      </c>
      <c r="B1992" s="411">
        <v>1838.13</v>
      </c>
      <c r="C1992" s="418">
        <f t="shared" ref="C1992:C2055" si="206">B1992/B1993-1</f>
        <v>3.4830121524476176E-4</v>
      </c>
      <c r="D1992" s="411">
        <v>31.06</v>
      </c>
      <c r="E1992" s="418">
        <f t="shared" ref="E1992:E2055" si="207">D1992/D1993-1</f>
        <v>4.2281879194630889E-2</v>
      </c>
      <c r="F1992" s="411"/>
      <c r="G1992" s="388"/>
      <c r="I1992" s="388"/>
    </row>
    <row r="1993" spans="1:9">
      <c r="A1993" s="408">
        <v>41647</v>
      </c>
      <c r="B1993" s="411">
        <v>1837.49</v>
      </c>
      <c r="C1993" s="418">
        <f t="shared" si="206"/>
        <v>-2.122010142120434E-4</v>
      </c>
      <c r="D1993" s="411">
        <v>29.8</v>
      </c>
      <c r="E1993" s="418">
        <f t="shared" si="207"/>
        <v>3.5441278665740095E-2</v>
      </c>
      <c r="F1993" s="411"/>
      <c r="G1993" s="388"/>
      <c r="I1993" s="388"/>
    </row>
    <row r="1994" spans="1:9">
      <c r="A1994" s="408">
        <v>41646</v>
      </c>
      <c r="B1994" s="411">
        <v>1837.88</v>
      </c>
      <c r="C1994" s="418">
        <f t="shared" si="206"/>
        <v>6.0817727464324012E-3</v>
      </c>
      <c r="D1994" s="411">
        <v>28.78</v>
      </c>
      <c r="E1994" s="418">
        <f t="shared" si="207"/>
        <v>-1.7412086036189711E-2</v>
      </c>
      <c r="F1994" s="411"/>
      <c r="G1994" s="388"/>
      <c r="I1994" s="388"/>
    </row>
    <row r="1995" spans="1:9">
      <c r="A1995" s="408">
        <v>41645</v>
      </c>
      <c r="B1995" s="411">
        <v>1826.77</v>
      </c>
      <c r="C1995" s="418">
        <f t="shared" si="206"/>
        <v>-2.5117807979817552E-3</v>
      </c>
      <c r="D1995" s="411">
        <v>29.29</v>
      </c>
      <c r="E1995" s="418">
        <f t="shared" si="207"/>
        <v>2.0526855969893454E-3</v>
      </c>
      <c r="F1995" s="411"/>
      <c r="G1995" s="388"/>
      <c r="I1995" s="388"/>
    </row>
    <row r="1996" spans="1:9">
      <c r="A1996" s="408">
        <v>41642</v>
      </c>
      <c r="B1996" s="411">
        <v>1831.37</v>
      </c>
      <c r="C1996" s="418">
        <f t="shared" si="206"/>
        <v>-3.3297306739166199E-4</v>
      </c>
      <c r="D1996" s="411">
        <v>29.23</v>
      </c>
      <c r="E1996" s="418">
        <f t="shared" si="207"/>
        <v>5.523465703971131E-2</v>
      </c>
      <c r="F1996" s="411"/>
      <c r="G1996" s="388"/>
      <c r="I1996" s="388"/>
    </row>
    <row r="1997" spans="1:9">
      <c r="A1997" s="408">
        <v>41641</v>
      </c>
      <c r="B1997" s="411">
        <v>1831.98</v>
      </c>
      <c r="C1997" s="418">
        <f t="shared" si="206"/>
        <v>-8.8619100175290066E-3</v>
      </c>
      <c r="D1997" s="411">
        <v>27.7</v>
      </c>
      <c r="E1997" s="418">
        <f t="shared" si="207"/>
        <v>8.372770294867049E-3</v>
      </c>
      <c r="F1997" s="411"/>
      <c r="G1997" s="388"/>
      <c r="I1997" s="388"/>
    </row>
    <row r="1998" spans="1:9">
      <c r="A1998" s="408">
        <v>41639</v>
      </c>
      <c r="B1998" s="411">
        <v>1848.36</v>
      </c>
      <c r="C1998" s="418">
        <f t="shared" si="206"/>
        <v>3.9596538969186579E-3</v>
      </c>
      <c r="D1998" s="411">
        <v>27.47</v>
      </c>
      <c r="E1998" s="418">
        <f t="shared" si="207"/>
        <v>1.0297903641044437E-2</v>
      </c>
      <c r="F1998" s="411"/>
      <c r="G1998" s="388"/>
      <c r="I1998" s="388"/>
    </row>
    <row r="1999" spans="1:9">
      <c r="A1999" s="408">
        <v>41638</v>
      </c>
      <c r="B1999" s="411">
        <v>1841.07</v>
      </c>
      <c r="C1999" s="418">
        <f t="shared" si="206"/>
        <v>-1.7921146953414624E-4</v>
      </c>
      <c r="D1999" s="411">
        <v>27.19</v>
      </c>
      <c r="E1999" s="418">
        <f t="shared" si="207"/>
        <v>5.9193488716240417E-3</v>
      </c>
      <c r="F1999" s="411"/>
      <c r="G1999" s="388"/>
      <c r="I1999" s="388"/>
    </row>
    <row r="2000" spans="1:9">
      <c r="A2000" s="408">
        <v>41635</v>
      </c>
      <c r="B2000" s="411">
        <v>1841.4</v>
      </c>
      <c r="C2000" s="418">
        <f t="shared" si="206"/>
        <v>-3.3658700774141792E-4</v>
      </c>
      <c r="D2000" s="411">
        <v>27.03</v>
      </c>
      <c r="E2000" s="418">
        <f t="shared" si="207"/>
        <v>-3.0487804878048697E-2</v>
      </c>
      <c r="F2000" s="411"/>
      <c r="G2000" s="388"/>
      <c r="I2000" s="388"/>
    </row>
    <row r="2001" spans="1:9">
      <c r="A2001" s="408">
        <v>41634</v>
      </c>
      <c r="B2001" s="411">
        <v>1842.02</v>
      </c>
      <c r="C2001" s="418">
        <f t="shared" si="206"/>
        <v>4.7454890581022369E-3</v>
      </c>
      <c r="D2001" s="411">
        <v>27.88</v>
      </c>
      <c r="E2001" s="418">
        <f t="shared" si="207"/>
        <v>1.4367816091953589E-3</v>
      </c>
      <c r="F2001" s="411"/>
      <c r="G2001" s="388"/>
      <c r="I2001" s="388"/>
    </row>
    <row r="2002" spans="1:9">
      <c r="A2002" s="408">
        <v>41632</v>
      </c>
      <c r="B2002" s="411">
        <v>1833.32</v>
      </c>
      <c r="C2002" s="418">
        <f t="shared" si="206"/>
        <v>2.9157708740199517E-3</v>
      </c>
      <c r="D2002" s="411">
        <v>27.84</v>
      </c>
      <c r="E2002" s="418">
        <f t="shared" si="207"/>
        <v>9.7932535364526618E-3</v>
      </c>
      <c r="F2002" s="411"/>
      <c r="G2002" s="388"/>
      <c r="I2002" s="388"/>
    </row>
    <row r="2003" spans="1:9">
      <c r="A2003" s="408">
        <v>41631</v>
      </c>
      <c r="B2003" s="411">
        <v>1827.99</v>
      </c>
      <c r="C2003" s="418">
        <f t="shared" si="206"/>
        <v>5.3180958247174281E-3</v>
      </c>
      <c r="D2003" s="411">
        <v>27.57</v>
      </c>
      <c r="E2003" s="418">
        <f t="shared" si="207"/>
        <v>7.2595281306719883E-4</v>
      </c>
      <c r="F2003" s="411"/>
      <c r="G2003" s="388"/>
      <c r="I2003" s="388"/>
    </row>
    <row r="2004" spans="1:9">
      <c r="A2004" s="408">
        <v>41628</v>
      </c>
      <c r="B2004" s="411">
        <v>1818.32</v>
      </c>
      <c r="C2004" s="418">
        <f t="shared" si="206"/>
        <v>4.8187444739169472E-3</v>
      </c>
      <c r="D2004" s="411">
        <v>27.55</v>
      </c>
      <c r="E2004" s="418">
        <f t="shared" si="207"/>
        <v>1.454016721192275E-3</v>
      </c>
      <c r="F2004" s="411"/>
      <c r="G2004" s="388"/>
      <c r="I2004" s="388"/>
    </row>
    <row r="2005" spans="1:9">
      <c r="A2005" s="408">
        <v>41627</v>
      </c>
      <c r="B2005" s="411">
        <v>1809.6</v>
      </c>
      <c r="C2005" s="418">
        <f t="shared" si="206"/>
        <v>-5.7990224505022336E-4</v>
      </c>
      <c r="D2005" s="411">
        <v>27.51</v>
      </c>
      <c r="E2005" s="418">
        <f t="shared" si="207"/>
        <v>1.4754703061600871E-2</v>
      </c>
      <c r="F2005" s="411"/>
      <c r="G2005" s="388"/>
      <c r="I2005" s="388"/>
    </row>
    <row r="2006" spans="1:9">
      <c r="A2006" s="408">
        <v>41626</v>
      </c>
      <c r="B2006" s="411">
        <v>1810.65</v>
      </c>
      <c r="C2006" s="418">
        <f t="shared" si="206"/>
        <v>1.6647950589556482E-2</v>
      </c>
      <c r="D2006" s="411">
        <v>27.11</v>
      </c>
      <c r="E2006" s="418">
        <f t="shared" si="207"/>
        <v>6.3103192279139186E-3</v>
      </c>
      <c r="F2006" s="411"/>
      <c r="G2006" s="388"/>
      <c r="I2006" s="388"/>
    </row>
    <row r="2007" spans="1:9">
      <c r="A2007" s="408">
        <v>41625</v>
      </c>
      <c r="B2007" s="411">
        <v>1781</v>
      </c>
      <c r="C2007" s="418">
        <f t="shared" si="206"/>
        <v>-3.1009661132691546E-3</v>
      </c>
      <c r="D2007" s="411">
        <v>26.94</v>
      </c>
      <c r="E2007" s="418">
        <f t="shared" si="207"/>
        <v>-3.5100286532951275E-2</v>
      </c>
      <c r="F2007" s="411"/>
      <c r="G2007" s="388"/>
      <c r="I2007" s="388"/>
    </row>
    <row r="2008" spans="1:9">
      <c r="A2008" s="408">
        <v>41624</v>
      </c>
      <c r="B2008" s="411">
        <v>1786.54</v>
      </c>
      <c r="C2008" s="418">
        <f t="shared" si="206"/>
        <v>6.3199873825563468E-3</v>
      </c>
      <c r="D2008" s="411">
        <v>27.92</v>
      </c>
      <c r="E2008" s="418">
        <f t="shared" si="207"/>
        <v>-1.586182587240037E-2</v>
      </c>
      <c r="F2008" s="411"/>
      <c r="G2008" s="388"/>
      <c r="I2008" s="388"/>
    </row>
    <row r="2009" spans="1:9">
      <c r="A2009" s="408">
        <v>41621</v>
      </c>
      <c r="B2009" s="411">
        <v>1775.32</v>
      </c>
      <c r="C2009" s="418">
        <f t="shared" si="206"/>
        <v>-1.013798929879739E-4</v>
      </c>
      <c r="D2009" s="411">
        <v>28.37</v>
      </c>
      <c r="E2009" s="418">
        <f t="shared" si="207"/>
        <v>5.6717476072314366E-3</v>
      </c>
      <c r="F2009" s="411"/>
      <c r="G2009" s="388"/>
      <c r="I2009" s="388"/>
    </row>
    <row r="2010" spans="1:9">
      <c r="A2010" s="408">
        <v>41620</v>
      </c>
      <c r="B2010" s="411">
        <v>1775.5</v>
      </c>
      <c r="C2010" s="418">
        <f t="shared" si="206"/>
        <v>-3.7705782675540034E-3</v>
      </c>
      <c r="D2010" s="411">
        <v>28.21</v>
      </c>
      <c r="E2010" s="418">
        <f t="shared" si="207"/>
        <v>1.988430947216191E-2</v>
      </c>
      <c r="F2010" s="411"/>
      <c r="G2010" s="388"/>
      <c r="I2010" s="388"/>
    </row>
    <row r="2011" spans="1:9">
      <c r="A2011" s="408">
        <v>41619</v>
      </c>
      <c r="B2011" s="411">
        <v>1782.22</v>
      </c>
      <c r="C2011" s="418">
        <f t="shared" si="206"/>
        <v>-1.1316861013413781E-2</v>
      </c>
      <c r="D2011" s="411">
        <v>27.66</v>
      </c>
      <c r="E2011" s="418">
        <f t="shared" si="207"/>
        <v>-3.8581856100104228E-2</v>
      </c>
      <c r="F2011" s="411"/>
      <c r="G2011" s="388"/>
      <c r="I2011" s="388"/>
    </row>
    <row r="2012" spans="1:9">
      <c r="A2012" s="408">
        <v>41618</v>
      </c>
      <c r="B2012" s="411">
        <v>1802.62</v>
      </c>
      <c r="C2012" s="418">
        <f t="shared" si="206"/>
        <v>-3.1796590299552063E-3</v>
      </c>
      <c r="D2012" s="411">
        <v>28.77</v>
      </c>
      <c r="E2012" s="418">
        <f t="shared" si="207"/>
        <v>-3.8088642659279692E-3</v>
      </c>
      <c r="F2012" s="411"/>
      <c r="G2012" s="388"/>
      <c r="I2012" s="388"/>
    </row>
    <row r="2013" spans="1:9">
      <c r="A2013" s="408">
        <v>41617</v>
      </c>
      <c r="B2013" s="411">
        <v>1808.37</v>
      </c>
      <c r="C2013" s="418">
        <f t="shared" si="206"/>
        <v>1.817083912713402E-3</v>
      </c>
      <c r="D2013" s="411">
        <v>28.88</v>
      </c>
      <c r="E2013" s="418">
        <f t="shared" si="207"/>
        <v>2.3025150549061291E-2</v>
      </c>
      <c r="F2013" s="411"/>
      <c r="G2013" s="388"/>
      <c r="I2013" s="388"/>
    </row>
    <row r="2014" spans="1:9">
      <c r="A2014" s="408">
        <v>41614</v>
      </c>
      <c r="B2014" s="411">
        <v>1805.09</v>
      </c>
      <c r="C2014" s="418">
        <f t="shared" si="206"/>
        <v>1.1237906365719308E-2</v>
      </c>
      <c r="D2014" s="411">
        <v>28.23</v>
      </c>
      <c r="E2014" s="418">
        <f t="shared" si="207"/>
        <v>1.0379384395132307E-2</v>
      </c>
      <c r="F2014" s="411"/>
      <c r="G2014" s="388"/>
      <c r="I2014" s="388"/>
    </row>
    <row r="2015" spans="1:9">
      <c r="A2015" s="408">
        <v>41613</v>
      </c>
      <c r="B2015" s="411">
        <v>1785.03</v>
      </c>
      <c r="C2015" s="418">
        <f t="shared" si="206"/>
        <v>-4.3395563389315717E-3</v>
      </c>
      <c r="D2015" s="411">
        <v>27.94</v>
      </c>
      <c r="E2015" s="418">
        <f t="shared" si="207"/>
        <v>1.195219123505975E-2</v>
      </c>
      <c r="F2015" s="411"/>
      <c r="G2015" s="388"/>
      <c r="I2015" s="388"/>
    </row>
    <row r="2016" spans="1:9">
      <c r="A2016" s="408">
        <v>41612</v>
      </c>
      <c r="B2016" s="411">
        <v>1792.81</v>
      </c>
      <c r="C2016" s="418">
        <f t="shared" si="206"/>
        <v>-1.3035122413169731E-3</v>
      </c>
      <c r="D2016" s="411">
        <v>27.61</v>
      </c>
      <c r="E2016" s="418">
        <f t="shared" si="207"/>
        <v>-1.5686274509803977E-2</v>
      </c>
      <c r="F2016" s="411"/>
      <c r="G2016" s="388"/>
      <c r="I2016" s="388"/>
    </row>
    <row r="2017" spans="1:9">
      <c r="A2017" s="408">
        <v>41611</v>
      </c>
      <c r="B2017" s="411">
        <v>1795.15</v>
      </c>
      <c r="C2017" s="418">
        <f t="shared" si="206"/>
        <v>-3.1928480204341803E-3</v>
      </c>
      <c r="D2017" s="411">
        <v>28.05</v>
      </c>
      <c r="E2017" s="418">
        <f t="shared" si="207"/>
        <v>-3.2758620689655182E-2</v>
      </c>
      <c r="F2017" s="411"/>
      <c r="G2017" s="388"/>
      <c r="I2017" s="388"/>
    </row>
    <row r="2018" spans="1:9">
      <c r="A2018" s="408">
        <v>41610</v>
      </c>
      <c r="B2018" s="411">
        <v>1800.9</v>
      </c>
      <c r="C2018" s="418">
        <f t="shared" si="206"/>
        <v>-2.7190014453346567E-3</v>
      </c>
      <c r="D2018" s="411">
        <v>29</v>
      </c>
      <c r="E2018" s="418">
        <f t="shared" si="207"/>
        <v>6.9013112491367323E-4</v>
      </c>
      <c r="F2018" s="411"/>
      <c r="G2018" s="388"/>
      <c r="I2018" s="388"/>
    </row>
    <row r="2019" spans="1:9">
      <c r="A2019" s="408">
        <v>41607</v>
      </c>
      <c r="B2019" s="411">
        <v>1805.81</v>
      </c>
      <c r="C2019" s="418">
        <f t="shared" si="206"/>
        <v>-7.8573286189365099E-4</v>
      </c>
      <c r="D2019" s="411">
        <v>28.98</v>
      </c>
      <c r="E2019" s="418">
        <f t="shared" si="207"/>
        <v>-1.2269938650306678E-2</v>
      </c>
      <c r="F2019" s="411"/>
      <c r="G2019" s="388"/>
      <c r="I2019" s="388"/>
    </row>
    <row r="2020" spans="1:9">
      <c r="A2020" s="408">
        <v>41605</v>
      </c>
      <c r="B2020" s="411">
        <v>1807.23</v>
      </c>
      <c r="C2020" s="418">
        <f t="shared" si="206"/>
        <v>2.4850922202190873E-3</v>
      </c>
      <c r="D2020" s="411">
        <v>29.34</v>
      </c>
      <c r="E2020" s="418">
        <f t="shared" si="207"/>
        <v>1.0330578512396826E-2</v>
      </c>
      <c r="F2020" s="411"/>
      <c r="G2020" s="388"/>
      <c r="I2020" s="388"/>
    </row>
    <row r="2021" spans="1:9">
      <c r="A2021" s="408">
        <v>41604</v>
      </c>
      <c r="B2021" s="411">
        <v>1802.75</v>
      </c>
      <c r="C2021" s="418">
        <f t="shared" si="206"/>
        <v>1.4979361768219235E-4</v>
      </c>
      <c r="D2021" s="411">
        <v>29.04</v>
      </c>
      <c r="E2021" s="418">
        <f t="shared" si="207"/>
        <v>-4.4566335275969537E-3</v>
      </c>
      <c r="F2021" s="411"/>
      <c r="G2021" s="388"/>
      <c r="I2021" s="388"/>
    </row>
    <row r="2022" spans="1:9">
      <c r="A2022" s="408">
        <v>41603</v>
      </c>
      <c r="B2022" s="411">
        <v>1802.48</v>
      </c>
      <c r="C2022" s="418">
        <f t="shared" si="206"/>
        <v>-1.2633258715840645E-3</v>
      </c>
      <c r="D2022" s="411">
        <v>29.17</v>
      </c>
      <c r="E2022" s="418">
        <f t="shared" si="207"/>
        <v>1.993006993006996E-2</v>
      </c>
      <c r="F2022" s="411"/>
      <c r="G2022" s="388"/>
      <c r="I2022" s="388"/>
    </row>
    <row r="2023" spans="1:9">
      <c r="A2023" s="408">
        <v>41600</v>
      </c>
      <c r="B2023" s="411">
        <v>1804.76</v>
      </c>
      <c r="C2023" s="418">
        <f t="shared" si="206"/>
        <v>4.9614388729570802E-3</v>
      </c>
      <c r="D2023" s="411">
        <v>28.6</v>
      </c>
      <c r="E2023" s="418">
        <f t="shared" si="207"/>
        <v>1.9971469329529423E-2</v>
      </c>
      <c r="F2023" s="411"/>
      <c r="G2023" s="388"/>
      <c r="I2023" s="388"/>
    </row>
    <row r="2024" spans="1:9">
      <c r="A2024" s="408">
        <v>41599</v>
      </c>
      <c r="B2024" s="411">
        <v>1795.85</v>
      </c>
      <c r="C2024" s="418">
        <f t="shared" si="206"/>
        <v>8.128575197741128E-3</v>
      </c>
      <c r="D2024" s="411">
        <v>28.04</v>
      </c>
      <c r="E2024" s="418">
        <f t="shared" si="207"/>
        <v>1.1909058101768233E-2</v>
      </c>
      <c r="F2024" s="411"/>
      <c r="G2024" s="388"/>
      <c r="I2024" s="388"/>
    </row>
    <row r="2025" spans="1:9">
      <c r="A2025" s="408">
        <v>41598</v>
      </c>
      <c r="B2025" s="411">
        <v>1781.37</v>
      </c>
      <c r="C2025" s="418">
        <f t="shared" si="206"/>
        <v>-3.6356110902917571E-3</v>
      </c>
      <c r="D2025" s="411">
        <v>27.71</v>
      </c>
      <c r="E2025" s="418">
        <f t="shared" si="207"/>
        <v>-5.0269299820466795E-3</v>
      </c>
      <c r="F2025" s="411"/>
      <c r="G2025" s="388"/>
      <c r="I2025" s="388"/>
    </row>
    <row r="2026" spans="1:9">
      <c r="A2026" s="408">
        <v>41597</v>
      </c>
      <c r="B2026" s="411">
        <v>1787.87</v>
      </c>
      <c r="C2026" s="418">
        <f t="shared" si="206"/>
        <v>-2.0429465317355344E-3</v>
      </c>
      <c r="D2026" s="411">
        <v>27.85</v>
      </c>
      <c r="E2026" s="418">
        <f t="shared" si="207"/>
        <v>-9.6017069701279656E-3</v>
      </c>
      <c r="F2026" s="411"/>
      <c r="G2026" s="388"/>
      <c r="I2026" s="388"/>
    </row>
    <row r="2027" spans="1:9">
      <c r="A2027" s="408">
        <v>41596</v>
      </c>
      <c r="B2027" s="411">
        <v>1791.53</v>
      </c>
      <c r="C2027" s="418">
        <f t="shared" si="206"/>
        <v>-3.6981837190938061E-3</v>
      </c>
      <c r="D2027" s="411">
        <v>28.12</v>
      </c>
      <c r="E2027" s="418">
        <f t="shared" si="207"/>
        <v>0</v>
      </c>
      <c r="F2027" s="411"/>
      <c r="G2027" s="388"/>
      <c r="I2027" s="388"/>
    </row>
    <row r="2028" spans="1:9">
      <c r="A2028" s="408">
        <v>41593</v>
      </c>
      <c r="B2028" s="411">
        <v>1798.18</v>
      </c>
      <c r="C2028" s="418">
        <f t="shared" si="206"/>
        <v>4.2220013179794513E-3</v>
      </c>
      <c r="D2028" s="411">
        <v>28.12</v>
      </c>
      <c r="E2028" s="418">
        <f t="shared" si="207"/>
        <v>6.4423765211165662E-3</v>
      </c>
      <c r="F2028" s="411"/>
      <c r="G2028" s="388"/>
      <c r="I2028" s="388"/>
    </row>
    <row r="2029" spans="1:9">
      <c r="A2029" s="408">
        <v>41592</v>
      </c>
      <c r="B2029" s="411">
        <v>1790.62</v>
      </c>
      <c r="C2029" s="418">
        <f t="shared" si="206"/>
        <v>4.8372615039280475E-3</v>
      </c>
      <c r="D2029" s="411">
        <v>27.94</v>
      </c>
      <c r="E2029" s="418">
        <f t="shared" si="207"/>
        <v>5.3976250449803143E-3</v>
      </c>
      <c r="F2029" s="411"/>
      <c r="G2029" s="388"/>
      <c r="I2029" s="388"/>
    </row>
    <row r="2030" spans="1:9">
      <c r="A2030" s="408">
        <v>41591</v>
      </c>
      <c r="B2030" s="411">
        <v>1782</v>
      </c>
      <c r="C2030" s="418">
        <f t="shared" si="206"/>
        <v>8.0953108293875253E-3</v>
      </c>
      <c r="D2030" s="411">
        <v>27.79</v>
      </c>
      <c r="E2030" s="418">
        <f t="shared" si="207"/>
        <v>-1.1735419630156563E-2</v>
      </c>
      <c r="F2030" s="411"/>
      <c r="G2030" s="388"/>
      <c r="I2030" s="388"/>
    </row>
    <row r="2031" spans="1:9">
      <c r="A2031" s="408">
        <v>41590</v>
      </c>
      <c r="B2031" s="411">
        <v>1767.69</v>
      </c>
      <c r="C2031" s="418">
        <f t="shared" si="206"/>
        <v>-2.3703503039127494E-3</v>
      </c>
      <c r="D2031" s="411">
        <v>28.12</v>
      </c>
      <c r="E2031" s="418">
        <f t="shared" si="207"/>
        <v>2.3662176920276723E-2</v>
      </c>
      <c r="F2031" s="411"/>
      <c r="G2031" s="388"/>
      <c r="I2031" s="388"/>
    </row>
    <row r="2032" spans="1:9">
      <c r="A2032" s="408">
        <v>41589</v>
      </c>
      <c r="B2032" s="411">
        <v>1771.89</v>
      </c>
      <c r="C2032" s="418">
        <f t="shared" si="206"/>
        <v>7.2291470171315098E-4</v>
      </c>
      <c r="D2032" s="411">
        <v>27.47</v>
      </c>
      <c r="E2032" s="418">
        <f t="shared" si="207"/>
        <v>2.1569356638155401E-2</v>
      </c>
      <c r="F2032" s="411"/>
      <c r="G2032" s="388"/>
      <c r="I2032" s="388"/>
    </row>
    <row r="2033" spans="1:9">
      <c r="A2033" s="408">
        <v>41586</v>
      </c>
      <c r="B2033" s="411">
        <v>1770.61</v>
      </c>
      <c r="C2033" s="418">
        <f t="shared" si="206"/>
        <v>1.3427582062215393E-2</v>
      </c>
      <c r="D2033" s="411">
        <v>26.89</v>
      </c>
      <c r="E2033" s="418">
        <f t="shared" si="207"/>
        <v>7.8710644677661978E-3</v>
      </c>
      <c r="F2033" s="411"/>
      <c r="G2033" s="388"/>
      <c r="I2033" s="388"/>
    </row>
    <row r="2034" spans="1:9">
      <c r="A2034" s="408">
        <v>41585</v>
      </c>
      <c r="B2034" s="411">
        <v>1747.15</v>
      </c>
      <c r="C2034" s="418">
        <f t="shared" si="206"/>
        <v>-1.3182791204694677E-2</v>
      </c>
      <c r="D2034" s="411">
        <v>26.68</v>
      </c>
      <c r="E2034" s="418">
        <f t="shared" si="207"/>
        <v>-7.440476190476164E-3</v>
      </c>
      <c r="F2034" s="411"/>
      <c r="G2034" s="388"/>
      <c r="I2034" s="388"/>
    </row>
    <row r="2035" spans="1:9">
      <c r="A2035" s="408">
        <v>41584</v>
      </c>
      <c r="B2035" s="411">
        <v>1770.49</v>
      </c>
      <c r="C2035" s="418">
        <f t="shared" si="206"/>
        <v>4.2655291922153449E-3</v>
      </c>
      <c r="D2035" s="411">
        <v>26.88</v>
      </c>
      <c r="E2035" s="418">
        <f t="shared" si="207"/>
        <v>-2.1121631463947632E-2</v>
      </c>
      <c r="F2035" s="411"/>
      <c r="G2035" s="388"/>
      <c r="I2035" s="388"/>
    </row>
    <row r="2036" spans="1:9">
      <c r="A2036" s="408">
        <v>41583</v>
      </c>
      <c r="B2036" s="411">
        <v>1762.97</v>
      </c>
      <c r="C2036" s="418">
        <f t="shared" si="206"/>
        <v>-2.8055409433631606E-3</v>
      </c>
      <c r="D2036" s="411">
        <v>27.46</v>
      </c>
      <c r="E2036" s="418">
        <f t="shared" si="207"/>
        <v>7.2886297376095754E-4</v>
      </c>
      <c r="F2036" s="411"/>
      <c r="G2036" s="388"/>
      <c r="I2036" s="388"/>
    </row>
    <row r="2037" spans="1:9">
      <c r="A2037" s="408">
        <v>41582</v>
      </c>
      <c r="B2037" s="411">
        <v>1767.93</v>
      </c>
      <c r="C2037" s="418">
        <f t="shared" si="206"/>
        <v>3.5705365454916649E-3</v>
      </c>
      <c r="D2037" s="411">
        <v>27.44</v>
      </c>
      <c r="E2037" s="418">
        <f t="shared" si="207"/>
        <v>2.7715355805243425E-2</v>
      </c>
      <c r="F2037" s="411"/>
      <c r="G2037" s="388"/>
      <c r="I2037" s="388"/>
    </row>
    <row r="2038" spans="1:9">
      <c r="A2038" s="408">
        <v>41579</v>
      </c>
      <c r="B2038" s="411">
        <v>1761.64</v>
      </c>
      <c r="C2038" s="418">
        <f t="shared" si="206"/>
        <v>2.9034351623078436E-3</v>
      </c>
      <c r="D2038" s="411">
        <v>26.7</v>
      </c>
      <c r="E2038" s="418">
        <f t="shared" si="207"/>
        <v>1.2130401819560266E-2</v>
      </c>
      <c r="F2038" s="411"/>
      <c r="G2038" s="388"/>
      <c r="I2038" s="388"/>
    </row>
    <row r="2039" spans="1:9">
      <c r="A2039" s="408">
        <v>41578</v>
      </c>
      <c r="B2039" s="411">
        <v>1756.54</v>
      </c>
      <c r="C2039" s="418">
        <f t="shared" si="206"/>
        <v>-3.8393702752210768E-3</v>
      </c>
      <c r="D2039" s="411">
        <v>26.38</v>
      </c>
      <c r="E2039" s="418">
        <f t="shared" si="207"/>
        <v>-3.7764350453173279E-3</v>
      </c>
      <c r="F2039" s="411"/>
      <c r="G2039" s="388"/>
      <c r="I2039" s="388"/>
    </row>
    <row r="2040" spans="1:9">
      <c r="A2040" s="408">
        <v>41577</v>
      </c>
      <c r="B2040" s="411">
        <v>1763.31</v>
      </c>
      <c r="C2040" s="418">
        <f t="shared" si="206"/>
        <v>-4.8759840853297431E-3</v>
      </c>
      <c r="D2040" s="411">
        <v>26.48</v>
      </c>
      <c r="E2040" s="418">
        <f t="shared" si="207"/>
        <v>4.9335863377608646E-3</v>
      </c>
      <c r="F2040" s="411"/>
      <c r="G2040" s="388"/>
      <c r="I2040" s="388"/>
    </row>
    <row r="2041" spans="1:9">
      <c r="A2041" s="408">
        <v>41576</v>
      </c>
      <c r="B2041" s="411">
        <v>1771.95</v>
      </c>
      <c r="C2041" s="418">
        <f t="shared" si="206"/>
        <v>5.5842143793520815E-3</v>
      </c>
      <c r="D2041" s="411">
        <v>26.35</v>
      </c>
      <c r="E2041" s="418">
        <f t="shared" si="207"/>
        <v>8.033664881407887E-3</v>
      </c>
      <c r="F2041" s="411"/>
      <c r="G2041" s="388"/>
      <c r="I2041" s="388"/>
    </row>
    <row r="2042" spans="1:9">
      <c r="A2042" s="408">
        <v>41575</v>
      </c>
      <c r="B2042" s="411">
        <v>1762.11</v>
      </c>
      <c r="C2042" s="418">
        <f t="shared" si="206"/>
        <v>1.3297192246712886E-3</v>
      </c>
      <c r="D2042" s="411">
        <v>26.14</v>
      </c>
      <c r="E2042" s="418">
        <f t="shared" si="207"/>
        <v>-6.4614215127327679E-3</v>
      </c>
      <c r="F2042" s="411"/>
      <c r="G2042" s="388"/>
      <c r="I2042" s="388"/>
    </row>
    <row r="2043" spans="1:9">
      <c r="A2043" s="408">
        <v>41572</v>
      </c>
      <c r="B2043" s="411">
        <v>1759.77</v>
      </c>
      <c r="C2043" s="418">
        <f t="shared" si="206"/>
        <v>4.3948015775625571E-3</v>
      </c>
      <c r="D2043" s="411">
        <v>26.31</v>
      </c>
      <c r="E2043" s="418">
        <f t="shared" si="207"/>
        <v>-3.7993920972645423E-4</v>
      </c>
      <c r="F2043" s="411"/>
      <c r="G2043" s="388"/>
      <c r="I2043" s="388"/>
    </row>
    <row r="2044" spans="1:9">
      <c r="A2044" s="408">
        <v>41571</v>
      </c>
      <c r="B2044" s="411">
        <v>1752.07</v>
      </c>
      <c r="C2044" s="418">
        <f t="shared" si="206"/>
        <v>3.258168325335653E-3</v>
      </c>
      <c r="D2044" s="411">
        <v>26.32</v>
      </c>
      <c r="E2044" s="418">
        <f t="shared" si="207"/>
        <v>2.7723545490043078E-2</v>
      </c>
      <c r="F2044" s="411"/>
      <c r="G2044" s="388"/>
      <c r="I2044" s="388"/>
    </row>
    <row r="2045" spans="1:9">
      <c r="A2045" s="408">
        <v>41570</v>
      </c>
      <c r="B2045" s="411">
        <v>1746.38</v>
      </c>
      <c r="C2045" s="418">
        <f t="shared" si="206"/>
        <v>-4.7245350977676015E-3</v>
      </c>
      <c r="D2045" s="411">
        <v>25.61</v>
      </c>
      <c r="E2045" s="418">
        <f t="shared" si="207"/>
        <v>4.7077285209886632E-3</v>
      </c>
      <c r="F2045" s="411"/>
      <c r="G2045" s="388"/>
      <c r="I2045" s="388"/>
    </row>
    <row r="2046" spans="1:9">
      <c r="A2046" s="408">
        <v>41569</v>
      </c>
      <c r="B2046" s="411">
        <v>1754.67</v>
      </c>
      <c r="C2046" s="418">
        <f t="shared" si="206"/>
        <v>5.7375075946028975E-3</v>
      </c>
      <c r="D2046" s="411">
        <v>25.49</v>
      </c>
      <c r="E2046" s="418">
        <f t="shared" si="207"/>
        <v>3.2401782098015364E-2</v>
      </c>
      <c r="F2046" s="411"/>
      <c r="G2046" s="388"/>
      <c r="I2046" s="388"/>
    </row>
    <row r="2047" spans="1:9">
      <c r="A2047" s="408">
        <v>41568</v>
      </c>
      <c r="B2047" s="411">
        <v>1744.66</v>
      </c>
      <c r="C2047" s="418">
        <f t="shared" si="206"/>
        <v>9.1716824305088096E-5</v>
      </c>
      <c r="D2047" s="411">
        <v>24.69</v>
      </c>
      <c r="E2047" s="418">
        <f t="shared" si="207"/>
        <v>-1.2794882047181155E-2</v>
      </c>
      <c r="F2047" s="411"/>
      <c r="G2047" s="388"/>
      <c r="I2047" s="388"/>
    </row>
    <row r="2048" spans="1:9">
      <c r="A2048" s="408">
        <v>41565</v>
      </c>
      <c r="B2048" s="411">
        <v>1744.5</v>
      </c>
      <c r="C2048" s="418">
        <f t="shared" si="206"/>
        <v>6.5487695813979396E-3</v>
      </c>
      <c r="D2048" s="411">
        <v>25.01</v>
      </c>
      <c r="E2048" s="418">
        <f t="shared" si="207"/>
        <v>8.8745461879791154E-3</v>
      </c>
      <c r="F2048" s="411"/>
      <c r="G2048" s="388"/>
      <c r="I2048" s="388"/>
    </row>
    <row r="2049" spans="1:9">
      <c r="A2049" s="408">
        <v>41564</v>
      </c>
      <c r="B2049" s="411">
        <v>1733.15</v>
      </c>
      <c r="C2049" s="418">
        <f t="shared" si="206"/>
        <v>6.7439618016427172E-3</v>
      </c>
      <c r="D2049" s="411">
        <v>24.79</v>
      </c>
      <c r="E2049" s="418">
        <f t="shared" si="207"/>
        <v>1.5151515151515138E-2</v>
      </c>
      <c r="F2049" s="411"/>
      <c r="G2049" s="388"/>
      <c r="I2049" s="388"/>
    </row>
    <row r="2050" spans="1:9">
      <c r="A2050" s="408">
        <v>41563</v>
      </c>
      <c r="B2050" s="411">
        <v>1721.54</v>
      </c>
      <c r="C2050" s="418">
        <f t="shared" si="206"/>
        <v>1.3827544374168221E-2</v>
      </c>
      <c r="D2050" s="411">
        <v>24.42</v>
      </c>
      <c r="E2050" s="418">
        <f t="shared" si="207"/>
        <v>1.6652789342214813E-2</v>
      </c>
      <c r="F2050" s="411"/>
      <c r="G2050" s="388"/>
      <c r="I2050" s="388"/>
    </row>
    <row r="2051" spans="1:9">
      <c r="A2051" s="408">
        <v>41562</v>
      </c>
      <c r="B2051" s="411">
        <v>1698.06</v>
      </c>
      <c r="C2051" s="418">
        <f t="shared" si="206"/>
        <v>-7.0637491667350227E-3</v>
      </c>
      <c r="D2051" s="411">
        <v>24.02</v>
      </c>
      <c r="E2051" s="418">
        <f t="shared" si="207"/>
        <v>-3.7328909166320923E-3</v>
      </c>
      <c r="F2051" s="411"/>
      <c r="G2051" s="388"/>
      <c r="I2051" s="388"/>
    </row>
    <row r="2052" spans="1:9">
      <c r="A2052" s="408">
        <v>41561</v>
      </c>
      <c r="B2052" s="411">
        <v>1710.14</v>
      </c>
      <c r="C2052" s="418">
        <f t="shared" si="206"/>
        <v>4.0746829497417814E-3</v>
      </c>
      <c r="D2052" s="411">
        <v>24.11</v>
      </c>
      <c r="E2052" s="418">
        <f t="shared" si="207"/>
        <v>-1.1885245901639307E-2</v>
      </c>
      <c r="F2052" s="411"/>
      <c r="G2052" s="388"/>
      <c r="I2052" s="388"/>
    </row>
    <row r="2053" spans="1:9">
      <c r="A2053" s="408">
        <v>41558</v>
      </c>
      <c r="B2053" s="411">
        <v>1703.2</v>
      </c>
      <c r="C2053" s="418">
        <f t="shared" si="206"/>
        <v>6.2863354917994663E-3</v>
      </c>
      <c r="D2053" s="411">
        <v>24.4</v>
      </c>
      <c r="E2053" s="418">
        <f t="shared" si="207"/>
        <v>-4.4879640962873779E-3</v>
      </c>
      <c r="F2053" s="411"/>
      <c r="G2053" s="388"/>
      <c r="I2053" s="388"/>
    </row>
    <row r="2054" spans="1:9">
      <c r="A2054" s="408">
        <v>41557</v>
      </c>
      <c r="B2054" s="411">
        <v>1692.56</v>
      </c>
      <c r="C2054" s="418">
        <f t="shared" si="206"/>
        <v>2.1830475730499899E-2</v>
      </c>
      <c r="D2054" s="411">
        <v>24.51</v>
      </c>
      <c r="E2054" s="418">
        <f t="shared" si="207"/>
        <v>1.0721649484536133E-2</v>
      </c>
      <c r="F2054" s="411"/>
      <c r="G2054" s="388"/>
      <c r="I2054" s="388"/>
    </row>
    <row r="2055" spans="1:9">
      <c r="A2055" s="408">
        <v>41556</v>
      </c>
      <c r="B2055" s="411">
        <v>1656.4</v>
      </c>
      <c r="C2055" s="418">
        <f t="shared" si="206"/>
        <v>5.7386209187826331E-4</v>
      </c>
      <c r="D2055" s="411">
        <v>24.25</v>
      </c>
      <c r="E2055" s="418">
        <f t="shared" si="207"/>
        <v>8.2542302930255218E-4</v>
      </c>
      <c r="F2055" s="411"/>
      <c r="G2055" s="388"/>
      <c r="I2055" s="388"/>
    </row>
    <row r="2056" spans="1:9">
      <c r="A2056" s="408">
        <v>41555</v>
      </c>
      <c r="B2056" s="411">
        <v>1655.45</v>
      </c>
      <c r="C2056" s="418">
        <f t="shared" ref="C2056:C2119" si="208">B2056/B2057-1</f>
        <v>-1.2332052597665899E-2</v>
      </c>
      <c r="D2056" s="411">
        <v>24.23</v>
      </c>
      <c r="E2056" s="418">
        <f t="shared" ref="E2056:E2119" si="209">D2056/D2057-1</f>
        <v>-2.4949698189134839E-2</v>
      </c>
      <c r="F2056" s="411"/>
      <c r="G2056" s="388"/>
      <c r="I2056" s="388"/>
    </row>
    <row r="2057" spans="1:9">
      <c r="A2057" s="408">
        <v>41554</v>
      </c>
      <c r="B2057" s="411">
        <v>1676.12</v>
      </c>
      <c r="C2057" s="418">
        <f t="shared" si="208"/>
        <v>-8.5063590653653431E-3</v>
      </c>
      <c r="D2057" s="411">
        <v>24.85</v>
      </c>
      <c r="E2057" s="418">
        <f t="shared" si="209"/>
        <v>-1.349741961095674E-2</v>
      </c>
      <c r="F2057" s="411"/>
      <c r="G2057" s="388"/>
      <c r="I2057" s="388"/>
    </row>
    <row r="2058" spans="1:9">
      <c r="A2058" s="408">
        <v>41551</v>
      </c>
      <c r="B2058" s="411">
        <v>1690.5</v>
      </c>
      <c r="C2058" s="418">
        <f t="shared" si="208"/>
        <v>7.0532448500588707E-3</v>
      </c>
      <c r="D2058" s="411">
        <v>25.19</v>
      </c>
      <c r="E2058" s="418">
        <f t="shared" si="209"/>
        <v>2.6487367563162278E-2</v>
      </c>
      <c r="F2058" s="411"/>
      <c r="G2058" s="388"/>
      <c r="I2058" s="388"/>
    </row>
    <row r="2059" spans="1:9">
      <c r="A2059" s="408">
        <v>41550</v>
      </c>
      <c r="B2059" s="411">
        <v>1678.66</v>
      </c>
      <c r="C2059" s="418">
        <f t="shared" si="208"/>
        <v>-8.979437619179631E-3</v>
      </c>
      <c r="D2059" s="411">
        <v>24.54</v>
      </c>
      <c r="E2059" s="418">
        <f t="shared" si="209"/>
        <v>1.1958762886597807E-2</v>
      </c>
      <c r="F2059" s="411"/>
      <c r="G2059" s="388"/>
      <c r="I2059" s="388"/>
    </row>
    <row r="2060" spans="1:9">
      <c r="A2060" s="408">
        <v>41549</v>
      </c>
      <c r="B2060" s="411">
        <v>1693.87</v>
      </c>
      <c r="C2060" s="418">
        <f t="shared" si="208"/>
        <v>-6.6666666666670427E-4</v>
      </c>
      <c r="D2060" s="411">
        <v>24.25</v>
      </c>
      <c r="E2060" s="418">
        <f t="shared" si="209"/>
        <v>1.652209830648399E-3</v>
      </c>
      <c r="F2060" s="411"/>
      <c r="G2060" s="388"/>
      <c r="I2060" s="388"/>
    </row>
    <row r="2061" spans="1:9">
      <c r="A2061" s="408">
        <v>41548</v>
      </c>
      <c r="B2061" s="411">
        <v>1695</v>
      </c>
      <c r="C2061" s="418">
        <f t="shared" si="208"/>
        <v>7.9985727453837363E-3</v>
      </c>
      <c r="D2061" s="411">
        <v>24.21</v>
      </c>
      <c r="E2061" s="418">
        <f t="shared" si="209"/>
        <v>2.6282323018228082E-2</v>
      </c>
      <c r="F2061" s="411"/>
      <c r="G2061" s="388"/>
      <c r="I2061" s="388"/>
    </row>
    <row r="2062" spans="1:9">
      <c r="A2062" s="408">
        <v>41547</v>
      </c>
      <c r="B2062" s="411">
        <v>1681.55</v>
      </c>
      <c r="C2062" s="418">
        <f t="shared" si="208"/>
        <v>-6.029259642382212E-3</v>
      </c>
      <c r="D2062" s="411">
        <v>23.59</v>
      </c>
      <c r="E2062" s="418">
        <f t="shared" si="209"/>
        <v>8.4853627492575967E-4</v>
      </c>
      <c r="F2062" s="411"/>
      <c r="G2062" s="388"/>
      <c r="I2062" s="388"/>
    </row>
    <row r="2063" spans="1:9">
      <c r="A2063" s="408">
        <v>41544</v>
      </c>
      <c r="B2063" s="411">
        <v>1691.75</v>
      </c>
      <c r="C2063" s="418">
        <f t="shared" si="208"/>
        <v>-4.0737753654329634E-3</v>
      </c>
      <c r="D2063" s="411">
        <v>23.57</v>
      </c>
      <c r="E2063" s="418">
        <f t="shared" si="209"/>
        <v>-1.8325697625989235E-2</v>
      </c>
      <c r="F2063" s="411"/>
      <c r="G2063" s="388"/>
      <c r="I2063" s="388"/>
    </row>
    <row r="2064" spans="1:9">
      <c r="A2064" s="408">
        <v>41543</v>
      </c>
      <c r="B2064" s="411">
        <v>1698.67</v>
      </c>
      <c r="C2064" s="418">
        <f t="shared" si="208"/>
        <v>3.4854114853171136E-3</v>
      </c>
      <c r="D2064" s="411">
        <v>24.01</v>
      </c>
      <c r="E2064" s="418">
        <f t="shared" si="209"/>
        <v>8.3998320033600304E-3</v>
      </c>
      <c r="F2064" s="411"/>
      <c r="G2064" s="388"/>
      <c r="I2064" s="388"/>
    </row>
    <row r="2065" spans="1:9">
      <c r="A2065" s="408">
        <v>41542</v>
      </c>
      <c r="B2065" s="411">
        <v>1692.77</v>
      </c>
      <c r="C2065" s="418">
        <f t="shared" si="208"/>
        <v>-2.7394516383688616E-3</v>
      </c>
      <c r="D2065" s="411">
        <v>23.81</v>
      </c>
      <c r="E2065" s="418">
        <f t="shared" si="209"/>
        <v>2.1043771043769421E-3</v>
      </c>
      <c r="F2065" s="411"/>
      <c r="G2065" s="388"/>
      <c r="I2065" s="388"/>
    </row>
    <row r="2066" spans="1:9">
      <c r="A2066" s="408">
        <v>41541</v>
      </c>
      <c r="B2066" s="411">
        <v>1697.42</v>
      </c>
      <c r="C2066" s="418">
        <f t="shared" si="208"/>
        <v>-2.5971889249282176E-3</v>
      </c>
      <c r="D2066" s="411">
        <v>23.76</v>
      </c>
      <c r="E2066" s="418">
        <f t="shared" si="209"/>
        <v>1.8867924528301883E-2</v>
      </c>
      <c r="F2066" s="411"/>
      <c r="G2066" s="388"/>
      <c r="I2066" s="388"/>
    </row>
    <row r="2067" spans="1:9">
      <c r="A2067" s="408">
        <v>41540</v>
      </c>
      <c r="B2067" s="411">
        <v>1701.84</v>
      </c>
      <c r="C2067" s="418">
        <f t="shared" si="208"/>
        <v>-4.7195466428058275E-3</v>
      </c>
      <c r="D2067" s="411">
        <v>23.32</v>
      </c>
      <c r="E2067" s="418">
        <f t="shared" si="209"/>
        <v>8.5836909871250811E-4</v>
      </c>
      <c r="F2067" s="411"/>
      <c r="G2067" s="388"/>
      <c r="I2067" s="388"/>
    </row>
    <row r="2068" spans="1:9">
      <c r="A2068" s="408">
        <v>41537</v>
      </c>
      <c r="B2068" s="411">
        <v>1709.91</v>
      </c>
      <c r="C2068" s="418">
        <f t="shared" si="208"/>
        <v>-7.2169258102348088E-3</v>
      </c>
      <c r="D2068" s="411">
        <v>23.3</v>
      </c>
      <c r="E2068" s="418">
        <f t="shared" si="209"/>
        <v>-6.3965884861406641E-3</v>
      </c>
      <c r="F2068" s="411"/>
      <c r="G2068" s="388"/>
      <c r="I2068" s="388"/>
    </row>
    <row r="2069" spans="1:9">
      <c r="A2069" s="408">
        <v>41536</v>
      </c>
      <c r="B2069" s="411">
        <v>1722.34</v>
      </c>
      <c r="C2069" s="418">
        <f t="shared" si="208"/>
        <v>-1.8429227131532278E-3</v>
      </c>
      <c r="D2069" s="411">
        <v>23.45</v>
      </c>
      <c r="E2069" s="418">
        <f t="shared" si="209"/>
        <v>6.0060060060060927E-3</v>
      </c>
      <c r="F2069" s="411"/>
      <c r="G2069" s="388"/>
      <c r="I2069" s="388"/>
    </row>
    <row r="2070" spans="1:9">
      <c r="A2070" s="408">
        <v>41535</v>
      </c>
      <c r="B2070" s="411">
        <v>1725.52</v>
      </c>
      <c r="C2070" s="418">
        <f t="shared" si="208"/>
        <v>1.217766723761704E-2</v>
      </c>
      <c r="D2070" s="411">
        <v>23.31</v>
      </c>
      <c r="E2070" s="418">
        <f t="shared" si="209"/>
        <v>-4.2881646655235084E-4</v>
      </c>
      <c r="F2070" s="411"/>
      <c r="G2070" s="388"/>
      <c r="I2070" s="388"/>
    </row>
    <row r="2071" spans="1:9">
      <c r="A2071" s="408">
        <v>41534</v>
      </c>
      <c r="B2071" s="411">
        <v>1704.76</v>
      </c>
      <c r="C2071" s="418">
        <f t="shared" si="208"/>
        <v>4.2177191328935937E-3</v>
      </c>
      <c r="D2071" s="411">
        <v>23.32</v>
      </c>
      <c r="E2071" s="418">
        <f t="shared" si="209"/>
        <v>7.3434125269979944E-3</v>
      </c>
      <c r="F2071" s="411"/>
      <c r="G2071" s="388"/>
      <c r="I2071" s="388"/>
    </row>
    <row r="2072" spans="1:9">
      <c r="A2072" s="408">
        <v>41533</v>
      </c>
      <c r="B2072" s="411">
        <v>1697.6</v>
      </c>
      <c r="C2072" s="418">
        <f t="shared" si="208"/>
        <v>5.6931616893465264E-3</v>
      </c>
      <c r="D2072" s="411">
        <v>23.15</v>
      </c>
      <c r="E2072" s="418">
        <f t="shared" si="209"/>
        <v>3.0262572318647152E-2</v>
      </c>
      <c r="F2072" s="411"/>
      <c r="G2072" s="388"/>
      <c r="I2072" s="388"/>
    </row>
    <row r="2073" spans="1:9">
      <c r="A2073" s="408">
        <v>41530</v>
      </c>
      <c r="B2073" s="411">
        <v>1687.99</v>
      </c>
      <c r="C2073" s="418">
        <f t="shared" si="208"/>
        <v>2.7147117178125679E-3</v>
      </c>
      <c r="D2073" s="411">
        <v>22.47</v>
      </c>
      <c r="E2073" s="418">
        <f t="shared" si="209"/>
        <v>1.3531799729363803E-2</v>
      </c>
      <c r="F2073" s="411"/>
      <c r="G2073" s="388"/>
      <c r="I2073" s="388"/>
    </row>
    <row r="2074" spans="1:9">
      <c r="A2074" s="408">
        <v>41529</v>
      </c>
      <c r="B2074" s="411">
        <v>1683.42</v>
      </c>
      <c r="C2074" s="418">
        <f t="shared" si="208"/>
        <v>-3.38043845056335E-3</v>
      </c>
      <c r="D2074" s="411">
        <v>22.17</v>
      </c>
      <c r="E2074" s="418">
        <f t="shared" si="209"/>
        <v>-1.1150758251561088E-2</v>
      </c>
      <c r="F2074" s="411"/>
      <c r="G2074" s="388"/>
      <c r="I2074" s="388"/>
    </row>
    <row r="2075" spans="1:9">
      <c r="A2075" s="408">
        <v>41528</v>
      </c>
      <c r="B2075" s="411">
        <v>1689.13</v>
      </c>
      <c r="C2075" s="418">
        <f t="shared" si="208"/>
        <v>3.0522746572130277E-3</v>
      </c>
      <c r="D2075" s="411">
        <v>22.42</v>
      </c>
      <c r="E2075" s="418">
        <f t="shared" si="209"/>
        <v>-9.2797171895712127E-3</v>
      </c>
      <c r="F2075" s="411"/>
      <c r="G2075" s="388"/>
      <c r="I2075" s="388"/>
    </row>
    <row r="2076" spans="1:9">
      <c r="A2076" s="408">
        <v>41527</v>
      </c>
      <c r="B2076" s="411">
        <v>1683.99</v>
      </c>
      <c r="C2076" s="418">
        <f t="shared" si="208"/>
        <v>7.3457716948512886E-3</v>
      </c>
      <c r="D2076" s="411">
        <v>22.63</v>
      </c>
      <c r="E2076" s="418">
        <f t="shared" si="209"/>
        <v>3.9981617647058654E-2</v>
      </c>
      <c r="F2076" s="411"/>
      <c r="G2076" s="388"/>
      <c r="I2076" s="388"/>
    </row>
    <row r="2077" spans="1:9">
      <c r="A2077" s="408">
        <v>41526</v>
      </c>
      <c r="B2077" s="411">
        <v>1671.71</v>
      </c>
      <c r="C2077" s="418">
        <f t="shared" si="208"/>
        <v>9.9929312396913605E-3</v>
      </c>
      <c r="D2077" s="411">
        <v>21.76</v>
      </c>
      <c r="E2077" s="418">
        <f t="shared" si="209"/>
        <v>9.4017094017094127E-2</v>
      </c>
      <c r="F2077" s="411"/>
      <c r="G2077" s="388"/>
      <c r="I2077" s="388"/>
    </row>
    <row r="2078" spans="1:9">
      <c r="A2078" s="408">
        <v>41523</v>
      </c>
      <c r="B2078" s="411">
        <v>1655.17</v>
      </c>
      <c r="C2078" s="418">
        <f t="shared" si="208"/>
        <v>5.4378036107083361E-5</v>
      </c>
      <c r="D2078" s="411">
        <v>19.89</v>
      </c>
      <c r="E2078" s="418">
        <f t="shared" si="209"/>
        <v>-1.7777777777777781E-2</v>
      </c>
      <c r="F2078" s="411"/>
      <c r="G2078" s="388"/>
      <c r="I2078" s="388"/>
    </row>
    <row r="2079" spans="1:9">
      <c r="A2079" s="408">
        <v>41522</v>
      </c>
      <c r="B2079" s="411">
        <v>1655.08</v>
      </c>
      <c r="C2079" s="418">
        <f t="shared" si="208"/>
        <v>1.2098628015582147E-3</v>
      </c>
      <c r="D2079" s="411">
        <v>20.25</v>
      </c>
      <c r="E2079" s="418">
        <f t="shared" si="209"/>
        <v>-2.9542097488921559E-3</v>
      </c>
      <c r="F2079" s="411"/>
      <c r="G2079" s="388"/>
      <c r="I2079" s="388"/>
    </row>
    <row r="2080" spans="1:9">
      <c r="A2080" s="408">
        <v>41521</v>
      </c>
      <c r="B2080" s="411">
        <v>1653.08</v>
      </c>
      <c r="C2080" s="418">
        <f t="shared" si="208"/>
        <v>8.1169920171730858E-3</v>
      </c>
      <c r="D2080" s="411">
        <v>20.309999999999999</v>
      </c>
      <c r="E2080" s="418">
        <f t="shared" si="209"/>
        <v>2.3689516129032251E-2</v>
      </c>
      <c r="F2080" s="411"/>
      <c r="G2080" s="388"/>
      <c r="I2080" s="388"/>
    </row>
    <row r="2081" spans="1:9">
      <c r="A2081" s="408">
        <v>41520</v>
      </c>
      <c r="B2081" s="411">
        <v>1639.77</v>
      </c>
      <c r="C2081" s="418">
        <f t="shared" si="208"/>
        <v>4.1641916263004397E-3</v>
      </c>
      <c r="D2081" s="411">
        <v>19.84</v>
      </c>
      <c r="E2081" s="418">
        <f t="shared" si="209"/>
        <v>5.5752660922452346E-3</v>
      </c>
      <c r="F2081" s="411"/>
      <c r="G2081" s="388"/>
      <c r="I2081" s="388"/>
    </row>
    <row r="2082" spans="1:9">
      <c r="A2082" s="408">
        <v>41516</v>
      </c>
      <c r="B2082" s="411">
        <v>1632.97</v>
      </c>
      <c r="C2082" s="418">
        <f t="shared" si="208"/>
        <v>-3.174273732274413E-3</v>
      </c>
      <c r="D2082" s="411">
        <v>19.73</v>
      </c>
      <c r="E2082" s="418">
        <f t="shared" si="209"/>
        <v>4.5824847250508505E-3</v>
      </c>
      <c r="F2082" s="411"/>
      <c r="G2082" s="388"/>
      <c r="I2082" s="388"/>
    </row>
    <row r="2083" spans="1:9">
      <c r="A2083" s="408">
        <v>41515</v>
      </c>
      <c r="B2083" s="411">
        <v>1638.17</v>
      </c>
      <c r="C2083" s="418">
        <f t="shared" si="208"/>
        <v>1.9633507853402676E-3</v>
      </c>
      <c r="D2083" s="411">
        <v>19.64</v>
      </c>
      <c r="E2083" s="418">
        <f t="shared" si="209"/>
        <v>2.6659696811291322E-2</v>
      </c>
      <c r="F2083" s="411"/>
      <c r="G2083" s="388"/>
      <c r="I2083" s="388"/>
    </row>
    <row r="2084" spans="1:9">
      <c r="A2084" s="408">
        <v>41514</v>
      </c>
      <c r="B2084" s="411">
        <v>1634.96</v>
      </c>
      <c r="C2084" s="418">
        <f t="shared" si="208"/>
        <v>2.7476571316422671E-3</v>
      </c>
      <c r="D2084" s="411">
        <v>19.13</v>
      </c>
      <c r="E2084" s="418">
        <f t="shared" si="209"/>
        <v>1.0465724751438366E-3</v>
      </c>
      <c r="F2084" s="411"/>
      <c r="G2084" s="388"/>
      <c r="I2084" s="388"/>
    </row>
    <row r="2085" spans="1:9">
      <c r="A2085" s="408">
        <v>41513</v>
      </c>
      <c r="B2085" s="411">
        <v>1630.48</v>
      </c>
      <c r="C2085" s="418">
        <f t="shared" si="208"/>
        <v>-1.587416555004284E-2</v>
      </c>
      <c r="D2085" s="411">
        <v>19.11</v>
      </c>
      <c r="E2085" s="418">
        <f t="shared" si="209"/>
        <v>-5.7227429699062693E-2</v>
      </c>
      <c r="F2085" s="411"/>
      <c r="G2085" s="388"/>
      <c r="I2085" s="388"/>
    </row>
    <row r="2086" spans="1:9">
      <c r="A2086" s="408">
        <v>41512</v>
      </c>
      <c r="B2086" s="411">
        <v>1656.78</v>
      </c>
      <c r="C2086" s="418">
        <f t="shared" si="208"/>
        <v>-4.0396753832281362E-3</v>
      </c>
      <c r="D2086" s="411">
        <v>20.27</v>
      </c>
      <c r="E2086" s="418">
        <f t="shared" si="209"/>
        <v>7.4552683896620398E-3</v>
      </c>
      <c r="F2086" s="411"/>
      <c r="G2086" s="388"/>
      <c r="I2086" s="388"/>
    </row>
    <row r="2087" spans="1:9">
      <c r="A2087" s="408">
        <v>41509</v>
      </c>
      <c r="B2087" s="411">
        <v>1663.5</v>
      </c>
      <c r="C2087" s="418">
        <f t="shared" si="208"/>
        <v>3.9469872537658546E-3</v>
      </c>
      <c r="D2087" s="411">
        <v>20.12</v>
      </c>
      <c r="E2087" s="418">
        <f t="shared" si="209"/>
        <v>-6.4197530864197327E-3</v>
      </c>
      <c r="F2087" s="411"/>
      <c r="G2087" s="388"/>
      <c r="I2087" s="388"/>
    </row>
    <row r="2088" spans="1:9">
      <c r="A2088" s="408">
        <v>41508</v>
      </c>
      <c r="B2088" s="411">
        <v>1656.96</v>
      </c>
      <c r="C2088" s="418">
        <f t="shared" si="208"/>
        <v>8.6194302410518286E-3</v>
      </c>
      <c r="D2088" s="411">
        <v>20.25</v>
      </c>
      <c r="E2088" s="418">
        <f t="shared" si="209"/>
        <v>3.5276073619632031E-2</v>
      </c>
      <c r="F2088" s="411"/>
      <c r="G2088" s="388"/>
      <c r="I2088" s="388"/>
    </row>
    <row r="2089" spans="1:9">
      <c r="A2089" s="408">
        <v>41507</v>
      </c>
      <c r="B2089" s="411">
        <v>1642.8</v>
      </c>
      <c r="C2089" s="418">
        <f t="shared" si="208"/>
        <v>-5.7796471691832219E-3</v>
      </c>
      <c r="D2089" s="411">
        <v>19.559999999999999</v>
      </c>
      <c r="E2089" s="418">
        <f t="shared" si="209"/>
        <v>1.9280875455966573E-2</v>
      </c>
      <c r="F2089" s="411"/>
      <c r="G2089" s="388"/>
      <c r="I2089" s="388"/>
    </row>
    <row r="2090" spans="1:9">
      <c r="A2090" s="408">
        <v>41506</v>
      </c>
      <c r="B2090" s="411">
        <v>1652.35</v>
      </c>
      <c r="C2090" s="418">
        <f t="shared" si="208"/>
        <v>3.8212458841111463E-3</v>
      </c>
      <c r="D2090" s="411">
        <v>19.190000000000001</v>
      </c>
      <c r="E2090" s="418">
        <f t="shared" si="209"/>
        <v>3.1364349189755281E-3</v>
      </c>
      <c r="F2090" s="411"/>
      <c r="G2090" s="388"/>
      <c r="I2090" s="388"/>
    </row>
    <row r="2091" spans="1:9">
      <c r="A2091" s="408">
        <v>41505</v>
      </c>
      <c r="B2091" s="411">
        <v>1646.06</v>
      </c>
      <c r="C2091" s="418">
        <f t="shared" si="208"/>
        <v>-5.9003641678191387E-3</v>
      </c>
      <c r="D2091" s="411">
        <v>19.13</v>
      </c>
      <c r="E2091" s="418">
        <f t="shared" si="209"/>
        <v>-3.5300050428643481E-2</v>
      </c>
      <c r="F2091" s="411"/>
      <c r="G2091" s="388"/>
      <c r="I2091" s="388"/>
    </row>
    <row r="2092" spans="1:9">
      <c r="A2092" s="408">
        <v>41502</v>
      </c>
      <c r="B2092" s="411">
        <v>1655.83</v>
      </c>
      <c r="C2092" s="418">
        <f t="shared" si="208"/>
        <v>-3.3046011605230019E-3</v>
      </c>
      <c r="D2092" s="411">
        <v>19.829999999999998</v>
      </c>
      <c r="E2092" s="418">
        <f t="shared" si="209"/>
        <v>1.5360983102918446E-2</v>
      </c>
      <c r="F2092" s="411"/>
      <c r="G2092" s="388"/>
      <c r="I2092" s="388"/>
    </row>
    <row r="2093" spans="1:9">
      <c r="A2093" s="408">
        <v>41501</v>
      </c>
      <c r="B2093" s="411">
        <v>1661.32</v>
      </c>
      <c r="C2093" s="418">
        <f t="shared" si="208"/>
        <v>-1.428156094435129E-2</v>
      </c>
      <c r="D2093" s="411">
        <v>19.53</v>
      </c>
      <c r="E2093" s="418">
        <f t="shared" si="209"/>
        <v>2.5735294117647189E-2</v>
      </c>
      <c r="F2093" s="411"/>
      <c r="G2093" s="388"/>
      <c r="I2093" s="388"/>
    </row>
    <row r="2094" spans="1:9">
      <c r="A2094" s="408">
        <v>41500</v>
      </c>
      <c r="B2094" s="411">
        <v>1685.39</v>
      </c>
      <c r="C2094" s="418">
        <f t="shared" si="208"/>
        <v>-5.1766066959436641E-3</v>
      </c>
      <c r="D2094" s="411">
        <v>19.04</v>
      </c>
      <c r="E2094" s="418">
        <f t="shared" si="209"/>
        <v>-2.6086956521739202E-2</v>
      </c>
      <c r="F2094" s="411"/>
      <c r="G2094" s="388"/>
      <c r="I2094" s="388"/>
    </row>
    <row r="2095" spans="1:9">
      <c r="A2095" s="408">
        <v>41499</v>
      </c>
      <c r="B2095" s="411">
        <v>1694.16</v>
      </c>
      <c r="C2095" s="418">
        <f t="shared" si="208"/>
        <v>2.7760185146821215E-3</v>
      </c>
      <c r="D2095" s="411">
        <v>19.55</v>
      </c>
      <c r="E2095" s="418">
        <f t="shared" si="209"/>
        <v>-7.0817490494296531E-2</v>
      </c>
      <c r="F2095" s="411"/>
      <c r="G2095" s="388"/>
      <c r="I2095" s="388"/>
    </row>
    <row r="2096" spans="1:9">
      <c r="A2096" s="408">
        <v>41498</v>
      </c>
      <c r="B2096" s="411">
        <v>1689.47</v>
      </c>
      <c r="C2096" s="418">
        <f t="shared" si="208"/>
        <v>-1.1528774639061323E-3</v>
      </c>
      <c r="D2096" s="411">
        <v>21.04</v>
      </c>
      <c r="E2096" s="418">
        <f t="shared" si="209"/>
        <v>2.284880894506558E-2</v>
      </c>
      <c r="F2096" s="411"/>
      <c r="G2096" s="388"/>
      <c r="I2096" s="388"/>
    </row>
    <row r="2097" spans="1:9">
      <c r="A2097" s="408">
        <v>41495</v>
      </c>
      <c r="B2097" s="411">
        <v>1691.42</v>
      </c>
      <c r="C2097" s="418">
        <f t="shared" si="208"/>
        <v>-3.5699978792091969E-3</v>
      </c>
      <c r="D2097" s="411">
        <v>20.57</v>
      </c>
      <c r="E2097" s="418">
        <f t="shared" si="209"/>
        <v>-2.32668566001899E-2</v>
      </c>
      <c r="F2097" s="411"/>
      <c r="G2097" s="388"/>
      <c r="I2097" s="388"/>
    </row>
    <row r="2098" spans="1:9">
      <c r="A2098" s="408">
        <v>41494</v>
      </c>
      <c r="B2098" s="411">
        <v>1697.48</v>
      </c>
      <c r="C2098" s="418">
        <f t="shared" si="208"/>
        <v>3.8854817819991005E-3</v>
      </c>
      <c r="D2098" s="411">
        <v>21.06</v>
      </c>
      <c r="E2098" s="418">
        <f t="shared" si="209"/>
        <v>3.8131553860818457E-3</v>
      </c>
      <c r="F2098" s="411"/>
      <c r="G2098" s="388"/>
      <c r="I2098" s="388"/>
    </row>
    <row r="2099" spans="1:9">
      <c r="A2099" s="408">
        <v>41493</v>
      </c>
      <c r="B2099" s="411">
        <v>1690.91</v>
      </c>
      <c r="C2099" s="418">
        <f t="shared" si="208"/>
        <v>-3.8058879325072459E-3</v>
      </c>
      <c r="D2099" s="411">
        <v>20.98</v>
      </c>
      <c r="E2099" s="418">
        <f t="shared" si="209"/>
        <v>0</v>
      </c>
      <c r="F2099" s="411"/>
      <c r="G2099" s="388"/>
      <c r="I2099" s="388"/>
    </row>
    <row r="2100" spans="1:9">
      <c r="A2100" s="408">
        <v>41492</v>
      </c>
      <c r="B2100" s="411">
        <v>1697.37</v>
      </c>
      <c r="C2100" s="418">
        <f t="shared" si="208"/>
        <v>-5.723022130581068E-3</v>
      </c>
      <c r="D2100" s="411">
        <v>20.98</v>
      </c>
      <c r="E2100" s="418">
        <f t="shared" si="209"/>
        <v>-3.3625057577153394E-2</v>
      </c>
      <c r="F2100" s="411"/>
      <c r="G2100" s="388"/>
      <c r="I2100" s="388"/>
    </row>
    <row r="2101" spans="1:9">
      <c r="A2101" s="408">
        <v>41491</v>
      </c>
      <c r="B2101" s="411">
        <v>1707.14</v>
      </c>
      <c r="C2101" s="418">
        <f t="shared" si="208"/>
        <v>-1.479817742605305E-3</v>
      </c>
      <c r="D2101" s="411">
        <v>21.71</v>
      </c>
      <c r="E2101" s="418">
        <f t="shared" si="209"/>
        <v>-1.0933940774487394E-2</v>
      </c>
      <c r="F2101" s="411"/>
      <c r="G2101" s="388"/>
      <c r="I2101" s="388"/>
    </row>
    <row r="2102" spans="1:9">
      <c r="A2102" s="408">
        <v>41488</v>
      </c>
      <c r="B2102" s="411">
        <v>1709.67</v>
      </c>
      <c r="C2102" s="418">
        <f t="shared" si="208"/>
        <v>1.6404295581973205E-3</v>
      </c>
      <c r="D2102" s="411">
        <v>21.95</v>
      </c>
      <c r="E2102" s="418">
        <f t="shared" si="209"/>
        <v>-4.5351473922903285E-3</v>
      </c>
      <c r="F2102" s="411"/>
      <c r="G2102" s="388"/>
      <c r="I2102" s="388"/>
    </row>
    <row r="2103" spans="1:9">
      <c r="A2103" s="408">
        <v>41487</v>
      </c>
      <c r="B2103" s="411">
        <v>1706.87</v>
      </c>
      <c r="C2103" s="418">
        <f t="shared" si="208"/>
        <v>1.254056106256618E-2</v>
      </c>
      <c r="D2103" s="411">
        <v>22.05</v>
      </c>
      <c r="E2103" s="418">
        <f t="shared" si="209"/>
        <v>3.8624587847385872E-2</v>
      </c>
      <c r="F2103" s="411"/>
      <c r="G2103" s="388"/>
      <c r="I2103" s="388"/>
    </row>
    <row r="2104" spans="1:9">
      <c r="A2104" s="408">
        <v>41486</v>
      </c>
      <c r="B2104" s="411">
        <v>1685.73</v>
      </c>
      <c r="C2104" s="418">
        <f t="shared" si="208"/>
        <v>-1.3642079290143716E-4</v>
      </c>
      <c r="D2104" s="411">
        <v>21.23</v>
      </c>
      <c r="E2104" s="418">
        <f t="shared" si="209"/>
        <v>1.8876828692779846E-3</v>
      </c>
      <c r="F2104" s="411"/>
      <c r="G2104" s="388"/>
      <c r="I2104" s="388"/>
    </row>
    <row r="2105" spans="1:9">
      <c r="A2105" s="408">
        <v>41485</v>
      </c>
      <c r="B2105" s="411">
        <v>1685.96</v>
      </c>
      <c r="C2105" s="418">
        <f t="shared" si="208"/>
        <v>3.738140304867521E-4</v>
      </c>
      <c r="D2105" s="411">
        <v>21.19</v>
      </c>
      <c r="E2105" s="418">
        <f t="shared" si="209"/>
        <v>-6.0975609756097615E-3</v>
      </c>
      <c r="F2105" s="411"/>
      <c r="G2105" s="388"/>
      <c r="I2105" s="388"/>
    </row>
    <row r="2106" spans="1:9">
      <c r="A2106" s="408">
        <v>41484</v>
      </c>
      <c r="B2106" s="411">
        <v>1685.33</v>
      </c>
      <c r="C2106" s="418">
        <f t="shared" si="208"/>
        <v>-3.7359973989892215E-3</v>
      </c>
      <c r="D2106" s="411">
        <v>21.32</v>
      </c>
      <c r="E2106" s="418">
        <f t="shared" si="209"/>
        <v>-2.6484018264840148E-2</v>
      </c>
      <c r="F2106" s="411"/>
      <c r="G2106" s="388"/>
      <c r="I2106" s="388"/>
    </row>
    <row r="2107" spans="1:9">
      <c r="A2107" s="408">
        <v>41481</v>
      </c>
      <c r="B2107" s="411">
        <v>1691.65</v>
      </c>
      <c r="C2107" s="418">
        <f t="shared" si="208"/>
        <v>8.2827984026034862E-4</v>
      </c>
      <c r="D2107" s="411">
        <v>21.9</v>
      </c>
      <c r="E2107" s="418">
        <f t="shared" si="209"/>
        <v>1.9553072625698276E-2</v>
      </c>
      <c r="F2107" s="411"/>
      <c r="G2107" s="388"/>
      <c r="I2107" s="388"/>
    </row>
    <row r="2108" spans="1:9">
      <c r="A2108" s="408">
        <v>41480</v>
      </c>
      <c r="B2108" s="411">
        <v>1690.25</v>
      </c>
      <c r="C2108" s="418">
        <f t="shared" si="208"/>
        <v>2.5564373583875089E-3</v>
      </c>
      <c r="D2108" s="411">
        <v>21.48</v>
      </c>
      <c r="E2108" s="418">
        <f t="shared" si="209"/>
        <v>3.2692307692307576E-2</v>
      </c>
      <c r="F2108" s="411"/>
      <c r="G2108" s="388"/>
      <c r="I2108" s="388"/>
    </row>
    <row r="2109" spans="1:9">
      <c r="A2109" s="408">
        <v>41479</v>
      </c>
      <c r="B2109" s="411">
        <v>1685.94</v>
      </c>
      <c r="C2109" s="418">
        <f t="shared" si="208"/>
        <v>-3.8111782745112732E-3</v>
      </c>
      <c r="D2109" s="411">
        <v>20.8</v>
      </c>
      <c r="E2109" s="418">
        <f t="shared" si="209"/>
        <v>1.7114914425427896E-2</v>
      </c>
      <c r="F2109" s="411"/>
      <c r="G2109" s="388"/>
      <c r="I2109" s="388"/>
    </row>
    <row r="2110" spans="1:9">
      <c r="A2110" s="408">
        <v>41478</v>
      </c>
      <c r="B2110" s="411">
        <v>1692.39</v>
      </c>
      <c r="C2110" s="418">
        <f t="shared" si="208"/>
        <v>-1.8519283056034341E-3</v>
      </c>
      <c r="D2110" s="411">
        <v>20.45</v>
      </c>
      <c r="E2110" s="418">
        <f t="shared" si="209"/>
        <v>3.9273441335296866E-3</v>
      </c>
      <c r="F2110" s="411"/>
      <c r="G2110" s="388"/>
      <c r="I2110" s="388"/>
    </row>
    <row r="2111" spans="1:9">
      <c r="A2111" s="408">
        <v>41477</v>
      </c>
      <c r="B2111" s="411">
        <v>1695.53</v>
      </c>
      <c r="C2111" s="418">
        <f t="shared" si="208"/>
        <v>2.0329887890124798E-3</v>
      </c>
      <c r="D2111" s="411">
        <v>20.37</v>
      </c>
      <c r="E2111" s="418">
        <f t="shared" si="209"/>
        <v>3.9428289797931448E-3</v>
      </c>
      <c r="F2111" s="411"/>
      <c r="G2111" s="388"/>
      <c r="I2111" s="388"/>
    </row>
    <row r="2112" spans="1:9">
      <c r="A2112" s="408">
        <v>41474</v>
      </c>
      <c r="B2112" s="411">
        <v>1692.09</v>
      </c>
      <c r="C2112" s="418">
        <f t="shared" si="208"/>
        <v>1.6100676583579165E-3</v>
      </c>
      <c r="D2112" s="411">
        <v>20.29</v>
      </c>
      <c r="E2112" s="418">
        <f t="shared" si="209"/>
        <v>-1.3132295719844311E-2</v>
      </c>
      <c r="F2112" s="411"/>
      <c r="G2112" s="388"/>
      <c r="I2112" s="388"/>
    </row>
    <row r="2113" spans="1:9">
      <c r="A2113" s="408">
        <v>41473</v>
      </c>
      <c r="B2113" s="411">
        <v>1689.37</v>
      </c>
      <c r="C2113" s="418">
        <f t="shared" si="208"/>
        <v>5.0329880838353436E-3</v>
      </c>
      <c r="D2113" s="411">
        <v>20.56</v>
      </c>
      <c r="E2113" s="418">
        <f t="shared" si="209"/>
        <v>3.2128514056224855E-2</v>
      </c>
      <c r="F2113" s="411"/>
      <c r="G2113" s="388"/>
      <c r="I2113" s="388"/>
    </row>
    <row r="2114" spans="1:9">
      <c r="A2114" s="408">
        <v>41472</v>
      </c>
      <c r="B2114" s="411">
        <v>1680.91</v>
      </c>
      <c r="C2114" s="418">
        <f t="shared" si="208"/>
        <v>2.7740326679632776E-3</v>
      </c>
      <c r="D2114" s="411">
        <v>19.920000000000002</v>
      </c>
      <c r="E2114" s="418">
        <f t="shared" si="209"/>
        <v>3.2659409020217911E-2</v>
      </c>
      <c r="F2114" s="411"/>
      <c r="G2114" s="388"/>
      <c r="I2114" s="388"/>
    </row>
    <row r="2115" spans="1:9">
      <c r="A2115" s="408">
        <v>41471</v>
      </c>
      <c r="B2115" s="411">
        <v>1676.26</v>
      </c>
      <c r="C2115" s="418">
        <f t="shared" si="208"/>
        <v>-3.7087667161961324E-3</v>
      </c>
      <c r="D2115" s="411">
        <v>19.29</v>
      </c>
      <c r="E2115" s="418">
        <f t="shared" si="209"/>
        <v>-7.7160493827161947E-3</v>
      </c>
      <c r="F2115" s="411"/>
      <c r="G2115" s="388"/>
      <c r="I2115" s="388"/>
    </row>
    <row r="2116" spans="1:9">
      <c r="A2116" s="408">
        <v>41470</v>
      </c>
      <c r="B2116" s="411">
        <v>1682.5</v>
      </c>
      <c r="C2116" s="418">
        <f t="shared" si="208"/>
        <v>1.3748445116326113E-3</v>
      </c>
      <c r="D2116" s="411">
        <v>19.440000000000001</v>
      </c>
      <c r="E2116" s="418">
        <f t="shared" si="209"/>
        <v>7.7760497667185291E-3</v>
      </c>
      <c r="F2116" s="411"/>
      <c r="G2116" s="388"/>
      <c r="I2116" s="388"/>
    </row>
    <row r="2117" spans="1:9">
      <c r="A2117" s="408">
        <v>41467</v>
      </c>
      <c r="B2117" s="411">
        <v>1680.19</v>
      </c>
      <c r="C2117" s="418">
        <f t="shared" si="208"/>
        <v>3.0865303100859887E-3</v>
      </c>
      <c r="D2117" s="411">
        <v>19.29</v>
      </c>
      <c r="E2117" s="418">
        <f t="shared" si="209"/>
        <v>2.2799575821845108E-2</v>
      </c>
      <c r="F2117" s="411"/>
      <c r="G2117" s="388"/>
      <c r="I2117" s="388"/>
    </row>
    <row r="2118" spans="1:9">
      <c r="A2118" s="408">
        <v>41466</v>
      </c>
      <c r="B2118" s="411">
        <v>1675.02</v>
      </c>
      <c r="C2118" s="418">
        <f t="shared" si="208"/>
        <v>1.3554235093367062E-2</v>
      </c>
      <c r="D2118" s="411">
        <v>18.86</v>
      </c>
      <c r="E2118" s="418">
        <f t="shared" si="209"/>
        <v>8.5561497326203106E-3</v>
      </c>
      <c r="F2118" s="411"/>
      <c r="G2118" s="388"/>
      <c r="I2118" s="388"/>
    </row>
    <row r="2119" spans="1:9">
      <c r="A2119" s="408">
        <v>41465</v>
      </c>
      <c r="B2119" s="411">
        <v>1652.62</v>
      </c>
      <c r="C2119" s="418">
        <f t="shared" si="208"/>
        <v>1.8156289338633336E-4</v>
      </c>
      <c r="D2119" s="411">
        <v>18.7</v>
      </c>
      <c r="E2119" s="418">
        <f t="shared" si="209"/>
        <v>-3.2591826176927019E-2</v>
      </c>
      <c r="F2119" s="411"/>
      <c r="G2119" s="388"/>
      <c r="I2119" s="388"/>
    </row>
    <row r="2120" spans="1:9">
      <c r="A2120" s="408">
        <v>41464</v>
      </c>
      <c r="B2120" s="411">
        <v>1652.32</v>
      </c>
      <c r="C2120" s="418">
        <f t="shared" ref="C2120:C2183" si="210">B2120/B2121-1</f>
        <v>7.2296794801458564E-3</v>
      </c>
      <c r="D2120" s="411">
        <v>19.329999999999998</v>
      </c>
      <c r="E2120" s="418">
        <f t="shared" ref="E2120:E2183" si="211">D2120/D2121-1</f>
        <v>1.5764582238570579E-2</v>
      </c>
      <c r="F2120" s="411"/>
      <c r="G2120" s="388"/>
      <c r="I2120" s="388"/>
    </row>
    <row r="2121" spans="1:9">
      <c r="A2121" s="408">
        <v>41463</v>
      </c>
      <c r="B2121" s="411">
        <v>1640.46</v>
      </c>
      <c r="C2121" s="418">
        <f t="shared" si="210"/>
        <v>5.2515794569487628E-3</v>
      </c>
      <c r="D2121" s="411">
        <v>19.03</v>
      </c>
      <c r="E2121" s="418">
        <f t="shared" si="211"/>
        <v>1.5789473684211242E-3</v>
      </c>
      <c r="F2121" s="411"/>
      <c r="G2121" s="388"/>
      <c r="I2121" s="388"/>
    </row>
    <row r="2122" spans="1:9">
      <c r="A2122" s="408">
        <v>41460</v>
      </c>
      <c r="B2122" s="411">
        <v>1631.89</v>
      </c>
      <c r="C2122" s="418">
        <f t="shared" si="210"/>
        <v>1.0201744448777639E-2</v>
      </c>
      <c r="D2122" s="411">
        <v>19</v>
      </c>
      <c r="E2122" s="418">
        <f t="shared" si="211"/>
        <v>3.2047800108636615E-2</v>
      </c>
      <c r="F2122" s="411"/>
      <c r="G2122" s="388"/>
      <c r="I2122" s="388"/>
    </row>
    <row r="2123" spans="1:9">
      <c r="A2123" s="408">
        <v>41458</v>
      </c>
      <c r="B2123" s="411">
        <v>1615.41</v>
      </c>
      <c r="C2123" s="418">
        <f t="shared" si="210"/>
        <v>8.2399881046790746E-4</v>
      </c>
      <c r="D2123" s="411">
        <v>18.41</v>
      </c>
      <c r="E2123" s="418">
        <f t="shared" si="211"/>
        <v>-3.0542390731964075E-2</v>
      </c>
      <c r="F2123" s="411"/>
      <c r="G2123" s="388"/>
      <c r="I2123" s="388"/>
    </row>
    <row r="2124" spans="1:9">
      <c r="A2124" s="408">
        <v>41457</v>
      </c>
      <c r="B2124" s="411">
        <v>1614.08</v>
      </c>
      <c r="C2124" s="418">
        <f t="shared" si="210"/>
        <v>-5.4490513696936471E-4</v>
      </c>
      <c r="D2124" s="411">
        <v>18.989999999999998</v>
      </c>
      <c r="E2124" s="418">
        <f t="shared" si="211"/>
        <v>-1.9111570247933973E-2</v>
      </c>
      <c r="F2124" s="411"/>
      <c r="G2124" s="388"/>
      <c r="I2124" s="388"/>
    </row>
    <row r="2125" spans="1:9">
      <c r="A2125" s="408">
        <v>41456</v>
      </c>
      <c r="B2125" s="411">
        <v>1614.96</v>
      </c>
      <c r="C2125" s="418">
        <f t="shared" si="210"/>
        <v>5.4037901237642405E-3</v>
      </c>
      <c r="D2125" s="411">
        <v>19.36</v>
      </c>
      <c r="E2125" s="418">
        <f t="shared" si="211"/>
        <v>3.4740780331373511E-2</v>
      </c>
      <c r="F2125" s="411"/>
      <c r="G2125" s="388"/>
      <c r="I2125" s="388"/>
    </row>
    <row r="2126" spans="1:9">
      <c r="A2126" s="408">
        <v>41453</v>
      </c>
      <c r="B2126" s="411">
        <v>1606.28</v>
      </c>
      <c r="C2126" s="418">
        <f t="shared" si="210"/>
        <v>-4.2896107116291438E-3</v>
      </c>
      <c r="D2126" s="411">
        <v>18.71</v>
      </c>
      <c r="E2126" s="418">
        <f t="shared" si="211"/>
        <v>1.0700909577314732E-3</v>
      </c>
      <c r="F2126" s="411"/>
      <c r="G2126" s="388"/>
      <c r="I2126" s="388"/>
    </row>
    <row r="2127" spans="1:9">
      <c r="A2127" s="408">
        <v>41452</v>
      </c>
      <c r="B2127" s="411">
        <v>1613.2</v>
      </c>
      <c r="C2127" s="418">
        <f t="shared" si="210"/>
        <v>6.1998677694199422E-3</v>
      </c>
      <c r="D2127" s="411">
        <v>18.690000000000001</v>
      </c>
      <c r="E2127" s="418">
        <f t="shared" si="211"/>
        <v>1.5209125475285301E-2</v>
      </c>
      <c r="F2127" s="411"/>
      <c r="G2127" s="388"/>
      <c r="I2127" s="388"/>
    </row>
    <row r="2128" spans="1:9">
      <c r="A2128" s="408">
        <v>41451</v>
      </c>
      <c r="B2128" s="411">
        <v>1603.26</v>
      </c>
      <c r="C2128" s="418">
        <f t="shared" si="210"/>
        <v>9.5904989200457091E-3</v>
      </c>
      <c r="D2128" s="411">
        <v>18.41</v>
      </c>
      <c r="E2128" s="418">
        <f t="shared" si="211"/>
        <v>1.4325068870523427E-2</v>
      </c>
      <c r="F2128" s="411"/>
      <c r="G2128" s="388"/>
      <c r="I2128" s="388"/>
    </row>
    <row r="2129" spans="1:9">
      <c r="A2129" s="408">
        <v>41450</v>
      </c>
      <c r="B2129" s="411">
        <v>1588.03</v>
      </c>
      <c r="C2129" s="418">
        <f t="shared" si="210"/>
        <v>9.4972315633561344E-3</v>
      </c>
      <c r="D2129" s="411">
        <v>18.149999999999999</v>
      </c>
      <c r="E2129" s="418">
        <f t="shared" si="211"/>
        <v>4.5506912442396352E-2</v>
      </c>
      <c r="F2129" s="411"/>
      <c r="G2129" s="388"/>
      <c r="I2129" s="388"/>
    </row>
    <row r="2130" spans="1:9">
      <c r="A2130" s="408">
        <v>41449</v>
      </c>
      <c r="B2130" s="411">
        <v>1573.09</v>
      </c>
      <c r="C2130" s="418">
        <f t="shared" si="210"/>
        <v>-1.2144960846002695E-2</v>
      </c>
      <c r="D2130" s="411">
        <v>17.36</v>
      </c>
      <c r="E2130" s="418">
        <f t="shared" si="211"/>
        <v>-5.0328227571116102E-2</v>
      </c>
      <c r="F2130" s="411"/>
      <c r="G2130" s="388"/>
      <c r="I2130" s="388"/>
    </row>
    <row r="2131" spans="1:9">
      <c r="A2131" s="408">
        <v>41446</v>
      </c>
      <c r="B2131" s="411">
        <v>1592.43</v>
      </c>
      <c r="C2131" s="418">
        <f t="shared" si="210"/>
        <v>2.6697057656830392E-3</v>
      </c>
      <c r="D2131" s="411">
        <v>18.28</v>
      </c>
      <c r="E2131" s="418">
        <f t="shared" si="211"/>
        <v>-7.0613796849537946E-3</v>
      </c>
      <c r="F2131" s="411"/>
      <c r="G2131" s="388"/>
      <c r="I2131" s="388"/>
    </row>
    <row r="2132" spans="1:9">
      <c r="A2132" s="408">
        <v>41445</v>
      </c>
      <c r="B2132" s="411">
        <v>1588.19</v>
      </c>
      <c r="C2132" s="418">
        <f t="shared" si="210"/>
        <v>-2.5010282823694108E-2</v>
      </c>
      <c r="D2132" s="411">
        <v>18.41</v>
      </c>
      <c r="E2132" s="418">
        <f t="shared" si="211"/>
        <v>-1.4981273408239737E-2</v>
      </c>
      <c r="F2132" s="411"/>
      <c r="G2132" s="388"/>
      <c r="I2132" s="388"/>
    </row>
    <row r="2133" spans="1:9">
      <c r="A2133" s="408">
        <v>41444</v>
      </c>
      <c r="B2133" s="411">
        <v>1628.93</v>
      </c>
      <c r="C2133" s="418">
        <f t="shared" si="210"/>
        <v>-1.385147202160053E-2</v>
      </c>
      <c r="D2133" s="411">
        <v>18.690000000000001</v>
      </c>
      <c r="E2133" s="418">
        <f t="shared" si="211"/>
        <v>-1.4760147601475926E-2</v>
      </c>
      <c r="F2133" s="411"/>
      <c r="G2133" s="388"/>
      <c r="I2133" s="388"/>
    </row>
    <row r="2134" spans="1:9">
      <c r="A2134" s="408">
        <v>41443</v>
      </c>
      <c r="B2134" s="411">
        <v>1651.81</v>
      </c>
      <c r="C2134" s="418">
        <f t="shared" si="210"/>
        <v>7.7911460367043883E-3</v>
      </c>
      <c r="D2134" s="411">
        <v>18.97</v>
      </c>
      <c r="E2134" s="418">
        <f t="shared" si="211"/>
        <v>7.9702444208287204E-3</v>
      </c>
      <c r="F2134" s="411"/>
      <c r="G2134" s="388"/>
      <c r="I2134" s="388"/>
    </row>
    <row r="2135" spans="1:9">
      <c r="A2135" s="408">
        <v>41442</v>
      </c>
      <c r="B2135" s="411">
        <v>1639.04</v>
      </c>
      <c r="C2135" s="418">
        <f t="shared" si="210"/>
        <v>7.567328321233413E-3</v>
      </c>
      <c r="D2135" s="411">
        <v>18.82</v>
      </c>
      <c r="E2135" s="418">
        <f t="shared" si="211"/>
        <v>-1.5915119363395513E-3</v>
      </c>
      <c r="F2135" s="411"/>
      <c r="G2135" s="388"/>
      <c r="I2135" s="388"/>
    </row>
    <row r="2136" spans="1:9">
      <c r="A2136" s="408">
        <v>41439</v>
      </c>
      <c r="B2136" s="411">
        <v>1626.73</v>
      </c>
      <c r="C2136" s="418">
        <f t="shared" si="210"/>
        <v>-5.8850130778067555E-3</v>
      </c>
      <c r="D2136" s="411">
        <v>18.850000000000001</v>
      </c>
      <c r="E2136" s="418">
        <f t="shared" si="211"/>
        <v>7.4826296098342571E-3</v>
      </c>
      <c r="F2136" s="411"/>
      <c r="G2136" s="388"/>
      <c r="I2136" s="388"/>
    </row>
    <row r="2137" spans="1:9">
      <c r="A2137" s="408">
        <v>41438</v>
      </c>
      <c r="B2137" s="411">
        <v>1636.36</v>
      </c>
      <c r="C2137" s="418">
        <f t="shared" si="210"/>
        <v>1.4784312752710083E-2</v>
      </c>
      <c r="D2137" s="411">
        <v>18.71</v>
      </c>
      <c r="E2137" s="418">
        <f t="shared" si="211"/>
        <v>3.5417819590481514E-2</v>
      </c>
      <c r="F2137" s="411"/>
      <c r="G2137" s="388"/>
      <c r="I2137" s="388"/>
    </row>
    <row r="2138" spans="1:9">
      <c r="A2138" s="408">
        <v>41437</v>
      </c>
      <c r="B2138" s="411">
        <v>1612.52</v>
      </c>
      <c r="C2138" s="418">
        <f t="shared" si="210"/>
        <v>-8.3695645489598736E-3</v>
      </c>
      <c r="D2138" s="411">
        <v>18.07</v>
      </c>
      <c r="E2138" s="418">
        <f t="shared" si="211"/>
        <v>-2.4298056155507508E-2</v>
      </c>
      <c r="F2138" s="411"/>
      <c r="G2138" s="388"/>
      <c r="I2138" s="388"/>
    </row>
    <row r="2139" spans="1:9">
      <c r="A2139" s="408">
        <v>41436</v>
      </c>
      <c r="B2139" s="411">
        <v>1626.13</v>
      </c>
      <c r="C2139" s="418">
        <f t="shared" si="210"/>
        <v>-1.0153334834825611E-2</v>
      </c>
      <c r="D2139" s="411">
        <v>18.52</v>
      </c>
      <c r="E2139" s="418">
        <f t="shared" si="211"/>
        <v>-3.7654653039268515E-3</v>
      </c>
      <c r="F2139" s="411"/>
      <c r="G2139" s="388"/>
      <c r="I2139" s="388"/>
    </row>
    <row r="2140" spans="1:9">
      <c r="A2140" s="408">
        <v>41435</v>
      </c>
      <c r="B2140" s="411">
        <v>1642.81</v>
      </c>
      <c r="C2140" s="418">
        <f t="shared" si="210"/>
        <v>-3.4684613418700661E-4</v>
      </c>
      <c r="D2140" s="411">
        <v>18.59</v>
      </c>
      <c r="E2140" s="418">
        <f t="shared" si="211"/>
        <v>1.1425462459194735E-2</v>
      </c>
      <c r="F2140" s="411"/>
      <c r="G2140" s="388"/>
      <c r="I2140" s="388"/>
    </row>
    <row r="2141" spans="1:9">
      <c r="A2141" s="408">
        <v>41432</v>
      </c>
      <c r="B2141" s="411">
        <v>1643.38</v>
      </c>
      <c r="C2141" s="418">
        <f t="shared" si="210"/>
        <v>1.2831574795385103E-2</v>
      </c>
      <c r="D2141" s="411">
        <v>18.38</v>
      </c>
      <c r="E2141" s="418">
        <f t="shared" si="211"/>
        <v>5.0886220697541562E-2</v>
      </c>
      <c r="F2141" s="411"/>
      <c r="G2141" s="388"/>
      <c r="I2141" s="388"/>
    </row>
    <row r="2142" spans="1:9">
      <c r="A2142" s="408">
        <v>41431</v>
      </c>
      <c r="B2142" s="411">
        <v>1622.56</v>
      </c>
      <c r="C2142" s="418">
        <f t="shared" si="210"/>
        <v>8.4902728572315844E-3</v>
      </c>
      <c r="D2142" s="411">
        <v>17.489999999999998</v>
      </c>
      <c r="E2142" s="418">
        <f t="shared" si="211"/>
        <v>-3.9863325740319144E-3</v>
      </c>
      <c r="F2142" s="411"/>
      <c r="G2142" s="388"/>
      <c r="I2142" s="388"/>
    </row>
    <row r="2143" spans="1:9">
      <c r="A2143" s="408">
        <v>41430</v>
      </c>
      <c r="B2143" s="411">
        <v>1608.9</v>
      </c>
      <c r="C2143" s="418">
        <f t="shared" si="210"/>
        <v>-1.3779744755973433E-2</v>
      </c>
      <c r="D2143" s="411">
        <v>17.559999999999999</v>
      </c>
      <c r="E2143" s="418">
        <f t="shared" si="211"/>
        <v>-2.9297954671089088E-2</v>
      </c>
      <c r="F2143" s="411"/>
      <c r="G2143" s="388"/>
      <c r="I2143" s="388"/>
    </row>
    <row r="2144" spans="1:9">
      <c r="A2144" s="408">
        <v>41429</v>
      </c>
      <c r="B2144" s="411">
        <v>1631.38</v>
      </c>
      <c r="C2144" s="418">
        <f t="shared" si="210"/>
        <v>-5.5107838236548856E-3</v>
      </c>
      <c r="D2144" s="411">
        <v>18.09</v>
      </c>
      <c r="E2144" s="418">
        <f t="shared" si="211"/>
        <v>1.5721504772599815E-2</v>
      </c>
      <c r="F2144" s="411"/>
      <c r="G2144" s="388"/>
      <c r="I2144" s="388"/>
    </row>
    <row r="2145" spans="1:9">
      <c r="A2145" s="408">
        <v>41428</v>
      </c>
      <c r="B2145" s="411">
        <v>1640.42</v>
      </c>
      <c r="C2145" s="418">
        <f t="shared" si="210"/>
        <v>5.9359554558053862E-3</v>
      </c>
      <c r="D2145" s="411">
        <v>17.809999999999999</v>
      </c>
      <c r="E2145" s="418">
        <f t="shared" si="211"/>
        <v>-1.1104941699056292E-2</v>
      </c>
      <c r="F2145" s="411"/>
      <c r="G2145" s="388"/>
      <c r="I2145" s="388"/>
    </row>
    <row r="2146" spans="1:9">
      <c r="A2146" s="408">
        <v>41425</v>
      </c>
      <c r="B2146" s="411">
        <v>1630.74</v>
      </c>
      <c r="C2146" s="418">
        <f t="shared" si="210"/>
        <v>-1.4307215261029627E-2</v>
      </c>
      <c r="D2146" s="411">
        <v>18.010000000000002</v>
      </c>
      <c r="E2146" s="418">
        <f t="shared" si="211"/>
        <v>-4.972375690607711E-3</v>
      </c>
      <c r="F2146" s="411"/>
      <c r="G2146" s="388"/>
      <c r="I2146" s="388"/>
    </row>
    <row r="2147" spans="1:9">
      <c r="A2147" s="408">
        <v>41424</v>
      </c>
      <c r="B2147" s="411">
        <v>1654.41</v>
      </c>
      <c r="C2147" s="418">
        <f t="shared" si="210"/>
        <v>3.6703147370720224E-3</v>
      </c>
      <c r="D2147" s="411">
        <v>18.100000000000001</v>
      </c>
      <c r="E2147" s="418">
        <f t="shared" si="211"/>
        <v>1.1061946902657382E-3</v>
      </c>
      <c r="F2147" s="411"/>
      <c r="G2147" s="388"/>
      <c r="I2147" s="388"/>
    </row>
    <row r="2148" spans="1:9">
      <c r="A2148" s="408">
        <v>41423</v>
      </c>
      <c r="B2148" s="411">
        <v>1648.36</v>
      </c>
      <c r="C2148" s="418">
        <f t="shared" si="210"/>
        <v>-7.0479380263364089E-3</v>
      </c>
      <c r="D2148" s="411">
        <v>18.079999999999998</v>
      </c>
      <c r="E2148" s="418">
        <f t="shared" si="211"/>
        <v>-3.4188034188034178E-2</v>
      </c>
      <c r="F2148" s="411"/>
      <c r="G2148" s="388"/>
      <c r="I2148" s="388"/>
    </row>
    <row r="2149" spans="1:9">
      <c r="A2149" s="408">
        <v>41422</v>
      </c>
      <c r="B2149" s="411">
        <v>1660.06</v>
      </c>
      <c r="C2149" s="418">
        <f t="shared" si="210"/>
        <v>6.3409311348205932E-3</v>
      </c>
      <c r="D2149" s="411">
        <v>18.72</v>
      </c>
      <c r="E2149" s="418">
        <f t="shared" si="211"/>
        <v>-1.1093502377179099E-2</v>
      </c>
      <c r="F2149" s="411"/>
      <c r="G2149" s="388"/>
      <c r="I2149" s="388"/>
    </row>
    <row r="2150" spans="1:9">
      <c r="A2150" s="408">
        <v>41418</v>
      </c>
      <c r="B2150" s="411">
        <v>1649.6</v>
      </c>
      <c r="C2150" s="418">
        <f t="shared" si="210"/>
        <v>-5.5134473586959665E-4</v>
      </c>
      <c r="D2150" s="411">
        <v>18.93</v>
      </c>
      <c r="E2150" s="418">
        <f t="shared" si="211"/>
        <v>2.3796646836127699E-2</v>
      </c>
      <c r="F2150" s="411"/>
      <c r="G2150" s="388"/>
      <c r="I2150" s="388"/>
    </row>
    <row r="2151" spans="1:9">
      <c r="A2151" s="408">
        <v>41417</v>
      </c>
      <c r="B2151" s="411">
        <v>1650.51</v>
      </c>
      <c r="C2151" s="418">
        <f t="shared" si="210"/>
        <v>-2.9238529616092412E-3</v>
      </c>
      <c r="D2151" s="411">
        <v>18.489999999999998</v>
      </c>
      <c r="E2151" s="418">
        <f t="shared" si="211"/>
        <v>1.7051705170517018E-2</v>
      </c>
      <c r="F2151" s="411"/>
      <c r="G2151" s="388"/>
      <c r="I2151" s="388"/>
    </row>
    <row r="2152" spans="1:9">
      <c r="A2152" s="408">
        <v>41416</v>
      </c>
      <c r="B2152" s="411">
        <v>1655.35</v>
      </c>
      <c r="C2152" s="418">
        <f t="shared" si="210"/>
        <v>-8.273622660500024E-3</v>
      </c>
      <c r="D2152" s="411">
        <v>18.18</v>
      </c>
      <c r="E2152" s="418">
        <f t="shared" si="211"/>
        <v>2.7578599007169746E-3</v>
      </c>
      <c r="F2152" s="411"/>
      <c r="G2152" s="388"/>
      <c r="I2152" s="388"/>
    </row>
    <row r="2153" spans="1:9">
      <c r="A2153" s="408">
        <v>41415</v>
      </c>
      <c r="B2153" s="411">
        <v>1669.16</v>
      </c>
      <c r="C2153" s="418">
        <f t="shared" si="210"/>
        <v>1.7223892599729229E-3</v>
      </c>
      <c r="D2153" s="411">
        <v>18.13</v>
      </c>
      <c r="E2153" s="418">
        <f t="shared" si="211"/>
        <v>-1.2527233115468439E-2</v>
      </c>
      <c r="F2153" s="411"/>
      <c r="G2153" s="388"/>
      <c r="I2153" s="388"/>
    </row>
    <row r="2154" spans="1:9">
      <c r="A2154" s="408">
        <v>41414</v>
      </c>
      <c r="B2154" s="411">
        <v>1666.29</v>
      </c>
      <c r="C2154" s="418">
        <f t="shared" si="210"/>
        <v>-7.0765890840618351E-4</v>
      </c>
      <c r="D2154" s="411">
        <v>18.36</v>
      </c>
      <c r="E2154" s="418">
        <f t="shared" si="211"/>
        <v>-9.7087378640776656E-3</v>
      </c>
      <c r="F2154" s="411"/>
      <c r="G2154" s="388"/>
      <c r="I2154" s="388"/>
    </row>
    <row r="2155" spans="1:9">
      <c r="A2155" s="408">
        <v>41411</v>
      </c>
      <c r="B2155" s="411">
        <v>1667.47</v>
      </c>
      <c r="C2155" s="418">
        <f t="shared" si="210"/>
        <v>1.0300096336195219E-2</v>
      </c>
      <c r="D2155" s="411">
        <v>18.54</v>
      </c>
      <c r="E2155" s="418">
        <f t="shared" si="211"/>
        <v>-5.3648068669528426E-3</v>
      </c>
      <c r="F2155" s="411"/>
      <c r="G2155" s="388"/>
      <c r="I2155" s="388"/>
    </row>
    <row r="2156" spans="1:9">
      <c r="A2156" s="408">
        <v>41410</v>
      </c>
      <c r="B2156" s="411">
        <v>1650.47</v>
      </c>
      <c r="C2156" s="418">
        <f t="shared" si="210"/>
        <v>-5.0097059284534007E-3</v>
      </c>
      <c r="D2156" s="411">
        <v>18.64</v>
      </c>
      <c r="E2156" s="418">
        <f t="shared" si="211"/>
        <v>-1.6877637130801704E-2</v>
      </c>
      <c r="F2156" s="411"/>
      <c r="G2156" s="388"/>
      <c r="I2156" s="388"/>
    </row>
    <row r="2157" spans="1:9">
      <c r="A2157" s="408">
        <v>41409</v>
      </c>
      <c r="B2157" s="411">
        <v>1658.78</v>
      </c>
      <c r="C2157" s="418">
        <f t="shared" si="210"/>
        <v>5.1140977010797339E-3</v>
      </c>
      <c r="D2157" s="411">
        <v>18.96</v>
      </c>
      <c r="E2157" s="418">
        <f t="shared" si="211"/>
        <v>3.8904109589041225E-2</v>
      </c>
      <c r="F2157" s="411"/>
      <c r="G2157" s="388"/>
      <c r="I2157" s="388"/>
    </row>
    <row r="2158" spans="1:9">
      <c r="A2158" s="408">
        <v>41408</v>
      </c>
      <c r="B2158" s="411">
        <v>1650.34</v>
      </c>
      <c r="C2158" s="418">
        <f t="shared" si="210"/>
        <v>1.014218647667664E-2</v>
      </c>
      <c r="D2158" s="411">
        <v>18.25</v>
      </c>
      <c r="E2158" s="418">
        <f t="shared" si="211"/>
        <v>2.0122973728339932E-2</v>
      </c>
      <c r="F2158" s="411"/>
      <c r="G2158" s="388"/>
      <c r="I2158" s="388"/>
    </row>
    <row r="2159" spans="1:9">
      <c r="A2159" s="408">
        <v>41407</v>
      </c>
      <c r="B2159" s="411">
        <v>1633.77</v>
      </c>
      <c r="C2159" s="418">
        <f t="shared" si="210"/>
        <v>4.2847524025280137E-5</v>
      </c>
      <c r="D2159" s="411">
        <v>17.89</v>
      </c>
      <c r="E2159" s="418">
        <f t="shared" si="211"/>
        <v>-1.3237727523441767E-2</v>
      </c>
      <c r="F2159" s="411"/>
      <c r="G2159" s="388"/>
      <c r="I2159" s="388"/>
    </row>
    <row r="2160" spans="1:9">
      <c r="A2160" s="408">
        <v>41404</v>
      </c>
      <c r="B2160" s="411">
        <v>1633.7</v>
      </c>
      <c r="C2160" s="418">
        <f t="shared" si="210"/>
        <v>4.3217124555072761E-3</v>
      </c>
      <c r="D2160" s="411">
        <v>18.13</v>
      </c>
      <c r="E2160" s="418">
        <f t="shared" si="211"/>
        <v>2.4293785310734339E-2</v>
      </c>
      <c r="F2160" s="411"/>
      <c r="G2160" s="388"/>
      <c r="I2160" s="388"/>
    </row>
    <row r="2161" spans="1:9">
      <c r="A2161" s="408">
        <v>41403</v>
      </c>
      <c r="B2161" s="411">
        <v>1626.67</v>
      </c>
      <c r="C2161" s="418">
        <f t="shared" si="210"/>
        <v>-3.6871665778561713E-3</v>
      </c>
      <c r="D2161" s="411">
        <v>17.7</v>
      </c>
      <c r="E2161" s="418">
        <f t="shared" si="211"/>
        <v>-5.144694533762062E-2</v>
      </c>
      <c r="F2161" s="411"/>
      <c r="G2161" s="388"/>
      <c r="I2161" s="388"/>
    </row>
    <row r="2162" spans="1:9">
      <c r="A2162" s="408">
        <v>41402</v>
      </c>
      <c r="B2162" s="411">
        <v>1632.69</v>
      </c>
      <c r="C2162" s="418">
        <f t="shared" si="210"/>
        <v>4.1390932126250668E-3</v>
      </c>
      <c r="D2162" s="411">
        <v>18.66</v>
      </c>
      <c r="E2162" s="418">
        <f t="shared" si="211"/>
        <v>3.2079646017699304E-2</v>
      </c>
      <c r="F2162" s="411"/>
      <c r="G2162" s="388"/>
      <c r="I2162" s="388"/>
    </row>
    <row r="2163" spans="1:9">
      <c r="A2163" s="408">
        <v>41401</v>
      </c>
      <c r="B2163" s="411">
        <v>1625.96</v>
      </c>
      <c r="C2163" s="418">
        <f t="shared" si="210"/>
        <v>5.2302936630603813E-3</v>
      </c>
      <c r="D2163" s="411">
        <v>18.079999999999998</v>
      </c>
      <c r="E2163" s="418">
        <f t="shared" si="211"/>
        <v>1.1074197120708451E-3</v>
      </c>
      <c r="F2163" s="411"/>
      <c r="G2163" s="388"/>
      <c r="I2163" s="388"/>
    </row>
    <row r="2164" spans="1:9">
      <c r="A2164" s="408">
        <v>41400</v>
      </c>
      <c r="B2164" s="411">
        <v>1617.5</v>
      </c>
      <c r="C2164" s="418">
        <f t="shared" si="210"/>
        <v>1.90780589933226E-3</v>
      </c>
      <c r="D2164" s="411">
        <v>18.059999999999999</v>
      </c>
      <c r="E2164" s="418">
        <f t="shared" si="211"/>
        <v>5.5679287305121505E-3</v>
      </c>
      <c r="F2164" s="411"/>
      <c r="G2164" s="388"/>
      <c r="I2164" s="388"/>
    </row>
    <row r="2165" spans="1:9">
      <c r="A2165" s="408">
        <v>41397</v>
      </c>
      <c r="B2165" s="411">
        <v>1614.42</v>
      </c>
      <c r="C2165" s="418">
        <f t="shared" si="210"/>
        <v>1.0534617768013232E-2</v>
      </c>
      <c r="D2165" s="411">
        <v>17.96</v>
      </c>
      <c r="E2165" s="418">
        <f t="shared" si="211"/>
        <v>2.6872498570611913E-2</v>
      </c>
      <c r="F2165" s="411"/>
      <c r="G2165" s="388"/>
      <c r="I2165" s="388"/>
    </row>
    <row r="2166" spans="1:9">
      <c r="A2166" s="408">
        <v>41396</v>
      </c>
      <c r="B2166" s="411">
        <v>1597.59</v>
      </c>
      <c r="C2166" s="418">
        <f t="shared" si="210"/>
        <v>9.4079737158019316E-3</v>
      </c>
      <c r="D2166" s="411">
        <v>17.489999999999998</v>
      </c>
      <c r="E2166" s="418">
        <f t="shared" si="211"/>
        <v>3.8598574821852694E-2</v>
      </c>
      <c r="F2166" s="411"/>
      <c r="G2166" s="388"/>
      <c r="I2166" s="388"/>
    </row>
    <row r="2167" spans="1:9">
      <c r="A2167" s="408">
        <v>41395</v>
      </c>
      <c r="B2167" s="411">
        <v>1582.7</v>
      </c>
      <c r="C2167" s="418">
        <f t="shared" si="210"/>
        <v>-9.3078863523976541E-3</v>
      </c>
      <c r="D2167" s="411">
        <v>16.84</v>
      </c>
      <c r="E2167" s="418">
        <f t="shared" si="211"/>
        <v>-1.7502917152858899E-2</v>
      </c>
      <c r="F2167" s="411"/>
      <c r="G2167" s="388"/>
      <c r="I2167" s="388"/>
    </row>
    <row r="2168" spans="1:9">
      <c r="A2168" s="408">
        <v>41394</v>
      </c>
      <c r="B2168" s="411">
        <v>1597.57</v>
      </c>
      <c r="C2168" s="418">
        <f t="shared" si="210"/>
        <v>2.4849241658875254E-3</v>
      </c>
      <c r="D2168" s="411">
        <v>17.14</v>
      </c>
      <c r="E2168" s="418">
        <f t="shared" si="211"/>
        <v>1.1209439528023779E-2</v>
      </c>
      <c r="F2168" s="411"/>
      <c r="G2168" s="388"/>
      <c r="I2168" s="388"/>
    </row>
    <row r="2169" spans="1:9">
      <c r="A2169" s="408">
        <v>41393</v>
      </c>
      <c r="B2169" s="411">
        <v>1593.61</v>
      </c>
      <c r="C2169" s="418">
        <f t="shared" si="210"/>
        <v>7.1860147638789229E-3</v>
      </c>
      <c r="D2169" s="411">
        <v>16.95</v>
      </c>
      <c r="E2169" s="418">
        <f t="shared" si="211"/>
        <v>8.3283759666865631E-3</v>
      </c>
      <c r="F2169" s="411"/>
      <c r="G2169" s="388"/>
      <c r="I2169" s="388"/>
    </row>
    <row r="2170" spans="1:9">
      <c r="A2170" s="408">
        <v>41390</v>
      </c>
      <c r="B2170" s="411">
        <v>1582.24</v>
      </c>
      <c r="C2170" s="418">
        <f t="shared" si="210"/>
        <v>-1.8420853415428429E-3</v>
      </c>
      <c r="D2170" s="411">
        <v>16.809999999999999</v>
      </c>
      <c r="E2170" s="418">
        <f t="shared" si="211"/>
        <v>3.1921424186617475E-2</v>
      </c>
      <c r="F2170" s="411"/>
      <c r="G2170" s="388"/>
      <c r="I2170" s="388"/>
    </row>
    <row r="2171" spans="1:9">
      <c r="A2171" s="408">
        <v>41389</v>
      </c>
      <c r="B2171" s="411">
        <v>1585.16</v>
      </c>
      <c r="C2171" s="418">
        <f t="shared" si="210"/>
        <v>4.0347354619678644E-3</v>
      </c>
      <c r="D2171" s="411">
        <v>16.29</v>
      </c>
      <c r="E2171" s="418">
        <f t="shared" si="211"/>
        <v>-1.0928961748633892E-2</v>
      </c>
      <c r="F2171" s="411"/>
      <c r="G2171" s="388"/>
      <c r="I2171" s="388"/>
    </row>
    <row r="2172" spans="1:9">
      <c r="A2172" s="408">
        <v>41388</v>
      </c>
      <c r="B2172" s="411">
        <v>1578.79</v>
      </c>
      <c r="C2172" s="418">
        <f t="shared" si="210"/>
        <v>6.3340047378179776E-6</v>
      </c>
      <c r="D2172" s="411">
        <v>16.47</v>
      </c>
      <c r="E2172" s="418">
        <f t="shared" si="211"/>
        <v>-1.4952153110047828E-2</v>
      </c>
      <c r="F2172" s="411"/>
      <c r="G2172" s="388"/>
      <c r="I2172" s="388"/>
    </row>
    <row r="2173" spans="1:9">
      <c r="A2173" s="408">
        <v>41387</v>
      </c>
      <c r="B2173" s="411">
        <v>1578.78</v>
      </c>
      <c r="C2173" s="418">
        <f t="shared" si="210"/>
        <v>1.0419200000000073E-2</v>
      </c>
      <c r="D2173" s="411">
        <v>16.72</v>
      </c>
      <c r="E2173" s="418">
        <f t="shared" si="211"/>
        <v>0.10435931307793922</v>
      </c>
      <c r="F2173" s="411"/>
      <c r="G2173" s="388"/>
      <c r="I2173" s="388"/>
    </row>
    <row r="2174" spans="1:9">
      <c r="A2174" s="408">
        <v>41386</v>
      </c>
      <c r="B2174" s="411">
        <v>1562.5</v>
      </c>
      <c r="C2174" s="418">
        <f t="shared" si="210"/>
        <v>4.6616299630284352E-3</v>
      </c>
      <c r="D2174" s="411">
        <v>15.14</v>
      </c>
      <c r="E2174" s="418">
        <f t="shared" si="211"/>
        <v>-7.8636959370903536E-3</v>
      </c>
      <c r="F2174" s="411"/>
      <c r="G2174" s="388"/>
      <c r="I2174" s="388"/>
    </row>
    <row r="2175" spans="1:9">
      <c r="A2175" s="408">
        <v>41383</v>
      </c>
      <c r="B2175" s="411">
        <v>1555.25</v>
      </c>
      <c r="C2175" s="418">
        <f t="shared" si="210"/>
        <v>8.8478927874107161E-3</v>
      </c>
      <c r="D2175" s="411">
        <v>15.26</v>
      </c>
      <c r="E2175" s="418">
        <f t="shared" si="211"/>
        <v>7.2607260726071932E-3</v>
      </c>
      <c r="F2175" s="411"/>
      <c r="G2175" s="388"/>
      <c r="I2175" s="388"/>
    </row>
    <row r="2176" spans="1:9">
      <c r="A2176" s="408">
        <v>41382</v>
      </c>
      <c r="B2176" s="411">
        <v>1541.61</v>
      </c>
      <c r="C2176" s="418">
        <f t="shared" si="210"/>
        <v>-6.7009877513676264E-3</v>
      </c>
      <c r="D2176" s="411">
        <v>15.15</v>
      </c>
      <c r="E2176" s="418">
        <f t="shared" si="211"/>
        <v>-2.446877012234383E-2</v>
      </c>
      <c r="F2176" s="411"/>
      <c r="G2176" s="388"/>
      <c r="I2176" s="388"/>
    </row>
    <row r="2177" spans="1:9">
      <c r="A2177" s="408">
        <v>41381</v>
      </c>
      <c r="B2177" s="411">
        <v>1552.01</v>
      </c>
      <c r="C2177" s="418">
        <f t="shared" si="210"/>
        <v>-1.432772121912651E-2</v>
      </c>
      <c r="D2177" s="411">
        <v>15.53</v>
      </c>
      <c r="E2177" s="418">
        <f t="shared" si="211"/>
        <v>-2.1424070573408893E-2</v>
      </c>
      <c r="F2177" s="411"/>
      <c r="G2177" s="388"/>
      <c r="I2177" s="388"/>
    </row>
    <row r="2178" spans="1:9">
      <c r="A2178" s="408">
        <v>41380</v>
      </c>
      <c r="B2178" s="411">
        <v>1574.57</v>
      </c>
      <c r="C2178" s="418">
        <f t="shared" si="210"/>
        <v>1.4307248318689014E-2</v>
      </c>
      <c r="D2178" s="411">
        <v>15.87</v>
      </c>
      <c r="E2178" s="418">
        <f t="shared" si="211"/>
        <v>6.4386317907444646E-2</v>
      </c>
      <c r="F2178" s="411"/>
      <c r="G2178" s="388"/>
      <c r="I2178" s="388"/>
    </row>
    <row r="2179" spans="1:9">
      <c r="A2179" s="408">
        <v>41379</v>
      </c>
      <c r="B2179" s="411">
        <v>1552.36</v>
      </c>
      <c r="C2179" s="418">
        <f t="shared" si="210"/>
        <v>-2.2966296377883388E-2</v>
      </c>
      <c r="D2179" s="411">
        <v>14.91</v>
      </c>
      <c r="E2179" s="418">
        <f t="shared" si="211"/>
        <v>-3.6821705426356655E-2</v>
      </c>
      <c r="F2179" s="411"/>
      <c r="G2179" s="388"/>
      <c r="I2179" s="388"/>
    </row>
    <row r="2180" spans="1:9">
      <c r="A2180" s="408">
        <v>41376</v>
      </c>
      <c r="B2180" s="411">
        <v>1588.85</v>
      </c>
      <c r="C2180" s="418">
        <f t="shared" si="210"/>
        <v>-2.8367548027137257E-3</v>
      </c>
      <c r="D2180" s="411">
        <v>15.48</v>
      </c>
      <c r="E2180" s="418">
        <f t="shared" si="211"/>
        <v>-4.5016077170417779E-3</v>
      </c>
      <c r="F2180" s="411"/>
      <c r="G2180" s="388"/>
      <c r="I2180" s="388"/>
    </row>
    <row r="2181" spans="1:9">
      <c r="A2181" s="408">
        <v>41375</v>
      </c>
      <c r="B2181" s="411">
        <v>1593.37</v>
      </c>
      <c r="C2181" s="418">
        <f t="shared" si="210"/>
        <v>3.5522412500865741E-3</v>
      </c>
      <c r="D2181" s="411">
        <v>15.55</v>
      </c>
      <c r="E2181" s="418">
        <f t="shared" si="211"/>
        <v>1.9672131147540961E-2</v>
      </c>
      <c r="F2181" s="411"/>
      <c r="G2181" s="388"/>
      <c r="I2181" s="388"/>
    </row>
    <row r="2182" spans="1:9">
      <c r="A2182" s="408">
        <v>41374</v>
      </c>
      <c r="B2182" s="411">
        <v>1587.73</v>
      </c>
      <c r="C2182" s="418">
        <f t="shared" si="210"/>
        <v>1.2189135604133705E-2</v>
      </c>
      <c r="D2182" s="411">
        <v>15.25</v>
      </c>
      <c r="E2182" s="418">
        <f t="shared" si="211"/>
        <v>3.0405405405405261E-2</v>
      </c>
      <c r="F2182" s="411"/>
      <c r="G2182" s="388"/>
      <c r="I2182" s="388"/>
    </row>
    <row r="2183" spans="1:9">
      <c r="A2183" s="408">
        <v>41373</v>
      </c>
      <c r="B2183" s="411">
        <v>1568.61</v>
      </c>
      <c r="C2183" s="418">
        <f t="shared" si="210"/>
        <v>3.5443070367928708E-3</v>
      </c>
      <c r="D2183" s="411">
        <v>14.8</v>
      </c>
      <c r="E2183" s="418">
        <f t="shared" si="211"/>
        <v>-8.7073007367715061E-3</v>
      </c>
      <c r="F2183" s="411"/>
      <c r="G2183" s="388"/>
      <c r="I2183" s="388"/>
    </row>
    <row r="2184" spans="1:9">
      <c r="A2184" s="408">
        <v>41372</v>
      </c>
      <c r="B2184" s="411">
        <v>1563.07</v>
      </c>
      <c r="C2184" s="418">
        <f t="shared" ref="C2184:C2247" si="212">B2184/B2185-1</f>
        <v>6.3027915121549594E-3</v>
      </c>
      <c r="D2184" s="411">
        <v>14.93</v>
      </c>
      <c r="E2184" s="418">
        <f t="shared" ref="E2184:E2247" si="213">D2184/D2185-1</f>
        <v>3.7526059763724806E-2</v>
      </c>
      <c r="F2184" s="411"/>
      <c r="G2184" s="388"/>
      <c r="I2184" s="388"/>
    </row>
    <row r="2185" spans="1:9">
      <c r="A2185" s="408">
        <v>41369</v>
      </c>
      <c r="B2185" s="411">
        <v>1553.28</v>
      </c>
      <c r="C2185" s="418">
        <f t="shared" si="212"/>
        <v>-4.294926858036674E-3</v>
      </c>
      <c r="D2185" s="411">
        <v>14.39</v>
      </c>
      <c r="E2185" s="418">
        <f t="shared" si="213"/>
        <v>-2.4406779661016897E-2</v>
      </c>
      <c r="F2185" s="411"/>
      <c r="G2185" s="388"/>
      <c r="I2185" s="388"/>
    </row>
    <row r="2186" spans="1:9">
      <c r="A2186" s="408">
        <v>41368</v>
      </c>
      <c r="B2186" s="411">
        <v>1559.98</v>
      </c>
      <c r="C2186" s="418">
        <f t="shared" si="212"/>
        <v>4.0484266488167719E-3</v>
      </c>
      <c r="D2186" s="411">
        <v>14.75</v>
      </c>
      <c r="E2186" s="418">
        <f t="shared" si="213"/>
        <v>1.3049450549450503E-2</v>
      </c>
      <c r="F2186" s="411"/>
      <c r="G2186" s="388"/>
      <c r="I2186" s="388"/>
    </row>
    <row r="2187" spans="1:9">
      <c r="A2187" s="408">
        <v>41367</v>
      </c>
      <c r="B2187" s="411">
        <v>1553.69</v>
      </c>
      <c r="C2187" s="418">
        <f t="shared" si="212"/>
        <v>-1.0546091386721801E-2</v>
      </c>
      <c r="D2187" s="411">
        <v>14.56</v>
      </c>
      <c r="E2187" s="418">
        <f t="shared" si="213"/>
        <v>-2.5435073627844695E-2</v>
      </c>
      <c r="F2187" s="411"/>
      <c r="G2187" s="388"/>
      <c r="I2187" s="388"/>
    </row>
    <row r="2188" spans="1:9">
      <c r="A2188" s="408">
        <v>41366</v>
      </c>
      <c r="B2188" s="411">
        <v>1570.25</v>
      </c>
      <c r="C2188" s="418">
        <f t="shared" si="212"/>
        <v>5.1722923881523108E-3</v>
      </c>
      <c r="D2188" s="411">
        <v>14.94</v>
      </c>
      <c r="E2188" s="418">
        <f t="shared" si="213"/>
        <v>-8.0615384615384644E-2</v>
      </c>
      <c r="F2188" s="411"/>
      <c r="G2188" s="388"/>
      <c r="I2188" s="388"/>
    </row>
    <row r="2189" spans="1:9">
      <c r="A2189" s="408">
        <v>41365</v>
      </c>
      <c r="B2189" s="411">
        <v>1562.17</v>
      </c>
      <c r="C2189" s="418">
        <f t="shared" si="212"/>
        <v>-4.4736456388327905E-3</v>
      </c>
      <c r="D2189" s="411">
        <v>16.25</v>
      </c>
      <c r="E2189" s="418">
        <f t="shared" si="213"/>
        <v>-1.5748031496063075E-2</v>
      </c>
      <c r="F2189" s="411"/>
      <c r="G2189" s="388"/>
      <c r="I2189" s="388"/>
    </row>
    <row r="2190" spans="1:9">
      <c r="A2190" s="408">
        <v>41361</v>
      </c>
      <c r="B2190" s="411">
        <v>1569.19</v>
      </c>
      <c r="C2190" s="418">
        <f t="shared" si="212"/>
        <v>4.0566913011486072E-3</v>
      </c>
      <c r="D2190" s="411">
        <v>16.510000000000002</v>
      </c>
      <c r="E2190" s="418">
        <f t="shared" si="213"/>
        <v>-4.822182037371836E-3</v>
      </c>
      <c r="F2190" s="411"/>
      <c r="G2190" s="388"/>
      <c r="I2190" s="388"/>
    </row>
    <row r="2191" spans="1:9">
      <c r="A2191" s="408">
        <v>41360</v>
      </c>
      <c r="B2191" s="411">
        <v>1562.85</v>
      </c>
      <c r="C2191" s="418">
        <f t="shared" si="212"/>
        <v>-5.8832181203127831E-4</v>
      </c>
      <c r="D2191" s="411">
        <v>16.59</v>
      </c>
      <c r="E2191" s="418">
        <f t="shared" si="213"/>
        <v>2.4169184290030454E-3</v>
      </c>
      <c r="F2191" s="411"/>
      <c r="G2191" s="388"/>
      <c r="I2191" s="388"/>
    </row>
    <row r="2192" spans="1:9">
      <c r="A2192" s="408">
        <v>41359</v>
      </c>
      <c r="B2192" s="411">
        <v>1563.77</v>
      </c>
      <c r="C2192" s="418">
        <f t="shared" si="212"/>
        <v>7.7850601602122982E-3</v>
      </c>
      <c r="D2192" s="411">
        <v>16.55</v>
      </c>
      <c r="E2192" s="418">
        <f t="shared" si="213"/>
        <v>1.4714898835070711E-2</v>
      </c>
      <c r="F2192" s="411"/>
      <c r="G2192" s="388"/>
      <c r="I2192" s="388"/>
    </row>
    <row r="2193" spans="1:9">
      <c r="A2193" s="408">
        <v>41358</v>
      </c>
      <c r="B2193" s="411">
        <v>1551.69</v>
      </c>
      <c r="C2193" s="418">
        <f t="shared" si="212"/>
        <v>-3.3399919069426742E-3</v>
      </c>
      <c r="D2193" s="411">
        <v>16.309999999999999</v>
      </c>
      <c r="E2193" s="418">
        <f t="shared" si="213"/>
        <v>-2.3937761819269987E-2</v>
      </c>
      <c r="F2193" s="411"/>
      <c r="G2193" s="388"/>
      <c r="I2193" s="388"/>
    </row>
    <row r="2194" spans="1:9">
      <c r="A2194" s="408">
        <v>41355</v>
      </c>
      <c r="B2194" s="411">
        <v>1556.89</v>
      </c>
      <c r="C2194" s="418">
        <f t="shared" si="212"/>
        <v>7.1742786906456857E-3</v>
      </c>
      <c r="D2194" s="411">
        <v>16.71</v>
      </c>
      <c r="E2194" s="418">
        <f t="shared" si="213"/>
        <v>-7.7197149643705165E-3</v>
      </c>
      <c r="F2194" s="411"/>
      <c r="G2194" s="388"/>
      <c r="I2194" s="388"/>
    </row>
    <row r="2195" spans="1:9">
      <c r="A2195" s="408">
        <v>41354</v>
      </c>
      <c r="B2195" s="411">
        <v>1545.8</v>
      </c>
      <c r="C2195" s="418">
        <f t="shared" si="212"/>
        <v>-8.2824900077629326E-3</v>
      </c>
      <c r="D2195" s="411">
        <v>16.84</v>
      </c>
      <c r="E2195" s="418">
        <f t="shared" si="213"/>
        <v>-1.3473930872876405E-2</v>
      </c>
      <c r="F2195" s="411"/>
      <c r="G2195" s="388"/>
      <c r="I2195" s="388"/>
    </row>
    <row r="2196" spans="1:9">
      <c r="A2196" s="408">
        <v>41353</v>
      </c>
      <c r="B2196" s="411">
        <v>1558.71</v>
      </c>
      <c r="C2196" s="418">
        <f t="shared" si="212"/>
        <v>6.6974953821512528E-3</v>
      </c>
      <c r="D2196" s="411">
        <v>17.07</v>
      </c>
      <c r="E2196" s="418">
        <f t="shared" si="213"/>
        <v>3.2043530834340972E-2</v>
      </c>
      <c r="F2196" s="411"/>
      <c r="G2196" s="388"/>
      <c r="I2196" s="388"/>
    </row>
    <row r="2197" spans="1:9">
      <c r="A2197" s="408">
        <v>41352</v>
      </c>
      <c r="B2197" s="411">
        <v>1548.34</v>
      </c>
      <c r="C2197" s="418">
        <f t="shared" si="212"/>
        <v>-2.4225243218864989E-3</v>
      </c>
      <c r="D2197" s="411">
        <v>16.54</v>
      </c>
      <c r="E2197" s="418">
        <f t="shared" si="213"/>
        <v>1.659496004917016E-2</v>
      </c>
      <c r="F2197" s="411"/>
      <c r="G2197" s="388"/>
      <c r="I2197" s="388"/>
    </row>
    <row r="2198" spans="1:9">
      <c r="A2198" s="408">
        <v>41351</v>
      </c>
      <c r="B2198" s="411">
        <v>1552.1</v>
      </c>
      <c r="C2198" s="418">
        <f t="shared" si="212"/>
        <v>-5.5103479208048478E-3</v>
      </c>
      <c r="D2198" s="411">
        <v>16.27</v>
      </c>
      <c r="E2198" s="418">
        <f t="shared" si="213"/>
        <v>1.6874999999999973E-2</v>
      </c>
      <c r="F2198" s="411"/>
      <c r="G2198" s="388"/>
      <c r="I2198" s="388"/>
    </row>
    <row r="2199" spans="1:9">
      <c r="A2199" s="408">
        <v>41348</v>
      </c>
      <c r="B2199" s="411">
        <v>1560.7</v>
      </c>
      <c r="C2199" s="418">
        <f t="shared" si="212"/>
        <v>-1.6184438630272302E-3</v>
      </c>
      <c r="D2199" s="411">
        <v>16</v>
      </c>
      <c r="E2199" s="418">
        <f t="shared" si="213"/>
        <v>-1.7199017199017286E-2</v>
      </c>
      <c r="F2199" s="411"/>
      <c r="G2199" s="388"/>
      <c r="I2199" s="388"/>
    </row>
    <row r="2200" spans="1:9">
      <c r="A2200" s="408">
        <v>41347</v>
      </c>
      <c r="B2200" s="411">
        <v>1563.23</v>
      </c>
      <c r="C2200" s="418">
        <f t="shared" si="212"/>
        <v>5.6030157218949217E-3</v>
      </c>
      <c r="D2200" s="411">
        <v>16.28</v>
      </c>
      <c r="E2200" s="418">
        <f t="shared" si="213"/>
        <v>-4.8899755501221609E-3</v>
      </c>
      <c r="F2200" s="411"/>
      <c r="G2200" s="388"/>
      <c r="I2200" s="388"/>
    </row>
    <row r="2201" spans="1:9">
      <c r="A2201" s="408">
        <v>41346</v>
      </c>
      <c r="B2201" s="411">
        <v>1554.52</v>
      </c>
      <c r="C2201" s="418">
        <f t="shared" si="212"/>
        <v>1.3140265897144676E-3</v>
      </c>
      <c r="D2201" s="411">
        <v>16.36</v>
      </c>
      <c r="E2201" s="418">
        <f t="shared" si="213"/>
        <v>2.0586400499064128E-2</v>
      </c>
      <c r="F2201" s="411"/>
      <c r="G2201" s="388"/>
      <c r="I2201" s="388"/>
    </row>
    <row r="2202" spans="1:9">
      <c r="A2202" s="408">
        <v>41345</v>
      </c>
      <c r="B2202" s="411">
        <v>1552.48</v>
      </c>
      <c r="C2202" s="418">
        <f t="shared" si="212"/>
        <v>-2.4032591792934044E-3</v>
      </c>
      <c r="D2202" s="411">
        <v>16.03</v>
      </c>
      <c r="E2202" s="418">
        <f t="shared" si="213"/>
        <v>-1.2322858903265566E-2</v>
      </c>
      <c r="F2202" s="411"/>
      <c r="G2202" s="388"/>
      <c r="I2202" s="388"/>
    </row>
    <row r="2203" spans="1:9">
      <c r="A2203" s="408">
        <v>41344</v>
      </c>
      <c r="B2203" s="411">
        <v>1556.22</v>
      </c>
      <c r="C2203" s="418">
        <f t="shared" si="212"/>
        <v>3.2491393648705902E-3</v>
      </c>
      <c r="D2203" s="411">
        <v>16.23</v>
      </c>
      <c r="E2203" s="418">
        <f t="shared" si="213"/>
        <v>-6.1576354679793166E-4</v>
      </c>
      <c r="F2203" s="411"/>
      <c r="G2203" s="388"/>
      <c r="I2203" s="388"/>
    </row>
    <row r="2204" spans="1:9">
      <c r="A2204" s="408">
        <v>41341</v>
      </c>
      <c r="B2204" s="411">
        <v>1551.18</v>
      </c>
      <c r="C2204" s="418">
        <f t="shared" si="212"/>
        <v>4.4811106937951983E-3</v>
      </c>
      <c r="D2204" s="411">
        <v>16.239999999999998</v>
      </c>
      <c r="E2204" s="418">
        <f t="shared" si="213"/>
        <v>2.1383647798741912E-2</v>
      </c>
      <c r="F2204" s="411"/>
      <c r="G2204" s="388"/>
      <c r="I2204" s="388"/>
    </row>
    <row r="2205" spans="1:9">
      <c r="A2205" s="408">
        <v>41340</v>
      </c>
      <c r="B2205" s="411">
        <v>1544.26</v>
      </c>
      <c r="C2205" s="418">
        <f t="shared" si="212"/>
        <v>1.8164597200056587E-3</v>
      </c>
      <c r="D2205" s="411">
        <v>15.9</v>
      </c>
      <c r="E2205" s="418">
        <f t="shared" si="213"/>
        <v>1.4677728142948432E-2</v>
      </c>
      <c r="F2205" s="411"/>
      <c r="G2205" s="388"/>
      <c r="I2205" s="388"/>
    </row>
    <row r="2206" spans="1:9">
      <c r="A2206" s="408">
        <v>41339</v>
      </c>
      <c r="B2206" s="411">
        <v>1541.46</v>
      </c>
      <c r="C2206" s="418">
        <f t="shared" si="212"/>
        <v>1.0845634794356407E-3</v>
      </c>
      <c r="D2206" s="411">
        <v>15.67</v>
      </c>
      <c r="E2206" s="418">
        <f t="shared" si="213"/>
        <v>-1.1979823455233296E-2</v>
      </c>
      <c r="F2206" s="411"/>
      <c r="G2206" s="388"/>
      <c r="I2206" s="388"/>
    </row>
    <row r="2207" spans="1:9">
      <c r="A2207" s="408">
        <v>41338</v>
      </c>
      <c r="B2207" s="411">
        <v>1539.79</v>
      </c>
      <c r="C2207" s="418">
        <f t="shared" si="212"/>
        <v>9.5659585628113941E-3</v>
      </c>
      <c r="D2207" s="411">
        <v>15.86</v>
      </c>
      <c r="E2207" s="418">
        <f t="shared" si="213"/>
        <v>1.3418530351437585E-2</v>
      </c>
      <c r="F2207" s="411"/>
      <c r="G2207" s="388"/>
      <c r="I2207" s="388"/>
    </row>
    <row r="2208" spans="1:9">
      <c r="A2208" s="408">
        <v>41337</v>
      </c>
      <c r="B2208" s="411">
        <v>1525.2</v>
      </c>
      <c r="C2208" s="418">
        <f t="shared" si="212"/>
        <v>4.6107232248715491E-3</v>
      </c>
      <c r="D2208" s="411">
        <v>15.65</v>
      </c>
      <c r="E2208" s="418">
        <f t="shared" si="213"/>
        <v>5.6005398110661186E-2</v>
      </c>
      <c r="F2208" s="411"/>
      <c r="G2208" s="388"/>
      <c r="I2208" s="388"/>
    </row>
    <row r="2209" spans="1:9">
      <c r="A2209" s="408">
        <v>41334</v>
      </c>
      <c r="B2209" s="411">
        <v>1518.2</v>
      </c>
      <c r="C2209" s="418">
        <f t="shared" si="212"/>
        <v>2.3239232049012681E-3</v>
      </c>
      <c r="D2209" s="411">
        <v>14.82</v>
      </c>
      <c r="E2209" s="418">
        <f t="shared" si="213"/>
        <v>3.854239663629988E-2</v>
      </c>
      <c r="F2209" s="411"/>
      <c r="G2209" s="388"/>
      <c r="I2209" s="388"/>
    </row>
    <row r="2210" spans="1:9">
      <c r="A2210" s="408">
        <v>41333</v>
      </c>
      <c r="B2210" s="411">
        <v>1514.68</v>
      </c>
      <c r="C2210" s="418">
        <f t="shared" si="212"/>
        <v>-8.6412179499861796E-4</v>
      </c>
      <c r="D2210" s="411">
        <v>14.27</v>
      </c>
      <c r="E2210" s="418">
        <f t="shared" si="213"/>
        <v>0</v>
      </c>
      <c r="F2210" s="411"/>
      <c r="G2210" s="388"/>
      <c r="I2210" s="388"/>
    </row>
    <row r="2211" spans="1:9">
      <c r="A2211" s="408">
        <v>41332</v>
      </c>
      <c r="B2211" s="411">
        <v>1515.99</v>
      </c>
      <c r="C2211" s="418">
        <f t="shared" si="212"/>
        <v>1.2725960960359162E-2</v>
      </c>
      <c r="D2211" s="411">
        <v>14.27</v>
      </c>
      <c r="E2211" s="418">
        <f t="shared" si="213"/>
        <v>2.6618705035971191E-2</v>
      </c>
      <c r="F2211" s="411"/>
      <c r="G2211" s="388"/>
      <c r="I2211" s="388"/>
    </row>
    <row r="2212" spans="1:9">
      <c r="A2212" s="408">
        <v>41331</v>
      </c>
      <c r="B2212" s="411">
        <v>1496.94</v>
      </c>
      <c r="C2212" s="418">
        <f t="shared" si="212"/>
        <v>6.1094868434319327E-3</v>
      </c>
      <c r="D2212" s="411">
        <v>13.9</v>
      </c>
      <c r="E2212" s="418">
        <f t="shared" si="213"/>
        <v>-8.5592011412267688E-3</v>
      </c>
      <c r="F2212" s="411"/>
      <c r="G2212" s="388"/>
      <c r="I2212" s="388"/>
    </row>
    <row r="2213" spans="1:9">
      <c r="A2213" s="408">
        <v>41330</v>
      </c>
      <c r="B2213" s="411">
        <v>1487.85</v>
      </c>
      <c r="C2213" s="418">
        <f t="shared" si="212"/>
        <v>-1.8309580364212152E-2</v>
      </c>
      <c r="D2213" s="411">
        <v>14.02</v>
      </c>
      <c r="E2213" s="418">
        <f t="shared" si="213"/>
        <v>1.9636363636363674E-2</v>
      </c>
      <c r="F2213" s="411"/>
      <c r="G2213" s="388"/>
      <c r="I2213" s="388"/>
    </row>
    <row r="2214" spans="1:9">
      <c r="A2214" s="408">
        <v>41327</v>
      </c>
      <c r="B2214" s="411">
        <v>1515.6</v>
      </c>
      <c r="C2214" s="418">
        <f t="shared" si="212"/>
        <v>8.7725136779328583E-3</v>
      </c>
      <c r="D2214" s="411">
        <v>13.75</v>
      </c>
      <c r="E2214" s="418">
        <f t="shared" si="213"/>
        <v>1.4011799410029502E-2</v>
      </c>
      <c r="F2214" s="411"/>
      <c r="G2214" s="388"/>
      <c r="I2214" s="388"/>
    </row>
    <row r="2215" spans="1:9">
      <c r="A2215" s="408">
        <v>41326</v>
      </c>
      <c r="B2215" s="411">
        <v>1502.42</v>
      </c>
      <c r="C2215" s="418">
        <f t="shared" si="212"/>
        <v>-6.3031184893680425E-3</v>
      </c>
      <c r="D2215" s="411">
        <v>13.56</v>
      </c>
      <c r="E2215" s="418">
        <f t="shared" si="213"/>
        <v>-1.8813314037626649E-2</v>
      </c>
      <c r="F2215" s="411"/>
      <c r="G2215" s="388"/>
      <c r="I2215" s="388"/>
    </row>
    <row r="2216" spans="1:9">
      <c r="A2216" s="408">
        <v>41325</v>
      </c>
      <c r="B2216" s="411">
        <v>1511.95</v>
      </c>
      <c r="C2216" s="418">
        <f t="shared" si="212"/>
        <v>-1.2404143859328309E-2</v>
      </c>
      <c r="D2216" s="411">
        <v>13.82</v>
      </c>
      <c r="E2216" s="418">
        <f t="shared" si="213"/>
        <v>-3.3566433566433629E-2</v>
      </c>
      <c r="F2216" s="411"/>
      <c r="G2216" s="388"/>
      <c r="I2216" s="388"/>
    </row>
    <row r="2217" spans="1:9">
      <c r="A2217" s="408">
        <v>41324</v>
      </c>
      <c r="B2217" s="411">
        <v>1530.94</v>
      </c>
      <c r="C2217" s="418">
        <f t="shared" si="212"/>
        <v>7.3365399166991363E-3</v>
      </c>
      <c r="D2217" s="411">
        <v>14.3</v>
      </c>
      <c r="E2217" s="418">
        <f t="shared" si="213"/>
        <v>-1.0380622837370179E-2</v>
      </c>
      <c r="F2217" s="411"/>
      <c r="G2217" s="388"/>
      <c r="I2217" s="388"/>
    </row>
    <row r="2218" spans="1:9">
      <c r="A2218" s="408">
        <v>41320</v>
      </c>
      <c r="B2218" s="411">
        <v>1519.79</v>
      </c>
      <c r="C2218" s="418">
        <f t="shared" si="212"/>
        <v>-1.0451037873510094E-3</v>
      </c>
      <c r="D2218" s="411">
        <v>14.45</v>
      </c>
      <c r="E2218" s="418">
        <f t="shared" si="213"/>
        <v>1.4747191011235783E-2</v>
      </c>
      <c r="F2218" s="411"/>
      <c r="G2218" s="388"/>
      <c r="I2218" s="388"/>
    </row>
    <row r="2219" spans="1:9">
      <c r="A2219" s="408">
        <v>41319</v>
      </c>
      <c r="B2219" s="411">
        <v>1521.38</v>
      </c>
      <c r="C2219" s="418">
        <f t="shared" si="212"/>
        <v>6.906395322070491E-4</v>
      </c>
      <c r="D2219" s="411">
        <v>14.24</v>
      </c>
      <c r="E2219" s="418">
        <f t="shared" si="213"/>
        <v>-3.6535859269282711E-2</v>
      </c>
      <c r="F2219" s="411"/>
      <c r="G2219" s="388"/>
      <c r="I2219" s="388"/>
    </row>
    <row r="2220" spans="1:9">
      <c r="A2220" s="408">
        <v>41318</v>
      </c>
      <c r="B2220" s="411">
        <v>1520.33</v>
      </c>
      <c r="C2220" s="418">
        <f t="shared" si="212"/>
        <v>5.9232738592762679E-4</v>
      </c>
      <c r="D2220" s="411">
        <v>14.78</v>
      </c>
      <c r="E2220" s="418">
        <f t="shared" si="213"/>
        <v>1.9310344827586201E-2</v>
      </c>
      <c r="F2220" s="411"/>
      <c r="G2220" s="388"/>
      <c r="I2220" s="388"/>
    </row>
    <row r="2221" spans="1:9">
      <c r="A2221" s="408">
        <v>41317</v>
      </c>
      <c r="B2221" s="411">
        <v>1519.43</v>
      </c>
      <c r="C2221" s="418">
        <f t="shared" si="212"/>
        <v>1.5952432745993672E-3</v>
      </c>
      <c r="D2221" s="411">
        <v>14.5</v>
      </c>
      <c r="E2221" s="418">
        <f t="shared" si="213"/>
        <v>-1.2933968686181019E-2</v>
      </c>
      <c r="F2221" s="411"/>
      <c r="G2221" s="388"/>
      <c r="I2221" s="388"/>
    </row>
    <row r="2222" spans="1:9">
      <c r="A2222" s="408">
        <v>41316</v>
      </c>
      <c r="B2222" s="411">
        <v>1517.01</v>
      </c>
      <c r="C2222" s="418">
        <f t="shared" si="212"/>
        <v>-6.0608855480825952E-4</v>
      </c>
      <c r="D2222" s="411">
        <v>14.69</v>
      </c>
      <c r="E2222" s="418">
        <f t="shared" si="213"/>
        <v>4.7879616963064642E-3</v>
      </c>
      <c r="F2222" s="411"/>
      <c r="G2222" s="388"/>
      <c r="I2222" s="388"/>
    </row>
    <row r="2223" spans="1:9">
      <c r="A2223" s="408">
        <v>41313</v>
      </c>
      <c r="B2223" s="411">
        <v>1517.93</v>
      </c>
      <c r="C2223" s="418">
        <f t="shared" si="212"/>
        <v>5.6579147867681368E-3</v>
      </c>
      <c r="D2223" s="411">
        <v>14.62</v>
      </c>
      <c r="E2223" s="418">
        <f t="shared" si="213"/>
        <v>-1.6150740242261152E-2</v>
      </c>
      <c r="F2223" s="411"/>
      <c r="G2223" s="388"/>
      <c r="I2223" s="388"/>
    </row>
    <row r="2224" spans="1:9">
      <c r="A2224" s="408">
        <v>41312</v>
      </c>
      <c r="B2224" s="411">
        <v>1509.39</v>
      </c>
      <c r="C2224" s="418">
        <f t="shared" si="212"/>
        <v>-1.8054122688674346E-3</v>
      </c>
      <c r="D2224" s="411">
        <v>14.86</v>
      </c>
      <c r="E2224" s="418">
        <f t="shared" si="213"/>
        <v>2.6952315134761484E-2</v>
      </c>
      <c r="F2224" s="411"/>
      <c r="G2224" s="388"/>
      <c r="I2224" s="388"/>
    </row>
    <row r="2225" spans="1:9">
      <c r="A2225" s="408">
        <v>41311</v>
      </c>
      <c r="B2225" s="411">
        <v>1512.12</v>
      </c>
      <c r="C2225" s="418">
        <f t="shared" si="212"/>
        <v>5.4919969033062621E-4</v>
      </c>
      <c r="D2225" s="411">
        <v>14.47</v>
      </c>
      <c r="E2225" s="418">
        <f t="shared" si="213"/>
        <v>3.876525484565696E-2</v>
      </c>
      <c r="F2225" s="411"/>
      <c r="G2225" s="388"/>
      <c r="I2225" s="388"/>
    </row>
    <row r="2226" spans="1:9">
      <c r="A2226" s="408">
        <v>41310</v>
      </c>
      <c r="B2226" s="411">
        <v>1511.29</v>
      </c>
      <c r="C2226" s="418">
        <f t="shared" si="212"/>
        <v>1.0416457735791029E-2</v>
      </c>
      <c r="D2226" s="411">
        <v>13.93</v>
      </c>
      <c r="E2226" s="418">
        <f t="shared" si="213"/>
        <v>5.050505050504972E-3</v>
      </c>
      <c r="F2226" s="411"/>
      <c r="G2226" s="388"/>
      <c r="I2226" s="388"/>
    </row>
    <row r="2227" spans="1:9">
      <c r="A2227" s="408">
        <v>41309</v>
      </c>
      <c r="B2227" s="411">
        <v>1495.71</v>
      </c>
      <c r="C2227" s="418">
        <f t="shared" si="212"/>
        <v>-1.1538690299173315E-2</v>
      </c>
      <c r="D2227" s="411">
        <v>13.86</v>
      </c>
      <c r="E2227" s="418">
        <f t="shared" si="213"/>
        <v>2.8943560057885787E-3</v>
      </c>
      <c r="F2227" s="411"/>
      <c r="G2227" s="388"/>
      <c r="I2227" s="388"/>
    </row>
    <row r="2228" spans="1:9">
      <c r="A2228" s="408">
        <v>41306</v>
      </c>
      <c r="B2228" s="411">
        <v>1513.17</v>
      </c>
      <c r="C2228" s="418">
        <f t="shared" si="212"/>
        <v>1.0052666359613216E-2</v>
      </c>
      <c r="D2228" s="411">
        <v>13.82</v>
      </c>
      <c r="E2228" s="418">
        <f t="shared" si="213"/>
        <v>-5.0395968322534124E-3</v>
      </c>
      <c r="F2228" s="411"/>
      <c r="G2228" s="388"/>
      <c r="I2228" s="388"/>
    </row>
    <row r="2229" spans="1:9">
      <c r="A2229" s="408">
        <v>41305</v>
      </c>
      <c r="B2229" s="411">
        <v>1498.11</v>
      </c>
      <c r="C2229" s="418">
        <f t="shared" si="212"/>
        <v>-2.5633172654399017E-3</v>
      </c>
      <c r="D2229" s="411">
        <v>13.89</v>
      </c>
      <c r="E2229" s="418">
        <f t="shared" si="213"/>
        <v>3.6127167630057855E-3</v>
      </c>
      <c r="F2229" s="411"/>
      <c r="G2229" s="388"/>
      <c r="I2229" s="388"/>
    </row>
    <row r="2230" spans="1:9">
      <c r="A2230" s="408">
        <v>41304</v>
      </c>
      <c r="B2230" s="411">
        <v>1501.96</v>
      </c>
      <c r="C2230" s="418">
        <f t="shared" si="212"/>
        <v>-3.899617996604321E-3</v>
      </c>
      <c r="D2230" s="411">
        <v>13.84</v>
      </c>
      <c r="E2230" s="418">
        <f t="shared" si="213"/>
        <v>1.1695906432748648E-2</v>
      </c>
      <c r="F2230" s="411"/>
      <c r="G2230" s="388"/>
      <c r="I2230" s="388"/>
    </row>
    <row r="2231" spans="1:9">
      <c r="A2231" s="408">
        <v>41303</v>
      </c>
      <c r="B2231" s="411">
        <v>1507.84</v>
      </c>
      <c r="C2231" s="418">
        <f t="shared" si="212"/>
        <v>5.1060539401937E-3</v>
      </c>
      <c r="D2231" s="411">
        <v>13.68</v>
      </c>
      <c r="E2231" s="418">
        <f t="shared" si="213"/>
        <v>-1.8651362984218101E-2</v>
      </c>
      <c r="F2231" s="411"/>
      <c r="G2231" s="388"/>
      <c r="I2231" s="388"/>
    </row>
    <row r="2232" spans="1:9">
      <c r="A2232" s="408">
        <v>41302</v>
      </c>
      <c r="B2232" s="411">
        <v>1500.18</v>
      </c>
      <c r="C2232" s="418">
        <f t="shared" si="212"/>
        <v>-1.8496832916378159E-3</v>
      </c>
      <c r="D2232" s="411">
        <v>13.94</v>
      </c>
      <c r="E2232" s="418">
        <f t="shared" si="213"/>
        <v>-1.6231474947071334E-2</v>
      </c>
      <c r="F2232" s="411"/>
      <c r="G2232" s="388"/>
      <c r="I2232" s="388"/>
    </row>
    <row r="2233" spans="1:9">
      <c r="A2233" s="408">
        <v>41299</v>
      </c>
      <c r="B2233" s="411">
        <v>1502.96</v>
      </c>
      <c r="C2233" s="418">
        <f t="shared" si="212"/>
        <v>5.4454716955887328E-3</v>
      </c>
      <c r="D2233" s="411">
        <v>14.17</v>
      </c>
      <c r="E2233" s="418">
        <f t="shared" si="213"/>
        <v>1.7229002153625217E-2</v>
      </c>
      <c r="F2233" s="411"/>
      <c r="G2233" s="388"/>
      <c r="I2233" s="388"/>
    </row>
    <row r="2234" spans="1:9">
      <c r="A2234" s="408">
        <v>41298</v>
      </c>
      <c r="B2234" s="411">
        <v>1494.82</v>
      </c>
      <c r="C2234" s="418">
        <f t="shared" si="212"/>
        <v>6.6898134210013893E-6</v>
      </c>
      <c r="D2234" s="411">
        <v>13.93</v>
      </c>
      <c r="E2234" s="418">
        <f t="shared" si="213"/>
        <v>1.0885341074020394E-2</v>
      </c>
      <c r="F2234" s="411"/>
      <c r="G2234" s="388"/>
      <c r="I2234" s="388"/>
    </row>
    <row r="2235" spans="1:9">
      <c r="A2235" s="408">
        <v>41297</v>
      </c>
      <c r="B2235" s="411">
        <v>1494.81</v>
      </c>
      <c r="C2235" s="418">
        <f t="shared" si="212"/>
        <v>1.5074770863483522E-3</v>
      </c>
      <c r="D2235" s="411">
        <v>13.78</v>
      </c>
      <c r="E2235" s="418">
        <f t="shared" si="213"/>
        <v>-1.6416845110635236E-2</v>
      </c>
      <c r="F2235" s="411"/>
      <c r="G2235" s="388"/>
      <c r="I2235" s="388"/>
    </row>
    <row r="2236" spans="1:9">
      <c r="A2236" s="408">
        <v>41296</v>
      </c>
      <c r="B2236" s="411">
        <v>1492.56</v>
      </c>
      <c r="C2236" s="418">
        <f t="shared" si="212"/>
        <v>4.4280542133809941E-3</v>
      </c>
      <c r="D2236" s="411">
        <v>14.01</v>
      </c>
      <c r="E2236" s="418">
        <f t="shared" si="213"/>
        <v>2.9390154298310156E-2</v>
      </c>
      <c r="F2236" s="411"/>
      <c r="G2236" s="388"/>
      <c r="I2236" s="388"/>
    </row>
    <row r="2237" spans="1:9">
      <c r="A2237" s="408">
        <v>41292</v>
      </c>
      <c r="B2237" s="411">
        <v>1485.98</v>
      </c>
      <c r="C2237" s="418">
        <f t="shared" si="212"/>
        <v>3.4032438856401726E-3</v>
      </c>
      <c r="D2237" s="411">
        <v>13.61</v>
      </c>
      <c r="E2237" s="418">
        <f t="shared" si="213"/>
        <v>-1.5907447577729661E-2</v>
      </c>
      <c r="F2237" s="411"/>
      <c r="G2237" s="388"/>
      <c r="I2237" s="388"/>
    </row>
    <row r="2238" spans="1:9">
      <c r="A2238" s="408">
        <v>41291</v>
      </c>
      <c r="B2238" s="411">
        <v>1480.94</v>
      </c>
      <c r="C2238" s="418">
        <f t="shared" si="212"/>
        <v>5.6429653069678398E-3</v>
      </c>
      <c r="D2238" s="411">
        <v>13.83</v>
      </c>
      <c r="E2238" s="418">
        <f t="shared" si="213"/>
        <v>-6.4655172413793371E-3</v>
      </c>
      <c r="F2238" s="411"/>
      <c r="G2238" s="388"/>
      <c r="I2238" s="388"/>
    </row>
    <row r="2239" spans="1:9">
      <c r="A2239" s="408">
        <v>41290</v>
      </c>
      <c r="B2239" s="411">
        <v>1472.63</v>
      </c>
      <c r="C2239" s="418">
        <f t="shared" si="212"/>
        <v>1.9696537484570342E-4</v>
      </c>
      <c r="D2239" s="411">
        <v>13.92</v>
      </c>
      <c r="E2239" s="418">
        <f t="shared" si="213"/>
        <v>2.1276595744680771E-2</v>
      </c>
      <c r="F2239" s="411"/>
      <c r="G2239" s="388"/>
      <c r="I2239" s="388"/>
    </row>
    <row r="2240" spans="1:9">
      <c r="A2240" s="408">
        <v>41289</v>
      </c>
      <c r="B2240" s="411">
        <v>1472.34</v>
      </c>
      <c r="C2240" s="418">
        <f t="shared" si="212"/>
        <v>1.1287295672748332E-3</v>
      </c>
      <c r="D2240" s="411">
        <v>13.63</v>
      </c>
      <c r="E2240" s="418">
        <f t="shared" si="213"/>
        <v>1.4136904761904878E-2</v>
      </c>
      <c r="F2240" s="411"/>
      <c r="G2240" s="388"/>
      <c r="I2240" s="388"/>
    </row>
    <row r="2241" spans="1:9">
      <c r="A2241" s="408">
        <v>41288</v>
      </c>
      <c r="B2241" s="411">
        <v>1470.68</v>
      </c>
      <c r="C2241" s="418">
        <f t="shared" si="212"/>
        <v>-9.3067490914022777E-4</v>
      </c>
      <c r="D2241" s="411">
        <v>13.44</v>
      </c>
      <c r="E2241" s="418">
        <f t="shared" si="213"/>
        <v>6.741573033707926E-3</v>
      </c>
      <c r="F2241" s="411"/>
      <c r="G2241" s="388"/>
      <c r="I2241" s="388"/>
    </row>
    <row r="2242" spans="1:9">
      <c r="A2242" s="408">
        <v>41285</v>
      </c>
      <c r="B2242" s="411">
        <v>1472.05</v>
      </c>
      <c r="C2242" s="418">
        <f t="shared" si="212"/>
        <v>-4.7550471428903229E-5</v>
      </c>
      <c r="D2242" s="411">
        <v>13.35</v>
      </c>
      <c r="E2242" s="418">
        <f t="shared" si="213"/>
        <v>3.759398496240518E-3</v>
      </c>
      <c r="F2242" s="411"/>
      <c r="G2242" s="388"/>
      <c r="I2242" s="388"/>
    </row>
    <row r="2243" spans="1:9">
      <c r="A2243" s="408">
        <v>41284</v>
      </c>
      <c r="B2243" s="411">
        <v>1472.12</v>
      </c>
      <c r="C2243" s="418">
        <f t="shared" si="212"/>
        <v>7.5974319311165051E-3</v>
      </c>
      <c r="D2243" s="411">
        <v>13.3</v>
      </c>
      <c r="E2243" s="418">
        <f t="shared" si="213"/>
        <v>1.449275362318847E-2</v>
      </c>
      <c r="F2243" s="411"/>
      <c r="G2243" s="388"/>
      <c r="I2243" s="388"/>
    </row>
    <row r="2244" spans="1:9">
      <c r="A2244" s="408">
        <v>41283</v>
      </c>
      <c r="B2244" s="411">
        <v>1461.02</v>
      </c>
      <c r="C2244" s="418">
        <f t="shared" si="212"/>
        <v>2.6558693339737705E-3</v>
      </c>
      <c r="D2244" s="411">
        <v>13.11</v>
      </c>
      <c r="E2244" s="418">
        <f t="shared" si="213"/>
        <v>1.001540832049308E-2</v>
      </c>
      <c r="F2244" s="411"/>
      <c r="G2244" s="388"/>
      <c r="I2244" s="388"/>
    </row>
    <row r="2245" spans="1:9">
      <c r="A2245" s="408">
        <v>41282</v>
      </c>
      <c r="B2245" s="411">
        <v>1457.15</v>
      </c>
      <c r="C2245" s="418">
        <f t="shared" si="212"/>
        <v>-3.2423780174979377E-3</v>
      </c>
      <c r="D2245" s="411">
        <v>12.98</v>
      </c>
      <c r="E2245" s="418">
        <f t="shared" si="213"/>
        <v>-7.698229407235857E-4</v>
      </c>
      <c r="F2245" s="411"/>
      <c r="G2245" s="388"/>
      <c r="I2245" s="388"/>
    </row>
    <row r="2246" spans="1:9">
      <c r="A2246" s="408">
        <v>41281</v>
      </c>
      <c r="B2246" s="411">
        <v>1461.89</v>
      </c>
      <c r="C2246" s="418">
        <f t="shared" si="212"/>
        <v>-3.1231460582213932E-3</v>
      </c>
      <c r="D2246" s="411">
        <v>12.99</v>
      </c>
      <c r="E2246" s="418">
        <f t="shared" si="213"/>
        <v>7.7041602465333092E-4</v>
      </c>
      <c r="F2246" s="411"/>
      <c r="G2246" s="388"/>
      <c r="I2246" s="388"/>
    </row>
    <row r="2247" spans="1:9">
      <c r="A2247" s="408">
        <v>41278</v>
      </c>
      <c r="B2247" s="411">
        <v>1466.47</v>
      </c>
      <c r="C2247" s="418">
        <f t="shared" si="212"/>
        <v>4.8651130282246768E-3</v>
      </c>
      <c r="D2247" s="411">
        <v>12.98</v>
      </c>
      <c r="E2247" s="418">
        <f t="shared" si="213"/>
        <v>3.1796502384737746E-2</v>
      </c>
      <c r="F2247" s="411"/>
      <c r="G2247" s="388"/>
      <c r="I2247" s="388"/>
    </row>
    <row r="2248" spans="1:9">
      <c r="A2248" s="408">
        <v>41277</v>
      </c>
      <c r="B2248" s="411">
        <v>1459.37</v>
      </c>
      <c r="C2248" s="418">
        <f t="shared" ref="C2248:C2311" si="214">B2248/B2249-1</f>
        <v>-2.0855841687067445E-3</v>
      </c>
      <c r="D2248" s="411">
        <v>12.58</v>
      </c>
      <c r="E2248" s="418">
        <f t="shared" ref="E2248:E2311" si="215">D2248/D2249-1</f>
        <v>2.8618152085036819E-2</v>
      </c>
      <c r="F2248" s="411"/>
      <c r="G2248" s="388"/>
      <c r="I2248" s="388"/>
    </row>
    <row r="2249" spans="1:9">
      <c r="A2249" s="408">
        <v>41276</v>
      </c>
      <c r="B2249" s="411">
        <v>1462.42</v>
      </c>
      <c r="C2249" s="418">
        <f t="shared" si="214"/>
        <v>2.5403347380082542E-2</v>
      </c>
      <c r="D2249" s="411">
        <v>12.23</v>
      </c>
      <c r="E2249" s="418">
        <f t="shared" si="215"/>
        <v>3.0328559393428822E-2</v>
      </c>
      <c r="F2249" s="411"/>
      <c r="G2249" s="388"/>
      <c r="I2249" s="388"/>
    </row>
    <row r="2250" spans="1:9">
      <c r="A2250" s="408">
        <v>41274</v>
      </c>
      <c r="B2250" s="411">
        <v>1426.19</v>
      </c>
      <c r="C2250" s="418">
        <f t="shared" si="214"/>
        <v>1.694202206170714E-2</v>
      </c>
      <c r="D2250" s="411">
        <v>11.87</v>
      </c>
      <c r="E2250" s="418">
        <f t="shared" si="215"/>
        <v>3.2173913043478164E-2</v>
      </c>
      <c r="F2250" s="411"/>
      <c r="G2250" s="388"/>
      <c r="I2250" s="388"/>
    </row>
    <row r="2251" spans="1:9">
      <c r="A2251" s="408">
        <v>41271</v>
      </c>
      <c r="B2251" s="411">
        <v>1402.43</v>
      </c>
      <c r="C2251" s="418">
        <f t="shared" si="214"/>
        <v>-1.1049996474155499E-2</v>
      </c>
      <c r="D2251" s="411">
        <v>11.5</v>
      </c>
      <c r="E2251" s="418">
        <f t="shared" si="215"/>
        <v>-6.0501296456353382E-3</v>
      </c>
      <c r="F2251" s="411"/>
      <c r="G2251" s="388"/>
      <c r="I2251" s="388"/>
    </row>
    <row r="2252" spans="1:9">
      <c r="A2252" s="408">
        <v>41270</v>
      </c>
      <c r="B2252" s="411">
        <v>1418.1</v>
      </c>
      <c r="C2252" s="418">
        <f t="shared" si="214"/>
        <v>-1.2184557306156307E-3</v>
      </c>
      <c r="D2252" s="411">
        <v>11.57</v>
      </c>
      <c r="E2252" s="418">
        <f t="shared" si="215"/>
        <v>-6.8669527896996208E-3</v>
      </c>
      <c r="F2252" s="411"/>
      <c r="G2252" s="388"/>
      <c r="I2252" s="388"/>
    </row>
    <row r="2253" spans="1:9">
      <c r="A2253" s="408">
        <v>41269</v>
      </c>
      <c r="B2253" s="411">
        <v>1419.83</v>
      </c>
      <c r="C2253" s="418">
        <f t="shared" si="214"/>
        <v>-4.7874055486241129E-3</v>
      </c>
      <c r="D2253" s="411">
        <v>11.65</v>
      </c>
      <c r="E2253" s="418">
        <f t="shared" si="215"/>
        <v>-1.1035653650254607E-2</v>
      </c>
      <c r="F2253" s="411"/>
      <c r="G2253" s="388"/>
      <c r="I2253" s="388"/>
    </row>
    <row r="2254" spans="1:9">
      <c r="A2254" s="408">
        <v>41267</v>
      </c>
      <c r="B2254" s="411">
        <v>1426.66</v>
      </c>
      <c r="C2254" s="418">
        <f t="shared" si="214"/>
        <v>-2.4403034646715005E-3</v>
      </c>
      <c r="D2254" s="411">
        <v>11.78</v>
      </c>
      <c r="E2254" s="418">
        <f t="shared" si="215"/>
        <v>-6.7453625632377667E-3</v>
      </c>
      <c r="F2254" s="411"/>
      <c r="G2254" s="388"/>
      <c r="I2254" s="388"/>
    </row>
    <row r="2255" spans="1:9">
      <c r="A2255" s="408">
        <v>41264</v>
      </c>
      <c r="B2255" s="411">
        <v>1430.15</v>
      </c>
      <c r="C2255" s="418">
        <f t="shared" si="214"/>
        <v>-9.378744744370282E-3</v>
      </c>
      <c r="D2255" s="411">
        <v>11.86</v>
      </c>
      <c r="E2255" s="418">
        <f t="shared" si="215"/>
        <v>-6.7001675041875597E-3</v>
      </c>
      <c r="F2255" s="411"/>
      <c r="G2255" s="388"/>
      <c r="I2255" s="388"/>
    </row>
    <row r="2256" spans="1:9">
      <c r="A2256" s="408">
        <v>41263</v>
      </c>
      <c r="B2256" s="411">
        <v>1443.69</v>
      </c>
      <c r="C2256" s="418">
        <f t="shared" si="214"/>
        <v>5.4881913345081745E-3</v>
      </c>
      <c r="D2256" s="411">
        <v>11.94</v>
      </c>
      <c r="E2256" s="418">
        <f t="shared" si="215"/>
        <v>9.2983939137785132E-3</v>
      </c>
      <c r="F2256" s="411"/>
      <c r="G2256" s="388"/>
      <c r="I2256" s="388"/>
    </row>
    <row r="2257" spans="1:9">
      <c r="A2257" s="408">
        <v>41262</v>
      </c>
      <c r="B2257" s="411">
        <v>1435.81</v>
      </c>
      <c r="C2257" s="418">
        <f t="shared" si="214"/>
        <v>-7.5892147443651359E-3</v>
      </c>
      <c r="D2257" s="411">
        <v>11.83</v>
      </c>
      <c r="E2257" s="418">
        <f t="shared" si="215"/>
        <v>2.601908065915004E-2</v>
      </c>
      <c r="F2257" s="411"/>
      <c r="G2257" s="388"/>
      <c r="I2257" s="388"/>
    </row>
    <row r="2258" spans="1:9">
      <c r="A2258" s="408">
        <v>41261</v>
      </c>
      <c r="B2258" s="411">
        <v>1446.79</v>
      </c>
      <c r="C2258" s="418">
        <f t="shared" si="214"/>
        <v>1.148661875332091E-2</v>
      </c>
      <c r="D2258" s="411">
        <v>11.53</v>
      </c>
      <c r="E2258" s="418">
        <f t="shared" si="215"/>
        <v>2.6714158504006935E-2</v>
      </c>
      <c r="F2258" s="411"/>
      <c r="G2258" s="388"/>
      <c r="I2258" s="388"/>
    </row>
    <row r="2259" spans="1:9">
      <c r="A2259" s="408">
        <v>41260</v>
      </c>
      <c r="B2259" s="411">
        <v>1430.36</v>
      </c>
      <c r="C2259" s="418">
        <f t="shared" si="214"/>
        <v>1.1870569759051541E-2</v>
      </c>
      <c r="D2259" s="411">
        <v>11.23</v>
      </c>
      <c r="E2259" s="418">
        <f t="shared" si="215"/>
        <v>8.9126559714802767E-4</v>
      </c>
      <c r="F2259" s="411"/>
      <c r="G2259" s="388"/>
      <c r="I2259" s="388"/>
    </row>
    <row r="2260" spans="1:9">
      <c r="A2260" s="408">
        <v>41257</v>
      </c>
      <c r="B2260" s="411">
        <v>1413.58</v>
      </c>
      <c r="C2260" s="418">
        <f t="shared" si="214"/>
        <v>-4.1354045581035725E-3</v>
      </c>
      <c r="D2260" s="411">
        <v>11.22</v>
      </c>
      <c r="E2260" s="418">
        <f t="shared" si="215"/>
        <v>-6.2001771479184287E-3</v>
      </c>
      <c r="F2260" s="411"/>
      <c r="G2260" s="388"/>
      <c r="I2260" s="388"/>
    </row>
    <row r="2261" spans="1:9">
      <c r="A2261" s="408">
        <v>41256</v>
      </c>
      <c r="B2261" s="411">
        <v>1419.45</v>
      </c>
      <c r="C2261" s="418">
        <f t="shared" si="214"/>
        <v>-6.321404569892497E-3</v>
      </c>
      <c r="D2261" s="411">
        <v>11.29</v>
      </c>
      <c r="E2261" s="418">
        <f t="shared" si="215"/>
        <v>5.317164179104461E-2</v>
      </c>
      <c r="F2261" s="411"/>
      <c r="G2261" s="388"/>
      <c r="I2261" s="388"/>
    </row>
    <row r="2262" spans="1:9">
      <c r="A2262" s="408">
        <v>41255</v>
      </c>
      <c r="B2262" s="411">
        <v>1428.48</v>
      </c>
      <c r="C2262" s="418">
        <f t="shared" si="214"/>
        <v>4.4822949350065144E-4</v>
      </c>
      <c r="D2262" s="411">
        <v>10.72</v>
      </c>
      <c r="E2262" s="418">
        <f t="shared" si="215"/>
        <v>5.6285178236397115E-3</v>
      </c>
      <c r="F2262" s="411"/>
      <c r="G2262" s="388"/>
      <c r="I2262" s="388"/>
    </row>
    <row r="2263" spans="1:9">
      <c r="A2263" s="408">
        <v>41254</v>
      </c>
      <c r="B2263" s="411">
        <v>1427.84</v>
      </c>
      <c r="C2263" s="418">
        <f t="shared" si="214"/>
        <v>6.5489408198511345E-3</v>
      </c>
      <c r="D2263" s="411">
        <v>10.66</v>
      </c>
      <c r="E2263" s="418">
        <f t="shared" si="215"/>
        <v>5.1282051282051322E-2</v>
      </c>
      <c r="F2263" s="411"/>
      <c r="G2263" s="388"/>
      <c r="I2263" s="388"/>
    </row>
    <row r="2264" spans="1:9">
      <c r="A2264" s="408">
        <v>41253</v>
      </c>
      <c r="B2264" s="411">
        <v>1418.55</v>
      </c>
      <c r="C2264" s="418">
        <f t="shared" si="214"/>
        <v>3.3848822695636827E-4</v>
      </c>
      <c r="D2264" s="411">
        <v>10.14</v>
      </c>
      <c r="E2264" s="418">
        <f t="shared" si="215"/>
        <v>2.9673590504453173E-3</v>
      </c>
      <c r="F2264" s="411"/>
      <c r="G2264" s="388"/>
      <c r="I2264" s="388"/>
    </row>
    <row r="2265" spans="1:9">
      <c r="A2265" s="408">
        <v>41250</v>
      </c>
      <c r="B2265" s="411">
        <v>1418.07</v>
      </c>
      <c r="C2265" s="418">
        <f t="shared" si="214"/>
        <v>2.9209160218961472E-3</v>
      </c>
      <c r="D2265" s="411">
        <v>10.11</v>
      </c>
      <c r="E2265" s="418">
        <f t="shared" si="215"/>
        <v>8.9820359281436168E-3</v>
      </c>
      <c r="F2265" s="411"/>
      <c r="G2265" s="388"/>
      <c r="I2265" s="388"/>
    </row>
    <row r="2266" spans="1:9">
      <c r="A2266" s="408">
        <v>41249</v>
      </c>
      <c r="B2266" s="411">
        <v>1413.94</v>
      </c>
      <c r="C2266" s="418">
        <f t="shared" si="214"/>
        <v>3.3066530426886231E-3</v>
      </c>
      <c r="D2266" s="411">
        <v>10.02</v>
      </c>
      <c r="E2266" s="418">
        <f t="shared" si="215"/>
        <v>3.19258496395467E-2</v>
      </c>
      <c r="F2266" s="411"/>
      <c r="G2266" s="388"/>
      <c r="I2266" s="388"/>
    </row>
    <row r="2267" spans="1:9">
      <c r="A2267" s="408">
        <v>41248</v>
      </c>
      <c r="B2267" s="411">
        <v>1409.28</v>
      </c>
      <c r="C2267" s="418">
        <f t="shared" si="214"/>
        <v>1.5848761593404426E-3</v>
      </c>
      <c r="D2267" s="411">
        <v>9.7100000000000009</v>
      </c>
      <c r="E2267" s="418">
        <f t="shared" si="215"/>
        <v>-2.0554984583761593E-3</v>
      </c>
      <c r="F2267" s="411"/>
      <c r="G2267" s="388"/>
      <c r="I2267" s="388"/>
    </row>
    <row r="2268" spans="1:9">
      <c r="A2268" s="408">
        <v>41247</v>
      </c>
      <c r="B2268" s="411">
        <v>1407.05</v>
      </c>
      <c r="C2268" s="418">
        <f t="shared" si="214"/>
        <v>-1.7098747037873618E-3</v>
      </c>
      <c r="D2268" s="411">
        <v>9.73</v>
      </c>
      <c r="E2268" s="418">
        <f t="shared" si="215"/>
        <v>1.1434511434511574E-2</v>
      </c>
      <c r="F2268" s="411"/>
      <c r="G2268" s="388"/>
      <c r="I2268" s="388"/>
    </row>
    <row r="2269" spans="1:9">
      <c r="A2269" s="408">
        <v>41246</v>
      </c>
      <c r="B2269" s="411">
        <v>1409.46</v>
      </c>
      <c r="C2269" s="418">
        <f t="shared" si="214"/>
        <v>-4.7451595136211999E-3</v>
      </c>
      <c r="D2269" s="411">
        <v>9.6199999999999992</v>
      </c>
      <c r="E2269" s="418">
        <f t="shared" si="215"/>
        <v>-3.8000000000000034E-2</v>
      </c>
      <c r="F2269" s="411"/>
      <c r="G2269" s="388"/>
      <c r="I2269" s="388"/>
    </row>
    <row r="2270" spans="1:9">
      <c r="A2270" s="408">
        <v>41243</v>
      </c>
      <c r="B2270" s="411">
        <v>1416.18</v>
      </c>
      <c r="C2270" s="418">
        <f t="shared" si="214"/>
        <v>1.6243511423419399E-4</v>
      </c>
      <c r="D2270" s="411">
        <v>10</v>
      </c>
      <c r="E2270" s="418">
        <f t="shared" si="215"/>
        <v>-4.9751243781095411E-3</v>
      </c>
      <c r="F2270" s="411"/>
      <c r="G2270" s="388"/>
      <c r="I2270" s="388"/>
    </row>
    <row r="2271" spans="1:9">
      <c r="A2271" s="408">
        <v>41242</v>
      </c>
      <c r="B2271" s="411">
        <v>1415.95</v>
      </c>
      <c r="C2271" s="418">
        <f t="shared" si="214"/>
        <v>4.2697155177917612E-3</v>
      </c>
      <c r="D2271" s="411">
        <v>10.050000000000001</v>
      </c>
      <c r="E2271" s="418">
        <f t="shared" si="215"/>
        <v>5.0000000000001155E-3</v>
      </c>
      <c r="F2271" s="411"/>
      <c r="G2271" s="388"/>
      <c r="I2271" s="388"/>
    </row>
    <row r="2272" spans="1:9">
      <c r="A2272" s="408">
        <v>41241</v>
      </c>
      <c r="B2272" s="411">
        <v>1409.93</v>
      </c>
      <c r="C2272" s="418">
        <f t="shared" si="214"/>
        <v>7.8559480749711419E-3</v>
      </c>
      <c r="D2272" s="411">
        <v>10</v>
      </c>
      <c r="E2272" s="418">
        <f t="shared" si="215"/>
        <v>1.8329938900203624E-2</v>
      </c>
      <c r="F2272" s="411"/>
      <c r="G2272" s="388"/>
      <c r="I2272" s="388"/>
    </row>
    <row r="2273" spans="1:9">
      <c r="A2273" s="408">
        <v>41240</v>
      </c>
      <c r="B2273" s="411">
        <v>1398.94</v>
      </c>
      <c r="C2273" s="418">
        <f t="shared" si="214"/>
        <v>-5.2265180012657231E-3</v>
      </c>
      <c r="D2273" s="411">
        <v>9.82</v>
      </c>
      <c r="E2273" s="418">
        <f t="shared" si="215"/>
        <v>2.0408163265306367E-3</v>
      </c>
      <c r="F2273" s="411"/>
      <c r="G2273" s="388"/>
      <c r="I2273" s="388"/>
    </row>
    <row r="2274" spans="1:9">
      <c r="A2274" s="408">
        <v>41239</v>
      </c>
      <c r="B2274" s="411">
        <v>1406.29</v>
      </c>
      <c r="C2274" s="418">
        <f t="shared" si="214"/>
        <v>-2.0295923074195032E-3</v>
      </c>
      <c r="D2274" s="411">
        <v>9.8000000000000007</v>
      </c>
      <c r="E2274" s="418">
        <f t="shared" si="215"/>
        <v>-4.0650406504064707E-3</v>
      </c>
      <c r="F2274" s="411"/>
      <c r="G2274" s="388"/>
      <c r="I2274" s="388"/>
    </row>
    <row r="2275" spans="1:9">
      <c r="A2275" s="408">
        <v>41236</v>
      </c>
      <c r="B2275" s="411">
        <v>1409.15</v>
      </c>
      <c r="C2275" s="418">
        <f t="shared" si="214"/>
        <v>1.3026318627204381E-2</v>
      </c>
      <c r="D2275" s="411">
        <v>9.84</v>
      </c>
      <c r="E2275" s="418">
        <f t="shared" si="215"/>
        <v>1.2345679012345512E-2</v>
      </c>
      <c r="F2275" s="411"/>
      <c r="G2275" s="388"/>
      <c r="I2275" s="388"/>
    </row>
    <row r="2276" spans="1:9">
      <c r="A2276" s="408">
        <v>41234</v>
      </c>
      <c r="B2276" s="411">
        <v>1391.03</v>
      </c>
      <c r="C2276" s="418">
        <f t="shared" si="214"/>
        <v>2.3202023331725385E-3</v>
      </c>
      <c r="D2276" s="411">
        <v>9.7200000000000006</v>
      </c>
      <c r="E2276" s="418">
        <f t="shared" si="215"/>
        <v>4.1322314049587749E-3</v>
      </c>
      <c r="F2276" s="411"/>
      <c r="G2276" s="388"/>
      <c r="I2276" s="388"/>
    </row>
    <row r="2277" spans="1:9">
      <c r="A2277" s="408">
        <v>41233</v>
      </c>
      <c r="B2277" s="411">
        <v>1387.81</v>
      </c>
      <c r="C2277" s="418">
        <f t="shared" si="214"/>
        <v>6.6335470008427322E-4</v>
      </c>
      <c r="D2277" s="411">
        <v>9.68</v>
      </c>
      <c r="E2277" s="418">
        <f t="shared" si="215"/>
        <v>1.3612565445026092E-2</v>
      </c>
      <c r="F2277" s="411"/>
      <c r="G2277" s="388"/>
      <c r="I2277" s="388"/>
    </row>
    <row r="2278" spans="1:9">
      <c r="A2278" s="408">
        <v>41232</v>
      </c>
      <c r="B2278" s="411">
        <v>1386.89</v>
      </c>
      <c r="C2278" s="418">
        <f t="shared" si="214"/>
        <v>1.9862046651175191E-2</v>
      </c>
      <c r="D2278" s="411">
        <v>9.5500000000000007</v>
      </c>
      <c r="E2278" s="418">
        <f t="shared" si="215"/>
        <v>2.3579849946409492E-2</v>
      </c>
      <c r="F2278" s="411"/>
      <c r="G2278" s="388"/>
      <c r="I2278" s="388"/>
    </row>
    <row r="2279" spans="1:9">
      <c r="A2279" s="408">
        <v>41229</v>
      </c>
      <c r="B2279" s="411">
        <v>1359.88</v>
      </c>
      <c r="C2279" s="418">
        <f t="shared" si="214"/>
        <v>4.8399133988015208E-3</v>
      </c>
      <c r="D2279" s="411">
        <v>9.33</v>
      </c>
      <c r="E2279" s="418">
        <f t="shared" si="215"/>
        <v>-1.6859852476290849E-2</v>
      </c>
      <c r="F2279" s="411"/>
      <c r="G2279" s="388"/>
      <c r="I2279" s="388"/>
    </row>
    <row r="2280" spans="1:9">
      <c r="A2280" s="408">
        <v>41228</v>
      </c>
      <c r="B2280" s="411">
        <v>1353.33</v>
      </c>
      <c r="C2280" s="418">
        <f t="shared" si="214"/>
        <v>-1.5935196866078138E-3</v>
      </c>
      <c r="D2280" s="411">
        <v>9.49</v>
      </c>
      <c r="E2280" s="418">
        <f t="shared" si="215"/>
        <v>-7.3221757322176062E-3</v>
      </c>
      <c r="F2280" s="411"/>
      <c r="G2280" s="388"/>
      <c r="I2280" s="388"/>
    </row>
    <row r="2281" spans="1:9">
      <c r="A2281" s="408">
        <v>41227</v>
      </c>
      <c r="B2281" s="411">
        <v>1355.49</v>
      </c>
      <c r="C2281" s="418">
        <f t="shared" si="214"/>
        <v>-1.3852007595323457E-2</v>
      </c>
      <c r="D2281" s="411">
        <v>9.56</v>
      </c>
      <c r="E2281" s="418">
        <f t="shared" si="215"/>
        <v>-6.3663075416258597E-2</v>
      </c>
      <c r="F2281" s="411"/>
      <c r="G2281" s="388"/>
      <c r="I2281" s="388"/>
    </row>
    <row r="2282" spans="1:9">
      <c r="A2282" s="408">
        <v>41226</v>
      </c>
      <c r="B2282" s="411">
        <v>1374.53</v>
      </c>
      <c r="C2282" s="418">
        <f t="shared" si="214"/>
        <v>-3.9846988722700427E-3</v>
      </c>
      <c r="D2282" s="411">
        <v>10.210000000000001</v>
      </c>
      <c r="E2282" s="418">
        <f t="shared" si="215"/>
        <v>-8.7378640776698546E-3</v>
      </c>
      <c r="F2282" s="411"/>
      <c r="G2282" s="388"/>
      <c r="I2282" s="388"/>
    </row>
    <row r="2283" spans="1:9">
      <c r="A2283" s="408">
        <v>41225</v>
      </c>
      <c r="B2283" s="411">
        <v>1380.029</v>
      </c>
      <c r="C2283" s="418">
        <f t="shared" si="214"/>
        <v>1.2972424538904015E-4</v>
      </c>
      <c r="D2283" s="411">
        <v>10.3</v>
      </c>
      <c r="E2283" s="418">
        <f t="shared" si="215"/>
        <v>1.0794896957801781E-2</v>
      </c>
      <c r="F2283" s="411"/>
      <c r="G2283" s="388"/>
      <c r="I2283" s="388"/>
    </row>
    <row r="2284" spans="1:9">
      <c r="A2284" s="408">
        <v>41222</v>
      </c>
      <c r="B2284" s="411">
        <v>1379.85</v>
      </c>
      <c r="C2284" s="418">
        <f t="shared" si="214"/>
        <v>1.6987172506914838E-3</v>
      </c>
      <c r="D2284" s="411">
        <v>10.19</v>
      </c>
      <c r="E2284" s="418">
        <f t="shared" si="215"/>
        <v>-9.7181729834791009E-3</v>
      </c>
      <c r="F2284" s="411"/>
      <c r="G2284" s="388"/>
      <c r="I2284" s="388"/>
    </row>
    <row r="2285" spans="1:9">
      <c r="A2285" s="408">
        <v>41221</v>
      </c>
      <c r="B2285" s="411">
        <v>1377.51</v>
      </c>
      <c r="C2285" s="418">
        <f t="shared" si="214"/>
        <v>-1.2204828867073525E-2</v>
      </c>
      <c r="D2285" s="411">
        <v>10.29</v>
      </c>
      <c r="E2285" s="418">
        <f t="shared" si="215"/>
        <v>3.5211267605633756E-2</v>
      </c>
      <c r="F2285" s="411"/>
      <c r="G2285" s="388"/>
      <c r="I2285" s="388"/>
    </row>
    <row r="2286" spans="1:9">
      <c r="A2286" s="408">
        <v>41220</v>
      </c>
      <c r="B2286" s="411">
        <v>1394.53</v>
      </c>
      <c r="C2286" s="418">
        <f t="shared" si="214"/>
        <v>-2.3705010536338222E-2</v>
      </c>
      <c r="D2286" s="411">
        <v>9.94</v>
      </c>
      <c r="E2286" s="418">
        <f t="shared" si="215"/>
        <v>-9.960159362549792E-3</v>
      </c>
      <c r="F2286" s="411"/>
      <c r="G2286" s="388"/>
      <c r="I2286" s="388"/>
    </row>
    <row r="2287" spans="1:9">
      <c r="A2287" s="408">
        <v>41219</v>
      </c>
      <c r="B2287" s="411">
        <v>1428.39</v>
      </c>
      <c r="C2287" s="418">
        <f t="shared" si="214"/>
        <v>7.8531814910460795E-3</v>
      </c>
      <c r="D2287" s="411">
        <v>10.039999999999999</v>
      </c>
      <c r="E2287" s="418">
        <f t="shared" si="215"/>
        <v>2.763561924257929E-2</v>
      </c>
      <c r="F2287" s="411"/>
      <c r="G2287" s="388"/>
      <c r="I2287" s="388"/>
    </row>
    <row r="2288" spans="1:9">
      <c r="A2288" s="408">
        <v>41218</v>
      </c>
      <c r="B2288" s="411">
        <v>1417.26</v>
      </c>
      <c r="C2288" s="418">
        <f t="shared" si="214"/>
        <v>2.1637675010606205E-3</v>
      </c>
      <c r="D2288" s="411">
        <v>9.77</v>
      </c>
      <c r="E2288" s="418">
        <f t="shared" si="215"/>
        <v>7.2164948453607991E-3</v>
      </c>
      <c r="F2288" s="411"/>
      <c r="G2288" s="388"/>
      <c r="I2288" s="388"/>
    </row>
    <row r="2289" spans="1:9">
      <c r="A2289" s="408">
        <v>41215</v>
      </c>
      <c r="B2289" s="411">
        <v>1414.2</v>
      </c>
      <c r="C2289" s="418">
        <f t="shared" si="214"/>
        <v>-9.3788191574171176E-3</v>
      </c>
      <c r="D2289" s="411">
        <v>9.6999999999999993</v>
      </c>
      <c r="E2289" s="418">
        <f t="shared" si="215"/>
        <v>0</v>
      </c>
      <c r="F2289" s="411"/>
      <c r="G2289" s="388"/>
      <c r="I2289" s="388"/>
    </row>
    <row r="2290" spans="1:9">
      <c r="A2290" s="408">
        <v>41214</v>
      </c>
      <c r="B2290" s="411">
        <v>1427.5890999999999</v>
      </c>
      <c r="C2290" s="418">
        <f t="shared" si="214"/>
        <v>1.0925886585089417E-2</v>
      </c>
      <c r="D2290" s="411">
        <v>9.6999999999999993</v>
      </c>
      <c r="E2290" s="418">
        <f t="shared" si="215"/>
        <v>7.2689511941845808E-3</v>
      </c>
      <c r="F2290" s="411"/>
      <c r="G2290" s="388"/>
      <c r="I2290" s="388"/>
    </row>
    <row r="2291" spans="1:9">
      <c r="A2291" s="408">
        <v>41213</v>
      </c>
      <c r="B2291" s="411">
        <v>1412.16</v>
      </c>
      <c r="C2291" s="418">
        <f t="shared" si="214"/>
        <v>1.5581398642994237E-4</v>
      </c>
      <c r="D2291" s="411">
        <v>9.6300000000000008</v>
      </c>
      <c r="E2291" s="418">
        <f t="shared" si="215"/>
        <v>-1.0373443983402453E-3</v>
      </c>
      <c r="F2291" s="411"/>
      <c r="G2291" s="388"/>
      <c r="I2291" s="388"/>
    </row>
    <row r="2292" spans="1:9">
      <c r="A2292" s="408">
        <v>41208</v>
      </c>
      <c r="B2292" s="411">
        <v>1411.94</v>
      </c>
      <c r="C2292" s="418">
        <f t="shared" si="214"/>
        <v>-7.2896098289421118E-4</v>
      </c>
      <c r="D2292" s="411">
        <v>9.64</v>
      </c>
      <c r="E2292" s="418">
        <f t="shared" si="215"/>
        <v>0</v>
      </c>
      <c r="F2292" s="411"/>
      <c r="G2292" s="388"/>
      <c r="I2292" s="388"/>
    </row>
    <row r="2293" spans="1:9">
      <c r="A2293" s="408">
        <v>41207</v>
      </c>
      <c r="B2293" s="411">
        <v>1412.97</v>
      </c>
      <c r="C2293" s="418">
        <f t="shared" si="214"/>
        <v>2.9955634427685229E-3</v>
      </c>
      <c r="D2293" s="411">
        <v>9.64</v>
      </c>
      <c r="E2293" s="418">
        <f t="shared" si="215"/>
        <v>-3.9840637450199057E-2</v>
      </c>
      <c r="F2293" s="411"/>
      <c r="G2293" s="388"/>
      <c r="I2293" s="388"/>
    </row>
    <row r="2294" spans="1:9">
      <c r="A2294" s="408">
        <v>41206</v>
      </c>
      <c r="B2294" s="411">
        <v>1408.75</v>
      </c>
      <c r="C2294" s="418">
        <f t="shared" si="214"/>
        <v>-3.0853932107195448E-3</v>
      </c>
      <c r="D2294" s="411">
        <v>10.039999999999999</v>
      </c>
      <c r="E2294" s="418">
        <f t="shared" si="215"/>
        <v>-1.0837438423645485E-2</v>
      </c>
      <c r="F2294" s="411"/>
      <c r="G2294" s="388"/>
      <c r="I2294" s="388"/>
    </row>
    <row r="2295" spans="1:9">
      <c r="A2295" s="408">
        <v>41205</v>
      </c>
      <c r="B2295" s="411">
        <v>1413.11</v>
      </c>
      <c r="C2295" s="418">
        <f t="shared" si="214"/>
        <v>-1.4443245625842649E-2</v>
      </c>
      <c r="D2295" s="411">
        <v>10.15</v>
      </c>
      <c r="E2295" s="418">
        <f t="shared" si="215"/>
        <v>9.8619329388549559E-4</v>
      </c>
      <c r="F2295" s="411"/>
      <c r="G2295" s="388"/>
      <c r="I2295" s="388"/>
    </row>
    <row r="2296" spans="1:9">
      <c r="A2296" s="408">
        <v>41204</v>
      </c>
      <c r="B2296" s="411">
        <v>1433.819</v>
      </c>
      <c r="C2296" s="418">
        <f t="shared" si="214"/>
        <v>4.3888109741208048E-4</v>
      </c>
      <c r="D2296" s="411">
        <v>10.14</v>
      </c>
      <c r="E2296" s="418">
        <f t="shared" si="215"/>
        <v>1.4000000000000012E-2</v>
      </c>
      <c r="F2296" s="411"/>
      <c r="G2296" s="388"/>
      <c r="I2296" s="388"/>
    </row>
    <row r="2297" spans="1:9">
      <c r="A2297" s="408">
        <v>41201</v>
      </c>
      <c r="B2297" s="411">
        <v>1433.19</v>
      </c>
      <c r="C2297" s="418">
        <f t="shared" si="214"/>
        <v>-1.6571287414055669E-2</v>
      </c>
      <c r="D2297" s="411">
        <v>10</v>
      </c>
      <c r="E2297" s="418">
        <f t="shared" si="215"/>
        <v>-2.0568070519099035E-2</v>
      </c>
      <c r="F2297" s="411"/>
      <c r="G2297" s="388"/>
      <c r="I2297" s="388"/>
    </row>
    <row r="2298" spans="1:9">
      <c r="A2298" s="408">
        <v>41200</v>
      </c>
      <c r="B2298" s="411">
        <v>1457.34</v>
      </c>
      <c r="C2298" s="418">
        <f t="shared" si="214"/>
        <v>-2.4436823623632531E-3</v>
      </c>
      <c r="D2298" s="411">
        <v>10.210000000000001</v>
      </c>
      <c r="E2298" s="418">
        <f t="shared" si="215"/>
        <v>1.9627085377822429E-3</v>
      </c>
      <c r="F2298" s="411"/>
      <c r="G2298" s="388"/>
      <c r="I2298" s="388"/>
    </row>
    <row r="2299" spans="1:9">
      <c r="A2299" s="408">
        <v>41199</v>
      </c>
      <c r="B2299" s="411">
        <v>1460.91</v>
      </c>
      <c r="C2299" s="418">
        <f t="shared" si="214"/>
        <v>4.117064855799546E-3</v>
      </c>
      <c r="D2299" s="411">
        <v>10.19</v>
      </c>
      <c r="E2299" s="418">
        <f t="shared" si="215"/>
        <v>2.0020020020020013E-2</v>
      </c>
      <c r="F2299" s="411"/>
      <c r="G2299" s="388"/>
      <c r="I2299" s="388"/>
    </row>
    <row r="2300" spans="1:9">
      <c r="A2300" s="408">
        <v>41198</v>
      </c>
      <c r="B2300" s="411">
        <v>1454.92</v>
      </c>
      <c r="C2300" s="418">
        <f t="shared" si="214"/>
        <v>1.0269906189024569E-2</v>
      </c>
      <c r="D2300" s="411">
        <v>9.99</v>
      </c>
      <c r="E2300" s="418">
        <f t="shared" si="215"/>
        <v>-1.1869436201780381E-2</v>
      </c>
      <c r="F2300" s="411"/>
      <c r="G2300" s="388"/>
      <c r="I2300" s="388"/>
    </row>
    <row r="2301" spans="1:9">
      <c r="A2301" s="408">
        <v>41197</v>
      </c>
      <c r="B2301" s="411">
        <v>1440.13</v>
      </c>
      <c r="C2301" s="418">
        <f t="shared" si="214"/>
        <v>8.0778949873652195E-3</v>
      </c>
      <c r="D2301" s="411">
        <v>10.11</v>
      </c>
      <c r="E2301" s="418">
        <f t="shared" si="215"/>
        <v>8.9820359281436168E-3</v>
      </c>
      <c r="F2301" s="411"/>
      <c r="G2301" s="388"/>
      <c r="I2301" s="388"/>
    </row>
    <row r="2302" spans="1:9">
      <c r="A2302" s="408">
        <v>41194</v>
      </c>
      <c r="B2302" s="411">
        <v>1428.59</v>
      </c>
      <c r="C2302" s="418">
        <f t="shared" si="214"/>
        <v>-2.9661371820999261E-3</v>
      </c>
      <c r="D2302" s="411">
        <v>10.02</v>
      </c>
      <c r="E2302" s="418">
        <f t="shared" si="215"/>
        <v>2.7692307692307683E-2</v>
      </c>
      <c r="F2302" s="411"/>
      <c r="G2302" s="388"/>
      <c r="I2302" s="388"/>
    </row>
    <row r="2303" spans="1:9">
      <c r="A2303" s="408">
        <v>41193</v>
      </c>
      <c r="B2303" s="411">
        <v>1432.84</v>
      </c>
      <c r="C2303" s="418">
        <f t="shared" si="214"/>
        <v>1.9545429161782479E-4</v>
      </c>
      <c r="D2303" s="411">
        <v>9.75</v>
      </c>
      <c r="E2303" s="418">
        <f t="shared" si="215"/>
        <v>-9.1463414634146423E-3</v>
      </c>
      <c r="F2303" s="411"/>
      <c r="G2303" s="388"/>
      <c r="I2303" s="388"/>
    </row>
    <row r="2304" spans="1:9">
      <c r="A2304" s="408">
        <v>41192</v>
      </c>
      <c r="B2304" s="411">
        <v>1432.56</v>
      </c>
      <c r="C2304" s="418">
        <f t="shared" si="214"/>
        <v>-6.188084468740529E-3</v>
      </c>
      <c r="D2304" s="411">
        <v>9.84</v>
      </c>
      <c r="E2304" s="418">
        <f t="shared" si="215"/>
        <v>-5.0556117290192493E-3</v>
      </c>
      <c r="F2304" s="411"/>
      <c r="G2304" s="388"/>
      <c r="I2304" s="388"/>
    </row>
    <row r="2305" spans="1:9">
      <c r="A2305" s="408">
        <v>41191</v>
      </c>
      <c r="B2305" s="411">
        <v>1441.48</v>
      </c>
      <c r="C2305" s="418">
        <f t="shared" si="214"/>
        <v>-9.8909250762425627E-3</v>
      </c>
      <c r="D2305" s="411">
        <v>9.89</v>
      </c>
      <c r="E2305" s="418">
        <f t="shared" si="215"/>
        <v>-2.3692003948667328E-2</v>
      </c>
      <c r="F2305" s="411"/>
      <c r="G2305" s="388"/>
      <c r="I2305" s="388"/>
    </row>
    <row r="2306" spans="1:9">
      <c r="A2306" s="408">
        <v>41190</v>
      </c>
      <c r="B2306" s="411">
        <v>1455.88</v>
      </c>
      <c r="C2306" s="418">
        <f t="shared" si="214"/>
        <v>-3.4567022376157386E-3</v>
      </c>
      <c r="D2306" s="411">
        <v>10.130000000000001</v>
      </c>
      <c r="E2306" s="418">
        <f t="shared" si="215"/>
        <v>-1.459143968871579E-2</v>
      </c>
      <c r="F2306" s="411"/>
      <c r="G2306" s="388"/>
      <c r="I2306" s="388"/>
    </row>
    <row r="2307" spans="1:9">
      <c r="A2307" s="408">
        <v>41187</v>
      </c>
      <c r="B2307" s="411">
        <v>1460.93</v>
      </c>
      <c r="C2307" s="418">
        <f t="shared" si="214"/>
        <v>-3.2160941562886514E-4</v>
      </c>
      <c r="D2307" s="411">
        <v>10.28</v>
      </c>
      <c r="E2307" s="418">
        <f t="shared" si="215"/>
        <v>1.3806706114398271E-2</v>
      </c>
      <c r="F2307" s="411"/>
      <c r="G2307" s="388"/>
      <c r="I2307" s="388"/>
    </row>
    <row r="2308" spans="1:9">
      <c r="A2308" s="408">
        <v>41186</v>
      </c>
      <c r="B2308" s="411">
        <v>1461.4</v>
      </c>
      <c r="C2308" s="418">
        <f t="shared" si="214"/>
        <v>7.1744119532182182E-3</v>
      </c>
      <c r="D2308" s="411">
        <v>10.14</v>
      </c>
      <c r="E2308" s="418">
        <f t="shared" si="215"/>
        <v>-1.9685039370078705E-3</v>
      </c>
      <c r="F2308" s="411"/>
      <c r="G2308" s="388"/>
      <c r="I2308" s="388"/>
    </row>
    <row r="2309" spans="1:9">
      <c r="A2309" s="408">
        <v>41185</v>
      </c>
      <c r="B2309" s="411">
        <v>1450.99</v>
      </c>
      <c r="C2309" s="418">
        <f t="shared" si="214"/>
        <v>3.6244163928755846E-3</v>
      </c>
      <c r="D2309" s="411">
        <v>10.16</v>
      </c>
      <c r="E2309" s="418">
        <f t="shared" si="215"/>
        <v>3.9918116683725691E-2</v>
      </c>
      <c r="F2309" s="411"/>
      <c r="G2309" s="388"/>
      <c r="I2309" s="388"/>
    </row>
    <row r="2310" spans="1:9">
      <c r="A2310" s="408">
        <v>41184</v>
      </c>
      <c r="B2310" s="411">
        <v>1445.75</v>
      </c>
      <c r="C2310" s="418">
        <f t="shared" si="214"/>
        <v>8.722801819327497E-4</v>
      </c>
      <c r="D2310" s="411">
        <v>9.77</v>
      </c>
      <c r="E2310" s="418">
        <f t="shared" si="215"/>
        <v>3.1678986272439147E-2</v>
      </c>
      <c r="F2310" s="411"/>
      <c r="G2310" s="388"/>
      <c r="I2310" s="388"/>
    </row>
    <row r="2311" spans="1:9">
      <c r="A2311" s="408">
        <v>41183</v>
      </c>
      <c r="B2311" s="411">
        <v>1444.49</v>
      </c>
      <c r="C2311" s="418">
        <f t="shared" si="214"/>
        <v>2.6515440732437501E-3</v>
      </c>
      <c r="D2311" s="411">
        <v>9.4700000000000006</v>
      </c>
      <c r="E2311" s="418">
        <f t="shared" si="215"/>
        <v>3.3842794759825434E-2</v>
      </c>
      <c r="F2311" s="411"/>
      <c r="G2311" s="388"/>
      <c r="I2311" s="388"/>
    </row>
    <row r="2312" spans="1:9">
      <c r="A2312" s="408">
        <v>41180</v>
      </c>
      <c r="B2312" s="411">
        <v>1440.67</v>
      </c>
      <c r="C2312" s="418">
        <f t="shared" ref="C2312:C2375" si="216">B2312/B2313-1</f>
        <v>-4.4777666447846087E-3</v>
      </c>
      <c r="D2312" s="411">
        <v>9.16</v>
      </c>
      <c r="E2312" s="418">
        <f t="shared" ref="E2312:E2375" si="217">D2312/D2313-1</f>
        <v>-7.5839653304442534E-3</v>
      </c>
      <c r="F2312" s="411"/>
      <c r="G2312" s="388"/>
      <c r="I2312" s="388"/>
    </row>
    <row r="2313" spans="1:9">
      <c r="A2313" s="408">
        <v>41179</v>
      </c>
      <c r="B2313" s="411">
        <v>1447.15</v>
      </c>
      <c r="C2313" s="418">
        <f t="shared" si="216"/>
        <v>9.648926966762561E-3</v>
      </c>
      <c r="D2313" s="411">
        <v>9.23</v>
      </c>
      <c r="E2313" s="418">
        <f t="shared" si="217"/>
        <v>7.6419213973799582E-3</v>
      </c>
      <c r="F2313" s="411"/>
      <c r="G2313" s="388"/>
      <c r="I2313" s="388"/>
    </row>
    <row r="2314" spans="1:9">
      <c r="A2314" s="408">
        <v>41178</v>
      </c>
      <c r="B2314" s="411">
        <v>1433.32</v>
      </c>
      <c r="C2314" s="418">
        <f t="shared" si="216"/>
        <v>-5.736721259165245E-3</v>
      </c>
      <c r="D2314" s="411">
        <v>9.16</v>
      </c>
      <c r="E2314" s="418">
        <f t="shared" si="217"/>
        <v>1.5521064301552201E-2</v>
      </c>
      <c r="F2314" s="411"/>
      <c r="G2314" s="388"/>
      <c r="I2314" s="388"/>
    </row>
    <row r="2315" spans="1:9">
      <c r="A2315" s="408">
        <v>41177</v>
      </c>
      <c r="B2315" s="411">
        <v>1441.59</v>
      </c>
      <c r="C2315" s="418">
        <f t="shared" si="216"/>
        <v>-1.0501822375059366E-2</v>
      </c>
      <c r="D2315" s="411">
        <v>9.02</v>
      </c>
      <c r="E2315" s="418">
        <f t="shared" si="217"/>
        <v>-1.2048192771084487E-2</v>
      </c>
      <c r="F2315" s="411"/>
      <c r="G2315" s="388"/>
      <c r="I2315" s="388"/>
    </row>
    <row r="2316" spans="1:9">
      <c r="A2316" s="408">
        <v>41176</v>
      </c>
      <c r="B2316" s="411">
        <v>1456.89</v>
      </c>
      <c r="C2316" s="418">
        <f t="shared" si="216"/>
        <v>-2.2326473307536787E-3</v>
      </c>
      <c r="D2316" s="411">
        <v>9.1300000000000008</v>
      </c>
      <c r="E2316" s="418">
        <f t="shared" si="217"/>
        <v>7.1704357418644893E-3</v>
      </c>
      <c r="F2316" s="411"/>
      <c r="G2316" s="388"/>
      <c r="I2316" s="388"/>
    </row>
    <row r="2317" spans="1:9">
      <c r="A2317" s="408">
        <v>41173</v>
      </c>
      <c r="B2317" s="411">
        <v>1460.15</v>
      </c>
      <c r="C2317" s="418">
        <f t="shared" si="216"/>
        <v>-7.5329050990835533E-5</v>
      </c>
      <c r="D2317" s="411">
        <v>9.0649999999999995</v>
      </c>
      <c r="E2317" s="418">
        <f t="shared" si="217"/>
        <v>-9.2896174863389414E-3</v>
      </c>
      <c r="F2317" s="411"/>
      <c r="G2317" s="388"/>
      <c r="I2317" s="388"/>
    </row>
    <row r="2318" spans="1:9">
      <c r="A2318" s="408">
        <v>41172</v>
      </c>
      <c r="B2318" s="411">
        <v>1460.26</v>
      </c>
      <c r="C2318" s="418">
        <f t="shared" si="216"/>
        <v>-5.4070702576913821E-4</v>
      </c>
      <c r="D2318" s="411">
        <v>9.15</v>
      </c>
      <c r="E2318" s="418">
        <f t="shared" si="217"/>
        <v>-2.3479188900746961E-2</v>
      </c>
      <c r="F2318" s="411"/>
      <c r="G2318" s="388"/>
      <c r="I2318" s="388"/>
    </row>
    <row r="2319" spans="1:9">
      <c r="A2319" s="408">
        <v>41171</v>
      </c>
      <c r="B2319" s="411">
        <v>1461.05</v>
      </c>
      <c r="C2319" s="418">
        <f t="shared" si="216"/>
        <v>1.1854836499192167E-3</v>
      </c>
      <c r="D2319" s="411">
        <v>9.3699999999999992</v>
      </c>
      <c r="E2319" s="418">
        <f t="shared" si="217"/>
        <v>4.5758928571428381E-2</v>
      </c>
      <c r="F2319" s="411"/>
      <c r="G2319" s="388"/>
      <c r="I2319" s="388"/>
    </row>
    <row r="2320" spans="1:9">
      <c r="A2320" s="408">
        <v>41170</v>
      </c>
      <c r="B2320" s="411">
        <v>1459.32</v>
      </c>
      <c r="C2320" s="418">
        <f t="shared" si="216"/>
        <v>-1.2797788104217389E-3</v>
      </c>
      <c r="D2320" s="411">
        <v>8.9600000000000009</v>
      </c>
      <c r="E2320" s="418">
        <f t="shared" si="217"/>
        <v>-2.9252437703141898E-2</v>
      </c>
      <c r="F2320" s="411"/>
      <c r="G2320" s="388"/>
      <c r="I2320" s="388"/>
    </row>
    <row r="2321" spans="1:9">
      <c r="A2321" s="408">
        <v>41169</v>
      </c>
      <c r="B2321" s="411">
        <v>1461.19</v>
      </c>
      <c r="C2321" s="418">
        <f t="shared" si="216"/>
        <v>-3.1246375625098022E-3</v>
      </c>
      <c r="D2321" s="411">
        <v>9.23</v>
      </c>
      <c r="E2321" s="418">
        <f t="shared" si="217"/>
        <v>-4.3149946062566169E-3</v>
      </c>
      <c r="F2321" s="411"/>
      <c r="G2321" s="388"/>
      <c r="I2321" s="388"/>
    </row>
    <row r="2322" spans="1:9">
      <c r="A2322" s="408">
        <v>41166</v>
      </c>
      <c r="B2322" s="411">
        <v>1465.77</v>
      </c>
      <c r="C2322" s="418">
        <f t="shared" si="216"/>
        <v>3.9589312255563502E-3</v>
      </c>
      <c r="D2322" s="411">
        <v>9.27</v>
      </c>
      <c r="E2322" s="418">
        <f t="shared" si="217"/>
        <v>-1.904761904761898E-2</v>
      </c>
      <c r="F2322" s="411"/>
      <c r="G2322" s="388"/>
      <c r="I2322" s="388"/>
    </row>
    <row r="2323" spans="1:9">
      <c r="A2323" s="408">
        <v>41165</v>
      </c>
      <c r="B2323" s="411">
        <v>1459.99</v>
      </c>
      <c r="C2323" s="418">
        <f t="shared" si="216"/>
        <v>1.6309795622876821E-2</v>
      </c>
      <c r="D2323" s="411">
        <v>9.4499999999999993</v>
      </c>
      <c r="E2323" s="418">
        <f t="shared" si="217"/>
        <v>-5.2631578947369695E-3</v>
      </c>
      <c r="F2323" s="411"/>
      <c r="G2323" s="388"/>
      <c r="I2323" s="388"/>
    </row>
    <row r="2324" spans="1:9">
      <c r="A2324" s="408">
        <v>41164</v>
      </c>
      <c r="B2324" s="411">
        <v>1436.56</v>
      </c>
      <c r="C2324" s="418">
        <f t="shared" si="216"/>
        <v>2.0926923184241275E-3</v>
      </c>
      <c r="D2324" s="411">
        <v>9.5</v>
      </c>
      <c r="E2324" s="418">
        <f t="shared" si="217"/>
        <v>2.3706896551724199E-2</v>
      </c>
      <c r="F2324" s="411"/>
      <c r="G2324" s="388"/>
      <c r="I2324" s="388"/>
    </row>
    <row r="2325" spans="1:9">
      <c r="A2325" s="408">
        <v>41163</v>
      </c>
      <c r="B2325" s="411">
        <v>1433.56</v>
      </c>
      <c r="C2325" s="418">
        <f t="shared" si="216"/>
        <v>3.134883981302572E-3</v>
      </c>
      <c r="D2325" s="411">
        <v>9.2799999999999994</v>
      </c>
      <c r="E2325" s="418">
        <f t="shared" si="217"/>
        <v>-1.0660980810234699E-2</v>
      </c>
      <c r="F2325" s="411"/>
      <c r="G2325" s="388"/>
      <c r="I2325" s="388"/>
    </row>
    <row r="2326" spans="1:9">
      <c r="A2326" s="408">
        <v>41162</v>
      </c>
      <c r="B2326" s="411">
        <v>1429.08</v>
      </c>
      <c r="C2326" s="418">
        <f t="shared" si="216"/>
        <v>-6.1477689996662921E-3</v>
      </c>
      <c r="D2326" s="411">
        <v>9.3800000000000008</v>
      </c>
      <c r="E2326" s="418">
        <f t="shared" si="217"/>
        <v>1.0775862068965747E-2</v>
      </c>
      <c r="F2326" s="411"/>
      <c r="G2326" s="388"/>
      <c r="I2326" s="388"/>
    </row>
    <row r="2327" spans="1:9">
      <c r="A2327" s="408">
        <v>41159</v>
      </c>
      <c r="B2327" s="411">
        <v>1437.92</v>
      </c>
      <c r="C2327" s="418">
        <f t="shared" si="216"/>
        <v>4.04993994916647E-3</v>
      </c>
      <c r="D2327" s="411">
        <v>9.2799999999999994</v>
      </c>
      <c r="E2327" s="418">
        <f t="shared" si="217"/>
        <v>8.6956521739129933E-3</v>
      </c>
      <c r="F2327" s="411"/>
      <c r="G2327" s="388"/>
      <c r="I2327" s="388"/>
    </row>
    <row r="2328" spans="1:9">
      <c r="A2328" s="408">
        <v>41158</v>
      </c>
      <c r="B2328" s="411">
        <v>1432.12</v>
      </c>
      <c r="C2328" s="418">
        <f t="shared" si="216"/>
        <v>2.043550133956562E-2</v>
      </c>
      <c r="D2328" s="411">
        <v>9.1999999999999993</v>
      </c>
      <c r="E2328" s="418">
        <f t="shared" si="217"/>
        <v>3.603603603603589E-2</v>
      </c>
      <c r="F2328" s="411"/>
      <c r="G2328" s="388"/>
      <c r="I2328" s="388"/>
    </row>
    <row r="2329" spans="1:9">
      <c r="A2329" s="408">
        <v>41157</v>
      </c>
      <c r="B2329" s="411">
        <v>1403.44</v>
      </c>
      <c r="C2329" s="418">
        <f t="shared" si="216"/>
        <v>-1.0676612524378459E-3</v>
      </c>
      <c r="D2329" s="411">
        <v>8.8800000000000008</v>
      </c>
      <c r="E2329" s="418">
        <f t="shared" si="217"/>
        <v>3.7383177570093462E-2</v>
      </c>
      <c r="F2329" s="411"/>
      <c r="G2329" s="388"/>
      <c r="I2329" s="388"/>
    </row>
    <row r="2330" spans="1:9">
      <c r="A2330" s="408">
        <v>41156</v>
      </c>
      <c r="B2330" s="411">
        <v>1404.94</v>
      </c>
      <c r="C2330" s="418">
        <f t="shared" si="216"/>
        <v>-1.1659486129476093E-3</v>
      </c>
      <c r="D2330" s="411">
        <v>8.56</v>
      </c>
      <c r="E2330" s="418">
        <f t="shared" si="217"/>
        <v>-1.0404624277456587E-2</v>
      </c>
      <c r="F2330" s="411"/>
      <c r="G2330" s="388"/>
      <c r="I2330" s="388"/>
    </row>
    <row r="2331" spans="1:9">
      <c r="A2331" s="408">
        <v>41152</v>
      </c>
      <c r="B2331" s="411">
        <v>1406.58</v>
      </c>
      <c r="C2331" s="418">
        <f t="shared" si="216"/>
        <v>5.0733129448079506E-3</v>
      </c>
      <c r="D2331" s="411">
        <v>8.65</v>
      </c>
      <c r="E2331" s="418">
        <f t="shared" si="217"/>
        <v>1.1695906432748426E-2</v>
      </c>
      <c r="F2331" s="411"/>
      <c r="G2331" s="388"/>
      <c r="I2331" s="388"/>
    </row>
    <row r="2332" spans="1:9">
      <c r="A2332" s="408">
        <v>41151</v>
      </c>
      <c r="B2332" s="411">
        <v>1399.48</v>
      </c>
      <c r="C2332" s="418">
        <f t="shared" si="216"/>
        <v>-7.8057979850973958E-3</v>
      </c>
      <c r="D2332" s="411">
        <v>8.5500000000000007</v>
      </c>
      <c r="E2332" s="418">
        <f t="shared" si="217"/>
        <v>-6.9686411149824101E-3</v>
      </c>
      <c r="F2332" s="411"/>
      <c r="G2332" s="388"/>
      <c r="I2332" s="388"/>
    </row>
    <row r="2333" spans="1:9">
      <c r="A2333" s="408">
        <v>41150</v>
      </c>
      <c r="B2333" s="411">
        <v>1410.49</v>
      </c>
      <c r="C2333" s="418">
        <f t="shared" si="216"/>
        <v>8.4439083232812351E-4</v>
      </c>
      <c r="D2333" s="411">
        <v>8.61</v>
      </c>
      <c r="E2333" s="418">
        <f t="shared" si="217"/>
        <v>-1.0344827586206917E-2</v>
      </c>
      <c r="F2333" s="411"/>
      <c r="G2333" s="388"/>
      <c r="I2333" s="388"/>
    </row>
    <row r="2334" spans="1:9">
      <c r="A2334" s="408">
        <v>41149</v>
      </c>
      <c r="B2334" s="411">
        <v>1409.3</v>
      </c>
      <c r="C2334" s="418">
        <f t="shared" si="216"/>
        <v>-8.082584158135564E-4</v>
      </c>
      <c r="D2334" s="411">
        <v>8.6999999999999993</v>
      </c>
      <c r="E2334" s="418">
        <f t="shared" si="217"/>
        <v>-3.9735099337748436E-2</v>
      </c>
      <c r="F2334" s="411"/>
      <c r="G2334" s="388"/>
      <c r="I2334" s="388"/>
    </row>
    <row r="2335" spans="1:9">
      <c r="A2335" s="408">
        <v>41148</v>
      </c>
      <c r="B2335" s="411">
        <v>1410.44</v>
      </c>
      <c r="C2335" s="418">
        <f t="shared" si="216"/>
        <v>-4.8896983268731375E-4</v>
      </c>
      <c r="D2335" s="411">
        <v>9.06</v>
      </c>
      <c r="E2335" s="418">
        <f t="shared" si="217"/>
        <v>-5.4884742041710899E-3</v>
      </c>
      <c r="F2335" s="411"/>
      <c r="G2335" s="388"/>
      <c r="I2335" s="388"/>
    </row>
    <row r="2336" spans="1:9">
      <c r="A2336" s="408">
        <v>41145</v>
      </c>
      <c r="B2336" s="411">
        <v>1411.13</v>
      </c>
      <c r="C2336" s="418">
        <f t="shared" si="216"/>
        <v>6.4546958804063692E-3</v>
      </c>
      <c r="D2336" s="411">
        <v>9.11</v>
      </c>
      <c r="E2336" s="418">
        <f t="shared" si="217"/>
        <v>-4.3715846994536456E-3</v>
      </c>
      <c r="F2336" s="411"/>
      <c r="G2336" s="388"/>
      <c r="I2336" s="388"/>
    </row>
    <row r="2337" spans="1:9">
      <c r="A2337" s="408">
        <v>41144</v>
      </c>
      <c r="B2337" s="411">
        <v>1402.08</v>
      </c>
      <c r="C2337" s="418">
        <f t="shared" si="216"/>
        <v>-8.0722184097518079E-3</v>
      </c>
      <c r="D2337" s="411">
        <v>9.15</v>
      </c>
      <c r="E2337" s="418">
        <f t="shared" si="217"/>
        <v>-3.9874081846799525E-2</v>
      </c>
      <c r="F2337" s="411"/>
      <c r="G2337" s="388"/>
      <c r="I2337" s="388"/>
    </row>
    <row r="2338" spans="1:9">
      <c r="A2338" s="408">
        <v>41143</v>
      </c>
      <c r="B2338" s="411">
        <v>1413.49</v>
      </c>
      <c r="C2338" s="418">
        <f t="shared" si="216"/>
        <v>2.2644126325910285E-4</v>
      </c>
      <c r="D2338" s="411">
        <v>9.5299999999999994</v>
      </c>
      <c r="E2338" s="418">
        <f t="shared" si="217"/>
        <v>-1.8537590113285374E-2</v>
      </c>
      <c r="F2338" s="411"/>
      <c r="G2338" s="388"/>
      <c r="I2338" s="388"/>
    </row>
    <row r="2339" spans="1:9">
      <c r="A2339" s="408">
        <v>41142</v>
      </c>
      <c r="B2339" s="411">
        <v>1413.17</v>
      </c>
      <c r="C2339" s="418">
        <f t="shared" si="216"/>
        <v>-3.4975636930324461E-3</v>
      </c>
      <c r="D2339" s="411">
        <v>9.7100000000000009</v>
      </c>
      <c r="E2339" s="418">
        <f t="shared" si="217"/>
        <v>2.6427061310782207E-2</v>
      </c>
      <c r="F2339" s="411"/>
      <c r="G2339" s="388"/>
      <c r="I2339" s="388"/>
    </row>
    <row r="2340" spans="1:9">
      <c r="A2340" s="408">
        <v>41141</v>
      </c>
      <c r="B2340" s="411">
        <v>1418.13</v>
      </c>
      <c r="C2340" s="418">
        <f t="shared" si="216"/>
        <v>-2.1154171602644212E-5</v>
      </c>
      <c r="D2340" s="411">
        <v>9.4600000000000009</v>
      </c>
      <c r="E2340" s="418">
        <f t="shared" si="217"/>
        <v>3.6144578313253017E-2</v>
      </c>
      <c r="F2340" s="411"/>
      <c r="G2340" s="388"/>
      <c r="I2340" s="388"/>
    </row>
    <row r="2341" spans="1:9">
      <c r="A2341" s="408">
        <v>41138</v>
      </c>
      <c r="B2341" s="411">
        <v>1418.16</v>
      </c>
      <c r="C2341" s="418">
        <f t="shared" si="216"/>
        <v>1.8721167635693536E-3</v>
      </c>
      <c r="D2341" s="411">
        <v>9.1300000000000008</v>
      </c>
      <c r="E2341" s="418">
        <f t="shared" si="217"/>
        <v>1.1074197120708895E-2</v>
      </c>
      <c r="F2341" s="411"/>
      <c r="G2341" s="388"/>
      <c r="I2341" s="388"/>
    </row>
    <row r="2342" spans="1:9">
      <c r="A2342" s="408">
        <v>41137</v>
      </c>
      <c r="B2342" s="411">
        <v>1415.51</v>
      </c>
      <c r="C2342" s="418">
        <f t="shared" si="216"/>
        <v>7.1005243573598609E-3</v>
      </c>
      <c r="D2342" s="411">
        <v>9.0299999999999994</v>
      </c>
      <c r="E2342" s="418">
        <f t="shared" si="217"/>
        <v>-2.4838012958963374E-2</v>
      </c>
      <c r="F2342" s="411"/>
      <c r="G2342" s="388"/>
      <c r="I2342" s="388"/>
    </row>
    <row r="2343" spans="1:9">
      <c r="A2343" s="408">
        <v>41136</v>
      </c>
      <c r="B2343" s="411">
        <v>1405.53</v>
      </c>
      <c r="C2343" s="418">
        <f t="shared" si="216"/>
        <v>1.1396579601545831E-3</v>
      </c>
      <c r="D2343" s="411">
        <v>9.26</v>
      </c>
      <c r="E2343" s="418">
        <f t="shared" si="217"/>
        <v>-2.1551724137930384E-3</v>
      </c>
      <c r="F2343" s="411"/>
      <c r="G2343" s="388"/>
      <c r="I2343" s="388"/>
    </row>
    <row r="2344" spans="1:9">
      <c r="A2344" s="408">
        <v>41135</v>
      </c>
      <c r="B2344" s="411">
        <v>1403.93</v>
      </c>
      <c r="C2344" s="418">
        <f t="shared" si="216"/>
        <v>-1.2819508443062677E-4</v>
      </c>
      <c r="D2344" s="411">
        <v>9.2799999999999994</v>
      </c>
      <c r="E2344" s="418">
        <f t="shared" si="217"/>
        <v>2.1598272138227959E-3</v>
      </c>
      <c r="F2344" s="411"/>
      <c r="G2344" s="388"/>
      <c r="I2344" s="388"/>
    </row>
    <row r="2345" spans="1:9">
      <c r="A2345" s="408">
        <v>41134</v>
      </c>
      <c r="B2345" s="411">
        <v>1404.11</v>
      </c>
      <c r="C2345" s="418">
        <f t="shared" si="216"/>
        <v>-1.2518938450923889E-3</v>
      </c>
      <c r="D2345" s="411">
        <v>9.26</v>
      </c>
      <c r="E2345" s="418">
        <f t="shared" si="217"/>
        <v>2.207505518763786E-2</v>
      </c>
      <c r="F2345" s="411"/>
      <c r="G2345" s="388"/>
      <c r="I2345" s="388"/>
    </row>
    <row r="2346" spans="1:9">
      <c r="A2346" s="408">
        <v>41131</v>
      </c>
      <c r="B2346" s="411">
        <v>1405.87</v>
      </c>
      <c r="C2346" s="418">
        <f t="shared" si="216"/>
        <v>2.1884801824920697E-3</v>
      </c>
      <c r="D2346" s="411">
        <v>9.06</v>
      </c>
      <c r="E2346" s="418">
        <f t="shared" si="217"/>
        <v>-1.1025358324144863E-3</v>
      </c>
      <c r="F2346" s="411"/>
      <c r="G2346" s="388"/>
      <c r="I2346" s="388"/>
    </row>
    <row r="2347" spans="1:9">
      <c r="A2347" s="408">
        <v>41130</v>
      </c>
      <c r="B2347" s="411">
        <v>1402.8</v>
      </c>
      <c r="C2347" s="418">
        <f t="shared" si="216"/>
        <v>4.136298155781315E-4</v>
      </c>
      <c r="D2347" s="411">
        <v>9.07</v>
      </c>
      <c r="E2347" s="418">
        <f t="shared" si="217"/>
        <v>-3.4078807241746611E-2</v>
      </c>
      <c r="F2347" s="411"/>
      <c r="G2347" s="388"/>
      <c r="I2347" s="388"/>
    </row>
    <row r="2348" spans="1:9">
      <c r="A2348" s="408">
        <v>41129</v>
      </c>
      <c r="B2348" s="411">
        <v>1402.22</v>
      </c>
      <c r="C2348" s="418">
        <f t="shared" si="216"/>
        <v>6.2082991401157805E-4</v>
      </c>
      <c r="D2348" s="411">
        <v>9.39</v>
      </c>
      <c r="E2348" s="418">
        <f t="shared" si="217"/>
        <v>7.5107296137340018E-3</v>
      </c>
      <c r="F2348" s="411"/>
      <c r="G2348" s="388"/>
      <c r="I2348" s="388"/>
    </row>
    <row r="2349" spans="1:9">
      <c r="A2349" s="408">
        <v>41128</v>
      </c>
      <c r="B2349" s="411">
        <v>1401.35</v>
      </c>
      <c r="C2349" s="418">
        <f t="shared" si="216"/>
        <v>5.1067614382132032E-3</v>
      </c>
      <c r="D2349" s="411">
        <v>9.32</v>
      </c>
      <c r="E2349" s="418">
        <f t="shared" si="217"/>
        <v>-5.3361792956242438E-3</v>
      </c>
      <c r="F2349" s="411"/>
      <c r="G2349" s="388"/>
      <c r="I2349" s="388"/>
    </row>
    <row r="2350" spans="1:9">
      <c r="A2350" s="408">
        <v>41127</v>
      </c>
      <c r="B2350" s="411">
        <v>1394.23</v>
      </c>
      <c r="C2350" s="418">
        <f t="shared" si="216"/>
        <v>2.3292762708575498E-3</v>
      </c>
      <c r="D2350" s="411">
        <v>9.3699999999999992</v>
      </c>
      <c r="E2350" s="418">
        <f t="shared" si="217"/>
        <v>8.6114101184069369E-3</v>
      </c>
      <c r="F2350" s="411"/>
      <c r="G2350" s="388"/>
      <c r="I2350" s="388"/>
    </row>
    <row r="2351" spans="1:9">
      <c r="A2351" s="408">
        <v>41124</v>
      </c>
      <c r="B2351" s="411">
        <v>1390.99</v>
      </c>
      <c r="C2351" s="418">
        <f t="shared" si="216"/>
        <v>1.9040293040293088E-2</v>
      </c>
      <c r="D2351" s="411">
        <v>9.2899999999999991</v>
      </c>
      <c r="E2351" s="418">
        <f t="shared" si="217"/>
        <v>6.500541711809138E-3</v>
      </c>
      <c r="F2351" s="411"/>
      <c r="G2351" s="388"/>
      <c r="I2351" s="388"/>
    </row>
    <row r="2352" spans="1:9">
      <c r="A2352" s="408">
        <v>41123</v>
      </c>
      <c r="B2352" s="411">
        <v>1365</v>
      </c>
      <c r="C2352" s="418">
        <f t="shared" si="216"/>
        <v>-7.3709073138947812E-3</v>
      </c>
      <c r="D2352" s="411">
        <v>9.23</v>
      </c>
      <c r="E2352" s="418">
        <f t="shared" si="217"/>
        <v>-2.6371308016877593E-2</v>
      </c>
      <c r="F2352" s="411"/>
      <c r="G2352" s="388"/>
      <c r="I2352" s="388"/>
    </row>
    <row r="2353" spans="1:9">
      <c r="A2353" s="408">
        <v>41122</v>
      </c>
      <c r="B2353" s="411">
        <v>1375.136</v>
      </c>
      <c r="C2353" s="418">
        <f t="shared" si="216"/>
        <v>-3.0333787663485712E-3</v>
      </c>
      <c r="D2353" s="411">
        <v>9.48</v>
      </c>
      <c r="E2353" s="418">
        <f t="shared" si="217"/>
        <v>-1.7616580310880869E-2</v>
      </c>
      <c r="F2353" s="411"/>
      <c r="G2353" s="388"/>
      <c r="I2353" s="388"/>
    </row>
    <row r="2354" spans="1:9">
      <c r="A2354" s="408">
        <v>41121</v>
      </c>
      <c r="B2354" s="411">
        <v>1379.32</v>
      </c>
      <c r="C2354" s="418">
        <f t="shared" si="216"/>
        <v>-4.3167544936114632E-3</v>
      </c>
      <c r="D2354" s="411">
        <v>9.65</v>
      </c>
      <c r="E2354" s="418">
        <f t="shared" si="217"/>
        <v>1.9007391763463444E-2</v>
      </c>
      <c r="F2354" s="411"/>
      <c r="G2354" s="388"/>
      <c r="I2354" s="388"/>
    </row>
    <row r="2355" spans="1:9">
      <c r="A2355" s="408">
        <v>41120</v>
      </c>
      <c r="B2355" s="411">
        <v>1385.3</v>
      </c>
      <c r="C2355" s="418">
        <f t="shared" si="216"/>
        <v>-4.834159469542243E-4</v>
      </c>
      <c r="D2355" s="411">
        <v>9.4700000000000006</v>
      </c>
      <c r="E2355" s="418">
        <f t="shared" si="217"/>
        <v>5.3078556263270738E-3</v>
      </c>
      <c r="F2355" s="411"/>
      <c r="G2355" s="388"/>
      <c r="I2355" s="388"/>
    </row>
    <row r="2356" spans="1:9">
      <c r="A2356" s="408">
        <v>41117</v>
      </c>
      <c r="B2356" s="411">
        <v>1385.97</v>
      </c>
      <c r="C2356" s="418">
        <f t="shared" si="216"/>
        <v>1.9080601755856463E-2</v>
      </c>
      <c r="D2356" s="411">
        <v>9.42</v>
      </c>
      <c r="E2356" s="418">
        <f t="shared" si="217"/>
        <v>1.0626992561104665E-3</v>
      </c>
      <c r="F2356" s="411"/>
      <c r="G2356" s="388"/>
      <c r="I2356" s="388"/>
    </row>
    <row r="2357" spans="1:9">
      <c r="A2357" s="408">
        <v>41116</v>
      </c>
      <c r="B2357" s="411">
        <v>1360.02</v>
      </c>
      <c r="C2357" s="418">
        <f t="shared" si="216"/>
        <v>1.6540971230818657E-2</v>
      </c>
      <c r="D2357" s="411">
        <v>9.41</v>
      </c>
      <c r="E2357" s="418">
        <f t="shared" si="217"/>
        <v>-6.3357972544879626E-3</v>
      </c>
      <c r="F2357" s="411"/>
      <c r="G2357" s="388"/>
      <c r="I2357" s="388"/>
    </row>
    <row r="2358" spans="1:9">
      <c r="A2358" s="408">
        <v>41115</v>
      </c>
      <c r="B2358" s="411">
        <v>1337.89</v>
      </c>
      <c r="C2358" s="418">
        <f t="shared" si="216"/>
        <v>-3.138286346211494E-4</v>
      </c>
      <c r="D2358" s="411">
        <v>9.4700000000000006</v>
      </c>
      <c r="E2358" s="418">
        <f t="shared" si="217"/>
        <v>1.5005359056806E-2</v>
      </c>
      <c r="F2358" s="411"/>
      <c r="G2358" s="388"/>
      <c r="I2358" s="388"/>
    </row>
    <row r="2359" spans="1:9">
      <c r="A2359" s="408">
        <v>41114</v>
      </c>
      <c r="B2359" s="411">
        <v>1338.31</v>
      </c>
      <c r="C2359" s="418">
        <f t="shared" si="216"/>
        <v>-9.0409619998222945E-3</v>
      </c>
      <c r="D2359" s="411">
        <v>9.33</v>
      </c>
      <c r="E2359" s="418">
        <f t="shared" si="217"/>
        <v>-3.4161490683229823E-2</v>
      </c>
      <c r="F2359" s="411"/>
      <c r="G2359" s="388"/>
      <c r="I2359" s="388"/>
    </row>
    <row r="2360" spans="1:9">
      <c r="A2360" s="408">
        <v>41113</v>
      </c>
      <c r="B2360" s="411">
        <v>1350.52</v>
      </c>
      <c r="C2360" s="418">
        <f t="shared" si="216"/>
        <v>-8.909045543275762E-3</v>
      </c>
      <c r="D2360" s="411">
        <v>9.66</v>
      </c>
      <c r="E2360" s="418">
        <f t="shared" si="217"/>
        <v>-2.8169014084507005E-2</v>
      </c>
      <c r="F2360" s="411"/>
      <c r="G2360" s="388"/>
      <c r="I2360" s="388"/>
    </row>
    <row r="2361" spans="1:9">
      <c r="A2361" s="408">
        <v>41110</v>
      </c>
      <c r="B2361" s="411">
        <v>1362.66</v>
      </c>
      <c r="C2361" s="418">
        <f t="shared" si="216"/>
        <v>-1.0061677721193374E-2</v>
      </c>
      <c r="D2361" s="411">
        <v>9.94</v>
      </c>
      <c r="E2361" s="418">
        <f t="shared" si="217"/>
        <v>-6.0000000000000053E-3</v>
      </c>
      <c r="F2361" s="411"/>
      <c r="G2361" s="388"/>
      <c r="I2361" s="388"/>
    </row>
    <row r="2362" spans="1:9">
      <c r="A2362" s="408">
        <v>41109</v>
      </c>
      <c r="B2362" s="411">
        <v>1376.51</v>
      </c>
      <c r="C2362" s="418">
        <f t="shared" si="216"/>
        <v>2.7171141770714335E-3</v>
      </c>
      <c r="D2362" s="411">
        <v>10</v>
      </c>
      <c r="E2362" s="418">
        <f t="shared" si="217"/>
        <v>-2.2482893450635477E-2</v>
      </c>
      <c r="F2362" s="411"/>
      <c r="G2362" s="388"/>
      <c r="I2362" s="388"/>
    </row>
    <row r="2363" spans="1:9">
      <c r="A2363" s="408">
        <v>41108</v>
      </c>
      <c r="B2363" s="411">
        <v>1372.78</v>
      </c>
      <c r="C2363" s="418">
        <f t="shared" si="216"/>
        <v>6.6805018809534822E-3</v>
      </c>
      <c r="D2363" s="411">
        <v>10.23</v>
      </c>
      <c r="E2363" s="418">
        <f t="shared" si="217"/>
        <v>-5.2777777777777812E-2</v>
      </c>
      <c r="F2363" s="411"/>
      <c r="G2363" s="388"/>
      <c r="I2363" s="388"/>
    </row>
    <row r="2364" spans="1:9">
      <c r="A2364" s="408">
        <v>41107</v>
      </c>
      <c r="B2364" s="411">
        <v>1363.67</v>
      </c>
      <c r="C2364" s="418">
        <f t="shared" si="216"/>
        <v>7.4096510150409856E-3</v>
      </c>
      <c r="D2364" s="411">
        <v>10.8</v>
      </c>
      <c r="E2364" s="418">
        <f t="shared" si="217"/>
        <v>-1.5496809480401108E-2</v>
      </c>
      <c r="F2364" s="411"/>
      <c r="G2364" s="388"/>
      <c r="I2364" s="388"/>
    </row>
    <row r="2365" spans="1:9">
      <c r="A2365" s="408">
        <v>41106</v>
      </c>
      <c r="B2365" s="411">
        <v>1353.64</v>
      </c>
      <c r="C2365" s="418">
        <f t="shared" si="216"/>
        <v>-2.3143029820603678E-3</v>
      </c>
      <c r="D2365" s="411">
        <v>10.97</v>
      </c>
      <c r="E2365" s="418">
        <f t="shared" si="217"/>
        <v>1.3863216266173817E-2</v>
      </c>
      <c r="F2365" s="411"/>
      <c r="G2365" s="388"/>
      <c r="I2365" s="388"/>
    </row>
    <row r="2366" spans="1:9">
      <c r="A2366" s="408">
        <v>41103</v>
      </c>
      <c r="B2366" s="411">
        <v>1356.78</v>
      </c>
      <c r="C2366" s="418">
        <f t="shared" si="216"/>
        <v>1.6497347837813425E-2</v>
      </c>
      <c r="D2366" s="411">
        <v>10.82</v>
      </c>
      <c r="E2366" s="418">
        <f t="shared" si="217"/>
        <v>6.5116279069767913E-3</v>
      </c>
      <c r="F2366" s="411"/>
      <c r="G2366" s="388"/>
      <c r="I2366" s="388"/>
    </row>
    <row r="2367" spans="1:9">
      <c r="A2367" s="408">
        <v>41102</v>
      </c>
      <c r="B2367" s="411">
        <v>1334.76</v>
      </c>
      <c r="C2367" s="418">
        <f t="shared" si="216"/>
        <v>-4.9871407804987777E-3</v>
      </c>
      <c r="D2367" s="411">
        <v>10.75</v>
      </c>
      <c r="E2367" s="418">
        <f t="shared" si="217"/>
        <v>-3.0658250676284915E-2</v>
      </c>
      <c r="F2367" s="411"/>
      <c r="G2367" s="388"/>
      <c r="I2367" s="388"/>
    </row>
    <row r="2368" spans="1:9">
      <c r="A2368" s="408">
        <v>41101</v>
      </c>
      <c r="B2368" s="411">
        <v>1341.45</v>
      </c>
      <c r="C2368" s="418">
        <f t="shared" si="216"/>
        <v>-1.4909017719388906E-5</v>
      </c>
      <c r="D2368" s="411">
        <v>11.09</v>
      </c>
      <c r="E2368" s="418">
        <f t="shared" si="217"/>
        <v>3.4514925373134275E-2</v>
      </c>
      <c r="F2368" s="411"/>
      <c r="G2368" s="388"/>
      <c r="I2368" s="388"/>
    </row>
    <row r="2369" spans="1:9">
      <c r="A2369" s="408">
        <v>41100</v>
      </c>
      <c r="B2369" s="411">
        <v>1341.47</v>
      </c>
      <c r="C2369" s="418">
        <f t="shared" si="216"/>
        <v>-8.1259334841695674E-3</v>
      </c>
      <c r="D2369" s="411">
        <v>10.72</v>
      </c>
      <c r="E2369" s="418">
        <f t="shared" si="217"/>
        <v>-1.741521539871671E-2</v>
      </c>
      <c r="F2369" s="411"/>
      <c r="G2369" s="388"/>
      <c r="I2369" s="388"/>
    </row>
    <row r="2370" spans="1:9">
      <c r="A2370" s="408">
        <v>41099</v>
      </c>
      <c r="B2370" s="411">
        <v>1352.46</v>
      </c>
      <c r="C2370" s="418">
        <f t="shared" si="216"/>
        <v>-1.6387633979980665E-3</v>
      </c>
      <c r="D2370" s="411">
        <v>10.91</v>
      </c>
      <c r="E2370" s="418">
        <f t="shared" si="217"/>
        <v>-8.181818181818179E-3</v>
      </c>
      <c r="F2370" s="411"/>
      <c r="G2370" s="388"/>
      <c r="I2370" s="388"/>
    </row>
    <row r="2371" spans="1:9">
      <c r="A2371" s="408">
        <v>41096</v>
      </c>
      <c r="B2371" s="411">
        <v>1354.68</v>
      </c>
      <c r="C2371" s="418">
        <f t="shared" si="216"/>
        <v>-9.4327205721054241E-3</v>
      </c>
      <c r="D2371" s="411">
        <v>11</v>
      </c>
      <c r="E2371" s="418">
        <f t="shared" si="217"/>
        <v>3.4807149576669749E-2</v>
      </c>
      <c r="F2371" s="411"/>
      <c r="G2371" s="388"/>
      <c r="I2371" s="388"/>
    </row>
    <row r="2372" spans="1:9">
      <c r="A2372" s="408">
        <v>41095</v>
      </c>
      <c r="B2372" s="411">
        <v>1367.58</v>
      </c>
      <c r="C2372" s="418">
        <f t="shared" si="216"/>
        <v>-4.6869768998996086E-3</v>
      </c>
      <c r="D2372" s="411">
        <v>10.63</v>
      </c>
      <c r="E2372" s="418">
        <f t="shared" si="217"/>
        <v>-1.2081784386617E-2</v>
      </c>
      <c r="F2372" s="411"/>
      <c r="G2372" s="388"/>
      <c r="I2372" s="388"/>
    </row>
    <row r="2373" spans="1:9">
      <c r="A2373" s="408">
        <v>41093</v>
      </c>
      <c r="B2373" s="411">
        <v>1374.02</v>
      </c>
      <c r="C2373" s="418">
        <f t="shared" si="216"/>
        <v>6.2321037561057224E-3</v>
      </c>
      <c r="D2373" s="411">
        <v>10.76</v>
      </c>
      <c r="E2373" s="418">
        <f t="shared" si="217"/>
        <v>-3.237410071942437E-2</v>
      </c>
      <c r="F2373" s="411"/>
      <c r="G2373" s="388"/>
      <c r="I2373" s="388"/>
    </row>
    <row r="2374" spans="1:9">
      <c r="A2374" s="408">
        <v>41092</v>
      </c>
      <c r="B2374" s="411">
        <v>1365.51</v>
      </c>
      <c r="C2374" s="418">
        <f t="shared" si="216"/>
        <v>2.4593293005226169E-3</v>
      </c>
      <c r="D2374" s="411">
        <v>11.12</v>
      </c>
      <c r="E2374" s="418">
        <f t="shared" si="217"/>
        <v>1.5525114155251041E-2</v>
      </c>
      <c r="F2374" s="411"/>
      <c r="G2374" s="388"/>
      <c r="I2374" s="388"/>
    </row>
    <row r="2375" spans="1:9">
      <c r="A2375" s="408">
        <v>41089</v>
      </c>
      <c r="B2375" s="411">
        <v>1362.16</v>
      </c>
      <c r="C2375" s="418">
        <f t="shared" si="216"/>
        <v>2.4920243183049529E-2</v>
      </c>
      <c r="D2375" s="411">
        <v>10.95</v>
      </c>
      <c r="E2375" s="418">
        <f t="shared" si="217"/>
        <v>-1.8817204301075363E-2</v>
      </c>
      <c r="F2375" s="411"/>
      <c r="G2375" s="388"/>
      <c r="I2375" s="388"/>
    </row>
    <row r="2376" spans="1:9">
      <c r="A2376" s="408">
        <v>41088</v>
      </c>
      <c r="B2376" s="411">
        <v>1329.04</v>
      </c>
      <c r="C2376" s="418">
        <f t="shared" ref="C2376:C2439" si="218">B2376/B2377-1</f>
        <v>-2.1098472050155026E-3</v>
      </c>
      <c r="D2376" s="411">
        <v>11.16</v>
      </c>
      <c r="E2376" s="418">
        <f t="shared" ref="E2376:E2439" si="219">D2376/D2377-1</f>
        <v>8.1300813008129413E-3</v>
      </c>
      <c r="F2376" s="411"/>
      <c r="G2376" s="388"/>
      <c r="I2376" s="388"/>
    </row>
    <row r="2377" spans="1:9">
      <c r="A2377" s="408">
        <v>41087</v>
      </c>
      <c r="B2377" s="411">
        <v>1331.85</v>
      </c>
      <c r="C2377" s="418">
        <f t="shared" si="218"/>
        <v>8.9849165523980812E-3</v>
      </c>
      <c r="D2377" s="411">
        <v>11.07</v>
      </c>
      <c r="E2377" s="418">
        <f t="shared" si="219"/>
        <v>-6.2836624775584049E-3</v>
      </c>
      <c r="F2377" s="411"/>
      <c r="G2377" s="388"/>
      <c r="I2377" s="388"/>
    </row>
    <row r="2378" spans="1:9">
      <c r="A2378" s="408">
        <v>41086</v>
      </c>
      <c r="B2378" s="411">
        <v>1319.99</v>
      </c>
      <c r="C2378" s="418">
        <f t="shared" si="218"/>
        <v>4.7727065128033708E-3</v>
      </c>
      <c r="D2378" s="411">
        <v>11.14</v>
      </c>
      <c r="E2378" s="418">
        <f t="shared" si="219"/>
        <v>5.8935361216730042E-2</v>
      </c>
      <c r="F2378" s="411"/>
      <c r="G2378" s="388"/>
      <c r="I2378" s="388"/>
    </row>
    <row r="2379" spans="1:9">
      <c r="A2379" s="408">
        <v>41085</v>
      </c>
      <c r="B2379" s="411">
        <v>1313.72</v>
      </c>
      <c r="C2379" s="418">
        <f t="shared" si="218"/>
        <v>-1.5954817156297207E-2</v>
      </c>
      <c r="D2379" s="411">
        <v>10.52</v>
      </c>
      <c r="E2379" s="418">
        <f t="shared" si="219"/>
        <v>-4.7101449275362306E-2</v>
      </c>
      <c r="F2379" s="411"/>
      <c r="G2379" s="388"/>
      <c r="I2379" s="388"/>
    </row>
    <row r="2380" spans="1:9">
      <c r="A2380" s="408">
        <v>41082</v>
      </c>
      <c r="B2380" s="411">
        <v>1335.02</v>
      </c>
      <c r="C2380" s="418">
        <f t="shared" si="218"/>
        <v>7.1745969475900395E-3</v>
      </c>
      <c r="D2380" s="411">
        <v>11.04</v>
      </c>
      <c r="E2380" s="418">
        <f t="shared" si="219"/>
        <v>-1.6918967052537925E-2</v>
      </c>
      <c r="F2380" s="411"/>
      <c r="G2380" s="388"/>
      <c r="I2380" s="388"/>
    </row>
    <row r="2381" spans="1:9">
      <c r="A2381" s="408">
        <v>41081</v>
      </c>
      <c r="B2381" s="411">
        <v>1325.51</v>
      </c>
      <c r="C2381" s="418">
        <f t="shared" si="218"/>
        <v>-2.2261726500896306E-2</v>
      </c>
      <c r="D2381" s="411">
        <v>11.23</v>
      </c>
      <c r="E2381" s="418">
        <f t="shared" si="219"/>
        <v>1.784121320249632E-3</v>
      </c>
      <c r="F2381" s="411"/>
      <c r="G2381" s="388"/>
      <c r="I2381" s="388"/>
    </row>
    <row r="2382" spans="1:9">
      <c r="A2382" s="408">
        <v>41080</v>
      </c>
      <c r="B2382" s="411">
        <v>1355.69</v>
      </c>
      <c r="C2382" s="418">
        <f t="shared" si="218"/>
        <v>-1.6863282228014587E-3</v>
      </c>
      <c r="D2382" s="411">
        <v>11.21</v>
      </c>
      <c r="E2382" s="418">
        <f t="shared" si="219"/>
        <v>2.7497708524289788E-2</v>
      </c>
      <c r="F2382" s="411"/>
      <c r="G2382" s="388"/>
      <c r="I2382" s="388"/>
    </row>
    <row r="2383" spans="1:9">
      <c r="A2383" s="408">
        <v>41079</v>
      </c>
      <c r="B2383" s="411">
        <v>1357.98</v>
      </c>
      <c r="C2383" s="418">
        <f t="shared" si="218"/>
        <v>9.8157319412841559E-3</v>
      </c>
      <c r="D2383" s="411">
        <v>10.91</v>
      </c>
      <c r="E2383" s="418">
        <f t="shared" si="219"/>
        <v>2.6340545625587852E-2</v>
      </c>
      <c r="F2383" s="411"/>
      <c r="G2383" s="388"/>
      <c r="I2383" s="388"/>
    </row>
    <row r="2384" spans="1:9">
      <c r="A2384" s="408">
        <v>41078</v>
      </c>
      <c r="B2384" s="411">
        <v>1344.78</v>
      </c>
      <c r="C2384" s="418">
        <f t="shared" si="218"/>
        <v>1.444699294033569E-3</v>
      </c>
      <c r="D2384" s="411">
        <v>10.63</v>
      </c>
      <c r="E2384" s="418">
        <f t="shared" si="219"/>
        <v>3.6062378167641462E-2</v>
      </c>
      <c r="F2384" s="411"/>
      <c r="G2384" s="388"/>
      <c r="I2384" s="388"/>
    </row>
    <row r="2385" spans="1:9">
      <c r="A2385" s="408">
        <v>41075</v>
      </c>
      <c r="B2385" s="411">
        <v>1342.84</v>
      </c>
      <c r="C2385" s="418">
        <f t="shared" si="218"/>
        <v>1.0337822586712786E-2</v>
      </c>
      <c r="D2385" s="411">
        <v>10.26</v>
      </c>
      <c r="E2385" s="418">
        <f t="shared" si="219"/>
        <v>-1.8181818181818188E-2</v>
      </c>
      <c r="F2385" s="411"/>
      <c r="G2385" s="388"/>
      <c r="I2385" s="388"/>
    </row>
    <row r="2386" spans="1:9">
      <c r="A2386" s="408">
        <v>41074</v>
      </c>
      <c r="B2386" s="411">
        <v>1329.1</v>
      </c>
      <c r="C2386" s="418">
        <f t="shared" si="218"/>
        <v>1.0814675103431259E-2</v>
      </c>
      <c r="D2386" s="411">
        <v>10.45</v>
      </c>
      <c r="E2386" s="418">
        <f t="shared" si="219"/>
        <v>1.554907677356665E-2</v>
      </c>
      <c r="F2386" s="411"/>
      <c r="G2386" s="388"/>
      <c r="I2386" s="388"/>
    </row>
    <row r="2387" spans="1:9">
      <c r="A2387" s="408">
        <v>41073</v>
      </c>
      <c r="B2387" s="411">
        <v>1314.88</v>
      </c>
      <c r="C2387" s="418">
        <f t="shared" si="218"/>
        <v>-7.0232143666268954E-3</v>
      </c>
      <c r="D2387" s="411">
        <v>10.29</v>
      </c>
      <c r="E2387" s="418">
        <f t="shared" si="219"/>
        <v>2.490039840637448E-2</v>
      </c>
      <c r="F2387" s="411"/>
      <c r="G2387" s="388"/>
      <c r="I2387" s="388"/>
    </row>
    <row r="2388" spans="1:9">
      <c r="A2388" s="408">
        <v>41072</v>
      </c>
      <c r="B2388" s="411">
        <v>1324.18</v>
      </c>
      <c r="C2388" s="418">
        <f t="shared" si="218"/>
        <v>1.1650737625388707E-2</v>
      </c>
      <c r="D2388" s="411">
        <v>10.039999999999999</v>
      </c>
      <c r="E2388" s="418">
        <f t="shared" si="219"/>
        <v>-1.2782694198623434E-2</v>
      </c>
      <c r="F2388" s="411"/>
      <c r="G2388" s="388"/>
      <c r="I2388" s="388"/>
    </row>
    <row r="2389" spans="1:9">
      <c r="A2389" s="408">
        <v>41071</v>
      </c>
      <c r="B2389" s="411">
        <v>1308.93</v>
      </c>
      <c r="C2389" s="418">
        <f t="shared" si="218"/>
        <v>-1.2620128841482781E-2</v>
      </c>
      <c r="D2389" s="411">
        <v>10.17</v>
      </c>
      <c r="E2389" s="418">
        <f t="shared" si="219"/>
        <v>-2.0231213872832443E-2</v>
      </c>
      <c r="F2389" s="411"/>
      <c r="G2389" s="388"/>
      <c r="I2389" s="388"/>
    </row>
    <row r="2390" spans="1:9">
      <c r="A2390" s="408">
        <v>41068</v>
      </c>
      <c r="B2390" s="411">
        <v>1325.66</v>
      </c>
      <c r="C2390" s="418">
        <f t="shared" si="218"/>
        <v>8.1141301454763504E-3</v>
      </c>
      <c r="D2390" s="411">
        <v>10.38</v>
      </c>
      <c r="E2390" s="418">
        <f t="shared" si="219"/>
        <v>9.7276264591441564E-3</v>
      </c>
      <c r="F2390" s="411"/>
      <c r="G2390" s="388"/>
      <c r="I2390" s="388"/>
    </row>
    <row r="2391" spans="1:9">
      <c r="A2391" s="408">
        <v>41067</v>
      </c>
      <c r="B2391" s="411">
        <v>1314.99</v>
      </c>
      <c r="C2391" s="418">
        <f t="shared" si="218"/>
        <v>-1.0645335442127646E-4</v>
      </c>
      <c r="D2391" s="411">
        <v>10.28</v>
      </c>
      <c r="E2391" s="418">
        <f t="shared" si="219"/>
        <v>-3.1102733270499505E-2</v>
      </c>
      <c r="F2391" s="411"/>
      <c r="G2391" s="388"/>
      <c r="I2391" s="388"/>
    </row>
    <row r="2392" spans="1:9">
      <c r="A2392" s="408">
        <v>41066</v>
      </c>
      <c r="B2392" s="411">
        <v>1315.13</v>
      </c>
      <c r="C2392" s="418">
        <f t="shared" si="218"/>
        <v>2.3049397121742699E-2</v>
      </c>
      <c r="D2392" s="411">
        <v>10.61</v>
      </c>
      <c r="E2392" s="418">
        <f t="shared" si="219"/>
        <v>2.835538752362865E-3</v>
      </c>
      <c r="F2392" s="411"/>
      <c r="G2392" s="388"/>
      <c r="I2392" s="388"/>
    </row>
    <row r="2393" spans="1:9">
      <c r="A2393" s="408">
        <v>41065</v>
      </c>
      <c r="B2393" s="411">
        <v>1285.5</v>
      </c>
      <c r="C2393" s="418">
        <f t="shared" si="218"/>
        <v>5.7268929258789125E-3</v>
      </c>
      <c r="D2393" s="411">
        <v>10.58</v>
      </c>
      <c r="E2393" s="418">
        <f t="shared" si="219"/>
        <v>3.9292730844793677E-2</v>
      </c>
      <c r="F2393" s="411"/>
      <c r="G2393" s="388"/>
      <c r="I2393" s="388"/>
    </row>
    <row r="2394" spans="1:9">
      <c r="A2394" s="408">
        <v>41064</v>
      </c>
      <c r="B2394" s="411">
        <v>1278.18</v>
      </c>
      <c r="C2394" s="418">
        <f t="shared" si="218"/>
        <v>1.0954273731655917E-4</v>
      </c>
      <c r="D2394" s="411">
        <v>10.18</v>
      </c>
      <c r="E2394" s="418">
        <f t="shared" si="219"/>
        <v>-0.11555169417897482</v>
      </c>
      <c r="F2394" s="411"/>
      <c r="G2394" s="388"/>
      <c r="I2394" s="388"/>
    </row>
    <row r="2395" spans="1:9">
      <c r="A2395" s="408">
        <v>41061</v>
      </c>
      <c r="B2395" s="411">
        <v>1278.04</v>
      </c>
      <c r="C2395" s="418">
        <f t="shared" si="218"/>
        <v>-2.4642647272061224E-2</v>
      </c>
      <c r="D2395" s="411">
        <v>11.51</v>
      </c>
      <c r="E2395" s="418">
        <f t="shared" si="219"/>
        <v>-4.8760330578512368E-2</v>
      </c>
      <c r="F2395" s="411"/>
      <c r="G2395" s="388"/>
      <c r="I2395" s="388"/>
    </row>
    <row r="2396" spans="1:9">
      <c r="A2396" s="408">
        <v>41060</v>
      </c>
      <c r="B2396" s="411">
        <v>1310.33</v>
      </c>
      <c r="C2396" s="418">
        <f t="shared" si="218"/>
        <v>-2.2766728596229635E-3</v>
      </c>
      <c r="D2396" s="411">
        <v>12.1</v>
      </c>
      <c r="E2396" s="418">
        <f t="shared" si="219"/>
        <v>2.9787234042553123E-2</v>
      </c>
      <c r="F2396" s="411"/>
      <c r="G2396" s="388"/>
      <c r="I2396" s="388"/>
    </row>
    <row r="2397" spans="1:9">
      <c r="A2397" s="408">
        <v>41059</v>
      </c>
      <c r="B2397" s="411">
        <v>1313.32</v>
      </c>
      <c r="C2397" s="418">
        <f t="shared" si="218"/>
        <v>-1.433481935125569E-2</v>
      </c>
      <c r="D2397" s="411">
        <v>11.75</v>
      </c>
      <c r="E2397" s="418">
        <f t="shared" si="219"/>
        <v>-4.2372881355933201E-3</v>
      </c>
      <c r="F2397" s="411"/>
      <c r="G2397" s="388"/>
      <c r="I2397" s="388"/>
    </row>
    <row r="2398" spans="1:9">
      <c r="A2398" s="408">
        <v>41058</v>
      </c>
      <c r="B2398" s="411">
        <v>1332.42</v>
      </c>
      <c r="C2398" s="418">
        <f t="shared" si="218"/>
        <v>1.1078903036833676E-2</v>
      </c>
      <c r="D2398" s="411">
        <v>11.8</v>
      </c>
      <c r="E2398" s="418">
        <f t="shared" si="219"/>
        <v>3.781882145998261E-2</v>
      </c>
      <c r="F2398" s="411"/>
      <c r="G2398" s="388"/>
      <c r="I2398" s="388"/>
    </row>
    <row r="2399" spans="1:9">
      <c r="A2399" s="408">
        <v>41054</v>
      </c>
      <c r="B2399" s="411">
        <v>1317.82</v>
      </c>
      <c r="C2399" s="418">
        <f t="shared" si="218"/>
        <v>-2.1647955332069202E-3</v>
      </c>
      <c r="D2399" s="411">
        <v>11.37</v>
      </c>
      <c r="E2399" s="418">
        <f t="shared" si="219"/>
        <v>8.8731144631766234E-3</v>
      </c>
      <c r="F2399" s="411"/>
      <c r="G2399" s="388"/>
      <c r="I2399" s="388"/>
    </row>
    <row r="2400" spans="1:9">
      <c r="A2400" s="408">
        <v>41053</v>
      </c>
      <c r="B2400" s="411">
        <v>1320.6790000000001</v>
      </c>
      <c r="C2400" s="418">
        <f t="shared" si="218"/>
        <v>1.3792214488270726E-3</v>
      </c>
      <c r="D2400" s="411">
        <v>11.27</v>
      </c>
      <c r="E2400" s="418">
        <f t="shared" si="219"/>
        <v>4.9348230912476643E-2</v>
      </c>
      <c r="F2400" s="411"/>
      <c r="G2400" s="388"/>
      <c r="I2400" s="388"/>
    </row>
    <row r="2401" spans="1:9">
      <c r="A2401" s="408">
        <v>41052</v>
      </c>
      <c r="B2401" s="411">
        <v>1318.86</v>
      </c>
      <c r="C2401" s="418">
        <f t="shared" si="218"/>
        <v>1.6937180529077445E-3</v>
      </c>
      <c r="D2401" s="411">
        <v>10.74</v>
      </c>
      <c r="E2401" s="418">
        <f t="shared" si="219"/>
        <v>1.8975332068311257E-2</v>
      </c>
      <c r="F2401" s="411"/>
      <c r="G2401" s="388"/>
      <c r="I2401" s="388"/>
    </row>
    <row r="2402" spans="1:9">
      <c r="A2402" s="408">
        <v>41051</v>
      </c>
      <c r="B2402" s="411">
        <v>1316.63</v>
      </c>
      <c r="C2402" s="418">
        <f t="shared" si="218"/>
        <v>4.8632588393537901E-4</v>
      </c>
      <c r="D2402" s="411">
        <v>10.54</v>
      </c>
      <c r="E2402" s="418">
        <f t="shared" si="219"/>
        <v>-3.780718336483968E-3</v>
      </c>
      <c r="F2402" s="411"/>
      <c r="G2402" s="388"/>
      <c r="I2402" s="388"/>
    </row>
    <row r="2403" spans="1:9">
      <c r="A2403" s="408">
        <v>41050</v>
      </c>
      <c r="B2403" s="411">
        <v>1315.99</v>
      </c>
      <c r="C2403" s="418">
        <f t="shared" si="218"/>
        <v>1.6035885795463223E-2</v>
      </c>
      <c r="D2403" s="411">
        <v>10.58</v>
      </c>
      <c r="E2403" s="418">
        <f t="shared" si="219"/>
        <v>4.3392504930966469E-2</v>
      </c>
      <c r="F2403" s="411"/>
      <c r="G2403" s="388"/>
      <c r="I2403" s="388"/>
    </row>
    <row r="2404" spans="1:9">
      <c r="A2404" s="408">
        <v>41047</v>
      </c>
      <c r="B2404" s="411">
        <v>1295.22</v>
      </c>
      <c r="C2404" s="418">
        <f t="shared" si="218"/>
        <v>-7.387765737320362E-3</v>
      </c>
      <c r="D2404" s="411">
        <v>10.14</v>
      </c>
      <c r="E2404" s="418">
        <f t="shared" si="219"/>
        <v>-2.5936599423631135E-2</v>
      </c>
      <c r="F2404" s="411"/>
      <c r="G2404" s="388"/>
      <c r="I2404" s="388"/>
    </row>
    <row r="2405" spans="1:9">
      <c r="A2405" s="408">
        <v>41046</v>
      </c>
      <c r="B2405" s="411">
        <v>1304.8599999999999</v>
      </c>
      <c r="C2405" s="418">
        <f t="shared" si="218"/>
        <v>-1.5051328502415529E-2</v>
      </c>
      <c r="D2405" s="411">
        <v>10.41</v>
      </c>
      <c r="E2405" s="418">
        <f t="shared" si="219"/>
        <v>-8.6040386303775307E-2</v>
      </c>
      <c r="F2405" s="411"/>
      <c r="G2405" s="388"/>
      <c r="I2405" s="388"/>
    </row>
    <row r="2406" spans="1:9">
      <c r="A2406" s="408">
        <v>41045</v>
      </c>
      <c r="B2406" s="411">
        <v>1324.8</v>
      </c>
      <c r="C2406" s="418">
        <f t="shared" si="218"/>
        <v>-4.4038296785054998E-3</v>
      </c>
      <c r="D2406" s="411">
        <v>11.39</v>
      </c>
      <c r="E2406" s="418">
        <f t="shared" si="219"/>
        <v>1.9695613249776311E-2</v>
      </c>
      <c r="F2406" s="411"/>
      <c r="G2406" s="388"/>
      <c r="I2406" s="388"/>
    </row>
    <row r="2407" spans="1:9">
      <c r="A2407" s="408">
        <v>41044</v>
      </c>
      <c r="B2407" s="411">
        <v>1330.66</v>
      </c>
      <c r="C2407" s="418">
        <f t="shared" si="218"/>
        <v>-5.7458811222772521E-3</v>
      </c>
      <c r="D2407" s="411">
        <v>11.17</v>
      </c>
      <c r="E2407" s="418">
        <f t="shared" si="219"/>
        <v>-2.2747156605424257E-2</v>
      </c>
      <c r="F2407" s="411"/>
      <c r="G2407" s="388"/>
      <c r="I2407" s="388"/>
    </row>
    <row r="2408" spans="1:9">
      <c r="A2408" s="408">
        <v>41043</v>
      </c>
      <c r="B2408" s="411">
        <v>1338.35</v>
      </c>
      <c r="C2408" s="418">
        <f t="shared" si="218"/>
        <v>-1.1112835176852354E-2</v>
      </c>
      <c r="D2408" s="411">
        <v>11.43</v>
      </c>
      <c r="E2408" s="418">
        <f t="shared" si="219"/>
        <v>5.2770448548813409E-3</v>
      </c>
      <c r="F2408" s="411"/>
      <c r="G2408" s="388"/>
      <c r="I2408" s="388"/>
    </row>
    <row r="2409" spans="1:9">
      <c r="A2409" s="408">
        <v>41040</v>
      </c>
      <c r="B2409" s="411">
        <v>1353.39</v>
      </c>
      <c r="C2409" s="418">
        <f t="shared" si="218"/>
        <v>-3.3873592589046542E-3</v>
      </c>
      <c r="D2409" s="411">
        <v>11.37</v>
      </c>
      <c r="E2409" s="418">
        <f t="shared" si="219"/>
        <v>3.0825022665457835E-2</v>
      </c>
      <c r="F2409" s="411"/>
      <c r="G2409" s="388"/>
      <c r="I2409" s="388"/>
    </row>
    <row r="2410" spans="1:9">
      <c r="A2410" s="408">
        <v>41039</v>
      </c>
      <c r="B2410" s="411">
        <v>1357.99</v>
      </c>
      <c r="C2410" s="418">
        <f t="shared" si="218"/>
        <v>2.5173854626527881E-3</v>
      </c>
      <c r="D2410" s="411">
        <v>11.03</v>
      </c>
      <c r="E2410" s="418">
        <f t="shared" si="219"/>
        <v>1.0999083409715782E-2</v>
      </c>
      <c r="F2410" s="411"/>
      <c r="G2410" s="388"/>
      <c r="I2410" s="388"/>
    </row>
    <row r="2411" spans="1:9">
      <c r="A2411" s="408">
        <v>41038</v>
      </c>
      <c r="B2411" s="411">
        <v>1354.58</v>
      </c>
      <c r="C2411" s="418">
        <f t="shared" si="218"/>
        <v>-6.7022555949902696E-3</v>
      </c>
      <c r="D2411" s="411">
        <v>10.91</v>
      </c>
      <c r="E2411" s="418">
        <f t="shared" si="219"/>
        <v>-2.3276633840644601E-2</v>
      </c>
      <c r="F2411" s="411"/>
      <c r="G2411" s="388"/>
      <c r="I2411" s="388"/>
    </row>
    <row r="2412" spans="1:9">
      <c r="A2412" s="408">
        <v>41037</v>
      </c>
      <c r="B2412" s="411">
        <v>1363.72</v>
      </c>
      <c r="C2412" s="418">
        <f t="shared" si="218"/>
        <v>-4.2786839761094209E-3</v>
      </c>
      <c r="D2412" s="411">
        <v>11.17</v>
      </c>
      <c r="E2412" s="418">
        <f t="shared" si="219"/>
        <v>0</v>
      </c>
      <c r="F2412" s="411"/>
      <c r="G2412" s="388"/>
      <c r="I2412" s="388"/>
    </row>
    <row r="2413" spans="1:9">
      <c r="A2413" s="408">
        <v>41036</v>
      </c>
      <c r="B2413" s="411">
        <v>1369.58</v>
      </c>
      <c r="C2413" s="418">
        <f t="shared" si="218"/>
        <v>3.5059528157188602E-4</v>
      </c>
      <c r="D2413" s="411">
        <v>11.17</v>
      </c>
      <c r="E2413" s="418">
        <f t="shared" si="219"/>
        <v>1.5454545454545388E-2</v>
      </c>
      <c r="F2413" s="411"/>
      <c r="G2413" s="388"/>
      <c r="I2413" s="388"/>
    </row>
    <row r="2414" spans="1:9">
      <c r="A2414" s="408">
        <v>41033</v>
      </c>
      <c r="B2414" s="411">
        <v>1369.1</v>
      </c>
      <c r="C2414" s="418">
        <f t="shared" si="218"/>
        <v>-1.614722938838864E-2</v>
      </c>
      <c r="D2414" s="411">
        <v>11</v>
      </c>
      <c r="E2414" s="418">
        <f t="shared" si="219"/>
        <v>3.6496350364962904E-3</v>
      </c>
      <c r="F2414" s="411"/>
      <c r="G2414" s="388"/>
      <c r="I2414" s="388"/>
    </row>
    <row r="2415" spans="1:9">
      <c r="A2415" s="408">
        <v>41032</v>
      </c>
      <c r="B2415" s="411">
        <v>1391.57</v>
      </c>
      <c r="C2415" s="418">
        <f t="shared" si="218"/>
        <v>-7.6587915653457683E-3</v>
      </c>
      <c r="D2415" s="411">
        <v>10.96</v>
      </c>
      <c r="E2415" s="418">
        <f t="shared" si="219"/>
        <v>8.2796688132475982E-3</v>
      </c>
      <c r="F2415" s="411"/>
      <c r="G2415" s="388"/>
      <c r="I2415" s="388"/>
    </row>
    <row r="2416" spans="1:9">
      <c r="A2416" s="408">
        <v>41031</v>
      </c>
      <c r="B2416" s="411">
        <v>1402.31</v>
      </c>
      <c r="C2416" s="418">
        <f t="shared" si="218"/>
        <v>-2.4967634547807815E-3</v>
      </c>
      <c r="D2416" s="411">
        <v>10.87</v>
      </c>
      <c r="E2416" s="418">
        <f t="shared" si="219"/>
        <v>-1.628959276018116E-2</v>
      </c>
      <c r="F2416" s="411"/>
      <c r="G2416" s="388"/>
      <c r="I2416" s="388"/>
    </row>
    <row r="2417" spans="1:9">
      <c r="A2417" s="408">
        <v>41030</v>
      </c>
      <c r="B2417" s="411">
        <v>1405.82</v>
      </c>
      <c r="C2417" s="418">
        <f t="shared" si="218"/>
        <v>5.65844725339959E-3</v>
      </c>
      <c r="D2417" s="411">
        <v>11.05</v>
      </c>
      <c r="E2417" s="418">
        <f t="shared" si="219"/>
        <v>8.2116788321167089E-3</v>
      </c>
      <c r="F2417" s="411"/>
      <c r="G2417" s="388"/>
      <c r="I2417" s="388"/>
    </row>
    <row r="2418" spans="1:9">
      <c r="A2418" s="408">
        <v>41029</v>
      </c>
      <c r="B2418" s="411">
        <v>1397.91</v>
      </c>
      <c r="C2418" s="418">
        <f t="shared" si="218"/>
        <v>-3.8835366548852779E-3</v>
      </c>
      <c r="D2418" s="411">
        <v>10.96</v>
      </c>
      <c r="E2418" s="418">
        <f t="shared" si="219"/>
        <v>1.2939001848428777E-2</v>
      </c>
      <c r="F2418" s="411"/>
      <c r="G2418" s="388"/>
      <c r="I2418" s="388"/>
    </row>
    <row r="2419" spans="1:9">
      <c r="A2419" s="408">
        <v>41026</v>
      </c>
      <c r="B2419" s="411">
        <v>1403.36</v>
      </c>
      <c r="C2419" s="418">
        <f t="shared" si="218"/>
        <v>2.4143202045743273E-3</v>
      </c>
      <c r="D2419" s="411">
        <v>10.82</v>
      </c>
      <c r="E2419" s="418">
        <f t="shared" si="219"/>
        <v>4.0384615384615463E-2</v>
      </c>
      <c r="F2419" s="411"/>
      <c r="G2419" s="388"/>
      <c r="I2419" s="388"/>
    </row>
    <row r="2420" spans="1:9">
      <c r="A2420" s="408">
        <v>41025</v>
      </c>
      <c r="B2420" s="411">
        <v>1399.98</v>
      </c>
      <c r="C2420" s="418">
        <f t="shared" si="218"/>
        <v>6.6801371980815816E-3</v>
      </c>
      <c r="D2420" s="411">
        <v>10.4</v>
      </c>
      <c r="E2420" s="418">
        <f t="shared" si="219"/>
        <v>-7.6335877862595547E-3</v>
      </c>
      <c r="F2420" s="411"/>
      <c r="G2420" s="388"/>
      <c r="I2420" s="388"/>
    </row>
    <row r="2421" spans="1:9">
      <c r="A2421" s="408">
        <v>41024</v>
      </c>
      <c r="B2421" s="411">
        <v>1390.69</v>
      </c>
      <c r="C2421" s="418">
        <f t="shared" si="218"/>
        <v>1.3644613220405777E-2</v>
      </c>
      <c r="D2421" s="411">
        <v>10.48</v>
      </c>
      <c r="E2421" s="418">
        <f t="shared" si="219"/>
        <v>0</v>
      </c>
      <c r="F2421" s="411"/>
      <c r="G2421" s="388"/>
      <c r="I2421" s="388"/>
    </row>
    <row r="2422" spans="1:9">
      <c r="A2422" s="408">
        <v>41023</v>
      </c>
      <c r="B2422" s="411">
        <v>1371.97</v>
      </c>
      <c r="C2422" s="418">
        <f t="shared" si="218"/>
        <v>3.6797518545070851E-3</v>
      </c>
      <c r="D2422" s="411">
        <v>10.48</v>
      </c>
      <c r="E2422" s="418">
        <f t="shared" si="219"/>
        <v>8.6621751684312631E-3</v>
      </c>
      <c r="F2422" s="411"/>
      <c r="G2422" s="388"/>
      <c r="I2422" s="388"/>
    </row>
    <row r="2423" spans="1:9">
      <c r="A2423" s="408">
        <v>41022</v>
      </c>
      <c r="B2423" s="411">
        <v>1366.94</v>
      </c>
      <c r="C2423" s="418">
        <f t="shared" si="218"/>
        <v>-8.407506546828758E-3</v>
      </c>
      <c r="D2423" s="411">
        <v>10.39</v>
      </c>
      <c r="E2423" s="418">
        <f t="shared" si="219"/>
        <v>-3.3488372093023244E-2</v>
      </c>
      <c r="F2423" s="411"/>
      <c r="G2423" s="388"/>
      <c r="I2423" s="388"/>
    </row>
    <row r="2424" spans="1:9">
      <c r="A2424" s="408">
        <v>41019</v>
      </c>
      <c r="B2424" s="411">
        <v>1378.53</v>
      </c>
      <c r="C2424" s="418">
        <f t="shared" si="218"/>
        <v>1.1692763559247865E-3</v>
      </c>
      <c r="D2424" s="411">
        <v>10.75</v>
      </c>
      <c r="E2424" s="418">
        <f t="shared" si="219"/>
        <v>-6.4695009242143886E-3</v>
      </c>
      <c r="F2424" s="411"/>
      <c r="G2424" s="388"/>
      <c r="I2424" s="388"/>
    </row>
    <row r="2425" spans="1:9">
      <c r="A2425" s="408">
        <v>41018</v>
      </c>
      <c r="B2425" s="411">
        <v>1376.92</v>
      </c>
      <c r="C2425" s="418">
        <f t="shared" si="218"/>
        <v>-5.9344181815557118E-3</v>
      </c>
      <c r="D2425" s="411">
        <v>10.82</v>
      </c>
      <c r="E2425" s="418">
        <f t="shared" si="219"/>
        <v>2.7540360873694381E-2</v>
      </c>
      <c r="F2425" s="411"/>
      <c r="G2425" s="388"/>
      <c r="I2425" s="388"/>
    </row>
    <row r="2426" spans="1:9">
      <c r="A2426" s="408">
        <v>41017</v>
      </c>
      <c r="B2426" s="411">
        <v>1385.14</v>
      </c>
      <c r="C2426" s="418">
        <f t="shared" si="218"/>
        <v>-4.0552783330216613E-3</v>
      </c>
      <c r="D2426" s="411">
        <v>10.53</v>
      </c>
      <c r="E2426" s="418">
        <f t="shared" si="219"/>
        <v>8.6206896551723755E-3</v>
      </c>
      <c r="F2426" s="411"/>
      <c r="G2426" s="388"/>
      <c r="I2426" s="388"/>
    </row>
    <row r="2427" spans="1:9">
      <c r="A2427" s="408">
        <v>41016</v>
      </c>
      <c r="B2427" s="411">
        <v>1390.78</v>
      </c>
      <c r="C2427" s="418">
        <f t="shared" si="218"/>
        <v>1.5486612586432358E-2</v>
      </c>
      <c r="D2427" s="411">
        <v>10.44</v>
      </c>
      <c r="E2427" s="418">
        <f t="shared" si="219"/>
        <v>1.8536585365853675E-2</v>
      </c>
      <c r="F2427" s="411"/>
      <c r="G2427" s="388"/>
      <c r="I2427" s="388"/>
    </row>
    <row r="2428" spans="1:9">
      <c r="A2428" s="408">
        <v>41015</v>
      </c>
      <c r="B2428" s="411">
        <v>1369.57</v>
      </c>
      <c r="C2428" s="418">
        <f t="shared" si="218"/>
        <v>-5.0355407003055408E-4</v>
      </c>
      <c r="D2428" s="411">
        <v>10.25</v>
      </c>
      <c r="E2428" s="418">
        <f t="shared" si="219"/>
        <v>1.1846001974333609E-2</v>
      </c>
      <c r="F2428" s="411"/>
      <c r="G2428" s="388"/>
      <c r="I2428" s="388"/>
    </row>
    <row r="2429" spans="1:9">
      <c r="A2429" s="408">
        <v>41012</v>
      </c>
      <c r="B2429" s="411">
        <v>1370.26</v>
      </c>
      <c r="C2429" s="418">
        <f t="shared" si="218"/>
        <v>-1.2475046303970228E-2</v>
      </c>
      <c r="D2429" s="411">
        <v>10.130000000000001</v>
      </c>
      <c r="E2429" s="418">
        <f t="shared" si="219"/>
        <v>-1.2670565302144166E-2</v>
      </c>
      <c r="F2429" s="411"/>
      <c r="G2429" s="388"/>
      <c r="I2429" s="388"/>
    </row>
    <row r="2430" spans="1:9">
      <c r="A2430" s="408">
        <v>41011</v>
      </c>
      <c r="B2430" s="411">
        <v>1387.57</v>
      </c>
      <c r="C2430" s="418">
        <f t="shared" si="218"/>
        <v>1.3779398119396991E-2</v>
      </c>
      <c r="D2430" s="411">
        <v>10.26</v>
      </c>
      <c r="E2430" s="418">
        <f t="shared" si="219"/>
        <v>3.5317860746720386E-2</v>
      </c>
      <c r="F2430" s="411"/>
      <c r="G2430" s="388"/>
      <c r="I2430" s="388"/>
    </row>
    <row r="2431" spans="1:9">
      <c r="A2431" s="408">
        <v>41010</v>
      </c>
      <c r="B2431" s="411">
        <v>1368.71</v>
      </c>
      <c r="C2431" s="418">
        <f t="shared" si="218"/>
        <v>7.4488992264039044E-3</v>
      </c>
      <c r="D2431" s="411">
        <v>9.91</v>
      </c>
      <c r="E2431" s="418">
        <f t="shared" si="219"/>
        <v>1.0193679918450549E-2</v>
      </c>
      <c r="F2431" s="411"/>
      <c r="G2431" s="388"/>
      <c r="I2431" s="388"/>
    </row>
    <row r="2432" spans="1:9">
      <c r="A2432" s="408">
        <v>41009</v>
      </c>
      <c r="B2432" s="411">
        <v>1358.59</v>
      </c>
      <c r="C2432" s="418">
        <f t="shared" si="218"/>
        <v>-1.7081464332224128E-2</v>
      </c>
      <c r="D2432" s="411">
        <v>9.81</v>
      </c>
      <c r="E2432" s="418">
        <f t="shared" si="219"/>
        <v>-4.6647230320699618E-2</v>
      </c>
      <c r="F2432" s="411"/>
      <c r="G2432" s="388"/>
      <c r="I2432" s="388"/>
    </row>
    <row r="2433" spans="1:9">
      <c r="A2433" s="408">
        <v>41008</v>
      </c>
      <c r="B2433" s="411">
        <v>1382.2</v>
      </c>
      <c r="C2433" s="418">
        <f t="shared" si="218"/>
        <v>-1.1358434424353359E-2</v>
      </c>
      <c r="D2433" s="411">
        <v>10.29</v>
      </c>
      <c r="E2433" s="418">
        <f t="shared" si="219"/>
        <v>-7.7145612343297865E-3</v>
      </c>
      <c r="F2433" s="411"/>
      <c r="G2433" s="388"/>
      <c r="I2433" s="388"/>
    </row>
    <row r="2434" spans="1:9">
      <c r="A2434" s="408">
        <v>41004</v>
      </c>
      <c r="B2434" s="411">
        <v>1398.08</v>
      </c>
      <c r="C2434" s="418">
        <f t="shared" si="218"/>
        <v>-6.2903871447372861E-4</v>
      </c>
      <c r="D2434" s="411">
        <v>10.37</v>
      </c>
      <c r="E2434" s="418">
        <f t="shared" si="219"/>
        <v>-1.0496183206107013E-2</v>
      </c>
      <c r="F2434" s="411"/>
      <c r="G2434" s="388"/>
      <c r="I2434" s="388"/>
    </row>
    <row r="2435" spans="1:9">
      <c r="A2435" s="408">
        <v>41003</v>
      </c>
      <c r="B2435" s="411">
        <v>1398.96</v>
      </c>
      <c r="C2435" s="418">
        <f t="shared" si="218"/>
        <v>-1.0202493313900107E-2</v>
      </c>
      <c r="D2435" s="411">
        <v>10.48</v>
      </c>
      <c r="E2435" s="418">
        <f t="shared" si="219"/>
        <v>1.5503875968992276E-2</v>
      </c>
      <c r="F2435" s="411"/>
      <c r="G2435" s="388"/>
      <c r="I2435" s="388"/>
    </row>
    <row r="2436" spans="1:9">
      <c r="A2436" s="408">
        <v>41002</v>
      </c>
      <c r="B2436" s="411">
        <v>1413.38</v>
      </c>
      <c r="C2436" s="418">
        <f t="shared" si="218"/>
        <v>-3.9886120193932673E-3</v>
      </c>
      <c r="D2436" s="411">
        <v>10.32</v>
      </c>
      <c r="E2436" s="418">
        <f t="shared" si="219"/>
        <v>3.096903096903092E-2</v>
      </c>
      <c r="F2436" s="411"/>
      <c r="G2436" s="388"/>
      <c r="I2436" s="388"/>
    </row>
    <row r="2437" spans="1:9">
      <c r="A2437" s="408">
        <v>41001</v>
      </c>
      <c r="B2437" s="411">
        <v>1419.04</v>
      </c>
      <c r="C2437" s="418">
        <f t="shared" si="218"/>
        <v>7.504597187018458E-3</v>
      </c>
      <c r="D2437" s="411">
        <v>10.01</v>
      </c>
      <c r="E2437" s="418">
        <f t="shared" si="219"/>
        <v>9.581442259203321E-3</v>
      </c>
      <c r="F2437" s="411"/>
      <c r="G2437" s="388"/>
      <c r="I2437" s="388"/>
    </row>
    <row r="2438" spans="1:9">
      <c r="A2438" s="408">
        <v>40998</v>
      </c>
      <c r="B2438" s="411">
        <v>1408.47</v>
      </c>
      <c r="C2438" s="418">
        <f t="shared" si="218"/>
        <v>3.6984778518898143E-3</v>
      </c>
      <c r="D2438" s="411">
        <v>9.9149999999999991</v>
      </c>
      <c r="E2438" s="418">
        <f t="shared" si="219"/>
        <v>-1.5392254220456869E-2</v>
      </c>
      <c r="F2438" s="411"/>
      <c r="G2438" s="388"/>
      <c r="I2438" s="388"/>
    </row>
    <row r="2439" spans="1:9">
      <c r="A2439" s="408">
        <v>40997</v>
      </c>
      <c r="B2439" s="411">
        <v>1403.28</v>
      </c>
      <c r="C2439" s="418">
        <f t="shared" si="218"/>
        <v>-1.6079229335344003E-3</v>
      </c>
      <c r="D2439" s="411">
        <v>10.07</v>
      </c>
      <c r="E2439" s="418">
        <f t="shared" si="219"/>
        <v>7.0000000000001172E-3</v>
      </c>
      <c r="F2439" s="411"/>
      <c r="G2439" s="388"/>
      <c r="I2439" s="388"/>
    </row>
    <row r="2440" spans="1:9">
      <c r="A2440" s="408">
        <v>40996</v>
      </c>
      <c r="B2440" s="411">
        <v>1405.54</v>
      </c>
      <c r="C2440" s="418">
        <f t="shared" ref="C2440:C2503" si="220">B2440/B2441-1</f>
        <v>-4.9415229518874337E-3</v>
      </c>
      <c r="D2440" s="411">
        <v>10</v>
      </c>
      <c r="E2440" s="418">
        <f t="shared" ref="E2440:E2503" si="221">D2440/D2441-1</f>
        <v>1.9367991845055998E-2</v>
      </c>
      <c r="F2440" s="411"/>
      <c r="G2440" s="388"/>
      <c r="I2440" s="388"/>
    </row>
    <row r="2441" spans="1:9">
      <c r="A2441" s="408">
        <v>40995</v>
      </c>
      <c r="B2441" s="411">
        <v>1412.52</v>
      </c>
      <c r="C2441" s="418">
        <f t="shared" si="220"/>
        <v>-2.8167820911959573E-3</v>
      </c>
      <c r="D2441" s="411">
        <v>9.81</v>
      </c>
      <c r="E2441" s="418">
        <f t="shared" si="221"/>
        <v>-7.0850202429150189E-3</v>
      </c>
      <c r="F2441" s="411"/>
      <c r="G2441" s="388"/>
      <c r="I2441" s="388"/>
    </row>
    <row r="2442" spans="1:9">
      <c r="A2442" s="408">
        <v>40994</v>
      </c>
      <c r="B2442" s="411">
        <v>1416.51</v>
      </c>
      <c r="C2442" s="418">
        <f t="shared" si="220"/>
        <v>1.3885807130433525E-2</v>
      </c>
      <c r="D2442" s="411">
        <v>9.8800000000000008</v>
      </c>
      <c r="E2442" s="418">
        <f t="shared" si="221"/>
        <v>2.7027027027027195E-2</v>
      </c>
      <c r="F2442" s="411"/>
      <c r="G2442" s="388"/>
      <c r="I2442" s="388"/>
    </row>
    <row r="2443" spans="1:9">
      <c r="A2443" s="408">
        <v>40991</v>
      </c>
      <c r="B2443" s="411">
        <v>1397.11</v>
      </c>
      <c r="C2443" s="418">
        <f t="shared" si="220"/>
        <v>3.108890133402209E-3</v>
      </c>
      <c r="D2443" s="411">
        <v>9.6199999999999992</v>
      </c>
      <c r="E2443" s="418">
        <f t="shared" si="221"/>
        <v>9.4438614900314022E-3</v>
      </c>
      <c r="F2443" s="411"/>
      <c r="G2443" s="388"/>
      <c r="I2443" s="388"/>
    </row>
    <row r="2444" spans="1:9">
      <c r="A2444" s="408">
        <v>40990</v>
      </c>
      <c r="B2444" s="411">
        <v>1392.78</v>
      </c>
      <c r="C2444" s="418">
        <f t="shared" si="220"/>
        <v>-7.206552188696258E-3</v>
      </c>
      <c r="D2444" s="411">
        <v>9.5299999999999994</v>
      </c>
      <c r="E2444" s="418">
        <f t="shared" si="221"/>
        <v>-2.1560574948665368E-2</v>
      </c>
      <c r="F2444" s="411"/>
      <c r="G2444" s="388"/>
      <c r="I2444" s="388"/>
    </row>
    <row r="2445" spans="1:9">
      <c r="A2445" s="408">
        <v>40989</v>
      </c>
      <c r="B2445" s="411">
        <v>1402.89</v>
      </c>
      <c r="C2445" s="418">
        <f t="shared" si="220"/>
        <v>-1.8711935796003054E-3</v>
      </c>
      <c r="D2445" s="411">
        <v>9.74</v>
      </c>
      <c r="E2445" s="418">
        <f t="shared" si="221"/>
        <v>2.2035676810073568E-2</v>
      </c>
      <c r="F2445" s="411"/>
      <c r="G2445" s="388"/>
      <c r="I2445" s="388"/>
    </row>
    <row r="2446" spans="1:9">
      <c r="A2446" s="408">
        <v>40988</v>
      </c>
      <c r="B2446" s="411">
        <v>1405.52</v>
      </c>
      <c r="C2446" s="418">
        <f t="shared" si="220"/>
        <v>-3.0005320092214571E-3</v>
      </c>
      <c r="D2446" s="411">
        <v>9.5299999999999994</v>
      </c>
      <c r="E2446" s="418">
        <f t="shared" si="221"/>
        <v>2.3630504833512145E-2</v>
      </c>
      <c r="F2446" s="411"/>
      <c r="G2446" s="388"/>
      <c r="I2446" s="388"/>
    </row>
    <row r="2447" spans="1:9">
      <c r="A2447" s="408">
        <v>40987</v>
      </c>
      <c r="B2447" s="411">
        <v>1409.75</v>
      </c>
      <c r="C2447" s="418">
        <f t="shared" si="220"/>
        <v>3.9738778068181269E-3</v>
      </c>
      <c r="D2447" s="411">
        <v>9.31</v>
      </c>
      <c r="E2447" s="418">
        <f t="shared" si="221"/>
        <v>1.0857763300760048E-2</v>
      </c>
      <c r="F2447" s="411"/>
      <c r="G2447" s="388"/>
      <c r="I2447" s="388"/>
    </row>
    <row r="2448" spans="1:9">
      <c r="A2448" s="408">
        <v>40984</v>
      </c>
      <c r="B2448" s="411">
        <v>1404.17</v>
      </c>
      <c r="C2448" s="418">
        <f t="shared" si="220"/>
        <v>1.1193497789820928E-3</v>
      </c>
      <c r="D2448" s="411">
        <v>9.2100000000000009</v>
      </c>
      <c r="E2448" s="418">
        <f t="shared" si="221"/>
        <v>-4.3613707165109039E-2</v>
      </c>
      <c r="F2448" s="411"/>
      <c r="G2448" s="388"/>
      <c r="I2448" s="388"/>
    </row>
    <row r="2449" spans="1:9">
      <c r="A2449" s="408">
        <v>40983</v>
      </c>
      <c r="B2449" s="411">
        <v>1402.6</v>
      </c>
      <c r="C2449" s="418">
        <f t="shared" si="220"/>
        <v>5.967237570645656E-3</v>
      </c>
      <c r="D2449" s="411">
        <v>9.6300000000000008</v>
      </c>
      <c r="E2449" s="418">
        <f t="shared" si="221"/>
        <v>3.548387096774186E-2</v>
      </c>
      <c r="F2449" s="411"/>
      <c r="G2449" s="388"/>
      <c r="I2449" s="388"/>
    </row>
    <row r="2450" spans="1:9">
      <c r="A2450" s="408">
        <v>40982</v>
      </c>
      <c r="B2450" s="411">
        <v>1394.28</v>
      </c>
      <c r="C2450" s="418">
        <f t="shared" si="220"/>
        <v>-1.1963179196963214E-3</v>
      </c>
      <c r="D2450" s="411">
        <v>9.3000000000000007</v>
      </c>
      <c r="E2450" s="418">
        <f t="shared" si="221"/>
        <v>-1.0741138560687036E-3</v>
      </c>
      <c r="F2450" s="411"/>
      <c r="G2450" s="388"/>
      <c r="I2450" s="388"/>
    </row>
    <row r="2451" spans="1:9">
      <c r="A2451" s="408">
        <v>40981</v>
      </c>
      <c r="B2451" s="411">
        <v>1395.95</v>
      </c>
      <c r="C2451" s="418">
        <f t="shared" si="220"/>
        <v>1.813155956210033E-2</v>
      </c>
      <c r="D2451" s="411">
        <v>9.31</v>
      </c>
      <c r="E2451" s="418">
        <f t="shared" si="221"/>
        <v>1.305767138193703E-2</v>
      </c>
      <c r="F2451" s="411"/>
      <c r="G2451" s="388"/>
      <c r="I2451" s="388"/>
    </row>
    <row r="2452" spans="1:9">
      <c r="A2452" s="408">
        <v>40980</v>
      </c>
      <c r="B2452" s="411">
        <v>1371.09</v>
      </c>
      <c r="C2452" s="418">
        <f t="shared" si="220"/>
        <v>1.6048202966012504E-4</v>
      </c>
      <c r="D2452" s="411">
        <v>9.19</v>
      </c>
      <c r="E2452" s="418">
        <f t="shared" si="221"/>
        <v>-1.9210245464247544E-2</v>
      </c>
      <c r="F2452" s="411"/>
      <c r="G2452" s="388"/>
      <c r="I2452" s="388"/>
    </row>
    <row r="2453" spans="1:9">
      <c r="A2453" s="408">
        <v>40977</v>
      </c>
      <c r="B2453" s="411">
        <v>1370.87</v>
      </c>
      <c r="C2453" s="418">
        <f t="shared" si="220"/>
        <v>3.6312787811787484E-3</v>
      </c>
      <c r="D2453" s="411">
        <v>9.3699999999999992</v>
      </c>
      <c r="E2453" s="418">
        <f t="shared" si="221"/>
        <v>-1.0559662090813271E-2</v>
      </c>
      <c r="F2453" s="411"/>
      <c r="G2453" s="388"/>
      <c r="I2453" s="388"/>
    </row>
    <row r="2454" spans="1:9">
      <c r="A2454" s="408">
        <v>40976</v>
      </c>
      <c r="B2454" s="411">
        <v>1365.91</v>
      </c>
      <c r="C2454" s="418">
        <f t="shared" si="220"/>
        <v>9.8179102932804962E-3</v>
      </c>
      <c r="D2454" s="411">
        <v>9.4700000000000006</v>
      </c>
      <c r="E2454" s="418">
        <f t="shared" si="221"/>
        <v>1.067235859124871E-2</v>
      </c>
      <c r="F2454" s="411"/>
      <c r="G2454" s="388"/>
      <c r="I2454" s="388"/>
    </row>
    <row r="2455" spans="1:9">
      <c r="A2455" s="408">
        <v>40975</v>
      </c>
      <c r="B2455" s="411">
        <v>1352.63</v>
      </c>
      <c r="C2455" s="418">
        <f t="shared" si="220"/>
        <v>6.9006074321107391E-3</v>
      </c>
      <c r="D2455" s="411">
        <v>9.3699999999999992</v>
      </c>
      <c r="E2455" s="418">
        <f t="shared" si="221"/>
        <v>1.0683760683760646E-3</v>
      </c>
      <c r="F2455" s="411"/>
      <c r="G2455" s="388"/>
      <c r="I2455" s="388"/>
    </row>
    <row r="2456" spans="1:9">
      <c r="A2456" s="408">
        <v>40974</v>
      </c>
      <c r="B2456" s="411">
        <v>1343.36</v>
      </c>
      <c r="C2456" s="418">
        <f t="shared" si="220"/>
        <v>-1.5370181700908203E-2</v>
      </c>
      <c r="D2456" s="411">
        <v>9.36</v>
      </c>
      <c r="E2456" s="418">
        <f t="shared" si="221"/>
        <v>-3.2057911065149991E-2</v>
      </c>
      <c r="F2456" s="411"/>
      <c r="G2456" s="388"/>
      <c r="I2456" s="388"/>
    </row>
    <row r="2457" spans="1:9">
      <c r="A2457" s="408">
        <v>40973</v>
      </c>
      <c r="B2457" s="411">
        <v>1364.33</v>
      </c>
      <c r="C2457" s="418">
        <f t="shared" si="220"/>
        <v>-3.8696582288648695E-3</v>
      </c>
      <c r="D2457" s="411">
        <v>9.67</v>
      </c>
      <c r="E2457" s="418">
        <f t="shared" si="221"/>
        <v>-1.0235414534288556E-2</v>
      </c>
      <c r="F2457" s="411"/>
      <c r="G2457" s="388"/>
      <c r="I2457" s="388"/>
    </row>
    <row r="2458" spans="1:9">
      <c r="A2458" s="408">
        <v>40970</v>
      </c>
      <c r="B2458" s="411">
        <v>1369.63</v>
      </c>
      <c r="C2458" s="418">
        <f t="shared" si="220"/>
        <v>-3.2457844828212012E-3</v>
      </c>
      <c r="D2458" s="411">
        <v>9.77</v>
      </c>
      <c r="E2458" s="418">
        <f t="shared" si="221"/>
        <v>1.3485477178423189E-2</v>
      </c>
      <c r="F2458" s="411"/>
      <c r="G2458" s="388"/>
      <c r="I2458" s="388"/>
    </row>
    <row r="2459" spans="1:9">
      <c r="A2459" s="408">
        <v>40969</v>
      </c>
      <c r="B2459" s="411">
        <v>1374.09</v>
      </c>
      <c r="C2459" s="418">
        <f t="shared" si="220"/>
        <v>6.1581043875578168E-3</v>
      </c>
      <c r="D2459" s="411">
        <v>9.64</v>
      </c>
      <c r="E2459" s="418">
        <f t="shared" si="221"/>
        <v>-1.7329255861365911E-2</v>
      </c>
      <c r="F2459" s="411"/>
      <c r="G2459" s="388"/>
      <c r="I2459" s="388"/>
    </row>
    <row r="2460" spans="1:9">
      <c r="A2460" s="408">
        <v>40968</v>
      </c>
      <c r="B2460" s="411">
        <v>1365.68</v>
      </c>
      <c r="C2460" s="418">
        <f t="shared" si="220"/>
        <v>-4.736987858735775E-3</v>
      </c>
      <c r="D2460" s="411">
        <v>9.81</v>
      </c>
      <c r="E2460" s="418">
        <f t="shared" si="221"/>
        <v>-9.0909090909090384E-3</v>
      </c>
      <c r="F2460" s="411"/>
      <c r="G2460" s="388"/>
      <c r="I2460" s="388"/>
    </row>
    <row r="2461" spans="1:9">
      <c r="A2461" s="408">
        <v>40967</v>
      </c>
      <c r="B2461" s="411">
        <v>1372.18</v>
      </c>
      <c r="C2461" s="418">
        <f t="shared" si="220"/>
        <v>3.3562690572468412E-3</v>
      </c>
      <c r="D2461" s="411">
        <v>9.9</v>
      </c>
      <c r="E2461" s="418">
        <f t="shared" si="221"/>
        <v>2.4844720496894457E-2</v>
      </c>
      <c r="F2461" s="411"/>
      <c r="G2461" s="388"/>
      <c r="I2461" s="388"/>
    </row>
    <row r="2462" spans="1:9">
      <c r="A2462" s="408">
        <v>40966</v>
      </c>
      <c r="B2462" s="411">
        <v>1367.59</v>
      </c>
      <c r="C2462" s="418">
        <f t="shared" si="220"/>
        <v>1.3545770058722706E-3</v>
      </c>
      <c r="D2462" s="411">
        <v>9.66</v>
      </c>
      <c r="E2462" s="418">
        <f t="shared" si="221"/>
        <v>1.3641133263378791E-2</v>
      </c>
      <c r="F2462" s="411"/>
      <c r="G2462" s="388"/>
      <c r="I2462" s="388"/>
    </row>
    <row r="2463" spans="1:9">
      <c r="A2463" s="408">
        <v>40963</v>
      </c>
      <c r="B2463" s="411">
        <v>1365.74</v>
      </c>
      <c r="C2463" s="418">
        <f t="shared" si="220"/>
        <v>1.6722162733047163E-3</v>
      </c>
      <c r="D2463" s="411">
        <v>9.5299999999999994</v>
      </c>
      <c r="E2463" s="418">
        <f t="shared" si="221"/>
        <v>-1.6511867905056765E-2</v>
      </c>
      <c r="F2463" s="411"/>
      <c r="G2463" s="388"/>
      <c r="I2463" s="388"/>
    </row>
    <row r="2464" spans="1:9">
      <c r="A2464" s="408">
        <v>40962</v>
      </c>
      <c r="B2464" s="411">
        <v>1363.46</v>
      </c>
      <c r="C2464" s="418">
        <f t="shared" si="220"/>
        <v>4.2720563322187211E-3</v>
      </c>
      <c r="D2464" s="411">
        <v>9.69</v>
      </c>
      <c r="E2464" s="418">
        <f t="shared" si="221"/>
        <v>-2.4169184290030232E-2</v>
      </c>
      <c r="F2464" s="411"/>
      <c r="G2464" s="388"/>
      <c r="I2464" s="388"/>
    </row>
    <row r="2465" spans="1:9">
      <c r="A2465" s="408">
        <v>40961</v>
      </c>
      <c r="B2465" s="411">
        <v>1357.66</v>
      </c>
      <c r="C2465" s="418">
        <f t="shared" si="220"/>
        <v>-3.3401604745230129E-3</v>
      </c>
      <c r="D2465" s="411">
        <v>9.93</v>
      </c>
      <c r="E2465" s="418">
        <f t="shared" si="221"/>
        <v>-1.194029850746281E-2</v>
      </c>
      <c r="F2465" s="411"/>
      <c r="G2465" s="388"/>
      <c r="I2465" s="388"/>
    </row>
    <row r="2466" spans="1:9">
      <c r="A2466" s="408">
        <v>40960</v>
      </c>
      <c r="B2466" s="411">
        <v>1362.21</v>
      </c>
      <c r="C2466" s="418">
        <f t="shared" si="220"/>
        <v>7.1993711569695584E-4</v>
      </c>
      <c r="D2466" s="411">
        <v>10.050000000000001</v>
      </c>
      <c r="E2466" s="418">
        <f t="shared" si="221"/>
        <v>-7.2022160664819923E-2</v>
      </c>
      <c r="F2466" s="411"/>
      <c r="G2466" s="388"/>
      <c r="I2466" s="388"/>
    </row>
    <row r="2467" spans="1:9">
      <c r="A2467" s="408">
        <v>40956</v>
      </c>
      <c r="B2467" s="411">
        <v>1361.23</v>
      </c>
      <c r="C2467" s="418">
        <f t="shared" si="220"/>
        <v>2.348973520662101E-3</v>
      </c>
      <c r="D2467" s="411">
        <v>10.83</v>
      </c>
      <c r="E2467" s="418">
        <f t="shared" si="221"/>
        <v>-9.1491308325708509E-3</v>
      </c>
      <c r="F2467" s="411"/>
      <c r="G2467" s="388"/>
      <c r="I2467" s="388"/>
    </row>
    <row r="2468" spans="1:9">
      <c r="A2468" s="408">
        <v>40955</v>
      </c>
      <c r="B2468" s="411">
        <v>1358.04</v>
      </c>
      <c r="C2468" s="418">
        <f t="shared" si="220"/>
        <v>1.1025662023629534E-2</v>
      </c>
      <c r="D2468" s="411">
        <v>10.93</v>
      </c>
      <c r="E2468" s="418">
        <f t="shared" si="221"/>
        <v>9.2336103416434945E-3</v>
      </c>
      <c r="F2468" s="411"/>
      <c r="G2468" s="388"/>
      <c r="I2468" s="388"/>
    </row>
    <row r="2469" spans="1:9">
      <c r="A2469" s="408">
        <v>40954</v>
      </c>
      <c r="B2469" s="411">
        <v>1343.23</v>
      </c>
      <c r="C2469" s="418">
        <f t="shared" si="220"/>
        <v>-5.383191410588628E-3</v>
      </c>
      <c r="D2469" s="411">
        <v>10.83</v>
      </c>
      <c r="E2469" s="418">
        <f t="shared" si="221"/>
        <v>-1.0054844606946944E-2</v>
      </c>
      <c r="F2469" s="411"/>
      <c r="G2469" s="388"/>
      <c r="I2469" s="388"/>
    </row>
    <row r="2470" spans="1:9">
      <c r="A2470" s="408">
        <v>40953</v>
      </c>
      <c r="B2470" s="411">
        <v>1350.5</v>
      </c>
      <c r="C2470" s="418">
        <f t="shared" si="220"/>
        <v>-9.3950894013028474E-4</v>
      </c>
      <c r="D2470" s="411">
        <v>10.94</v>
      </c>
      <c r="E2470" s="418">
        <f t="shared" si="221"/>
        <v>-1.8834080717488821E-2</v>
      </c>
      <c r="F2470" s="411"/>
      <c r="G2470" s="388"/>
      <c r="I2470" s="388"/>
    </row>
    <row r="2471" spans="1:9">
      <c r="A2471" s="408">
        <v>40952</v>
      </c>
      <c r="B2471" s="411">
        <v>1351.77</v>
      </c>
      <c r="C2471" s="418">
        <f t="shared" si="220"/>
        <v>6.8000357504616193E-3</v>
      </c>
      <c r="D2471" s="411">
        <v>11.15</v>
      </c>
      <c r="E2471" s="418">
        <f t="shared" si="221"/>
        <v>2.3875114784205564E-2</v>
      </c>
      <c r="F2471" s="411"/>
      <c r="G2471" s="388"/>
      <c r="I2471" s="388"/>
    </row>
    <row r="2472" spans="1:9">
      <c r="A2472" s="408">
        <v>40949</v>
      </c>
      <c r="B2472" s="411">
        <v>1342.64</v>
      </c>
      <c r="C2472" s="418">
        <f t="shared" si="220"/>
        <v>-6.8863493472390847E-3</v>
      </c>
      <c r="D2472" s="411">
        <v>10.89</v>
      </c>
      <c r="E2472" s="418">
        <f t="shared" si="221"/>
        <v>-2.0683453237409943E-2</v>
      </c>
      <c r="F2472" s="411"/>
      <c r="G2472" s="388"/>
      <c r="I2472" s="388"/>
    </row>
    <row r="2473" spans="1:9">
      <c r="A2473" s="408">
        <v>40948</v>
      </c>
      <c r="B2473" s="411">
        <v>1351.95</v>
      </c>
      <c r="C2473" s="418">
        <f t="shared" si="220"/>
        <v>1.4741177516370829E-3</v>
      </c>
      <c r="D2473" s="411">
        <v>11.12</v>
      </c>
      <c r="E2473" s="418">
        <f t="shared" si="221"/>
        <v>1.1828935395814311E-2</v>
      </c>
      <c r="F2473" s="411"/>
      <c r="G2473" s="388"/>
      <c r="I2473" s="388"/>
    </row>
    <row r="2474" spans="1:9">
      <c r="A2474" s="408">
        <v>40947</v>
      </c>
      <c r="B2474" s="411">
        <v>1349.96</v>
      </c>
      <c r="C2474" s="418">
        <f t="shared" si="220"/>
        <v>2.1602761590142627E-3</v>
      </c>
      <c r="D2474" s="411">
        <v>10.99</v>
      </c>
      <c r="E2474" s="418">
        <f t="shared" si="221"/>
        <v>1.8231540565176729E-3</v>
      </c>
      <c r="F2474" s="411"/>
      <c r="G2474" s="388"/>
      <c r="I2474" s="388"/>
    </row>
    <row r="2475" spans="1:9">
      <c r="A2475" s="408">
        <v>40946</v>
      </c>
      <c r="B2475" s="411">
        <v>1347.05</v>
      </c>
      <c r="C2475" s="418">
        <f t="shared" si="220"/>
        <v>2.0233127282736074E-3</v>
      </c>
      <c r="D2475" s="411">
        <v>10.97</v>
      </c>
      <c r="E2475" s="418">
        <f t="shared" si="221"/>
        <v>-1.8198362147406888E-3</v>
      </c>
      <c r="F2475" s="411"/>
      <c r="G2475" s="388"/>
      <c r="I2475" s="388"/>
    </row>
    <row r="2476" spans="1:9">
      <c r="A2476" s="408">
        <v>40945</v>
      </c>
      <c r="B2476" s="411">
        <v>1344.33</v>
      </c>
      <c r="C2476" s="418">
        <f t="shared" si="220"/>
        <v>-4.2382333258994542E-4</v>
      </c>
      <c r="D2476" s="411">
        <v>10.99</v>
      </c>
      <c r="E2476" s="418">
        <f t="shared" si="221"/>
        <v>-2.7433628318584091E-2</v>
      </c>
      <c r="F2476" s="411"/>
      <c r="G2476" s="388"/>
      <c r="I2476" s="388"/>
    </row>
    <row r="2477" spans="1:9">
      <c r="A2477" s="408">
        <v>40942</v>
      </c>
      <c r="B2477" s="411">
        <v>1344.9</v>
      </c>
      <c r="C2477" s="418">
        <f t="shared" si="220"/>
        <v>1.4605368378170613E-2</v>
      </c>
      <c r="D2477" s="411">
        <v>11.3</v>
      </c>
      <c r="E2477" s="418">
        <f t="shared" si="221"/>
        <v>1.8018018018018056E-2</v>
      </c>
      <c r="F2477" s="411"/>
      <c r="G2477" s="388"/>
      <c r="I2477" s="388"/>
    </row>
    <row r="2478" spans="1:9">
      <c r="A2478" s="408">
        <v>40941</v>
      </c>
      <c r="B2478" s="411">
        <v>1325.54</v>
      </c>
      <c r="C2478" s="418">
        <f t="shared" si="220"/>
        <v>1.095091723372299E-3</v>
      </c>
      <c r="D2478" s="411">
        <v>11.1</v>
      </c>
      <c r="E2478" s="418">
        <f t="shared" si="221"/>
        <v>1.8348623853210899E-2</v>
      </c>
      <c r="F2478" s="411"/>
      <c r="G2478" s="388"/>
      <c r="I2478" s="388"/>
    </row>
    <row r="2479" spans="1:9">
      <c r="A2479" s="408">
        <v>40940</v>
      </c>
      <c r="B2479" s="411">
        <v>1324.09</v>
      </c>
      <c r="C2479" s="418">
        <f t="shared" si="220"/>
        <v>8.8996578813023142E-3</v>
      </c>
      <c r="D2479" s="411">
        <v>10.9</v>
      </c>
      <c r="E2479" s="418">
        <f t="shared" si="221"/>
        <v>3.3175355450236976E-2</v>
      </c>
      <c r="F2479" s="411"/>
      <c r="G2479" s="388"/>
      <c r="I2479" s="388"/>
    </row>
    <row r="2480" spans="1:9">
      <c r="A2480" s="408">
        <v>40939</v>
      </c>
      <c r="B2480" s="411">
        <v>1312.41</v>
      </c>
      <c r="C2480" s="418">
        <f t="shared" si="220"/>
        <v>-4.5696529348593362E-4</v>
      </c>
      <c r="D2480" s="411">
        <v>10.55</v>
      </c>
      <c r="E2480" s="418">
        <f t="shared" si="221"/>
        <v>-2.0427112349117871E-2</v>
      </c>
      <c r="F2480" s="411"/>
      <c r="G2480" s="388"/>
      <c r="I2480" s="388"/>
    </row>
    <row r="2481" spans="1:9">
      <c r="A2481" s="408">
        <v>40938</v>
      </c>
      <c r="B2481" s="411">
        <v>1313.01</v>
      </c>
      <c r="C2481" s="418">
        <f t="shared" si="220"/>
        <v>-2.5221638950718717E-3</v>
      </c>
      <c r="D2481" s="411">
        <v>10.77</v>
      </c>
      <c r="E2481" s="418">
        <f t="shared" si="221"/>
        <v>3.6573628488931531E-2</v>
      </c>
      <c r="F2481" s="411"/>
      <c r="G2481" s="388"/>
      <c r="I2481" s="388"/>
    </row>
    <row r="2482" spans="1:9">
      <c r="A2482" s="408">
        <v>40935</v>
      </c>
      <c r="B2482" s="411">
        <v>1316.33</v>
      </c>
      <c r="C2482" s="418">
        <f t="shared" si="220"/>
        <v>-1.5928035618122394E-3</v>
      </c>
      <c r="D2482" s="411">
        <v>10.39</v>
      </c>
      <c r="E2482" s="418">
        <f t="shared" si="221"/>
        <v>2.1632251720747453E-2</v>
      </c>
      <c r="F2482" s="411"/>
      <c r="G2482" s="388"/>
      <c r="I2482" s="388"/>
    </row>
    <row r="2483" spans="1:9">
      <c r="A2483" s="408">
        <v>40934</v>
      </c>
      <c r="B2483" s="411">
        <v>1318.43</v>
      </c>
      <c r="C2483" s="418">
        <f t="shared" si="220"/>
        <v>-5.7538874560727482E-3</v>
      </c>
      <c r="D2483" s="411">
        <v>10.17</v>
      </c>
      <c r="E2483" s="418">
        <f t="shared" si="221"/>
        <v>2.1084337349397408E-2</v>
      </c>
      <c r="F2483" s="411"/>
      <c r="G2483" s="388"/>
      <c r="I2483" s="388"/>
    </row>
    <row r="2484" spans="1:9">
      <c r="A2484" s="408">
        <v>40933</v>
      </c>
      <c r="B2484" s="411">
        <v>1326.06</v>
      </c>
      <c r="C2484" s="418">
        <f t="shared" si="220"/>
        <v>8.6791161145551854E-3</v>
      </c>
      <c r="D2484" s="411">
        <v>9.9600000000000009</v>
      </c>
      <c r="E2484" s="418">
        <f t="shared" si="221"/>
        <v>6.1833688699360234E-2</v>
      </c>
      <c r="F2484" s="411"/>
      <c r="G2484" s="388"/>
      <c r="I2484" s="388"/>
    </row>
    <row r="2485" spans="1:9">
      <c r="A2485" s="408">
        <v>40932</v>
      </c>
      <c r="B2485" s="411">
        <v>1314.65</v>
      </c>
      <c r="C2485" s="418">
        <f t="shared" si="220"/>
        <v>-1.0258358662613709E-3</v>
      </c>
      <c r="D2485" s="411">
        <v>9.3800000000000008</v>
      </c>
      <c r="E2485" s="418">
        <f t="shared" si="221"/>
        <v>9.6878363832080261E-3</v>
      </c>
      <c r="F2485" s="411"/>
      <c r="G2485" s="388"/>
      <c r="I2485" s="388"/>
    </row>
    <row r="2486" spans="1:9">
      <c r="A2486" s="408">
        <v>40931</v>
      </c>
      <c r="B2486" s="411">
        <v>1316</v>
      </c>
      <c r="C2486" s="418">
        <f t="shared" si="220"/>
        <v>4.7134668308768113E-4</v>
      </c>
      <c r="D2486" s="411">
        <v>9.2899999999999991</v>
      </c>
      <c r="E2486" s="418">
        <f t="shared" si="221"/>
        <v>-1.2752391073326375E-2</v>
      </c>
      <c r="F2486" s="411"/>
      <c r="G2486" s="388"/>
      <c r="I2486" s="388"/>
    </row>
    <row r="2487" spans="1:9">
      <c r="A2487" s="408">
        <v>40928</v>
      </c>
      <c r="B2487" s="411">
        <v>1315.38</v>
      </c>
      <c r="C2487" s="418">
        <f t="shared" si="220"/>
        <v>6.6945606694579496E-4</v>
      </c>
      <c r="D2487" s="411">
        <v>9.41</v>
      </c>
      <c r="E2487" s="418">
        <f t="shared" si="221"/>
        <v>8.5744908896034921E-3</v>
      </c>
      <c r="F2487" s="411"/>
      <c r="G2487" s="388"/>
      <c r="I2487" s="388"/>
    </row>
    <row r="2488" spans="1:9">
      <c r="A2488" s="408">
        <v>40927</v>
      </c>
      <c r="B2488" s="411">
        <v>1314.5</v>
      </c>
      <c r="C2488" s="418">
        <f t="shared" si="220"/>
        <v>4.9386868903091852E-3</v>
      </c>
      <c r="D2488" s="411">
        <v>9.33</v>
      </c>
      <c r="E2488" s="418">
        <f t="shared" si="221"/>
        <v>4.5964125560538083E-2</v>
      </c>
      <c r="F2488" s="411"/>
      <c r="G2488" s="388"/>
      <c r="I2488" s="388"/>
    </row>
    <row r="2489" spans="1:9">
      <c r="A2489" s="408">
        <v>40926</v>
      </c>
      <c r="B2489" s="411">
        <v>1308.04</v>
      </c>
      <c r="C2489" s="418">
        <f t="shared" si="220"/>
        <v>1.1107933244181245E-2</v>
      </c>
      <c r="D2489" s="411">
        <v>8.92</v>
      </c>
      <c r="E2489" s="418">
        <f t="shared" si="221"/>
        <v>2.1764032073310347E-2</v>
      </c>
      <c r="F2489" s="411"/>
      <c r="G2489" s="388"/>
      <c r="I2489" s="388"/>
    </row>
    <row r="2490" spans="1:9">
      <c r="A2490" s="408">
        <v>40925</v>
      </c>
      <c r="B2490" s="411">
        <v>1293.67</v>
      </c>
      <c r="C2490" s="418">
        <f t="shared" si="220"/>
        <v>3.552893901899834E-3</v>
      </c>
      <c r="D2490" s="411">
        <v>8.73</v>
      </c>
      <c r="E2490" s="418">
        <f t="shared" si="221"/>
        <v>-1.3559322033898202E-2</v>
      </c>
      <c r="F2490" s="411"/>
      <c r="G2490" s="388"/>
      <c r="I2490" s="388"/>
    </row>
    <row r="2491" spans="1:9">
      <c r="A2491" s="408">
        <v>40921</v>
      </c>
      <c r="B2491" s="411">
        <v>1289.0899999999999</v>
      </c>
      <c r="C2491" s="418">
        <f t="shared" si="220"/>
        <v>-4.9478965650329165E-3</v>
      </c>
      <c r="D2491" s="411">
        <v>8.85</v>
      </c>
      <c r="E2491" s="418">
        <f t="shared" si="221"/>
        <v>-2.2547914317925244E-3</v>
      </c>
      <c r="F2491" s="411"/>
      <c r="G2491" s="388"/>
      <c r="I2491" s="388"/>
    </row>
    <row r="2492" spans="1:9">
      <c r="A2492" s="408">
        <v>40920</v>
      </c>
      <c r="B2492" s="411">
        <v>1295.5</v>
      </c>
      <c r="C2492" s="418">
        <f t="shared" si="220"/>
        <v>2.3365932161425462E-3</v>
      </c>
      <c r="D2492" s="411">
        <v>8.8699999999999992</v>
      </c>
      <c r="E2492" s="418">
        <f t="shared" si="221"/>
        <v>3.0197444831591147E-2</v>
      </c>
      <c r="F2492" s="411"/>
      <c r="G2492" s="388"/>
      <c r="I2492" s="388"/>
    </row>
    <row r="2493" spans="1:9">
      <c r="A2493" s="408">
        <v>40919</v>
      </c>
      <c r="B2493" s="411">
        <v>1292.48</v>
      </c>
      <c r="C2493" s="418">
        <f t="shared" si="220"/>
        <v>3.0957835428147007E-4</v>
      </c>
      <c r="D2493" s="411">
        <v>8.61</v>
      </c>
      <c r="E2493" s="418">
        <f t="shared" si="221"/>
        <v>4.1112454655380937E-2</v>
      </c>
      <c r="F2493" s="411"/>
      <c r="G2493" s="388"/>
      <c r="I2493" s="388"/>
    </row>
    <row r="2494" spans="1:9">
      <c r="A2494" s="408">
        <v>40918</v>
      </c>
      <c r="B2494" s="411">
        <v>1292.08</v>
      </c>
      <c r="C2494" s="418">
        <f t="shared" si="220"/>
        <v>8.8857655969389882E-3</v>
      </c>
      <c r="D2494" s="411">
        <v>8.27</v>
      </c>
      <c r="E2494" s="418">
        <f t="shared" si="221"/>
        <v>-1.2077294685990392E-3</v>
      </c>
      <c r="F2494" s="411"/>
      <c r="G2494" s="388"/>
      <c r="I2494" s="388"/>
    </row>
    <row r="2495" spans="1:9">
      <c r="A2495" s="408">
        <v>40917</v>
      </c>
      <c r="B2495" s="411">
        <v>1280.7</v>
      </c>
      <c r="C2495" s="418">
        <f t="shared" si="220"/>
        <v>2.261682096712514E-3</v>
      </c>
      <c r="D2495" s="411">
        <v>8.2799999999999994</v>
      </c>
      <c r="E2495" s="418">
        <f t="shared" si="221"/>
        <v>-4.8076923076924016E-3</v>
      </c>
      <c r="F2495" s="411"/>
      <c r="G2495" s="388"/>
      <c r="I2495" s="388"/>
    </row>
    <row r="2496" spans="1:9">
      <c r="A2496" s="408">
        <v>40914</v>
      </c>
      <c r="B2496" s="411">
        <v>1277.81</v>
      </c>
      <c r="C2496" s="418">
        <f t="shared" si="220"/>
        <v>-2.5369615786926536E-3</v>
      </c>
      <c r="D2496" s="411">
        <v>8.32</v>
      </c>
      <c r="E2496" s="418">
        <f t="shared" si="221"/>
        <v>-1.2004801920768582E-3</v>
      </c>
      <c r="F2496" s="411"/>
      <c r="G2496" s="388"/>
      <c r="I2496" s="388"/>
    </row>
    <row r="2497" spans="1:9">
      <c r="A2497" s="408">
        <v>40913</v>
      </c>
      <c r="B2497" s="411">
        <v>1281.06</v>
      </c>
      <c r="C2497" s="418">
        <f t="shared" si="220"/>
        <v>2.9437093869881803E-3</v>
      </c>
      <c r="D2497" s="411">
        <v>8.33</v>
      </c>
      <c r="E2497" s="418">
        <f t="shared" si="221"/>
        <v>3.9950062421972632E-2</v>
      </c>
      <c r="F2497" s="411"/>
      <c r="G2497" s="388"/>
      <c r="I2497" s="388"/>
    </row>
    <row r="2498" spans="1:9">
      <c r="A2498" s="408">
        <v>40912</v>
      </c>
      <c r="B2498" s="411">
        <v>1277.3</v>
      </c>
      <c r="C2498" s="418">
        <f t="shared" si="220"/>
        <v>1.8793165552133395E-4</v>
      </c>
      <c r="D2498" s="411">
        <v>8.01</v>
      </c>
      <c r="E2498" s="418">
        <f t="shared" si="221"/>
        <v>-3.7313432835820448E-3</v>
      </c>
      <c r="F2498" s="411"/>
      <c r="G2498" s="388"/>
      <c r="I2498" s="388"/>
    </row>
    <row r="2499" spans="1:9">
      <c r="A2499" s="408">
        <v>40911</v>
      </c>
      <c r="B2499" s="411">
        <v>1277.06</v>
      </c>
      <c r="C2499" s="418">
        <f t="shared" si="220"/>
        <v>1.5473918575063639E-2</v>
      </c>
      <c r="D2499" s="411">
        <v>8.0399999999999991</v>
      </c>
      <c r="E2499" s="418">
        <f t="shared" si="221"/>
        <v>-6.1804697156985222E-3</v>
      </c>
      <c r="F2499" s="411"/>
      <c r="G2499" s="388"/>
      <c r="I2499" s="388"/>
    </row>
    <row r="2500" spans="1:9">
      <c r="A2500" s="408">
        <v>40907</v>
      </c>
      <c r="B2500" s="411">
        <v>1257.5999999999999</v>
      </c>
      <c r="C2500" s="418">
        <f t="shared" si="220"/>
        <v>-4.2913018004465675E-3</v>
      </c>
      <c r="D2500" s="411">
        <v>8.09</v>
      </c>
      <c r="E2500" s="418">
        <f t="shared" si="221"/>
        <v>0</v>
      </c>
      <c r="F2500" s="411"/>
      <c r="G2500" s="388"/>
      <c r="I2500" s="388"/>
    </row>
    <row r="2501" spans="1:9">
      <c r="A2501" s="408">
        <v>40906</v>
      </c>
      <c r="B2501" s="411">
        <v>1263.02</v>
      </c>
      <c r="C2501" s="418">
        <f t="shared" si="220"/>
        <v>1.0707083640088211E-2</v>
      </c>
      <c r="D2501" s="411">
        <v>8.09</v>
      </c>
      <c r="E2501" s="418">
        <f t="shared" si="221"/>
        <v>-3.6945812807881451E-3</v>
      </c>
      <c r="F2501" s="411"/>
      <c r="G2501" s="388"/>
      <c r="I2501" s="388"/>
    </row>
    <row r="2502" spans="1:9">
      <c r="A2502" s="408">
        <v>40905</v>
      </c>
      <c r="B2502" s="411">
        <v>1249.6400000000001</v>
      </c>
      <c r="C2502" s="418">
        <f t="shared" si="220"/>
        <v>-1.2477971914685138E-2</v>
      </c>
      <c r="D2502" s="411">
        <v>8.1199999999999992</v>
      </c>
      <c r="E2502" s="418">
        <f t="shared" si="221"/>
        <v>-7.3349633251834634E-3</v>
      </c>
      <c r="F2502" s="411"/>
      <c r="G2502" s="388"/>
      <c r="I2502" s="388"/>
    </row>
    <row r="2503" spans="1:9">
      <c r="A2503" s="408">
        <v>40904</v>
      </c>
      <c r="B2503" s="411">
        <v>1265.43</v>
      </c>
      <c r="C2503" s="418">
        <f t="shared" si="220"/>
        <v>7.9030766677590236E-5</v>
      </c>
      <c r="D2503" s="411">
        <v>8.18</v>
      </c>
      <c r="E2503" s="418">
        <f t="shared" si="221"/>
        <v>-1.800720288115254E-2</v>
      </c>
      <c r="F2503" s="411"/>
      <c r="G2503" s="388"/>
      <c r="I2503" s="388"/>
    </row>
    <row r="2504" spans="1:9">
      <c r="A2504" s="408">
        <v>40900</v>
      </c>
      <c r="B2504" s="411">
        <v>1265.33</v>
      </c>
      <c r="C2504" s="418">
        <f t="shared" ref="C2504:C2518" si="222">B2504/B2505-1</f>
        <v>9.0350877192981738E-3</v>
      </c>
      <c r="D2504" s="411">
        <v>8.33</v>
      </c>
      <c r="E2504" s="418">
        <f t="shared" ref="E2504:E2518" si="223">D2504/D2505-1</f>
        <v>-3.5885167464113632E-3</v>
      </c>
      <c r="F2504" s="411"/>
      <c r="G2504" s="388"/>
      <c r="I2504" s="388"/>
    </row>
    <row r="2505" spans="1:9">
      <c r="A2505" s="408">
        <v>40899</v>
      </c>
      <c r="B2505" s="411">
        <v>1254</v>
      </c>
      <c r="C2505" s="418">
        <f t="shared" si="222"/>
        <v>8.2655260026371913E-3</v>
      </c>
      <c r="D2505" s="411">
        <v>8.36</v>
      </c>
      <c r="E2505" s="418">
        <f t="shared" si="223"/>
        <v>-1.2987012987013102E-2</v>
      </c>
      <c r="F2505" s="411"/>
      <c r="G2505" s="388"/>
      <c r="I2505" s="388"/>
    </row>
    <row r="2506" spans="1:9">
      <c r="A2506" s="408">
        <v>40898</v>
      </c>
      <c r="B2506" s="411">
        <v>1243.72</v>
      </c>
      <c r="C2506" s="418">
        <f t="shared" si="222"/>
        <v>1.9495690002417909E-3</v>
      </c>
      <c r="D2506" s="411">
        <v>8.4700000000000006</v>
      </c>
      <c r="E2506" s="418">
        <f t="shared" si="223"/>
        <v>-1.8539976825028948E-2</v>
      </c>
      <c r="F2506" s="411"/>
      <c r="G2506" s="388"/>
      <c r="I2506" s="388"/>
    </row>
    <row r="2507" spans="1:9">
      <c r="A2507" s="408">
        <v>40897</v>
      </c>
      <c r="B2507" s="411">
        <v>1241.3</v>
      </c>
      <c r="C2507" s="418">
        <f t="shared" si="222"/>
        <v>2.9825361928070615E-2</v>
      </c>
      <c r="D2507" s="411">
        <v>8.6300000000000008</v>
      </c>
      <c r="E2507" s="418">
        <f t="shared" si="223"/>
        <v>1.4101057579318566E-2</v>
      </c>
      <c r="F2507" s="411"/>
      <c r="G2507" s="388"/>
      <c r="I2507" s="388"/>
    </row>
    <row r="2508" spans="1:9">
      <c r="A2508" s="408">
        <v>40896</v>
      </c>
      <c r="B2508" s="411">
        <v>1205.3499999999999</v>
      </c>
      <c r="C2508" s="418">
        <f t="shared" si="222"/>
        <v>-1.1732777987308096E-2</v>
      </c>
      <c r="D2508" s="411">
        <v>8.51</v>
      </c>
      <c r="E2508" s="418">
        <f t="shared" si="223"/>
        <v>-5.6541019955654082E-2</v>
      </c>
      <c r="F2508" s="411"/>
      <c r="G2508" s="388"/>
      <c r="I2508" s="388"/>
    </row>
    <row r="2509" spans="1:9">
      <c r="A2509" s="408">
        <v>40893</v>
      </c>
      <c r="B2509" s="411">
        <v>1219.6600000000001</v>
      </c>
      <c r="C2509" s="418">
        <f t="shared" si="222"/>
        <v>3.2161217355541893E-3</v>
      </c>
      <c r="D2509" s="411">
        <v>9.02</v>
      </c>
      <c r="E2509" s="418">
        <f t="shared" si="223"/>
        <v>5.0058207217694939E-2</v>
      </c>
      <c r="F2509" s="411"/>
      <c r="G2509" s="388"/>
      <c r="I2509" s="388"/>
    </row>
    <row r="2510" spans="1:9">
      <c r="A2510" s="408">
        <v>40892</v>
      </c>
      <c r="B2510" s="411">
        <v>1215.75</v>
      </c>
      <c r="C2510" s="418">
        <f t="shared" si="222"/>
        <v>3.2430558993910008E-3</v>
      </c>
      <c r="D2510" s="411">
        <v>8.59</v>
      </c>
      <c r="E2510" s="418">
        <f t="shared" si="223"/>
        <v>5.3987730061349604E-2</v>
      </c>
      <c r="F2510" s="411"/>
      <c r="G2510" s="388"/>
      <c r="I2510" s="388"/>
    </row>
    <row r="2511" spans="1:9">
      <c r="A2511" s="408">
        <v>40891</v>
      </c>
      <c r="B2511" s="411">
        <v>1211.82</v>
      </c>
      <c r="C2511" s="418">
        <f t="shared" si="222"/>
        <v>-1.1348339356954673E-2</v>
      </c>
      <c r="D2511" s="411">
        <v>8.15</v>
      </c>
      <c r="E2511" s="418">
        <f t="shared" si="223"/>
        <v>2.0025031289111483E-2</v>
      </c>
      <c r="F2511" s="411"/>
      <c r="G2511" s="388"/>
      <c r="I2511" s="388"/>
    </row>
    <row r="2512" spans="1:9">
      <c r="A2512" s="408">
        <v>40890</v>
      </c>
      <c r="B2512" s="411">
        <v>1225.73</v>
      </c>
      <c r="C2512" s="418">
        <f t="shared" si="222"/>
        <v>-8.6860174529103107E-3</v>
      </c>
      <c r="D2512" s="411">
        <v>7.99</v>
      </c>
      <c r="E2512" s="418">
        <f t="shared" si="223"/>
        <v>-5.9999999999999942E-2</v>
      </c>
      <c r="F2512" s="411"/>
      <c r="G2512" s="388"/>
      <c r="I2512" s="388"/>
    </row>
    <row r="2513" spans="1:9">
      <c r="A2513" s="408">
        <v>40889</v>
      </c>
      <c r="B2513" s="411">
        <v>1236.47</v>
      </c>
      <c r="C2513" s="418">
        <f t="shared" si="222"/>
        <v>-1.4914076753320238E-2</v>
      </c>
      <c r="D2513" s="411">
        <v>8.5</v>
      </c>
      <c r="E2513" s="418">
        <f t="shared" si="223"/>
        <v>0</v>
      </c>
      <c r="F2513" s="411"/>
      <c r="G2513" s="388"/>
      <c r="I2513" s="388"/>
    </row>
    <row r="2514" spans="1:9">
      <c r="A2514" s="408">
        <v>40886</v>
      </c>
      <c r="B2514" s="411">
        <v>1255.19</v>
      </c>
      <c r="C2514" s="418">
        <f t="shared" si="222"/>
        <v>1.6883379916555308E-2</v>
      </c>
      <c r="D2514" s="411">
        <v>8.5</v>
      </c>
      <c r="E2514" s="418">
        <f t="shared" si="223"/>
        <v>3.9119804400977953E-2</v>
      </c>
      <c r="F2514" s="411"/>
      <c r="G2514" s="388"/>
      <c r="I2514" s="388"/>
    </row>
    <row r="2515" spans="1:9">
      <c r="A2515" s="408">
        <v>40885</v>
      </c>
      <c r="B2515" s="411">
        <v>1234.3499999999999</v>
      </c>
      <c r="C2515" s="418">
        <f t="shared" si="222"/>
        <v>-2.1141783173805218E-2</v>
      </c>
      <c r="D2515" s="411">
        <v>8.18</v>
      </c>
      <c r="E2515" s="418">
        <f t="shared" si="223"/>
        <v>-4.439252336448607E-2</v>
      </c>
      <c r="F2515" s="411"/>
      <c r="G2515" s="388"/>
      <c r="I2515" s="388"/>
    </row>
    <row r="2516" spans="1:9">
      <c r="A2516" s="408">
        <v>40884</v>
      </c>
      <c r="B2516" s="411">
        <v>1261.01</v>
      </c>
      <c r="C2516" s="418">
        <f t="shared" si="222"/>
        <v>2.0183238376758617E-3</v>
      </c>
      <c r="D2516" s="411">
        <v>8.56</v>
      </c>
      <c r="E2516" s="418">
        <f t="shared" si="223"/>
        <v>1.0625737898465104E-2</v>
      </c>
      <c r="F2516" s="411"/>
      <c r="G2516" s="388"/>
      <c r="I2516" s="388"/>
    </row>
    <row r="2517" spans="1:9">
      <c r="A2517" s="408">
        <v>40883</v>
      </c>
      <c r="B2517" s="411">
        <v>1258.47</v>
      </c>
      <c r="C2517" s="418">
        <f t="shared" si="222"/>
        <v>1.1057371050371412E-3</v>
      </c>
      <c r="D2517" s="411">
        <v>8.4700000000000006</v>
      </c>
      <c r="E2517" s="418">
        <f t="shared" si="223"/>
        <v>-1.6260162601625883E-2</v>
      </c>
      <c r="F2517" s="411"/>
      <c r="G2517" s="388"/>
      <c r="I2517" s="388"/>
    </row>
    <row r="2518" spans="1:9">
      <c r="A2518" s="408">
        <v>40882</v>
      </c>
      <c r="B2518" s="411">
        <v>1257.08</v>
      </c>
      <c r="C2518" s="418">
        <f t="shared" si="222"/>
        <v>1.028707364901793E-2</v>
      </c>
      <c r="D2518" s="411">
        <v>8.61</v>
      </c>
      <c r="E2518" s="418">
        <f t="shared" si="223"/>
        <v>2.378121284185486E-2</v>
      </c>
      <c r="F2518" s="411"/>
      <c r="G2518" s="388"/>
      <c r="I2518" s="388"/>
    </row>
    <row r="2519" spans="1:9">
      <c r="A2519" s="408">
        <v>40879</v>
      </c>
      <c r="B2519" s="411">
        <v>1244.28</v>
      </c>
      <c r="C2519" s="418">
        <f>IFERROR(B2519/B2520-1,"")</f>
        <v>-2.4104517186518404E-4</v>
      </c>
      <c r="D2519" s="411">
        <v>8.41</v>
      </c>
      <c r="E2519" s="418">
        <f>IFERROR(D2519/D2520-1,"")</f>
        <v>-1.2910798122065636E-2</v>
      </c>
      <c r="F2519" s="411"/>
      <c r="G2519" s="388"/>
      <c r="I2519" s="388"/>
    </row>
    <row r="2520" spans="1:9">
      <c r="A2520" s="408">
        <v>40878</v>
      </c>
      <c r="B2520" s="411">
        <v>1244.58</v>
      </c>
      <c r="C2520" s="418">
        <f t="shared" ref="C2520:E2531" si="224">IFERROR(B2520/B2521-1,"")</f>
        <v>-1.9086418168987596E-3</v>
      </c>
      <c r="D2520" s="411">
        <v>8.52</v>
      </c>
      <c r="E2520" s="418">
        <f t="shared" si="224"/>
        <v>4.9261083743842304E-2</v>
      </c>
      <c r="F2520" s="411"/>
      <c r="G2520" s="388"/>
      <c r="I2520" s="388"/>
    </row>
    <row r="2521" spans="1:9">
      <c r="A2521" s="408">
        <v>40877</v>
      </c>
      <c r="B2521" s="411">
        <v>1246.96</v>
      </c>
      <c r="C2521" s="418">
        <f t="shared" si="224"/>
        <v>4.3315288782536543E-2</v>
      </c>
      <c r="D2521" s="411">
        <v>8.1199999999999992</v>
      </c>
      <c r="E2521" s="418">
        <f t="shared" si="224"/>
        <v>4.102564102564088E-2</v>
      </c>
      <c r="F2521" s="411"/>
      <c r="G2521" s="388"/>
      <c r="I2521" s="388"/>
    </row>
    <row r="2522" spans="1:9">
      <c r="A2522" s="408">
        <v>40876</v>
      </c>
      <c r="B2522" s="411">
        <v>1195.19</v>
      </c>
      <c r="C2522" s="418">
        <f t="shared" si="224"/>
        <v>2.213743658546985E-3</v>
      </c>
      <c r="D2522" s="411">
        <v>7.8</v>
      </c>
      <c r="E2522" s="418">
        <f t="shared" si="224"/>
        <v>4.9798115746971794E-2</v>
      </c>
      <c r="F2522" s="411"/>
      <c r="G2522" s="388"/>
      <c r="I2522" s="388"/>
    </row>
    <row r="2523" spans="1:9">
      <c r="A2523" s="408">
        <v>40875</v>
      </c>
      <c r="B2523" s="411">
        <v>1192.55</v>
      </c>
      <c r="C2523" s="418">
        <f t="shared" si="224"/>
        <v>2.9240422208221428E-2</v>
      </c>
      <c r="D2523" s="411">
        <v>7.43</v>
      </c>
      <c r="E2523" s="418">
        <f t="shared" si="224"/>
        <v>4.3539325842696597E-2</v>
      </c>
    </row>
    <row r="2524" spans="1:9">
      <c r="A2524" s="408">
        <v>40872</v>
      </c>
      <c r="B2524" s="411">
        <v>1158.67</v>
      </c>
      <c r="C2524" s="418">
        <f t="shared" si="224"/>
        <v>-2.6855111508963248E-3</v>
      </c>
      <c r="D2524" s="411">
        <v>7.12</v>
      </c>
      <c r="E2524" s="418">
        <f t="shared" si="224"/>
        <v>0</v>
      </c>
    </row>
    <row r="2525" spans="1:9">
      <c r="A2525" s="408">
        <v>40870</v>
      </c>
      <c r="B2525" s="411">
        <v>1161.79</v>
      </c>
      <c r="C2525" s="418" t="str">
        <f t="shared" si="224"/>
        <v/>
      </c>
      <c r="D2525" s="411">
        <v>7.12</v>
      </c>
      <c r="E2525" s="418" t="str">
        <f t="shared" si="224"/>
        <v/>
      </c>
    </row>
    <row r="2526" spans="1:9">
      <c r="A2526" s="408"/>
      <c r="B2526" s="411"/>
      <c r="C2526" s="418" t="str">
        <f t="shared" si="224"/>
        <v/>
      </c>
      <c r="D2526" s="411"/>
      <c r="E2526" s="418" t="str">
        <f t="shared" si="224"/>
        <v/>
      </c>
    </row>
    <row r="2527" spans="1:9">
      <c r="A2527" s="408"/>
      <c r="B2527" s="411"/>
      <c r="C2527" s="418" t="str">
        <f t="shared" si="224"/>
        <v/>
      </c>
      <c r="D2527" s="411"/>
      <c r="E2527" s="418" t="str">
        <f t="shared" si="224"/>
        <v/>
      </c>
    </row>
    <row r="2528" spans="1:9">
      <c r="A2528" s="408"/>
      <c r="B2528" s="411"/>
      <c r="C2528" s="418" t="str">
        <f t="shared" si="224"/>
        <v/>
      </c>
      <c r="D2528" s="411"/>
      <c r="E2528" s="418" t="str">
        <f t="shared" si="224"/>
        <v/>
      </c>
    </row>
    <row r="2529" spans="3:5">
      <c r="C2529" s="418" t="str">
        <f t="shared" si="224"/>
        <v/>
      </c>
      <c r="E2529" s="418" t="str">
        <f t="shared" si="224"/>
        <v/>
      </c>
    </row>
    <row r="2530" spans="3:5">
      <c r="C2530" s="418" t="str">
        <f t="shared" si="224"/>
        <v/>
      </c>
      <c r="E2530" s="418" t="str">
        <f t="shared" si="224"/>
        <v/>
      </c>
    </row>
    <row r="2531" spans="3:5">
      <c r="C2531" s="418" t="str">
        <f t="shared" si="224"/>
        <v/>
      </c>
      <c r="E2531" s="418" t="str">
        <f t="shared" si="224"/>
        <v/>
      </c>
    </row>
    <row r="2532" spans="3:5">
      <c r="C2532" s="418"/>
      <c r="E2532" s="418"/>
    </row>
    <row r="2533" spans="3:5">
      <c r="C2533" s="418"/>
      <c r="E2533" s="418"/>
    </row>
    <row r="2534" spans="3:5">
      <c r="C2534" s="418"/>
      <c r="E2534" s="418"/>
    </row>
    <row r="2535" spans="3:5">
      <c r="C2535" s="418"/>
      <c r="E2535" s="418"/>
    </row>
    <row r="2536" spans="3:5">
      <c r="C2536" s="418"/>
      <c r="E2536" s="418"/>
    </row>
    <row r="2537" spans="3:5">
      <c r="C2537" s="418"/>
      <c r="E2537" s="418"/>
    </row>
    <row r="2538" spans="3:5">
      <c r="C2538" s="418"/>
      <c r="E2538" s="418"/>
    </row>
    <row r="2539" spans="3:5">
      <c r="C2539" s="418"/>
      <c r="E2539" s="418"/>
    </row>
    <row r="2540" spans="3:5">
      <c r="C2540" s="418"/>
      <c r="E2540" s="418"/>
    </row>
    <row r="2541" spans="3:5">
      <c r="C2541" s="418"/>
      <c r="E2541" s="418"/>
    </row>
    <row r="2542" spans="3:5">
      <c r="C2542" s="418"/>
      <c r="E2542" s="418"/>
    </row>
    <row r="2543" spans="3:5">
      <c r="C2543" s="418"/>
      <c r="E2543" s="418"/>
    </row>
    <row r="2544" spans="3:5">
      <c r="C2544" s="418"/>
      <c r="E2544" s="418"/>
    </row>
    <row r="2545" spans="3:5">
      <c r="C2545" s="418"/>
      <c r="E2545" s="418"/>
    </row>
    <row r="2546" spans="3:5">
      <c r="C2546" s="418"/>
      <c r="E2546" s="418"/>
    </row>
    <row r="2547" spans="3:5">
      <c r="C2547" s="418"/>
      <c r="E2547" s="418"/>
    </row>
    <row r="2548" spans="3:5">
      <c r="C2548" s="418"/>
      <c r="E2548" s="418"/>
    </row>
    <row r="2549" spans="3:5">
      <c r="C2549" s="418"/>
      <c r="E2549" s="418"/>
    </row>
    <row r="2550" spans="3:5">
      <c r="C2550" s="418"/>
      <c r="E2550" s="418"/>
    </row>
    <row r="2551" spans="3:5">
      <c r="C2551" s="418"/>
      <c r="E2551" s="418"/>
    </row>
    <row r="2552" spans="3:5">
      <c r="C2552" s="418"/>
      <c r="E2552" s="418"/>
    </row>
    <row r="2553" spans="3:5">
      <c r="C2553" s="418"/>
      <c r="E2553" s="418"/>
    </row>
    <row r="2554" spans="3:5">
      <c r="C2554" s="418"/>
      <c r="E2554" s="418"/>
    </row>
    <row r="2555" spans="3:5">
      <c r="C2555" s="418"/>
      <c r="E2555" s="418"/>
    </row>
    <row r="2556" spans="3:5">
      <c r="C2556" s="418"/>
      <c r="E2556" s="418"/>
    </row>
    <row r="2557" spans="3:5">
      <c r="C2557" s="418"/>
      <c r="E2557" s="418"/>
    </row>
    <row r="2558" spans="3:5">
      <c r="C2558" s="418"/>
      <c r="E2558" s="418"/>
    </row>
    <row r="2559" spans="3:5">
      <c r="C2559" s="418"/>
      <c r="E2559" s="418"/>
    </row>
    <row r="2560" spans="3:5">
      <c r="C2560" s="418"/>
      <c r="E2560" s="418"/>
    </row>
    <row r="2561" spans="3:5">
      <c r="C2561" s="418"/>
      <c r="E2561" s="418"/>
    </row>
    <row r="2562" spans="3:5">
      <c r="C2562" s="418"/>
      <c r="E2562" s="418"/>
    </row>
    <row r="2563" spans="3:5">
      <c r="C2563" s="418"/>
      <c r="E2563" s="418"/>
    </row>
    <row r="2564" spans="3:5">
      <c r="C2564" s="418"/>
      <c r="E2564" s="418"/>
    </row>
    <row r="2565" spans="3:5">
      <c r="C2565" s="418"/>
      <c r="E2565" s="418"/>
    </row>
    <row r="2566" spans="3:5">
      <c r="C2566" s="418"/>
      <c r="E2566" s="418"/>
    </row>
    <row r="2567" spans="3:5">
      <c r="C2567" s="418"/>
      <c r="E2567" s="418"/>
    </row>
    <row r="2568" spans="3:5">
      <c r="C2568" s="418"/>
      <c r="E2568" s="418"/>
    </row>
    <row r="2569" spans="3:5">
      <c r="C2569" s="418"/>
      <c r="E2569" s="418"/>
    </row>
    <row r="2570" spans="3:5">
      <c r="C2570" s="418"/>
      <c r="E2570" s="418"/>
    </row>
    <row r="2571" spans="3:5">
      <c r="C2571" s="418"/>
      <c r="E2571" s="418"/>
    </row>
    <row r="2572" spans="3:5">
      <c r="C2572" s="418"/>
      <c r="E2572" s="418"/>
    </row>
    <row r="2573" spans="3:5">
      <c r="C2573" s="418"/>
      <c r="E2573" s="418"/>
    </row>
    <row r="2574" spans="3:5">
      <c r="C2574" s="418"/>
      <c r="E2574" s="418"/>
    </row>
    <row r="2575" spans="3:5">
      <c r="C2575" s="418"/>
      <c r="E2575" s="418"/>
    </row>
    <row r="2576" spans="3:5">
      <c r="C2576" s="418"/>
      <c r="E2576" s="418"/>
    </row>
    <row r="2577" spans="3:5">
      <c r="C2577" s="418"/>
      <c r="E2577" s="418"/>
    </row>
    <row r="2578" spans="3:5">
      <c r="C2578" s="418"/>
      <c r="E2578" s="418"/>
    </row>
    <row r="2579" spans="3:5">
      <c r="C2579" s="418"/>
      <c r="E2579" s="418"/>
    </row>
    <row r="2580" spans="3:5">
      <c r="C2580" s="418"/>
      <c r="E2580" s="418"/>
    </row>
    <row r="2581" spans="3:5">
      <c r="C2581" s="418"/>
      <c r="E2581" s="418"/>
    </row>
    <row r="2582" spans="3:5">
      <c r="C2582" s="418"/>
      <c r="E2582" s="418"/>
    </row>
    <row r="2583" spans="3:5">
      <c r="C2583" s="418"/>
      <c r="E2583" s="418"/>
    </row>
    <row r="2584" spans="3:5">
      <c r="C2584" s="418"/>
      <c r="E2584" s="418"/>
    </row>
    <row r="2585" spans="3:5">
      <c r="C2585" s="418"/>
      <c r="E2585" s="418"/>
    </row>
    <row r="2586" spans="3:5">
      <c r="C2586" s="418"/>
      <c r="E2586" s="418"/>
    </row>
    <row r="2587" spans="3:5">
      <c r="C2587" s="418"/>
      <c r="E2587" s="418"/>
    </row>
    <row r="2588" spans="3:5">
      <c r="C2588" s="418"/>
      <c r="E2588" s="418"/>
    </row>
    <row r="2589" spans="3:5">
      <c r="C2589" s="418"/>
      <c r="E2589" s="418"/>
    </row>
    <row r="2590" spans="3:5">
      <c r="C2590" s="418"/>
      <c r="E2590" s="418"/>
    </row>
    <row r="2591" spans="3:5">
      <c r="C2591" s="418"/>
      <c r="E2591" s="418"/>
    </row>
    <row r="2592" spans="3:5">
      <c r="C2592" s="418"/>
      <c r="E2592" s="418"/>
    </row>
    <row r="2593" spans="3:5">
      <c r="C2593" s="418"/>
      <c r="E2593" s="418"/>
    </row>
    <row r="2594" spans="3:5">
      <c r="C2594" s="418"/>
      <c r="E2594" s="418"/>
    </row>
    <row r="2595" spans="3:5">
      <c r="C2595" s="418"/>
      <c r="E2595" s="418"/>
    </row>
    <row r="2596" spans="3:5">
      <c r="C2596" s="418"/>
      <c r="E2596" s="418"/>
    </row>
    <row r="2597" spans="3:5">
      <c r="C2597" s="418"/>
      <c r="E2597" s="418"/>
    </row>
    <row r="2598" spans="3:5">
      <c r="C2598" s="418"/>
      <c r="E2598" s="418"/>
    </row>
    <row r="2599" spans="3:5">
      <c r="C2599" s="418"/>
      <c r="E2599" s="418"/>
    </row>
    <row r="2600" spans="3:5">
      <c r="C2600" s="418"/>
      <c r="E2600" s="418"/>
    </row>
    <row r="2601" spans="3:5">
      <c r="C2601" s="418"/>
      <c r="E2601" s="418"/>
    </row>
    <row r="2602" spans="3:5">
      <c r="C2602" s="418"/>
      <c r="E2602" s="418"/>
    </row>
    <row r="2603" spans="3:5">
      <c r="C2603" s="418"/>
      <c r="E2603" s="418"/>
    </row>
    <row r="2604" spans="3:5">
      <c r="C2604" s="418"/>
      <c r="E2604" s="418"/>
    </row>
    <row r="2605" spans="3:5">
      <c r="C2605" s="418"/>
      <c r="E2605" s="418"/>
    </row>
    <row r="2606" spans="3:5">
      <c r="C2606" s="418"/>
      <c r="E2606" s="418"/>
    </row>
    <row r="2607" spans="3:5">
      <c r="C2607" s="418"/>
      <c r="E2607" s="418"/>
    </row>
    <row r="2608" spans="3:5">
      <c r="C2608" s="418"/>
      <c r="E2608" s="418"/>
    </row>
    <row r="2609" spans="3:5">
      <c r="C2609" s="418"/>
      <c r="E2609" s="418"/>
    </row>
    <row r="2610" spans="3:5">
      <c r="C2610" s="418"/>
      <c r="E2610" s="418"/>
    </row>
    <row r="2611" spans="3:5">
      <c r="C2611" s="418"/>
      <c r="E2611" s="418"/>
    </row>
    <row r="2612" spans="3:5">
      <c r="C2612" s="418"/>
      <c r="E2612" s="418"/>
    </row>
    <row r="2613" spans="3:5">
      <c r="C2613" s="418"/>
      <c r="E2613" s="418"/>
    </row>
    <row r="2614" spans="3:5">
      <c r="C2614" s="418"/>
      <c r="E2614" s="418"/>
    </row>
    <row r="2615" spans="3:5">
      <c r="C2615" s="418"/>
      <c r="E2615" s="418"/>
    </row>
    <row r="2616" spans="3:5">
      <c r="C2616" s="418"/>
      <c r="E2616" s="418"/>
    </row>
    <row r="2617" spans="3:5">
      <c r="C2617" s="418"/>
      <c r="E2617" s="418"/>
    </row>
  </sheetData>
  <mergeCells count="13">
    <mergeCell ref="L5:M5"/>
    <mergeCell ref="N5:O5"/>
    <mergeCell ref="P5:Q5"/>
    <mergeCell ref="B4:E4"/>
    <mergeCell ref="F4:I4"/>
    <mergeCell ref="J4:M4"/>
    <mergeCell ref="N4:Q4"/>
    <mergeCell ref="J5:K5"/>
    <mergeCell ref="A5:A6"/>
    <mergeCell ref="B5:C5"/>
    <mergeCell ref="D5:E5"/>
    <mergeCell ref="F5:G5"/>
    <mergeCell ref="H5:I5"/>
  </mergeCells>
  <pageMargins left="0.7" right="0.7" top="0.78740157499999996" bottom="0.78740157499999996"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28">
    <tabColor theme="7" tint="0.59999389629810485"/>
  </sheetPr>
  <dimension ref="B1:U61"/>
  <sheetViews>
    <sheetView topLeftCell="A8" workbookViewId="0">
      <selection activeCell="G49" sqref="G49"/>
    </sheetView>
  </sheetViews>
  <sheetFormatPr defaultColWidth="9.28515625" defaultRowHeight="12.75"/>
  <cols>
    <col min="1" max="2" width="2.7109375" style="535" customWidth="1"/>
    <col min="3" max="3" width="43.28515625" style="536" customWidth="1"/>
    <col min="4" max="5" width="14.28515625" style="536" customWidth="1"/>
    <col min="6" max="6" width="21.7109375" style="535" customWidth="1"/>
    <col min="7" max="9" width="12.28515625" style="535" customWidth="1"/>
    <col min="10" max="11" width="12.28515625" style="536" customWidth="1"/>
    <col min="12" max="12" width="2.7109375" style="535" customWidth="1"/>
    <col min="13" max="13" width="3.28515625" style="535" customWidth="1"/>
    <col min="14" max="16384" width="9.28515625" style="535"/>
  </cols>
  <sheetData>
    <row r="1" spans="2:21" hidden="1">
      <c r="H1" s="537"/>
    </row>
    <row r="2" spans="2:21" s="586" customFormat="1" ht="22.5" customHeight="1">
      <c r="E2" s="1022" t="s">
        <v>2</v>
      </c>
      <c r="G2" s="589" t="e">
        <f>IF(LEN(H2)&gt;0,"Next rpt date: ","")</f>
        <v>#VALUE!</v>
      </c>
      <c r="H2" s="43" t="e" cm="1">
        <f t="array" ref="H2">_xll.FDSB(Identifier,"CS_EVENT_DATEJ_N(""ER"",1)")</f>
        <v>#VALUE!</v>
      </c>
      <c r="J2" s="44" t="s">
        <v>5</v>
      </c>
      <c r="K2" s="45" cm="1">
        <f t="array" ref="K2">_xll.FDS("dummy","julian(today)")</f>
        <v>44526</v>
      </c>
      <c r="S2" s="588"/>
      <c r="T2" s="588"/>
      <c r="U2" s="587"/>
    </row>
    <row r="3" spans="2:21" s="582" customFormat="1" ht="24.75" customHeight="1">
      <c r="C3" s="585" t="e">
        <f>"Description - "&amp; _xll.FDSC("-",DESCRIPT_RWIdentifier,"FG_COMPANY_NAME")&amp;" ("&amp;UPPER(DESCRIPT_RWIdentifier)&amp;")"</f>
        <v>#VALUE!</v>
      </c>
      <c r="H3" s="584"/>
      <c r="I3" s="584"/>
      <c r="J3" s="584"/>
      <c r="K3" s="583" t="e" cm="1">
        <f t="array" ref="K3">"Price : "&amp;_xll.FDS(Identifier,"p(now)")&amp;" | Currency : "&amp;_xll.FDS(Identifier,"P_CURRENCY(""ISO"")")&amp;" | Exchange : "&amp;_xll.FDS(Identifier,"P_EXCHANGE('NAME','FS')")&amp;" | FactSet Sector : "&amp;_xll.FDS(Identifier,"FG_FACTSET_SECTOR")&amp;""</f>
        <v>#VALUE!</v>
      </c>
    </row>
    <row r="4" spans="2:21" ht="15" customHeight="1">
      <c r="C4" s="535"/>
      <c r="D4" s="535"/>
      <c r="E4" s="535"/>
      <c r="H4" s="581"/>
    </row>
    <row r="5" spans="2:21" ht="15" customHeight="1">
      <c r="B5" s="580"/>
      <c r="C5" s="579"/>
      <c r="D5" s="579"/>
      <c r="E5" s="579"/>
      <c r="F5" s="577"/>
      <c r="G5" s="577"/>
      <c r="H5" s="578"/>
      <c r="I5" s="577"/>
      <c r="J5" s="576"/>
      <c r="K5" s="576"/>
      <c r="L5" s="575"/>
    </row>
    <row r="6" spans="2:21" s="567" customFormat="1" ht="15" customHeight="1">
      <c r="B6" s="550"/>
      <c r="C6" s="574" t="str" cm="1">
        <f t="array" ref="C6">_xll.FDS(E2,"FG_COMPANY_NAME")</f>
        <v>Delta Air Lines, Inc.</v>
      </c>
      <c r="D6" s="573"/>
      <c r="E6" s="573"/>
      <c r="F6" s="560"/>
      <c r="G6" s="560"/>
      <c r="H6" s="560"/>
      <c r="I6" s="560"/>
      <c r="J6" s="559"/>
      <c r="K6" s="559"/>
      <c r="L6" s="561"/>
    </row>
    <row r="7" spans="2:21" s="567" customFormat="1" ht="15" customHeight="1">
      <c r="B7" s="550"/>
      <c r="C7" s="559"/>
      <c r="D7" s="559"/>
      <c r="E7" s="559"/>
      <c r="F7" s="552"/>
      <c r="G7" s="552"/>
      <c r="H7" s="572"/>
      <c r="I7" s="560"/>
      <c r="J7" s="559"/>
      <c r="K7" s="571"/>
      <c r="L7" s="561"/>
    </row>
    <row r="8" spans="2:21" s="567" customFormat="1" ht="15" customHeight="1">
      <c r="B8" s="550"/>
      <c r="C8" s="552" t="s">
        <v>176</v>
      </c>
      <c r="D8" s="570"/>
      <c r="E8" s="552"/>
      <c r="F8" s="552" t="s">
        <v>31</v>
      </c>
      <c r="G8" s="566" t="str" cm="1">
        <f t="array" ref="G8">_xll.FDSB(E2," FG_ADDRESS_L1+"", ""+FG_ADDRESS_L2")</f>
        <v>Hartsfield-Jackson Atlanta, Atlanta, Georgia 30354 US</v>
      </c>
      <c r="H8" s="569"/>
      <c r="I8" s="568"/>
      <c r="J8" s="559"/>
      <c r="K8" s="558"/>
      <c r="L8" s="561"/>
    </row>
    <row r="9" spans="2:21" ht="15" customHeight="1">
      <c r="B9" s="550"/>
      <c r="C9" s="562"/>
      <c r="D9" s="562"/>
      <c r="E9" s="562"/>
      <c r="F9" s="552" t="s">
        <v>923</v>
      </c>
      <c r="G9" s="564" t="s">
        <v>924</v>
      </c>
      <c r="H9" s="556"/>
      <c r="I9" s="559"/>
      <c r="J9" s="559"/>
      <c r="K9" s="558"/>
      <c r="L9" s="561"/>
    </row>
    <row r="10" spans="2:21" ht="15" customHeight="1">
      <c r="B10" s="550"/>
      <c r="C10" s="566" t="str">
        <f t="array" ref="C10:C36">_xll.FDSB(E2,"FG_BUS_DESC_BRIEF()[0:26]")</f>
        <v>Delta Air Lines, Inc. engages in the provision of scheduled air</v>
      </c>
      <c r="D10" s="565"/>
      <c r="E10" s="565"/>
      <c r="F10" s="552" t="s">
        <v>925</v>
      </c>
      <c r="G10" s="564" t="s">
        <v>926</v>
      </c>
      <c r="H10" s="556"/>
      <c r="I10" s="559"/>
      <c r="J10" s="559"/>
      <c r="K10" s="558"/>
      <c r="L10" s="561"/>
    </row>
    <row r="11" spans="2:21" ht="15" customHeight="1">
      <c r="B11" s="550"/>
      <c r="C11" s="548" t="str">
        <v>transportation for passengers and cargo. It operates through the Airline</v>
      </c>
      <c r="D11" s="549"/>
      <c r="E11" s="549"/>
      <c r="F11" s="552" t="s">
        <v>927</v>
      </c>
      <c r="G11" s="564" t="s">
        <v>928</v>
      </c>
      <c r="H11" s="556"/>
      <c r="I11" s="559"/>
      <c r="J11" s="559"/>
      <c r="K11" s="558"/>
      <c r="L11" s="561"/>
    </row>
    <row r="12" spans="2:21" ht="15" customHeight="1">
      <c r="B12" s="550"/>
      <c r="C12" s="548" t="str">
        <v>and Refinery segments. The Airline segment provides scheduled air</v>
      </c>
      <c r="D12" s="549"/>
      <c r="E12" s="549"/>
      <c r="F12" s="552" t="s">
        <v>929</v>
      </c>
      <c r="G12" s="563" cm="1">
        <f t="array" ref="G12">_xll.FDSB(E2,"FG_EMPLOYEES")</f>
        <v>74000</v>
      </c>
      <c r="H12" s="556"/>
      <c r="I12" s="559"/>
      <c r="J12" s="559"/>
      <c r="K12" s="558"/>
      <c r="L12" s="561"/>
    </row>
    <row r="13" spans="2:21" ht="15" customHeight="1">
      <c r="B13" s="550"/>
      <c r="C13" s="548" t="str">
        <v>transportation for passengers and cargo. The Refinery segment consists of</v>
      </c>
      <c r="D13" s="549"/>
      <c r="E13" s="549"/>
      <c r="F13" s="556"/>
      <c r="G13" s="556"/>
      <c r="H13" s="556"/>
      <c r="I13" s="556"/>
      <c r="J13" s="562"/>
      <c r="K13" s="562"/>
      <c r="L13" s="561"/>
    </row>
    <row r="14" spans="2:21" ht="15" customHeight="1">
      <c r="B14" s="550"/>
      <c r="C14" s="548" t="str">
        <v>jet fuel and non-jet fuel products. The company was founded by Collett</v>
      </c>
      <c r="D14" s="549"/>
      <c r="E14" s="549"/>
      <c r="F14" s="556"/>
      <c r="G14" s="556"/>
      <c r="H14" s="556"/>
      <c r="I14" s="556"/>
      <c r="J14" s="562"/>
      <c r="K14" s="562"/>
      <c r="L14" s="561"/>
    </row>
    <row r="15" spans="2:21" s="544" customFormat="1" ht="15" customHeight="1">
      <c r="B15" s="557"/>
      <c r="C15" s="548" t="str">
        <v>Everman Woolman in 1928 and is headquartered in Atlanta, GA.</v>
      </c>
      <c r="D15" s="549"/>
      <c r="E15" s="549"/>
      <c r="F15" s="552" t="s">
        <v>930</v>
      </c>
      <c r="G15" s="552"/>
      <c r="H15" s="560"/>
      <c r="I15" s="559"/>
      <c r="J15" s="559"/>
      <c r="K15" s="558"/>
      <c r="L15" s="545"/>
      <c r="O15" s="537"/>
    </row>
    <row r="16" spans="2:21" s="544" customFormat="1" ht="15" customHeight="1">
      <c r="B16" s="557"/>
      <c r="C16" s="548" t="str">
        <v/>
      </c>
      <c r="D16" s="549"/>
      <c r="E16" s="549"/>
      <c r="F16" s="548" t="str" cm="1">
        <f t="array" ref="F16">_xll.FDS(E2,"FG_GEO_FY(0FY)")</f>
        <v>12/2020</v>
      </c>
      <c r="G16" s="553"/>
      <c r="H16" s="552"/>
      <c r="I16" s="552" t="s">
        <v>931</v>
      </c>
      <c r="J16" s="552" t="s">
        <v>932</v>
      </c>
      <c r="K16" s="552" t="s">
        <v>931</v>
      </c>
      <c r="L16" s="545"/>
      <c r="O16" s="537"/>
    </row>
    <row r="17" spans="2:15" s="544" customFormat="1" ht="15" customHeight="1">
      <c r="B17" s="557"/>
      <c r="C17" s="548" t="str">
        <v/>
      </c>
      <c r="D17" s="549"/>
      <c r="E17" s="549"/>
      <c r="F17" s="554"/>
      <c r="G17" s="552"/>
      <c r="H17" s="551" t="s">
        <v>933</v>
      </c>
      <c r="I17" s="551" t="s">
        <v>934</v>
      </c>
      <c r="J17" s="551" t="s">
        <v>933</v>
      </c>
      <c r="K17" s="551" t="s">
        <v>934</v>
      </c>
      <c r="L17" s="545"/>
      <c r="O17" s="537"/>
    </row>
    <row r="18" spans="2:15" ht="15" customHeight="1">
      <c r="B18" s="550"/>
      <c r="C18" s="548" t="str">
        <v/>
      </c>
      <c r="D18" s="549"/>
      <c r="E18" s="549"/>
      <c r="F18" s="548" t="str">
        <f t="array" ref="F18:F22">_xll.FDSB($E$2,"FG_GEO_NAMES(0FY)[0:4]")</f>
        <v>United States</v>
      </c>
      <c r="G18" s="553"/>
      <c r="H18" s="547">
        <f t="array" ref="H18:H22">_xll.FDSB($E$2,"FG_GEO_REVS(0FY)[0:4]")</f>
        <v>13339</v>
      </c>
      <c r="I18" s="546">
        <f t="array" ref="I18:I22">_xll.FDSB($E$2,"FG_GEO_REVS_PCT(0FY)[0:4]/100")</f>
        <v>0.78028660000000005</v>
      </c>
      <c r="J18" s="546" t="str">
        <f t="array" ref="J18:J22">_xll.FDSB($E$2,"FG_GEO_OPER(0FY)[0:4]/100")</f>
        <v/>
      </c>
      <c r="K18" s="546" t="str">
        <f t="array" ref="K18:K22">_xll.FDSB($E$2,"FG_GEO_OPER_PCT(0FY)[0:4]/100")</f>
        <v/>
      </c>
      <c r="L18" s="545"/>
      <c r="O18" s="537"/>
    </row>
    <row r="19" spans="2:15" ht="15" customHeight="1">
      <c r="B19" s="550"/>
      <c r="C19" s="548" t="str">
        <v/>
      </c>
      <c r="D19" s="549"/>
      <c r="E19" s="549"/>
      <c r="F19" s="548" t="str">
        <v>Atlantic</v>
      </c>
      <c r="G19" s="553"/>
      <c r="H19" s="547">
        <v>1649</v>
      </c>
      <c r="I19" s="546">
        <v>9.6460950000000004E-2</v>
      </c>
      <c r="J19" s="547" t="str">
        <v/>
      </c>
      <c r="K19" s="546" t="str">
        <v/>
      </c>
      <c r="L19" s="545"/>
      <c r="O19" s="537"/>
    </row>
    <row r="20" spans="2:15" ht="15" customHeight="1">
      <c r="B20" s="550"/>
      <c r="C20" s="548" t="str">
        <v/>
      </c>
      <c r="D20" s="549"/>
      <c r="E20" s="549"/>
      <c r="F20" s="548" t="str">
        <v>Latin America</v>
      </c>
      <c r="G20" s="553"/>
      <c r="H20" s="547">
        <v>1321</v>
      </c>
      <c r="I20" s="546">
        <v>7.7274053999999995E-2</v>
      </c>
      <c r="J20" s="547" t="str">
        <v/>
      </c>
      <c r="K20" s="546" t="str">
        <v/>
      </c>
      <c r="L20" s="545"/>
      <c r="O20" s="537"/>
    </row>
    <row r="21" spans="2:15" ht="15" customHeight="1">
      <c r="B21" s="550"/>
      <c r="C21" s="548" t="str">
        <v/>
      </c>
      <c r="D21" s="549"/>
      <c r="E21" s="549"/>
      <c r="F21" s="548" t="str">
        <v>Pacific</v>
      </c>
      <c r="G21" s="553"/>
      <c r="H21" s="547">
        <v>786</v>
      </c>
      <c r="I21" s="546">
        <v>4.5978355999999998E-2</v>
      </c>
      <c r="J21" s="547" t="str">
        <v/>
      </c>
      <c r="K21" s="546" t="str">
        <v/>
      </c>
      <c r="L21" s="545"/>
      <c r="O21" s="537"/>
    </row>
    <row r="22" spans="2:15" ht="15" customHeight="1">
      <c r="B22" s="550"/>
      <c r="C22" s="548" t="str">
        <v/>
      </c>
      <c r="D22" s="549"/>
      <c r="E22" s="549"/>
      <c r="F22" s="548" t="str">
        <v/>
      </c>
      <c r="G22" s="553"/>
      <c r="H22" s="547" t="str">
        <v/>
      </c>
      <c r="I22" s="546" t="str">
        <v/>
      </c>
      <c r="J22" s="547" t="str">
        <v/>
      </c>
      <c r="K22" s="546" t="str">
        <v/>
      </c>
      <c r="L22" s="545"/>
      <c r="O22" s="537"/>
    </row>
    <row r="23" spans="2:15" ht="15" customHeight="1">
      <c r="B23" s="550"/>
      <c r="C23" s="548" t="str">
        <v/>
      </c>
      <c r="D23" s="549"/>
      <c r="E23" s="549"/>
      <c r="F23" s="555"/>
      <c r="G23" s="556"/>
      <c r="H23" s="555"/>
      <c r="I23" s="555"/>
      <c r="J23" s="555"/>
      <c r="K23" s="555"/>
      <c r="L23" s="545"/>
      <c r="O23" s="537"/>
    </row>
    <row r="24" spans="2:15" ht="15" customHeight="1">
      <c r="B24" s="550"/>
      <c r="C24" s="548" t="str">
        <v/>
      </c>
      <c r="D24" s="549"/>
      <c r="E24" s="549"/>
      <c r="F24" s="552" t="s">
        <v>935</v>
      </c>
      <c r="G24" s="552"/>
      <c r="H24" s="554"/>
      <c r="I24" s="554"/>
      <c r="J24" s="554"/>
      <c r="K24" s="549"/>
      <c r="L24" s="545"/>
      <c r="O24" s="537"/>
    </row>
    <row r="25" spans="2:15" ht="15" customHeight="1">
      <c r="B25" s="550"/>
      <c r="C25" s="548" t="str">
        <v/>
      </c>
      <c r="D25" s="549"/>
      <c r="E25" s="549"/>
      <c r="F25" s="548" t="str" cm="1">
        <f t="array" ref="F25">_xll.FDSB(E2,"FG_PROD_FY(0FY)")</f>
        <v>12/2020</v>
      </c>
      <c r="G25" s="553"/>
      <c r="H25" s="552"/>
      <c r="I25" s="552" t="s">
        <v>931</v>
      </c>
      <c r="J25" s="552" t="s">
        <v>932</v>
      </c>
      <c r="K25" s="552" t="s">
        <v>931</v>
      </c>
      <c r="L25" s="545"/>
      <c r="O25" s="537"/>
    </row>
    <row r="26" spans="2:15" ht="15" customHeight="1">
      <c r="B26" s="550"/>
      <c r="C26" s="548" t="str">
        <v/>
      </c>
      <c r="D26" s="549"/>
      <c r="E26" s="549"/>
      <c r="F26" s="552"/>
      <c r="G26" s="552"/>
      <c r="H26" s="551" t="s">
        <v>933</v>
      </c>
      <c r="I26" s="551" t="s">
        <v>934</v>
      </c>
      <c r="J26" s="551" t="s">
        <v>933</v>
      </c>
      <c r="K26" s="551" t="s">
        <v>934</v>
      </c>
      <c r="L26" s="545"/>
      <c r="O26" s="537"/>
    </row>
    <row r="27" spans="2:15" ht="15" customHeight="1">
      <c r="B27" s="550"/>
      <c r="C27" s="548" t="str">
        <v/>
      </c>
      <c r="D27" s="549"/>
      <c r="E27" s="549"/>
      <c r="F27" s="548" t="str" cm="1">
        <f t="array" ref="F27:F28">_xll.FDSB($E$2,"FG_PROD_NAMES(0FY)")</f>
        <v>Airline</v>
      </c>
      <c r="G27" s="548"/>
      <c r="H27" s="547" cm="1">
        <f t="array" ref="H27:H28">_xll.FDSB($E$2,"FG_PROD_REVS(0FY)")</f>
        <v>15945</v>
      </c>
      <c r="I27" s="546" cm="1">
        <f t="array" ref="I27:I28">_xll.FDSB($E$2,"FG_PROD_REVS_PCT(0FY)/100")</f>
        <v>0.83534160000000002</v>
      </c>
      <c r="J27" s="547" cm="1">
        <f t="array" ref="J27:J28">_xll.FDSB($E$2,"FG_PROD_OPER(0FY)")</f>
        <v>-12253</v>
      </c>
      <c r="K27" s="546" cm="1">
        <f t="array" ref="K27:K28">_xll.FDSB($E$2,"FG_PROD_OPER_PCT(0FY)/100")</f>
        <v>0.98267709999999997</v>
      </c>
      <c r="L27" s="545"/>
      <c r="O27" s="537"/>
    </row>
    <row r="28" spans="2:15" ht="15" customHeight="1">
      <c r="B28" s="550"/>
      <c r="C28" s="548" t="str">
        <v/>
      </c>
      <c r="D28" s="549"/>
      <c r="E28" s="549"/>
      <c r="F28" s="548" t="str">
        <v>Refinery</v>
      </c>
      <c r="G28" s="548"/>
      <c r="H28" s="547">
        <v>3143</v>
      </c>
      <c r="I28" s="546">
        <v>0.16465842999999999</v>
      </c>
      <c r="J28" s="547">
        <v>-216</v>
      </c>
      <c r="K28" s="546">
        <v>1.7322961000000001E-2</v>
      </c>
      <c r="L28" s="545"/>
      <c r="O28" s="537"/>
    </row>
    <row r="29" spans="2:15" ht="15" customHeight="1">
      <c r="B29" s="550"/>
      <c r="C29" s="548" t="str">
        <v/>
      </c>
      <c r="D29" s="549"/>
      <c r="E29" s="549"/>
      <c r="F29" s="548"/>
      <c r="G29" s="548"/>
      <c r="H29" s="547"/>
      <c r="I29" s="546"/>
      <c r="J29" s="547"/>
      <c r="K29" s="546"/>
      <c r="L29" s="545"/>
      <c r="O29" s="537"/>
    </row>
    <row r="30" spans="2:15" ht="15" customHeight="1">
      <c r="B30" s="550"/>
      <c r="C30" s="548" t="str">
        <v/>
      </c>
      <c r="D30" s="549"/>
      <c r="E30" s="549"/>
      <c r="F30" s="548"/>
      <c r="G30" s="548"/>
      <c r="H30" s="547"/>
      <c r="I30" s="546"/>
      <c r="J30" s="547"/>
      <c r="K30" s="591"/>
      <c r="L30" s="545"/>
      <c r="O30" s="537"/>
    </row>
    <row r="31" spans="2:15" s="544" customFormat="1" ht="15" customHeight="1">
      <c r="B31" s="550"/>
      <c r="C31" s="548" t="str">
        <v/>
      </c>
      <c r="D31" s="549"/>
      <c r="E31" s="549"/>
      <c r="F31" s="548"/>
      <c r="G31" s="548"/>
      <c r="H31" s="547"/>
      <c r="I31" s="546"/>
      <c r="J31" s="547"/>
      <c r="K31" s="546"/>
      <c r="L31" s="545"/>
      <c r="O31" s="537"/>
    </row>
    <row r="32" spans="2:15" s="544" customFormat="1" ht="15" customHeight="1">
      <c r="B32" s="550"/>
      <c r="C32" s="548" t="str">
        <v/>
      </c>
      <c r="D32" s="549"/>
      <c r="E32" s="549"/>
      <c r="F32" s="548"/>
      <c r="G32" s="548"/>
      <c r="H32" s="547"/>
      <c r="I32" s="546"/>
      <c r="J32" s="547"/>
      <c r="K32" s="546"/>
      <c r="L32" s="545"/>
      <c r="M32" s="538"/>
      <c r="N32" s="537"/>
      <c r="O32" s="537"/>
    </row>
    <row r="33" spans="2:15" s="544" customFormat="1" ht="15" customHeight="1">
      <c r="B33" s="550"/>
      <c r="C33" s="548" t="str">
        <v/>
      </c>
      <c r="D33" s="549"/>
      <c r="E33" s="549"/>
      <c r="F33" s="548"/>
      <c r="G33" s="548"/>
      <c r="H33" s="547"/>
      <c r="I33" s="546"/>
      <c r="J33" s="547"/>
      <c r="K33" s="546"/>
      <c r="L33" s="545"/>
      <c r="M33" s="538"/>
      <c r="N33" s="537"/>
      <c r="O33" s="537"/>
    </row>
    <row r="34" spans="2:15" s="544" customFormat="1">
      <c r="B34" s="550"/>
      <c r="C34" s="548" t="str">
        <v/>
      </c>
      <c r="D34" s="549"/>
      <c r="E34" s="549"/>
      <c r="F34" s="592" t="s">
        <v>930</v>
      </c>
      <c r="G34" s="593" t="s">
        <v>933</v>
      </c>
      <c r="H34" s="593" t="s">
        <v>936</v>
      </c>
      <c r="I34" s="593" t="s">
        <v>937</v>
      </c>
      <c r="J34" s="593" t="s">
        <v>938</v>
      </c>
      <c r="K34" s="546"/>
      <c r="L34" s="545"/>
      <c r="M34" s="537"/>
      <c r="N34" s="537"/>
      <c r="O34" s="537"/>
    </row>
    <row r="35" spans="2:15" s="544" customFormat="1">
      <c r="B35" s="550"/>
      <c r="C35" s="548" t="str">
        <v/>
      </c>
      <c r="D35" s="549"/>
      <c r="E35" s="549"/>
      <c r="F35" s="590" t="str">
        <f>F18</f>
        <v>United States</v>
      </c>
      <c r="G35" s="594">
        <f>H18</f>
        <v>13339</v>
      </c>
      <c r="H35" s="595">
        <f>G35/SUM($G$35:$G$39)</f>
        <v>0.78028663351857264</v>
      </c>
      <c r="I35" s="596">
        <f>VLOOKUP(F35,'ERP and Spreads'!$F$2:$J$178,5,FALSE)</f>
        <v>4.7199999999999999E-2</v>
      </c>
      <c r="J35" s="596">
        <f>VLOOKUP(F35,'ERP and Spreads'!$F$2:$J$178,4,FALSE)</f>
        <v>0</v>
      </c>
      <c r="K35" s="546"/>
      <c r="L35" s="545"/>
      <c r="M35" s="537"/>
      <c r="N35" s="537"/>
      <c r="O35" s="537"/>
    </row>
    <row r="36" spans="2:15" s="544" customFormat="1">
      <c r="B36" s="550"/>
      <c r="C36" s="548" t="str">
        <v/>
      </c>
      <c r="D36" s="549"/>
      <c r="E36" s="549"/>
      <c r="F36" s="590" t="str">
        <f>F19</f>
        <v>Atlantic</v>
      </c>
      <c r="G36" s="594">
        <f>H19</f>
        <v>1649</v>
      </c>
      <c r="H36" s="595">
        <f>G36/SUM($G$35:$G$39)</f>
        <v>9.6460953495174029E-2</v>
      </c>
      <c r="I36" s="597">
        <f>'ERP and Spreads'!O24</f>
        <v>8.7100431721070987E-2</v>
      </c>
      <c r="J36" s="597">
        <f>'ERP and Spreads'!P24</f>
        <v>3.9900431721070995E-2</v>
      </c>
      <c r="K36" s="546"/>
      <c r="L36" s="545"/>
      <c r="M36" s="537"/>
      <c r="N36" s="537"/>
      <c r="O36" s="537"/>
    </row>
    <row r="37" spans="2:15" s="544" customFormat="1">
      <c r="B37" s="550"/>
      <c r="C37" s="548"/>
      <c r="D37" s="549"/>
      <c r="E37" s="549"/>
      <c r="F37" s="590" t="str">
        <f>F20</f>
        <v>Latin America</v>
      </c>
      <c r="G37" s="594">
        <f>H20</f>
        <v>1321</v>
      </c>
      <c r="H37" s="595">
        <f>G37/SUM($G$35:$G$39)</f>
        <v>7.7274056741737346E-2</v>
      </c>
      <c r="I37" s="597">
        <f>'ERP and Spreads'!S21</f>
        <v>5.5597475094507666E-2</v>
      </c>
      <c r="J37" s="597">
        <f>'ERP and Spreads'!T21</f>
        <v>8.3974750945076757E-3</v>
      </c>
      <c r="K37" s="546"/>
      <c r="L37" s="545"/>
      <c r="M37" s="537"/>
      <c r="N37" s="537"/>
      <c r="O37" s="537"/>
    </row>
    <row r="38" spans="2:15">
      <c r="B38" s="550"/>
      <c r="C38" s="548"/>
      <c r="D38" s="549"/>
      <c r="E38" s="549"/>
      <c r="F38" s="590" t="s">
        <v>939</v>
      </c>
      <c r="G38" s="594">
        <f>H21</f>
        <v>786</v>
      </c>
      <c r="H38" s="595">
        <f>G38/SUM($G$35:$G$39)</f>
        <v>4.597835624451594E-2</v>
      </c>
      <c r="I38" s="596">
        <f>VLOOKUP(F38,'ERP and Spreads'!$F$2:$J$178,5,FALSE)</f>
        <v>5.4015076792294683E-2</v>
      </c>
      <c r="J38" s="596">
        <f>VLOOKUP(F38,'ERP and Spreads'!$F$2:$J$178,4,FALSE)</f>
        <v>6.8150767922946836E-3</v>
      </c>
      <c r="K38" s="546"/>
      <c r="L38" s="545"/>
      <c r="M38" s="537"/>
      <c r="N38" s="537"/>
      <c r="O38" s="537"/>
    </row>
    <row r="39" spans="2:15">
      <c r="B39" s="550"/>
      <c r="C39" s="548"/>
      <c r="D39" s="549"/>
      <c r="E39" s="549"/>
      <c r="F39" s="590" t="str">
        <f>F22</f>
        <v/>
      </c>
      <c r="G39" s="594" t="str">
        <f>H22</f>
        <v/>
      </c>
      <c r="H39" s="595">
        <v>0</v>
      </c>
      <c r="I39" s="596">
        <v>0</v>
      </c>
      <c r="J39" s="596">
        <v>0</v>
      </c>
      <c r="K39" s="546"/>
      <c r="L39" s="545"/>
      <c r="M39" s="537"/>
      <c r="N39" s="537"/>
      <c r="O39" s="537"/>
    </row>
    <row r="40" spans="2:15">
      <c r="B40" s="550"/>
      <c r="C40" s="548"/>
      <c r="D40" s="549"/>
      <c r="E40" s="549"/>
      <c r="F40" s="590" t="s">
        <v>940</v>
      </c>
      <c r="G40" s="548"/>
      <c r="H40" s="547"/>
      <c r="I40" s="598">
        <f>SUMPRODUCT(H35:H39,I35:I39)</f>
        <v>5.2011086684213753E-2</v>
      </c>
      <c r="J40" s="598">
        <f>SUMPRODUCT(H35:H39,J35:J39)</f>
        <v>4.8110866842137655E-3</v>
      </c>
      <c r="K40" s="546"/>
      <c r="L40" s="545"/>
      <c r="M40" s="537"/>
      <c r="N40" s="537"/>
      <c r="O40" s="537"/>
    </row>
    <row r="41" spans="2:15">
      <c r="B41" s="550"/>
      <c r="C41" s="548"/>
      <c r="D41" s="549"/>
      <c r="E41" s="549"/>
      <c r="F41" s="548"/>
      <c r="G41" s="548"/>
      <c r="H41" s="547"/>
      <c r="I41" s="546"/>
      <c r="J41" s="547"/>
      <c r="K41" s="546"/>
      <c r="L41" s="545"/>
    </row>
    <row r="42" spans="2:15">
      <c r="B42" s="550"/>
      <c r="C42" s="548"/>
      <c r="D42" s="549"/>
      <c r="E42" s="549"/>
      <c r="F42" s="592" t="s">
        <v>930</v>
      </c>
      <c r="G42" s="593" t="s">
        <v>941</v>
      </c>
      <c r="H42" s="593" t="s">
        <v>936</v>
      </c>
      <c r="I42" s="593" t="s">
        <v>937</v>
      </c>
      <c r="J42" s="593" t="s">
        <v>938</v>
      </c>
      <c r="K42" s="546"/>
      <c r="L42" s="545"/>
    </row>
    <row r="43" spans="2:15">
      <c r="B43" s="550"/>
      <c r="C43" s="548"/>
      <c r="D43" s="549"/>
      <c r="E43" s="549"/>
      <c r="F43" s="590" t="str">
        <f>F19</f>
        <v>Atlantic</v>
      </c>
      <c r="G43" s="594" t="str">
        <f>J19</f>
        <v/>
      </c>
      <c r="H43" s="595">
        <v>0</v>
      </c>
      <c r="I43" s="596">
        <f>I35</f>
        <v>4.7199999999999999E-2</v>
      </c>
      <c r="J43" s="596">
        <f>J35</f>
        <v>0</v>
      </c>
      <c r="K43" s="546"/>
      <c r="L43" s="545"/>
    </row>
    <row r="44" spans="2:15">
      <c r="B44" s="550"/>
      <c r="C44" s="548"/>
      <c r="D44" s="549"/>
      <c r="E44" s="549"/>
      <c r="F44" s="590" t="str">
        <f>F20</f>
        <v>Latin America</v>
      </c>
      <c r="G44" s="594" t="str">
        <f>J20</f>
        <v/>
      </c>
      <c r="H44" s="595">
        <v>0</v>
      </c>
      <c r="I44" s="596">
        <f t="shared" ref="I44:J46" si="0">I37</f>
        <v>5.5597475094507666E-2</v>
      </c>
      <c r="J44" s="596">
        <f t="shared" si="0"/>
        <v>8.3974750945076757E-3</v>
      </c>
      <c r="K44" s="546"/>
      <c r="L44" s="545"/>
    </row>
    <row r="45" spans="2:15">
      <c r="B45" s="550"/>
      <c r="C45" s="548"/>
      <c r="D45" s="549"/>
      <c r="E45" s="549"/>
      <c r="F45" s="590" t="str">
        <f>F21</f>
        <v>Pacific</v>
      </c>
      <c r="G45" s="594" t="str">
        <f>J21</f>
        <v/>
      </c>
      <c r="H45" s="595">
        <v>0</v>
      </c>
      <c r="I45" s="596">
        <f t="shared" si="0"/>
        <v>5.4015076792294683E-2</v>
      </c>
      <c r="J45" s="596">
        <f t="shared" si="0"/>
        <v>6.8150767922946836E-3</v>
      </c>
      <c r="K45" s="546"/>
      <c r="L45" s="545"/>
    </row>
    <row r="46" spans="2:15">
      <c r="B46" s="550"/>
      <c r="C46" s="548"/>
      <c r="D46" s="549"/>
      <c r="E46" s="549"/>
      <c r="F46" s="590" t="str">
        <f>F22</f>
        <v/>
      </c>
      <c r="G46" s="594" t="str">
        <f>J22</f>
        <v/>
      </c>
      <c r="H46" s="595">
        <v>0</v>
      </c>
      <c r="I46" s="596">
        <f t="shared" si="0"/>
        <v>0</v>
      </c>
      <c r="J46" s="596">
        <f t="shared" si="0"/>
        <v>0</v>
      </c>
      <c r="K46" s="546"/>
      <c r="L46" s="545"/>
    </row>
    <row r="47" spans="2:15">
      <c r="B47" s="550"/>
      <c r="C47" s="548"/>
      <c r="D47" s="549"/>
      <c r="E47" s="549"/>
      <c r="F47" s="590" t="s">
        <v>940</v>
      </c>
      <c r="G47" s="548"/>
      <c r="H47" s="547"/>
      <c r="I47" s="598">
        <f>SUMPRODUCT(H43:H46,I43:I46)</f>
        <v>0</v>
      </c>
      <c r="J47" s="598">
        <f>SUMPRODUCT(H43:H46,J43:J46)</f>
        <v>0</v>
      </c>
      <c r="K47" s="546"/>
      <c r="L47" s="545"/>
    </row>
    <row r="48" spans="2:15">
      <c r="B48" s="550"/>
      <c r="C48" s="548"/>
      <c r="D48" s="549"/>
      <c r="E48" s="549"/>
      <c r="F48" s="548"/>
      <c r="G48" s="548"/>
      <c r="H48" s="547"/>
      <c r="I48" s="546"/>
      <c r="J48" s="547"/>
      <c r="K48" s="546"/>
      <c r="L48" s="545"/>
    </row>
    <row r="49" spans="2:12" ht="4.5" customHeight="1">
      <c r="B49" s="550"/>
      <c r="C49" s="548"/>
      <c r="D49" s="549"/>
      <c r="E49" s="549"/>
      <c r="F49" s="548"/>
      <c r="G49" s="1286" t="s">
        <v>26</v>
      </c>
      <c r="H49" s="547"/>
      <c r="I49" s="546"/>
      <c r="J49" s="547"/>
      <c r="K49" s="546"/>
      <c r="L49" s="545"/>
    </row>
    <row r="50" spans="2:12">
      <c r="B50" s="550"/>
      <c r="C50" s="548"/>
      <c r="D50" s="549"/>
      <c r="E50" s="549"/>
      <c r="F50" s="548"/>
      <c r="G50" s="548"/>
      <c r="H50" s="547"/>
      <c r="I50" s="546"/>
      <c r="J50" s="547"/>
      <c r="K50" s="546"/>
      <c r="L50" s="545"/>
    </row>
    <row r="51" spans="2:12">
      <c r="B51" s="550"/>
      <c r="C51" s="548"/>
      <c r="D51" s="549"/>
      <c r="E51" s="549"/>
      <c r="F51" s="548"/>
      <c r="G51" s="548"/>
      <c r="H51" s="547"/>
      <c r="I51" s="546"/>
      <c r="J51" s="547"/>
      <c r="K51" s="546"/>
      <c r="L51" s="545"/>
    </row>
    <row r="52" spans="2:12">
      <c r="B52" s="550"/>
      <c r="C52" s="548"/>
      <c r="D52" s="549"/>
      <c r="E52" s="549"/>
      <c r="F52" s="548"/>
      <c r="G52" s="548"/>
      <c r="H52" s="547"/>
      <c r="I52" s="546"/>
      <c r="J52" s="547"/>
      <c r="K52" s="546"/>
      <c r="L52" s="545"/>
    </row>
    <row r="53" spans="2:12">
      <c r="B53" s="550"/>
      <c r="C53" s="548"/>
      <c r="D53" s="549"/>
      <c r="E53" s="549"/>
      <c r="F53" s="548"/>
      <c r="G53" s="548"/>
      <c r="H53" s="547"/>
      <c r="I53" s="546"/>
      <c r="J53" s="547"/>
      <c r="K53" s="546"/>
      <c r="L53" s="545"/>
    </row>
    <row r="54" spans="2:12">
      <c r="B54" s="550"/>
      <c r="C54" s="548"/>
      <c r="D54" s="549"/>
      <c r="E54" s="549"/>
      <c r="F54" s="548"/>
      <c r="G54" s="548"/>
      <c r="H54" s="547"/>
      <c r="I54" s="546"/>
      <c r="J54" s="547"/>
      <c r="K54" s="546"/>
      <c r="L54" s="545"/>
    </row>
    <row r="55" spans="2:12">
      <c r="B55" s="550"/>
      <c r="C55" s="548"/>
      <c r="D55" s="549"/>
      <c r="E55" s="549"/>
      <c r="F55" s="548"/>
      <c r="G55" s="548"/>
      <c r="H55" s="547"/>
      <c r="I55" s="546"/>
      <c r="J55" s="547"/>
      <c r="K55" s="546"/>
      <c r="L55" s="545"/>
    </row>
    <row r="56" spans="2:12">
      <c r="B56" s="550"/>
      <c r="C56" s="548"/>
      <c r="D56" s="549"/>
      <c r="E56" s="549"/>
      <c r="F56" s="548"/>
      <c r="G56" s="548"/>
      <c r="H56" s="547"/>
      <c r="I56" s="546"/>
      <c r="J56" s="547"/>
      <c r="K56" s="546"/>
      <c r="L56" s="545"/>
    </row>
    <row r="57" spans="2:12">
      <c r="B57" s="550"/>
      <c r="C57" s="548"/>
      <c r="D57" s="549"/>
      <c r="E57" s="549"/>
      <c r="F57" s="548"/>
      <c r="G57" s="548"/>
      <c r="H57" s="547"/>
      <c r="I57" s="546"/>
      <c r="J57" s="547"/>
      <c r="K57" s="546"/>
      <c r="L57" s="545"/>
    </row>
    <row r="58" spans="2:12">
      <c r="B58" s="550"/>
      <c r="C58" s="548"/>
      <c r="D58" s="549"/>
      <c r="E58" s="549"/>
      <c r="F58" s="548"/>
      <c r="G58" s="548"/>
      <c r="H58" s="547"/>
      <c r="I58" s="546"/>
      <c r="J58" s="547"/>
      <c r="K58" s="546"/>
      <c r="L58" s="545"/>
    </row>
    <row r="59" spans="2:12">
      <c r="B59" s="550"/>
      <c r="C59" s="548"/>
      <c r="D59" s="549"/>
      <c r="E59" s="549"/>
      <c r="F59" s="548"/>
      <c r="G59" s="548"/>
      <c r="H59" s="547"/>
      <c r="I59" s="546"/>
      <c r="J59" s="547"/>
      <c r="K59" s="546"/>
      <c r="L59" s="545"/>
    </row>
    <row r="60" spans="2:12">
      <c r="B60" s="550"/>
      <c r="C60" s="548"/>
      <c r="D60" s="549"/>
      <c r="E60" s="549"/>
      <c r="F60" s="548"/>
      <c r="G60" s="548"/>
      <c r="H60" s="547"/>
      <c r="I60" s="546"/>
      <c r="J60" s="547"/>
      <c r="K60" s="546"/>
      <c r="L60" s="545"/>
    </row>
    <row r="61" spans="2:12">
      <c r="B61" s="543"/>
      <c r="C61" s="542"/>
      <c r="D61" s="542"/>
      <c r="E61" s="542"/>
      <c r="F61" s="542"/>
      <c r="G61" s="542"/>
      <c r="H61" s="541"/>
      <c r="I61" s="540"/>
      <c r="J61" s="541"/>
      <c r="K61" s="540"/>
      <c r="L61" s="539"/>
    </row>
  </sheetData>
  <dataValidations count="1">
    <dataValidation allowBlank="1" showInputMessage="1" promptTitle="Identifier Input" prompt="Please input a valid Company Identifier. This cell drives the data contained within the worksheet." sqref="E2" xr:uid="{00000000-0002-0000-1700-000000000000}"/>
  </dataValidations>
  <pageMargins left="0.7" right="0.7" top="0.78740157499999996" bottom="0.78740157499999996"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29">
    <tabColor theme="7" tint="0.59999389629810485"/>
  </sheetPr>
  <dimension ref="A1:AB169"/>
  <sheetViews>
    <sheetView topLeftCell="A85" workbookViewId="0">
      <selection activeCell="P28" sqref="P28"/>
    </sheetView>
  </sheetViews>
  <sheetFormatPr defaultColWidth="11.28515625" defaultRowHeight="15" customHeight="1"/>
  <cols>
    <col min="1" max="1" width="11.28515625" style="3"/>
    <col min="2" max="2" width="14.28515625" style="3" bestFit="1" customWidth="1"/>
    <col min="3" max="3" width="13.7109375" style="3" bestFit="1" customWidth="1"/>
    <col min="4" max="9" width="11.28515625" style="3"/>
    <col min="10" max="10" width="19.42578125" style="3" bestFit="1" customWidth="1"/>
    <col min="11" max="14" width="11.28515625" style="3"/>
    <col min="15" max="15" width="6.7109375" style="3" customWidth="1"/>
    <col min="16" max="16" width="6.7109375" style="659" customWidth="1"/>
    <col min="17" max="18" width="11.28515625" style="3"/>
    <col min="19" max="19" width="7.7109375" style="648" customWidth="1"/>
    <col min="20" max="20" width="7.7109375" style="658" customWidth="1"/>
    <col min="21" max="21" width="11.28515625" style="3"/>
    <col min="22" max="22" width="12.28515625" style="3" customWidth="1"/>
    <col min="23" max="23" width="8.28515625" style="648" customWidth="1"/>
    <col min="24" max="24" width="8.28515625" style="658" customWidth="1"/>
    <col min="25" max="25" width="11.28515625" style="3"/>
    <col min="26" max="26" width="12.28515625" style="3" customWidth="1"/>
    <col min="27" max="27" width="7.7109375" style="648" customWidth="1"/>
    <col min="28" max="28" width="7.7109375" style="658" customWidth="1"/>
    <col min="29" max="16384" width="11.28515625" style="3"/>
  </cols>
  <sheetData>
    <row r="1" spans="1:28" ht="15" customHeight="1">
      <c r="A1" s="479" t="s">
        <v>942</v>
      </c>
      <c r="B1" s="479" t="s">
        <v>943</v>
      </c>
      <c r="C1" s="479" t="s">
        <v>944</v>
      </c>
      <c r="F1" s="479" t="s">
        <v>923</v>
      </c>
      <c r="G1" s="479" t="s">
        <v>945</v>
      </c>
      <c r="H1" s="479" t="s">
        <v>946</v>
      </c>
      <c r="I1" s="479" t="s">
        <v>947</v>
      </c>
      <c r="J1" s="479" t="s">
        <v>948</v>
      </c>
      <c r="K1" s="479" t="s">
        <v>949</v>
      </c>
      <c r="L1" s="479" t="s">
        <v>950</v>
      </c>
    </row>
    <row r="2" spans="1:28" ht="15" customHeight="1">
      <c r="A2" s="3" t="s">
        <v>951</v>
      </c>
      <c r="B2" s="3" t="s">
        <v>952</v>
      </c>
      <c r="C2" s="388">
        <v>0</v>
      </c>
      <c r="F2" s="3" t="s">
        <v>953</v>
      </c>
      <c r="G2" s="3" t="s">
        <v>954</v>
      </c>
      <c r="H2" s="387">
        <v>6.6251698870904069E-2</v>
      </c>
      <c r="I2" s="507">
        <v>7.2606779671754898E-2</v>
      </c>
      <c r="J2" s="507">
        <v>0.1198067796717549</v>
      </c>
      <c r="K2" s="388">
        <v>9.7000000000000003E-3</v>
      </c>
      <c r="L2" s="473">
        <v>0.3</v>
      </c>
      <c r="N2" s="652" t="s">
        <v>955</v>
      </c>
      <c r="O2" s="653">
        <f>VLOOKUP(N2,$F$2:$K$178,5,FALSE)</f>
        <v>4.7199999999999999E-2</v>
      </c>
      <c r="P2" s="654">
        <f>VLOOKUP(N2,$F$2:$K$178,4,FALSE)</f>
        <v>0</v>
      </c>
      <c r="R2" s="652" t="s">
        <v>956</v>
      </c>
      <c r="S2" s="653">
        <f t="shared" ref="S2:S20" si="0">VLOOKUP(R2,$F$2:$K$178,5,FALSE)</f>
        <v>5.1044402293089305E-2</v>
      </c>
      <c r="T2" s="654">
        <f t="shared" ref="T2:T20" si="1">VLOOKUP(R2,$F$2:$K$178,4,FALSE)</f>
        <v>3.8444022930893078E-3</v>
      </c>
      <c r="V2" s="652" t="s">
        <v>957</v>
      </c>
      <c r="W2" s="653">
        <f t="shared" ref="W2:W23" si="2">VLOOKUP(V2,$F$2:$K$178,5,FALSE)</f>
        <v>9.0799016914808295E-2</v>
      </c>
      <c r="X2" s="654">
        <f t="shared" ref="X2:X23" si="3">VLOOKUP(V2,$F$2:$K$178,4,FALSE)</f>
        <v>4.3599016914808296E-2</v>
      </c>
      <c r="Z2" s="652" t="s">
        <v>958</v>
      </c>
      <c r="AA2" s="653">
        <f t="shared" ref="AA2:AA22" si="4">VLOOKUP(Z2,$F$2:$K$178,5,FALSE)</f>
        <v>8.2061738975968967E-2</v>
      </c>
      <c r="AB2" s="654">
        <f t="shared" ref="AB2" si="5">VLOOKUP(Z2,$F$2:$K$178,4,FALSE)</f>
        <v>3.4861738975968962E-2</v>
      </c>
    </row>
    <row r="3" spans="1:28" ht="15" customHeight="1">
      <c r="A3" s="3" t="s">
        <v>959</v>
      </c>
      <c r="B3" s="3" t="s">
        <v>960</v>
      </c>
      <c r="C3" s="388">
        <v>3.3E-3</v>
      </c>
      <c r="F3" s="3" t="s">
        <v>961</v>
      </c>
      <c r="G3" s="3" t="s">
        <v>962</v>
      </c>
      <c r="H3" s="387">
        <v>4.8632414333635951E-2</v>
      </c>
      <c r="I3" s="507">
        <v>5.3297395426919955E-2</v>
      </c>
      <c r="J3" s="507">
        <v>0.10049739542691996</v>
      </c>
      <c r="K3" s="388" t="s">
        <v>963</v>
      </c>
      <c r="L3" s="473">
        <v>0.3</v>
      </c>
      <c r="N3" s="652" t="s">
        <v>964</v>
      </c>
      <c r="O3" s="653">
        <f>VLOOKUP(N3,$F$2:$K$178,5,FALSE)</f>
        <v>4.7199999999999999E-2</v>
      </c>
      <c r="P3" s="654">
        <f>VLOOKUP(N3,$F$2:$K$178,4,FALSE)</f>
        <v>0</v>
      </c>
      <c r="R3" s="652" t="s">
        <v>965</v>
      </c>
      <c r="S3" s="653">
        <f t="shared" si="0"/>
        <v>5.3053976219022358E-2</v>
      </c>
      <c r="T3" s="654">
        <f t="shared" si="1"/>
        <v>5.8539762190223561E-3</v>
      </c>
      <c r="V3" s="652" t="s">
        <v>966</v>
      </c>
      <c r="W3" s="653">
        <f t="shared" si="2"/>
        <v>8.2061738975968967E-2</v>
      </c>
      <c r="X3" s="654">
        <f t="shared" si="3"/>
        <v>3.4861738975968962E-2</v>
      </c>
      <c r="Z3" s="652" t="s">
        <v>967</v>
      </c>
      <c r="AA3" s="653">
        <f t="shared" si="4"/>
        <v>0.10049739542691996</v>
      </c>
      <c r="AB3" s="654">
        <f t="shared" ref="AB3:AB22" si="6">VLOOKUP(Z3,$F$2:$K$178,4,FALSE)</f>
        <v>5.3297395426919955E-2</v>
      </c>
    </row>
    <row r="4" spans="1:28" ht="15" customHeight="1">
      <c r="A4" s="3" t="s">
        <v>968</v>
      </c>
      <c r="B4" s="3" t="s">
        <v>969</v>
      </c>
      <c r="C4" s="388">
        <v>4.1000000000000003E-3</v>
      </c>
      <c r="F4" s="3" t="s">
        <v>970</v>
      </c>
      <c r="G4" s="3" t="s">
        <v>971</v>
      </c>
      <c r="H4" s="387">
        <v>7.4941753235439005E-3</v>
      </c>
      <c r="I4" s="507">
        <v>8.2130412625089771E-3</v>
      </c>
      <c r="J4" s="507">
        <v>5.5413041262508976E-2</v>
      </c>
      <c r="K4" s="388" t="s">
        <v>963</v>
      </c>
      <c r="L4" s="473">
        <v>0.22</v>
      </c>
      <c r="N4" s="655" t="s">
        <v>972</v>
      </c>
      <c r="O4" s="656">
        <f>VLOOKUP(N4,$F$2:$K$178,5,FALSE)</f>
        <v>4.7199999999999999E-2</v>
      </c>
      <c r="P4" s="657">
        <f>VLOOKUP(N4,$F$2:$K$178,4,FALSE)</f>
        <v>0</v>
      </c>
      <c r="R4" s="652" t="s">
        <v>973</v>
      </c>
      <c r="S4" s="653">
        <f t="shared" si="0"/>
        <v>7.629513553633499E-2</v>
      </c>
      <c r="T4" s="654">
        <f t="shared" si="1"/>
        <v>2.9095135536334988E-2</v>
      </c>
      <c r="V4" s="652" t="s">
        <v>974</v>
      </c>
      <c r="W4" s="653">
        <f t="shared" si="2"/>
        <v>7.629513553633499E-2</v>
      </c>
      <c r="X4" s="654">
        <f t="shared" si="3"/>
        <v>2.9095135536334988E-2</v>
      </c>
      <c r="Z4" s="652" t="s">
        <v>939</v>
      </c>
      <c r="AA4" s="653">
        <f t="shared" si="4"/>
        <v>5.4015076792294683E-2</v>
      </c>
      <c r="AB4" s="654">
        <f t="shared" si="6"/>
        <v>6.8150767922946836E-3</v>
      </c>
    </row>
    <row r="5" spans="1:28" ht="15" customHeight="1">
      <c r="A5" s="3" t="s">
        <v>975</v>
      </c>
      <c r="B5" s="3" t="s">
        <v>976</v>
      </c>
      <c r="C5" s="388">
        <v>5.1000000000000004E-3</v>
      </c>
      <c r="F5" s="3" t="s">
        <v>977</v>
      </c>
      <c r="G5" s="3" t="s">
        <v>962</v>
      </c>
      <c r="H5" s="387">
        <v>4.8632414333635951E-2</v>
      </c>
      <c r="I5" s="507">
        <v>5.3297395426919955E-2</v>
      </c>
      <c r="J5" s="507">
        <v>0.10049739542691996</v>
      </c>
      <c r="K5" s="388" t="s">
        <v>963</v>
      </c>
      <c r="L5" s="473">
        <v>0.28000000000000003</v>
      </c>
      <c r="O5" s="648"/>
      <c r="P5" s="658"/>
      <c r="R5" s="652" t="s">
        <v>978</v>
      </c>
      <c r="S5" s="653">
        <f t="shared" si="0"/>
        <v>4.7199999999999999E-2</v>
      </c>
      <c r="T5" s="654">
        <f t="shared" si="1"/>
        <v>0</v>
      </c>
      <c r="V5" s="652" t="s">
        <v>979</v>
      </c>
      <c r="W5" s="653">
        <f t="shared" si="2"/>
        <v>0.1101957739390316</v>
      </c>
      <c r="X5" s="654">
        <f t="shared" si="3"/>
        <v>6.2995773939031607E-2</v>
      </c>
      <c r="Z5" s="652" t="s">
        <v>980</v>
      </c>
      <c r="AA5" s="653">
        <f t="shared" si="4"/>
        <v>8.2061738975968967E-2</v>
      </c>
      <c r="AB5" s="654">
        <f t="shared" si="6"/>
        <v>3.4861738975968962E-2</v>
      </c>
    </row>
    <row r="6" spans="1:28" ht="15" customHeight="1">
      <c r="A6" s="3" t="s">
        <v>981</v>
      </c>
      <c r="B6" s="3" t="s">
        <v>982</v>
      </c>
      <c r="C6" s="388">
        <v>5.8999999999999999E-3</v>
      </c>
      <c r="F6" s="3" t="s">
        <v>983</v>
      </c>
      <c r="G6" s="3" t="s">
        <v>962</v>
      </c>
      <c r="H6" s="387">
        <v>4.8632414333635951E-2</v>
      </c>
      <c r="I6" s="507">
        <v>5.3297395426919955E-2</v>
      </c>
      <c r="J6" s="507">
        <v>0.10049739542691996</v>
      </c>
      <c r="K6" s="388">
        <v>0.1046</v>
      </c>
      <c r="L6" s="473">
        <v>0.33</v>
      </c>
      <c r="N6" s="652" t="s">
        <v>984</v>
      </c>
      <c r="O6" s="653">
        <f t="shared" ref="O6:O23" si="7">VLOOKUP(N6,$F$2:$K$178,5,FALSE)</f>
        <v>0.16340579658656318</v>
      </c>
      <c r="P6" s="654">
        <f t="shared" ref="P6:P23" si="8">VLOOKUP(N6,$F$2:$K$178,4,FALSE)</f>
        <v>0.11620579658656319</v>
      </c>
      <c r="R6" s="652" t="s">
        <v>985</v>
      </c>
      <c r="S6" s="653">
        <f t="shared" si="0"/>
        <v>5.1044402293089305E-2</v>
      </c>
      <c r="T6" s="654">
        <f t="shared" si="1"/>
        <v>3.8444022930893078E-3</v>
      </c>
      <c r="V6" s="652" t="s">
        <v>986</v>
      </c>
      <c r="W6" s="653">
        <f t="shared" si="2"/>
        <v>0.1101957739390316</v>
      </c>
      <c r="X6" s="654">
        <f t="shared" si="3"/>
        <v>6.2995773939031607E-2</v>
      </c>
      <c r="Z6" s="652" t="s">
        <v>987</v>
      </c>
      <c r="AA6" s="653">
        <f t="shared" si="4"/>
        <v>5.3053976219022358E-2</v>
      </c>
      <c r="AB6" s="654">
        <f t="shared" si="6"/>
        <v>5.8539762190223561E-3</v>
      </c>
    </row>
    <row r="7" spans="1:28" ht="15" customHeight="1">
      <c r="A7" s="3" t="s">
        <v>988</v>
      </c>
      <c r="B7" s="3" t="s">
        <v>971</v>
      </c>
      <c r="C7" s="388">
        <v>7.1000000000000004E-3</v>
      </c>
      <c r="F7" s="3" t="s">
        <v>989</v>
      </c>
      <c r="G7" s="3" t="s">
        <v>962</v>
      </c>
      <c r="H7" s="387">
        <v>4.8632414333635951E-2</v>
      </c>
      <c r="I7" s="507">
        <v>5.3297395426919955E-2</v>
      </c>
      <c r="J7" s="507">
        <v>0.10049739542691996</v>
      </c>
      <c r="K7" s="388" t="s">
        <v>963</v>
      </c>
      <c r="L7" s="473">
        <v>0</v>
      </c>
      <c r="N7" s="652" t="s">
        <v>990</v>
      </c>
      <c r="O7" s="653">
        <f t="shared" si="7"/>
        <v>0.14400903956233987</v>
      </c>
      <c r="P7" s="654">
        <f t="shared" si="8"/>
        <v>9.6809039562339869E-2</v>
      </c>
      <c r="R7" s="652" t="s">
        <v>991</v>
      </c>
      <c r="S7" s="653">
        <f t="shared" si="0"/>
        <v>5.2005502866361637E-2</v>
      </c>
      <c r="T7" s="654">
        <f t="shared" si="1"/>
        <v>4.8055028663616358E-3</v>
      </c>
      <c r="V7" s="652" t="s">
        <v>992</v>
      </c>
      <c r="W7" s="653">
        <f t="shared" si="2"/>
        <v>6.2664981951745621E-2</v>
      </c>
      <c r="X7" s="654">
        <f t="shared" si="3"/>
        <v>1.5464981951745628E-2</v>
      </c>
      <c r="Z7" s="652" t="s">
        <v>993</v>
      </c>
      <c r="AA7" s="653">
        <f t="shared" si="4"/>
        <v>6.8518958170767988E-2</v>
      </c>
      <c r="AB7" s="654">
        <f t="shared" si="6"/>
        <v>2.1318958170767986E-2</v>
      </c>
    </row>
    <row r="8" spans="1:28" ht="15" customHeight="1">
      <c r="A8" s="3" t="s">
        <v>994</v>
      </c>
      <c r="B8" s="3" t="s">
        <v>995</v>
      </c>
      <c r="C8" s="388">
        <v>0.01</v>
      </c>
      <c r="F8" s="3" t="s">
        <v>996</v>
      </c>
      <c r="G8" s="3" t="s">
        <v>954</v>
      </c>
      <c r="H8" s="387">
        <v>6.6251698870904069E-2</v>
      </c>
      <c r="I8" s="507">
        <v>7.2606779671754898E-2</v>
      </c>
      <c r="J8" s="507">
        <v>0.1198067796717549</v>
      </c>
      <c r="K8" s="388" t="s">
        <v>963</v>
      </c>
      <c r="L8" s="473">
        <v>0.35</v>
      </c>
      <c r="N8" s="652" t="s">
        <v>997</v>
      </c>
      <c r="O8" s="653">
        <f t="shared" si="7"/>
        <v>0.10049739542691996</v>
      </c>
      <c r="P8" s="654">
        <f t="shared" si="8"/>
        <v>5.3297395426919955E-2</v>
      </c>
      <c r="R8" s="652" t="s">
        <v>998</v>
      </c>
      <c r="S8" s="653">
        <f t="shared" si="0"/>
        <v>4.7199999999999999E-2</v>
      </c>
      <c r="T8" s="654">
        <f t="shared" si="1"/>
        <v>0</v>
      </c>
      <c r="V8" s="652" t="s">
        <v>999</v>
      </c>
      <c r="W8" s="653">
        <f t="shared" si="2"/>
        <v>7.1402259890584963E-2</v>
      </c>
      <c r="X8" s="654">
        <f t="shared" si="3"/>
        <v>2.4202259890584967E-2</v>
      </c>
      <c r="Z8" s="652" t="s">
        <v>1000</v>
      </c>
      <c r="AA8" s="653">
        <f t="shared" si="4"/>
        <v>6.5635656450950999E-2</v>
      </c>
      <c r="AB8" s="654">
        <f t="shared" si="6"/>
        <v>1.8435656450951004E-2</v>
      </c>
    </row>
    <row r="9" spans="1:28" ht="15" customHeight="1">
      <c r="A9" s="3" t="s">
        <v>1001</v>
      </c>
      <c r="B9" s="3" t="s">
        <v>1002</v>
      </c>
      <c r="C9" s="388">
        <v>1.34E-2</v>
      </c>
      <c r="F9" s="3" t="s">
        <v>1003</v>
      </c>
      <c r="G9" s="3" t="s">
        <v>1004</v>
      </c>
      <c r="H9" s="387">
        <v>7.9565818860604404E-2</v>
      </c>
      <c r="I9" s="507">
        <v>8.7198033829616592E-2</v>
      </c>
      <c r="J9" s="507">
        <v>0.1343980338296166</v>
      </c>
      <c r="K9" s="388" t="s">
        <v>963</v>
      </c>
      <c r="L9" s="473">
        <v>0.3</v>
      </c>
      <c r="N9" s="652" t="s">
        <v>1005</v>
      </c>
      <c r="O9" s="653">
        <f t="shared" si="7"/>
        <v>7.629513553633499E-2</v>
      </c>
      <c r="P9" s="654">
        <f t="shared" si="8"/>
        <v>2.9095135536334988E-2</v>
      </c>
      <c r="R9" s="652" t="s">
        <v>1006</v>
      </c>
      <c r="S9" s="653">
        <f t="shared" si="0"/>
        <v>8.2061738975968967E-2</v>
      </c>
      <c r="T9" s="654">
        <f t="shared" si="1"/>
        <v>3.4861738975968962E-2</v>
      </c>
      <c r="V9" s="652" t="s">
        <v>1007</v>
      </c>
      <c r="W9" s="653">
        <f t="shared" si="2"/>
        <v>5.3053976219022358E-2</v>
      </c>
      <c r="X9" s="654">
        <f t="shared" si="3"/>
        <v>5.8539762190223561E-3</v>
      </c>
      <c r="Z9" s="652" t="s">
        <v>1008</v>
      </c>
      <c r="AA9" s="653">
        <f t="shared" si="4"/>
        <v>5.4015076792294683E-2</v>
      </c>
      <c r="AB9" s="654">
        <f t="shared" si="6"/>
        <v>6.8150767922946836E-3</v>
      </c>
    </row>
    <row r="10" spans="1:28" ht="15" customHeight="1">
      <c r="A10" s="3" t="s">
        <v>1009</v>
      </c>
      <c r="B10" s="3" t="s">
        <v>1010</v>
      </c>
      <c r="C10" s="388">
        <v>1.5900000000000001E-2</v>
      </c>
      <c r="F10" s="3" t="s">
        <v>1011</v>
      </c>
      <c r="G10" s="3" t="s">
        <v>1012</v>
      </c>
      <c r="H10" s="387">
        <v>3.1810382490361881E-2</v>
      </c>
      <c r="I10" s="507">
        <v>3.4861738975968962E-2</v>
      </c>
      <c r="J10" s="507">
        <v>8.2061738975968967E-2</v>
      </c>
      <c r="K10" s="388">
        <v>3.2000000000000002E-3</v>
      </c>
      <c r="L10" s="473">
        <v>0.25</v>
      </c>
      <c r="N10" s="652" t="s">
        <v>1013</v>
      </c>
      <c r="O10" s="653">
        <f t="shared" si="7"/>
        <v>5.4015076792294683E-2</v>
      </c>
      <c r="P10" s="654">
        <f t="shared" si="8"/>
        <v>6.8150767922946836E-3</v>
      </c>
      <c r="R10" s="652" t="s">
        <v>1014</v>
      </c>
      <c r="S10" s="653">
        <f t="shared" si="0"/>
        <v>5.5413041262508976E-2</v>
      </c>
      <c r="T10" s="654">
        <f t="shared" si="1"/>
        <v>8.2130412625089771E-3</v>
      </c>
      <c r="V10" s="652" t="s">
        <v>1015</v>
      </c>
      <c r="W10" s="653">
        <f t="shared" si="2"/>
        <v>5.4015076792294683E-2</v>
      </c>
      <c r="X10" s="654">
        <f t="shared" si="3"/>
        <v>6.8150767922946836E-3</v>
      </c>
      <c r="Z10" s="652" t="s">
        <v>1016</v>
      </c>
      <c r="AA10" s="653">
        <f t="shared" si="4"/>
        <v>5.2005502866361637E-2</v>
      </c>
      <c r="AB10" s="654">
        <f t="shared" si="6"/>
        <v>4.8055028663616358E-3</v>
      </c>
    </row>
    <row r="11" spans="1:28" ht="15" customHeight="1">
      <c r="A11" s="3" t="s">
        <v>1017</v>
      </c>
      <c r="B11" s="3" t="s">
        <v>1018</v>
      </c>
      <c r="C11" s="388">
        <v>1.84E-2</v>
      </c>
      <c r="F11" s="3" t="s">
        <v>1019</v>
      </c>
      <c r="G11" s="3" t="s">
        <v>962</v>
      </c>
      <c r="H11" s="387">
        <v>4.8632414333635951E-2</v>
      </c>
      <c r="I11" s="507">
        <v>5.3297395426919955E-2</v>
      </c>
      <c r="J11" s="507">
        <v>0.10049739542691996</v>
      </c>
      <c r="K11" s="388">
        <v>2.2000000000000001E-3</v>
      </c>
      <c r="L11" s="473">
        <v>0.22500000000000001</v>
      </c>
      <c r="N11" s="652" t="s">
        <v>1020</v>
      </c>
      <c r="O11" s="653">
        <f t="shared" si="7"/>
        <v>6.5635656450950999E-2</v>
      </c>
      <c r="P11" s="654">
        <f t="shared" si="8"/>
        <v>1.8435656450951004E-2</v>
      </c>
      <c r="R11" s="652" t="s">
        <v>1021</v>
      </c>
      <c r="S11" s="653">
        <f t="shared" si="0"/>
        <v>5.5413041262508976E-2</v>
      </c>
      <c r="T11" s="654">
        <f t="shared" si="1"/>
        <v>8.2130412625089771E-3</v>
      </c>
      <c r="V11" s="652" t="s">
        <v>1022</v>
      </c>
      <c r="W11" s="653">
        <f t="shared" si="2"/>
        <v>7.629513553633499E-2</v>
      </c>
      <c r="X11" s="654">
        <f t="shared" si="3"/>
        <v>2.9095135536334988E-2</v>
      </c>
      <c r="Z11" s="652" t="s">
        <v>1023</v>
      </c>
      <c r="AA11" s="653">
        <f t="shared" si="4"/>
        <v>5.3053976219022358E-2</v>
      </c>
      <c r="AB11" s="654">
        <f t="shared" si="6"/>
        <v>5.8539762190223561E-3</v>
      </c>
    </row>
    <row r="12" spans="1:28" ht="15" customHeight="1">
      <c r="A12" s="3" t="s">
        <v>1024</v>
      </c>
      <c r="B12" s="3" t="s">
        <v>1025</v>
      </c>
      <c r="C12" s="388">
        <v>2.0899999999999998E-2</v>
      </c>
      <c r="F12" s="3" t="s">
        <v>1026</v>
      </c>
      <c r="G12" s="3" t="s">
        <v>962</v>
      </c>
      <c r="H12" s="387">
        <v>4.8632414333635951E-2</v>
      </c>
      <c r="I12" s="507">
        <v>5.3297395426919955E-2</v>
      </c>
      <c r="J12" s="507">
        <v>0.10049739542691996</v>
      </c>
      <c r="K12" s="388" t="s">
        <v>963</v>
      </c>
      <c r="L12" s="473">
        <v>0.3</v>
      </c>
      <c r="N12" s="652" t="s">
        <v>1027</v>
      </c>
      <c r="O12" s="653">
        <f t="shared" si="7"/>
        <v>0.10049739542691996</v>
      </c>
      <c r="P12" s="654">
        <f t="shared" si="8"/>
        <v>5.3297395426919955E-2</v>
      </c>
      <c r="R12" s="652" t="s">
        <v>1028</v>
      </c>
      <c r="S12" s="653">
        <f t="shared" si="0"/>
        <v>6.8518958170767988E-2</v>
      </c>
      <c r="T12" s="654">
        <f t="shared" si="1"/>
        <v>2.1318958170767986E-2</v>
      </c>
      <c r="V12" s="652" t="s">
        <v>1029</v>
      </c>
      <c r="W12" s="653">
        <f t="shared" si="2"/>
        <v>6.8518958170767988E-2</v>
      </c>
      <c r="X12" s="654">
        <f t="shared" si="3"/>
        <v>2.1318958170767986E-2</v>
      </c>
      <c r="Z12" s="652" t="s">
        <v>1030</v>
      </c>
      <c r="AA12" s="653">
        <f t="shared" si="4"/>
        <v>5.8820579658656322E-2</v>
      </c>
      <c r="AB12" s="654">
        <f t="shared" si="6"/>
        <v>1.1620579658656319E-2</v>
      </c>
    </row>
    <row r="13" spans="1:28" ht="15" customHeight="1">
      <c r="A13" s="3" t="s">
        <v>1031</v>
      </c>
      <c r="B13" s="3" t="s">
        <v>1032</v>
      </c>
      <c r="C13" s="388">
        <v>2.5100000000000001E-2</v>
      </c>
      <c r="F13" s="3" t="s">
        <v>1033</v>
      </c>
      <c r="G13" s="3" t="s">
        <v>954</v>
      </c>
      <c r="H13" s="387">
        <v>6.6251698870904069E-2</v>
      </c>
      <c r="I13" s="507">
        <v>7.2606779671754898E-2</v>
      </c>
      <c r="J13" s="507">
        <v>0.1198067796717549</v>
      </c>
      <c r="K13" s="388" t="s">
        <v>963</v>
      </c>
      <c r="L13" s="473">
        <v>0.3</v>
      </c>
      <c r="N13" s="652" t="s">
        <v>1034</v>
      </c>
      <c r="O13" s="653">
        <f t="shared" si="7"/>
        <v>0.14400903956233987</v>
      </c>
      <c r="P13" s="654">
        <f t="shared" si="8"/>
        <v>9.6809039562339869E-2</v>
      </c>
      <c r="R13" s="652" t="s">
        <v>1035</v>
      </c>
      <c r="S13" s="653">
        <f t="shared" si="0"/>
        <v>5.5413041262508976E-2</v>
      </c>
      <c r="T13" s="654">
        <f t="shared" si="1"/>
        <v>8.2130412625089771E-3</v>
      </c>
      <c r="V13" s="652" t="s">
        <v>1036</v>
      </c>
      <c r="W13" s="653">
        <f t="shared" si="2"/>
        <v>6.8518958170767988E-2</v>
      </c>
      <c r="X13" s="654">
        <f t="shared" si="3"/>
        <v>2.1318958170767986E-2</v>
      </c>
      <c r="Z13" s="652" t="s">
        <v>1037</v>
      </c>
      <c r="AA13" s="653">
        <f t="shared" si="4"/>
        <v>0.1101957739390316</v>
      </c>
      <c r="AB13" s="654">
        <f t="shared" si="6"/>
        <v>6.2995773939031607E-2</v>
      </c>
    </row>
    <row r="14" spans="1:28" ht="15" customHeight="1">
      <c r="A14" s="3" t="s">
        <v>1031</v>
      </c>
      <c r="B14" s="3" t="s">
        <v>1012</v>
      </c>
      <c r="C14" s="388">
        <v>3.0099999999999998E-2</v>
      </c>
      <c r="F14" s="3" t="s">
        <v>1038</v>
      </c>
      <c r="G14" s="3" t="s">
        <v>1039</v>
      </c>
      <c r="H14" s="387">
        <v>5.74819192369697E-2</v>
      </c>
      <c r="I14" s="507">
        <v>6.2995773939031607E-2</v>
      </c>
      <c r="J14" s="507">
        <v>0.1101957739390316</v>
      </c>
      <c r="K14" s="388">
        <v>4.1099999999999998E-2</v>
      </c>
      <c r="L14" s="473">
        <v>0.25</v>
      </c>
      <c r="N14" s="652" t="s">
        <v>1040</v>
      </c>
      <c r="O14" s="653">
        <f t="shared" si="7"/>
        <v>0.1101957739390316</v>
      </c>
      <c r="P14" s="654">
        <f t="shared" si="8"/>
        <v>6.2995773939031607E-2</v>
      </c>
      <c r="R14" s="652" t="s">
        <v>1041</v>
      </c>
      <c r="S14" s="653">
        <f t="shared" si="0"/>
        <v>4.7199999999999999E-2</v>
      </c>
      <c r="T14" s="654">
        <f t="shared" si="1"/>
        <v>0</v>
      </c>
      <c r="V14" s="652" t="s">
        <v>1042</v>
      </c>
      <c r="W14" s="653">
        <f t="shared" si="2"/>
        <v>5.8820579658656322E-2</v>
      </c>
      <c r="X14" s="654">
        <f t="shared" si="3"/>
        <v>1.1620579658656319E-2</v>
      </c>
      <c r="Z14" s="652" t="s">
        <v>1043</v>
      </c>
      <c r="AA14" s="653">
        <f t="shared" si="4"/>
        <v>0.1101957739390316</v>
      </c>
      <c r="AB14" s="654">
        <f t="shared" si="6"/>
        <v>6.2995773939031607E-2</v>
      </c>
    </row>
    <row r="15" spans="1:28" ht="15" customHeight="1">
      <c r="A15" s="3" t="s">
        <v>1044</v>
      </c>
      <c r="B15" s="3" t="s">
        <v>1045</v>
      </c>
      <c r="C15" s="388">
        <v>3.7600000000000001E-2</v>
      </c>
      <c r="F15" s="3" t="s">
        <v>1046</v>
      </c>
      <c r="G15" s="3" t="s">
        <v>962</v>
      </c>
      <c r="H15" s="387">
        <v>4.8632414333635951E-2</v>
      </c>
      <c r="I15" s="507">
        <v>5.3297395426919955E-2</v>
      </c>
      <c r="J15" s="507">
        <v>0.10049739542691996</v>
      </c>
      <c r="K15" s="388" t="s">
        <v>963</v>
      </c>
      <c r="L15" s="473">
        <v>0.3</v>
      </c>
      <c r="N15" s="652" t="s">
        <v>1047</v>
      </c>
      <c r="O15" s="653">
        <f t="shared" si="7"/>
        <v>7.1402259890584963E-2</v>
      </c>
      <c r="P15" s="654">
        <f t="shared" si="8"/>
        <v>2.4202259890584967E-2</v>
      </c>
      <c r="R15" s="652" t="s">
        <v>1048</v>
      </c>
      <c r="S15" s="653">
        <f t="shared" si="0"/>
        <v>4.7199999999999999E-2</v>
      </c>
      <c r="T15" s="654">
        <f t="shared" si="1"/>
        <v>0</v>
      </c>
      <c r="V15" s="652" t="s">
        <v>1049</v>
      </c>
      <c r="W15" s="653">
        <f t="shared" si="2"/>
        <v>5.8820579658656322E-2</v>
      </c>
      <c r="X15" s="654">
        <f t="shared" si="3"/>
        <v>1.1620579658656319E-2</v>
      </c>
      <c r="Z15" s="652" t="s">
        <v>1050</v>
      </c>
      <c r="AA15" s="653">
        <f t="shared" si="4"/>
        <v>0.10049739542691996</v>
      </c>
      <c r="AB15" s="654">
        <f t="shared" si="6"/>
        <v>5.3297395426919955E-2</v>
      </c>
    </row>
    <row r="16" spans="1:28" ht="15" customHeight="1">
      <c r="A16" s="3" t="s">
        <v>1051</v>
      </c>
      <c r="B16" s="3" t="s">
        <v>962</v>
      </c>
      <c r="C16" s="388">
        <v>4.5999999999999999E-2</v>
      </c>
      <c r="F16" s="3" t="s">
        <v>1052</v>
      </c>
      <c r="G16" s="3" t="s">
        <v>954</v>
      </c>
      <c r="H16" s="387">
        <v>6.6251698870904069E-2</v>
      </c>
      <c r="I16" s="507">
        <v>7.2606779671754898E-2</v>
      </c>
      <c r="J16" s="507">
        <v>0.1198067796717549</v>
      </c>
      <c r="K16" s="388" t="s">
        <v>963</v>
      </c>
      <c r="L16" s="473">
        <v>0.28249999999999997</v>
      </c>
      <c r="N16" s="652" t="s">
        <v>1053</v>
      </c>
      <c r="O16" s="653">
        <f t="shared" si="7"/>
        <v>9.0799016914808295E-2</v>
      </c>
      <c r="P16" s="654">
        <f t="shared" si="8"/>
        <v>4.3599016914808296E-2</v>
      </c>
      <c r="R16" s="652" t="s">
        <v>1054</v>
      </c>
      <c r="S16" s="653">
        <f t="shared" si="0"/>
        <v>6.8518958170767988E-2</v>
      </c>
      <c r="T16" s="654">
        <f t="shared" si="1"/>
        <v>2.1318958170767986E-2</v>
      </c>
      <c r="V16" s="652" t="s">
        <v>1055</v>
      </c>
      <c r="W16" s="653">
        <f t="shared" si="2"/>
        <v>0.1101957739390316</v>
      </c>
      <c r="X16" s="654">
        <f t="shared" si="3"/>
        <v>6.2995773939031607E-2</v>
      </c>
      <c r="Z16" s="652" t="s">
        <v>1056</v>
      </c>
      <c r="AA16" s="653">
        <f t="shared" si="4"/>
        <v>6.5635656450950999E-2</v>
      </c>
      <c r="AB16" s="654">
        <f t="shared" si="6"/>
        <v>1.8435656450951004E-2</v>
      </c>
    </row>
    <row r="17" spans="1:28" ht="15" customHeight="1">
      <c r="A17" s="3" t="s">
        <v>1057</v>
      </c>
      <c r="B17" s="3" t="s">
        <v>1039</v>
      </c>
      <c r="C17" s="388">
        <v>5.4399999999999997E-2</v>
      </c>
      <c r="F17" s="3" t="s">
        <v>1058</v>
      </c>
      <c r="G17" s="3" t="s">
        <v>1002</v>
      </c>
      <c r="H17" s="387">
        <v>1.4111372683694367E-2</v>
      </c>
      <c r="I17" s="507">
        <v>1.5464981951745628E-2</v>
      </c>
      <c r="J17" s="507">
        <v>6.2664981951745621E-2</v>
      </c>
      <c r="K17" s="388" t="s">
        <v>963</v>
      </c>
      <c r="L17" s="473">
        <v>0.15</v>
      </c>
      <c r="N17" s="652" t="s">
        <v>1059</v>
      </c>
      <c r="O17" s="653">
        <f t="shared" si="7"/>
        <v>6.2664981951745621E-2</v>
      </c>
      <c r="P17" s="654">
        <f t="shared" si="8"/>
        <v>1.5464981951745628E-2</v>
      </c>
      <c r="R17" s="652" t="s">
        <v>1060</v>
      </c>
      <c r="S17" s="653">
        <f t="shared" si="0"/>
        <v>6.2664981951745621E-2</v>
      </c>
      <c r="T17" s="654">
        <f t="shared" si="1"/>
        <v>1.5464981951745628E-2</v>
      </c>
      <c r="V17" s="652" t="s">
        <v>1061</v>
      </c>
      <c r="W17" s="653">
        <f t="shared" si="2"/>
        <v>9.0799016914808295E-2</v>
      </c>
      <c r="X17" s="654">
        <f t="shared" si="3"/>
        <v>4.3599016914808296E-2</v>
      </c>
      <c r="Z17" s="652" t="s">
        <v>1062</v>
      </c>
      <c r="AA17" s="653">
        <f t="shared" si="4"/>
        <v>4.7199999999999999E-2</v>
      </c>
      <c r="AB17" s="654">
        <f t="shared" si="6"/>
        <v>0</v>
      </c>
    </row>
    <row r="18" spans="1:28" ht="15" customHeight="1">
      <c r="A18" s="3" t="s">
        <v>1063</v>
      </c>
      <c r="B18" s="3" t="s">
        <v>954</v>
      </c>
      <c r="C18" s="388">
        <v>6.2700000000000006E-2</v>
      </c>
      <c r="F18" s="3" t="s">
        <v>1064</v>
      </c>
      <c r="G18" s="3" t="s">
        <v>1025</v>
      </c>
      <c r="H18" s="387">
        <v>2.208389962363469E-2</v>
      </c>
      <c r="I18" s="507">
        <v>2.4202259890584967E-2</v>
      </c>
      <c r="J18" s="507">
        <v>7.1402259890584963E-2</v>
      </c>
      <c r="K18" s="388">
        <v>3.0999999999999999E-3</v>
      </c>
      <c r="L18" s="473">
        <v>0.31</v>
      </c>
      <c r="N18" s="652" t="s">
        <v>1065</v>
      </c>
      <c r="O18" s="653">
        <f t="shared" si="7"/>
        <v>0.1101957739390316</v>
      </c>
      <c r="P18" s="654">
        <f t="shared" si="8"/>
        <v>6.2995773939031607E-2</v>
      </c>
      <c r="R18" s="652" t="s">
        <v>1066</v>
      </c>
      <c r="S18" s="653">
        <f t="shared" si="0"/>
        <v>4.7199999999999999E-2</v>
      </c>
      <c r="T18" s="654">
        <f t="shared" si="1"/>
        <v>0</v>
      </c>
      <c r="V18" s="652" t="s">
        <v>1067</v>
      </c>
      <c r="W18" s="653">
        <f t="shared" si="2"/>
        <v>5.5413041262508976E-2</v>
      </c>
      <c r="X18" s="654">
        <f t="shared" si="3"/>
        <v>8.2130412625089771E-3</v>
      </c>
      <c r="Z18" s="652" t="s">
        <v>1068</v>
      </c>
      <c r="AA18" s="653">
        <f t="shared" si="4"/>
        <v>0.1198067796717549</v>
      </c>
      <c r="AB18" s="654">
        <f t="shared" si="6"/>
        <v>7.2606779671754898E-2</v>
      </c>
    </row>
    <row r="19" spans="1:28" ht="15" customHeight="1">
      <c r="A19" s="3" t="s">
        <v>1069</v>
      </c>
      <c r="B19" s="3" t="s">
        <v>1004</v>
      </c>
      <c r="C19" s="388">
        <v>7.5300000000000006E-2</v>
      </c>
      <c r="F19" s="3" t="s">
        <v>1070</v>
      </c>
      <c r="G19" s="3" t="s">
        <v>1004</v>
      </c>
      <c r="H19" s="387">
        <v>7.9565818860604404E-2</v>
      </c>
      <c r="I19" s="507">
        <v>8.7198033829616592E-2</v>
      </c>
      <c r="J19" s="507">
        <v>0.1343980338296166</v>
      </c>
      <c r="K19" s="388" t="s">
        <v>963</v>
      </c>
      <c r="L19" s="473">
        <v>0.32</v>
      </c>
      <c r="N19" s="652" t="s">
        <v>1071</v>
      </c>
      <c r="O19" s="653">
        <f t="shared" si="7"/>
        <v>6.2664981951745621E-2</v>
      </c>
      <c r="P19" s="654">
        <f t="shared" si="8"/>
        <v>1.5464981951745628E-2</v>
      </c>
      <c r="R19" s="652" t="s">
        <v>1072</v>
      </c>
      <c r="S19" s="653">
        <f t="shared" si="0"/>
        <v>4.7199999999999999E-2</v>
      </c>
      <c r="T19" s="654">
        <f t="shared" si="1"/>
        <v>0</v>
      </c>
      <c r="V19" s="652" t="s">
        <v>1073</v>
      </c>
      <c r="W19" s="653">
        <f t="shared" si="2"/>
        <v>6.8518958170767988E-2</v>
      </c>
      <c r="X19" s="654">
        <f t="shared" si="3"/>
        <v>2.1318958170767986E-2</v>
      </c>
      <c r="Z19" s="652" t="s">
        <v>1074</v>
      </c>
      <c r="AA19" s="653">
        <f t="shared" si="4"/>
        <v>5.3053976219022358E-2</v>
      </c>
      <c r="AB19" s="654">
        <f t="shared" si="6"/>
        <v>5.8539762190223561E-3</v>
      </c>
    </row>
    <row r="20" spans="1:28" ht="15" customHeight="1">
      <c r="A20" s="3" t="s">
        <v>1075</v>
      </c>
      <c r="B20" s="3" t="s">
        <v>1076</v>
      </c>
      <c r="C20" s="388">
        <v>8.3599999999999994E-2</v>
      </c>
      <c r="F20" s="3" t="s">
        <v>1077</v>
      </c>
      <c r="G20" s="3" t="s">
        <v>1012</v>
      </c>
      <c r="H20" s="387">
        <v>3.1810382490361881E-2</v>
      </c>
      <c r="I20" s="507">
        <v>3.4861738975968962E-2</v>
      </c>
      <c r="J20" s="507">
        <v>8.2061738975968967E-2</v>
      </c>
      <c r="K20" s="388" t="s">
        <v>963</v>
      </c>
      <c r="L20" s="473">
        <v>0.32</v>
      </c>
      <c r="N20" s="652" t="s">
        <v>1078</v>
      </c>
      <c r="O20" s="653">
        <f t="shared" si="7"/>
        <v>7.1402259890584963E-2</v>
      </c>
      <c r="P20" s="654">
        <f t="shared" si="8"/>
        <v>2.4202259890584967E-2</v>
      </c>
      <c r="R20" s="652" t="s">
        <v>1079</v>
      </c>
      <c r="S20" s="653">
        <f t="shared" si="0"/>
        <v>5.3053976219022358E-2</v>
      </c>
      <c r="T20" s="654">
        <f t="shared" si="1"/>
        <v>5.8539762190223561E-3</v>
      </c>
      <c r="V20" s="652" t="s">
        <v>1080</v>
      </c>
      <c r="W20" s="653">
        <f t="shared" si="2"/>
        <v>6.8518958170767988E-2</v>
      </c>
      <c r="X20" s="654">
        <f t="shared" si="3"/>
        <v>2.1318958170767986E-2</v>
      </c>
      <c r="Z20" s="652" t="s">
        <v>1081</v>
      </c>
      <c r="AA20" s="653">
        <f t="shared" si="4"/>
        <v>6.2664981951745621E-2</v>
      </c>
      <c r="AB20" s="654">
        <f t="shared" si="6"/>
        <v>1.5464981951745628E-2</v>
      </c>
    </row>
    <row r="21" spans="1:28" ht="15" customHeight="1">
      <c r="A21" s="3" t="s">
        <v>1082</v>
      </c>
      <c r="B21" s="3" t="s">
        <v>1083</v>
      </c>
      <c r="C21" s="388">
        <v>0.1003</v>
      </c>
      <c r="F21" s="3" t="s">
        <v>1084</v>
      </c>
      <c r="G21" s="3" t="s">
        <v>1039</v>
      </c>
      <c r="H21" s="387">
        <v>5.74819192369697E-2</v>
      </c>
      <c r="I21" s="507">
        <v>6.2995773939031607E-2</v>
      </c>
      <c r="J21" s="507">
        <v>0.1101957739390316</v>
      </c>
      <c r="K21" s="388" t="s">
        <v>963</v>
      </c>
      <c r="L21" s="473">
        <v>0.28249999999999997</v>
      </c>
      <c r="N21" s="652" t="s">
        <v>1085</v>
      </c>
      <c r="O21" s="653">
        <f t="shared" si="7"/>
        <v>5.8820579658656322E-2</v>
      </c>
      <c r="P21" s="654">
        <f t="shared" si="8"/>
        <v>1.1620579658656319E-2</v>
      </c>
      <c r="R21" s="655" t="s">
        <v>1086</v>
      </c>
      <c r="S21" s="656">
        <f t="shared" ref="S21" si="9">VLOOKUP(R21,$F$2:$K$178,5,FALSE)</f>
        <v>5.5597475094507666E-2</v>
      </c>
      <c r="T21" s="657">
        <f t="shared" ref="T21" si="10">VLOOKUP(R21,$F$2:$K$178,4,FALSE)</f>
        <v>8.3974750945076757E-3</v>
      </c>
      <c r="V21" s="652" t="s">
        <v>1087</v>
      </c>
      <c r="W21" s="653">
        <f t="shared" si="2"/>
        <v>5.5413041262508976E-2</v>
      </c>
      <c r="X21" s="654">
        <f t="shared" si="3"/>
        <v>8.2130412625089771E-3</v>
      </c>
      <c r="Z21" s="652" t="s">
        <v>1088</v>
      </c>
      <c r="AA21" s="653">
        <f t="shared" si="4"/>
        <v>0.10049739542691996</v>
      </c>
      <c r="AB21" s="654">
        <f t="shared" si="6"/>
        <v>5.3297395426919955E-2</v>
      </c>
    </row>
    <row r="22" spans="1:28" ht="15" customHeight="1">
      <c r="A22" s="3" t="s">
        <v>1089</v>
      </c>
      <c r="B22" s="3" t="s">
        <v>1090</v>
      </c>
      <c r="C22" s="388">
        <v>0.13250000000000001</v>
      </c>
      <c r="F22" s="3" t="s">
        <v>1091</v>
      </c>
      <c r="G22" s="3" t="s">
        <v>962</v>
      </c>
      <c r="H22" s="387">
        <v>4.8632414333635951E-2</v>
      </c>
      <c r="I22" s="507">
        <v>5.3297395426919955E-2</v>
      </c>
      <c r="J22" s="507">
        <v>0.10049739542691996</v>
      </c>
      <c r="K22" s="388" t="s">
        <v>963</v>
      </c>
      <c r="L22" s="473">
        <v>0.3</v>
      </c>
      <c r="N22" s="652" t="s">
        <v>1092</v>
      </c>
      <c r="O22" s="653">
        <f t="shared" si="7"/>
        <v>9.0799016914808295E-2</v>
      </c>
      <c r="P22" s="654">
        <f t="shared" si="8"/>
        <v>4.3599016914808296E-2</v>
      </c>
      <c r="V22" s="652" t="s">
        <v>1093</v>
      </c>
      <c r="W22" s="653">
        <f t="shared" si="2"/>
        <v>5.8820579658656322E-2</v>
      </c>
      <c r="X22" s="654">
        <f t="shared" si="3"/>
        <v>1.1620579658656319E-2</v>
      </c>
      <c r="Z22" s="652" t="s">
        <v>1094</v>
      </c>
      <c r="AA22" s="653">
        <f t="shared" si="4"/>
        <v>8.2061738975968967E-2</v>
      </c>
      <c r="AB22" s="654">
        <f t="shared" si="6"/>
        <v>3.4861738975968962E-2</v>
      </c>
    </row>
    <row r="23" spans="1:28" ht="15" customHeight="1">
      <c r="A23" s="3" t="s">
        <v>1095</v>
      </c>
      <c r="B23" s="3" t="s">
        <v>1096</v>
      </c>
      <c r="C23" s="388">
        <v>0.15</v>
      </c>
      <c r="F23" s="3" t="s">
        <v>1097</v>
      </c>
      <c r="G23" s="3" t="s">
        <v>962</v>
      </c>
      <c r="H23" s="387">
        <v>4.8632414333635951E-2</v>
      </c>
      <c r="I23" s="507">
        <v>5.3297395426919955E-2</v>
      </c>
      <c r="J23" s="507">
        <v>0.10049739542691996</v>
      </c>
      <c r="K23" s="388" t="s">
        <v>963</v>
      </c>
      <c r="L23" s="473">
        <v>0.3</v>
      </c>
      <c r="N23" s="652" t="s">
        <v>1098</v>
      </c>
      <c r="O23" s="653">
        <f t="shared" si="7"/>
        <v>0.23898657542527282</v>
      </c>
      <c r="P23" s="654">
        <f t="shared" si="8"/>
        <v>0.19178657542527283</v>
      </c>
      <c r="R23" s="652" t="s">
        <v>953</v>
      </c>
      <c r="S23" s="653">
        <f t="shared" ref="S23:S31" si="11">VLOOKUP(R23,$F$2:$K$178,5,FALSE)</f>
        <v>0.1198067796717549</v>
      </c>
      <c r="T23" s="654">
        <f t="shared" ref="T23:T31" si="12">VLOOKUP(R23,$F$2:$K$178,4,FALSE)</f>
        <v>7.2606779671754898E-2</v>
      </c>
      <c r="V23" s="652" t="s">
        <v>1099</v>
      </c>
      <c r="W23" s="653">
        <f t="shared" si="2"/>
        <v>0.1101957739390316</v>
      </c>
      <c r="X23" s="654">
        <f t="shared" si="3"/>
        <v>6.2995773939031607E-2</v>
      </c>
      <c r="Z23" s="655" t="s">
        <v>1100</v>
      </c>
      <c r="AA23" s="656">
        <f t="shared" ref="AA23" si="13">VLOOKUP(Z23,$F$2:$K$178,5,FALSE)</f>
        <v>5.746516039784582E-2</v>
      </c>
      <c r="AB23" s="657">
        <f t="shared" ref="AB23" si="14">VLOOKUP(Z23,$F$2:$K$178,4,FALSE)</f>
        <v>1.0265160397845832E-2</v>
      </c>
    </row>
    <row r="24" spans="1:28" ht="15" customHeight="1">
      <c r="A24" s="3" t="s">
        <v>1101</v>
      </c>
      <c r="B24" s="3" t="s">
        <v>1102</v>
      </c>
      <c r="C24" s="388">
        <v>0.18</v>
      </c>
      <c r="F24" s="3" t="s">
        <v>1103</v>
      </c>
      <c r="G24" s="3" t="s">
        <v>1012</v>
      </c>
      <c r="H24" s="387">
        <v>3.1810382490361881E-2</v>
      </c>
      <c r="I24" s="507">
        <v>3.4861738975968962E-2</v>
      </c>
      <c r="J24" s="507">
        <v>8.2061738975968967E-2</v>
      </c>
      <c r="K24" s="388" t="s">
        <v>963</v>
      </c>
      <c r="L24" s="473">
        <v>0.3</v>
      </c>
      <c r="N24" s="655" t="s">
        <v>1104</v>
      </c>
      <c r="O24" s="656">
        <f t="shared" ref="O24" si="15">VLOOKUP(N24,$F$2:$K$178,5,FALSE)</f>
        <v>8.7100431721070987E-2</v>
      </c>
      <c r="P24" s="657">
        <f t="shared" ref="P24" si="16">VLOOKUP(N24,$F$2:$K$178,4,FALSE)</f>
        <v>3.9900431721070995E-2</v>
      </c>
      <c r="R24" s="652" t="s">
        <v>970</v>
      </c>
      <c r="S24" s="653">
        <f t="shared" si="11"/>
        <v>5.5413041262508976E-2</v>
      </c>
      <c r="T24" s="654">
        <f t="shared" si="12"/>
        <v>8.2130412625089771E-3</v>
      </c>
      <c r="V24" s="655" t="s">
        <v>1105</v>
      </c>
      <c r="W24" s="656">
        <f t="shared" ref="W24" si="17">VLOOKUP(V24,$F$2:$K$178,5,FALSE)</f>
        <v>6.798054108360041E-2</v>
      </c>
      <c r="X24" s="657">
        <f t="shared" ref="X24" si="18">VLOOKUP(V24,$F$2:$K$178,4,FALSE)</f>
        <v>2.0780541083600421E-2</v>
      </c>
    </row>
    <row r="25" spans="1:28" ht="15" customHeight="1">
      <c r="A25" s="3" t="s">
        <v>1106</v>
      </c>
      <c r="B25" s="3" t="s">
        <v>1107</v>
      </c>
      <c r="C25" s="388">
        <v>0.21</v>
      </c>
      <c r="F25" s="3" t="s">
        <v>1108</v>
      </c>
      <c r="G25" s="3" t="s">
        <v>1032</v>
      </c>
      <c r="H25" s="387">
        <v>2.6548514710001261E-2</v>
      </c>
      <c r="I25" s="507">
        <v>2.9095135536334988E-2</v>
      </c>
      <c r="J25" s="507">
        <v>7.629513553633499E-2</v>
      </c>
      <c r="K25" s="388">
        <v>3.0099999999999998E-2</v>
      </c>
      <c r="L25" s="473">
        <v>0.28000000000000003</v>
      </c>
      <c r="R25" s="652" t="s">
        <v>1019</v>
      </c>
      <c r="S25" s="653">
        <f t="shared" si="11"/>
        <v>0.10049739542691996</v>
      </c>
      <c r="T25" s="654">
        <f t="shared" si="12"/>
        <v>5.3297395426919955E-2</v>
      </c>
      <c r="Z25" s="652" t="s">
        <v>1109</v>
      </c>
      <c r="AA25" s="653">
        <f>VLOOKUP(Z25,$F$2:$K$178,5,FALSE)</f>
        <v>4.7199999999999999E-2</v>
      </c>
      <c r="AB25" s="654">
        <f>VLOOKUP(Z25,$F$2:$K$178,4,FALSE)</f>
        <v>0</v>
      </c>
    </row>
    <row r="26" spans="1:28" ht="15" customHeight="1">
      <c r="A26" s="3" t="s">
        <v>1110</v>
      </c>
      <c r="B26" s="3" t="s">
        <v>1111</v>
      </c>
      <c r="C26" s="388">
        <v>0.24</v>
      </c>
      <c r="F26" s="3" t="s">
        <v>1112</v>
      </c>
      <c r="G26" s="3" t="s">
        <v>1039</v>
      </c>
      <c r="H26" s="387">
        <v>5.74819192369697E-2</v>
      </c>
      <c r="I26" s="507">
        <v>6.2995773939031607E-2</v>
      </c>
      <c r="J26" s="507">
        <v>0.1101957739390316</v>
      </c>
      <c r="K26" s="388" t="s">
        <v>963</v>
      </c>
      <c r="L26" s="473">
        <v>0.27500000000000002</v>
      </c>
      <c r="N26" s="660"/>
      <c r="R26" s="652" t="s">
        <v>1058</v>
      </c>
      <c r="S26" s="653">
        <f t="shared" si="11"/>
        <v>6.2664981951745621E-2</v>
      </c>
      <c r="T26" s="654">
        <f t="shared" si="12"/>
        <v>1.5464981951745628E-2</v>
      </c>
      <c r="V26" s="652" t="s">
        <v>1113</v>
      </c>
      <c r="W26" s="653">
        <f t="shared" ref="W26:W35" si="19">VLOOKUP(V26,$F$2:$K$178,5,FALSE)</f>
        <v>0.10049739542691996</v>
      </c>
      <c r="X26" s="654">
        <f t="shared" ref="X26:X35" si="20">VLOOKUP(V26,$F$2:$K$178,4,FALSE)</f>
        <v>5.3297395426919955E-2</v>
      </c>
      <c r="Z26" s="652" t="s">
        <v>1114</v>
      </c>
      <c r="AA26" s="653">
        <f>VLOOKUP(Z26,$F$2:$K$178,5,FALSE)</f>
        <v>4.7199999999999999E-2</v>
      </c>
      <c r="AB26" s="654">
        <f>VLOOKUP(Z26,$F$2:$K$178,4,FALSE)</f>
        <v>0</v>
      </c>
    </row>
    <row r="27" spans="1:28" ht="15" customHeight="1">
      <c r="F27" s="3" t="s">
        <v>1115</v>
      </c>
      <c r="G27" s="3" t="s">
        <v>962</v>
      </c>
      <c r="H27" s="387">
        <v>4.8632414333635951E-2</v>
      </c>
      <c r="I27" s="507">
        <v>5.3297395426919955E-2</v>
      </c>
      <c r="J27" s="507">
        <v>0.10049739542691996</v>
      </c>
      <c r="K27" s="3">
        <v>9.1000000000000004E-3</v>
      </c>
      <c r="L27" s="473">
        <v>0.3</v>
      </c>
      <c r="R27" s="652" t="s">
        <v>1064</v>
      </c>
      <c r="S27" s="653">
        <f t="shared" si="11"/>
        <v>7.1402259890584963E-2</v>
      </c>
      <c r="T27" s="654">
        <f t="shared" si="12"/>
        <v>2.4202259890584967E-2</v>
      </c>
      <c r="V27" s="652" t="s">
        <v>1116</v>
      </c>
      <c r="W27" s="653">
        <f t="shared" si="19"/>
        <v>5.4015076792294683E-2</v>
      </c>
      <c r="X27" s="654">
        <f t="shared" si="20"/>
        <v>6.8150767922946836E-3</v>
      </c>
      <c r="AA27" s="3"/>
      <c r="AB27" s="3"/>
    </row>
    <row r="28" spans="1:28" ht="15" customHeight="1">
      <c r="A28" s="480" t="s">
        <v>1117</v>
      </c>
      <c r="B28" s="480"/>
      <c r="C28" s="480"/>
      <c r="D28" s="480"/>
      <c r="F28" s="3" t="s">
        <v>1118</v>
      </c>
      <c r="G28" s="3" t="s">
        <v>1039</v>
      </c>
      <c r="H28" s="387">
        <v>5.74819192369697E-2</v>
      </c>
      <c r="I28" s="507">
        <v>6.2995773939031607E-2</v>
      </c>
      <c r="J28" s="507">
        <v>0.1101957739390316</v>
      </c>
      <c r="K28" s="3" t="s">
        <v>963</v>
      </c>
      <c r="L28" s="473">
        <v>0.28249999999999997</v>
      </c>
      <c r="R28" s="652" t="s">
        <v>1077</v>
      </c>
      <c r="S28" s="653">
        <f t="shared" si="11"/>
        <v>8.2061738975968967E-2</v>
      </c>
      <c r="T28" s="654">
        <f t="shared" si="12"/>
        <v>3.4861738975968962E-2</v>
      </c>
      <c r="V28" s="652" t="s">
        <v>1119</v>
      </c>
      <c r="W28" s="653">
        <f t="shared" si="19"/>
        <v>9.0799016914808295E-2</v>
      </c>
      <c r="X28" s="654">
        <f t="shared" si="20"/>
        <v>4.3599016914808296E-2</v>
      </c>
    </row>
    <row r="29" spans="1:28" ht="15" customHeight="1">
      <c r="F29" s="3" t="s">
        <v>1120</v>
      </c>
      <c r="G29" s="3" t="s">
        <v>962</v>
      </c>
      <c r="H29" s="387">
        <v>4.8632414333635951E-2</v>
      </c>
      <c r="I29" s="507">
        <v>5.3297395426919955E-2</v>
      </c>
      <c r="J29" s="507">
        <v>0.10049739542691996</v>
      </c>
      <c r="K29" s="3" t="s">
        <v>963</v>
      </c>
      <c r="L29" s="473">
        <v>0.25</v>
      </c>
      <c r="R29" s="652" t="s">
        <v>1108</v>
      </c>
      <c r="S29" s="653">
        <f t="shared" si="11"/>
        <v>7.629513553633499E-2</v>
      </c>
      <c r="T29" s="654">
        <f t="shared" si="12"/>
        <v>2.9095135536334988E-2</v>
      </c>
      <c r="V29" s="652" t="s">
        <v>1121</v>
      </c>
      <c r="W29" s="653">
        <f t="shared" si="19"/>
        <v>5.4015076792294683E-2</v>
      </c>
      <c r="X29" s="654">
        <f t="shared" si="20"/>
        <v>6.8150767922946836E-3</v>
      </c>
    </row>
    <row r="30" spans="1:28" ht="15" customHeight="1">
      <c r="F30" s="3" t="s">
        <v>1122</v>
      </c>
      <c r="G30" s="3" t="s">
        <v>962</v>
      </c>
      <c r="H30" s="387">
        <v>4.8632414333635951E-2</v>
      </c>
      <c r="I30" s="507">
        <v>5.3297395426919955E-2</v>
      </c>
      <c r="J30" s="507">
        <v>0.10049739542691996</v>
      </c>
      <c r="K30" s="3">
        <v>8.4099999999999994E-2</v>
      </c>
      <c r="L30" s="473">
        <v>0.3</v>
      </c>
      <c r="R30" s="652" t="s">
        <v>1120</v>
      </c>
      <c r="S30" s="653">
        <f t="shared" si="11"/>
        <v>0.10049739542691996</v>
      </c>
      <c r="T30" s="654">
        <f t="shared" si="12"/>
        <v>5.3297395426919955E-2</v>
      </c>
      <c r="V30" s="652" t="s">
        <v>1123</v>
      </c>
      <c r="W30" s="653">
        <f t="shared" si="19"/>
        <v>0.23898657542527282</v>
      </c>
      <c r="X30" s="654">
        <f t="shared" si="20"/>
        <v>0.19178657542527283</v>
      </c>
    </row>
    <row r="31" spans="1:28" ht="15" customHeight="1">
      <c r="F31" s="3" t="s">
        <v>1124</v>
      </c>
      <c r="G31" s="3" t="s">
        <v>1125</v>
      </c>
      <c r="H31" s="387">
        <v>0.10603460830120626</v>
      </c>
      <c r="I31" s="507">
        <v>0.11620579658656319</v>
      </c>
      <c r="J31" s="507">
        <v>0.16340579658656318</v>
      </c>
      <c r="K31" s="3">
        <v>3.7000000000000002E-3</v>
      </c>
      <c r="L31" s="473">
        <v>0.35</v>
      </c>
      <c r="R31" s="655" t="s">
        <v>1126</v>
      </c>
      <c r="S31" s="656">
        <f t="shared" si="11"/>
        <v>9.6409138590314705E-2</v>
      </c>
      <c r="T31" s="657">
        <f t="shared" si="12"/>
        <v>4.9209138590314686E-2</v>
      </c>
      <c r="V31" s="652" t="s">
        <v>1127</v>
      </c>
      <c r="W31" s="653">
        <f t="shared" si="19"/>
        <v>8.2061738975968967E-2</v>
      </c>
      <c r="X31" s="654">
        <f t="shared" si="20"/>
        <v>3.4861738975968962E-2</v>
      </c>
    </row>
    <row r="32" spans="1:28" ht="15" customHeight="1">
      <c r="F32" s="372" t="s">
        <v>1126</v>
      </c>
      <c r="G32" s="372"/>
      <c r="H32" s="506">
        <v>4.4901991884517836E-2</v>
      </c>
      <c r="I32" s="644">
        <v>4.9209138590314686E-2</v>
      </c>
      <c r="J32" s="644">
        <v>9.6409138590314705E-2</v>
      </c>
      <c r="K32" s="372" t="s">
        <v>963</v>
      </c>
      <c r="L32" s="500">
        <v>0.28222966126230448</v>
      </c>
      <c r="V32" s="652" t="s">
        <v>1128</v>
      </c>
      <c r="W32" s="653">
        <f t="shared" si="19"/>
        <v>5.3053976219022358E-2</v>
      </c>
      <c r="X32" s="654">
        <f t="shared" si="20"/>
        <v>5.8539762190223561E-3</v>
      </c>
    </row>
    <row r="33" spans="6:24" ht="15" customHeight="1">
      <c r="F33" s="3" t="s">
        <v>958</v>
      </c>
      <c r="G33" s="3" t="s">
        <v>1012</v>
      </c>
      <c r="H33" s="387">
        <v>3.1810382490361881E-2</v>
      </c>
      <c r="I33" s="507">
        <v>3.4861738975968962E-2</v>
      </c>
      <c r="J33" s="507">
        <v>8.2061738975968967E-2</v>
      </c>
      <c r="K33" s="3" t="s">
        <v>963</v>
      </c>
      <c r="L33" s="473">
        <v>0.25</v>
      </c>
      <c r="V33" s="652" t="s">
        <v>1129</v>
      </c>
      <c r="W33" s="653">
        <f t="shared" si="19"/>
        <v>5.4015076792294683E-2</v>
      </c>
      <c r="X33" s="654">
        <f t="shared" si="20"/>
        <v>6.8150767922946836E-3</v>
      </c>
    </row>
    <row r="34" spans="6:24" ht="15" customHeight="1">
      <c r="F34" s="3" t="s">
        <v>967</v>
      </c>
      <c r="G34" s="3" t="s">
        <v>962</v>
      </c>
      <c r="H34" s="387">
        <v>4.8632414333635951E-2</v>
      </c>
      <c r="I34" s="507">
        <v>5.3297395426919955E-2</v>
      </c>
      <c r="J34" s="507">
        <v>0.10049739542691996</v>
      </c>
      <c r="K34" s="3">
        <v>1.2699999999999999E-2</v>
      </c>
      <c r="L34" s="473">
        <v>0.2</v>
      </c>
      <c r="V34" s="652" t="s">
        <v>1103</v>
      </c>
      <c r="W34" s="653">
        <f t="shared" si="19"/>
        <v>8.2061738975968967E-2</v>
      </c>
      <c r="X34" s="654">
        <f t="shared" si="20"/>
        <v>3.4861738975968962E-2</v>
      </c>
    </row>
    <row r="35" spans="6:24" ht="15" customHeight="1">
      <c r="F35" s="3" t="s">
        <v>939</v>
      </c>
      <c r="G35" s="3" t="s">
        <v>982</v>
      </c>
      <c r="H35" s="387">
        <v>6.2185710131534505E-3</v>
      </c>
      <c r="I35" s="507">
        <v>6.8150767922946836E-3</v>
      </c>
      <c r="J35" s="507">
        <v>5.4015076792294683E-2</v>
      </c>
      <c r="K35" s="3">
        <v>8.0000000000000002E-3</v>
      </c>
      <c r="L35" s="473">
        <v>0.25</v>
      </c>
      <c r="V35" s="652" t="s">
        <v>1130</v>
      </c>
      <c r="W35" s="653">
        <f t="shared" si="19"/>
        <v>5.2005502866361637E-2</v>
      </c>
      <c r="X35" s="654">
        <f t="shared" si="20"/>
        <v>4.8055028663616358E-3</v>
      </c>
    </row>
    <row r="36" spans="6:24" ht="15" customHeight="1">
      <c r="F36" s="3" t="s">
        <v>980</v>
      </c>
      <c r="G36" s="3" t="s">
        <v>1012</v>
      </c>
      <c r="H36" s="387">
        <v>3.1810382490361881E-2</v>
      </c>
      <c r="I36" s="507">
        <v>3.4861738975968962E-2</v>
      </c>
      <c r="J36" s="507">
        <v>8.2061738975968967E-2</v>
      </c>
      <c r="K36" s="3">
        <v>2.0199999999999999E-2</v>
      </c>
      <c r="L36" s="473">
        <v>0.2</v>
      </c>
      <c r="V36" s="655" t="s">
        <v>1131</v>
      </c>
      <c r="W36" s="656">
        <f t="shared" ref="W36" si="21">VLOOKUP(V36,$F$2:$K$178,5,FALSE)</f>
        <v>6.2501785433972112E-2</v>
      </c>
      <c r="X36" s="657">
        <f t="shared" ref="X36" si="22">VLOOKUP(V36,$F$2:$K$178,4,FALSE)</f>
        <v>1.530178543397212E-2</v>
      </c>
    </row>
    <row r="37" spans="6:24" ht="15" customHeight="1">
      <c r="F37" s="3" t="s">
        <v>987</v>
      </c>
      <c r="G37" s="3" t="s">
        <v>976</v>
      </c>
      <c r="H37" s="387">
        <v>5.3415930497600151E-3</v>
      </c>
      <c r="I37" s="507">
        <v>5.8539762190223561E-3</v>
      </c>
      <c r="J37" s="507">
        <v>5.3053976219022358E-2</v>
      </c>
      <c r="K37" s="3" t="s">
        <v>963</v>
      </c>
      <c r="L37" s="473">
        <v>0.16500000000000001</v>
      </c>
    </row>
    <row r="38" spans="6:24" ht="15" customHeight="1">
      <c r="F38" s="3" t="s">
        <v>993</v>
      </c>
      <c r="G38" s="3" t="s">
        <v>1018</v>
      </c>
      <c r="H38" s="387">
        <v>1.9452965733454383E-2</v>
      </c>
      <c r="I38" s="507">
        <v>2.1318958170767986E-2</v>
      </c>
      <c r="J38" s="507">
        <v>6.8518958170767988E-2</v>
      </c>
      <c r="K38" s="3" t="s">
        <v>963</v>
      </c>
      <c r="L38" s="473">
        <v>0.3</v>
      </c>
    </row>
    <row r="39" spans="6:24" ht="15" customHeight="1">
      <c r="F39" s="3" t="s">
        <v>1000</v>
      </c>
      <c r="G39" s="3" t="s">
        <v>1010</v>
      </c>
      <c r="H39" s="387">
        <v>1.6822031843274077E-2</v>
      </c>
      <c r="I39" s="507">
        <v>1.8435656450951004E-2</v>
      </c>
      <c r="J39" s="507">
        <v>6.5635656450950999E-2</v>
      </c>
      <c r="K39" s="3" t="s">
        <v>963</v>
      </c>
      <c r="L39" s="473">
        <v>0.15</v>
      </c>
    </row>
    <row r="40" spans="6:24" ht="15" customHeight="1">
      <c r="F40" s="3" t="s">
        <v>1008</v>
      </c>
      <c r="G40" s="3" t="s">
        <v>982</v>
      </c>
      <c r="H40" s="387">
        <v>6.2185710131534505E-3</v>
      </c>
      <c r="I40" s="507">
        <v>6.8150767922946836E-3</v>
      </c>
      <c r="J40" s="507">
        <v>5.4015076792294683E-2</v>
      </c>
      <c r="K40" s="3">
        <v>5.6399999999999999E-2</v>
      </c>
      <c r="L40" s="473">
        <v>0.30620000000000003</v>
      </c>
    </row>
    <row r="41" spans="6:24" ht="15" customHeight="1">
      <c r="F41" s="3" t="s">
        <v>1016</v>
      </c>
      <c r="G41" s="3" t="s">
        <v>969</v>
      </c>
      <c r="H41" s="387">
        <v>4.3848898169671765E-3</v>
      </c>
      <c r="I41" s="507">
        <v>4.8055028663616358E-3</v>
      </c>
      <c r="J41" s="507">
        <v>5.2005502866361637E-2</v>
      </c>
      <c r="K41" s="3" t="s">
        <v>963</v>
      </c>
      <c r="L41" s="473">
        <v>0.25</v>
      </c>
    </row>
    <row r="42" spans="6:24" ht="15" customHeight="1">
      <c r="F42" s="3" t="s">
        <v>1132</v>
      </c>
      <c r="G42" s="3" t="s">
        <v>1004</v>
      </c>
      <c r="H42" s="387">
        <v>7.9600000000000004E-2</v>
      </c>
      <c r="I42" s="507">
        <v>8.72E-2</v>
      </c>
      <c r="J42" s="507">
        <v>0.13439999999999999</v>
      </c>
      <c r="K42" s="3">
        <v>1.0800000000000001E-2</v>
      </c>
      <c r="L42" s="473">
        <v>0.21129999999999999</v>
      </c>
    </row>
    <row r="43" spans="6:24" ht="15" customHeight="1">
      <c r="F43" s="3" t="s">
        <v>1023</v>
      </c>
      <c r="G43" s="3" t="s">
        <v>976</v>
      </c>
      <c r="H43" s="387">
        <v>5.3415930497600151E-3</v>
      </c>
      <c r="I43" s="507">
        <v>5.8539762190223561E-3</v>
      </c>
      <c r="J43" s="507">
        <v>5.3053976219022358E-2</v>
      </c>
      <c r="K43" s="3" t="s">
        <v>963</v>
      </c>
      <c r="L43" s="473">
        <v>0.12</v>
      </c>
    </row>
    <row r="44" spans="6:24" ht="15" customHeight="1">
      <c r="F44" s="3" t="s">
        <v>1030</v>
      </c>
      <c r="G44" s="3" t="s">
        <v>995</v>
      </c>
      <c r="H44" s="387">
        <v>1.0603460830120627E-2</v>
      </c>
      <c r="I44" s="507">
        <v>1.1620579658656319E-2</v>
      </c>
      <c r="J44" s="507">
        <v>5.8820579658656322E-2</v>
      </c>
      <c r="K44" s="3" t="s">
        <v>963</v>
      </c>
      <c r="L44" s="473">
        <v>0.24</v>
      </c>
    </row>
    <row r="45" spans="6:24" ht="15" customHeight="1">
      <c r="F45" s="3" t="s">
        <v>1133</v>
      </c>
      <c r="G45" s="3" t="s">
        <v>1039</v>
      </c>
      <c r="H45" s="387">
        <v>5.74819192369697E-2</v>
      </c>
      <c r="I45" s="507">
        <v>6.2995773939031607E-2</v>
      </c>
      <c r="J45" s="507">
        <v>0.1101957739390316</v>
      </c>
      <c r="K45" s="3">
        <v>1.18E-2</v>
      </c>
      <c r="L45" s="473">
        <v>0.21129999999999999</v>
      </c>
    </row>
    <row r="46" spans="6:24" ht="15" customHeight="1">
      <c r="F46" s="3" t="s">
        <v>1037</v>
      </c>
      <c r="G46" s="3" t="s">
        <v>1039</v>
      </c>
      <c r="H46" s="387">
        <v>5.74819192369697E-2</v>
      </c>
      <c r="I46" s="507">
        <v>6.2995773939031607E-2</v>
      </c>
      <c r="J46" s="507">
        <v>0.1101957739390316</v>
      </c>
      <c r="K46" s="3">
        <v>5.4999999999999997E-3</v>
      </c>
      <c r="L46" s="473">
        <v>0.25</v>
      </c>
    </row>
    <row r="47" spans="6:24" ht="15" customHeight="1">
      <c r="F47" s="3" t="s">
        <v>1043</v>
      </c>
      <c r="G47" s="3" t="s">
        <v>1039</v>
      </c>
      <c r="H47" s="387">
        <v>5.74819192369697E-2</v>
      </c>
      <c r="I47" s="507">
        <v>6.2995773939031607E-2</v>
      </c>
      <c r="J47" s="507">
        <v>0.1101957739390316</v>
      </c>
      <c r="K47" s="3">
        <v>2.0999999999999999E-3</v>
      </c>
      <c r="L47" s="473">
        <v>0.35</v>
      </c>
    </row>
    <row r="48" spans="6:24" ht="15" customHeight="1">
      <c r="F48" s="3" t="s">
        <v>1050</v>
      </c>
      <c r="G48" s="3" t="s">
        <v>962</v>
      </c>
      <c r="H48" s="387">
        <v>4.8632414333635951E-2</v>
      </c>
      <c r="I48" s="507">
        <v>5.3297395426919955E-2</v>
      </c>
      <c r="J48" s="507">
        <v>0.10049739542691996</v>
      </c>
      <c r="K48" s="3" t="s">
        <v>963</v>
      </c>
      <c r="L48" s="473">
        <v>0.3</v>
      </c>
    </row>
    <row r="49" spans="6:12" ht="15" customHeight="1">
      <c r="F49" s="3" t="s">
        <v>1056</v>
      </c>
      <c r="G49" s="3" t="s">
        <v>1010</v>
      </c>
      <c r="H49" s="387">
        <v>1.6822031843274077E-2</v>
      </c>
      <c r="I49" s="507">
        <v>1.8435656450951004E-2</v>
      </c>
      <c r="J49" s="507">
        <v>6.5635656450950999E-2</v>
      </c>
      <c r="K49" s="3" t="s">
        <v>963</v>
      </c>
      <c r="L49" s="473">
        <v>0.3</v>
      </c>
    </row>
    <row r="50" spans="6:12" ht="15" customHeight="1">
      <c r="F50" s="3" t="s">
        <v>1062</v>
      </c>
      <c r="G50" s="3" t="s">
        <v>952</v>
      </c>
      <c r="H50" s="387">
        <v>0</v>
      </c>
      <c r="I50" s="507">
        <v>0</v>
      </c>
      <c r="J50" s="507">
        <v>4.7199999999999999E-2</v>
      </c>
      <c r="K50" s="3">
        <v>6.4000000000000001E-2</v>
      </c>
      <c r="L50" s="473">
        <v>0.17</v>
      </c>
    </row>
    <row r="51" spans="6:12" ht="15" customHeight="1">
      <c r="F51" s="3" t="s">
        <v>1134</v>
      </c>
      <c r="G51" s="3" t="s">
        <v>1039</v>
      </c>
      <c r="H51" s="387">
        <v>5.74819192369697E-2</v>
      </c>
      <c r="I51" s="507">
        <v>6.2995773939031607E-2</v>
      </c>
      <c r="J51" s="507">
        <v>0.1101957739390316</v>
      </c>
      <c r="K51" s="3">
        <v>8.43E-2</v>
      </c>
      <c r="L51" s="473">
        <v>0.3</v>
      </c>
    </row>
    <row r="52" spans="6:12" ht="15" customHeight="1">
      <c r="F52" s="3" t="s">
        <v>1068</v>
      </c>
      <c r="G52" s="3" t="s">
        <v>954</v>
      </c>
      <c r="H52" s="387">
        <v>6.6251698870904069E-2</v>
      </c>
      <c r="I52" s="507">
        <v>7.2606779671754898E-2</v>
      </c>
      <c r="J52" s="507">
        <v>0.1198067796717549</v>
      </c>
      <c r="K52" s="3">
        <v>7.0000000000000001E-3</v>
      </c>
      <c r="L52" s="473">
        <v>0.28000000000000003</v>
      </c>
    </row>
    <row r="53" spans="6:12" ht="15" customHeight="1">
      <c r="F53" s="3" t="s">
        <v>1074</v>
      </c>
      <c r="G53" s="3" t="s">
        <v>976</v>
      </c>
      <c r="H53" s="387">
        <v>5.3415930497600151E-3</v>
      </c>
      <c r="I53" s="507">
        <v>5.8539762190223561E-3</v>
      </c>
      <c r="J53" s="507">
        <v>5.3053976219022358E-2</v>
      </c>
      <c r="K53" s="3" t="s">
        <v>963</v>
      </c>
      <c r="L53" s="473">
        <v>0.2</v>
      </c>
    </row>
    <row r="54" spans="6:12" ht="15" customHeight="1">
      <c r="F54" s="3" t="s">
        <v>1081</v>
      </c>
      <c r="G54" s="3" t="s">
        <v>1002</v>
      </c>
      <c r="H54" s="387">
        <v>1.4111372683694367E-2</v>
      </c>
      <c r="I54" s="507">
        <v>1.5464981951745628E-2</v>
      </c>
      <c r="J54" s="507">
        <v>6.2664981951745621E-2</v>
      </c>
      <c r="K54" s="3" t="s">
        <v>963</v>
      </c>
      <c r="L54" s="473">
        <v>0.2</v>
      </c>
    </row>
    <row r="55" spans="6:12" ht="15" customHeight="1">
      <c r="F55" s="3" t="s">
        <v>1094</v>
      </c>
      <c r="G55" s="3" t="s">
        <v>1012</v>
      </c>
      <c r="H55" s="387">
        <v>3.1810382490361881E-2</v>
      </c>
      <c r="I55" s="507">
        <v>3.4861738975968962E-2</v>
      </c>
      <c r="J55" s="507">
        <v>8.2061738975968967E-2</v>
      </c>
      <c r="K55" s="3">
        <v>2.7000000000000001E-3</v>
      </c>
      <c r="L55" s="473">
        <v>0.2</v>
      </c>
    </row>
    <row r="56" spans="6:12" ht="15" customHeight="1">
      <c r="F56" s="372" t="s">
        <v>1100</v>
      </c>
      <c r="G56" s="372"/>
      <c r="H56" s="506">
        <v>9.3666980818175611E-3</v>
      </c>
      <c r="I56" s="644">
        <v>1.0265160397845832E-2</v>
      </c>
      <c r="J56" s="644">
        <v>5.746516039784582E-2</v>
      </c>
      <c r="K56" s="372">
        <v>3.8E-3</v>
      </c>
      <c r="L56" s="500">
        <v>0.2570099917658763</v>
      </c>
    </row>
    <row r="57" spans="6:12" ht="15" customHeight="1">
      <c r="F57" s="3" t="s">
        <v>1109</v>
      </c>
      <c r="G57" s="3" t="s">
        <v>952</v>
      </c>
      <c r="H57" s="387">
        <v>0</v>
      </c>
      <c r="I57" s="507">
        <v>0</v>
      </c>
      <c r="J57" s="507">
        <v>4.7199999999999999E-2</v>
      </c>
      <c r="K57" s="3" t="s">
        <v>963</v>
      </c>
      <c r="L57" s="473">
        <v>0.3</v>
      </c>
    </row>
    <row r="58" spans="6:12" ht="15" customHeight="1">
      <c r="F58" s="3" t="s">
        <v>1135</v>
      </c>
      <c r="G58" s="3" t="s">
        <v>1045</v>
      </c>
      <c r="H58" s="387">
        <v>3.9782909430302202E-2</v>
      </c>
      <c r="I58" s="507">
        <v>4.3599016914808296E-2</v>
      </c>
      <c r="J58" s="507">
        <v>9.0799016914808295E-2</v>
      </c>
      <c r="K58" s="3" t="s">
        <v>963</v>
      </c>
      <c r="L58" s="473">
        <v>0.2843</v>
      </c>
    </row>
    <row r="59" spans="6:12" ht="15" customHeight="1">
      <c r="F59" s="3" t="s">
        <v>1114</v>
      </c>
      <c r="G59" s="3" t="s">
        <v>952</v>
      </c>
      <c r="H59" s="387">
        <v>0</v>
      </c>
      <c r="I59" s="507">
        <v>0</v>
      </c>
      <c r="J59" s="507">
        <v>4.7199999999999999E-2</v>
      </c>
      <c r="K59" s="3" t="s">
        <v>963</v>
      </c>
      <c r="L59" s="473">
        <v>0.28000000000000003</v>
      </c>
    </row>
    <row r="60" spans="6:12" ht="15" customHeight="1">
      <c r="F60" s="3" t="s">
        <v>1136</v>
      </c>
      <c r="H60" s="387">
        <v>2.9822270937258018E-5</v>
      </c>
      <c r="I60" s="507">
        <v>3.2682921225493468E-5</v>
      </c>
      <c r="J60" s="507">
        <v>4.723268292122549E-2</v>
      </c>
      <c r="K60" s="3">
        <v>2.5999999999999999E-3</v>
      </c>
      <c r="L60" s="473">
        <v>0.29740327336331829</v>
      </c>
    </row>
    <row r="61" spans="6:12" ht="15" customHeight="1">
      <c r="F61" s="3" t="s">
        <v>1137</v>
      </c>
      <c r="G61" s="3" t="s">
        <v>1002</v>
      </c>
      <c r="H61" s="387">
        <v>1.4111372683694367E-2</v>
      </c>
      <c r="I61" s="507">
        <v>1.5464981951745628E-2</v>
      </c>
      <c r="J61" s="507">
        <v>6.2664981951745621E-2</v>
      </c>
      <c r="K61" s="3" t="s">
        <v>963</v>
      </c>
      <c r="L61" s="473">
        <v>0.25</v>
      </c>
    </row>
    <row r="62" spans="6:12" ht="15" customHeight="1">
      <c r="F62" s="3" t="s">
        <v>1138</v>
      </c>
      <c r="G62" s="3" t="s">
        <v>1032</v>
      </c>
      <c r="H62" s="387">
        <v>2.6548514710001261E-2</v>
      </c>
      <c r="I62" s="507">
        <v>2.9095135536334988E-2</v>
      </c>
      <c r="J62" s="507">
        <v>7.629513553633499E-2</v>
      </c>
      <c r="K62" s="3">
        <v>1.9300000000000001E-2</v>
      </c>
      <c r="L62" s="473">
        <v>0</v>
      </c>
    </row>
    <row r="63" spans="6:12" ht="15" customHeight="1">
      <c r="F63" s="3" t="s">
        <v>1139</v>
      </c>
      <c r="G63" s="3" t="s">
        <v>954</v>
      </c>
      <c r="H63" s="387">
        <v>6.6251698870904069E-2</v>
      </c>
      <c r="I63" s="507">
        <v>7.2606779671754898E-2</v>
      </c>
      <c r="J63" s="507">
        <v>0.1198067796717549</v>
      </c>
      <c r="K63" s="3" t="s">
        <v>963</v>
      </c>
      <c r="L63" s="473">
        <v>5.5E-2</v>
      </c>
    </row>
    <row r="64" spans="6:12" ht="15" customHeight="1">
      <c r="F64" s="3" t="s">
        <v>1140</v>
      </c>
      <c r="G64" s="3" t="s">
        <v>971</v>
      </c>
      <c r="H64" s="387">
        <v>7.4941753235439005E-3</v>
      </c>
      <c r="I64" s="507">
        <v>8.2130412625089771E-3</v>
      </c>
      <c r="J64" s="507">
        <v>5.5413041262508976E-2</v>
      </c>
      <c r="K64" s="3" t="s">
        <v>963</v>
      </c>
      <c r="L64" s="473">
        <v>0</v>
      </c>
    </row>
    <row r="65" spans="6:12" ht="15" customHeight="1">
      <c r="F65" s="3" t="s">
        <v>1141</v>
      </c>
      <c r="G65" s="3" t="s">
        <v>976</v>
      </c>
      <c r="H65" s="387">
        <v>5.3415930497600151E-3</v>
      </c>
      <c r="I65" s="507">
        <v>5.8539762190223561E-3</v>
      </c>
      <c r="J65" s="507">
        <v>5.3053976219022358E-2</v>
      </c>
      <c r="K65" s="3" t="s">
        <v>963</v>
      </c>
      <c r="L65" s="473">
        <v>0</v>
      </c>
    </row>
    <row r="66" spans="6:12" ht="15" customHeight="1">
      <c r="F66" s="3" t="s">
        <v>1142</v>
      </c>
      <c r="G66" s="3" t="s">
        <v>1004</v>
      </c>
      <c r="H66" s="387">
        <v>7.9565818860604404E-2</v>
      </c>
      <c r="I66" s="507">
        <v>8.7198033829616592E-2</v>
      </c>
      <c r="J66" s="507">
        <v>0.1343980338296166</v>
      </c>
      <c r="K66" s="3" t="s">
        <v>963</v>
      </c>
      <c r="L66" s="473">
        <v>0.27360000000000001</v>
      </c>
    </row>
    <row r="67" spans="6:12" ht="15" customHeight="1">
      <c r="F67" s="3" t="s">
        <v>1143</v>
      </c>
      <c r="G67" s="3" t="s">
        <v>995</v>
      </c>
      <c r="H67" s="387">
        <v>1.0603460830120627E-2</v>
      </c>
      <c r="I67" s="507">
        <v>1.1620579658656319E-2</v>
      </c>
      <c r="J67" s="507">
        <v>5.8820579658656322E-2</v>
      </c>
      <c r="K67" s="3" t="s">
        <v>963</v>
      </c>
      <c r="L67" s="473">
        <v>0.22</v>
      </c>
    </row>
    <row r="68" spans="6:12" ht="15" customHeight="1">
      <c r="F68" s="3" t="s">
        <v>1144</v>
      </c>
      <c r="G68" s="3" t="s">
        <v>1012</v>
      </c>
      <c r="H68" s="387">
        <v>3.1810382490361881E-2</v>
      </c>
      <c r="I68" s="507">
        <v>3.4861738975968962E-2</v>
      </c>
      <c r="J68" s="507">
        <v>8.2061738975968967E-2</v>
      </c>
      <c r="K68" s="3" t="s">
        <v>963</v>
      </c>
      <c r="L68" s="473">
        <v>0.27</v>
      </c>
    </row>
    <row r="69" spans="6:12" ht="15" customHeight="1">
      <c r="F69" s="3" t="s">
        <v>1145</v>
      </c>
      <c r="G69" s="3" t="s">
        <v>962</v>
      </c>
      <c r="H69" s="387">
        <v>4.8632414333635951E-2</v>
      </c>
      <c r="I69" s="507">
        <v>5.3297395426919955E-2</v>
      </c>
      <c r="J69" s="507">
        <v>0.10049739542691996</v>
      </c>
      <c r="K69" s="3" t="s">
        <v>963</v>
      </c>
      <c r="L69" s="473">
        <v>0.25</v>
      </c>
    </row>
    <row r="70" spans="6:12" ht="15" customHeight="1">
      <c r="F70" s="3" t="s">
        <v>1146</v>
      </c>
      <c r="G70" s="3" t="s">
        <v>1018</v>
      </c>
      <c r="H70" s="387">
        <v>1.9452965733454383E-2</v>
      </c>
      <c r="I70" s="507">
        <v>2.1318958170767986E-2</v>
      </c>
      <c r="J70" s="507">
        <v>6.8518958170767988E-2</v>
      </c>
      <c r="K70" s="3">
        <v>7.6E-3</v>
      </c>
      <c r="L70" s="473">
        <v>0.21129999999999999</v>
      </c>
    </row>
    <row r="71" spans="6:12" ht="15" customHeight="1">
      <c r="F71" s="3" t="s">
        <v>1147</v>
      </c>
      <c r="G71" s="3" t="s">
        <v>1018</v>
      </c>
      <c r="H71" s="387">
        <v>1.9452965733454383E-2</v>
      </c>
      <c r="I71" s="507">
        <v>2.1318958170767986E-2</v>
      </c>
      <c r="J71" s="507">
        <v>6.8518958170767988E-2</v>
      </c>
      <c r="K71" s="3">
        <v>1.11E-2</v>
      </c>
      <c r="L71" s="473">
        <v>0.27360000000000001</v>
      </c>
    </row>
    <row r="72" spans="6:12" ht="15" customHeight="1">
      <c r="F72" s="3" t="s">
        <v>1148</v>
      </c>
      <c r="G72" s="3" t="s">
        <v>1039</v>
      </c>
      <c r="H72" s="387">
        <v>5.74819192369697E-2</v>
      </c>
      <c r="I72" s="507">
        <v>6.2995773939031607E-2</v>
      </c>
      <c r="J72" s="507">
        <v>0.1101957739390316</v>
      </c>
      <c r="K72" s="3">
        <v>9.7999999999999997E-3</v>
      </c>
      <c r="L72" s="473">
        <v>0.27360000000000001</v>
      </c>
    </row>
    <row r="73" spans="6:12" ht="15" customHeight="1">
      <c r="F73" s="3" t="s">
        <v>1149</v>
      </c>
      <c r="G73" s="3" t="s">
        <v>1025</v>
      </c>
      <c r="H73" s="387">
        <v>2.208389962363469E-2</v>
      </c>
      <c r="I73" s="507">
        <v>2.4202259890584967E-2</v>
      </c>
      <c r="J73" s="507">
        <v>7.1402259890584963E-2</v>
      </c>
      <c r="K73" s="3">
        <v>1.6899999999999998E-2</v>
      </c>
      <c r="L73" s="473">
        <v>0.3</v>
      </c>
    </row>
    <row r="74" spans="6:12" ht="15" customHeight="1">
      <c r="F74" s="3" t="s">
        <v>1150</v>
      </c>
      <c r="G74" s="3" t="s">
        <v>1002</v>
      </c>
      <c r="H74" s="387">
        <v>1.4111372683694367E-2</v>
      </c>
      <c r="I74" s="507">
        <v>1.5464981951745628E-2</v>
      </c>
      <c r="J74" s="507">
        <v>6.2664981951745621E-2</v>
      </c>
      <c r="K74" s="3">
        <v>1.8700000000000001E-2</v>
      </c>
      <c r="L74" s="473">
        <v>0</v>
      </c>
    </row>
    <row r="75" spans="6:12" ht="15" customHeight="1">
      <c r="F75" s="3" t="s">
        <v>1151</v>
      </c>
      <c r="H75" s="387">
        <v>4.8463770410045445E-2</v>
      </c>
      <c r="I75" s="507">
        <v>5.3112574623653069E-2</v>
      </c>
      <c r="J75" s="507">
        <v>0.10031257462365305</v>
      </c>
      <c r="K75" s="3" t="s">
        <v>963</v>
      </c>
      <c r="L75" s="473">
        <v>0.24251846496106783</v>
      </c>
    </row>
    <row r="76" spans="6:12" ht="15" customHeight="1">
      <c r="F76" s="3" t="s">
        <v>984</v>
      </c>
      <c r="G76" s="3" t="s">
        <v>1125</v>
      </c>
      <c r="H76" s="387">
        <v>0.10603460830120626</v>
      </c>
      <c r="I76" s="507">
        <v>0.11620579658656319</v>
      </c>
      <c r="J76" s="507">
        <v>0.16340579658656318</v>
      </c>
      <c r="K76" s="3">
        <v>8.5900000000000004E-2</v>
      </c>
      <c r="L76" s="473">
        <v>0.3</v>
      </c>
    </row>
    <row r="77" spans="6:12" ht="15" customHeight="1">
      <c r="F77" s="3" t="s">
        <v>990</v>
      </c>
      <c r="G77" s="3" t="s">
        <v>1076</v>
      </c>
      <c r="H77" s="387">
        <v>8.8335598494538758E-2</v>
      </c>
      <c r="I77" s="507">
        <v>9.6809039562339869E-2</v>
      </c>
      <c r="J77" s="507">
        <v>0.14400903956233987</v>
      </c>
      <c r="K77" s="3">
        <v>4.3E-3</v>
      </c>
      <c r="L77" s="473">
        <v>0.28249999999999997</v>
      </c>
    </row>
    <row r="78" spans="6:12" ht="15" customHeight="1">
      <c r="F78" s="3" t="s">
        <v>997</v>
      </c>
      <c r="G78" s="3" t="s">
        <v>962</v>
      </c>
      <c r="H78" s="387">
        <v>4.8632414333635951E-2</v>
      </c>
      <c r="I78" s="507">
        <v>5.3297395426919955E-2</v>
      </c>
      <c r="J78" s="507">
        <v>0.10049739542691996</v>
      </c>
      <c r="K78" s="3" t="s">
        <v>963</v>
      </c>
      <c r="L78" s="473">
        <v>0.25</v>
      </c>
    </row>
    <row r="79" spans="6:12" ht="15" customHeight="1">
      <c r="F79" s="3" t="s">
        <v>1005</v>
      </c>
      <c r="G79" s="3" t="s">
        <v>1032</v>
      </c>
      <c r="H79" s="387">
        <v>2.6548514710001261E-2</v>
      </c>
      <c r="I79" s="507">
        <v>2.9095135536334988E-2</v>
      </c>
      <c r="J79" s="507">
        <v>7.629513553633499E-2</v>
      </c>
      <c r="K79" s="3">
        <v>8.6E-3</v>
      </c>
      <c r="L79" s="473">
        <v>0.34</v>
      </c>
    </row>
    <row r="80" spans="6:12" ht="15" customHeight="1">
      <c r="F80" s="3" t="s">
        <v>1013</v>
      </c>
      <c r="G80" s="3" t="s">
        <v>982</v>
      </c>
      <c r="H80" s="387">
        <v>6.2185710131534505E-3</v>
      </c>
      <c r="I80" s="507">
        <v>6.8150767922946836E-3</v>
      </c>
      <c r="J80" s="507">
        <v>5.4015076792294683E-2</v>
      </c>
      <c r="K80" s="3">
        <v>1.9699999999999999E-2</v>
      </c>
      <c r="L80" s="473">
        <v>0.27</v>
      </c>
    </row>
    <row r="81" spans="6:12" ht="15" customHeight="1">
      <c r="F81" s="3" t="s">
        <v>1020</v>
      </c>
      <c r="G81" s="3" t="s">
        <v>1010</v>
      </c>
      <c r="H81" s="387">
        <v>1.6822031843274077E-2</v>
      </c>
      <c r="I81" s="507">
        <v>1.8435656450951004E-2</v>
      </c>
      <c r="J81" s="507">
        <v>6.5635656450950999E-2</v>
      </c>
      <c r="K81" s="3" t="s">
        <v>963</v>
      </c>
      <c r="L81" s="473">
        <v>0.32</v>
      </c>
    </row>
    <row r="82" spans="6:12" ht="15" customHeight="1">
      <c r="F82" s="3" t="s">
        <v>1027</v>
      </c>
      <c r="G82" s="3" t="s">
        <v>962</v>
      </c>
      <c r="H82" s="387">
        <v>4.8632414333635951E-2</v>
      </c>
      <c r="I82" s="507">
        <v>5.3297395426919955E-2</v>
      </c>
      <c r="J82" s="507">
        <v>0.10049739542691996</v>
      </c>
      <c r="K82" s="3">
        <v>2.8999999999999998E-3</v>
      </c>
      <c r="L82" s="473">
        <v>0.3</v>
      </c>
    </row>
    <row r="83" spans="6:12" ht="15" customHeight="1">
      <c r="F83" s="3" t="s">
        <v>1034</v>
      </c>
      <c r="G83" s="3" t="s">
        <v>1076</v>
      </c>
      <c r="H83" s="387">
        <v>8.8335598494538758E-2</v>
      </c>
      <c r="I83" s="507">
        <v>9.6809039562339869E-2</v>
      </c>
      <c r="J83" s="507">
        <v>0.14400903956233987</v>
      </c>
      <c r="K83" s="3" t="s">
        <v>963</v>
      </c>
      <c r="L83" s="473">
        <v>0.25</v>
      </c>
    </row>
    <row r="84" spans="6:12" ht="15" customHeight="1">
      <c r="F84" s="3" t="s">
        <v>1040</v>
      </c>
      <c r="G84" s="3" t="s">
        <v>1039</v>
      </c>
      <c r="H84" s="387">
        <v>5.74819192369697E-2</v>
      </c>
      <c r="I84" s="507">
        <v>6.2995773939031607E-2</v>
      </c>
      <c r="J84" s="507">
        <v>0.1101957739390316</v>
      </c>
      <c r="K84" s="3" t="s">
        <v>963</v>
      </c>
      <c r="L84" s="473">
        <v>0.3</v>
      </c>
    </row>
    <row r="85" spans="6:12" ht="15" customHeight="1">
      <c r="F85" s="3" t="s">
        <v>1047</v>
      </c>
      <c r="G85" s="3" t="s">
        <v>1025</v>
      </c>
      <c r="H85" s="387">
        <v>2.208389962363469E-2</v>
      </c>
      <c r="I85" s="507">
        <v>2.4202259890584967E-2</v>
      </c>
      <c r="J85" s="507">
        <v>7.1402259890584963E-2</v>
      </c>
      <c r="K85" s="3">
        <v>1.5699999999999999E-2</v>
      </c>
      <c r="L85" s="473">
        <v>0.25</v>
      </c>
    </row>
    <row r="86" spans="6:12" ht="15" customHeight="1">
      <c r="F86" s="3" t="s">
        <v>1053</v>
      </c>
      <c r="G86" s="3" t="s">
        <v>1045</v>
      </c>
      <c r="H86" s="387">
        <v>3.9782909430302202E-2</v>
      </c>
      <c r="I86" s="507">
        <v>4.3599016914808296E-2</v>
      </c>
      <c r="J86" s="507">
        <v>9.0799016914808295E-2</v>
      </c>
      <c r="K86" s="3">
        <v>6.2100000000000002E-2</v>
      </c>
      <c r="L86" s="473">
        <v>0.25</v>
      </c>
    </row>
    <row r="87" spans="6:12" ht="15" customHeight="1">
      <c r="F87" s="3" t="s">
        <v>1059</v>
      </c>
      <c r="G87" s="3" t="s">
        <v>1002</v>
      </c>
      <c r="H87" s="387">
        <v>1.4111372683694367E-2</v>
      </c>
      <c r="I87" s="507">
        <v>1.5464981951745628E-2</v>
      </c>
      <c r="J87" s="507">
        <v>6.2664981951745621E-2</v>
      </c>
      <c r="K87" s="3">
        <v>4.4999999999999997E-3</v>
      </c>
      <c r="L87" s="473">
        <v>0.3</v>
      </c>
    </row>
    <row r="88" spans="6:12" ht="15" customHeight="1">
      <c r="F88" s="3" t="s">
        <v>1065</v>
      </c>
      <c r="G88" s="3" t="s">
        <v>1039</v>
      </c>
      <c r="H88" s="387">
        <v>5.74819192369697E-2</v>
      </c>
      <c r="I88" s="507">
        <v>6.2995773939031607E-2</v>
      </c>
      <c r="J88" s="507">
        <v>0.1101957739390316</v>
      </c>
      <c r="K88" s="3" t="s">
        <v>963</v>
      </c>
      <c r="L88" s="473">
        <v>0.3</v>
      </c>
    </row>
    <row r="89" spans="6:12" ht="15" customHeight="1">
      <c r="F89" s="3" t="s">
        <v>1071</v>
      </c>
      <c r="G89" s="3" t="s">
        <v>1002</v>
      </c>
      <c r="H89" s="387">
        <v>1.4111372683694367E-2</v>
      </c>
      <c r="I89" s="507">
        <v>1.5464981951745628E-2</v>
      </c>
      <c r="J89" s="507">
        <v>6.2664981951745621E-2</v>
      </c>
      <c r="K89" s="3">
        <v>1.14E-2</v>
      </c>
      <c r="L89" s="473">
        <v>0.25</v>
      </c>
    </row>
    <row r="90" spans="6:12" ht="15" customHeight="1">
      <c r="F90" s="3" t="s">
        <v>1078</v>
      </c>
      <c r="G90" s="3" t="s">
        <v>1025</v>
      </c>
      <c r="H90" s="387">
        <v>2.208389962363469E-2</v>
      </c>
      <c r="I90" s="507">
        <v>2.4202259890584967E-2</v>
      </c>
      <c r="J90" s="507">
        <v>7.1402259890584963E-2</v>
      </c>
      <c r="K90" s="3" t="s">
        <v>963</v>
      </c>
      <c r="L90" s="473">
        <v>0.1</v>
      </c>
    </row>
    <row r="91" spans="6:12" ht="15" customHeight="1">
      <c r="F91" s="3" t="s">
        <v>1085</v>
      </c>
      <c r="G91" s="3" t="s">
        <v>995</v>
      </c>
      <c r="H91" s="387">
        <v>1.0603460830120627E-2</v>
      </c>
      <c r="I91" s="507">
        <v>1.1620579658656319E-2</v>
      </c>
      <c r="J91" s="507">
        <v>5.8820579658656322E-2</v>
      </c>
      <c r="K91" s="3" t="s">
        <v>963</v>
      </c>
      <c r="L91" s="473">
        <v>0.29499999999999998</v>
      </c>
    </row>
    <row r="92" spans="6:12" ht="15" customHeight="1">
      <c r="F92" s="3" t="s">
        <v>1152</v>
      </c>
      <c r="G92" s="3" t="s">
        <v>1076</v>
      </c>
      <c r="H92" s="387">
        <v>8.8335598494538758E-2</v>
      </c>
      <c r="I92" s="507">
        <v>9.6809039562339869E-2</v>
      </c>
      <c r="J92" s="507">
        <v>0.14400903956233987</v>
      </c>
      <c r="K92" s="3">
        <v>9.7000000000000003E-3</v>
      </c>
      <c r="L92" s="473">
        <v>0.36</v>
      </c>
    </row>
    <row r="93" spans="6:12" ht="15" customHeight="1">
      <c r="F93" s="3" t="s">
        <v>1092</v>
      </c>
      <c r="G93" s="3" t="s">
        <v>1045</v>
      </c>
      <c r="H93" s="387">
        <v>3.9782909430302202E-2</v>
      </c>
      <c r="I93" s="507">
        <v>4.3599016914808296E-2</v>
      </c>
      <c r="J93" s="507">
        <v>9.0799016914808295E-2</v>
      </c>
      <c r="K93" s="3" t="s">
        <v>963</v>
      </c>
      <c r="L93" s="473">
        <v>0.25</v>
      </c>
    </row>
    <row r="94" spans="6:12" ht="15" customHeight="1">
      <c r="F94" s="3" t="s">
        <v>1098</v>
      </c>
      <c r="G94" s="3" t="s">
        <v>1106</v>
      </c>
      <c r="H94" s="387">
        <v>0.17499999999999999</v>
      </c>
      <c r="I94" s="507">
        <v>0.19178657542527283</v>
      </c>
      <c r="J94" s="507">
        <v>0.23898657542527282</v>
      </c>
      <c r="K94" s="3" t="s">
        <v>963</v>
      </c>
      <c r="L94" s="473">
        <v>0.34</v>
      </c>
    </row>
    <row r="95" spans="6:12" ht="15" customHeight="1">
      <c r="F95" s="3" t="s">
        <v>1104</v>
      </c>
      <c r="H95" s="387">
        <v>3.6408051688206385E-2</v>
      </c>
      <c r="I95" s="507">
        <v>3.9900431721070995E-2</v>
      </c>
      <c r="J95" s="507">
        <v>8.7100431721070987E-2</v>
      </c>
      <c r="K95" s="3" t="s">
        <v>963</v>
      </c>
      <c r="L95" s="473">
        <v>0.31039417648322876</v>
      </c>
    </row>
    <row r="96" spans="6:12" ht="15" customHeight="1">
      <c r="F96" s="3" t="s">
        <v>957</v>
      </c>
      <c r="G96" s="3" t="s">
        <v>1045</v>
      </c>
      <c r="H96" s="387">
        <v>3.9782909430302202E-2</v>
      </c>
      <c r="I96" s="507">
        <v>4.3599016914808296E-2</v>
      </c>
      <c r="J96" s="507">
        <v>9.0799016914808295E-2</v>
      </c>
      <c r="K96" s="3" t="s">
        <v>963</v>
      </c>
      <c r="L96" s="473">
        <v>0.15</v>
      </c>
    </row>
    <row r="97" spans="6:12" ht="15" customHeight="1">
      <c r="F97" s="3" t="s">
        <v>966</v>
      </c>
      <c r="G97" s="3" t="s">
        <v>1012</v>
      </c>
      <c r="H97" s="387">
        <v>3.1810382490361881E-2</v>
      </c>
      <c r="I97" s="507">
        <v>3.4861738975968962E-2</v>
      </c>
      <c r="J97" s="507">
        <v>8.2061738975968967E-2</v>
      </c>
      <c r="K97" s="3">
        <v>8.8999999999999999E-3</v>
      </c>
      <c r="L97" s="473">
        <v>0.18</v>
      </c>
    </row>
    <row r="98" spans="6:12" ht="15" customHeight="1">
      <c r="F98" s="3" t="s">
        <v>974</v>
      </c>
      <c r="G98" s="3" t="s">
        <v>1032</v>
      </c>
      <c r="H98" s="387">
        <v>2.6548514710001261E-2</v>
      </c>
      <c r="I98" s="507">
        <v>2.9095135536334988E-2</v>
      </c>
      <c r="J98" s="507">
        <v>7.629513553633499E-2</v>
      </c>
      <c r="K98" s="3" t="s">
        <v>963</v>
      </c>
      <c r="L98" s="473">
        <v>0.2</v>
      </c>
    </row>
    <row r="99" spans="6:12" ht="15" customHeight="1">
      <c r="F99" s="3" t="s">
        <v>979</v>
      </c>
      <c r="G99" s="3" t="s">
        <v>1039</v>
      </c>
      <c r="H99" s="387">
        <v>5.74819192369697E-2</v>
      </c>
      <c r="I99" s="507">
        <v>6.2995773939031607E-2</v>
      </c>
      <c r="J99" s="507">
        <v>0.1101957739390316</v>
      </c>
      <c r="K99" s="3" t="s">
        <v>963</v>
      </c>
      <c r="L99" s="473">
        <v>0.18</v>
      </c>
    </row>
    <row r="100" spans="6:12" ht="15" customHeight="1">
      <c r="F100" s="3" t="s">
        <v>986</v>
      </c>
      <c r="G100" s="3" t="s">
        <v>1039</v>
      </c>
      <c r="H100" s="387">
        <v>5.74819192369697E-2</v>
      </c>
      <c r="I100" s="507">
        <v>6.2995773939031607E-2</v>
      </c>
      <c r="J100" s="507">
        <v>0.1101957739390316</v>
      </c>
      <c r="K100" s="3" t="s">
        <v>963</v>
      </c>
      <c r="L100" s="473">
        <v>0.1</v>
      </c>
    </row>
    <row r="101" spans="6:12" ht="15" customHeight="1">
      <c r="F101" s="3" t="s">
        <v>992</v>
      </c>
      <c r="G101" s="3" t="s">
        <v>1002</v>
      </c>
      <c r="H101" s="387">
        <v>1.4111372683694367E-2</v>
      </c>
      <c r="I101" s="507">
        <v>1.5464981951745628E-2</v>
      </c>
      <c r="J101" s="507">
        <v>6.2664981951745621E-2</v>
      </c>
      <c r="K101" s="3" t="s">
        <v>963</v>
      </c>
      <c r="L101" s="473">
        <v>0.1</v>
      </c>
    </row>
    <row r="102" spans="6:12" ht="15" customHeight="1">
      <c r="F102" s="3" t="s">
        <v>999</v>
      </c>
      <c r="G102" s="3" t="s">
        <v>1025</v>
      </c>
      <c r="H102" s="387">
        <v>2.208389962363469E-2</v>
      </c>
      <c r="I102" s="507">
        <v>2.4202259890584967E-2</v>
      </c>
      <c r="J102" s="507">
        <v>7.1402259890584963E-2</v>
      </c>
      <c r="K102" s="3" t="s">
        <v>963</v>
      </c>
      <c r="L102" s="473">
        <v>0.18</v>
      </c>
    </row>
    <row r="103" spans="6:12" ht="15" customHeight="1">
      <c r="F103" s="3" t="s">
        <v>1007</v>
      </c>
      <c r="G103" s="3" t="s">
        <v>976</v>
      </c>
      <c r="H103" s="387">
        <v>5.3415930497600151E-3</v>
      </c>
      <c r="I103" s="507">
        <v>5.8539762190223561E-3</v>
      </c>
      <c r="J103" s="507">
        <v>5.3053976219022358E-2</v>
      </c>
      <c r="K103" s="3">
        <v>1.11E-2</v>
      </c>
      <c r="L103" s="473">
        <v>0.19</v>
      </c>
    </row>
    <row r="104" spans="6:12" ht="15" customHeight="1">
      <c r="F104" s="3" t="s">
        <v>1015</v>
      </c>
      <c r="G104" s="3" t="s">
        <v>982</v>
      </c>
      <c r="H104" s="387">
        <v>6.2185710131534505E-3</v>
      </c>
      <c r="I104" s="507">
        <v>6.8150767922946836E-3</v>
      </c>
      <c r="J104" s="507">
        <v>5.4015076792294683E-2</v>
      </c>
      <c r="K104" s="3" t="s">
        <v>963</v>
      </c>
      <c r="L104" s="473">
        <v>0.2</v>
      </c>
    </row>
    <row r="105" spans="6:12" ht="15" customHeight="1">
      <c r="F105" s="3" t="s">
        <v>1022</v>
      </c>
      <c r="G105" s="3" t="s">
        <v>1032</v>
      </c>
      <c r="H105" s="387">
        <v>2.6548514710001261E-2</v>
      </c>
      <c r="I105" s="507">
        <v>2.9095135536334988E-2</v>
      </c>
      <c r="J105" s="507">
        <v>7.629513553633499E-2</v>
      </c>
      <c r="K105" s="3" t="s">
        <v>963</v>
      </c>
      <c r="L105" s="473">
        <v>0.15</v>
      </c>
    </row>
    <row r="106" spans="6:12" ht="15" customHeight="1">
      <c r="F106" s="3" t="s">
        <v>1029</v>
      </c>
      <c r="G106" s="3" t="s">
        <v>1018</v>
      </c>
      <c r="H106" s="387">
        <v>1.9452965733454383E-2</v>
      </c>
      <c r="I106" s="507">
        <v>2.1318958170767986E-2</v>
      </c>
      <c r="J106" s="507">
        <v>6.8518958170767988E-2</v>
      </c>
      <c r="K106" s="3" t="s">
        <v>963</v>
      </c>
      <c r="L106" s="473">
        <v>0.09</v>
      </c>
    </row>
    <row r="107" spans="6:12" ht="15" customHeight="1">
      <c r="F107" s="3" t="s">
        <v>1036</v>
      </c>
      <c r="G107" s="3" t="s">
        <v>1018</v>
      </c>
      <c r="H107" s="387">
        <v>1.9452965733454383E-2</v>
      </c>
      <c r="I107" s="507">
        <v>2.1318958170767986E-2</v>
      </c>
      <c r="J107" s="507">
        <v>6.8518958170767988E-2</v>
      </c>
      <c r="K107" s="3" t="s">
        <v>963</v>
      </c>
      <c r="L107" s="473">
        <v>0.2</v>
      </c>
    </row>
    <row r="108" spans="6:12" ht="15" customHeight="1">
      <c r="F108" s="3" t="s">
        <v>1153</v>
      </c>
      <c r="G108" s="3" t="s">
        <v>962</v>
      </c>
      <c r="H108" s="387">
        <v>4.8632414333635951E-2</v>
      </c>
      <c r="I108" s="507">
        <v>5.3297395426919955E-2</v>
      </c>
      <c r="J108" s="507">
        <v>0.10049739542691996</v>
      </c>
      <c r="K108" s="3">
        <v>2.0299999999999999E-2</v>
      </c>
      <c r="L108" s="473">
        <v>0.1</v>
      </c>
    </row>
    <row r="109" spans="6:12" ht="15" customHeight="1">
      <c r="F109" s="3" t="s">
        <v>1042</v>
      </c>
      <c r="G109" s="3" t="s">
        <v>995</v>
      </c>
      <c r="H109" s="387">
        <v>1.0603460830120627E-2</v>
      </c>
      <c r="I109" s="507">
        <v>1.1620579658656319E-2</v>
      </c>
      <c r="J109" s="507">
        <v>5.8820579658656322E-2</v>
      </c>
      <c r="K109" s="3" t="s">
        <v>963</v>
      </c>
      <c r="L109" s="473">
        <v>0.2</v>
      </c>
    </row>
    <row r="110" spans="6:12" ht="15" customHeight="1">
      <c r="F110" s="3" t="s">
        <v>1049</v>
      </c>
      <c r="G110" s="3" t="s">
        <v>995</v>
      </c>
      <c r="H110" s="387">
        <v>1.0603460830120627E-2</v>
      </c>
      <c r="I110" s="507">
        <v>1.1620579658656319E-2</v>
      </c>
      <c r="J110" s="507">
        <v>5.8820579658656322E-2</v>
      </c>
      <c r="K110" s="3" t="s">
        <v>963</v>
      </c>
      <c r="L110" s="473">
        <v>0.15</v>
      </c>
    </row>
    <row r="111" spans="6:12" ht="15" customHeight="1">
      <c r="F111" s="3" t="s">
        <v>1154</v>
      </c>
      <c r="G111" s="3" t="s">
        <v>1012</v>
      </c>
      <c r="H111" s="387">
        <v>3.1810382490361881E-2</v>
      </c>
      <c r="I111" s="507">
        <v>3.4861738975968962E-2</v>
      </c>
      <c r="J111" s="507">
        <v>8.2061738975968967E-2</v>
      </c>
      <c r="K111" s="3" t="s">
        <v>963</v>
      </c>
      <c r="L111" s="473">
        <v>0.1</v>
      </c>
    </row>
    <row r="112" spans="6:12" ht="15" customHeight="1">
      <c r="F112" s="3" t="s">
        <v>1055</v>
      </c>
      <c r="G112" s="3" t="s">
        <v>1039</v>
      </c>
      <c r="H112" s="387">
        <v>5.74819192369697E-2</v>
      </c>
      <c r="I112" s="507">
        <v>6.2995773939031607E-2</v>
      </c>
      <c r="J112" s="507">
        <v>0.1101957739390316</v>
      </c>
      <c r="K112" s="3" t="s">
        <v>963</v>
      </c>
      <c r="L112" s="473">
        <v>0.12</v>
      </c>
    </row>
    <row r="113" spans="6:12" ht="15" customHeight="1">
      <c r="F113" s="3" t="s">
        <v>1061</v>
      </c>
      <c r="G113" s="3" t="s">
        <v>1045</v>
      </c>
      <c r="H113" s="387">
        <v>3.9782909430302202E-2</v>
      </c>
      <c r="I113" s="507">
        <v>4.3599016914808296E-2</v>
      </c>
      <c r="J113" s="507">
        <v>9.0799016914808295E-2</v>
      </c>
      <c r="K113" s="3">
        <v>1.77E-2</v>
      </c>
      <c r="L113" s="473">
        <v>0.09</v>
      </c>
    </row>
    <row r="114" spans="6:12" ht="15" customHeight="1">
      <c r="F114" s="3" t="s">
        <v>1067</v>
      </c>
      <c r="G114" s="3" t="s">
        <v>971</v>
      </c>
      <c r="H114" s="387">
        <v>7.4941753235439005E-3</v>
      </c>
      <c r="I114" s="507">
        <v>8.2130412625089771E-3</v>
      </c>
      <c r="J114" s="507">
        <v>5.5413041262508976E-2</v>
      </c>
      <c r="K114" s="3" t="s">
        <v>963</v>
      </c>
      <c r="L114" s="473">
        <v>0.19</v>
      </c>
    </row>
    <row r="115" spans="6:12" ht="15" customHeight="1">
      <c r="F115" s="3" t="s">
        <v>1073</v>
      </c>
      <c r="G115" s="3" t="s">
        <v>1018</v>
      </c>
      <c r="H115" s="387">
        <v>1.9452965733454383E-2</v>
      </c>
      <c r="I115" s="507">
        <v>2.1318958170767986E-2</v>
      </c>
      <c r="J115" s="507">
        <v>6.8518958170767988E-2</v>
      </c>
      <c r="K115" s="3" t="s">
        <v>963</v>
      </c>
      <c r="L115" s="473">
        <v>0.16</v>
      </c>
    </row>
    <row r="116" spans="6:12" ht="15" customHeight="1">
      <c r="F116" s="3" t="s">
        <v>1080</v>
      </c>
      <c r="G116" s="3" t="s">
        <v>1018</v>
      </c>
      <c r="H116" s="387">
        <v>1.9452965733454383E-2</v>
      </c>
      <c r="I116" s="507">
        <v>2.1318958170767986E-2</v>
      </c>
      <c r="J116" s="507">
        <v>6.8518958170767988E-2</v>
      </c>
      <c r="K116" s="3" t="s">
        <v>963</v>
      </c>
      <c r="L116" s="473">
        <v>0.2</v>
      </c>
    </row>
    <row r="117" spans="6:12" ht="15" customHeight="1">
      <c r="F117" s="3" t="s">
        <v>1155</v>
      </c>
      <c r="G117" s="3" t="s">
        <v>1012</v>
      </c>
      <c r="H117" s="387">
        <v>3.1810382490361881E-2</v>
      </c>
      <c r="I117" s="507">
        <v>3.4861738975968962E-2</v>
      </c>
      <c r="J117" s="507">
        <v>8.2061738975968967E-2</v>
      </c>
      <c r="K117" s="3">
        <v>2.2000000000000001E-3</v>
      </c>
      <c r="L117" s="473">
        <v>0.15</v>
      </c>
    </row>
    <row r="118" spans="6:12" ht="15" customHeight="1">
      <c r="F118" s="3" t="s">
        <v>1087</v>
      </c>
      <c r="G118" s="3" t="s">
        <v>971</v>
      </c>
      <c r="H118" s="387">
        <v>7.4941753235439005E-3</v>
      </c>
      <c r="I118" s="507">
        <v>8.2130412625089771E-3</v>
      </c>
      <c r="J118" s="507">
        <v>5.5413041262508976E-2</v>
      </c>
      <c r="K118" s="3">
        <v>3.3999999999999998E-3</v>
      </c>
      <c r="L118" s="473">
        <v>0.21</v>
      </c>
    </row>
    <row r="119" spans="6:12" ht="15" customHeight="1">
      <c r="F119" s="3" t="s">
        <v>1093</v>
      </c>
      <c r="G119" s="3" t="s">
        <v>995</v>
      </c>
      <c r="H119" s="387">
        <v>1.0603460830120627E-2</v>
      </c>
      <c r="I119" s="507">
        <v>1.1620579658656319E-2</v>
      </c>
      <c r="J119" s="507">
        <v>5.8820579658656322E-2</v>
      </c>
      <c r="K119" s="3" t="s">
        <v>963</v>
      </c>
      <c r="L119" s="473">
        <v>0.19</v>
      </c>
    </row>
    <row r="120" spans="6:12" ht="15" customHeight="1">
      <c r="F120" s="3" t="s">
        <v>1156</v>
      </c>
      <c r="G120" s="3" t="s">
        <v>1039</v>
      </c>
      <c r="H120" s="387">
        <v>5.74819192369697E-2</v>
      </c>
      <c r="I120" s="507">
        <v>6.2995773939031607E-2</v>
      </c>
      <c r="J120" s="507">
        <v>0.1101957739390316</v>
      </c>
      <c r="K120" s="3" t="s">
        <v>963</v>
      </c>
      <c r="L120" s="473">
        <v>0.19120000000000001</v>
      </c>
    </row>
    <row r="121" spans="6:12" ht="15" customHeight="1">
      <c r="F121" s="3" t="s">
        <v>1099</v>
      </c>
      <c r="G121" s="3" t="s">
        <v>1039</v>
      </c>
      <c r="H121" s="387">
        <v>5.74819192369697E-2</v>
      </c>
      <c r="I121" s="507">
        <v>6.2995773939031607E-2</v>
      </c>
      <c r="J121" s="507">
        <v>0.1101957739390316</v>
      </c>
      <c r="K121" s="3">
        <v>6.3200000000000006E-2</v>
      </c>
      <c r="L121" s="473">
        <v>0.18</v>
      </c>
    </row>
    <row r="122" spans="6:12" ht="15" customHeight="1">
      <c r="F122" s="3" t="s">
        <v>1157</v>
      </c>
      <c r="G122" s="3" t="s">
        <v>1010</v>
      </c>
      <c r="H122" s="387">
        <v>1.6822031843274077E-2</v>
      </c>
      <c r="I122" s="507">
        <v>1.8435656450951004E-2</v>
      </c>
      <c r="J122" s="507">
        <v>6.5635656450950999E-2</v>
      </c>
      <c r="K122" s="3">
        <v>2.5000000000000001E-3</v>
      </c>
      <c r="L122" s="473">
        <v>7.4999999999999997E-2</v>
      </c>
    </row>
    <row r="123" spans="6:12" ht="15" customHeight="1">
      <c r="F123" s="372" t="s">
        <v>1105</v>
      </c>
      <c r="G123" s="372"/>
      <c r="H123" s="506">
        <v>1.8961674880351699E-2</v>
      </c>
      <c r="I123" s="644">
        <v>2.0780541083600421E-2</v>
      </c>
      <c r="J123" s="644">
        <v>6.798054108360041E-2</v>
      </c>
      <c r="K123" s="372">
        <v>5.0999999999999997E-2</v>
      </c>
      <c r="L123" s="500">
        <v>0.18307506646458122</v>
      </c>
    </row>
    <row r="124" spans="6:12" ht="15" customHeight="1">
      <c r="F124" s="3" t="s">
        <v>1158</v>
      </c>
      <c r="G124" s="3" t="s">
        <v>969</v>
      </c>
      <c r="H124" s="387">
        <v>4.3848898169671765E-3</v>
      </c>
      <c r="I124" s="507">
        <v>4.8055028663616358E-3</v>
      </c>
      <c r="J124" s="507">
        <v>5.2005502866361637E-2</v>
      </c>
      <c r="K124" s="3">
        <v>5.6399999999999999E-2</v>
      </c>
      <c r="L124" s="473">
        <v>0.55000000000000004</v>
      </c>
    </row>
    <row r="125" spans="6:12" ht="15" customHeight="1">
      <c r="F125" s="3" t="s">
        <v>1113</v>
      </c>
      <c r="G125" s="3" t="s">
        <v>962</v>
      </c>
      <c r="H125" s="387">
        <v>4.8632414333635951E-2</v>
      </c>
      <c r="I125" s="507">
        <v>5.3297395426919955E-2</v>
      </c>
      <c r="J125" s="507">
        <v>0.10049739542691996</v>
      </c>
      <c r="K125" s="3">
        <v>1.5100000000000001E-2</v>
      </c>
      <c r="L125" s="473">
        <v>0</v>
      </c>
    </row>
    <row r="126" spans="6:12" ht="15" customHeight="1">
      <c r="F126" s="3" t="s">
        <v>1159</v>
      </c>
      <c r="G126" s="3" t="s">
        <v>954</v>
      </c>
      <c r="H126" s="387">
        <v>6.6251698870904069E-2</v>
      </c>
      <c r="I126" s="507">
        <v>7.2606779671754898E-2</v>
      </c>
      <c r="J126" s="507">
        <v>0.1198067796717549</v>
      </c>
      <c r="K126" s="3" t="s">
        <v>963</v>
      </c>
      <c r="L126" s="473">
        <v>0.15</v>
      </c>
    </row>
    <row r="127" spans="6:12" ht="15" customHeight="1">
      <c r="F127" s="3" t="s">
        <v>1116</v>
      </c>
      <c r="G127" s="3" t="s">
        <v>982</v>
      </c>
      <c r="H127" s="387">
        <v>6.2185710131534505E-3</v>
      </c>
      <c r="I127" s="507">
        <v>6.8150767922946836E-3</v>
      </c>
      <c r="J127" s="507">
        <v>5.4015076792294683E-2</v>
      </c>
      <c r="K127" s="3" t="s">
        <v>963</v>
      </c>
      <c r="L127" s="473">
        <v>0.23</v>
      </c>
    </row>
    <row r="128" spans="6:12" ht="15" customHeight="1">
      <c r="F128" s="3" t="s">
        <v>1119</v>
      </c>
      <c r="G128" s="3" t="s">
        <v>1045</v>
      </c>
      <c r="H128" s="387">
        <v>3.9782909430302202E-2</v>
      </c>
      <c r="I128" s="507">
        <v>4.3599016914808296E-2</v>
      </c>
      <c r="J128" s="507">
        <v>9.0799016914808295E-2</v>
      </c>
      <c r="K128" s="3">
        <v>1.3100000000000001E-2</v>
      </c>
      <c r="L128" s="473">
        <v>0.2</v>
      </c>
    </row>
    <row r="129" spans="6:12" ht="15" customHeight="1">
      <c r="F129" s="3" t="s">
        <v>1121</v>
      </c>
      <c r="G129" s="3" t="s">
        <v>982</v>
      </c>
      <c r="H129" s="387">
        <v>6.2185710131534505E-3</v>
      </c>
      <c r="I129" s="507">
        <v>6.8150767922946836E-3</v>
      </c>
      <c r="J129" s="507">
        <v>5.4015076792294683E-2</v>
      </c>
      <c r="K129" s="3">
        <v>9.9000000000000008E-3</v>
      </c>
      <c r="L129" s="473">
        <v>0.15</v>
      </c>
    </row>
    <row r="130" spans="6:12" ht="15" customHeight="1">
      <c r="F130" s="3" t="s">
        <v>1123</v>
      </c>
      <c r="G130" s="3" t="s">
        <v>1106</v>
      </c>
      <c r="H130" s="387">
        <v>0.17499999999999999</v>
      </c>
      <c r="I130" s="507">
        <v>0.19178657542527283</v>
      </c>
      <c r="J130" s="507">
        <v>0.23898657542527282</v>
      </c>
      <c r="K130" s="3">
        <v>8.9999999999999993E-3</v>
      </c>
      <c r="L130" s="473">
        <v>0.17</v>
      </c>
    </row>
    <row r="131" spans="6:12" ht="15" customHeight="1">
      <c r="F131" s="3" t="s">
        <v>1127</v>
      </c>
      <c r="G131" s="3" t="s">
        <v>1012</v>
      </c>
      <c r="H131" s="387">
        <v>3.1810382490361881E-2</v>
      </c>
      <c r="I131" s="507">
        <v>3.4861738975968962E-2</v>
      </c>
      <c r="J131" s="507">
        <v>8.2061738975968967E-2</v>
      </c>
      <c r="K131" s="3">
        <v>9.1999999999999998E-3</v>
      </c>
      <c r="L131" s="473">
        <v>0.15</v>
      </c>
    </row>
    <row r="132" spans="6:12" ht="15" customHeight="1">
      <c r="F132" s="3" t="s">
        <v>1128</v>
      </c>
      <c r="G132" s="3" t="s">
        <v>976</v>
      </c>
      <c r="H132" s="387">
        <v>5.3415930497600151E-3</v>
      </c>
      <c r="I132" s="507">
        <v>5.8539762190223561E-3</v>
      </c>
      <c r="J132" s="507">
        <v>5.3053976219022358E-2</v>
      </c>
      <c r="K132" s="3">
        <v>9.7999999999999997E-3</v>
      </c>
      <c r="L132" s="473">
        <v>0.1</v>
      </c>
    </row>
    <row r="133" spans="6:12" ht="15" customHeight="1">
      <c r="F133" s="3" t="s">
        <v>1160</v>
      </c>
      <c r="G133" s="3" t="s">
        <v>952</v>
      </c>
      <c r="H133" s="387">
        <v>0</v>
      </c>
      <c r="I133" s="507">
        <v>0</v>
      </c>
      <c r="J133" s="507">
        <v>4.7199999999999999E-2</v>
      </c>
      <c r="K133" s="3" t="s">
        <v>963</v>
      </c>
      <c r="L133" s="473">
        <v>0</v>
      </c>
    </row>
    <row r="134" spans="6:12" ht="15" customHeight="1">
      <c r="F134" s="3" t="s">
        <v>1129</v>
      </c>
      <c r="G134" s="3" t="s">
        <v>982</v>
      </c>
      <c r="H134" s="387">
        <v>6.2185710131534505E-3</v>
      </c>
      <c r="I134" s="507">
        <v>6.8150767922946836E-3</v>
      </c>
      <c r="J134" s="507">
        <v>5.4015076792294683E-2</v>
      </c>
      <c r="K134" s="3">
        <v>1.8700000000000001E-2</v>
      </c>
      <c r="L134" s="473">
        <v>0.2</v>
      </c>
    </row>
    <row r="135" spans="6:12" ht="15" customHeight="1">
      <c r="F135" s="3" t="s">
        <v>1161</v>
      </c>
      <c r="G135" s="3" t="s">
        <v>1010</v>
      </c>
      <c r="H135" s="387">
        <v>1.6822031843274077E-2</v>
      </c>
      <c r="I135" s="507">
        <v>1.8435656450951004E-2</v>
      </c>
      <c r="J135" s="507">
        <v>6.5635656450950999E-2</v>
      </c>
      <c r="K135" s="3">
        <v>1.52E-2</v>
      </c>
      <c r="L135" s="473">
        <v>0</v>
      </c>
    </row>
    <row r="136" spans="6:12" ht="15" customHeight="1">
      <c r="F136" s="3" t="s">
        <v>1130</v>
      </c>
      <c r="G136" s="3" t="s">
        <v>969</v>
      </c>
      <c r="H136" s="387">
        <v>4.3848898169671765E-3</v>
      </c>
      <c r="I136" s="507">
        <v>4.8055028663616358E-3</v>
      </c>
      <c r="J136" s="507">
        <v>5.2005502866361637E-2</v>
      </c>
      <c r="K136" s="3">
        <v>6.9599999999999995E-2</v>
      </c>
      <c r="L136" s="473">
        <v>0.55000000000000004</v>
      </c>
    </row>
    <row r="137" spans="6:12" ht="15" customHeight="1">
      <c r="F137" s="3" t="s">
        <v>1131</v>
      </c>
      <c r="H137" s="387">
        <v>1.396246032866099E-2</v>
      </c>
      <c r="I137" s="507">
        <v>1.530178543397212E-2</v>
      </c>
      <c r="J137" s="507">
        <v>6.2501785433972112E-2</v>
      </c>
      <c r="K137" s="3">
        <v>1.34E-2</v>
      </c>
      <c r="L137" s="473">
        <v>0.32955932717078351</v>
      </c>
    </row>
    <row r="138" spans="6:12" ht="15" customHeight="1">
      <c r="F138" s="3" t="s">
        <v>955</v>
      </c>
      <c r="G138" s="3" t="s">
        <v>952</v>
      </c>
      <c r="H138" s="387">
        <v>0</v>
      </c>
      <c r="I138" s="507">
        <v>0</v>
      </c>
      <c r="J138" s="507">
        <v>4.7199999999999999E-2</v>
      </c>
      <c r="K138" s="3">
        <v>4.9099999999999998E-2</v>
      </c>
      <c r="L138" s="473">
        <v>0.26500000000000001</v>
      </c>
    </row>
    <row r="139" spans="6:12" ht="15" customHeight="1">
      <c r="F139" s="3" t="s">
        <v>964</v>
      </c>
      <c r="G139" s="3" t="s">
        <v>952</v>
      </c>
      <c r="H139" s="387">
        <v>0</v>
      </c>
      <c r="I139" s="507">
        <v>0</v>
      </c>
      <c r="J139" s="507">
        <v>4.7199999999999999E-2</v>
      </c>
      <c r="K139" s="3">
        <v>1.5800000000000002E-2</v>
      </c>
      <c r="L139" s="473">
        <v>0.27</v>
      </c>
    </row>
    <row r="140" spans="6:12" ht="15" customHeight="1">
      <c r="F140" s="3" t="s">
        <v>972</v>
      </c>
      <c r="H140" s="387">
        <v>0</v>
      </c>
      <c r="I140" s="507">
        <v>0</v>
      </c>
      <c r="J140" s="507">
        <v>4.7199999999999999E-2</v>
      </c>
      <c r="K140" s="3" t="s">
        <v>963</v>
      </c>
      <c r="L140" s="473">
        <v>0.26962433148138532</v>
      </c>
    </row>
    <row r="141" spans="6:12" ht="15" customHeight="1">
      <c r="F141" s="3" t="s">
        <v>1162</v>
      </c>
      <c r="G141" s="3" t="s">
        <v>954</v>
      </c>
      <c r="H141" s="387">
        <v>6.6251698870904069E-2</v>
      </c>
      <c r="I141" s="507">
        <v>7.2606779671754898E-2</v>
      </c>
      <c r="J141" s="507">
        <v>0.1198067796717549</v>
      </c>
      <c r="K141" s="3" t="s">
        <v>963</v>
      </c>
      <c r="L141" s="473">
        <v>0.1</v>
      </c>
    </row>
    <row r="142" spans="6:12" ht="15" customHeight="1">
      <c r="F142" s="3" t="s">
        <v>956</v>
      </c>
      <c r="G142" s="3" t="s">
        <v>960</v>
      </c>
      <c r="H142" s="387">
        <v>3.5079118535737406E-3</v>
      </c>
      <c r="I142" s="507">
        <v>3.8444022930893078E-3</v>
      </c>
      <c r="J142" s="507">
        <v>5.1044402293089305E-2</v>
      </c>
      <c r="K142" s="3" t="s">
        <v>963</v>
      </c>
      <c r="L142" s="473">
        <v>0.25</v>
      </c>
    </row>
    <row r="143" spans="6:12" ht="15" customHeight="1">
      <c r="F143" s="3" t="s">
        <v>965</v>
      </c>
      <c r="G143" s="3" t="s">
        <v>976</v>
      </c>
      <c r="H143" s="387">
        <v>5.3415930497600151E-3</v>
      </c>
      <c r="I143" s="507">
        <v>5.8539762190223561E-3</v>
      </c>
      <c r="J143" s="507">
        <v>5.3053976219022358E-2</v>
      </c>
      <c r="K143" s="3">
        <v>7.7999999999999996E-3</v>
      </c>
      <c r="L143" s="473">
        <v>0.28999999999999998</v>
      </c>
    </row>
    <row r="144" spans="6:12" ht="15" customHeight="1">
      <c r="F144" s="3" t="s">
        <v>973</v>
      </c>
      <c r="G144" s="3" t="s">
        <v>1032</v>
      </c>
      <c r="H144" s="387">
        <v>2.6548514710001261E-2</v>
      </c>
      <c r="I144" s="507">
        <v>2.9095135536334988E-2</v>
      </c>
      <c r="J144" s="507">
        <v>7.629513553633499E-2</v>
      </c>
      <c r="K144" s="3">
        <v>1.1599999999999999E-2</v>
      </c>
      <c r="L144" s="473">
        <v>0.125</v>
      </c>
    </row>
    <row r="145" spans="6:12" ht="15" customHeight="1">
      <c r="F145" s="3" t="s">
        <v>978</v>
      </c>
      <c r="G145" s="3" t="s">
        <v>952</v>
      </c>
      <c r="H145" s="387">
        <v>0</v>
      </c>
      <c r="I145" s="507">
        <v>0</v>
      </c>
      <c r="J145" s="507">
        <v>4.7199999999999999E-2</v>
      </c>
      <c r="K145" s="3" t="s">
        <v>963</v>
      </c>
      <c r="L145" s="473">
        <v>0.22</v>
      </c>
    </row>
    <row r="146" spans="6:12" ht="15" customHeight="1">
      <c r="F146" s="3" t="s">
        <v>985</v>
      </c>
      <c r="G146" s="3" t="s">
        <v>960</v>
      </c>
      <c r="H146" s="387">
        <v>3.5079118535737406E-3</v>
      </c>
      <c r="I146" s="507">
        <v>3.8444022930893078E-3</v>
      </c>
      <c r="J146" s="507">
        <v>5.1044402293089305E-2</v>
      </c>
      <c r="K146" s="3" t="s">
        <v>963</v>
      </c>
      <c r="L146" s="473">
        <v>0.2</v>
      </c>
    </row>
    <row r="147" spans="6:12" ht="15" customHeight="1">
      <c r="F147" s="3" t="s">
        <v>991</v>
      </c>
      <c r="G147" s="3" t="s">
        <v>969</v>
      </c>
      <c r="H147" s="387">
        <v>4.3848898169671765E-3</v>
      </c>
      <c r="I147" s="507">
        <v>4.8055028663616358E-3</v>
      </c>
      <c r="J147" s="507">
        <v>5.2005502866361637E-2</v>
      </c>
      <c r="K147" s="3">
        <v>3.4500000000000003E-2</v>
      </c>
      <c r="L147" s="473">
        <v>0.28000000000000003</v>
      </c>
    </row>
    <row r="148" spans="6:12" ht="15" customHeight="1">
      <c r="F148" s="3" t="s">
        <v>998</v>
      </c>
      <c r="G148" s="3" t="s">
        <v>952</v>
      </c>
      <c r="H148" s="387">
        <v>0</v>
      </c>
      <c r="I148" s="507">
        <v>0</v>
      </c>
      <c r="J148" s="507">
        <v>4.7199999999999999E-2</v>
      </c>
      <c r="K148" s="3">
        <v>1.0500000000000001E-2</v>
      </c>
      <c r="L148" s="473">
        <v>0.3</v>
      </c>
    </row>
    <row r="149" spans="6:12" ht="15" customHeight="1">
      <c r="F149" s="3" t="s">
        <v>1006</v>
      </c>
      <c r="G149" s="3" t="s">
        <v>1012</v>
      </c>
      <c r="H149" s="387">
        <v>3.1810382490361881E-2</v>
      </c>
      <c r="I149" s="507">
        <v>3.4861738975968962E-2</v>
      </c>
      <c r="J149" s="507">
        <v>8.2061738975968967E-2</v>
      </c>
      <c r="K149" s="3" t="s">
        <v>963</v>
      </c>
      <c r="L149" s="473">
        <v>0.24</v>
      </c>
    </row>
    <row r="150" spans="6:12" ht="15" customHeight="1">
      <c r="F150" s="3" t="s">
        <v>1163</v>
      </c>
      <c r="G150" s="3" t="s">
        <v>952</v>
      </c>
      <c r="H150" s="387">
        <v>0</v>
      </c>
      <c r="I150" s="507">
        <v>0</v>
      </c>
      <c r="J150" s="507">
        <v>4.7199999999999999E-2</v>
      </c>
      <c r="K150" s="3" t="s">
        <v>963</v>
      </c>
      <c r="L150" s="473">
        <v>0</v>
      </c>
    </row>
    <row r="151" spans="6:12" ht="15" customHeight="1">
      <c r="F151" s="3" t="s">
        <v>1014</v>
      </c>
      <c r="G151" s="3" t="s">
        <v>971</v>
      </c>
      <c r="H151" s="387">
        <v>7.4941753235439005E-3</v>
      </c>
      <c r="I151" s="507">
        <v>8.2130412625089771E-3</v>
      </c>
      <c r="J151" s="507">
        <v>5.5413041262508976E-2</v>
      </c>
      <c r="K151" s="3" t="s">
        <v>963</v>
      </c>
      <c r="L151" s="473">
        <v>0.2</v>
      </c>
    </row>
    <row r="152" spans="6:12" ht="15" customHeight="1">
      <c r="F152" s="3" t="s">
        <v>1021</v>
      </c>
      <c r="G152" s="3" t="s">
        <v>971</v>
      </c>
      <c r="H152" s="387">
        <v>7.4941753235439005E-3</v>
      </c>
      <c r="I152" s="507">
        <v>8.2130412625089771E-3</v>
      </c>
      <c r="J152" s="507">
        <v>5.5413041262508976E-2</v>
      </c>
      <c r="K152" s="3" t="s">
        <v>963</v>
      </c>
      <c r="L152" s="473">
        <v>0.125</v>
      </c>
    </row>
    <row r="153" spans="6:12" ht="15" customHeight="1">
      <c r="F153" s="3" t="s">
        <v>1164</v>
      </c>
      <c r="G153" s="3" t="s">
        <v>976</v>
      </c>
      <c r="H153" s="387">
        <v>5.3415930497600151E-3</v>
      </c>
      <c r="I153" s="507">
        <v>5.8539762190223561E-3</v>
      </c>
      <c r="J153" s="507">
        <v>5.3053976219022358E-2</v>
      </c>
      <c r="K153" s="3" t="s">
        <v>963</v>
      </c>
      <c r="L153" s="473">
        <v>0</v>
      </c>
    </row>
    <row r="154" spans="6:12" ht="15" customHeight="1">
      <c r="F154" s="3" t="s">
        <v>1028</v>
      </c>
      <c r="G154" s="3" t="s">
        <v>1018</v>
      </c>
      <c r="H154" s="387">
        <v>1.9452965733454383E-2</v>
      </c>
      <c r="I154" s="507">
        <v>2.1318958170767986E-2</v>
      </c>
      <c r="J154" s="507">
        <v>6.8518958170767988E-2</v>
      </c>
      <c r="K154" s="3" t="s">
        <v>963</v>
      </c>
      <c r="L154" s="473">
        <v>0.24</v>
      </c>
    </row>
    <row r="155" spans="6:12" ht="15" customHeight="1">
      <c r="F155" s="3" t="s">
        <v>1165</v>
      </c>
      <c r="G155" s="3" t="s">
        <v>952</v>
      </c>
      <c r="H155" s="387">
        <v>0</v>
      </c>
      <c r="I155" s="507">
        <v>0</v>
      </c>
      <c r="J155" s="507">
        <v>4.7199999999999999E-2</v>
      </c>
      <c r="K155" s="3">
        <v>2.3E-3</v>
      </c>
      <c r="L155" s="473">
        <v>0</v>
      </c>
    </row>
    <row r="156" spans="6:12" ht="15" customHeight="1">
      <c r="F156" s="3" t="s">
        <v>1166</v>
      </c>
      <c r="G156" s="3" t="s">
        <v>952</v>
      </c>
      <c r="H156" s="387">
        <v>0</v>
      </c>
      <c r="I156" s="507">
        <v>0</v>
      </c>
      <c r="J156" s="507">
        <v>4.7199999999999999E-2</v>
      </c>
      <c r="K156" s="3">
        <v>2E-3</v>
      </c>
      <c r="L156" s="473">
        <v>0.125</v>
      </c>
    </row>
    <row r="157" spans="6:12" ht="15" customHeight="1">
      <c r="F157" s="3" t="s">
        <v>1167</v>
      </c>
      <c r="G157" s="3" t="s">
        <v>952</v>
      </c>
      <c r="H157" s="387">
        <v>0</v>
      </c>
      <c r="I157" s="507">
        <v>0</v>
      </c>
      <c r="J157" s="507">
        <v>4.7199999999999999E-2</v>
      </c>
      <c r="K157" s="3" t="s">
        <v>963</v>
      </c>
      <c r="L157" s="473">
        <v>0.24940000000000001</v>
      </c>
    </row>
    <row r="158" spans="6:12" ht="15" customHeight="1">
      <c r="F158" s="3" t="s">
        <v>1035</v>
      </c>
      <c r="G158" s="3" t="s">
        <v>971</v>
      </c>
      <c r="H158" s="387">
        <v>7.4941753235439005E-3</v>
      </c>
      <c r="I158" s="507">
        <v>8.2130412625089771E-3</v>
      </c>
      <c r="J158" s="507">
        <v>5.5413041262508976E-2</v>
      </c>
      <c r="K158" s="3" t="s">
        <v>963</v>
      </c>
      <c r="L158" s="473">
        <v>0.35</v>
      </c>
    </row>
    <row r="159" spans="6:12" ht="15" customHeight="1">
      <c r="F159" s="3" t="s">
        <v>1041</v>
      </c>
      <c r="G159" s="3" t="s">
        <v>952</v>
      </c>
      <c r="H159" s="387">
        <v>0</v>
      </c>
      <c r="I159" s="507">
        <v>0</v>
      </c>
      <c r="J159" s="507">
        <v>4.7199999999999999E-2</v>
      </c>
      <c r="K159" s="3" t="s">
        <v>963</v>
      </c>
      <c r="L159" s="473">
        <v>0.25</v>
      </c>
    </row>
    <row r="160" spans="6:12" ht="15" customHeight="1">
      <c r="F160" s="3" t="s">
        <v>1048</v>
      </c>
      <c r="G160" s="3" t="s">
        <v>952</v>
      </c>
      <c r="H160" s="387">
        <v>0</v>
      </c>
      <c r="I160" s="507">
        <v>0</v>
      </c>
      <c r="J160" s="507">
        <v>4.7199999999999999E-2</v>
      </c>
      <c r="K160" s="3" t="s">
        <v>963</v>
      </c>
      <c r="L160" s="473">
        <v>0.22</v>
      </c>
    </row>
    <row r="161" spans="6:12" ht="15" customHeight="1">
      <c r="F161" s="3" t="s">
        <v>1054</v>
      </c>
      <c r="G161" s="3" t="s">
        <v>1018</v>
      </c>
      <c r="H161" s="387">
        <v>1.9452965733454383E-2</v>
      </c>
      <c r="I161" s="507">
        <v>2.1318958170767986E-2</v>
      </c>
      <c r="J161" s="507">
        <v>6.8518958170767988E-2</v>
      </c>
      <c r="K161" s="3">
        <v>7.3000000000000001E-3</v>
      </c>
      <c r="L161" s="473">
        <v>0.21</v>
      </c>
    </row>
    <row r="162" spans="6:12" ht="15" customHeight="1">
      <c r="F162" s="3" t="s">
        <v>1060</v>
      </c>
      <c r="G162" s="3" t="s">
        <v>1002</v>
      </c>
      <c r="H162" s="387">
        <v>1.4111372683694367E-2</v>
      </c>
      <c r="I162" s="507">
        <v>1.5464981951745628E-2</v>
      </c>
      <c r="J162" s="507">
        <v>6.2664981951745621E-2</v>
      </c>
      <c r="K162" s="3" t="s">
        <v>963</v>
      </c>
      <c r="L162" s="473">
        <v>0.25</v>
      </c>
    </row>
    <row r="163" spans="6:12" ht="15" customHeight="1">
      <c r="F163" s="3" t="s">
        <v>1066</v>
      </c>
      <c r="G163" s="3" t="s">
        <v>952</v>
      </c>
      <c r="H163" s="387">
        <v>0</v>
      </c>
      <c r="I163" s="507">
        <v>0</v>
      </c>
      <c r="J163" s="507">
        <v>4.7199999999999999E-2</v>
      </c>
      <c r="K163" s="3" t="s">
        <v>963</v>
      </c>
      <c r="L163" s="473">
        <v>0.214</v>
      </c>
    </row>
    <row r="164" spans="6:12" ht="15" customHeight="1">
      <c r="F164" s="3" t="s">
        <v>1072</v>
      </c>
      <c r="G164" s="3" t="s">
        <v>952</v>
      </c>
      <c r="H164" s="387">
        <v>0</v>
      </c>
      <c r="I164" s="507">
        <v>0</v>
      </c>
      <c r="J164" s="507">
        <v>4.7199999999999999E-2</v>
      </c>
      <c r="K164" s="3">
        <v>8.3400000000000002E-2</v>
      </c>
      <c r="L164" s="473">
        <v>0.1484</v>
      </c>
    </row>
    <row r="165" spans="6:12" ht="15" customHeight="1">
      <c r="F165" s="3" t="s">
        <v>1088</v>
      </c>
      <c r="G165" s="3" t="s">
        <v>962</v>
      </c>
      <c r="H165" s="387">
        <v>4.8632414333635951E-2</v>
      </c>
      <c r="I165" s="507">
        <v>5.3297395426919955E-2</v>
      </c>
      <c r="J165" s="507">
        <v>0.10049739542691996</v>
      </c>
      <c r="K165" s="3">
        <v>4.8399999999999999E-2</v>
      </c>
      <c r="L165" s="473">
        <v>0.22</v>
      </c>
    </row>
    <row r="166" spans="6:12" ht="15" customHeight="1">
      <c r="F166" s="3" t="s">
        <v>1079</v>
      </c>
      <c r="G166" s="3" t="s">
        <v>976</v>
      </c>
      <c r="H166" s="387">
        <v>5.3415930497600151E-3</v>
      </c>
      <c r="I166" s="507">
        <v>5.8539762190223561E-3</v>
      </c>
      <c r="J166" s="507">
        <v>5.3053976219022358E-2</v>
      </c>
      <c r="K166" s="3" t="s">
        <v>963</v>
      </c>
      <c r="L166" s="473">
        <v>0.19</v>
      </c>
    </row>
    <row r="167" spans="6:12" ht="15" customHeight="1">
      <c r="F167" s="372" t="s">
        <v>1086</v>
      </c>
      <c r="G167" s="372"/>
      <c r="H167" s="506">
        <v>7.6624661464453608E-3</v>
      </c>
      <c r="I167" s="644">
        <v>8.3974750945076757E-3</v>
      </c>
      <c r="J167" s="644">
        <v>5.5597475094507666E-2</v>
      </c>
      <c r="K167" s="372" t="s">
        <v>963</v>
      </c>
      <c r="L167" s="500">
        <v>0.24406533498320665</v>
      </c>
    </row>
    <row r="169" spans="6:12" ht="15" customHeight="1">
      <c r="F169" s="3" t="s">
        <v>1168</v>
      </c>
    </row>
  </sheetData>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30">
    <tabColor theme="2" tint="-0.749992370372631"/>
  </sheetPr>
  <dimension ref="A1:CSK177"/>
  <sheetViews>
    <sheetView zoomScale="90" zoomScaleNormal="90" workbookViewId="0">
      <pane xSplit="1" topLeftCell="B1" activePane="topRight" state="frozen"/>
      <selection activeCell="E31" sqref="E31"/>
      <selection pane="topRight" activeCell="Q13" sqref="Q13"/>
    </sheetView>
  </sheetViews>
  <sheetFormatPr defaultColWidth="11.28515625" defaultRowHeight="15"/>
  <cols>
    <col min="1" max="1" width="40.7109375" style="3" bestFit="1" customWidth="1"/>
    <col min="2" max="2" width="1.7109375" style="3" customWidth="1"/>
    <col min="3" max="16384" width="11.28515625" style="3"/>
  </cols>
  <sheetData>
    <row r="1" spans="1:24" s="340" customFormat="1" ht="26.1" customHeight="1">
      <c r="A1" s="676" t="s">
        <v>1169</v>
      </c>
    </row>
    <row r="2" spans="1:24" s="340" customFormat="1" ht="26.1" customHeight="1">
      <c r="A2" s="676" t="str">
        <f>IS!A13</f>
        <v>Income Statement</v>
      </c>
    </row>
    <row r="3" spans="1:24">
      <c r="A3" s="327"/>
      <c r="B3" s="327">
        <f>IS!B11</f>
        <v>0</v>
      </c>
      <c r="C3" s="525" t="str">
        <f>IS!L11</f>
        <v>12/2011</v>
      </c>
      <c r="D3" s="525" t="str">
        <f>IS!K11</f>
        <v>12/2012</v>
      </c>
      <c r="E3" s="525" t="str">
        <f>IS!J11</f>
        <v>12/2013</v>
      </c>
      <c r="F3" s="525" t="str">
        <f>IS!I11</f>
        <v>12/2014</v>
      </c>
      <c r="G3" s="525" t="str">
        <f>IS!H11</f>
        <v>12/2015</v>
      </c>
      <c r="H3" s="525" t="str">
        <f>IS!G11</f>
        <v>12/2016</v>
      </c>
      <c r="I3" s="525" t="str">
        <f>IS!F11</f>
        <v>12/2017</v>
      </c>
      <c r="J3" s="525" t="str">
        <f>IS!E11</f>
        <v>12/2018</v>
      </c>
      <c r="K3" s="525" t="str">
        <f>IS!D11</f>
        <v>12/2019</v>
      </c>
      <c r="L3" s="525" t="str">
        <f>IS!C11</f>
        <v>12/2020</v>
      </c>
      <c r="M3" s="637">
        <f>YEAR(L3)+1</f>
        <v>2021</v>
      </c>
      <c r="N3" s="637">
        <f>M3+1</f>
        <v>2022</v>
      </c>
      <c r="O3" s="637">
        <f t="shared" ref="O3:Q3" si="0">N3+1</f>
        <v>2023</v>
      </c>
      <c r="P3" s="637">
        <f t="shared" si="0"/>
        <v>2024</v>
      </c>
      <c r="Q3" s="637">
        <f t="shared" si="0"/>
        <v>2025</v>
      </c>
    </row>
    <row r="4" spans="1:24">
      <c r="A4" s="327"/>
      <c r="B4" s="327">
        <f>IS!B12</f>
        <v>0</v>
      </c>
      <c r="C4" s="31" t="str">
        <f>IS!L12</f>
        <v>365 DAYS</v>
      </c>
      <c r="D4" s="31" t="str">
        <f>IS!K12</f>
        <v>366 DAYS</v>
      </c>
      <c r="E4" s="31" t="str">
        <f>IS!J12</f>
        <v>365 DAYS</v>
      </c>
      <c r="F4" s="31" t="str">
        <f>IS!I12</f>
        <v>365 DAYS</v>
      </c>
      <c r="G4" s="31" t="str">
        <f>IS!H12</f>
        <v>365 DAYS</v>
      </c>
      <c r="H4" s="31" t="str">
        <f>IS!G12</f>
        <v>366 DAYS</v>
      </c>
      <c r="I4" s="31" t="str">
        <f>IS!F12</f>
        <v>365 DAYS</v>
      </c>
      <c r="J4" s="31" t="str">
        <f>IS!E12</f>
        <v>365 DAYS</v>
      </c>
      <c r="K4" s="31" t="str">
        <f>IS!D12</f>
        <v>365 DAYS</v>
      </c>
      <c r="L4" s="31" t="str">
        <f>IS!C12</f>
        <v>366 DAYS</v>
      </c>
    </row>
    <row r="5" spans="1:24">
      <c r="A5" s="377" t="str">
        <f>IS!A14</f>
        <v>Sales</v>
      </c>
      <c r="B5" s="327"/>
      <c r="C5" s="327">
        <f>'DAL-US IS-adj'!L8</f>
        <v>35.115000000000002</v>
      </c>
      <c r="D5" s="327">
        <f>'DAL-US IS-adj'!K8</f>
        <v>36.695</v>
      </c>
      <c r="E5" s="327">
        <f>'DAL-US IS-adj'!J8</f>
        <v>37.637999999999998</v>
      </c>
      <c r="F5" s="327">
        <f>'DAL-US IS-adj'!I8</f>
        <v>40.204000000000001</v>
      </c>
      <c r="G5" s="327">
        <f>'DAL-US IS-adj'!H8</f>
        <v>40.506</v>
      </c>
      <c r="H5" s="327">
        <f>'DAL-US IS-adj'!G8</f>
        <v>39.601999999999997</v>
      </c>
      <c r="I5" s="327">
        <f>'DAL-US IS-adj'!F8</f>
        <v>41.234000000000002</v>
      </c>
      <c r="J5" s="327">
        <f>'DAL-US IS-adj'!E8</f>
        <v>44.441000000000003</v>
      </c>
      <c r="K5" s="327">
        <f>'DAL-US IS-adj'!D8</f>
        <v>47.006</v>
      </c>
      <c r="L5" s="327">
        <f>'DAL-US IS-adj'!C8</f>
        <v>17.094999999999999</v>
      </c>
      <c r="M5" s="386">
        <f>L5*(1+M6)</f>
        <v>25.541065961155951</v>
      </c>
      <c r="N5" s="386">
        <f t="shared" ref="N5:Q5" si="1">M5*(1+N6)</f>
        <v>33.117202674670757</v>
      </c>
      <c r="O5" s="386">
        <f t="shared" si="1"/>
        <v>35.847173458391715</v>
      </c>
      <c r="P5" s="386">
        <f t="shared" si="1"/>
        <v>36.746890124236074</v>
      </c>
      <c r="Q5" s="386">
        <f t="shared" si="1"/>
        <v>37.557234049129526</v>
      </c>
      <c r="S5" s="327"/>
    </row>
    <row r="6" spans="1:24">
      <c r="A6" s="662" t="s">
        <v>1170</v>
      </c>
      <c r="B6" s="327"/>
      <c r="C6" s="327"/>
      <c r="D6" s="664">
        <f>D5/C5-1</f>
        <v>4.4995016374768548E-2</v>
      </c>
      <c r="E6" s="664">
        <f t="shared" ref="E6:L6" si="2">E5/D5-1</f>
        <v>2.5698324022346286E-2</v>
      </c>
      <c r="F6" s="664">
        <f t="shared" si="2"/>
        <v>6.8175779797013725E-2</v>
      </c>
      <c r="G6" s="664">
        <f t="shared" si="2"/>
        <v>7.5116903790668488E-3</v>
      </c>
      <c r="H6" s="664">
        <f t="shared" si="2"/>
        <v>-2.2317681331160855E-2</v>
      </c>
      <c r="I6" s="664">
        <f t="shared" si="2"/>
        <v>4.1210039896975026E-2</v>
      </c>
      <c r="J6" s="664">
        <f t="shared" si="2"/>
        <v>7.7775622059465421E-2</v>
      </c>
      <c r="K6" s="664">
        <f t="shared" si="2"/>
        <v>5.7716973065412569E-2</v>
      </c>
      <c r="L6" s="664">
        <f t="shared" si="2"/>
        <v>-0.63632302259286044</v>
      </c>
      <c r="M6" s="667">
        <f>Growth!L24</f>
        <v>0.49406644990675347</v>
      </c>
      <c r="N6" s="667">
        <f>Growth!M24</f>
        <v>0.29662570563957474</v>
      </c>
      <c r="O6" s="667">
        <f>Growth!N24</f>
        <v>8.2433616466312781E-2</v>
      </c>
      <c r="P6" s="667">
        <f>Growth!O24</f>
        <v>2.5098678055849217E-2</v>
      </c>
      <c r="Q6" s="667">
        <f>Growth!P24</f>
        <v>2.2052040925199256E-2</v>
      </c>
      <c r="R6" s="528"/>
      <c r="S6" s="327"/>
    </row>
    <row r="7" spans="1:24">
      <c r="A7" s="662" t="s">
        <v>1171</v>
      </c>
      <c r="B7" s="327"/>
      <c r="C7" s="327"/>
      <c r="D7" s="721">
        <f t="shared" ref="D7:Q7" si="3">D5/(AVERAGE(C90:D90)+AVERAGE(C99:D99)+AVERAGE(C104:D104))</f>
        <v>3.1946197710355637</v>
      </c>
      <c r="E7" s="721">
        <f t="shared" si="3"/>
        <v>2.2428269225039474</v>
      </c>
      <c r="F7" s="721">
        <f t="shared" si="3"/>
        <v>1.9340469031870113</v>
      </c>
      <c r="G7" s="721">
        <f t="shared" si="3"/>
        <v>2.1449336757658393</v>
      </c>
      <c r="H7" s="721">
        <f t="shared" si="3"/>
        <v>2.0414454353317177</v>
      </c>
      <c r="I7" s="721">
        <f t="shared" si="3"/>
        <v>1.9466987701531999</v>
      </c>
      <c r="J7" s="721">
        <f t="shared" si="3"/>
        <v>1.6783488802447224</v>
      </c>
      <c r="K7" s="721">
        <f t="shared" si="3"/>
        <v>1.496363028634186</v>
      </c>
      <c r="L7" s="721">
        <f t="shared" si="3"/>
        <v>0.49056603773584906</v>
      </c>
      <c r="M7" s="721">
        <f>M5/(AVERAGE(L90:M90)+AVERAGE(L99:M99)+AVERAGE(L104:M104))</f>
        <v>0.66909091071058224</v>
      </c>
      <c r="N7" s="721">
        <f ca="1">N5/(AVERAGE(M90:N90)+AVERAGE(M99:N99)+AVERAGE(M104:N104))</f>
        <v>0.80671702153759628</v>
      </c>
      <c r="O7" s="721">
        <f t="shared" ca="1" si="3"/>
        <v>0.80000150333708053</v>
      </c>
      <c r="P7" s="721">
        <f t="shared" ca="1" si="3"/>
        <v>0.75128230578433841</v>
      </c>
      <c r="Q7" s="721">
        <f t="shared" ca="1" si="3"/>
        <v>0.70373586056648385</v>
      </c>
      <c r="S7" s="327"/>
    </row>
    <row r="8" spans="1:24">
      <c r="A8" s="259" t="s">
        <v>1172</v>
      </c>
      <c r="B8" s="327"/>
      <c r="C8" s="327">
        <f>'DAL-US IS-adj'!L9</f>
        <v>29.744</v>
      </c>
      <c r="D8" s="327">
        <f>'DAL-US IS-adj'!K9</f>
        <v>30.795000000000002</v>
      </c>
      <c r="E8" s="327">
        <f>'DAL-US IS-adj'!J9</f>
        <v>31.341000000000001</v>
      </c>
      <c r="F8" s="327">
        <f>'DAL-US IS-adj'!I9</f>
        <v>31.943000000000001</v>
      </c>
      <c r="G8" s="327">
        <f>'DAL-US IS-adj'!H9</f>
        <v>28.456</v>
      </c>
      <c r="H8" s="327">
        <f>'DAL-US IS-adj'!G9</f>
        <v>28.625</v>
      </c>
      <c r="I8" s="327">
        <f>'DAL-US IS-adj'!F9</f>
        <v>31.013000000000002</v>
      </c>
      <c r="J8" s="327">
        <f>'DAL-US IS-adj'!E9</f>
        <v>35.51</v>
      </c>
      <c r="K8" s="327">
        <f>'DAL-US IS-adj'!D9</f>
        <v>36.584000000000003</v>
      </c>
      <c r="L8" s="327">
        <f>'DAL-US IS-adj'!C9</f>
        <v>23.631</v>
      </c>
      <c r="M8" s="663">
        <f>M5*(1-M9)</f>
        <v>19.155799470866963</v>
      </c>
      <c r="N8" s="663">
        <f>N5*(1-N9)</f>
        <v>24.83790200600307</v>
      </c>
      <c r="O8" s="663">
        <f>O5*(1-O9)</f>
        <v>26.885380093793785</v>
      </c>
      <c r="P8" s="663">
        <f>P5*(1-P9)</f>
        <v>27.560167593177056</v>
      </c>
      <c r="Q8" s="663">
        <f>Q5*(1-Q9)</f>
        <v>28.167925536847143</v>
      </c>
    </row>
    <row r="9" spans="1:24">
      <c r="A9" s="662" t="s">
        <v>595</v>
      </c>
      <c r="B9" s="327"/>
      <c r="C9" s="661">
        <f t="shared" ref="C9:K9" si="4">(C5-C8)/C5</f>
        <v>0.15295457781574831</v>
      </c>
      <c r="D9" s="661">
        <f t="shared" si="4"/>
        <v>0.16078484807194438</v>
      </c>
      <c r="E9" s="661">
        <f t="shared" si="4"/>
        <v>0.16730432010202448</v>
      </c>
      <c r="F9" s="661">
        <f t="shared" si="4"/>
        <v>0.20547706695851156</v>
      </c>
      <c r="G9" s="661">
        <f>(G5-G8)/G5</f>
        <v>0.29748679208018569</v>
      </c>
      <c r="H9" s="661">
        <f t="shared" si="4"/>
        <v>0.2771829705570425</v>
      </c>
      <c r="I9" s="661">
        <f t="shared" si="4"/>
        <v>0.24787796478634136</v>
      </c>
      <c r="J9" s="661">
        <f t="shared" si="4"/>
        <v>0.20096307463828456</v>
      </c>
      <c r="K9" s="661">
        <f t="shared" si="4"/>
        <v>0.22171637663277022</v>
      </c>
      <c r="L9" s="661">
        <f>(L5-L8)/L5</f>
        <v>-0.38233401579409193</v>
      </c>
      <c r="M9" s="668">
        <f>0.25</f>
        <v>0.25</v>
      </c>
      <c r="N9" s="668">
        <f t="shared" ref="N9:Q9" si="5">M9</f>
        <v>0.25</v>
      </c>
      <c r="O9" s="668">
        <f t="shared" si="5"/>
        <v>0.25</v>
      </c>
      <c r="P9" s="668">
        <f t="shared" si="5"/>
        <v>0.25</v>
      </c>
      <c r="Q9" s="668">
        <f t="shared" si="5"/>
        <v>0.25</v>
      </c>
    </row>
    <row r="10" spans="1:24">
      <c r="A10" s="259" t="str">
        <f>IS!A17</f>
        <v>SG&amp;A Expense</v>
      </c>
      <c r="B10" s="327"/>
      <c r="C10" s="327">
        <f>'DAL-US IS-adj'!L10</f>
        <v>1.6819999999999999</v>
      </c>
      <c r="D10" s="327">
        <f>'DAL-US IS-adj'!K10</f>
        <v>1.59</v>
      </c>
      <c r="E10" s="327">
        <f>'DAL-US IS-adj'!J10</f>
        <v>1.603</v>
      </c>
      <c r="F10" s="327">
        <f>'DAL-US IS-adj'!I10</f>
        <v>1.7</v>
      </c>
      <c r="G10" s="327">
        <f>'DAL-US IS-adj'!H10</f>
        <v>1.6719999999999999</v>
      </c>
      <c r="H10" s="327">
        <f>'DAL-US IS-adj'!G10</f>
        <v>1.71</v>
      </c>
      <c r="I10" s="327">
        <f>'DAL-US IS-adj'!F10</f>
        <v>1.7869999999999999</v>
      </c>
      <c r="J10" s="327">
        <f>'DAL-US IS-adj'!E10</f>
        <v>1.9410000000000001</v>
      </c>
      <c r="K10" s="327">
        <f>'DAL-US IS-adj'!D10</f>
        <v>1.9930000000000001</v>
      </c>
      <c r="L10" s="327">
        <f>'DAL-US IS-adj'!C10</f>
        <v>0.58199999999999996</v>
      </c>
      <c r="M10" s="663">
        <f>(M5-M8)/M11</f>
        <v>0.91218092718414112</v>
      </c>
      <c r="N10" s="663">
        <f t="shared" ref="N10:Q10" si="6">(N5-N8)/N11</f>
        <v>1.1827572383810983</v>
      </c>
      <c r="O10" s="663">
        <f t="shared" si="6"/>
        <v>1.2802561949425615</v>
      </c>
      <c r="P10" s="663">
        <f t="shared" si="6"/>
        <v>1.3123889330084313</v>
      </c>
      <c r="Q10" s="663">
        <f t="shared" si="6"/>
        <v>1.3413297874689118</v>
      </c>
    </row>
    <row r="11" spans="1:24">
      <c r="A11" s="662" t="s">
        <v>597</v>
      </c>
      <c r="B11" s="327"/>
      <c r="C11" s="662">
        <f t="shared" ref="C11:J11" si="7">(C5-C8)/C10</f>
        <v>3.1932223543400728</v>
      </c>
      <c r="D11" s="662">
        <f t="shared" si="7"/>
        <v>3.7106918238993698</v>
      </c>
      <c r="E11" s="662">
        <f t="shared" si="7"/>
        <v>3.9282595134123501</v>
      </c>
      <c r="F11" s="662">
        <f t="shared" si="7"/>
        <v>4.8594117647058823</v>
      </c>
      <c r="G11" s="662">
        <f t="shared" si="7"/>
        <v>7.2069377990430628</v>
      </c>
      <c r="H11" s="662">
        <f t="shared" si="7"/>
        <v>6.4192982456140335</v>
      </c>
      <c r="I11" s="662">
        <f t="shared" si="7"/>
        <v>5.7196418578623396</v>
      </c>
      <c r="J11" s="662">
        <f t="shared" si="7"/>
        <v>4.6012364760432787</v>
      </c>
      <c r="K11" s="662">
        <f>(K5-K8)/K10</f>
        <v>5.2293025589563458</v>
      </c>
      <c r="L11" s="662">
        <f>(L5-L8)/L10</f>
        <v>-11.230240549828181</v>
      </c>
      <c r="M11" s="668">
        <v>7</v>
      </c>
      <c r="N11" s="668">
        <f t="shared" ref="N11:Q11" si="8">M11</f>
        <v>7</v>
      </c>
      <c r="O11" s="668">
        <f t="shared" si="8"/>
        <v>7</v>
      </c>
      <c r="P11" s="668">
        <f t="shared" si="8"/>
        <v>7</v>
      </c>
      <c r="Q11" s="668">
        <f t="shared" si="8"/>
        <v>7</v>
      </c>
    </row>
    <row r="12" spans="1:24">
      <c r="A12" s="255" t="str">
        <f>IS!A18</f>
        <v>EBIT (Operating Income)</v>
      </c>
      <c r="B12" s="327"/>
      <c r="C12" s="380">
        <f>C5-C8-C10</f>
        <v>3.6890000000000023</v>
      </c>
      <c r="D12" s="380">
        <f t="shared" ref="D12:Q12" si="9">D5-D8-D10</f>
        <v>4.3099999999999987</v>
      </c>
      <c r="E12" s="380">
        <f t="shared" si="9"/>
        <v>4.6939999999999973</v>
      </c>
      <c r="F12" s="380">
        <f t="shared" si="9"/>
        <v>6.5609999999999991</v>
      </c>
      <c r="G12" s="380">
        <f t="shared" si="9"/>
        <v>10.378</v>
      </c>
      <c r="H12" s="380">
        <f t="shared" si="9"/>
        <v>9.2669999999999959</v>
      </c>
      <c r="I12" s="380">
        <f t="shared" si="9"/>
        <v>8.4340000000000011</v>
      </c>
      <c r="J12" s="380">
        <f t="shared" si="9"/>
        <v>6.9900000000000047</v>
      </c>
      <c r="K12" s="380">
        <f t="shared" si="9"/>
        <v>8.4289999999999967</v>
      </c>
      <c r="L12" s="380">
        <f t="shared" si="9"/>
        <v>-7.1180000000000012</v>
      </c>
      <c r="M12" s="380">
        <f>M5-M8-M10</f>
        <v>5.4730855631048465</v>
      </c>
      <c r="N12" s="380">
        <f t="shared" si="9"/>
        <v>7.0965434302865891</v>
      </c>
      <c r="O12" s="380">
        <f t="shared" si="9"/>
        <v>7.6815371696553694</v>
      </c>
      <c r="P12" s="380">
        <f t="shared" si="9"/>
        <v>7.8743335980505869</v>
      </c>
      <c r="Q12" s="380">
        <f t="shared" si="9"/>
        <v>8.047978724813472</v>
      </c>
    </row>
    <row r="13" spans="1:24">
      <c r="A13" s="255"/>
      <c r="B13" s="327"/>
      <c r="C13" s="380"/>
      <c r="D13" s="380"/>
      <c r="E13" s="380"/>
      <c r="F13" s="380"/>
      <c r="G13" s="380"/>
      <c r="H13" s="380"/>
      <c r="I13" s="380"/>
      <c r="J13" s="380"/>
      <c r="K13" s="380"/>
      <c r="L13" s="695" t="s">
        <v>1173</v>
      </c>
      <c r="M13" s="384">
        <f>DCF!F8</f>
        <v>4.3400000000000001E-2</v>
      </c>
      <c r="N13" s="380"/>
      <c r="O13" s="380"/>
      <c r="P13" s="695" t="s">
        <v>1174</v>
      </c>
      <c r="Q13" s="1109">
        <f ca="1">MEDIAN('DCS Detail'!L16,'DCS Detail'!L38,)/100</f>
        <v>1.54E-2</v>
      </c>
    </row>
    <row r="14" spans="1:24">
      <c r="A14" s="259" t="str">
        <f>IS!A20</f>
        <v>Interest Expense</v>
      </c>
      <c r="B14" s="327"/>
      <c r="C14" s="327">
        <f>'DAL-US IS-adj'!L12</f>
        <v>1.0940000000000001</v>
      </c>
      <c r="D14" s="327">
        <f>'DAL-US IS-adj'!K12</f>
        <v>1</v>
      </c>
      <c r="E14" s="327">
        <f>'DAL-US IS-adj'!J12</f>
        <v>0.85199999999999998</v>
      </c>
      <c r="F14" s="327">
        <f>'DAL-US IS-adj'!I12</f>
        <v>0.61899999999999999</v>
      </c>
      <c r="G14" s="327">
        <f>'DAL-US IS-adj'!H12</f>
        <v>0.48099999999999998</v>
      </c>
      <c r="H14" s="327">
        <f>'DAL-US IS-adj'!G12</f>
        <v>0.38800000000000001</v>
      </c>
      <c r="I14" s="327">
        <f>'DAL-US IS-adj'!F12</f>
        <v>0.39600000000000002</v>
      </c>
      <c r="J14" s="327">
        <f>'DAL-US IS-adj'!E12</f>
        <v>0.311</v>
      </c>
      <c r="K14" s="327">
        <f>'DAL-US IS-adj'!D12</f>
        <v>0.30099999999999999</v>
      </c>
      <c r="L14" s="327">
        <f>'DAL-US IS-adj'!C12</f>
        <v>0.92900000000000005</v>
      </c>
      <c r="M14" s="670">
        <f>M85</f>
        <v>1.988</v>
      </c>
      <c r="N14" s="670">
        <f>N85</f>
        <v>1.988</v>
      </c>
      <c r="O14" s="670">
        <f>O85</f>
        <v>1.988</v>
      </c>
      <c r="P14" s="670">
        <f>P85</f>
        <v>1.988</v>
      </c>
      <c r="Q14" s="670">
        <f>Q85</f>
        <v>1.988</v>
      </c>
      <c r="R14" s="1261"/>
      <c r="S14" s="1261"/>
      <c r="T14" s="1262"/>
      <c r="U14" s="1261"/>
      <c r="V14" s="1261"/>
      <c r="W14" s="1261"/>
      <c r="X14" s="1261"/>
    </row>
    <row r="15" spans="1:24" s="372" customFormat="1">
      <c r="A15" s="259" t="str">
        <f>IS!A22&amp;" (at marginal tax rate)"</f>
        <v>Income Taxes (at marginal tax rate)</v>
      </c>
      <c r="B15" s="327"/>
      <c r="C15" s="327">
        <f>'DAL-US IS-adj'!L13</f>
        <v>0.75255000000000061</v>
      </c>
      <c r="D15" s="327">
        <f>'DAL-US IS-adj'!K13</f>
        <v>0.95989999999999953</v>
      </c>
      <c r="E15" s="327">
        <f>'DAL-US IS-adj'!J13</f>
        <v>1.1141799999999993</v>
      </c>
      <c r="F15" s="327">
        <f>'DAL-US IS-adj'!I13</f>
        <v>1.7231799999999997</v>
      </c>
      <c r="G15" s="327">
        <f>'DAL-US IS-adj'!H13</f>
        <v>2.8701300000000001</v>
      </c>
      <c r="H15" s="327">
        <f>'DAL-US IS-adj'!G13</f>
        <v>2.5749099999999987</v>
      </c>
      <c r="I15" s="327">
        <f>'DAL-US IS-adj'!F13</f>
        <v>2.3310200000000001</v>
      </c>
      <c r="J15" s="327">
        <f>'DAL-US IS-adj'!E13</f>
        <v>1.9369100000000012</v>
      </c>
      <c r="K15" s="327">
        <f>'DAL-US IS-adj'!D13</f>
        <v>2.3571199999999988</v>
      </c>
      <c r="L15" s="327">
        <f>'DAL-US IS-adj'!C13</f>
        <v>-2.3336299999999999</v>
      </c>
      <c r="M15" s="327">
        <f>(M12-M14)*M21</f>
        <v>1.0106748133004053</v>
      </c>
      <c r="N15" s="327">
        <f ca="1">'Supp. Schedule'!N85</f>
        <v>1.2392231558576985</v>
      </c>
      <c r="O15" s="327">
        <f ca="1">'Supp. Schedule'!O85</f>
        <v>1.1450673126129978</v>
      </c>
      <c r="P15" s="327">
        <f ca="1">'Supp. Schedule'!P85</f>
        <v>1.0509695110541633</v>
      </c>
      <c r="Q15" s="327">
        <f ca="1">'Supp. Schedule'!Q85</f>
        <v>0.98694160370138517</v>
      </c>
      <c r="R15" s="3"/>
      <c r="T15" s="671"/>
    </row>
    <row r="16" spans="1:24">
      <c r="A16" s="255" t="s">
        <v>1175</v>
      </c>
      <c r="B16" s="380"/>
      <c r="C16" s="380">
        <f t="shared" ref="C16:L16" si="10">C12-C14-C15</f>
        <v>1.8424500000000017</v>
      </c>
      <c r="D16" s="380">
        <f t="shared" si="10"/>
        <v>2.3500999999999994</v>
      </c>
      <c r="E16" s="380">
        <f t="shared" si="10"/>
        <v>2.7278199999999981</v>
      </c>
      <c r="F16" s="380">
        <f t="shared" si="10"/>
        <v>4.2188199999999991</v>
      </c>
      <c r="G16" s="380">
        <f t="shared" si="10"/>
        <v>7.0268700000000006</v>
      </c>
      <c r="H16" s="380">
        <f t="shared" si="10"/>
        <v>6.3040899999999969</v>
      </c>
      <c r="I16" s="380">
        <f t="shared" si="10"/>
        <v>5.7069799999999997</v>
      </c>
      <c r="J16" s="380">
        <f t="shared" si="10"/>
        <v>4.7420900000000037</v>
      </c>
      <c r="K16" s="380">
        <f>K12-K14-K15</f>
        <v>5.7708799999999982</v>
      </c>
      <c r="L16" s="380">
        <f t="shared" si="10"/>
        <v>-5.7133700000000012</v>
      </c>
      <c r="M16" s="380">
        <f>M12-M14-M15</f>
        <v>2.4744107498044414</v>
      </c>
      <c r="N16" s="380">
        <f ca="1">N12-N14-N15</f>
        <v>3.8693202744288913</v>
      </c>
      <c r="O16" s="380">
        <f t="shared" ref="O16:Q16" ca="1" si="11">O12-O14-O15</f>
        <v>4.5484698570423721</v>
      </c>
      <c r="P16" s="380">
        <f t="shared" ca="1" si="11"/>
        <v>4.8353640869964245</v>
      </c>
      <c r="Q16" s="380">
        <f t="shared" ca="1" si="11"/>
        <v>5.0730371211120868</v>
      </c>
    </row>
    <row r="17" spans="1:18" ht="15.75" customHeight="1">
      <c r="A17" s="1097" t="str">
        <f>IS!A19</f>
        <v>Nonoperating Income - Net</v>
      </c>
      <c r="B17" s="1098"/>
      <c r="C17" s="1098">
        <f>'DAL-US IS-adj'!L15</f>
        <v>-1E-3</v>
      </c>
      <c r="D17" s="1098">
        <f>'DAL-US IS-adj'!K15</f>
        <v>-4.2000000000000003E-2</v>
      </c>
      <c r="E17" s="1098">
        <f>'DAL-US IS-adj'!J15</f>
        <v>0.114</v>
      </c>
      <c r="F17" s="1098">
        <f>'DAL-US IS-adj'!I15</f>
        <v>4.4999999999999998E-2</v>
      </c>
      <c r="G17" s="1098">
        <f>'DAL-US IS-adj'!H15</f>
        <v>8.0000000000000002E-3</v>
      </c>
      <c r="H17" s="1098">
        <f>'DAL-US IS-adj'!G15</f>
        <v>-6.0000000000000001E-3</v>
      </c>
      <c r="I17" s="1098">
        <f>'DAL-US IS-adj'!F15</f>
        <v>-7.0000000000000001E-3</v>
      </c>
      <c r="J17" s="1098">
        <f>'DAL-US IS-adj'!E15</f>
        <v>0.18099999999999999</v>
      </c>
      <c r="K17" s="1098">
        <f>'DAL-US IS-adj'!D15</f>
        <v>-0.128</v>
      </c>
      <c r="L17" s="1098">
        <f>'DAL-US IS-adj'!C15</f>
        <v>0.27400000000000002</v>
      </c>
    </row>
    <row r="18" spans="1:18" ht="15.75" customHeight="1">
      <c r="A18" s="1097" t="str">
        <f>IS!A21</f>
        <v>Unusual Expense - Net</v>
      </c>
      <c r="B18" s="1098"/>
      <c r="C18" s="1098">
        <f>'DAL-US IS-adj'!L16</f>
        <v>-6.7000000000000004E-2</v>
      </c>
      <c r="D18" s="1098">
        <f>'DAL-US IS-adj'!K16</f>
        <v>0.65100000000000002</v>
      </c>
      <c r="E18" s="1098">
        <f>'DAL-US IS-adj'!J16</f>
        <v>-9.0999999999999998E-2</v>
      </c>
      <c r="F18" s="1098">
        <f>'DAL-US IS-adj'!I16</f>
        <v>3.1179999999999999</v>
      </c>
      <c r="G18" s="1098">
        <f>'DAL-US IS-adj'!H16</f>
        <v>0.75</v>
      </c>
      <c r="H18" s="1098">
        <f>'DAL-US IS-adj'!G16</f>
        <v>0.251</v>
      </c>
      <c r="I18" s="1098">
        <f>'DAL-US IS-adj'!F16</f>
        <v>8.1000000000000003E-2</v>
      </c>
      <c r="J18" s="1098">
        <f>'DAL-US IS-adj'!E16</f>
        <v>-1.4E-2</v>
      </c>
      <c r="K18" s="1098">
        <f>'DAL-US IS-adj'!D16</f>
        <v>3.1E-2</v>
      </c>
      <c r="L18" s="1098">
        <f>'DAL-US IS-adj'!C16</f>
        <v>6.6509999999999998</v>
      </c>
    </row>
    <row r="19" spans="1:18" ht="15.75" customHeight="1">
      <c r="A19" s="1097" t="s">
        <v>462</v>
      </c>
      <c r="B19" s="1097"/>
      <c r="C19" s="1098">
        <f>'DAL-US IS-adj'!L17</f>
        <v>1.9140000000000001E-2</v>
      </c>
      <c r="D19" s="1098">
        <f>'DAL-US IS-adj'!K17</f>
        <v>-0.20097000000000001</v>
      </c>
      <c r="E19" s="1098">
        <f>'DAL-US IS-adj'!J17</f>
        <v>5.9450000000000003E-2</v>
      </c>
      <c r="F19" s="1098">
        <f>'DAL-US IS-adj'!I17</f>
        <v>-0.89116999999999991</v>
      </c>
      <c r="G19" s="1098">
        <f>'DAL-US IS-adj'!H17</f>
        <v>-0.21517999999999998</v>
      </c>
      <c r="H19" s="1098">
        <f>'DAL-US IS-adj'!G17</f>
        <v>-7.4529999999999999E-2</v>
      </c>
      <c r="I19" s="1098">
        <f>'DAL-US IS-adj'!F17</f>
        <v>-2.5520000000000001E-2</v>
      </c>
      <c r="J19" s="1098">
        <f>'DAL-US IS-adj'!E17</f>
        <v>5.6549999999999996E-2</v>
      </c>
      <c r="K19" s="1098">
        <f>'DAL-US IS-adj'!D17</f>
        <v>-4.6109999999999998E-2</v>
      </c>
      <c r="L19" s="1098">
        <f>'DAL-US IS-adj'!C17</f>
        <v>-1.8493299999999999</v>
      </c>
    </row>
    <row r="20" spans="1:18" s="372" customFormat="1" ht="15.75" customHeight="1">
      <c r="A20" s="255" t="s">
        <v>463</v>
      </c>
      <c r="B20" s="380"/>
      <c r="C20" s="380">
        <f t="shared" ref="C20:L20" si="12">C16+C17-C18-C19</f>
        <v>1.8893100000000018</v>
      </c>
      <c r="D20" s="380">
        <f t="shared" si="12"/>
        <v>1.8580699999999997</v>
      </c>
      <c r="E20" s="380">
        <f t="shared" si="12"/>
        <v>2.8733699999999982</v>
      </c>
      <c r="F20" s="380">
        <f>SUM(F16:F17)-SUM(F18:F19)</f>
        <v>2.036989999999999</v>
      </c>
      <c r="G20" s="380">
        <f t="shared" si="12"/>
        <v>6.5000500000000008</v>
      </c>
      <c r="H20" s="380">
        <f t="shared" si="12"/>
        <v>6.1216199999999965</v>
      </c>
      <c r="I20" s="380">
        <f t="shared" si="12"/>
        <v>5.6444999999999999</v>
      </c>
      <c r="J20" s="380">
        <f t="shared" si="12"/>
        <v>4.8805400000000043</v>
      </c>
      <c r="K20" s="380">
        <f t="shared" si="12"/>
        <v>5.6579899999999981</v>
      </c>
      <c r="L20" s="380">
        <f t="shared" si="12"/>
        <v>-10.24104</v>
      </c>
      <c r="R20" s="3"/>
    </row>
    <row r="21" spans="1:18">
      <c r="A21" s="665" t="s">
        <v>465</v>
      </c>
      <c r="B21" s="666"/>
      <c r="C21" s="666">
        <f t="shared" ref="C21:F21" si="13">D21</f>
        <v>0.28999999999999998</v>
      </c>
      <c r="D21" s="666">
        <f t="shared" si="13"/>
        <v>0.28999999999999998</v>
      </c>
      <c r="E21" s="666">
        <f t="shared" si="13"/>
        <v>0.28999999999999998</v>
      </c>
      <c r="F21" s="666">
        <f t="shared" si="13"/>
        <v>0.28999999999999998</v>
      </c>
      <c r="G21" s="666">
        <f>'DAL-US IS-adj'!H20</f>
        <v>0.28999999999999998</v>
      </c>
      <c r="H21" s="666">
        <f>'DAL-US IS-adj'!G20</f>
        <v>0.28999999999999998</v>
      </c>
      <c r="I21" s="666">
        <f>'DAL-US IS-adj'!F20</f>
        <v>0.28999999999999998</v>
      </c>
      <c r="J21" s="666">
        <f>'DAL-US IS-adj'!E20</f>
        <v>0.28999999999999998</v>
      </c>
      <c r="K21" s="666">
        <f>'DAL-US IS-adj'!D20</f>
        <v>0.28999999999999998</v>
      </c>
      <c r="L21" s="666">
        <f>'DAL-US IS-adj'!C20</f>
        <v>0.28999999999999998</v>
      </c>
      <c r="M21" s="383">
        <v>0.28999999999999998</v>
      </c>
      <c r="N21" s="383">
        <f>M21+2%</f>
        <v>0.31</v>
      </c>
      <c r="O21" s="383">
        <f t="shared" ref="O21:Q21" si="14">N21+1%</f>
        <v>0.32</v>
      </c>
      <c r="P21" s="383">
        <f t="shared" si="14"/>
        <v>0.33</v>
      </c>
      <c r="Q21" s="383">
        <f t="shared" si="14"/>
        <v>0.34</v>
      </c>
    </row>
    <row r="22" spans="1:18">
      <c r="A22" s="327" t="s">
        <v>43</v>
      </c>
      <c r="B22" s="327"/>
      <c r="C22" s="327">
        <f t="shared" ref="C22:K22" si="15">C12+C38</f>
        <v>5.2120000000000024</v>
      </c>
      <c r="D22" s="327">
        <f t="shared" si="15"/>
        <v>5.8749999999999982</v>
      </c>
      <c r="E22" s="327">
        <f t="shared" si="15"/>
        <v>6.3519999999999968</v>
      </c>
      <c r="F22" s="327">
        <f t="shared" si="15"/>
        <v>8.331999999999999</v>
      </c>
      <c r="G22" s="327">
        <f t="shared" si="15"/>
        <v>12.213000000000001</v>
      </c>
      <c r="H22" s="327">
        <f t="shared" si="15"/>
        <v>11.168999999999995</v>
      </c>
      <c r="I22" s="327">
        <f t="shared" si="15"/>
        <v>10.669</v>
      </c>
      <c r="J22" s="327">
        <f t="shared" si="15"/>
        <v>9.3190000000000044</v>
      </c>
      <c r="K22" s="327">
        <f t="shared" si="15"/>
        <v>11.009999999999996</v>
      </c>
      <c r="L22" s="327">
        <f>L12+L38</f>
        <v>-4.8060000000000009</v>
      </c>
      <c r="M22" s="327">
        <f>M12+M38</f>
        <v>15.087135563104844</v>
      </c>
      <c r="N22" s="327">
        <f t="shared" ref="N22:Q22" si="16">N12+N38</f>
        <v>17.470193430286589</v>
      </c>
      <c r="O22" s="327">
        <f t="shared" si="16"/>
        <v>18.852767169655369</v>
      </c>
      <c r="P22" s="327">
        <f t="shared" si="16"/>
        <v>19.883022598050587</v>
      </c>
      <c r="Q22" s="327">
        <f t="shared" si="16"/>
        <v>11.701749674813472</v>
      </c>
    </row>
    <row r="23" spans="1:18">
      <c r="C23" s="327"/>
      <c r="D23" s="327"/>
      <c r="E23" s="327"/>
      <c r="F23" s="327"/>
      <c r="G23" s="327"/>
      <c r="H23" s="327"/>
      <c r="I23" s="327"/>
      <c r="J23" s="327"/>
      <c r="K23" s="327"/>
      <c r="L23" s="327"/>
    </row>
    <row r="24" spans="1:18">
      <c r="A24" s="672" t="s">
        <v>150</v>
      </c>
      <c r="B24" s="327"/>
    </row>
    <row r="25" spans="1:18">
      <c r="A25" s="259" t="s">
        <v>1176</v>
      </c>
      <c r="B25" s="327"/>
      <c r="C25" s="474">
        <f>IS!L30</f>
        <v>0</v>
      </c>
      <c r="D25" s="474">
        <f>IS!K30</f>
        <v>0</v>
      </c>
      <c r="E25" s="474">
        <f>IS!J30</f>
        <v>0.12</v>
      </c>
      <c r="F25" s="474">
        <f>IS!I30</f>
        <v>0.3</v>
      </c>
      <c r="G25" s="474">
        <f>IS!H30</f>
        <v>0.45</v>
      </c>
      <c r="H25" s="474">
        <f>IS!G30</f>
        <v>0.67500000000000004</v>
      </c>
      <c r="I25" s="474">
        <f>IS!F30</f>
        <v>1.0149999999999999</v>
      </c>
      <c r="J25" s="474">
        <f>IS!E30</f>
        <v>1.31</v>
      </c>
      <c r="K25" s="474">
        <f>IS!D30</f>
        <v>1.5049999999999999</v>
      </c>
      <c r="L25" s="474">
        <f>IS!C30</f>
        <v>0.40250000000000002</v>
      </c>
      <c r="M25" s="327">
        <v>0</v>
      </c>
      <c r="N25" s="327">
        <v>0</v>
      </c>
      <c r="O25" s="327">
        <v>0.5</v>
      </c>
      <c r="P25" s="327">
        <v>0.43</v>
      </c>
      <c r="Q25" s="327">
        <f ca="1">Q16/(Q27/1000)*Q26</f>
        <v>0.21536478344343762</v>
      </c>
    </row>
    <row r="26" spans="1:18">
      <c r="A26" s="662" t="s">
        <v>1177</v>
      </c>
      <c r="C26" s="664">
        <f t="shared" ref="C26:K26" si="17">C25/(C16/C27*1000)</f>
        <v>0</v>
      </c>
      <c r="D26" s="664">
        <f t="shared" si="17"/>
        <v>0</v>
      </c>
      <c r="E26" s="664">
        <f t="shared" si="17"/>
        <v>3.7348505399916444E-2</v>
      </c>
      <c r="F26" s="664">
        <f t="shared" si="17"/>
        <v>5.944790249406233E-2</v>
      </c>
      <c r="G26" s="664">
        <f t="shared" si="17"/>
        <v>5.103979438925154E-2</v>
      </c>
      <c r="H26" s="664">
        <f t="shared" si="17"/>
        <v>8.0412081680305988E-2</v>
      </c>
      <c r="I26" s="664">
        <f t="shared" si="17"/>
        <v>0.12805371667677123</v>
      </c>
      <c r="J26" s="664">
        <f t="shared" si="17"/>
        <v>0.19088840574514598</v>
      </c>
      <c r="K26" s="664">
        <f t="shared" si="17"/>
        <v>0.16977566679605197</v>
      </c>
      <c r="L26" s="664">
        <f>L25/(L16/L27*1000)</f>
        <v>-4.4805430070168746E-2</v>
      </c>
      <c r="M26" s="667">
        <f>0</f>
        <v>0</v>
      </c>
      <c r="N26" s="667">
        <v>0</v>
      </c>
      <c r="O26" s="667">
        <f>0.027</f>
        <v>2.7E-2</v>
      </c>
      <c r="P26" s="667">
        <f t="shared" ref="P26:Q26" si="18">O26</f>
        <v>2.7E-2</v>
      </c>
      <c r="Q26" s="667">
        <f t="shared" si="18"/>
        <v>2.7E-2</v>
      </c>
    </row>
    <row r="27" spans="1:18">
      <c r="A27" s="385" t="str">
        <f>IS!A58</f>
        <v>Shs Outstanding (M) - Basic</v>
      </c>
      <c r="B27" s="327"/>
      <c r="C27" s="386">
        <f>IS!L58</f>
        <v>838</v>
      </c>
      <c r="D27" s="386">
        <f>IS!K58</f>
        <v>845</v>
      </c>
      <c r="E27" s="386">
        <f>IS!J58</f>
        <v>849</v>
      </c>
      <c r="F27" s="386">
        <f>IS!I58</f>
        <v>836</v>
      </c>
      <c r="G27" s="386">
        <f>IS!H58</f>
        <v>797</v>
      </c>
      <c r="H27" s="386">
        <f>IS!G58</f>
        <v>751</v>
      </c>
      <c r="I27" s="386">
        <f>IS!F58</f>
        <v>720</v>
      </c>
      <c r="J27" s="386">
        <f>IS!E58</f>
        <v>691</v>
      </c>
      <c r="K27" s="386">
        <f>IS!D58</f>
        <v>651</v>
      </c>
      <c r="L27" s="386">
        <f>IS!C58</f>
        <v>636</v>
      </c>
      <c r="M27" s="386">
        <f>L27+M29</f>
        <v>636</v>
      </c>
      <c r="N27" s="386">
        <f t="shared" ref="N27:Q27" si="19">M27+N29</f>
        <v>636</v>
      </c>
      <c r="O27" s="386">
        <f t="shared" si="19"/>
        <v>636</v>
      </c>
      <c r="P27" s="386">
        <f t="shared" si="19"/>
        <v>636</v>
      </c>
      <c r="Q27" s="386">
        <f t="shared" si="19"/>
        <v>636</v>
      </c>
    </row>
    <row r="28" spans="1:18">
      <c r="A28" s="385" t="str">
        <f>IS!A59</f>
        <v>Shs Outstanding (M) - Diluted</v>
      </c>
      <c r="B28" s="327"/>
      <c r="C28" s="386">
        <f>IS!L59</f>
        <v>844</v>
      </c>
      <c r="D28" s="386">
        <f>IS!K59</f>
        <v>850</v>
      </c>
      <c r="E28" s="386">
        <f>IS!J59</f>
        <v>858</v>
      </c>
      <c r="F28" s="386">
        <f>IS!I59</f>
        <v>845</v>
      </c>
      <c r="G28" s="386">
        <f>IS!H59</f>
        <v>804</v>
      </c>
      <c r="H28" s="386">
        <f>IS!G59</f>
        <v>755</v>
      </c>
      <c r="I28" s="386">
        <f>IS!F59</f>
        <v>723</v>
      </c>
      <c r="J28" s="386">
        <f>IS!E59</f>
        <v>694</v>
      </c>
      <c r="K28" s="386">
        <f>IS!D59</f>
        <v>653</v>
      </c>
      <c r="L28" s="386">
        <f>IS!C59</f>
        <v>636</v>
      </c>
      <c r="M28" s="386">
        <f>L28+M30</f>
        <v>636</v>
      </c>
      <c r="N28" s="386">
        <f t="shared" ref="N28:Q28" si="20">M28+N30</f>
        <v>636</v>
      </c>
      <c r="O28" s="386">
        <f t="shared" si="20"/>
        <v>636</v>
      </c>
      <c r="P28" s="386">
        <f t="shared" si="20"/>
        <v>636</v>
      </c>
      <c r="Q28" s="386">
        <f t="shared" si="20"/>
        <v>636</v>
      </c>
    </row>
    <row r="29" spans="1:18">
      <c r="A29" s="662" t="s">
        <v>1178</v>
      </c>
      <c r="D29" s="675">
        <f>D27-C27</f>
        <v>7</v>
      </c>
      <c r="E29" s="675">
        <f t="shared" ref="E29:L29" si="21">E27-D27</f>
        <v>4</v>
      </c>
      <c r="F29" s="675">
        <f t="shared" si="21"/>
        <v>-13</v>
      </c>
      <c r="G29" s="675">
        <f t="shared" si="21"/>
        <v>-39</v>
      </c>
      <c r="H29" s="675">
        <f t="shared" si="21"/>
        <v>-46</v>
      </c>
      <c r="I29" s="675">
        <f t="shared" si="21"/>
        <v>-31</v>
      </c>
      <c r="J29" s="675">
        <f t="shared" si="21"/>
        <v>-29</v>
      </c>
      <c r="K29" s="675">
        <f t="shared" si="21"/>
        <v>-40</v>
      </c>
      <c r="L29" s="675">
        <f t="shared" si="21"/>
        <v>-15</v>
      </c>
      <c r="M29" s="700">
        <v>0</v>
      </c>
      <c r="N29" s="700">
        <v>0</v>
      </c>
      <c r="O29" s="700">
        <v>0</v>
      </c>
      <c r="P29" s="700">
        <v>0</v>
      </c>
      <c r="Q29" s="700">
        <v>0</v>
      </c>
    </row>
    <row r="30" spans="1:18">
      <c r="A30" s="662" t="s">
        <v>1179</v>
      </c>
      <c r="B30" s="327"/>
      <c r="C30" s="327"/>
      <c r="D30" s="675">
        <f>D28-C28</f>
        <v>6</v>
      </c>
      <c r="E30" s="675">
        <f t="shared" ref="E30:L30" si="22">E28-D28</f>
        <v>8</v>
      </c>
      <c r="F30" s="675">
        <f t="shared" si="22"/>
        <v>-13</v>
      </c>
      <c r="G30" s="675">
        <f t="shared" si="22"/>
        <v>-41</v>
      </c>
      <c r="H30" s="675">
        <f t="shared" si="22"/>
        <v>-49</v>
      </c>
      <c r="I30" s="675">
        <f t="shared" si="22"/>
        <v>-32</v>
      </c>
      <c r="J30" s="675">
        <f t="shared" si="22"/>
        <v>-29</v>
      </c>
      <c r="K30" s="675">
        <f t="shared" si="22"/>
        <v>-41</v>
      </c>
      <c r="L30" s="675">
        <f t="shared" si="22"/>
        <v>-17</v>
      </c>
      <c r="M30" s="15">
        <f>M29</f>
        <v>0</v>
      </c>
      <c r="N30" s="15">
        <f>N29</f>
        <v>0</v>
      </c>
      <c r="O30" s="15">
        <f t="shared" ref="O30:Q30" si="23">O29</f>
        <v>0</v>
      </c>
      <c r="P30" s="15">
        <f t="shared" si="23"/>
        <v>0</v>
      </c>
      <c r="Q30" s="15">
        <f t="shared" si="23"/>
        <v>0</v>
      </c>
    </row>
    <row r="31" spans="1:18">
      <c r="A31" s="347"/>
      <c r="B31" s="347"/>
      <c r="M31" s="327"/>
      <c r="O31" s="259"/>
    </row>
    <row r="32" spans="1:18">
      <c r="A32" s="347"/>
      <c r="B32" s="347"/>
      <c r="M32" s="327"/>
      <c r="O32" s="257"/>
    </row>
    <row r="33" spans="1:103" s="340" customFormat="1" ht="26.1" customHeight="1">
      <c r="A33" s="676" t="s">
        <v>422</v>
      </c>
    </row>
    <row r="34" spans="1:103">
      <c r="A34" s="353"/>
      <c r="B34" s="353"/>
      <c r="C34" s="376" t="str">
        <f t="shared" ref="C34:Q34" si="24">C3</f>
        <v>12/2011</v>
      </c>
      <c r="D34" s="376" t="str">
        <f t="shared" si="24"/>
        <v>12/2012</v>
      </c>
      <c r="E34" s="376" t="str">
        <f t="shared" si="24"/>
        <v>12/2013</v>
      </c>
      <c r="F34" s="376" t="str">
        <f t="shared" si="24"/>
        <v>12/2014</v>
      </c>
      <c r="G34" s="376" t="str">
        <f t="shared" si="24"/>
        <v>12/2015</v>
      </c>
      <c r="H34" s="376" t="str">
        <f t="shared" si="24"/>
        <v>12/2016</v>
      </c>
      <c r="I34" s="376" t="str">
        <f t="shared" si="24"/>
        <v>12/2017</v>
      </c>
      <c r="J34" s="376" t="str">
        <f t="shared" si="24"/>
        <v>12/2018</v>
      </c>
      <c r="K34" s="376" t="str">
        <f t="shared" si="24"/>
        <v>12/2019</v>
      </c>
      <c r="L34" s="376" t="str">
        <f t="shared" si="24"/>
        <v>12/2020</v>
      </c>
      <c r="M34" s="637">
        <f t="shared" si="24"/>
        <v>2021</v>
      </c>
      <c r="N34" s="637">
        <f t="shared" si="24"/>
        <v>2022</v>
      </c>
      <c r="O34" s="637">
        <f t="shared" si="24"/>
        <v>2023</v>
      </c>
      <c r="P34" s="637">
        <f t="shared" si="24"/>
        <v>2024</v>
      </c>
      <c r="Q34" s="637">
        <f t="shared" si="24"/>
        <v>2025</v>
      </c>
      <c r="R34" s="327"/>
      <c r="S34" s="327"/>
      <c r="T34" s="327"/>
    </row>
    <row r="35" spans="1:103">
      <c r="A35" s="353" t="str">
        <f>'DAL-US CFS-adj'!A8</f>
        <v>Operating Activities</v>
      </c>
      <c r="B35" s="353"/>
      <c r="C35" s="353"/>
      <c r="D35" s="353"/>
      <c r="E35" s="353"/>
      <c r="F35" s="353"/>
      <c r="G35" s="353"/>
      <c r="H35" s="353"/>
      <c r="I35" s="353"/>
      <c r="J35" s="353"/>
      <c r="K35" s="353"/>
      <c r="L35" s="695" t="s">
        <v>1180</v>
      </c>
      <c r="M35" s="693">
        <v>5</v>
      </c>
      <c r="N35" s="327"/>
      <c r="O35" s="327"/>
      <c r="P35" s="327"/>
      <c r="Q35" s="327"/>
      <c r="R35" s="327"/>
      <c r="S35" s="327"/>
      <c r="T35" s="327"/>
    </row>
    <row r="36" spans="1:103">
      <c r="A36" s="353"/>
      <c r="B36" s="353"/>
      <c r="C36" s="353"/>
      <c r="D36" s="353"/>
      <c r="E36" s="353"/>
      <c r="F36" s="353"/>
      <c r="G36" s="353"/>
      <c r="H36" s="353"/>
      <c r="I36" s="353"/>
      <c r="J36" s="353"/>
      <c r="K36" s="353"/>
      <c r="L36" s="695" t="str">
        <f>"Assumption on average usefull life of 'old'  investments, was "&amp;ROUND(AVERAGE('Supp. Schedule'!E47:L47),1)&amp;" in the past 8 years"</f>
        <v>Assumption on average usefull life of 'old'  investments, was 12.6 in the past 8 years</v>
      </c>
      <c r="M36" s="693">
        <v>4</v>
      </c>
      <c r="N36" s="380"/>
      <c r="O36" s="380"/>
      <c r="P36" s="327"/>
      <c r="Q36" s="327"/>
      <c r="R36" s="327"/>
      <c r="S36" s="327"/>
      <c r="T36" s="327"/>
    </row>
    <row r="37" spans="1:103">
      <c r="A37" s="344" t="str">
        <f>'DAL-US CFS-adj'!A9</f>
        <v>Net Income / Starting Line</v>
      </c>
      <c r="B37" s="344">
        <f>CFS!B38</f>
        <v>-1.8018720748829999</v>
      </c>
      <c r="C37" s="344">
        <f>C16</f>
        <v>1.8424500000000017</v>
      </c>
      <c r="D37" s="344">
        <f t="shared" ref="D37:Q37" si="25">D16</f>
        <v>2.3500999999999994</v>
      </c>
      <c r="E37" s="344">
        <f t="shared" si="25"/>
        <v>2.7278199999999981</v>
      </c>
      <c r="F37" s="344">
        <f t="shared" si="25"/>
        <v>4.2188199999999991</v>
      </c>
      <c r="G37" s="344">
        <f t="shared" si="25"/>
        <v>7.0268700000000006</v>
      </c>
      <c r="H37" s="344">
        <f t="shared" si="25"/>
        <v>6.3040899999999969</v>
      </c>
      <c r="I37" s="344">
        <f t="shared" si="25"/>
        <v>5.7069799999999997</v>
      </c>
      <c r="J37" s="344">
        <f t="shared" si="25"/>
        <v>4.7420900000000037</v>
      </c>
      <c r="K37" s="344">
        <f t="shared" si="25"/>
        <v>5.7708799999999982</v>
      </c>
      <c r="L37" s="344">
        <f t="shared" si="25"/>
        <v>-5.7133700000000012</v>
      </c>
      <c r="M37" s="714">
        <f>M16</f>
        <v>2.4744107498044414</v>
      </c>
      <c r="N37" s="714">
        <f ca="1">N16</f>
        <v>3.8693202744288913</v>
      </c>
      <c r="O37" s="714">
        <f ca="1">O16</f>
        <v>4.5484698570423721</v>
      </c>
      <c r="P37" s="714">
        <f ca="1">P16</f>
        <v>4.8353640869964245</v>
      </c>
      <c r="Q37" s="714">
        <f t="shared" ca="1" si="25"/>
        <v>5.0730371211120868</v>
      </c>
      <c r="R37" s="715"/>
      <c r="S37" s="353"/>
      <c r="T37" s="353"/>
    </row>
    <row r="38" spans="1:103">
      <c r="A38" s="347" t="s">
        <v>1181</v>
      </c>
      <c r="B38" s="347">
        <f>CFS!B39</f>
        <v>-4.2287539893991903</v>
      </c>
      <c r="C38" s="347">
        <f>SUM('DAL-US CFS-adj'!L10:L12)</f>
        <v>1.5229999999999999</v>
      </c>
      <c r="D38" s="347">
        <f>SUM('DAL-US CFS-adj'!K10:K12)</f>
        <v>1.5649999999999999</v>
      </c>
      <c r="E38" s="347">
        <f>SUM('DAL-US CFS-adj'!J10:J12)</f>
        <v>1.6579999999999999</v>
      </c>
      <c r="F38" s="347">
        <f>SUM('DAL-US CFS-adj'!I10:I12)</f>
        <v>1.7709999999999999</v>
      </c>
      <c r="G38" s="347">
        <f>SUM('DAL-US CFS-adj'!H10:H12)</f>
        <v>1.835</v>
      </c>
      <c r="H38" s="347">
        <f>SUM('DAL-US CFS-adj'!G10:G12)</f>
        <v>1.9019999999999999</v>
      </c>
      <c r="I38" s="347">
        <f>SUM('DAL-US CFS-adj'!F10:F12)</f>
        <v>2.2349999999999999</v>
      </c>
      <c r="J38" s="347">
        <f>SUM('DAL-US CFS-adj'!E10:E12)</f>
        <v>2.3290000000000002</v>
      </c>
      <c r="K38" s="347">
        <f>SUM('DAL-US CFS-adj'!D10:D12)</f>
        <v>2.581</v>
      </c>
      <c r="L38" s="347">
        <f>SUM('DAL-US CFS-adj'!C10:C12)</f>
        <v>2.3119999999999998</v>
      </c>
      <c r="M38" s="327">
        <f>'Supp. Schedule'!M56</f>
        <v>9.6140499999999989</v>
      </c>
      <c r="N38" s="327">
        <f>'Supp. Schedule'!N56</f>
        <v>10.37365</v>
      </c>
      <c r="O38" s="327">
        <f>'Supp. Schedule'!O56</f>
        <v>11.17123</v>
      </c>
      <c r="P38" s="327">
        <f>'Supp. Schedule'!P56</f>
        <v>12.008689</v>
      </c>
      <c r="Q38" s="327">
        <f>'Supp. Schedule'!Q56</f>
        <v>3.6537709500000002</v>
      </c>
      <c r="R38" s="715"/>
      <c r="S38" s="353"/>
      <c r="T38" s="353"/>
    </row>
    <row r="39" spans="1:103">
      <c r="A39" s="347" t="str">
        <f>'DAL-US CFS-adj'!A13</f>
        <v>Deferred Taxes &amp; Investment Tax Credit</v>
      </c>
      <c r="B39" s="347">
        <f>CFS!B40</f>
        <v>0</v>
      </c>
      <c r="C39" s="347">
        <f>CFS!L17</f>
        <v>-2E-3</v>
      </c>
      <c r="D39" s="347">
        <f>CFS!K17</f>
        <v>1.7000000000000001E-2</v>
      </c>
      <c r="E39" s="347">
        <f>CFS!J17</f>
        <v>-7.9909999999999997</v>
      </c>
      <c r="F39" s="347">
        <f>CFS!I17</f>
        <v>0.41399999999999998</v>
      </c>
      <c r="G39" s="347">
        <f>CFS!H17</f>
        <v>2.581</v>
      </c>
      <c r="H39" s="347">
        <f>CFS!G17</f>
        <v>2.2229999999999999</v>
      </c>
      <c r="I39" s="347">
        <f>CFS!F17</f>
        <v>2.0710000000000002</v>
      </c>
      <c r="J39" s="347">
        <f>CFS!E17</f>
        <v>1.3640000000000001</v>
      </c>
      <c r="K39" s="347">
        <f>CFS!D17</f>
        <v>1.4730000000000001</v>
      </c>
      <c r="L39" s="347">
        <f>CFS!C17</f>
        <v>-3.11</v>
      </c>
      <c r="M39" s="327">
        <v>0</v>
      </c>
      <c r="N39" s="327">
        <v>0</v>
      </c>
      <c r="O39" s="327">
        <v>0</v>
      </c>
      <c r="P39" s="327">
        <v>0</v>
      </c>
      <c r="Q39" s="327">
        <v>0</v>
      </c>
    </row>
    <row r="40" spans="1:103">
      <c r="A40" s="347" t="str">
        <f>'DAL-US CFS-adj'!A14</f>
        <v>Other Funds</v>
      </c>
      <c r="B40" s="347" t="str">
        <f>CFS!B41</f>
        <v>-</v>
      </c>
      <c r="C40" s="347">
        <f>CFS!L18</f>
        <v>0.30199999999999999</v>
      </c>
      <c r="D40" s="347">
        <f>CFS!K18</f>
        <v>-0.26300000000000001</v>
      </c>
      <c r="E40" s="347">
        <f>CFS!J18</f>
        <v>-0.44700000000000001</v>
      </c>
      <c r="F40" s="347">
        <f>CFS!I18</f>
        <v>2.6539999999999999</v>
      </c>
      <c r="G40" s="347">
        <f>CFS!H18</f>
        <v>-2.3570000000000002</v>
      </c>
      <c r="H40" s="347">
        <f>CFS!G18</f>
        <v>-1.2190000000000001</v>
      </c>
      <c r="I40" s="347">
        <f>CFS!F18</f>
        <v>-3.31</v>
      </c>
      <c r="J40" s="347">
        <f>CFS!E18</f>
        <v>-0.79</v>
      </c>
      <c r="K40" s="347">
        <f>CFS!D18</f>
        <v>-0.92200000000000004</v>
      </c>
      <c r="L40" s="347">
        <f>CFS!C18</f>
        <v>7.4409999999999998</v>
      </c>
      <c r="M40" s="327">
        <f>AVERAGE(G40:L40)*(1+M42)</f>
        <v>-0.1928333333333335</v>
      </c>
      <c r="N40" s="327">
        <f>M40*(1+N42)</f>
        <v>-0.1928333333333335</v>
      </c>
      <c r="O40" s="327">
        <f t="shared" ref="O40:Q40" si="26">N40*(1+O42)</f>
        <v>-0.1928333333333335</v>
      </c>
      <c r="P40" s="327">
        <f t="shared" si="26"/>
        <v>-0.1928333333333335</v>
      </c>
      <c r="Q40" s="327">
        <f t="shared" si="26"/>
        <v>-0.1928333333333335</v>
      </c>
    </row>
    <row r="41" spans="1:103" customFormat="1">
      <c r="A41" s="1238" t="s">
        <v>1182</v>
      </c>
      <c r="B41" s="1238" t="e" cm="1">
        <f t="array" ref="B41">_xll.FDSR(BS!B8,"FF_ARPT_SERIES('SHARE-BASED COMPENSATION EXPENSE',ANN_R,-10AY,0,B,""CF"")")</f>
        <v>#N/A</v>
      </c>
      <c r="C41" s="1238" t="e" cm="1">
        <f t="array" ref="C41">_xll.FDSR(BS!C8,"FF_ARPT_SERIES('SHARE-BASED COMPENSATION EXPENSE',ANN_R,-10AY,0,B,""CF"")")</f>
        <v>#N/A</v>
      </c>
      <c r="D41" s="1238" t="e" cm="1">
        <f t="array" ref="D41">_xll.FDSR(BS!D8,"FF_ARPT_SERIES('SHARE-BASED COMPENSATION EXPENSE',ANN_R,-10AY,0,B,""CF"")")</f>
        <v>#N/A</v>
      </c>
      <c r="E41" s="1238" t="e" cm="1">
        <f t="array" ref="E41">_xll.FDSR(BS!E8,"FF_ARPT_SERIES('SHARE-BASED COMPENSATION EXPENSE',ANN_R,-10AY,0,B,""CF"")")</f>
        <v>#N/A</v>
      </c>
      <c r="F41" s="1238" t="e" cm="1">
        <f t="array" ref="F41">_xll.FDSR(BS!F8,"FF_ARPT_SERIES('SHARE-BASED COMPENSATION EXPENSE',ANN_R,-10AY,0,B,""CF"")")</f>
        <v>#N/A</v>
      </c>
      <c r="G41" s="1238">
        <v>0</v>
      </c>
      <c r="H41" s="1238">
        <v>0</v>
      </c>
      <c r="I41" s="1238">
        <v>0</v>
      </c>
      <c r="J41" s="1238">
        <v>0</v>
      </c>
      <c r="K41" s="1238">
        <v>0</v>
      </c>
      <c r="L41" s="1238">
        <v>0</v>
      </c>
      <c r="M41" s="1238"/>
      <c r="N41" s="1238"/>
      <c r="O41" s="1238"/>
      <c r="P41" s="1238"/>
      <c r="Q41" s="1238"/>
    </row>
    <row r="42" spans="1:103">
      <c r="A42" s="662" t="s">
        <v>1183</v>
      </c>
      <c r="D42" s="696" t="e">
        <f>D41/#REF!-1</f>
        <v>#N/A</v>
      </c>
      <c r="E42" s="696" t="e">
        <f>E41/D41-1</f>
        <v>#N/A</v>
      </c>
      <c r="F42" s="696" t="e">
        <f t="shared" ref="F42" si="27">F41/E41-1</f>
        <v>#N/A</v>
      </c>
      <c r="G42" s="696">
        <v>0</v>
      </c>
      <c r="H42" s="696">
        <v>0</v>
      </c>
      <c r="I42" s="696">
        <v>0</v>
      </c>
      <c r="J42" s="696">
        <v>0</v>
      </c>
      <c r="K42" s="696">
        <v>0</v>
      </c>
      <c r="L42" s="696">
        <v>0</v>
      </c>
      <c r="M42" s="669">
        <f>L42</f>
        <v>0</v>
      </c>
      <c r="N42" s="669">
        <f>M42</f>
        <v>0</v>
      </c>
      <c r="O42" s="669">
        <f t="shared" ref="O42:Q42" si="28">N42</f>
        <v>0</v>
      </c>
      <c r="P42" s="669">
        <f t="shared" si="28"/>
        <v>0</v>
      </c>
      <c r="Q42" s="669">
        <f t="shared" si="28"/>
        <v>0</v>
      </c>
      <c r="R42" s="326"/>
      <c r="S42" s="326"/>
      <c r="T42" s="326"/>
      <c r="U42" s="326"/>
      <c r="V42" s="326"/>
      <c r="W42" s="326"/>
      <c r="X42" s="326"/>
      <c r="Y42" s="326"/>
      <c r="Z42" s="326"/>
      <c r="AA42" s="326"/>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c r="BA42" s="326"/>
      <c r="BB42" s="326"/>
      <c r="BC42" s="326"/>
      <c r="BD42" s="326"/>
      <c r="BE42" s="326"/>
      <c r="BF42" s="326"/>
      <c r="BG42" s="326"/>
      <c r="BH42" s="326"/>
      <c r="BI42" s="326"/>
      <c r="BJ42" s="326"/>
      <c r="BK42" s="326"/>
      <c r="BL42" s="326"/>
      <c r="BM42" s="326"/>
      <c r="BN42" s="326"/>
      <c r="BO42" s="326"/>
      <c r="BP42" s="326"/>
      <c r="BQ42" s="326"/>
      <c r="BR42" s="326"/>
      <c r="BS42" s="326"/>
      <c r="BT42" s="326"/>
      <c r="BU42" s="326"/>
      <c r="BV42" s="326"/>
      <c r="BW42" s="326"/>
      <c r="BX42" s="326"/>
      <c r="BY42" s="326"/>
      <c r="BZ42" s="326"/>
      <c r="CA42" s="326"/>
      <c r="CB42" s="326"/>
      <c r="CC42" s="326"/>
      <c r="CD42" s="326"/>
      <c r="CE42" s="326"/>
      <c r="CF42" s="326"/>
      <c r="CG42" s="326"/>
      <c r="CH42" s="326"/>
      <c r="CI42" s="326"/>
      <c r="CJ42" s="326"/>
      <c r="CK42" s="326"/>
      <c r="CL42" s="326"/>
      <c r="CM42" s="326"/>
      <c r="CN42" s="326"/>
      <c r="CO42" s="326"/>
      <c r="CP42" s="326"/>
      <c r="CQ42" s="326"/>
      <c r="CR42" s="326"/>
      <c r="CS42" s="326"/>
      <c r="CT42" s="326"/>
      <c r="CU42" s="326"/>
      <c r="CV42" s="326"/>
      <c r="CW42" s="326"/>
      <c r="CX42" s="326"/>
      <c r="CY42" s="326"/>
    </row>
    <row r="43" spans="1:103">
      <c r="A43" s="367" t="str">
        <f>'DAL-US CFS-adj'!A15</f>
        <v>Funds from Operations</v>
      </c>
      <c r="B43" s="367" t="str">
        <f>CFS!B42</f>
        <v>-</v>
      </c>
      <c r="C43" s="367">
        <f t="shared" ref="C43:Q43" si="29">SUM(C37:C40)</f>
        <v>3.6654500000000021</v>
      </c>
      <c r="D43" s="367">
        <f t="shared" si="29"/>
        <v>3.6690999999999994</v>
      </c>
      <c r="E43" s="367">
        <f t="shared" si="29"/>
        <v>-4.0521800000000017</v>
      </c>
      <c r="F43" s="367">
        <f t="shared" si="29"/>
        <v>9.0578199999999995</v>
      </c>
      <c r="G43" s="367">
        <f t="shared" si="29"/>
        <v>9.0858699999999999</v>
      </c>
      <c r="H43" s="367">
        <f>SUM(H37:H40)</f>
        <v>9.2100899999999957</v>
      </c>
      <c r="I43" s="367">
        <f t="shared" si="29"/>
        <v>6.7029799999999984</v>
      </c>
      <c r="J43" s="367">
        <f t="shared" si="29"/>
        <v>7.6450900000000042</v>
      </c>
      <c r="K43" s="367">
        <f t="shared" si="29"/>
        <v>8.9028799999999979</v>
      </c>
      <c r="L43" s="367">
        <f t="shared" si="29"/>
        <v>0.92962999999999862</v>
      </c>
      <c r="M43" s="716">
        <f>SUM(M37:M40)</f>
        <v>11.895627416471108</v>
      </c>
      <c r="N43" s="716">
        <f ca="1">SUM(N37:N40)</f>
        <v>14.050136941095559</v>
      </c>
      <c r="O43" s="716">
        <f t="shared" ca="1" si="29"/>
        <v>15.526866523709039</v>
      </c>
      <c r="P43" s="716">
        <f t="shared" ca="1" si="29"/>
        <v>16.651219753663092</v>
      </c>
      <c r="Q43" s="716">
        <f t="shared" ca="1" si="29"/>
        <v>8.5339747377787543</v>
      </c>
    </row>
    <row r="44" spans="1:103">
      <c r="A44" s="347" t="str">
        <f>'DAL-US CFS-adj'!A16</f>
        <v>Changes in Working Capital</v>
      </c>
      <c r="B44" s="347">
        <f>CFS!B43</f>
        <v>0</v>
      </c>
      <c r="C44" s="347">
        <f>CFS!L20</f>
        <v>0.157</v>
      </c>
      <c r="D44" s="347">
        <f>CFS!K20</f>
        <v>0.14799999999999999</v>
      </c>
      <c r="E44" s="347">
        <f>CFS!J20</f>
        <v>0.51300000000000001</v>
      </c>
      <c r="F44" s="347">
        <f>CFS!I20</f>
        <v>-0.61299999999999999</v>
      </c>
      <c r="G44" s="347">
        <f>CFS!H20</f>
        <v>1.335</v>
      </c>
      <c r="H44" s="347">
        <f>CFS!G20</f>
        <v>-6.3E-2</v>
      </c>
      <c r="I44" s="347">
        <f>CFS!F20</f>
        <v>0.57499999999999996</v>
      </c>
      <c r="J44" s="347">
        <f>CFS!E20</f>
        <v>0.17599999999999999</v>
      </c>
      <c r="K44" s="347">
        <f>CFS!D20</f>
        <v>0.52600000000000002</v>
      </c>
      <c r="L44" s="347">
        <f>CFS!C20</f>
        <v>1.9490000000000001</v>
      </c>
      <c r="M44" s="327">
        <f>'Supp. Schedule'!M22</f>
        <v>-3.1585676914441017</v>
      </c>
      <c r="N44" s="327">
        <f>'Supp. Schedule'!N22</f>
        <v>2.0022453218383358</v>
      </c>
      <c r="O44" s="327">
        <f>'Supp. Schedule'!O22</f>
        <v>0.59608254578176023</v>
      </c>
      <c r="P44" s="327">
        <f>'Supp. Schedule'!P22</f>
        <v>6.8326496708358775E-2</v>
      </c>
      <c r="Q44" s="327">
        <f>'Supp. Schedule'!Q22</f>
        <v>2.6781940038574703E-2</v>
      </c>
    </row>
    <row r="45" spans="1:103" s="689" customFormat="1">
      <c r="A45" s="367" t="str">
        <f>'DAL-US CFS-adj'!A17</f>
        <v>Net Operating Cash Flow</v>
      </c>
      <c r="B45" s="367">
        <f>CFS!B44</f>
        <v>0</v>
      </c>
      <c r="C45" s="367">
        <f t="shared" ref="C45:L45" si="30">SUM(C43:C44)</f>
        <v>3.8224500000000021</v>
      </c>
      <c r="D45" s="367">
        <f t="shared" si="30"/>
        <v>3.8170999999999995</v>
      </c>
      <c r="E45" s="367">
        <f t="shared" si="30"/>
        <v>-3.5391800000000018</v>
      </c>
      <c r="F45" s="367">
        <f t="shared" si="30"/>
        <v>8.44482</v>
      </c>
      <c r="G45" s="367">
        <f t="shared" si="30"/>
        <v>10.420870000000001</v>
      </c>
      <c r="H45" s="367">
        <f>SUM(H43:H44)</f>
        <v>9.1470899999999951</v>
      </c>
      <c r="I45" s="367">
        <f t="shared" si="30"/>
        <v>7.2779799999999986</v>
      </c>
      <c r="J45" s="367">
        <f t="shared" si="30"/>
        <v>7.8210900000000043</v>
      </c>
      <c r="K45" s="367">
        <f t="shared" si="30"/>
        <v>9.4288799999999977</v>
      </c>
      <c r="L45" s="367">
        <f t="shared" si="30"/>
        <v>2.8786299999999985</v>
      </c>
      <c r="M45" s="697">
        <f>SUM(M43:M44)</f>
        <v>8.7370597250270059</v>
      </c>
      <c r="N45" s="697">
        <f ca="1">SUM(N43:N44)</f>
        <v>16.052382262933897</v>
      </c>
      <c r="O45" s="697">
        <f t="shared" ref="O45" ca="1" si="31">SUM(O43:O44)</f>
        <v>16.122949069490801</v>
      </c>
      <c r="P45" s="697">
        <f ca="1">SUM(P43:P44)</f>
        <v>16.719546250371451</v>
      </c>
      <c r="Q45" s="697">
        <f ca="1">SUM(Q43:Q44)</f>
        <v>8.560756677817329</v>
      </c>
    </row>
    <row r="46" spans="1:103">
      <c r="A46" s="344" t="str">
        <f>'DAL-US CFS-adj'!A18</f>
        <v>Investing Activities</v>
      </c>
      <c r="B46" s="344" t="str">
        <f>CFS!B45</f>
        <v>-</v>
      </c>
      <c r="C46" s="344"/>
      <c r="D46" s="344"/>
      <c r="E46" s="344"/>
      <c r="F46" s="344"/>
      <c r="G46" s="344"/>
      <c r="H46" s="344"/>
      <c r="I46" s="344"/>
      <c r="J46" s="344"/>
      <c r="K46" s="344"/>
      <c r="L46" s="344"/>
      <c r="M46" s="327"/>
      <c r="N46" s="327"/>
      <c r="O46" s="327"/>
      <c r="P46" s="327"/>
      <c r="Q46" s="327"/>
      <c r="S46" s="326"/>
      <c r="T46" s="326"/>
    </row>
    <row r="47" spans="1:103">
      <c r="A47" s="347" t="str">
        <f>'DAL-US CFS-adj'!A19</f>
        <v>Capital Expenditures</v>
      </c>
      <c r="B47" s="347" t="str">
        <f>CFS!B46</f>
        <v>-</v>
      </c>
      <c r="C47" s="347">
        <f>CFS!L23</f>
        <v>-1.254</v>
      </c>
      <c r="D47" s="347">
        <f>CFS!K23</f>
        <v>-1.968</v>
      </c>
      <c r="E47" s="347">
        <f>CFS!J23</f>
        <v>-2.5680000000000001</v>
      </c>
      <c r="F47" s="347">
        <f>CFS!I23</f>
        <v>-2.2490000000000001</v>
      </c>
      <c r="G47" s="347">
        <f>CFS!H23</f>
        <v>-2.9449999999999998</v>
      </c>
      <c r="H47" s="347">
        <f>CFS!G23</f>
        <v>-3.391</v>
      </c>
      <c r="I47" s="347">
        <f>CFS!F23</f>
        <v>-3.891</v>
      </c>
      <c r="J47" s="347">
        <f>CFS!E23</f>
        <v>-5.1680000000000001</v>
      </c>
      <c r="K47" s="347">
        <f>CFS!D23</f>
        <v>-4.9359999999999999</v>
      </c>
      <c r="L47" s="347">
        <f>CFS!C23</f>
        <v>-1.899</v>
      </c>
      <c r="M47" s="327"/>
      <c r="N47" s="715"/>
      <c r="O47" s="715"/>
    </row>
    <row r="48" spans="1:103">
      <c r="A48" s="699" t="str">
        <f>'DAL-US CFS-adj'!A20</f>
        <v xml:space="preserve">Correction to CAPEX </v>
      </c>
      <c r="B48" s="699"/>
      <c r="C48" s="699">
        <f>'DAL-US CFS-adj'!L20</f>
        <v>0</v>
      </c>
      <c r="D48" s="699">
        <f>'DAL-US CFS-adj'!K20</f>
        <v>0</v>
      </c>
      <c r="E48" s="699">
        <f>'DAL-US CFS-adj'!J20</f>
        <v>0</v>
      </c>
      <c r="F48" s="699">
        <f>'DAL-US CFS-adj'!I20</f>
        <v>0</v>
      </c>
      <c r="G48" s="699">
        <f>'DAL-US CFS-adj'!H20</f>
        <v>0</v>
      </c>
      <c r="H48" s="699">
        <f>'DAL-US CFS-adj'!G20</f>
        <v>0</v>
      </c>
      <c r="I48" s="699">
        <f>'DAL-US CFS-adj'!F20</f>
        <v>0</v>
      </c>
      <c r="J48" s="699">
        <f>'DAL-US CFS-adj'!E20</f>
        <v>0</v>
      </c>
      <c r="K48" s="699">
        <f>'DAL-US CFS-adj'!D20</f>
        <v>0</v>
      </c>
      <c r="L48" s="699">
        <f>'DAL-US CFS-adj'!C20</f>
        <v>0</v>
      </c>
      <c r="M48" s="327"/>
      <c r="N48" s="715"/>
      <c r="O48" s="715"/>
    </row>
    <row r="49" spans="1:2533">
      <c r="A49" s="347" t="str">
        <f>'DAL-US CFS-adj'!A21</f>
        <v>Net Assets from Acquisitions</v>
      </c>
      <c r="B49" s="347">
        <f>CFS!B47</f>
        <v>-311.13376</v>
      </c>
      <c r="C49" s="347">
        <f>CFS!L24</f>
        <v>0</v>
      </c>
      <c r="D49" s="347">
        <f>CFS!K24</f>
        <v>0</v>
      </c>
      <c r="E49" s="347">
        <f>CFS!J24</f>
        <v>0</v>
      </c>
      <c r="F49" s="347">
        <f>CFS!I24</f>
        <v>0</v>
      </c>
      <c r="G49" s="347">
        <f>CFS!H24</f>
        <v>-0.27600000000000002</v>
      </c>
      <c r="H49" s="347">
        <f>CFS!G24</f>
        <v>0</v>
      </c>
      <c r="I49" s="347">
        <f>CFS!F24</f>
        <v>0</v>
      </c>
      <c r="J49" s="347">
        <f>CFS!E24</f>
        <v>0</v>
      </c>
      <c r="K49" s="347">
        <f>CFS!D24</f>
        <v>0</v>
      </c>
      <c r="L49" s="347">
        <f>CFS!C24</f>
        <v>0</v>
      </c>
      <c r="M49" s="327"/>
      <c r="N49" s="715"/>
      <c r="O49" s="715"/>
    </row>
    <row r="50" spans="1:2533">
      <c r="A50" s="680" t="s">
        <v>886</v>
      </c>
      <c r="B50" s="692"/>
      <c r="C50" s="680">
        <f>SUM(C47:C49)</f>
        <v>-1.254</v>
      </c>
      <c r="D50" s="680">
        <f t="shared" ref="D50:L50" si="32">SUM(D47:D49)</f>
        <v>-1.968</v>
      </c>
      <c r="E50" s="680">
        <f t="shared" si="32"/>
        <v>-2.5680000000000001</v>
      </c>
      <c r="F50" s="680">
        <f t="shared" si="32"/>
        <v>-2.2490000000000001</v>
      </c>
      <c r="G50" s="680">
        <f>SUM(G47:G49)</f>
        <v>-3.2210000000000001</v>
      </c>
      <c r="H50" s="680">
        <f t="shared" si="32"/>
        <v>-3.391</v>
      </c>
      <c r="I50" s="680">
        <f t="shared" si="32"/>
        <v>-3.891</v>
      </c>
      <c r="J50" s="680">
        <f t="shared" si="32"/>
        <v>-5.1680000000000001</v>
      </c>
      <c r="K50" s="680">
        <f t="shared" si="32"/>
        <v>-4.9359999999999999</v>
      </c>
      <c r="L50" s="680">
        <f t="shared" si="32"/>
        <v>-1.899</v>
      </c>
      <c r="M50" s="327">
        <f>L50*(1+M51)</f>
        <v>-3.798</v>
      </c>
      <c r="N50" s="327">
        <f t="shared" ref="N50:Q50" si="33">M50*(1+N51)</f>
        <v>-3.9879000000000002</v>
      </c>
      <c r="O50" s="327">
        <f t="shared" si="33"/>
        <v>-4.1872950000000007</v>
      </c>
      <c r="P50" s="327">
        <f t="shared" si="33"/>
        <v>-4.3966597500000013</v>
      </c>
      <c r="Q50" s="327">
        <f t="shared" si="33"/>
        <v>-4.6164927375000016</v>
      </c>
    </row>
    <row r="51" spans="1:2533">
      <c r="A51" s="662" t="s">
        <v>1184</v>
      </c>
      <c r="C51" s="664"/>
      <c r="D51" s="664">
        <f t="shared" ref="D51:K51" si="34">SUM(D50)/SUM(C50)-1</f>
        <v>0.56937799043062198</v>
      </c>
      <c r="E51" s="664">
        <f t="shared" si="34"/>
        <v>0.30487804878048785</v>
      </c>
      <c r="F51" s="664">
        <f t="shared" si="34"/>
        <v>-0.12422118380062308</v>
      </c>
      <c r="G51" s="664">
        <f t="shared" si="34"/>
        <v>0.43219208537127618</v>
      </c>
      <c r="H51" s="664">
        <f t="shared" si="34"/>
        <v>5.2778640173859026E-2</v>
      </c>
      <c r="I51" s="664">
        <f t="shared" si="34"/>
        <v>0.1474491300501326</v>
      </c>
      <c r="J51" s="664">
        <f t="shared" si="34"/>
        <v>0.32819326651246472</v>
      </c>
      <c r="K51" s="664">
        <f t="shared" si="34"/>
        <v>-4.4891640866873139E-2</v>
      </c>
      <c r="L51" s="664">
        <f>SUM(L50)/SUM(K50)-1</f>
        <v>-0.61527552674230146</v>
      </c>
      <c r="M51" s="669">
        <v>1</v>
      </c>
      <c r="N51" s="669">
        <f>0.05</f>
        <v>0.05</v>
      </c>
      <c r="O51" s="669">
        <f t="shared" ref="O51:Q51" si="35">N51</f>
        <v>0.05</v>
      </c>
      <c r="P51" s="669">
        <f t="shared" si="35"/>
        <v>0.05</v>
      </c>
      <c r="Q51" s="669">
        <f t="shared" si="35"/>
        <v>0.05</v>
      </c>
    </row>
    <row r="52" spans="1:2533">
      <c r="A52" s="347" t="str">
        <f>'DAL-US CFS-adj'!A22</f>
        <v>Purchase/Sale of Investments</v>
      </c>
      <c r="B52" s="347" t="str">
        <f>CFS!B48</f>
        <v>-</v>
      </c>
      <c r="C52" s="347">
        <f>CFS!L25</f>
        <v>-0.23400000000000001</v>
      </c>
      <c r="D52" s="347">
        <f>CFS!K25</f>
        <v>6.1000000000000103E-2</v>
      </c>
      <c r="E52" s="347">
        <f>CFS!J25</f>
        <v>-0.20200000000000001</v>
      </c>
      <c r="F52" s="347">
        <f>CFS!I25</f>
        <v>-0.26200000000000001</v>
      </c>
      <c r="G52" s="347">
        <f>CFS!H25</f>
        <v>-0.75900000000000001</v>
      </c>
      <c r="H52" s="347">
        <f>CFS!G25</f>
        <v>0.97899999999999998</v>
      </c>
      <c r="I52" s="347">
        <f>CFS!F25</f>
        <v>-1.5860000000000001</v>
      </c>
      <c r="J52" s="347">
        <f>CFS!E25</f>
        <v>0.621</v>
      </c>
      <c r="K52" s="347">
        <f>CFS!D25</f>
        <v>0.315</v>
      </c>
      <c r="L52" s="347">
        <f>CFS!C25</f>
        <v>-7.891</v>
      </c>
      <c r="M52" s="693">
        <v>0</v>
      </c>
      <c r="N52" s="693">
        <v>0</v>
      </c>
      <c r="O52" s="693">
        <v>0</v>
      </c>
      <c r="P52" s="693">
        <v>0</v>
      </c>
      <c r="Q52" s="693">
        <v>0</v>
      </c>
    </row>
    <row r="53" spans="1:2533">
      <c r="A53" s="347" t="str">
        <f>'DAL-US CFS-adj'!A23</f>
        <v>Other Funds</v>
      </c>
      <c r="B53" s="347" t="str">
        <f>CFS!B49</f>
        <v>-</v>
      </c>
      <c r="C53" s="347">
        <f>CFS!L26</f>
        <v>-0.01</v>
      </c>
      <c r="D53" s="347">
        <f>CFS!K26</f>
        <v>-5.5E-2</v>
      </c>
      <c r="E53" s="347">
        <f>CFS!J26</f>
        <v>1.4E-2</v>
      </c>
      <c r="F53" s="347">
        <f>CFS!I26</f>
        <v>4.8000000000000001E-2</v>
      </c>
      <c r="G53" s="347">
        <f>CFS!H26</f>
        <v>2.5000000000000001E-2</v>
      </c>
      <c r="H53" s="347">
        <f>CFS!G26</f>
        <v>3.1E-2</v>
      </c>
      <c r="I53" s="347">
        <f>CFS!F26</f>
        <v>0.111</v>
      </c>
      <c r="J53" s="347">
        <f>CFS!E26</f>
        <v>0.154</v>
      </c>
      <c r="K53" s="347">
        <f>CFS!D26</f>
        <v>5.8000000000000003E-2</v>
      </c>
      <c r="L53" s="347">
        <f>CFS!C26</f>
        <v>8.6999999999999994E-2</v>
      </c>
      <c r="M53" s="693">
        <v>0</v>
      </c>
      <c r="N53" s="693">
        <v>0</v>
      </c>
      <c r="O53" s="693">
        <v>0</v>
      </c>
      <c r="P53" s="693">
        <v>0</v>
      </c>
      <c r="Q53" s="693">
        <v>0</v>
      </c>
    </row>
    <row r="54" spans="1:2533">
      <c r="A54" s="367" t="str">
        <f>'DAL-US CFS-adj'!A24</f>
        <v>Net Investing Cash Flow</v>
      </c>
      <c r="B54" s="367" t="str">
        <f>CFS!B50</f>
        <v>-</v>
      </c>
      <c r="C54" s="367">
        <f t="shared" ref="C54:L54" si="36">SUM(C47,C48,C49,C52,C53)</f>
        <v>-1.498</v>
      </c>
      <c r="D54" s="367">
        <f t="shared" si="36"/>
        <v>-1.9619999999999997</v>
      </c>
      <c r="E54" s="367">
        <f t="shared" si="36"/>
        <v>-2.7560000000000002</v>
      </c>
      <c r="F54" s="367">
        <f t="shared" si="36"/>
        <v>-2.4630000000000001</v>
      </c>
      <c r="G54" s="367">
        <f t="shared" si="36"/>
        <v>-3.9550000000000001</v>
      </c>
      <c r="H54" s="367">
        <f t="shared" si="36"/>
        <v>-2.3809999999999998</v>
      </c>
      <c r="I54" s="367">
        <f t="shared" si="36"/>
        <v>-5.3660000000000005</v>
      </c>
      <c r="J54" s="367">
        <f t="shared" si="36"/>
        <v>-4.3930000000000007</v>
      </c>
      <c r="K54" s="367">
        <f t="shared" si="36"/>
        <v>-4.5629999999999997</v>
      </c>
      <c r="L54" s="367">
        <f t="shared" si="36"/>
        <v>-9.7029999999999994</v>
      </c>
      <c r="M54" s="716">
        <f>SUM(M50,M52:M53)</f>
        <v>-3.798</v>
      </c>
      <c r="N54" s="716">
        <f t="shared" ref="N54:Q54" si="37">SUM(N50,N52:N53)</f>
        <v>-3.9879000000000002</v>
      </c>
      <c r="O54" s="716">
        <f t="shared" si="37"/>
        <v>-4.1872950000000007</v>
      </c>
      <c r="P54" s="716">
        <f t="shared" si="37"/>
        <v>-4.3966597500000013</v>
      </c>
      <c r="Q54" s="716">
        <f t="shared" si="37"/>
        <v>-4.6164927375000016</v>
      </c>
    </row>
    <row r="55" spans="1:2533">
      <c r="A55" s="344" t="str">
        <f>'DAL-US CFS-adj'!A25</f>
        <v>Financing Activities</v>
      </c>
      <c r="B55" s="344" t="str">
        <f>CFS!B51</f>
        <v>-</v>
      </c>
      <c r="C55" s="344"/>
      <c r="D55" s="344"/>
      <c r="E55" s="344"/>
      <c r="F55" s="344"/>
      <c r="G55" s="344"/>
      <c r="H55" s="344"/>
      <c r="I55" s="344"/>
      <c r="J55" s="344"/>
      <c r="K55" s="344"/>
      <c r="L55" s="344"/>
      <c r="N55" s="715"/>
      <c r="O55" s="715"/>
    </row>
    <row r="56" spans="1:2533">
      <c r="A56" s="344"/>
      <c r="B56" s="344"/>
      <c r="C56" s="344"/>
      <c r="D56" s="344"/>
      <c r="E56" s="344"/>
      <c r="F56" s="344"/>
      <c r="G56" s="344"/>
      <c r="H56" s="344"/>
      <c r="I56" s="344"/>
      <c r="J56" s="344"/>
      <c r="K56" s="344"/>
      <c r="L56" s="695" t="s">
        <v>1185</v>
      </c>
      <c r="M56" s="1010">
        <v>0</v>
      </c>
      <c r="N56" s="717"/>
      <c r="O56" s="718"/>
      <c r="P56" s="326"/>
      <c r="Q56" s="326"/>
      <c r="R56" s="326"/>
      <c r="S56" s="326"/>
      <c r="T56" s="326"/>
      <c r="U56" s="326"/>
      <c r="V56" s="326"/>
    </row>
    <row r="57" spans="1:2533">
      <c r="A57" s="347" t="str">
        <f>'DAL-US CFS-adj'!A26</f>
        <v>Cash Dividends Paid</v>
      </c>
      <c r="B57" s="347">
        <f>CFS!B52</f>
        <v>0</v>
      </c>
      <c r="C57" s="347">
        <f>CFS!L29</f>
        <v>0</v>
      </c>
      <c r="D57" s="347">
        <f>CFS!K29</f>
        <v>0</v>
      </c>
      <c r="E57" s="347">
        <f>CFS!J29</f>
        <v>-0.10199999999999999</v>
      </c>
      <c r="F57" s="347">
        <f>CFS!I29</f>
        <v>-0.251</v>
      </c>
      <c r="G57" s="347">
        <f>CFS!H29</f>
        <v>-0.35899999999999999</v>
      </c>
      <c r="H57" s="347">
        <f>CFS!G29</f>
        <v>-0.50900000000000001</v>
      </c>
      <c r="I57" s="347">
        <f>CFS!F29</f>
        <v>-0.73099999999999998</v>
      </c>
      <c r="J57" s="347">
        <f>CFS!E29</f>
        <v>-0.90900000000000003</v>
      </c>
      <c r="K57" s="347">
        <f>CFS!D29</f>
        <v>-0.98</v>
      </c>
      <c r="L57" s="347">
        <f>CFS!C29</f>
        <v>-0.26</v>
      </c>
      <c r="M57" s="491">
        <f>-M25*M27/1000</f>
        <v>0</v>
      </c>
      <c r="N57" s="491">
        <f>-N25*N27/1000</f>
        <v>0</v>
      </c>
      <c r="O57" s="491">
        <f>-O25*O27/1000</f>
        <v>-0.318</v>
      </c>
      <c r="P57" s="491">
        <f>-P25*P27/1000</f>
        <v>-0.27348</v>
      </c>
      <c r="Q57" s="491">
        <f ca="1">-Q25*Q27/1000</f>
        <v>-0.13697200227002634</v>
      </c>
      <c r="R57" s="326"/>
      <c r="S57" s="326"/>
      <c r="T57" s="326"/>
      <c r="U57" s="326"/>
      <c r="V57" s="326"/>
    </row>
    <row r="58" spans="1:2533">
      <c r="A58" s="347" t="str">
        <f>'DAL-US CFS-adj'!A27</f>
        <v>Change in Capital Stock</v>
      </c>
      <c r="B58" s="347">
        <f>CFS!B53</f>
        <v>-6.3557496000000002</v>
      </c>
      <c r="C58" s="347">
        <f>CFS!L30</f>
        <v>0</v>
      </c>
      <c r="D58" s="347">
        <f>CFS!K30</f>
        <v>0</v>
      </c>
      <c r="E58" s="347">
        <f>CFS!J30</f>
        <v>-0.25</v>
      </c>
      <c r="F58" s="347">
        <f>CFS!I30</f>
        <v>-1.1000000000000001</v>
      </c>
      <c r="G58" s="347">
        <f>CFS!H30</f>
        <v>-2.2000000000000002</v>
      </c>
      <c r="H58" s="347">
        <f>CFS!G30</f>
        <v>-2.601</v>
      </c>
      <c r="I58" s="347">
        <f>CFS!F30</f>
        <v>-1.677</v>
      </c>
      <c r="J58" s="347">
        <f>CFS!E30</f>
        <v>-1.575</v>
      </c>
      <c r="K58" s="347">
        <f>CFS!D30</f>
        <v>-2.0270000000000001</v>
      </c>
      <c r="L58" s="347">
        <f>CFS!C30</f>
        <v>-0.34399999999999997</v>
      </c>
      <c r="M58" s="693">
        <v>0</v>
      </c>
      <c r="N58" s="693">
        <f>$M$56*N29/1000</f>
        <v>0</v>
      </c>
      <c r="O58" s="693">
        <f>$M$56*O29/1000</f>
        <v>0</v>
      </c>
      <c r="P58" s="693">
        <f>$M$56*P29/1000</f>
        <v>0</v>
      </c>
      <c r="Q58" s="693">
        <f>$M$56*Q29/1000</f>
        <v>0</v>
      </c>
      <c r="AA58" s="635"/>
      <c r="AB58" s="635"/>
      <c r="AC58" s="635"/>
      <c r="AD58" s="635"/>
      <c r="AE58" s="635"/>
      <c r="AF58" s="635"/>
      <c r="AG58" s="635"/>
      <c r="AH58" s="635"/>
      <c r="AI58" s="635"/>
      <c r="AJ58" s="635"/>
      <c r="AK58" s="635"/>
      <c r="AL58" s="635"/>
      <c r="AM58" s="635"/>
      <c r="AN58" s="635"/>
      <c r="AO58" s="635"/>
      <c r="AP58" s="635"/>
      <c r="AQ58" s="635"/>
      <c r="AR58" s="635"/>
      <c r="AS58" s="635"/>
      <c r="AT58" s="635"/>
      <c r="AU58" s="635"/>
      <c r="AV58" s="635"/>
      <c r="AW58" s="635"/>
      <c r="AX58" s="635"/>
      <c r="AY58" s="635"/>
      <c r="AZ58" s="635"/>
      <c r="BA58" s="635"/>
      <c r="BB58" s="635"/>
      <c r="BC58" s="635"/>
      <c r="BD58" s="635"/>
      <c r="BE58" s="635"/>
      <c r="BF58" s="635"/>
      <c r="BG58" s="635"/>
      <c r="BH58" s="635"/>
      <c r="BI58" s="635"/>
      <c r="BJ58" s="635"/>
      <c r="BK58" s="635"/>
      <c r="BL58" s="635"/>
      <c r="BM58" s="635"/>
      <c r="BN58" s="635"/>
      <c r="BO58" s="635"/>
      <c r="BP58" s="635"/>
      <c r="BQ58" s="635"/>
      <c r="BR58" s="635"/>
      <c r="BS58" s="635"/>
      <c r="BT58" s="635"/>
      <c r="BU58" s="635"/>
      <c r="BV58" s="635"/>
      <c r="BW58" s="635"/>
      <c r="BX58" s="635"/>
      <c r="BY58" s="635"/>
      <c r="BZ58" s="635"/>
      <c r="CA58" s="635"/>
      <c r="CB58" s="635"/>
      <c r="CC58" s="635"/>
      <c r="CD58" s="635"/>
      <c r="CE58" s="635"/>
      <c r="CF58" s="635"/>
      <c r="CG58" s="635"/>
      <c r="CH58" s="635"/>
      <c r="CI58" s="635"/>
      <c r="CJ58" s="635"/>
      <c r="CK58" s="635"/>
      <c r="CL58" s="635"/>
      <c r="CM58" s="635"/>
      <c r="CN58" s="635"/>
      <c r="CO58" s="635"/>
      <c r="CP58" s="635"/>
      <c r="CQ58" s="635"/>
      <c r="CR58" s="635"/>
      <c r="CS58" s="635"/>
      <c r="CT58" s="635"/>
      <c r="CU58" s="635"/>
      <c r="CV58" s="635"/>
      <c r="CW58" s="635"/>
      <c r="CX58" s="635"/>
      <c r="CY58" s="635"/>
      <c r="CZ58" s="635"/>
      <c r="DA58" s="635"/>
      <c r="DB58" s="635"/>
      <c r="DC58" s="635"/>
      <c r="DD58" s="635"/>
      <c r="DE58" s="635"/>
      <c r="DF58" s="635"/>
      <c r="DG58" s="635"/>
      <c r="DH58" s="635"/>
      <c r="DI58" s="635"/>
      <c r="DJ58" s="635"/>
      <c r="DK58" s="635"/>
      <c r="DL58" s="635"/>
      <c r="DM58" s="635"/>
      <c r="DN58" s="405"/>
      <c r="DO58" s="405"/>
      <c r="DP58" s="405"/>
      <c r="DQ58" s="405"/>
      <c r="DR58" s="405"/>
      <c r="DS58" s="405"/>
      <c r="DT58" s="405"/>
      <c r="DU58" s="405"/>
      <c r="DV58" s="405"/>
      <c r="DW58" s="405"/>
      <c r="DX58" s="405"/>
      <c r="DY58" s="405"/>
      <c r="DZ58" s="405"/>
      <c r="EA58" s="405"/>
      <c r="EB58" s="405"/>
      <c r="EC58" s="405"/>
      <c r="ED58" s="405"/>
      <c r="EE58" s="405"/>
      <c r="EF58" s="405"/>
      <c r="EG58" s="405"/>
      <c r="EH58" s="405"/>
      <c r="EI58" s="405"/>
      <c r="EJ58" s="405"/>
      <c r="EK58" s="405"/>
      <c r="EL58" s="405"/>
      <c r="EM58" s="405"/>
      <c r="EN58" s="405"/>
      <c r="EO58" s="405"/>
      <c r="EP58" s="405"/>
      <c r="EQ58" s="405"/>
      <c r="ER58" s="405"/>
      <c r="ES58" s="405"/>
      <c r="ET58" s="405"/>
      <c r="EU58" s="405"/>
      <c r="EV58" s="405"/>
      <c r="EW58" s="405"/>
      <c r="EX58" s="405"/>
      <c r="EY58" s="405"/>
      <c r="EZ58" s="405"/>
      <c r="FA58" s="405"/>
      <c r="FB58" s="405"/>
      <c r="FC58" s="405"/>
      <c r="FD58" s="405"/>
      <c r="FE58" s="405"/>
      <c r="FF58" s="405"/>
      <c r="FG58" s="405"/>
      <c r="FH58" s="405"/>
      <c r="FI58" s="405"/>
      <c r="FJ58" s="405"/>
      <c r="FK58" s="405"/>
      <c r="FL58" s="405"/>
      <c r="FM58" s="405"/>
      <c r="FN58" s="405"/>
      <c r="FO58" s="405"/>
      <c r="FP58" s="405"/>
      <c r="FQ58" s="405"/>
      <c r="FR58" s="405"/>
      <c r="FS58" s="405"/>
      <c r="FT58" s="405"/>
      <c r="FU58" s="405"/>
      <c r="FV58" s="405"/>
      <c r="FW58" s="405"/>
      <c r="FX58" s="405"/>
      <c r="FY58" s="405"/>
      <c r="FZ58" s="405"/>
      <c r="GA58" s="405"/>
      <c r="GB58" s="405"/>
      <c r="GC58" s="405"/>
      <c r="GD58" s="405"/>
      <c r="GE58" s="405"/>
      <c r="GF58" s="405"/>
      <c r="GG58" s="405"/>
      <c r="GH58" s="405"/>
      <c r="GI58" s="405"/>
      <c r="GJ58" s="405"/>
      <c r="GK58" s="405"/>
      <c r="GL58" s="405"/>
      <c r="GM58" s="405"/>
      <c r="GN58" s="405"/>
      <c r="GO58" s="405"/>
      <c r="GP58" s="405"/>
      <c r="GQ58" s="405"/>
      <c r="GR58" s="405"/>
      <c r="GS58" s="405"/>
      <c r="GT58" s="405"/>
      <c r="GU58" s="405"/>
      <c r="GV58" s="405"/>
      <c r="GW58" s="405"/>
      <c r="GX58" s="405"/>
      <c r="GY58" s="405"/>
      <c r="GZ58" s="405"/>
      <c r="HA58" s="405"/>
      <c r="HB58" s="405"/>
      <c r="HC58" s="405"/>
      <c r="HD58" s="405"/>
      <c r="HE58" s="405"/>
      <c r="HF58" s="405"/>
      <c r="HG58" s="405"/>
      <c r="HH58" s="405"/>
      <c r="HI58" s="405"/>
      <c r="HJ58" s="405"/>
      <c r="HK58" s="405"/>
      <c r="HL58" s="405"/>
      <c r="HM58" s="405"/>
      <c r="HN58" s="405"/>
      <c r="HO58" s="405"/>
      <c r="HP58" s="405"/>
      <c r="HQ58" s="405"/>
      <c r="HR58" s="405"/>
      <c r="HS58" s="405"/>
      <c r="HT58" s="405"/>
      <c r="HU58" s="405"/>
      <c r="HV58" s="405"/>
      <c r="HW58" s="405"/>
      <c r="HX58" s="405"/>
      <c r="HY58" s="405"/>
      <c r="HZ58" s="405"/>
      <c r="IA58" s="405"/>
      <c r="IB58" s="405"/>
      <c r="IC58" s="405"/>
      <c r="ID58" s="405"/>
      <c r="IE58" s="405"/>
      <c r="IF58" s="405"/>
      <c r="IG58" s="405"/>
      <c r="IH58" s="405"/>
      <c r="II58" s="405"/>
      <c r="IJ58" s="405"/>
      <c r="IK58" s="405"/>
      <c r="IL58" s="405"/>
      <c r="IM58" s="405"/>
      <c r="IN58" s="405"/>
      <c r="IO58" s="405"/>
      <c r="IP58" s="405"/>
      <c r="IQ58" s="405"/>
      <c r="IR58" s="405"/>
      <c r="IS58" s="405"/>
      <c r="IT58" s="405"/>
      <c r="IU58" s="405"/>
      <c r="IV58" s="405"/>
      <c r="IW58" s="405"/>
      <c r="IX58" s="405"/>
      <c r="IY58" s="405"/>
      <c r="IZ58" s="405"/>
      <c r="JA58" s="405"/>
      <c r="JB58" s="405"/>
      <c r="JC58" s="405"/>
      <c r="JD58" s="405"/>
      <c r="JE58" s="405"/>
      <c r="JF58" s="405"/>
      <c r="JG58" s="405"/>
      <c r="JH58" s="405"/>
      <c r="JI58" s="405"/>
      <c r="JJ58" s="405"/>
      <c r="JK58" s="405"/>
      <c r="JL58" s="405"/>
      <c r="JM58" s="405"/>
      <c r="JN58" s="405"/>
      <c r="JO58" s="405"/>
      <c r="JP58" s="405"/>
      <c r="JQ58" s="405"/>
      <c r="JR58" s="405"/>
      <c r="JS58" s="405"/>
      <c r="JT58" s="405"/>
      <c r="JU58" s="405"/>
      <c r="JV58" s="405"/>
      <c r="JW58" s="405"/>
      <c r="JX58" s="405"/>
      <c r="JY58" s="405"/>
      <c r="JZ58" s="405"/>
      <c r="KA58" s="405"/>
      <c r="KB58" s="405"/>
      <c r="KC58" s="405"/>
      <c r="KD58" s="405"/>
      <c r="KE58" s="405"/>
      <c r="KF58" s="405"/>
      <c r="KG58" s="405"/>
      <c r="KH58" s="405"/>
      <c r="KI58" s="405"/>
      <c r="KJ58" s="405"/>
      <c r="KK58" s="405"/>
      <c r="KL58" s="405"/>
      <c r="KM58" s="405"/>
      <c r="KN58" s="405"/>
      <c r="KO58" s="405"/>
      <c r="KP58" s="405"/>
      <c r="KQ58" s="405"/>
      <c r="KR58" s="405"/>
      <c r="KS58" s="405"/>
      <c r="KT58" s="405"/>
      <c r="KU58" s="405"/>
      <c r="KV58" s="405"/>
      <c r="KW58" s="405"/>
      <c r="KX58" s="405"/>
      <c r="KY58" s="405"/>
      <c r="KZ58" s="405"/>
      <c r="LA58" s="405"/>
      <c r="LB58" s="405"/>
      <c r="LC58" s="405"/>
      <c r="LD58" s="405"/>
      <c r="LE58" s="405"/>
      <c r="LF58" s="405"/>
      <c r="LG58" s="405"/>
      <c r="LH58" s="405"/>
      <c r="LI58" s="405"/>
      <c r="LJ58" s="405"/>
      <c r="LK58" s="405"/>
      <c r="LL58" s="405"/>
      <c r="LM58" s="405"/>
      <c r="LN58" s="405"/>
      <c r="LO58" s="405"/>
      <c r="LP58" s="405"/>
      <c r="LQ58" s="405"/>
      <c r="LR58" s="405"/>
      <c r="LS58" s="405"/>
      <c r="LT58" s="405"/>
      <c r="LU58" s="405"/>
      <c r="LV58" s="405"/>
      <c r="LW58" s="405"/>
      <c r="LX58" s="405"/>
      <c r="LY58" s="405"/>
      <c r="LZ58" s="405"/>
      <c r="MA58" s="405"/>
      <c r="MB58" s="405"/>
      <c r="MC58" s="405"/>
      <c r="MD58" s="405"/>
      <c r="ME58" s="405"/>
      <c r="MF58" s="405"/>
      <c r="MG58" s="405"/>
      <c r="MH58" s="405"/>
      <c r="MI58" s="405"/>
      <c r="MJ58" s="405"/>
      <c r="MK58" s="405"/>
      <c r="ML58" s="405"/>
      <c r="MM58" s="405"/>
      <c r="MN58" s="405"/>
      <c r="MO58" s="405"/>
      <c r="MP58" s="405"/>
      <c r="MQ58" s="405"/>
      <c r="MR58" s="405"/>
      <c r="MS58" s="405"/>
      <c r="MT58" s="405"/>
      <c r="MU58" s="405"/>
      <c r="MV58" s="405"/>
      <c r="MW58" s="405"/>
      <c r="MX58" s="405"/>
      <c r="MY58" s="405"/>
      <c r="MZ58" s="405"/>
      <c r="NA58" s="405"/>
      <c r="NB58" s="405"/>
      <c r="NC58" s="405"/>
      <c r="ND58" s="405"/>
      <c r="NE58" s="405"/>
      <c r="NF58" s="405"/>
      <c r="NG58" s="405"/>
      <c r="NH58" s="405"/>
      <c r="NI58" s="405"/>
      <c r="NJ58" s="405"/>
      <c r="NK58" s="405"/>
      <c r="NL58" s="405"/>
      <c r="NM58" s="405"/>
      <c r="NN58" s="405"/>
      <c r="NO58" s="405"/>
      <c r="NP58" s="405"/>
      <c r="NQ58" s="405"/>
      <c r="NR58" s="405"/>
      <c r="NS58" s="405"/>
      <c r="NT58" s="405"/>
      <c r="NU58" s="405"/>
      <c r="NV58" s="405"/>
      <c r="NW58" s="405"/>
      <c r="NX58" s="405"/>
      <c r="NY58" s="405"/>
      <c r="NZ58" s="405"/>
      <c r="OA58" s="405"/>
      <c r="OB58" s="405"/>
      <c r="OC58" s="405"/>
      <c r="OD58" s="405"/>
      <c r="OE58" s="405"/>
      <c r="OF58" s="405"/>
      <c r="OG58" s="405"/>
      <c r="OH58" s="405"/>
      <c r="OI58" s="405"/>
      <c r="OJ58" s="405"/>
      <c r="OK58" s="405"/>
      <c r="OL58" s="405"/>
      <c r="OM58" s="405"/>
      <c r="ON58" s="405"/>
      <c r="OO58" s="405"/>
      <c r="OP58" s="405"/>
      <c r="OQ58" s="405"/>
      <c r="OR58" s="405"/>
      <c r="OS58" s="405"/>
      <c r="OT58" s="405"/>
      <c r="OU58" s="405"/>
      <c r="OV58" s="405"/>
      <c r="OW58" s="405"/>
      <c r="OX58" s="405"/>
      <c r="OY58" s="405"/>
      <c r="OZ58" s="405"/>
      <c r="PA58" s="405"/>
      <c r="PB58" s="405"/>
      <c r="PC58" s="405"/>
      <c r="PD58" s="405"/>
      <c r="PE58" s="405"/>
      <c r="PF58" s="405"/>
      <c r="PG58" s="405"/>
      <c r="PH58" s="405"/>
      <c r="PI58" s="405"/>
      <c r="PJ58" s="405"/>
      <c r="PK58" s="405"/>
      <c r="PL58" s="405"/>
      <c r="PM58" s="405"/>
      <c r="PN58" s="405"/>
      <c r="PO58" s="405"/>
      <c r="PP58" s="405"/>
      <c r="PQ58" s="405"/>
      <c r="PR58" s="405"/>
      <c r="PS58" s="405"/>
      <c r="PT58" s="405"/>
      <c r="PU58" s="405"/>
      <c r="PV58" s="405"/>
      <c r="PW58" s="405"/>
      <c r="PX58" s="405"/>
      <c r="PY58" s="405"/>
      <c r="PZ58" s="405"/>
      <c r="QA58" s="405"/>
      <c r="QB58" s="405"/>
      <c r="QC58" s="405"/>
      <c r="QD58" s="405"/>
      <c r="QE58" s="405"/>
      <c r="QF58" s="405"/>
      <c r="QG58" s="405"/>
      <c r="QH58" s="405"/>
      <c r="QI58" s="405"/>
      <c r="QJ58" s="405"/>
      <c r="QK58" s="405"/>
      <c r="QL58" s="405"/>
      <c r="QM58" s="405"/>
      <c r="QN58" s="405"/>
      <c r="QO58" s="405"/>
      <c r="QP58" s="405"/>
      <c r="QQ58" s="405"/>
      <c r="QR58" s="405"/>
      <c r="QS58" s="405"/>
      <c r="QT58" s="405"/>
      <c r="QU58" s="405"/>
      <c r="QV58" s="405"/>
      <c r="QW58" s="405"/>
      <c r="QX58" s="405"/>
      <c r="QY58" s="405"/>
      <c r="QZ58" s="405"/>
      <c r="RA58" s="405"/>
      <c r="RB58" s="405"/>
      <c r="RC58" s="405"/>
      <c r="RD58" s="405"/>
      <c r="RE58" s="405"/>
      <c r="RF58" s="405"/>
      <c r="RG58" s="405"/>
      <c r="RH58" s="405"/>
      <c r="RI58" s="405"/>
      <c r="RJ58" s="405"/>
      <c r="RK58" s="405"/>
      <c r="RL58" s="405"/>
      <c r="RM58" s="405"/>
      <c r="RN58" s="405"/>
      <c r="RO58" s="405"/>
      <c r="RP58" s="405"/>
      <c r="RQ58" s="405"/>
      <c r="RR58" s="405"/>
      <c r="RS58" s="405"/>
      <c r="RT58" s="405"/>
      <c r="RU58" s="405"/>
      <c r="RV58" s="405"/>
      <c r="RW58" s="405"/>
      <c r="RX58" s="405"/>
      <c r="RY58" s="405"/>
      <c r="RZ58" s="405"/>
      <c r="SA58" s="405"/>
      <c r="SB58" s="405"/>
      <c r="SC58" s="405"/>
      <c r="SD58" s="405"/>
      <c r="SE58" s="405"/>
      <c r="SF58" s="405"/>
      <c r="SG58" s="405"/>
      <c r="SH58" s="405"/>
      <c r="SI58" s="405"/>
      <c r="SJ58" s="405"/>
      <c r="SK58" s="405"/>
      <c r="SL58" s="405"/>
      <c r="SM58" s="405"/>
      <c r="SN58" s="405"/>
      <c r="SO58" s="405"/>
      <c r="SP58" s="405"/>
      <c r="SQ58" s="405"/>
      <c r="SR58" s="405"/>
      <c r="SS58" s="405"/>
      <c r="ST58" s="405"/>
      <c r="SU58" s="405"/>
      <c r="SV58" s="405"/>
      <c r="SW58" s="405"/>
      <c r="SX58" s="405"/>
      <c r="SY58" s="405"/>
      <c r="SZ58" s="405"/>
      <c r="TA58" s="405"/>
      <c r="TB58" s="405"/>
      <c r="TC58" s="405"/>
      <c r="TD58" s="405"/>
      <c r="TE58" s="405"/>
      <c r="TF58" s="405"/>
      <c r="TG58" s="405"/>
      <c r="TH58" s="405"/>
      <c r="TI58" s="405"/>
      <c r="TJ58" s="405"/>
      <c r="TK58" s="405"/>
      <c r="TL58" s="405"/>
      <c r="TM58" s="405"/>
      <c r="TN58" s="405"/>
      <c r="TO58" s="405"/>
      <c r="TP58" s="405"/>
      <c r="TQ58" s="405"/>
      <c r="TR58" s="405"/>
      <c r="TS58" s="405"/>
      <c r="TT58" s="405"/>
      <c r="TU58" s="405"/>
      <c r="TV58" s="405"/>
      <c r="TW58" s="405"/>
      <c r="TX58" s="405"/>
      <c r="TY58" s="405"/>
      <c r="TZ58" s="405"/>
      <c r="UA58" s="405"/>
      <c r="UB58" s="405"/>
      <c r="UC58" s="405"/>
      <c r="UD58" s="405"/>
      <c r="UE58" s="405"/>
      <c r="UF58" s="405"/>
      <c r="UG58" s="405"/>
      <c r="UH58" s="405"/>
      <c r="UI58" s="405"/>
      <c r="UJ58" s="405"/>
      <c r="UK58" s="405"/>
      <c r="UL58" s="405"/>
      <c r="UM58" s="405"/>
      <c r="UN58" s="405"/>
      <c r="UO58" s="405"/>
      <c r="UP58" s="405"/>
      <c r="UQ58" s="405"/>
      <c r="UR58" s="405"/>
      <c r="US58" s="405"/>
      <c r="UT58" s="405"/>
      <c r="UU58" s="405"/>
      <c r="UV58" s="405"/>
      <c r="UW58" s="405"/>
      <c r="UX58" s="405"/>
      <c r="UY58" s="405"/>
      <c r="UZ58" s="405"/>
      <c r="VA58" s="405"/>
      <c r="VB58" s="405"/>
      <c r="VC58" s="405"/>
      <c r="VD58" s="405"/>
      <c r="VE58" s="405"/>
      <c r="VF58" s="405"/>
      <c r="VG58" s="405"/>
      <c r="VH58" s="405"/>
      <c r="VI58" s="405"/>
      <c r="VJ58" s="405"/>
      <c r="VK58" s="405"/>
      <c r="VL58" s="405"/>
      <c r="VM58" s="405"/>
      <c r="VN58" s="405"/>
      <c r="VO58" s="405"/>
      <c r="VP58" s="405"/>
      <c r="VQ58" s="405"/>
      <c r="VR58" s="405"/>
      <c r="VS58" s="405"/>
      <c r="VT58" s="405"/>
      <c r="VU58" s="405"/>
      <c r="VV58" s="405"/>
      <c r="VW58" s="405"/>
      <c r="VX58" s="405"/>
      <c r="VY58" s="405"/>
      <c r="VZ58" s="405"/>
      <c r="WA58" s="405"/>
      <c r="WB58" s="405"/>
      <c r="WC58" s="405"/>
      <c r="WD58" s="405"/>
      <c r="WE58" s="405"/>
      <c r="WF58" s="405"/>
      <c r="WG58" s="405"/>
      <c r="WH58" s="405"/>
      <c r="WI58" s="405"/>
      <c r="WJ58" s="405"/>
      <c r="WK58" s="405"/>
      <c r="WL58" s="405"/>
      <c r="WM58" s="405"/>
      <c r="WN58" s="405"/>
      <c r="WO58" s="405"/>
      <c r="WP58" s="405"/>
      <c r="WQ58" s="405"/>
      <c r="WR58" s="405"/>
      <c r="WS58" s="405"/>
      <c r="WT58" s="405"/>
      <c r="WU58" s="405"/>
      <c r="WV58" s="405"/>
      <c r="WW58" s="405"/>
      <c r="WX58" s="405"/>
      <c r="WY58" s="405"/>
      <c r="WZ58" s="405"/>
      <c r="XA58" s="405"/>
      <c r="XB58" s="405"/>
      <c r="XC58" s="405"/>
      <c r="XD58" s="405"/>
      <c r="XE58" s="405"/>
      <c r="XF58" s="405"/>
      <c r="XG58" s="405"/>
      <c r="XH58" s="405"/>
      <c r="XI58" s="405"/>
      <c r="XJ58" s="405"/>
      <c r="XK58" s="405"/>
      <c r="XL58" s="405"/>
      <c r="XM58" s="405"/>
      <c r="XN58" s="405"/>
      <c r="XO58" s="405"/>
      <c r="XP58" s="405"/>
      <c r="XQ58" s="405"/>
      <c r="XR58" s="405"/>
      <c r="XS58" s="405"/>
      <c r="XT58" s="405"/>
      <c r="XU58" s="405"/>
      <c r="XV58" s="405"/>
      <c r="XW58" s="405"/>
      <c r="XX58" s="405"/>
      <c r="XY58" s="405"/>
      <c r="XZ58" s="405"/>
      <c r="YA58" s="405"/>
      <c r="YB58" s="405"/>
      <c r="YC58" s="405"/>
      <c r="YD58" s="405"/>
      <c r="YE58" s="405"/>
      <c r="YF58" s="405"/>
      <c r="YG58" s="405"/>
      <c r="YH58" s="405"/>
      <c r="YI58" s="405"/>
      <c r="YJ58" s="405"/>
      <c r="YK58" s="405"/>
      <c r="YL58" s="405"/>
      <c r="YM58" s="405"/>
      <c r="YN58" s="405"/>
      <c r="YO58" s="405"/>
      <c r="YP58" s="405"/>
      <c r="YQ58" s="405"/>
      <c r="YR58" s="405"/>
      <c r="YS58" s="405"/>
      <c r="YT58" s="405"/>
      <c r="YU58" s="405"/>
      <c r="YV58" s="405"/>
      <c r="YW58" s="405"/>
      <c r="YX58" s="405"/>
      <c r="YY58" s="405"/>
      <c r="YZ58" s="405"/>
      <c r="ZA58" s="405"/>
      <c r="ZB58" s="405"/>
      <c r="ZC58" s="405"/>
      <c r="ZD58" s="405"/>
      <c r="ZE58" s="405"/>
      <c r="ZF58" s="405"/>
      <c r="ZG58" s="405"/>
      <c r="ZH58" s="405"/>
      <c r="ZI58" s="405"/>
      <c r="ZJ58" s="405"/>
      <c r="ZK58" s="405"/>
      <c r="ZL58" s="405"/>
      <c r="ZM58" s="405"/>
      <c r="ZN58" s="405"/>
      <c r="ZO58" s="405"/>
      <c r="ZP58" s="405"/>
      <c r="ZQ58" s="405"/>
      <c r="ZR58" s="405"/>
      <c r="ZS58" s="405"/>
      <c r="ZT58" s="405"/>
      <c r="ZU58" s="405"/>
      <c r="ZV58" s="405"/>
      <c r="ZW58" s="405"/>
      <c r="ZX58" s="405"/>
      <c r="ZY58" s="405"/>
      <c r="ZZ58" s="405"/>
      <c r="AAA58" s="405"/>
      <c r="AAB58" s="405"/>
      <c r="AAC58" s="405"/>
      <c r="AAD58" s="405"/>
      <c r="AAE58" s="405"/>
      <c r="AAF58" s="405"/>
      <c r="AAG58" s="405"/>
      <c r="AAH58" s="405"/>
      <c r="AAI58" s="405"/>
      <c r="AAJ58" s="405"/>
      <c r="AAK58" s="405"/>
      <c r="AAL58" s="405"/>
      <c r="AAM58" s="405"/>
      <c r="AAN58" s="405"/>
      <c r="AAO58" s="405"/>
      <c r="AAP58" s="405"/>
      <c r="AAQ58" s="405"/>
      <c r="AAR58" s="405"/>
      <c r="AAS58" s="405"/>
      <c r="AAT58" s="405"/>
      <c r="AAU58" s="405"/>
      <c r="AAV58" s="405"/>
      <c r="AAW58" s="405"/>
      <c r="AAX58" s="405"/>
      <c r="AAY58" s="405"/>
      <c r="AAZ58" s="405"/>
      <c r="ABA58" s="405"/>
      <c r="ABB58" s="405"/>
      <c r="ABC58" s="405"/>
      <c r="ABD58" s="405"/>
      <c r="ABE58" s="405"/>
      <c r="ABF58" s="405"/>
      <c r="ABG58" s="405"/>
      <c r="ABH58" s="405"/>
      <c r="ABI58" s="405"/>
      <c r="ABJ58" s="405"/>
      <c r="ABK58" s="405"/>
      <c r="ABL58" s="405"/>
      <c r="ABM58" s="405"/>
      <c r="ABN58" s="405"/>
      <c r="ABO58" s="405"/>
      <c r="ABP58" s="405"/>
      <c r="ABQ58" s="405"/>
      <c r="ABR58" s="405"/>
      <c r="ABS58" s="405"/>
      <c r="ABT58" s="405"/>
      <c r="ABU58" s="405"/>
      <c r="ABV58" s="405"/>
      <c r="ABW58" s="405"/>
      <c r="ABX58" s="405"/>
      <c r="ABY58" s="405"/>
      <c r="ABZ58" s="405"/>
      <c r="ACA58" s="405"/>
      <c r="ACB58" s="405"/>
      <c r="ACC58" s="405"/>
      <c r="ACD58" s="405"/>
      <c r="ACE58" s="405"/>
      <c r="ACF58" s="405"/>
      <c r="ACG58" s="405"/>
      <c r="ACH58" s="405"/>
      <c r="ACI58" s="405"/>
      <c r="ACJ58" s="405"/>
      <c r="ACK58" s="405"/>
      <c r="ACL58" s="405"/>
      <c r="ACM58" s="405"/>
      <c r="ACN58" s="405"/>
      <c r="ACO58" s="405"/>
      <c r="ACP58" s="405"/>
      <c r="ACQ58" s="405"/>
      <c r="ACR58" s="405"/>
      <c r="ACS58" s="405"/>
      <c r="ACT58" s="405"/>
      <c r="ACU58" s="405"/>
      <c r="ACV58" s="405"/>
      <c r="ACW58" s="405"/>
      <c r="ACX58" s="405"/>
      <c r="ACY58" s="405"/>
      <c r="ACZ58" s="405"/>
      <c r="ADA58" s="405"/>
      <c r="ADB58" s="405"/>
      <c r="ADC58" s="405"/>
      <c r="ADD58" s="405"/>
      <c r="ADE58" s="405"/>
      <c r="ADF58" s="405"/>
      <c r="ADG58" s="405"/>
      <c r="ADH58" s="405"/>
      <c r="ADI58" s="405"/>
      <c r="ADJ58" s="405"/>
      <c r="ADK58" s="405"/>
      <c r="ADL58" s="405"/>
      <c r="ADM58" s="405"/>
      <c r="ADN58" s="405"/>
      <c r="ADO58" s="405"/>
      <c r="ADP58" s="405"/>
      <c r="ADQ58" s="405"/>
      <c r="ADR58" s="405"/>
      <c r="ADS58" s="405"/>
      <c r="ADT58" s="405"/>
      <c r="ADU58" s="405"/>
      <c r="ADV58" s="405"/>
      <c r="ADW58" s="405"/>
      <c r="ADX58" s="405"/>
      <c r="ADY58" s="405"/>
      <c r="ADZ58" s="405"/>
      <c r="AEA58" s="405"/>
      <c r="AEB58" s="405"/>
      <c r="AEC58" s="405"/>
      <c r="AED58" s="405"/>
      <c r="AEE58" s="405"/>
      <c r="AEF58" s="405"/>
      <c r="AEG58" s="405"/>
      <c r="AEH58" s="405"/>
      <c r="AEI58" s="405"/>
      <c r="AEJ58" s="405"/>
      <c r="AEK58" s="405"/>
      <c r="AEL58" s="405"/>
      <c r="AEM58" s="405"/>
      <c r="AEN58" s="405"/>
      <c r="AEO58" s="405"/>
      <c r="AEP58" s="405"/>
      <c r="AEQ58" s="405"/>
      <c r="AER58" s="405"/>
      <c r="AES58" s="405"/>
      <c r="AET58" s="405"/>
      <c r="AEU58" s="405"/>
      <c r="AEV58" s="405"/>
      <c r="AEW58" s="405"/>
      <c r="AEX58" s="405"/>
      <c r="AEY58" s="405"/>
      <c r="AEZ58" s="405"/>
      <c r="AFA58" s="405"/>
      <c r="AFB58" s="405"/>
      <c r="AFC58" s="405"/>
      <c r="AFD58" s="405"/>
      <c r="AFE58" s="405"/>
      <c r="AFF58" s="405"/>
      <c r="AFG58" s="405"/>
      <c r="AFH58" s="405"/>
      <c r="AFI58" s="405"/>
      <c r="AFJ58" s="405"/>
      <c r="AFK58" s="405"/>
      <c r="AFL58" s="405"/>
      <c r="AFM58" s="405"/>
      <c r="AFN58" s="405"/>
      <c r="AFO58" s="405"/>
      <c r="AFP58" s="405"/>
      <c r="AFQ58" s="405"/>
      <c r="AFR58" s="405"/>
      <c r="AFS58" s="405"/>
      <c r="AFT58" s="405"/>
      <c r="AFU58" s="405"/>
      <c r="AFV58" s="405"/>
      <c r="AFW58" s="405"/>
      <c r="AFX58" s="405"/>
      <c r="AFY58" s="405"/>
      <c r="AFZ58" s="405"/>
      <c r="AGA58" s="405"/>
      <c r="AGB58" s="405"/>
      <c r="AGC58" s="405"/>
      <c r="AGD58" s="405"/>
      <c r="AGE58" s="405"/>
      <c r="AGF58" s="405"/>
      <c r="AGG58" s="405"/>
      <c r="AGH58" s="405"/>
      <c r="AGI58" s="405"/>
      <c r="AGJ58" s="405"/>
      <c r="AGK58" s="405"/>
      <c r="AGL58" s="405"/>
      <c r="AGM58" s="405"/>
      <c r="AGN58" s="405"/>
      <c r="AGO58" s="405"/>
      <c r="AGP58" s="405"/>
      <c r="AGQ58" s="405"/>
      <c r="AGR58" s="405"/>
      <c r="AGS58" s="405"/>
      <c r="AGT58" s="405"/>
      <c r="AGU58" s="405"/>
      <c r="AGV58" s="405"/>
      <c r="AGW58" s="405"/>
      <c r="AGX58" s="405"/>
      <c r="AGY58" s="405"/>
      <c r="AGZ58" s="405"/>
      <c r="AHA58" s="405"/>
      <c r="AHB58" s="405"/>
      <c r="AHC58" s="405"/>
      <c r="AHD58" s="405"/>
      <c r="AHE58" s="405"/>
      <c r="AHF58" s="405"/>
      <c r="AHG58" s="405"/>
      <c r="AHH58" s="405"/>
      <c r="AHI58" s="405"/>
      <c r="AHJ58" s="405"/>
      <c r="AHK58" s="405"/>
      <c r="AHL58" s="405"/>
      <c r="AHM58" s="405"/>
      <c r="AHN58" s="405"/>
      <c r="AHO58" s="405"/>
      <c r="AHP58" s="405"/>
      <c r="AHQ58" s="405"/>
      <c r="AHR58" s="405"/>
      <c r="AHS58" s="405"/>
      <c r="AHT58" s="405"/>
      <c r="AHU58" s="405"/>
      <c r="AHV58" s="405"/>
      <c r="AHW58" s="405"/>
      <c r="AHX58" s="405"/>
      <c r="AHY58" s="405"/>
      <c r="AHZ58" s="405"/>
      <c r="AIA58" s="405"/>
      <c r="AIB58" s="405"/>
      <c r="AIC58" s="405"/>
      <c r="AID58" s="405"/>
      <c r="AIE58" s="405"/>
      <c r="AIF58" s="405"/>
      <c r="AIG58" s="405"/>
      <c r="AIH58" s="405"/>
      <c r="AII58" s="405"/>
      <c r="AIJ58" s="405"/>
      <c r="AIK58" s="405"/>
      <c r="AIL58" s="405"/>
      <c r="AIM58" s="405"/>
      <c r="AIN58" s="405"/>
      <c r="AIO58" s="405"/>
      <c r="AIP58" s="405"/>
      <c r="AIQ58" s="405"/>
      <c r="AIR58" s="405"/>
      <c r="AIS58" s="405"/>
      <c r="AIT58" s="405"/>
      <c r="AIU58" s="405"/>
      <c r="AIV58" s="405"/>
      <c r="AIW58" s="405"/>
      <c r="AIX58" s="405"/>
      <c r="AIY58" s="405"/>
      <c r="AIZ58" s="405"/>
      <c r="AJA58" s="405"/>
      <c r="AJB58" s="405"/>
      <c r="AJC58" s="405"/>
      <c r="AJD58" s="405"/>
      <c r="AJE58" s="405"/>
      <c r="AJF58" s="405"/>
      <c r="AJG58" s="405"/>
      <c r="AJH58" s="405"/>
      <c r="AJI58" s="405"/>
      <c r="AJJ58" s="405"/>
      <c r="AJK58" s="405"/>
      <c r="AJL58" s="405"/>
      <c r="AJM58" s="405"/>
      <c r="AJN58" s="405"/>
      <c r="AJO58" s="405"/>
      <c r="AJP58" s="405"/>
      <c r="AJQ58" s="405"/>
      <c r="AJR58" s="405"/>
      <c r="AJS58" s="405"/>
      <c r="AJT58" s="405"/>
      <c r="AJU58" s="405"/>
      <c r="AJV58" s="405"/>
      <c r="AJW58" s="405"/>
      <c r="AJX58" s="405"/>
      <c r="AJY58" s="405"/>
      <c r="AJZ58" s="405"/>
      <c r="AKA58" s="405"/>
      <c r="AKB58" s="405"/>
      <c r="AKC58" s="405"/>
      <c r="AKD58" s="405"/>
      <c r="AKE58" s="405"/>
      <c r="AKF58" s="405"/>
      <c r="AKG58" s="405"/>
      <c r="AKH58" s="405"/>
      <c r="AKI58" s="405"/>
      <c r="AKJ58" s="405"/>
      <c r="AKK58" s="405"/>
      <c r="AKL58" s="405"/>
      <c r="AKM58" s="405"/>
      <c r="AKN58" s="405"/>
      <c r="AKO58" s="405"/>
      <c r="AKP58" s="405"/>
      <c r="AKQ58" s="405"/>
      <c r="AKR58" s="405"/>
      <c r="AKS58" s="405"/>
      <c r="AKT58" s="405"/>
      <c r="AKU58" s="405"/>
      <c r="AKV58" s="405"/>
      <c r="AKW58" s="405"/>
      <c r="AKX58" s="405"/>
      <c r="AKY58" s="405"/>
      <c r="AKZ58" s="405"/>
      <c r="ALA58" s="405"/>
      <c r="ALB58" s="405"/>
      <c r="ALC58" s="405"/>
      <c r="ALD58" s="405"/>
      <c r="ALE58" s="405"/>
      <c r="ALF58" s="405"/>
      <c r="ALG58" s="405"/>
      <c r="ALH58" s="405"/>
      <c r="ALI58" s="405"/>
      <c r="ALJ58" s="405"/>
      <c r="ALK58" s="405"/>
      <c r="ALL58" s="405"/>
      <c r="ALM58" s="405"/>
      <c r="ALN58" s="405"/>
      <c r="ALO58" s="405"/>
      <c r="ALP58" s="405"/>
      <c r="ALQ58" s="405"/>
      <c r="ALR58" s="405"/>
      <c r="ALS58" s="405"/>
      <c r="ALT58" s="405"/>
      <c r="ALU58" s="405"/>
      <c r="ALV58" s="405"/>
      <c r="ALW58" s="405"/>
      <c r="ALX58" s="405"/>
      <c r="ALY58" s="405"/>
      <c r="ALZ58" s="405"/>
      <c r="AMA58" s="405"/>
      <c r="AMB58" s="405"/>
      <c r="AMC58" s="405"/>
      <c r="AMD58" s="405"/>
      <c r="AME58" s="405"/>
      <c r="AMF58" s="405"/>
      <c r="AMG58" s="405"/>
      <c r="AMH58" s="405"/>
      <c r="AMI58" s="405"/>
      <c r="AMJ58" s="405"/>
      <c r="AMK58" s="405"/>
      <c r="AML58" s="405"/>
      <c r="AMM58" s="405"/>
      <c r="AMN58" s="405"/>
      <c r="AMO58" s="405"/>
      <c r="AMP58" s="405"/>
      <c r="AMQ58" s="405"/>
      <c r="AMR58" s="405"/>
      <c r="AMS58" s="405"/>
      <c r="AMT58" s="405"/>
      <c r="AMU58" s="405"/>
      <c r="AMV58" s="405"/>
      <c r="AMW58" s="405"/>
      <c r="AMX58" s="405"/>
      <c r="AMY58" s="405"/>
      <c r="AMZ58" s="405"/>
      <c r="ANA58" s="405"/>
      <c r="ANB58" s="405"/>
      <c r="ANC58" s="405"/>
      <c r="AND58" s="405"/>
      <c r="ANE58" s="405"/>
      <c r="ANF58" s="405"/>
      <c r="ANG58" s="405"/>
      <c r="ANH58" s="405"/>
      <c r="ANI58" s="405"/>
      <c r="ANJ58" s="405"/>
      <c r="ANK58" s="405"/>
      <c r="ANL58" s="405"/>
      <c r="ANM58" s="405"/>
      <c r="ANN58" s="405"/>
      <c r="ANO58" s="405"/>
      <c r="ANP58" s="405"/>
      <c r="ANQ58" s="405"/>
      <c r="ANR58" s="405"/>
      <c r="ANS58" s="405"/>
      <c r="ANT58" s="405"/>
      <c r="ANU58" s="405"/>
      <c r="ANV58" s="405"/>
      <c r="ANW58" s="405"/>
      <c r="ANX58" s="405"/>
      <c r="ANY58" s="405"/>
      <c r="ANZ58" s="405"/>
      <c r="AOA58" s="405"/>
      <c r="AOB58" s="405"/>
      <c r="AOC58" s="405"/>
      <c r="AOD58" s="405"/>
      <c r="AOE58" s="405"/>
      <c r="AOF58" s="405"/>
      <c r="AOG58" s="405"/>
      <c r="AOH58" s="405"/>
      <c r="AOI58" s="405"/>
      <c r="AOJ58" s="405"/>
      <c r="AOK58" s="405"/>
      <c r="AOL58" s="405"/>
      <c r="AOM58" s="405"/>
      <c r="AON58" s="405"/>
      <c r="AOO58" s="405"/>
      <c r="AOP58" s="405"/>
      <c r="AOQ58" s="405"/>
      <c r="AOR58" s="405"/>
      <c r="AOS58" s="405"/>
      <c r="AOT58" s="405"/>
      <c r="AOU58" s="405"/>
      <c r="AOV58" s="405"/>
      <c r="AOW58" s="405"/>
      <c r="AOX58" s="405"/>
      <c r="AOY58" s="405"/>
      <c r="AOZ58" s="405"/>
      <c r="APA58" s="405"/>
      <c r="APB58" s="405"/>
      <c r="APC58" s="405"/>
      <c r="APD58" s="405"/>
      <c r="APE58" s="405"/>
      <c r="APF58" s="405"/>
      <c r="APG58" s="405"/>
      <c r="APH58" s="405"/>
      <c r="API58" s="405"/>
      <c r="APJ58" s="405"/>
      <c r="APK58" s="405"/>
      <c r="APL58" s="405"/>
      <c r="APM58" s="405"/>
      <c r="APN58" s="405"/>
      <c r="APO58" s="405"/>
      <c r="APP58" s="405"/>
      <c r="APQ58" s="405"/>
      <c r="APR58" s="405"/>
      <c r="APS58" s="405"/>
      <c r="APT58" s="405"/>
      <c r="APU58" s="405"/>
      <c r="APV58" s="405"/>
      <c r="APW58" s="405"/>
      <c r="APX58" s="405"/>
      <c r="APY58" s="405"/>
      <c r="APZ58" s="405"/>
      <c r="AQA58" s="405"/>
      <c r="AQB58" s="405"/>
      <c r="AQC58" s="405"/>
      <c r="AQD58" s="405"/>
      <c r="AQE58" s="405"/>
      <c r="AQF58" s="405"/>
      <c r="AQG58" s="405"/>
      <c r="AQH58" s="405"/>
      <c r="AQI58" s="405"/>
      <c r="AQJ58" s="405"/>
      <c r="AQK58" s="405"/>
      <c r="AQL58" s="405"/>
      <c r="AQM58" s="405"/>
      <c r="AQN58" s="405"/>
      <c r="AQO58" s="405"/>
      <c r="AQP58" s="405"/>
      <c r="AQQ58" s="405"/>
      <c r="AQR58" s="405"/>
      <c r="AQS58" s="405"/>
      <c r="AQT58" s="405"/>
      <c r="AQU58" s="405"/>
      <c r="AQV58" s="405"/>
      <c r="AQW58" s="405"/>
      <c r="AQX58" s="405"/>
      <c r="AQY58" s="405"/>
      <c r="AQZ58" s="405"/>
      <c r="ARA58" s="405"/>
      <c r="ARB58" s="405"/>
      <c r="ARC58" s="405"/>
      <c r="ARD58" s="405"/>
      <c r="ARE58" s="405"/>
      <c r="ARF58" s="405"/>
      <c r="ARG58" s="405"/>
      <c r="ARH58" s="405"/>
      <c r="ARI58" s="405"/>
      <c r="ARJ58" s="405"/>
      <c r="ARK58" s="405"/>
      <c r="ARL58" s="405"/>
      <c r="ARM58" s="405"/>
      <c r="ARN58" s="405"/>
      <c r="ARO58" s="405"/>
      <c r="ARP58" s="405"/>
      <c r="ARQ58" s="405"/>
      <c r="ARR58" s="405"/>
      <c r="ARS58" s="405"/>
      <c r="ART58" s="405"/>
      <c r="ARU58" s="405"/>
      <c r="ARV58" s="405"/>
      <c r="ARW58" s="405"/>
      <c r="ARX58" s="405"/>
      <c r="ARY58" s="405"/>
      <c r="ARZ58" s="405"/>
      <c r="ASA58" s="405"/>
      <c r="ASB58" s="405"/>
      <c r="ASC58" s="405"/>
      <c r="ASD58" s="405"/>
      <c r="ASE58" s="405"/>
      <c r="ASF58" s="405"/>
      <c r="ASG58" s="405"/>
      <c r="ASH58" s="405"/>
      <c r="ASI58" s="405"/>
      <c r="ASJ58" s="405"/>
      <c r="ASK58" s="405"/>
      <c r="ASL58" s="405"/>
      <c r="ASM58" s="405"/>
      <c r="ASN58" s="405"/>
      <c r="ASO58" s="405"/>
      <c r="ASP58" s="405"/>
      <c r="ASQ58" s="405"/>
      <c r="ASR58" s="405"/>
      <c r="ASS58" s="405"/>
      <c r="AST58" s="405"/>
      <c r="ASU58" s="405"/>
      <c r="ASV58" s="405"/>
      <c r="ASW58" s="405"/>
      <c r="ASX58" s="405"/>
      <c r="ASY58" s="405"/>
      <c r="ASZ58" s="405"/>
      <c r="ATA58" s="405"/>
      <c r="ATB58" s="405"/>
      <c r="ATC58" s="405"/>
      <c r="ATD58" s="405"/>
      <c r="ATE58" s="405"/>
      <c r="ATF58" s="405"/>
      <c r="ATG58" s="405"/>
      <c r="ATH58" s="405"/>
      <c r="ATI58" s="405"/>
      <c r="ATJ58" s="405"/>
      <c r="ATK58" s="405"/>
      <c r="ATL58" s="405"/>
      <c r="ATM58" s="405"/>
      <c r="ATN58" s="405"/>
      <c r="ATO58" s="405"/>
      <c r="ATP58" s="405"/>
      <c r="ATQ58" s="405"/>
      <c r="ATR58" s="405"/>
      <c r="ATS58" s="405"/>
      <c r="ATT58" s="405"/>
      <c r="ATU58" s="405"/>
      <c r="ATV58" s="405"/>
      <c r="ATW58" s="405"/>
      <c r="ATX58" s="405"/>
      <c r="ATY58" s="405"/>
      <c r="ATZ58" s="405"/>
      <c r="AUA58" s="405"/>
      <c r="AUB58" s="405"/>
      <c r="AUC58" s="405"/>
      <c r="AUD58" s="405"/>
      <c r="AUE58" s="405"/>
      <c r="AUF58" s="405"/>
      <c r="AUG58" s="405"/>
      <c r="AUH58" s="405"/>
      <c r="AUI58" s="405"/>
      <c r="AUJ58" s="405"/>
      <c r="AUK58" s="405"/>
      <c r="AUL58" s="405"/>
      <c r="AUM58" s="405"/>
      <c r="AUN58" s="405"/>
      <c r="AUO58" s="405"/>
      <c r="AUP58" s="405"/>
      <c r="AUQ58" s="405"/>
      <c r="AUR58" s="405"/>
      <c r="AUS58" s="405"/>
      <c r="AUT58" s="405"/>
      <c r="AUU58" s="405"/>
      <c r="AUV58" s="405"/>
      <c r="AUW58" s="405"/>
      <c r="AUX58" s="405"/>
      <c r="AUY58" s="405"/>
      <c r="AUZ58" s="405"/>
      <c r="AVA58" s="405"/>
      <c r="AVB58" s="405"/>
      <c r="AVC58" s="405"/>
      <c r="AVD58" s="405"/>
      <c r="AVE58" s="405"/>
      <c r="AVF58" s="405"/>
      <c r="AVG58" s="405"/>
      <c r="AVH58" s="405"/>
      <c r="AVI58" s="405"/>
      <c r="AVJ58" s="405"/>
      <c r="AVK58" s="405"/>
      <c r="AVL58" s="405"/>
      <c r="AVM58" s="405"/>
      <c r="AVN58" s="405"/>
      <c r="AVO58" s="405"/>
      <c r="AVP58" s="405"/>
      <c r="AVQ58" s="405"/>
      <c r="AVR58" s="405"/>
      <c r="AVS58" s="405"/>
      <c r="AVT58" s="405"/>
      <c r="AVU58" s="405"/>
      <c r="AVV58" s="405"/>
      <c r="AVW58" s="405"/>
      <c r="AVX58" s="405"/>
      <c r="AVY58" s="405"/>
      <c r="AVZ58" s="405"/>
      <c r="AWA58" s="405"/>
      <c r="AWB58" s="405"/>
      <c r="AWC58" s="405"/>
      <c r="AWD58" s="405"/>
      <c r="AWE58" s="405"/>
      <c r="AWF58" s="405"/>
      <c r="AWG58" s="405"/>
      <c r="AWH58" s="405"/>
      <c r="AWI58" s="405"/>
      <c r="AWJ58" s="405"/>
      <c r="AWK58" s="405"/>
      <c r="AWL58" s="405"/>
      <c r="AWM58" s="405"/>
      <c r="AWN58" s="405"/>
      <c r="AWO58" s="405"/>
      <c r="AWP58" s="405"/>
      <c r="AWQ58" s="405"/>
      <c r="AWR58" s="405"/>
      <c r="AWS58" s="405"/>
      <c r="AWT58" s="405"/>
      <c r="AWU58" s="405"/>
      <c r="AWV58" s="405"/>
      <c r="AWW58" s="405"/>
      <c r="AWX58" s="405"/>
      <c r="AWY58" s="405"/>
      <c r="AWZ58" s="405"/>
      <c r="AXA58" s="405"/>
      <c r="AXB58" s="405"/>
      <c r="AXC58" s="405"/>
      <c r="AXD58" s="405"/>
      <c r="AXE58" s="405"/>
      <c r="AXF58" s="405"/>
      <c r="AXG58" s="405"/>
      <c r="AXH58" s="405"/>
      <c r="AXI58" s="405"/>
      <c r="AXJ58" s="405"/>
      <c r="AXK58" s="405"/>
      <c r="AXL58" s="405"/>
      <c r="AXM58" s="405"/>
      <c r="AXN58" s="405"/>
      <c r="AXO58" s="405"/>
      <c r="AXP58" s="405"/>
      <c r="AXQ58" s="405"/>
      <c r="AXR58" s="405"/>
      <c r="AXS58" s="405"/>
      <c r="AXT58" s="405"/>
      <c r="AXU58" s="405"/>
      <c r="AXV58" s="405"/>
      <c r="AXW58" s="405"/>
      <c r="AXX58" s="405"/>
      <c r="AXY58" s="405"/>
      <c r="AXZ58" s="405"/>
      <c r="AYA58" s="405"/>
      <c r="AYB58" s="405"/>
      <c r="AYC58" s="405"/>
      <c r="AYD58" s="405"/>
      <c r="AYE58" s="405"/>
      <c r="AYF58" s="405"/>
      <c r="AYG58" s="405"/>
      <c r="AYH58" s="405"/>
      <c r="AYI58" s="405"/>
      <c r="AYJ58" s="405"/>
      <c r="AYK58" s="405"/>
      <c r="AYL58" s="405"/>
      <c r="AYM58" s="405"/>
      <c r="AYN58" s="405"/>
      <c r="AYO58" s="405"/>
      <c r="AYP58" s="405"/>
      <c r="AYQ58" s="405"/>
      <c r="AYR58" s="405"/>
      <c r="AYS58" s="405"/>
      <c r="AYT58" s="405"/>
      <c r="AYU58" s="405"/>
      <c r="AYV58" s="405"/>
      <c r="AYW58" s="405"/>
      <c r="AYX58" s="405"/>
      <c r="AYY58" s="405"/>
      <c r="AYZ58" s="405"/>
      <c r="AZA58" s="405"/>
      <c r="AZB58" s="405"/>
      <c r="AZC58" s="405"/>
      <c r="AZD58" s="405"/>
      <c r="AZE58" s="405"/>
      <c r="AZF58" s="405"/>
      <c r="AZG58" s="405"/>
      <c r="AZH58" s="405"/>
      <c r="AZI58" s="405"/>
      <c r="AZJ58" s="405"/>
      <c r="AZK58" s="405"/>
      <c r="AZL58" s="405"/>
      <c r="AZM58" s="405"/>
      <c r="AZN58" s="405"/>
      <c r="AZO58" s="405"/>
      <c r="AZP58" s="405"/>
      <c r="AZQ58" s="405"/>
      <c r="AZR58" s="405"/>
      <c r="AZS58" s="405"/>
      <c r="AZT58" s="405"/>
      <c r="AZU58" s="405"/>
      <c r="AZV58" s="405"/>
      <c r="AZW58" s="405"/>
      <c r="AZX58" s="405"/>
      <c r="AZY58" s="405"/>
      <c r="AZZ58" s="405"/>
      <c r="BAA58" s="405"/>
      <c r="BAB58" s="405"/>
      <c r="BAC58" s="405"/>
      <c r="BAD58" s="405"/>
      <c r="BAE58" s="405"/>
      <c r="BAF58" s="405"/>
      <c r="BAG58" s="405"/>
      <c r="BAH58" s="405"/>
      <c r="BAI58" s="405"/>
      <c r="BAJ58" s="405"/>
      <c r="BAK58" s="405"/>
      <c r="BAL58" s="405"/>
      <c r="BAM58" s="405"/>
      <c r="BAN58" s="405"/>
      <c r="BAO58" s="405"/>
      <c r="BAP58" s="405"/>
      <c r="BAQ58" s="405"/>
      <c r="BAR58" s="405"/>
      <c r="BAS58" s="405"/>
      <c r="BAT58" s="405"/>
      <c r="BAU58" s="405"/>
      <c r="BAV58" s="405"/>
      <c r="BAW58" s="405"/>
      <c r="BAX58" s="405"/>
      <c r="BAY58" s="405"/>
      <c r="BAZ58" s="405"/>
      <c r="BBA58" s="405"/>
      <c r="BBB58" s="405"/>
      <c r="BBC58" s="405"/>
      <c r="BBD58" s="405"/>
      <c r="BBE58" s="405"/>
      <c r="BBF58" s="405"/>
      <c r="BBG58" s="405"/>
      <c r="BBH58" s="405"/>
      <c r="BBI58" s="405"/>
      <c r="BBJ58" s="405"/>
      <c r="BBK58" s="405"/>
      <c r="BBL58" s="405"/>
      <c r="BBM58" s="405"/>
      <c r="BBN58" s="405"/>
      <c r="BBO58" s="405"/>
      <c r="BBP58" s="405"/>
      <c r="BBQ58" s="405"/>
      <c r="BBR58" s="405"/>
      <c r="BBS58" s="405"/>
      <c r="BBT58" s="405"/>
      <c r="BBU58" s="405"/>
      <c r="BBV58" s="405"/>
      <c r="BBW58" s="405"/>
      <c r="BBX58" s="405"/>
      <c r="BBY58" s="405"/>
      <c r="BBZ58" s="405"/>
      <c r="BCA58" s="405"/>
      <c r="BCB58" s="405"/>
      <c r="BCC58" s="405"/>
      <c r="BCD58" s="405"/>
      <c r="BCE58" s="405"/>
      <c r="BCF58" s="405"/>
      <c r="BCG58" s="405"/>
      <c r="BCH58" s="405"/>
      <c r="BCI58" s="405"/>
      <c r="BCJ58" s="405"/>
      <c r="BCK58" s="405"/>
      <c r="BCL58" s="405"/>
      <c r="BCM58" s="405"/>
      <c r="BCN58" s="405"/>
      <c r="BCO58" s="405"/>
      <c r="BCP58" s="405"/>
      <c r="BCQ58" s="405"/>
      <c r="BCR58" s="405"/>
      <c r="BCS58" s="405"/>
      <c r="BCT58" s="405"/>
      <c r="BCU58" s="405"/>
      <c r="BCV58" s="405"/>
      <c r="BCW58" s="405"/>
      <c r="BCX58" s="405"/>
      <c r="BCY58" s="405"/>
      <c r="BCZ58" s="405"/>
      <c r="BDA58" s="405"/>
      <c r="BDB58" s="405"/>
      <c r="BDC58" s="405"/>
      <c r="BDD58" s="405"/>
      <c r="BDE58" s="405"/>
      <c r="BDF58" s="405"/>
      <c r="BDG58" s="405"/>
      <c r="BDH58" s="405"/>
      <c r="BDI58" s="405"/>
      <c r="BDJ58" s="405"/>
      <c r="BDK58" s="405"/>
      <c r="BDL58" s="405"/>
      <c r="BDM58" s="405"/>
      <c r="BDN58" s="405"/>
      <c r="BDO58" s="405"/>
      <c r="BDP58" s="405"/>
      <c r="BDQ58" s="405"/>
      <c r="BDR58" s="405"/>
      <c r="BDS58" s="405"/>
      <c r="BDT58" s="405"/>
      <c r="BDU58" s="405"/>
      <c r="BDV58" s="405"/>
      <c r="BDW58" s="405"/>
      <c r="BDX58" s="405"/>
      <c r="BDY58" s="405"/>
      <c r="BDZ58" s="405"/>
      <c r="BEA58" s="405"/>
      <c r="BEB58" s="405"/>
      <c r="BEC58" s="405"/>
      <c r="BED58" s="405"/>
      <c r="BEE58" s="405"/>
      <c r="BEF58" s="405"/>
      <c r="BEG58" s="405"/>
      <c r="BEH58" s="405"/>
      <c r="BEI58" s="405"/>
      <c r="BEJ58" s="405"/>
      <c r="BEK58" s="405"/>
      <c r="BEL58" s="405"/>
      <c r="BEM58" s="405"/>
      <c r="BEN58" s="405"/>
      <c r="BEO58" s="405"/>
      <c r="BEP58" s="405"/>
      <c r="BEQ58" s="405"/>
      <c r="BER58" s="405"/>
      <c r="BES58" s="405"/>
      <c r="BET58" s="405"/>
      <c r="BEU58" s="405"/>
      <c r="BEV58" s="405"/>
      <c r="BEW58" s="405"/>
      <c r="BEX58" s="405"/>
      <c r="BEY58" s="405"/>
      <c r="BEZ58" s="405"/>
      <c r="BFA58" s="405"/>
      <c r="BFB58" s="405"/>
      <c r="BFC58" s="405"/>
      <c r="BFD58" s="405"/>
      <c r="BFE58" s="405"/>
      <c r="BFF58" s="405"/>
      <c r="BFG58" s="405"/>
      <c r="BFH58" s="405"/>
      <c r="BFI58" s="405"/>
      <c r="BFJ58" s="405"/>
      <c r="BFK58" s="405"/>
      <c r="BFL58" s="405"/>
      <c r="BFM58" s="405"/>
      <c r="BFN58" s="405"/>
      <c r="BFO58" s="405"/>
      <c r="BFP58" s="405"/>
      <c r="BFQ58" s="405"/>
      <c r="BFR58" s="405"/>
      <c r="BFS58" s="405"/>
      <c r="BFT58" s="405"/>
      <c r="BFU58" s="405"/>
      <c r="BFV58" s="405"/>
      <c r="BFW58" s="405"/>
      <c r="BFX58" s="405"/>
      <c r="BFY58" s="405"/>
      <c r="BFZ58" s="405"/>
      <c r="BGA58" s="405"/>
      <c r="BGB58" s="405"/>
      <c r="BGC58" s="405"/>
      <c r="BGD58" s="405"/>
      <c r="BGE58" s="405"/>
      <c r="BGF58" s="405"/>
      <c r="BGG58" s="405"/>
      <c r="BGH58" s="405"/>
      <c r="BGI58" s="405"/>
      <c r="BGJ58" s="405"/>
      <c r="BGK58" s="405"/>
      <c r="BGL58" s="405"/>
      <c r="BGM58" s="405"/>
      <c r="BGN58" s="405"/>
      <c r="BGO58" s="405"/>
      <c r="BGP58" s="405"/>
      <c r="BGQ58" s="405"/>
      <c r="BGR58" s="405"/>
      <c r="BGS58" s="405"/>
      <c r="BGT58" s="405"/>
      <c r="BGU58" s="405"/>
      <c r="BGV58" s="405"/>
      <c r="BGW58" s="405"/>
      <c r="BGX58" s="405"/>
      <c r="BGY58" s="405"/>
      <c r="BGZ58" s="405"/>
      <c r="BHA58" s="405"/>
      <c r="BHB58" s="405"/>
      <c r="BHC58" s="405"/>
      <c r="BHD58" s="405"/>
      <c r="BHE58" s="405"/>
      <c r="BHF58" s="405"/>
      <c r="BHG58" s="405"/>
      <c r="BHH58" s="405"/>
      <c r="BHI58" s="405"/>
      <c r="BHJ58" s="405"/>
      <c r="BHK58" s="405"/>
      <c r="BHL58" s="405"/>
      <c r="BHM58" s="405"/>
      <c r="BHN58" s="405"/>
      <c r="BHO58" s="405"/>
      <c r="BHP58" s="405"/>
      <c r="BHQ58" s="405"/>
      <c r="BHR58" s="405"/>
      <c r="BHS58" s="405"/>
      <c r="BHT58" s="405"/>
      <c r="BHU58" s="405"/>
      <c r="BHV58" s="405"/>
      <c r="BHW58" s="405"/>
      <c r="BHX58" s="405"/>
      <c r="BHY58" s="405"/>
      <c r="BHZ58" s="405"/>
      <c r="BIA58" s="405"/>
      <c r="BIB58" s="405"/>
      <c r="BIC58" s="405"/>
      <c r="BID58" s="405"/>
      <c r="BIE58" s="405"/>
      <c r="BIF58" s="405"/>
      <c r="BIG58" s="405"/>
      <c r="BIH58" s="405"/>
      <c r="BII58" s="405"/>
      <c r="BIJ58" s="405"/>
      <c r="BIK58" s="405"/>
      <c r="BIL58" s="405"/>
      <c r="BIM58" s="405"/>
      <c r="BIN58" s="405"/>
      <c r="BIO58" s="405"/>
      <c r="BIP58" s="405"/>
      <c r="BIQ58" s="405"/>
      <c r="BIR58" s="405"/>
      <c r="BIS58" s="405"/>
      <c r="BIT58" s="405"/>
      <c r="BIU58" s="405"/>
      <c r="BIV58" s="405"/>
      <c r="BIW58" s="405"/>
      <c r="BIX58" s="405"/>
      <c r="BIY58" s="405"/>
      <c r="BIZ58" s="405"/>
      <c r="BJA58" s="405"/>
      <c r="BJB58" s="405"/>
      <c r="BJC58" s="405"/>
      <c r="BJD58" s="405"/>
      <c r="BJE58" s="405"/>
      <c r="BJF58" s="405"/>
      <c r="BJG58" s="405"/>
      <c r="BJH58" s="405"/>
      <c r="BJI58" s="405"/>
      <c r="BJJ58" s="405"/>
      <c r="BJK58" s="405"/>
      <c r="BJL58" s="405"/>
      <c r="BJM58" s="405"/>
      <c r="BJN58" s="405"/>
      <c r="BJO58" s="405"/>
      <c r="BJP58" s="405"/>
      <c r="BJQ58" s="405"/>
      <c r="BJR58" s="405"/>
      <c r="BJS58" s="405"/>
      <c r="BJT58" s="405"/>
      <c r="BJU58" s="405"/>
      <c r="BJV58" s="405"/>
      <c r="BJW58" s="405"/>
      <c r="BJX58" s="405"/>
      <c r="BJY58" s="405"/>
      <c r="BJZ58" s="405"/>
      <c r="BKA58" s="405"/>
      <c r="BKB58" s="405"/>
      <c r="BKC58" s="405"/>
      <c r="BKD58" s="405"/>
      <c r="BKE58" s="405"/>
      <c r="BKF58" s="405"/>
      <c r="BKG58" s="405"/>
      <c r="BKH58" s="405"/>
      <c r="BKI58" s="405"/>
      <c r="BKJ58" s="405"/>
      <c r="BKK58" s="405"/>
      <c r="BKL58" s="405"/>
      <c r="BKM58" s="405"/>
      <c r="BKN58" s="405"/>
      <c r="BKO58" s="405"/>
      <c r="BKP58" s="405"/>
      <c r="BKQ58" s="405"/>
      <c r="BKR58" s="405"/>
      <c r="BKS58" s="405"/>
      <c r="BKT58" s="405"/>
      <c r="BKU58" s="405"/>
      <c r="BKV58" s="405"/>
      <c r="BKW58" s="405"/>
      <c r="BKX58" s="405"/>
      <c r="BKY58" s="405"/>
      <c r="BKZ58" s="405"/>
      <c r="BLA58" s="405"/>
      <c r="BLB58" s="405"/>
      <c r="BLC58" s="405"/>
      <c r="BLD58" s="405"/>
      <c r="BLE58" s="405"/>
      <c r="BLF58" s="405"/>
      <c r="BLG58" s="405"/>
      <c r="BLH58" s="405"/>
      <c r="BLI58" s="405"/>
      <c r="BLJ58" s="405"/>
      <c r="BLK58" s="405"/>
      <c r="BLL58" s="405"/>
      <c r="BLM58" s="405"/>
      <c r="BLN58" s="405"/>
      <c r="BLO58" s="405"/>
      <c r="BLP58" s="405"/>
      <c r="BLQ58" s="405"/>
      <c r="BLR58" s="405"/>
      <c r="BLS58" s="405"/>
      <c r="BLT58" s="405"/>
      <c r="BLU58" s="405"/>
      <c r="BLV58" s="405"/>
      <c r="BLW58" s="405"/>
      <c r="BLX58" s="405"/>
      <c r="BLY58" s="405"/>
      <c r="BLZ58" s="405"/>
      <c r="BMA58" s="405"/>
      <c r="BMB58" s="405"/>
      <c r="BMC58" s="405"/>
      <c r="BMD58" s="405"/>
      <c r="BME58" s="405"/>
      <c r="BMF58" s="405"/>
      <c r="BMG58" s="405"/>
      <c r="BMH58" s="405"/>
      <c r="BMI58" s="405"/>
      <c r="BMJ58" s="405"/>
      <c r="BMK58" s="405"/>
      <c r="BML58" s="405"/>
      <c r="BMM58" s="405"/>
      <c r="BMN58" s="405"/>
      <c r="BMO58" s="405"/>
      <c r="BMP58" s="405"/>
      <c r="BMQ58" s="405"/>
      <c r="BMR58" s="405"/>
      <c r="BMS58" s="405"/>
      <c r="BMT58" s="405"/>
      <c r="BMU58" s="405"/>
      <c r="BMV58" s="405"/>
      <c r="BMW58" s="405"/>
      <c r="BMX58" s="405"/>
      <c r="BMY58" s="405"/>
      <c r="BMZ58" s="405"/>
      <c r="BNA58" s="405"/>
      <c r="BNB58" s="405"/>
      <c r="BNC58" s="405"/>
      <c r="BND58" s="405"/>
      <c r="BNE58" s="405"/>
      <c r="BNF58" s="405"/>
      <c r="BNG58" s="405"/>
      <c r="BNH58" s="405"/>
      <c r="BNI58" s="405"/>
      <c r="BNJ58" s="405"/>
      <c r="BNK58" s="405"/>
      <c r="BNL58" s="405"/>
      <c r="BNM58" s="405"/>
      <c r="BNN58" s="405"/>
      <c r="BNO58" s="405"/>
      <c r="BNP58" s="405"/>
      <c r="BNQ58" s="405"/>
      <c r="BNR58" s="405"/>
      <c r="BNS58" s="405"/>
      <c r="BNT58" s="405"/>
      <c r="BNU58" s="405"/>
      <c r="BNV58" s="405"/>
      <c r="BNW58" s="405"/>
      <c r="BNX58" s="405"/>
      <c r="BNY58" s="405"/>
      <c r="BNZ58" s="405"/>
      <c r="BOA58" s="405"/>
      <c r="BOB58" s="405"/>
      <c r="BOC58" s="405"/>
      <c r="BOD58" s="405"/>
      <c r="BOE58" s="405"/>
      <c r="BOF58" s="405"/>
      <c r="BOG58" s="405"/>
      <c r="BOH58" s="405"/>
      <c r="BOI58" s="405"/>
      <c r="BOJ58" s="405"/>
      <c r="BOK58" s="405"/>
      <c r="BOL58" s="405"/>
      <c r="BOM58" s="405"/>
      <c r="BON58" s="405"/>
      <c r="BOO58" s="405"/>
      <c r="BOP58" s="405"/>
      <c r="BOQ58" s="405"/>
      <c r="BOR58" s="405"/>
      <c r="BOS58" s="405"/>
      <c r="BOT58" s="405"/>
      <c r="BOU58" s="405"/>
      <c r="BOV58" s="405"/>
      <c r="BOW58" s="405"/>
      <c r="BOX58" s="405"/>
      <c r="BOY58" s="405"/>
      <c r="BOZ58" s="405"/>
      <c r="BPA58" s="405"/>
      <c r="BPB58" s="405"/>
      <c r="BPC58" s="405"/>
      <c r="BPD58" s="405"/>
      <c r="BPE58" s="405"/>
      <c r="BPF58" s="405"/>
      <c r="BPG58" s="405"/>
      <c r="BPH58" s="405"/>
      <c r="BPI58" s="405"/>
      <c r="BPJ58" s="405"/>
      <c r="BPK58" s="405"/>
      <c r="BPL58" s="405"/>
      <c r="BPM58" s="405"/>
      <c r="BPN58" s="405"/>
      <c r="BPO58" s="405"/>
      <c r="BPP58" s="405"/>
      <c r="BPQ58" s="405"/>
      <c r="BPR58" s="405"/>
      <c r="BPS58" s="405"/>
      <c r="BPT58" s="405"/>
      <c r="BPU58" s="405"/>
      <c r="BPV58" s="405"/>
      <c r="BPW58" s="405"/>
      <c r="BPX58" s="405"/>
      <c r="BPY58" s="405"/>
      <c r="BPZ58" s="405"/>
      <c r="BQA58" s="405"/>
      <c r="BQB58" s="405"/>
      <c r="BQC58" s="405"/>
      <c r="BQD58" s="405"/>
      <c r="BQE58" s="405"/>
      <c r="BQF58" s="405"/>
      <c r="BQG58" s="405"/>
      <c r="BQH58" s="405"/>
      <c r="BQI58" s="405"/>
      <c r="BQJ58" s="405"/>
      <c r="BQK58" s="405"/>
      <c r="BQL58" s="405"/>
      <c r="BQM58" s="405"/>
      <c r="BQN58" s="405"/>
      <c r="BQO58" s="405"/>
      <c r="BQP58" s="405"/>
      <c r="BQQ58" s="405"/>
      <c r="BQR58" s="405"/>
      <c r="BQS58" s="405"/>
      <c r="BQT58" s="405"/>
      <c r="BQU58" s="405"/>
      <c r="BQV58" s="405"/>
      <c r="BQW58" s="405"/>
      <c r="BQX58" s="405"/>
      <c r="BQY58" s="405"/>
      <c r="BQZ58" s="405"/>
      <c r="BRA58" s="405"/>
      <c r="BRB58" s="405"/>
      <c r="BRC58" s="405"/>
      <c r="BRD58" s="405"/>
      <c r="BRE58" s="405"/>
      <c r="BRF58" s="405"/>
      <c r="BRG58" s="405"/>
      <c r="BRH58" s="405"/>
      <c r="BRI58" s="405"/>
      <c r="BRJ58" s="405"/>
      <c r="BRK58" s="405"/>
      <c r="BRL58" s="405"/>
      <c r="BRM58" s="405"/>
      <c r="BRN58" s="405"/>
      <c r="BRO58" s="405"/>
      <c r="BRP58" s="405"/>
      <c r="BRQ58" s="405"/>
      <c r="BRR58" s="405"/>
      <c r="BRS58" s="405"/>
      <c r="BRT58" s="405"/>
      <c r="BRU58" s="405"/>
      <c r="BRV58" s="405"/>
      <c r="BRW58" s="405"/>
      <c r="BRX58" s="405"/>
      <c r="BRY58" s="405"/>
      <c r="BRZ58" s="405"/>
      <c r="BSA58" s="405"/>
      <c r="BSB58" s="405"/>
      <c r="BSC58" s="405"/>
      <c r="BSD58" s="405"/>
      <c r="BSE58" s="405"/>
      <c r="BSF58" s="405"/>
      <c r="BSG58" s="405"/>
      <c r="BSH58" s="405"/>
      <c r="BSI58" s="405"/>
      <c r="BSJ58" s="405"/>
      <c r="BSK58" s="405"/>
      <c r="BSL58" s="405"/>
      <c r="BSM58" s="405"/>
      <c r="BSN58" s="405"/>
      <c r="BSO58" s="405"/>
      <c r="BSP58" s="405"/>
      <c r="BSQ58" s="405"/>
      <c r="BSR58" s="405"/>
      <c r="BSS58" s="405"/>
      <c r="BST58" s="405"/>
      <c r="BSU58" s="405"/>
      <c r="BSV58" s="405"/>
      <c r="BSW58" s="405"/>
      <c r="BSX58" s="405"/>
      <c r="BSY58" s="405"/>
      <c r="BSZ58" s="405"/>
      <c r="BTA58" s="405"/>
      <c r="BTB58" s="405"/>
      <c r="BTC58" s="405"/>
      <c r="BTD58" s="405"/>
      <c r="BTE58" s="405"/>
      <c r="BTF58" s="405"/>
      <c r="BTG58" s="405"/>
      <c r="BTH58" s="405"/>
      <c r="BTI58" s="405"/>
      <c r="BTJ58" s="405"/>
      <c r="BTK58" s="405"/>
      <c r="BTL58" s="405"/>
      <c r="BTM58" s="405"/>
      <c r="BTN58" s="405"/>
      <c r="BTO58" s="405"/>
      <c r="BTP58" s="405"/>
      <c r="BTQ58" s="405"/>
      <c r="BTR58" s="405"/>
      <c r="BTS58" s="405"/>
      <c r="BTT58" s="405"/>
      <c r="BTU58" s="405"/>
      <c r="BTV58" s="405"/>
      <c r="BTW58" s="405"/>
      <c r="BTX58" s="405"/>
      <c r="BTY58" s="405"/>
      <c r="BTZ58" s="405"/>
      <c r="BUA58" s="405"/>
      <c r="BUB58" s="405"/>
      <c r="BUC58" s="405"/>
      <c r="BUD58" s="405"/>
      <c r="BUE58" s="405"/>
      <c r="BUF58" s="405"/>
      <c r="BUG58" s="405"/>
      <c r="BUH58" s="405"/>
      <c r="BUI58" s="405"/>
      <c r="BUJ58" s="405"/>
      <c r="BUK58" s="405"/>
      <c r="BUL58" s="405"/>
      <c r="BUM58" s="405"/>
      <c r="BUN58" s="405"/>
      <c r="BUO58" s="405"/>
      <c r="BUP58" s="405"/>
      <c r="BUQ58" s="405"/>
      <c r="BUR58" s="405"/>
      <c r="BUS58" s="405"/>
      <c r="BUT58" s="405"/>
      <c r="BUU58" s="405"/>
      <c r="BUV58" s="405"/>
      <c r="BUW58" s="405"/>
      <c r="BUX58" s="405"/>
      <c r="BUY58" s="405"/>
      <c r="BUZ58" s="405"/>
      <c r="BVA58" s="405"/>
      <c r="BVB58" s="405"/>
      <c r="BVC58" s="405"/>
      <c r="BVD58" s="405"/>
      <c r="BVE58" s="405"/>
      <c r="BVF58" s="405"/>
      <c r="BVG58" s="405"/>
      <c r="BVH58" s="405"/>
      <c r="BVI58" s="405"/>
      <c r="BVJ58" s="405"/>
      <c r="BVK58" s="405"/>
      <c r="BVL58" s="405"/>
      <c r="BVM58" s="405"/>
      <c r="BVN58" s="405"/>
      <c r="BVO58" s="405"/>
      <c r="BVP58" s="405"/>
      <c r="BVQ58" s="405"/>
      <c r="BVR58" s="405"/>
      <c r="BVS58" s="405"/>
      <c r="BVT58" s="405"/>
      <c r="BVU58" s="405"/>
      <c r="BVV58" s="405"/>
      <c r="BVW58" s="405"/>
      <c r="BVX58" s="405"/>
      <c r="BVY58" s="405"/>
      <c r="BVZ58" s="405"/>
      <c r="BWA58" s="405"/>
      <c r="BWB58" s="405"/>
      <c r="BWC58" s="405"/>
      <c r="BWD58" s="405"/>
      <c r="BWE58" s="405"/>
      <c r="BWF58" s="405"/>
      <c r="BWG58" s="405"/>
      <c r="BWH58" s="405"/>
      <c r="BWI58" s="405"/>
      <c r="BWJ58" s="405"/>
      <c r="BWK58" s="405"/>
      <c r="BWL58" s="405"/>
      <c r="BWM58" s="405"/>
      <c r="BWN58" s="405"/>
      <c r="BWO58" s="405"/>
      <c r="BWP58" s="405"/>
      <c r="BWQ58" s="405"/>
      <c r="BWR58" s="405"/>
      <c r="BWS58" s="405"/>
      <c r="BWT58" s="405"/>
      <c r="BWU58" s="405"/>
      <c r="BWV58" s="405"/>
      <c r="BWW58" s="405"/>
      <c r="BWX58" s="405"/>
      <c r="BWY58" s="405"/>
      <c r="BWZ58" s="405"/>
      <c r="BXA58" s="405"/>
      <c r="BXB58" s="405"/>
      <c r="BXC58" s="405"/>
      <c r="BXD58" s="405"/>
      <c r="BXE58" s="405"/>
      <c r="BXF58" s="405"/>
      <c r="BXG58" s="405"/>
      <c r="BXH58" s="405"/>
      <c r="BXI58" s="405"/>
      <c r="BXJ58" s="405"/>
      <c r="BXK58" s="405"/>
      <c r="BXL58" s="405"/>
      <c r="BXM58" s="405"/>
      <c r="BXN58" s="405"/>
      <c r="BXO58" s="405"/>
      <c r="BXP58" s="405"/>
      <c r="BXQ58" s="405"/>
      <c r="BXR58" s="405"/>
      <c r="BXS58" s="405"/>
      <c r="BXT58" s="405"/>
      <c r="BXU58" s="405"/>
      <c r="BXV58" s="405"/>
      <c r="BXW58" s="405"/>
      <c r="BXX58" s="405"/>
      <c r="BXY58" s="405"/>
      <c r="BXZ58" s="405"/>
      <c r="BYA58" s="405"/>
      <c r="BYB58" s="405"/>
      <c r="BYC58" s="405"/>
      <c r="BYD58" s="405"/>
      <c r="BYE58" s="405"/>
      <c r="BYF58" s="405"/>
      <c r="BYG58" s="405"/>
      <c r="BYH58" s="405"/>
      <c r="BYI58" s="405"/>
      <c r="BYJ58" s="405"/>
      <c r="BYK58" s="405"/>
      <c r="BYL58" s="405"/>
      <c r="BYM58" s="405"/>
      <c r="BYN58" s="405"/>
      <c r="BYO58" s="405"/>
      <c r="BYP58" s="405"/>
      <c r="BYQ58" s="405"/>
      <c r="BYR58" s="405"/>
      <c r="BYS58" s="405"/>
      <c r="BYT58" s="405"/>
      <c r="BYU58" s="405"/>
      <c r="BYV58" s="405"/>
      <c r="BYW58" s="405"/>
      <c r="BYX58" s="405"/>
      <c r="BYY58" s="405"/>
      <c r="BYZ58" s="405"/>
      <c r="BZA58" s="405"/>
      <c r="BZB58" s="405"/>
      <c r="BZC58" s="405"/>
      <c r="BZD58" s="405"/>
      <c r="BZE58" s="405"/>
      <c r="BZF58" s="405"/>
      <c r="BZG58" s="405"/>
      <c r="BZH58" s="405"/>
      <c r="BZI58" s="405"/>
      <c r="BZJ58" s="405"/>
      <c r="BZK58" s="405"/>
      <c r="BZL58" s="405"/>
      <c r="BZM58" s="405"/>
      <c r="BZN58" s="405"/>
      <c r="BZO58" s="405"/>
      <c r="BZP58" s="405"/>
      <c r="BZQ58" s="405"/>
      <c r="BZR58" s="405"/>
      <c r="BZS58" s="405"/>
      <c r="BZT58" s="405"/>
      <c r="BZU58" s="405"/>
      <c r="BZV58" s="405"/>
      <c r="BZW58" s="405"/>
      <c r="BZX58" s="405"/>
      <c r="BZY58" s="405"/>
      <c r="BZZ58" s="405"/>
      <c r="CAA58" s="405"/>
      <c r="CAB58" s="405"/>
      <c r="CAC58" s="405"/>
      <c r="CAD58" s="405"/>
      <c r="CAE58" s="405"/>
      <c r="CAF58" s="405"/>
      <c r="CAG58" s="405"/>
      <c r="CAH58" s="405"/>
      <c r="CAI58" s="405"/>
      <c r="CAJ58" s="405"/>
      <c r="CAK58" s="405"/>
      <c r="CAL58" s="405"/>
      <c r="CAM58" s="405"/>
      <c r="CAN58" s="405"/>
      <c r="CAO58" s="405"/>
      <c r="CAP58" s="405"/>
      <c r="CAQ58" s="405"/>
      <c r="CAR58" s="405"/>
      <c r="CAS58" s="405"/>
      <c r="CAT58" s="405"/>
      <c r="CAU58" s="405"/>
      <c r="CAV58" s="405"/>
      <c r="CAW58" s="405"/>
      <c r="CAX58" s="405"/>
      <c r="CAY58" s="405"/>
      <c r="CAZ58" s="405"/>
      <c r="CBA58" s="405"/>
      <c r="CBB58" s="405"/>
      <c r="CBC58" s="405"/>
      <c r="CBD58" s="405"/>
      <c r="CBE58" s="405"/>
      <c r="CBF58" s="405"/>
      <c r="CBG58" s="405"/>
      <c r="CBH58" s="405"/>
      <c r="CBI58" s="405"/>
      <c r="CBJ58" s="405"/>
      <c r="CBK58" s="405"/>
      <c r="CBL58" s="405"/>
      <c r="CBM58" s="405"/>
      <c r="CBN58" s="405"/>
      <c r="CBO58" s="405"/>
      <c r="CBP58" s="405"/>
      <c r="CBQ58" s="405"/>
      <c r="CBR58" s="405"/>
      <c r="CBS58" s="405"/>
      <c r="CBT58" s="405"/>
      <c r="CBU58" s="405"/>
      <c r="CBV58" s="405"/>
      <c r="CBW58" s="405"/>
      <c r="CBX58" s="405"/>
      <c r="CBY58" s="405"/>
      <c r="CBZ58" s="405"/>
      <c r="CCA58" s="405"/>
      <c r="CCB58" s="405"/>
      <c r="CCC58" s="405"/>
      <c r="CCD58" s="405"/>
      <c r="CCE58" s="405"/>
      <c r="CCF58" s="405"/>
      <c r="CCG58" s="405"/>
      <c r="CCH58" s="405"/>
      <c r="CCI58" s="405"/>
      <c r="CCJ58" s="405"/>
      <c r="CCK58" s="405"/>
      <c r="CCL58" s="405"/>
      <c r="CCM58" s="405"/>
      <c r="CCN58" s="405"/>
      <c r="CCO58" s="405"/>
      <c r="CCP58" s="405"/>
      <c r="CCQ58" s="405"/>
      <c r="CCR58" s="405"/>
      <c r="CCS58" s="405"/>
      <c r="CCT58" s="405"/>
      <c r="CCU58" s="405"/>
      <c r="CCV58" s="405"/>
      <c r="CCW58" s="405"/>
      <c r="CCX58" s="405"/>
      <c r="CCY58" s="405"/>
      <c r="CCZ58" s="405"/>
      <c r="CDA58" s="405"/>
      <c r="CDB58" s="405"/>
      <c r="CDC58" s="405"/>
      <c r="CDD58" s="405"/>
      <c r="CDE58" s="405"/>
      <c r="CDF58" s="405"/>
      <c r="CDG58" s="405"/>
      <c r="CDH58" s="405"/>
      <c r="CDI58" s="405"/>
      <c r="CDJ58" s="405"/>
      <c r="CDK58" s="405"/>
      <c r="CDL58" s="405"/>
      <c r="CDM58" s="405"/>
      <c r="CDN58" s="405"/>
      <c r="CDO58" s="405"/>
      <c r="CDP58" s="405"/>
      <c r="CDQ58" s="405"/>
      <c r="CDR58" s="405"/>
      <c r="CDS58" s="405"/>
      <c r="CDT58" s="405"/>
      <c r="CDU58" s="405"/>
      <c r="CDV58" s="405"/>
      <c r="CDW58" s="405"/>
      <c r="CDX58" s="405"/>
      <c r="CDY58" s="405"/>
      <c r="CDZ58" s="405"/>
      <c r="CEA58" s="405"/>
      <c r="CEB58" s="405"/>
      <c r="CEC58" s="405"/>
      <c r="CED58" s="405"/>
      <c r="CEE58" s="405"/>
      <c r="CEF58" s="405"/>
      <c r="CEG58" s="405"/>
      <c r="CEH58" s="405"/>
      <c r="CEI58" s="405"/>
      <c r="CEJ58" s="405"/>
      <c r="CEK58" s="405"/>
      <c r="CEL58" s="405"/>
      <c r="CEM58" s="405"/>
      <c r="CEN58" s="405"/>
      <c r="CEO58" s="405"/>
      <c r="CEP58" s="405"/>
      <c r="CEQ58" s="405"/>
      <c r="CER58" s="405"/>
      <c r="CES58" s="405"/>
      <c r="CET58" s="405"/>
      <c r="CEU58" s="405"/>
      <c r="CEV58" s="405"/>
      <c r="CEW58" s="405"/>
      <c r="CEX58" s="405"/>
      <c r="CEY58" s="405"/>
      <c r="CEZ58" s="405"/>
      <c r="CFA58" s="405"/>
      <c r="CFB58" s="405"/>
      <c r="CFC58" s="405"/>
      <c r="CFD58" s="405"/>
      <c r="CFE58" s="405"/>
      <c r="CFF58" s="405"/>
      <c r="CFG58" s="405"/>
      <c r="CFH58" s="405"/>
      <c r="CFI58" s="405"/>
      <c r="CFJ58" s="405"/>
      <c r="CFK58" s="405"/>
      <c r="CFL58" s="405"/>
      <c r="CFM58" s="405"/>
      <c r="CFN58" s="405"/>
      <c r="CFO58" s="405"/>
      <c r="CFP58" s="405"/>
      <c r="CFQ58" s="405"/>
      <c r="CFR58" s="405"/>
      <c r="CFS58" s="405"/>
      <c r="CFT58" s="405"/>
      <c r="CFU58" s="405"/>
      <c r="CFV58" s="405"/>
      <c r="CFW58" s="405"/>
      <c r="CFX58" s="405"/>
      <c r="CFY58" s="405"/>
      <c r="CFZ58" s="405"/>
      <c r="CGA58" s="405"/>
      <c r="CGB58" s="405"/>
      <c r="CGC58" s="405"/>
      <c r="CGD58" s="405"/>
      <c r="CGE58" s="405"/>
      <c r="CGF58" s="405"/>
      <c r="CGG58" s="405"/>
      <c r="CGH58" s="405"/>
      <c r="CGI58" s="405"/>
      <c r="CGJ58" s="405"/>
      <c r="CGK58" s="405"/>
      <c r="CGL58" s="405"/>
      <c r="CGM58" s="405"/>
      <c r="CGN58" s="405"/>
      <c r="CGO58" s="405"/>
      <c r="CGP58" s="405"/>
      <c r="CGQ58" s="405"/>
      <c r="CGR58" s="405"/>
      <c r="CGS58" s="405"/>
      <c r="CGT58" s="405"/>
      <c r="CGU58" s="405"/>
      <c r="CGV58" s="405"/>
      <c r="CGW58" s="405"/>
      <c r="CGX58" s="405"/>
      <c r="CGY58" s="405"/>
      <c r="CGZ58" s="405"/>
      <c r="CHA58" s="405"/>
      <c r="CHB58" s="405"/>
      <c r="CHC58" s="405"/>
      <c r="CHD58" s="405"/>
      <c r="CHE58" s="405"/>
      <c r="CHF58" s="405"/>
      <c r="CHG58" s="405"/>
      <c r="CHH58" s="405"/>
      <c r="CHI58" s="405"/>
      <c r="CHJ58" s="405"/>
      <c r="CHK58" s="405"/>
      <c r="CHL58" s="405"/>
      <c r="CHM58" s="405"/>
      <c r="CHN58" s="405"/>
      <c r="CHO58" s="405"/>
      <c r="CHP58" s="405"/>
      <c r="CHQ58" s="405"/>
      <c r="CHR58" s="405"/>
      <c r="CHS58" s="405"/>
      <c r="CHT58" s="405"/>
      <c r="CHU58" s="405"/>
      <c r="CHV58" s="405"/>
      <c r="CHW58" s="405"/>
      <c r="CHX58" s="405"/>
      <c r="CHY58" s="405"/>
      <c r="CHZ58" s="405"/>
      <c r="CIA58" s="405"/>
      <c r="CIB58" s="405"/>
      <c r="CIC58" s="405"/>
      <c r="CID58" s="405"/>
      <c r="CIE58" s="405"/>
      <c r="CIF58" s="405"/>
      <c r="CIG58" s="405"/>
      <c r="CIH58" s="405"/>
      <c r="CII58" s="405"/>
      <c r="CIJ58" s="405"/>
      <c r="CIK58" s="405"/>
      <c r="CIL58" s="405"/>
      <c r="CIM58" s="405"/>
      <c r="CIN58" s="405"/>
      <c r="CIO58" s="405"/>
      <c r="CIP58" s="405"/>
      <c r="CIQ58" s="405"/>
      <c r="CIR58" s="405"/>
      <c r="CIS58" s="405"/>
      <c r="CIT58" s="405"/>
      <c r="CIU58" s="405"/>
      <c r="CIV58" s="405"/>
      <c r="CIW58" s="405"/>
      <c r="CIX58" s="405"/>
      <c r="CIY58" s="405"/>
      <c r="CIZ58" s="405"/>
      <c r="CJA58" s="405"/>
      <c r="CJB58" s="405"/>
      <c r="CJC58" s="405"/>
      <c r="CJD58" s="405"/>
      <c r="CJE58" s="405"/>
      <c r="CJF58" s="405"/>
      <c r="CJG58" s="405"/>
      <c r="CJH58" s="405"/>
      <c r="CJI58" s="405"/>
      <c r="CJJ58" s="405"/>
      <c r="CJK58" s="405"/>
      <c r="CJL58" s="405"/>
      <c r="CJM58" s="405"/>
      <c r="CJN58" s="405"/>
      <c r="CJO58" s="405"/>
      <c r="CJP58" s="405"/>
      <c r="CJQ58" s="405"/>
      <c r="CJR58" s="405"/>
      <c r="CJS58" s="405"/>
      <c r="CJT58" s="405"/>
      <c r="CJU58" s="405"/>
      <c r="CJV58" s="405"/>
      <c r="CJW58" s="405"/>
      <c r="CJX58" s="405"/>
      <c r="CJY58" s="405"/>
      <c r="CJZ58" s="405"/>
      <c r="CKA58" s="405"/>
      <c r="CKB58" s="405"/>
      <c r="CKC58" s="405"/>
      <c r="CKD58" s="405"/>
      <c r="CKE58" s="405"/>
      <c r="CKF58" s="405"/>
      <c r="CKG58" s="405"/>
      <c r="CKH58" s="405"/>
      <c r="CKI58" s="405"/>
      <c r="CKJ58" s="405"/>
      <c r="CKK58" s="405"/>
      <c r="CKL58" s="405"/>
      <c r="CKM58" s="405"/>
      <c r="CKN58" s="405"/>
      <c r="CKO58" s="405"/>
      <c r="CKP58" s="405"/>
      <c r="CKQ58" s="405"/>
      <c r="CKR58" s="405"/>
      <c r="CKS58" s="405"/>
      <c r="CKT58" s="405"/>
      <c r="CKU58" s="405"/>
      <c r="CKV58" s="405"/>
      <c r="CKW58" s="405"/>
      <c r="CKX58" s="405"/>
      <c r="CKY58" s="405"/>
      <c r="CKZ58" s="405"/>
      <c r="CLA58" s="405"/>
      <c r="CLB58" s="405"/>
      <c r="CLC58" s="405"/>
      <c r="CLD58" s="405"/>
      <c r="CLE58" s="405"/>
      <c r="CLF58" s="405"/>
      <c r="CLG58" s="405"/>
      <c r="CLH58" s="405"/>
      <c r="CLI58" s="405"/>
      <c r="CLJ58" s="405"/>
      <c r="CLK58" s="405"/>
      <c r="CLL58" s="405"/>
      <c r="CLM58" s="405"/>
      <c r="CLN58" s="405"/>
      <c r="CLO58" s="405"/>
      <c r="CLP58" s="405"/>
      <c r="CLQ58" s="405"/>
      <c r="CLR58" s="405"/>
      <c r="CLS58" s="405"/>
      <c r="CLT58" s="405"/>
      <c r="CLU58" s="405"/>
      <c r="CLV58" s="405"/>
      <c r="CLW58" s="405"/>
      <c r="CLX58" s="405"/>
      <c r="CLY58" s="405"/>
      <c r="CLZ58" s="405"/>
      <c r="CMA58" s="405"/>
      <c r="CMB58" s="405"/>
      <c r="CMC58" s="405"/>
      <c r="CMD58" s="405"/>
      <c r="CME58" s="405"/>
      <c r="CMF58" s="405"/>
      <c r="CMG58" s="405"/>
      <c r="CMH58" s="405"/>
      <c r="CMI58" s="405"/>
      <c r="CMJ58" s="405"/>
      <c r="CMK58" s="405"/>
      <c r="CML58" s="405"/>
      <c r="CMM58" s="405"/>
      <c r="CMN58" s="405"/>
      <c r="CMO58" s="405"/>
      <c r="CMP58" s="405"/>
      <c r="CMQ58" s="405"/>
      <c r="CMR58" s="405"/>
      <c r="CMS58" s="405"/>
      <c r="CMT58" s="405"/>
      <c r="CMU58" s="405"/>
      <c r="CMV58" s="405"/>
      <c r="CMW58" s="405"/>
      <c r="CMX58" s="405"/>
      <c r="CMY58" s="405"/>
      <c r="CMZ58" s="405"/>
      <c r="CNA58" s="405"/>
      <c r="CNB58" s="405"/>
      <c r="CNC58" s="405"/>
      <c r="CND58" s="405"/>
      <c r="CNE58" s="405"/>
      <c r="CNF58" s="405"/>
      <c r="CNG58" s="405"/>
      <c r="CNH58" s="405"/>
      <c r="CNI58" s="405"/>
      <c r="CNJ58" s="405"/>
      <c r="CNK58" s="405"/>
      <c r="CNL58" s="405"/>
      <c r="CNM58" s="405"/>
      <c r="CNN58" s="405"/>
      <c r="CNO58" s="405"/>
      <c r="CNP58" s="405"/>
      <c r="CNQ58" s="405"/>
      <c r="CNR58" s="405"/>
      <c r="CNS58" s="405"/>
      <c r="CNT58" s="405"/>
      <c r="CNU58" s="405"/>
      <c r="CNV58" s="405"/>
      <c r="CNW58" s="405"/>
      <c r="CNX58" s="405"/>
      <c r="CNY58" s="405"/>
      <c r="CNZ58" s="405"/>
      <c r="COA58" s="405"/>
      <c r="COB58" s="405"/>
      <c r="COC58" s="405"/>
      <c r="COD58" s="405"/>
      <c r="COE58" s="405"/>
      <c r="COF58" s="405"/>
      <c r="COG58" s="405"/>
      <c r="COH58" s="405"/>
      <c r="COI58" s="405"/>
      <c r="COJ58" s="405"/>
      <c r="COK58" s="405"/>
      <c r="COL58" s="405"/>
      <c r="COM58" s="405"/>
      <c r="CON58" s="405"/>
      <c r="COO58" s="405"/>
      <c r="COP58" s="405"/>
      <c r="COQ58" s="405"/>
      <c r="COR58" s="405"/>
      <c r="COS58" s="405"/>
      <c r="COT58" s="405"/>
      <c r="COU58" s="405"/>
      <c r="COV58" s="405"/>
      <c r="COW58" s="405"/>
      <c r="COX58" s="405"/>
      <c r="COY58" s="405"/>
      <c r="COZ58" s="405"/>
      <c r="CPA58" s="405"/>
      <c r="CPB58" s="405"/>
      <c r="CPC58" s="405"/>
      <c r="CPD58" s="405"/>
      <c r="CPE58" s="405"/>
      <c r="CPF58" s="405"/>
      <c r="CPG58" s="405"/>
      <c r="CPH58" s="405"/>
      <c r="CPI58" s="405"/>
      <c r="CPJ58" s="405"/>
      <c r="CPK58" s="405"/>
      <c r="CPL58" s="405"/>
      <c r="CPM58" s="405"/>
      <c r="CPN58" s="405"/>
      <c r="CPO58" s="405"/>
      <c r="CPP58" s="405"/>
      <c r="CPQ58" s="405"/>
      <c r="CPR58" s="405"/>
      <c r="CPS58" s="405"/>
      <c r="CPT58" s="405"/>
      <c r="CPU58" s="405"/>
      <c r="CPV58" s="405"/>
      <c r="CPW58" s="405"/>
      <c r="CPX58" s="405"/>
      <c r="CPY58" s="405"/>
      <c r="CPZ58" s="405"/>
      <c r="CQA58" s="405"/>
      <c r="CQB58" s="405"/>
      <c r="CQC58" s="405"/>
      <c r="CQD58" s="405"/>
      <c r="CQE58" s="405"/>
      <c r="CQF58" s="405"/>
      <c r="CQG58" s="405"/>
      <c r="CQH58" s="405"/>
      <c r="CQI58" s="405"/>
      <c r="CQJ58" s="405"/>
      <c r="CQK58" s="405"/>
      <c r="CQL58" s="405"/>
      <c r="CQM58" s="405"/>
      <c r="CQN58" s="405"/>
      <c r="CQO58" s="405"/>
      <c r="CQP58" s="405"/>
      <c r="CQQ58" s="405"/>
      <c r="CQR58" s="405"/>
      <c r="CQS58" s="405"/>
      <c r="CQT58" s="405"/>
      <c r="CQU58" s="405"/>
      <c r="CQV58" s="405"/>
      <c r="CQW58" s="405"/>
      <c r="CQX58" s="405"/>
      <c r="CQY58" s="405"/>
      <c r="CQZ58" s="405"/>
      <c r="CRA58" s="405"/>
      <c r="CRB58" s="405"/>
      <c r="CRC58" s="405"/>
      <c r="CRD58" s="405"/>
      <c r="CRE58" s="405"/>
      <c r="CRF58" s="405"/>
      <c r="CRG58" s="405"/>
      <c r="CRH58" s="405"/>
      <c r="CRI58" s="405"/>
      <c r="CRJ58" s="405"/>
      <c r="CRK58" s="405"/>
      <c r="CRL58" s="405"/>
      <c r="CRM58" s="405"/>
      <c r="CRN58" s="405"/>
      <c r="CRO58" s="405"/>
      <c r="CRP58" s="405"/>
      <c r="CRQ58" s="405"/>
      <c r="CRR58" s="405"/>
      <c r="CRS58" s="405"/>
      <c r="CRT58" s="405"/>
      <c r="CRU58" s="405"/>
      <c r="CRV58" s="405"/>
      <c r="CRW58" s="405"/>
      <c r="CRX58" s="405"/>
      <c r="CRY58" s="405"/>
      <c r="CRZ58" s="405"/>
      <c r="CSA58" s="405"/>
      <c r="CSB58" s="405"/>
      <c r="CSC58" s="405"/>
      <c r="CSD58" s="405"/>
      <c r="CSE58" s="405"/>
      <c r="CSF58" s="405"/>
      <c r="CSG58" s="405"/>
      <c r="CSH58" s="405"/>
      <c r="CSI58" s="405"/>
      <c r="CSJ58" s="405"/>
      <c r="CSK58" s="405"/>
    </row>
    <row r="59" spans="1:2533">
      <c r="A59" s="347" t="str">
        <f>'DAL-US CFS-adj'!A28</f>
        <v>Issuance/Reduction of Debt, Net</v>
      </c>
      <c r="B59" s="347" t="str">
        <f>CFS!B54</f>
        <v>-</v>
      </c>
      <c r="C59" s="347">
        <f>CFS!L31</f>
        <v>-1.7769999999999999</v>
      </c>
      <c r="D59" s="347">
        <f>CFS!K31</f>
        <v>-0.94</v>
      </c>
      <c r="E59" s="347">
        <f>CFS!J31</f>
        <v>-1.1930000000000001</v>
      </c>
      <c r="F59" s="347">
        <f>CFS!I31</f>
        <v>-1.9079999999999999</v>
      </c>
      <c r="G59" s="347">
        <f>CFS!H31</f>
        <v>-1.52</v>
      </c>
      <c r="H59" s="347">
        <f>CFS!G31</f>
        <v>-1.2589999999999999</v>
      </c>
      <c r="I59" s="347">
        <f>CFS!F31</f>
        <v>1.196</v>
      </c>
      <c r="J59" s="347">
        <f>CFS!E31</f>
        <v>0.69299999999999995</v>
      </c>
      <c r="K59" s="347">
        <f>CFS!D31</f>
        <v>0.48699999999999999</v>
      </c>
      <c r="L59" s="347">
        <f>CFS!C31</f>
        <v>19.797999999999998</v>
      </c>
      <c r="M59" s="693">
        <v>-0.1</v>
      </c>
      <c r="N59" s="693">
        <f>M59</f>
        <v>-0.1</v>
      </c>
      <c r="O59" s="693">
        <f>N59</f>
        <v>-0.1</v>
      </c>
      <c r="P59" s="693">
        <f>O59</f>
        <v>-0.1</v>
      </c>
      <c r="Q59" s="693">
        <f>P59</f>
        <v>-0.1</v>
      </c>
      <c r="AA59" s="326"/>
      <c r="AB59" s="326"/>
      <c r="AC59" s="326"/>
      <c r="AD59" s="326"/>
      <c r="AE59" s="326"/>
      <c r="AF59" s="326"/>
      <c r="AG59" s="326"/>
      <c r="AH59" s="326"/>
      <c r="AI59" s="326"/>
      <c r="AJ59" s="326"/>
      <c r="AK59" s="326"/>
      <c r="AL59" s="326"/>
      <c r="AM59" s="326"/>
      <c r="AN59" s="326"/>
      <c r="AO59" s="326"/>
      <c r="AP59" s="326"/>
      <c r="AQ59" s="326"/>
      <c r="AR59" s="326"/>
      <c r="AS59" s="326"/>
      <c r="AT59" s="326"/>
      <c r="AU59" s="326"/>
      <c r="AV59" s="326"/>
      <c r="AW59" s="326"/>
      <c r="AX59" s="326"/>
      <c r="AY59" s="326"/>
      <c r="AZ59" s="326"/>
      <c r="BA59" s="326"/>
      <c r="BB59" s="326"/>
      <c r="BC59" s="326"/>
      <c r="BD59" s="326"/>
      <c r="BE59" s="326"/>
      <c r="BF59" s="326"/>
      <c r="BG59" s="326"/>
      <c r="BH59" s="326"/>
      <c r="BI59" s="326"/>
      <c r="BJ59" s="326"/>
      <c r="BK59" s="326"/>
      <c r="BL59" s="326"/>
      <c r="BM59" s="326"/>
      <c r="BN59" s="326"/>
      <c r="BO59" s="326"/>
      <c r="BP59" s="326"/>
      <c r="BQ59" s="326"/>
      <c r="BR59" s="326"/>
      <c r="BS59" s="326"/>
      <c r="BT59" s="326"/>
      <c r="BU59" s="326"/>
      <c r="BV59" s="326"/>
      <c r="BW59" s="326"/>
      <c r="BX59" s="326"/>
      <c r="BY59" s="326"/>
      <c r="BZ59" s="326"/>
      <c r="CA59" s="326"/>
      <c r="CB59" s="326"/>
      <c r="CC59" s="326"/>
      <c r="CD59" s="326"/>
      <c r="CE59" s="326"/>
      <c r="CF59" s="326"/>
      <c r="CG59" s="326"/>
      <c r="CH59" s="326"/>
      <c r="CI59" s="326"/>
      <c r="CJ59" s="326"/>
      <c r="CK59" s="326"/>
      <c r="CL59" s="326"/>
      <c r="CM59" s="326"/>
      <c r="CN59" s="326"/>
      <c r="CO59" s="326"/>
      <c r="CP59" s="326"/>
      <c r="CQ59" s="326"/>
      <c r="CR59" s="326"/>
      <c r="CS59" s="326"/>
      <c r="CT59" s="326"/>
      <c r="CU59" s="326"/>
      <c r="CV59" s="326"/>
      <c r="CW59" s="326"/>
      <c r="CX59" s="326"/>
      <c r="CY59" s="326"/>
      <c r="CZ59" s="326"/>
      <c r="DA59" s="326"/>
      <c r="DB59" s="326"/>
      <c r="DC59" s="326"/>
      <c r="DD59" s="326"/>
      <c r="DE59" s="326"/>
      <c r="DF59" s="326"/>
      <c r="DG59" s="326"/>
      <c r="DH59" s="326"/>
      <c r="DI59" s="326"/>
      <c r="DJ59" s="326"/>
      <c r="DK59" s="326"/>
      <c r="DL59" s="326"/>
    </row>
    <row r="60" spans="1:2533">
      <c r="A60" s="1097" t="str">
        <f>'DAL-US CFS-adj'!A29</f>
        <v>Other Funds incl. required funding for R&amp;D</v>
      </c>
      <c r="B60" s="1097" t="str">
        <f>CFS!B55</f>
        <v>-</v>
      </c>
      <c r="C60" s="699">
        <f>'DAL-US CFS-adj'!L29</f>
        <v>-0.78245000000000242</v>
      </c>
      <c r="D60" s="699">
        <f>'DAL-US CFS-adj'!K29</f>
        <v>-1.1560999999999999</v>
      </c>
      <c r="E60" s="699">
        <f>'DAL-US CFS-adj'!J29</f>
        <v>8.0371800000000029</v>
      </c>
      <c r="F60" s="699">
        <f>'DAL-US CFS-adj'!I29</f>
        <v>-3.5408200000000001</v>
      </c>
      <c r="G60" s="699">
        <f>'DAL-US CFS-adj'!H29</f>
        <v>-2.5098699999999998</v>
      </c>
      <c r="H60" s="699">
        <f>'DAL-US CFS-adj'!G29</f>
        <v>-1.5960899999999949</v>
      </c>
      <c r="I60" s="699">
        <f>'DAL-US CFS-adj'!F29</f>
        <v>-1.647979999999998</v>
      </c>
      <c r="J60" s="699">
        <f>'DAL-US CFS-adj'!E29</f>
        <v>-0.74209000000000369</v>
      </c>
      <c r="K60" s="699">
        <f>'DAL-US CFS-adj'!D29</f>
        <v>-1.3638799999999982</v>
      </c>
      <c r="L60" s="699">
        <f>'DAL-US CFS-adj'!C29</f>
        <v>-6.0446299999999962</v>
      </c>
      <c r="M60" s="693">
        <v>0</v>
      </c>
      <c r="N60" s="693">
        <v>0</v>
      </c>
      <c r="O60" s="693">
        <v>0</v>
      </c>
      <c r="P60" s="693">
        <v>0</v>
      </c>
      <c r="Q60" s="693">
        <v>0</v>
      </c>
    </row>
    <row r="61" spans="1:2533" customFormat="1">
      <c r="A61" s="1238" t="s">
        <v>1182</v>
      </c>
      <c r="B61" s="1238" t="e" cm="1">
        <f t="array" ref="B61">_xll.FDSR(BS!B8,"FF_ARPT_SERIES('PAYMENTS FOR TAXES RELATED TO NET SHARE SETTLEMENT OF EQUITY AWARDS',ANN_R,-10AY,0,B,""CF"")")</f>
        <v>#N/A</v>
      </c>
      <c r="C61" s="1238" t="e" cm="1">
        <f t="array" ref="C61">_xll.FDSR(BS!C8,"FF_ARPT_SERIES('PAYMENTS FOR TAXES RELATED TO NET SHARE SETTLEMENT OF EQUITY AWARDS',ANN_R,-10AY,0,B,""CF"")")</f>
        <v>#N/A</v>
      </c>
      <c r="D61" s="1238" t="e" cm="1">
        <f t="array" ref="D61">_xll.FDSR(BS!D8,"FF_ARPT_SERIES('PAYMENTS FOR TAXES RELATED TO NET SHARE SETTLEMENT OF EQUITY AWARDS',ANN_R,-10AY,0,B,""CF"")")</f>
        <v>#N/A</v>
      </c>
      <c r="E61" s="1238" t="e" cm="1">
        <f t="array" ref="E61">_xll.FDSR(BS!E8,"FF_ARPT_SERIES('PAYMENTS FOR TAXES RELATED TO NET SHARE SETTLEMENT OF EQUITY AWARDS',ANN_R,-10AY,0,B,""CF"")")</f>
        <v>#N/A</v>
      </c>
      <c r="F61" s="1238" t="e" cm="1">
        <f t="array" ref="F61">_xll.FDSR(BS!F8,"FF_ARPT_SERIES('PAYMENTS FOR TAXES RELATED TO NET SHARE SETTLEMENT OF EQUITY AWARDS',ANN_R,-10AY,0,B,""CF"")")</f>
        <v>#N/A</v>
      </c>
      <c r="G61" s="1238">
        <v>0</v>
      </c>
      <c r="H61" s="1238">
        <v>0</v>
      </c>
      <c r="I61" s="1238">
        <v>0</v>
      </c>
      <c r="J61" s="1238">
        <v>0</v>
      </c>
      <c r="K61" s="1238">
        <v>0</v>
      </c>
      <c r="L61" s="1238">
        <v>0</v>
      </c>
      <c r="N61" s="1239"/>
      <c r="O61" s="1239"/>
    </row>
    <row r="62" spans="1:2533">
      <c r="A62" s="680" t="s">
        <v>1186</v>
      </c>
      <c r="B62" s="678"/>
      <c r="C62" s="680" t="e">
        <f>C61/#REF!</f>
        <v>#N/A</v>
      </c>
      <c r="D62" s="680" t="e">
        <f t="shared" ref="D62:F62" si="38">D61/D41</f>
        <v>#N/A</v>
      </c>
      <c r="E62" s="680" t="e">
        <f t="shared" si="38"/>
        <v>#N/A</v>
      </c>
      <c r="F62" s="680" t="e">
        <f t="shared" si="38"/>
        <v>#N/A</v>
      </c>
      <c r="G62" s="680">
        <v>0</v>
      </c>
      <c r="H62" s="680">
        <v>0</v>
      </c>
      <c r="I62" s="680">
        <v>0</v>
      </c>
      <c r="J62" s="680">
        <v>0</v>
      </c>
      <c r="K62" s="680">
        <v>0</v>
      </c>
      <c r="L62" s="680">
        <v>0</v>
      </c>
      <c r="M62" s="669">
        <f>IFERROR(AVERAGE(C62:L62),)</f>
        <v>0</v>
      </c>
      <c r="N62" s="669">
        <f>M62</f>
        <v>0</v>
      </c>
      <c r="O62" s="669">
        <f t="shared" ref="O62:Q62" si="39">N62</f>
        <v>0</v>
      </c>
      <c r="P62" s="669">
        <f t="shared" si="39"/>
        <v>0</v>
      </c>
      <c r="Q62" s="669">
        <f t="shared" si="39"/>
        <v>0</v>
      </c>
    </row>
    <row r="63" spans="1:2533">
      <c r="A63" s="367" t="str">
        <f>'DAL-US CFS-adj'!A30</f>
        <v>Net Financing Cash Flow</v>
      </c>
      <c r="B63" s="367" t="str">
        <f>CFS!B56</f>
        <v>-</v>
      </c>
      <c r="C63" s="367">
        <f>SUM(C57:C60)</f>
        <v>-2.5594500000000022</v>
      </c>
      <c r="D63" s="367">
        <f t="shared" ref="D63:L63" si="40">SUM(D57:D60)</f>
        <v>-2.0960999999999999</v>
      </c>
      <c r="E63" s="367">
        <f t="shared" si="40"/>
        <v>6.4921800000000029</v>
      </c>
      <c r="F63" s="367">
        <f t="shared" si="40"/>
        <v>-6.7998200000000004</v>
      </c>
      <c r="G63" s="367">
        <f t="shared" si="40"/>
        <v>-6.58887</v>
      </c>
      <c r="H63" s="367">
        <f t="shared" si="40"/>
        <v>-5.9650899999999947</v>
      </c>
      <c r="I63" s="367">
        <f t="shared" si="40"/>
        <v>-2.859979999999998</v>
      </c>
      <c r="J63" s="367">
        <f t="shared" si="40"/>
        <v>-2.5330900000000036</v>
      </c>
      <c r="K63" s="367">
        <f t="shared" si="40"/>
        <v>-3.8838799999999982</v>
      </c>
      <c r="L63" s="367">
        <f t="shared" si="40"/>
        <v>13.149370000000003</v>
      </c>
      <c r="M63" s="716">
        <f>SUM(M57:M60)</f>
        <v>-0.1</v>
      </c>
      <c r="N63" s="716">
        <f t="shared" ref="N63:Q63" si="41">SUM(N57:N60)</f>
        <v>-0.1</v>
      </c>
      <c r="O63" s="716">
        <f t="shared" si="41"/>
        <v>-0.41800000000000004</v>
      </c>
      <c r="P63" s="716">
        <f t="shared" si="41"/>
        <v>-0.37348000000000003</v>
      </c>
      <c r="Q63" s="716">
        <f t="shared" ca="1" si="41"/>
        <v>-0.23697200227002635</v>
      </c>
    </row>
    <row r="64" spans="1:2533">
      <c r="A64" s="347"/>
      <c r="B64" s="347"/>
      <c r="C64" s="347"/>
      <c r="D64" s="347"/>
      <c r="E64" s="347"/>
      <c r="F64" s="347"/>
      <c r="G64" s="347"/>
      <c r="H64" s="347"/>
      <c r="I64" s="347"/>
      <c r="J64" s="347"/>
      <c r="K64" s="347"/>
      <c r="L64" s="347"/>
      <c r="N64" s="719"/>
      <c r="O64" s="719"/>
    </row>
    <row r="65" spans="1:25">
      <c r="A65" s="344" t="s">
        <v>1187</v>
      </c>
      <c r="B65" s="344">
        <f>CFS!B58</f>
        <v>0</v>
      </c>
      <c r="C65" s="344">
        <f>CFS!L35</f>
        <v>-0.23499999999999999</v>
      </c>
      <c r="D65" s="344">
        <f>CFS!K35</f>
        <v>-0.24099999999999999</v>
      </c>
      <c r="E65" s="344">
        <f>CFS!J35</f>
        <v>0.19700000000000001</v>
      </c>
      <c r="F65" s="344">
        <f>CFS!I35</f>
        <v>-0.81799999999999995</v>
      </c>
      <c r="G65" s="344">
        <f>CFS!H35</f>
        <v>-0.123</v>
      </c>
      <c r="H65" s="344">
        <f>CFS!G35</f>
        <v>0.80100000000000005</v>
      </c>
      <c r="I65" s="344">
        <f>CFS!F35</f>
        <v>-0.94799999999999995</v>
      </c>
      <c r="J65" s="344">
        <f>CFS!E35</f>
        <v>0.89500000000000002</v>
      </c>
      <c r="K65" s="344">
        <f>CFS!D35</f>
        <v>0.98199999999999998</v>
      </c>
      <c r="L65" s="344">
        <f>CFS!C35</f>
        <v>6.3250000000000002</v>
      </c>
      <c r="M65" s="714">
        <f>M45+M54+M63</f>
        <v>4.8390597250270062</v>
      </c>
      <c r="N65" s="714">
        <f ca="1">N45+N54+N63</f>
        <v>11.964482262933897</v>
      </c>
      <c r="O65" s="714">
        <f ca="1">O45+O54+O63</f>
        <v>11.517654069490801</v>
      </c>
      <c r="P65" s="714">
        <f ca="1">P45+P54+P63</f>
        <v>11.949406500371449</v>
      </c>
      <c r="Q65" s="714">
        <f ca="1">Q45+Q54+Q63</f>
        <v>3.7072919380473008</v>
      </c>
    </row>
    <row r="66" spans="1:25">
      <c r="A66" s="377" t="s">
        <v>472</v>
      </c>
      <c r="B66" s="327"/>
      <c r="C66" s="327">
        <f t="shared" ref="C66:L66" si="42">C45+C54+C63-C65</f>
        <v>0</v>
      </c>
      <c r="D66" s="327">
        <f t="shared" si="42"/>
        <v>0</v>
      </c>
      <c r="E66" s="327">
        <f t="shared" si="42"/>
        <v>9.4368957093138306E-16</v>
      </c>
      <c r="F66" s="327">
        <f t="shared" si="42"/>
        <v>0</v>
      </c>
      <c r="G66" s="327">
        <f t="shared" si="42"/>
        <v>6.6613381477509392E-16</v>
      </c>
      <c r="H66" s="327">
        <f t="shared" si="42"/>
        <v>0</v>
      </c>
      <c r="I66" s="327">
        <f t="shared" si="42"/>
        <v>0</v>
      </c>
      <c r="J66" s="327">
        <f t="shared" si="42"/>
        <v>0</v>
      </c>
      <c r="K66" s="327">
        <f t="shared" si="42"/>
        <v>0</v>
      </c>
      <c r="L66" s="327">
        <f t="shared" si="42"/>
        <v>0</v>
      </c>
      <c r="O66" s="327"/>
    </row>
    <row r="67" spans="1:25">
      <c r="A67" s="344" t="s">
        <v>1188</v>
      </c>
      <c r="C67" s="327"/>
      <c r="D67" s="327"/>
      <c r="E67" s="327"/>
      <c r="F67" s="327"/>
      <c r="G67" s="327"/>
      <c r="H67" s="327"/>
      <c r="I67" s="327"/>
      <c r="J67" s="327"/>
      <c r="K67" s="327"/>
      <c r="L67" s="327"/>
      <c r="O67" s="327"/>
    </row>
    <row r="68" spans="1:25">
      <c r="A68" s="347" t="s">
        <v>1189</v>
      </c>
      <c r="M68" s="327">
        <f>M45+M54+M57+M58+M60</f>
        <v>4.9390597250270059</v>
      </c>
      <c r="N68" s="327">
        <f ca="1">N45+N54+N57+N58+N60</f>
        <v>12.064482262933897</v>
      </c>
      <c r="O68" s="327">
        <f ca="1">O45+O54+O57+O58+O60</f>
        <v>11.617654069490801</v>
      </c>
      <c r="P68" s="327">
        <f ca="1">P45+P54+P57+P58+P60</f>
        <v>12.04940650037145</v>
      </c>
      <c r="Q68" s="327">
        <f ca="1">Q45+Q54+Q57+Q58+Q60</f>
        <v>3.8072919380473009</v>
      </c>
      <c r="R68" s="327"/>
      <c r="S68" s="327"/>
      <c r="T68" s="327"/>
      <c r="U68" s="327"/>
      <c r="V68" s="327"/>
      <c r="W68" s="327"/>
      <c r="X68" s="327"/>
      <c r="Y68" s="327"/>
    </row>
    <row r="69" spans="1:25">
      <c r="A69" s="327"/>
      <c r="P69" s="327"/>
      <c r="Q69" s="327"/>
      <c r="R69" s="327"/>
      <c r="S69" s="327"/>
      <c r="T69" s="327"/>
      <c r="U69" s="327"/>
      <c r="V69" s="327"/>
      <c r="W69" s="327"/>
      <c r="X69" s="327"/>
      <c r="Y69" s="327"/>
    </row>
    <row r="70" spans="1:25" s="340" customFormat="1" ht="26.1" customHeight="1">
      <c r="A70" s="676" t="s">
        <v>51</v>
      </c>
    </row>
    <row r="71" spans="1:25">
      <c r="A71" s="353" t="str">
        <f>BS!A14</f>
        <v>Assets</v>
      </c>
      <c r="L71" s="327"/>
      <c r="M71" s="327"/>
      <c r="O71" s="327"/>
      <c r="P71" s="327"/>
      <c r="Q71" s="327"/>
      <c r="R71" s="327"/>
      <c r="S71" s="327"/>
      <c r="T71" s="327"/>
      <c r="U71" s="327"/>
      <c r="V71" s="327"/>
      <c r="W71" s="327"/>
      <c r="X71" s="327"/>
      <c r="Y71" s="327"/>
    </row>
    <row r="72" spans="1:25">
      <c r="A72" s="347" t="str">
        <f>BS!A15</f>
        <v>Cash &amp; Short-Term Investments</v>
      </c>
      <c r="C72" s="347">
        <f>BS!K15</f>
        <v>3.92</v>
      </c>
      <c r="D72" s="347">
        <f>BS!J15</f>
        <v>3.7490000000000001</v>
      </c>
      <c r="E72" s="347">
        <f>BS!I15</f>
        <v>3.9249999999999998</v>
      </c>
      <c r="F72" s="347">
        <f>BS!H15</f>
        <v>4.383</v>
      </c>
      <c r="G72" s="347">
        <f>BS!G15</f>
        <v>5.4240000000000004</v>
      </c>
      <c r="H72" s="347">
        <f>BS!F15</f>
        <v>3.6419999999999999</v>
      </c>
      <c r="I72" s="347">
        <f>BS!E15</f>
        <v>2.6389999999999998</v>
      </c>
      <c r="J72" s="347">
        <f>BS!D15</f>
        <v>1.8149999999999999</v>
      </c>
      <c r="K72" s="347">
        <f>BS!C15</f>
        <v>3.0939999999999999</v>
      </c>
      <c r="L72" s="347">
        <f>BS!B15</f>
        <v>14.288</v>
      </c>
      <c r="M72" s="327">
        <f>L72+M65</f>
        <v>19.127059725027006</v>
      </c>
      <c r="N72" s="327">
        <f ca="1">M72+N65</f>
        <v>31.091541987960902</v>
      </c>
      <c r="O72" s="327">
        <f t="shared" ref="O72:Q72" ca="1" si="43">N72+O65</f>
        <v>42.609196057451705</v>
      </c>
      <c r="P72" s="327">
        <f t="shared" ca="1" si="43"/>
        <v>54.55860255782315</v>
      </c>
      <c r="Q72" s="327">
        <f t="shared" ca="1" si="43"/>
        <v>58.265894495870448</v>
      </c>
    </row>
    <row r="73" spans="1:25">
      <c r="A73" s="678" t="str">
        <f>BS!A16</f>
        <v>Short-Term Receivables</v>
      </c>
      <c r="B73" s="679"/>
      <c r="C73" s="678">
        <f>BS!K16</f>
        <v>1.5629999999999999</v>
      </c>
      <c r="D73" s="678">
        <f>BS!J16</f>
        <v>1.6930000000000001</v>
      </c>
      <c r="E73" s="678">
        <f>BS!I16</f>
        <v>1.609</v>
      </c>
      <c r="F73" s="678">
        <f>BS!H16</f>
        <v>3.222</v>
      </c>
      <c r="G73" s="678">
        <f>BS!G16</f>
        <v>2.1389999999999998</v>
      </c>
      <c r="H73" s="678">
        <f>BS!F16</f>
        <v>2.0640000000000001</v>
      </c>
      <c r="I73" s="678">
        <f>BS!E16</f>
        <v>2.3769999999999998</v>
      </c>
      <c r="J73" s="678">
        <f>BS!D16</f>
        <v>2.3140000000000001</v>
      </c>
      <c r="K73" s="678">
        <f>BS!C16</f>
        <v>2.8540000000000001</v>
      </c>
      <c r="L73" s="678">
        <f>BS!B16</f>
        <v>1.3959999999999999</v>
      </c>
      <c r="O73" s="327"/>
    </row>
    <row r="74" spans="1:25">
      <c r="A74" s="680" t="s">
        <v>1190</v>
      </c>
      <c r="B74" s="679"/>
      <c r="C74" s="678"/>
      <c r="D74" s="681">
        <f t="shared" ref="D74:L74" si="44">365*AVERAGE(C73:D73)/D5</f>
        <v>16.193486851069629</v>
      </c>
      <c r="E74" s="681">
        <f t="shared" si="44"/>
        <v>16.010813539507947</v>
      </c>
      <c r="F74" s="681">
        <f t="shared" si="44"/>
        <v>21.929596557556458</v>
      </c>
      <c r="G74" s="681">
        <f t="shared" si="44"/>
        <v>24.154014220115538</v>
      </c>
      <c r="H74" s="681">
        <f t="shared" si="44"/>
        <v>19.368908135952729</v>
      </c>
      <c r="I74" s="681">
        <f t="shared" si="44"/>
        <v>19.655684629189501</v>
      </c>
      <c r="J74" s="681">
        <f t="shared" si="44"/>
        <v>19.263911703156992</v>
      </c>
      <c r="K74" s="681">
        <f t="shared" si="44"/>
        <v>20.064672594987876</v>
      </c>
      <c r="L74" s="681">
        <f t="shared" si="44"/>
        <v>45.37145364141562</v>
      </c>
      <c r="O74" s="327"/>
    </row>
    <row r="75" spans="1:25">
      <c r="A75" s="678" t="str">
        <f>BS!A17</f>
        <v>Inventories</v>
      </c>
      <c r="B75" s="679"/>
      <c r="C75" s="678">
        <f>BS!K17</f>
        <v>0.36699999999999999</v>
      </c>
      <c r="D75" s="678">
        <f>BS!J17</f>
        <v>1.0229999999999999</v>
      </c>
      <c r="E75" s="678">
        <f>BS!I17</f>
        <v>1.0629999999999999</v>
      </c>
      <c r="F75" s="678">
        <f>BS!H17</f>
        <v>0.85199999999999998</v>
      </c>
      <c r="G75" s="678">
        <f>BS!G17</f>
        <v>0.69699999999999995</v>
      </c>
      <c r="H75" s="678">
        <f>BS!F17</f>
        <v>0.89100000000000001</v>
      </c>
      <c r="I75" s="678">
        <f>BS!E17</f>
        <v>1.329</v>
      </c>
      <c r="J75" s="678">
        <f>BS!D17</f>
        <v>1.0549999999999999</v>
      </c>
      <c r="K75" s="678">
        <f>BS!C17</f>
        <v>1.2509999999999999</v>
      </c>
      <c r="L75" s="678">
        <f>BS!B17</f>
        <v>0.73199999999999998</v>
      </c>
      <c r="O75" s="327"/>
    </row>
    <row r="76" spans="1:25">
      <c r="A76" s="680" t="s">
        <v>1191</v>
      </c>
      <c r="B76" s="679"/>
      <c r="C76" s="678"/>
      <c r="D76" s="681">
        <f t="shared" ref="D76:K76" si="45">365*AVERAGE(C75:D75)/D5</f>
        <v>6.9130671753644908</v>
      </c>
      <c r="E76" s="681">
        <f t="shared" si="45"/>
        <v>10.11464477389872</v>
      </c>
      <c r="F76" s="681">
        <f t="shared" si="45"/>
        <v>8.6928539448811062</v>
      </c>
      <c r="G76" s="681">
        <f t="shared" si="45"/>
        <v>6.9790277983508613</v>
      </c>
      <c r="H76" s="681">
        <f t="shared" si="45"/>
        <v>7.3180647442048388</v>
      </c>
      <c r="I76" s="681">
        <f t="shared" si="45"/>
        <v>9.8256293350147921</v>
      </c>
      <c r="J76" s="681">
        <f t="shared" si="45"/>
        <v>9.7900587295515393</v>
      </c>
      <c r="K76" s="681">
        <f t="shared" si="45"/>
        <v>8.95300599923414</v>
      </c>
      <c r="L76" s="681">
        <f>365*AVERAGE(K75:L75)/L5</f>
        <v>21.169786487276983</v>
      </c>
      <c r="M76" s="528" t="s">
        <v>1192</v>
      </c>
      <c r="O76" s="327"/>
    </row>
    <row r="77" spans="1:25">
      <c r="A77" s="678" t="str">
        <f>BS!A18</f>
        <v>Other Current Assets</v>
      </c>
      <c r="B77" s="679"/>
      <c r="C77" s="678">
        <f>BS!K18</f>
        <v>1.879</v>
      </c>
      <c r="D77" s="678">
        <f>BS!J18</f>
        <v>1.8069999999999999</v>
      </c>
      <c r="E77" s="678">
        <f>BS!I18</f>
        <v>3.0539999999999998</v>
      </c>
      <c r="F77" s="678">
        <f>BS!H18</f>
        <v>4.008</v>
      </c>
      <c r="G77" s="678">
        <f>BS!G18</f>
        <v>0.79600000000000004</v>
      </c>
      <c r="H77" s="678">
        <f>BS!F18</f>
        <v>0.85399999999999998</v>
      </c>
      <c r="I77" s="678">
        <f>BS!E18</f>
        <v>1.4990000000000001</v>
      </c>
      <c r="J77" s="678">
        <f>BS!D18</f>
        <v>1.1559999999999999</v>
      </c>
      <c r="K77" s="678">
        <f>BS!C18</f>
        <v>1.05</v>
      </c>
      <c r="L77" s="678">
        <f>BS!B18</f>
        <v>0.98799999999999999</v>
      </c>
      <c r="O77" s="327"/>
    </row>
    <row r="78" spans="1:25">
      <c r="A78" s="680" t="s">
        <v>1193</v>
      </c>
      <c r="B78" s="679"/>
      <c r="C78" s="678"/>
      <c r="D78" s="681">
        <f t="shared" ref="D78:L78" si="46">365*AVERAGE(C77:D77)/D5</f>
        <v>18.332061588772312</v>
      </c>
      <c r="E78" s="681">
        <f t="shared" si="46"/>
        <v>23.570128593442796</v>
      </c>
      <c r="F78" s="681">
        <f t="shared" si="46"/>
        <v>32.05688488707591</v>
      </c>
      <c r="G78" s="681">
        <f t="shared" si="46"/>
        <v>21.644447736137856</v>
      </c>
      <c r="H78" s="681">
        <f t="shared" si="46"/>
        <v>7.6037826372405437</v>
      </c>
      <c r="I78" s="681">
        <f t="shared" si="46"/>
        <v>10.414281903283698</v>
      </c>
      <c r="J78" s="681">
        <f t="shared" si="46"/>
        <v>10.902938727751401</v>
      </c>
      <c r="K78" s="681">
        <f t="shared" si="46"/>
        <v>8.5647576905075944</v>
      </c>
      <c r="L78" s="681">
        <f t="shared" si="46"/>
        <v>21.75694647557766</v>
      </c>
      <c r="O78" s="327"/>
    </row>
    <row r="79" spans="1:25">
      <c r="A79" s="680" t="s">
        <v>1194</v>
      </c>
      <c r="B79" s="679"/>
      <c r="C79" s="678"/>
      <c r="D79" s="681">
        <f>D74+D76+D78</f>
        <v>41.43861561520643</v>
      </c>
      <c r="E79" s="681">
        <f t="shared" ref="E79:L79" si="47">E74+E76+E78</f>
        <v>49.695586906849464</v>
      </c>
      <c r="F79" s="681">
        <f t="shared" si="47"/>
        <v>62.679335389513476</v>
      </c>
      <c r="G79" s="681">
        <f t="shared" si="47"/>
        <v>52.777489754604254</v>
      </c>
      <c r="H79" s="681">
        <f t="shared" si="47"/>
        <v>34.290755517398111</v>
      </c>
      <c r="I79" s="681">
        <f t="shared" si="47"/>
        <v>39.895595867487991</v>
      </c>
      <c r="J79" s="681">
        <f t="shared" si="47"/>
        <v>39.956909160459929</v>
      </c>
      <c r="K79" s="681">
        <f t="shared" si="47"/>
        <v>37.58243628472961</v>
      </c>
      <c r="L79" s="681">
        <f t="shared" si="47"/>
        <v>88.298186604270271</v>
      </c>
      <c r="M79" s="682">
        <f>AVERAGE(G79:L790)+1.05</f>
        <v>32.192869602570269</v>
      </c>
      <c r="N79" s="682">
        <f>M79*1.05</f>
        <v>33.802513082698788</v>
      </c>
      <c r="O79" s="682">
        <f t="shared" ref="O79:Q79" si="48">N79*1.05</f>
        <v>35.492638736833726</v>
      </c>
      <c r="P79" s="682">
        <f t="shared" si="48"/>
        <v>37.267270673675412</v>
      </c>
      <c r="Q79" s="682">
        <f t="shared" si="48"/>
        <v>39.130634207359186</v>
      </c>
    </row>
    <row r="80" spans="1:25">
      <c r="A80" s="344" t="s">
        <v>1195</v>
      </c>
      <c r="B80" s="344"/>
      <c r="C80" s="344">
        <f t="shared" ref="C80:L80" si="49">C73+C75+C77</f>
        <v>3.8090000000000002</v>
      </c>
      <c r="D80" s="344">
        <f t="shared" si="49"/>
        <v>4.5229999999999997</v>
      </c>
      <c r="E80" s="344">
        <f t="shared" si="49"/>
        <v>5.7259999999999991</v>
      </c>
      <c r="F80" s="344">
        <f t="shared" si="49"/>
        <v>8.0820000000000007</v>
      </c>
      <c r="G80" s="344">
        <f t="shared" si="49"/>
        <v>3.6319999999999997</v>
      </c>
      <c r="H80" s="344">
        <f t="shared" si="49"/>
        <v>3.8090000000000002</v>
      </c>
      <c r="I80" s="344">
        <f t="shared" si="49"/>
        <v>5.2050000000000001</v>
      </c>
      <c r="J80" s="344">
        <f t="shared" si="49"/>
        <v>4.5249999999999995</v>
      </c>
      <c r="K80" s="344">
        <f t="shared" si="49"/>
        <v>5.1550000000000002</v>
      </c>
      <c r="L80" s="344">
        <f t="shared" si="49"/>
        <v>3.1160000000000001</v>
      </c>
      <c r="M80" s="380">
        <f>M79*M5/365</f>
        <v>2.252712893145588</v>
      </c>
      <c r="N80" s="380">
        <f>N79*N5/365</f>
        <v>3.06697171691218</v>
      </c>
      <c r="O80" s="380">
        <f>O79*O5/365</f>
        <v>3.4857829514940049</v>
      </c>
      <c r="P80" s="380">
        <f>P79*P5/365</f>
        <v>3.7519350703444267</v>
      </c>
      <c r="Q80" s="380">
        <f>Q79*Q5/365</f>
        <v>4.02640654086757</v>
      </c>
    </row>
    <row r="81" spans="1:17">
      <c r="A81" s="344" t="str">
        <f>BS!A19</f>
        <v>Total Current Assets</v>
      </c>
      <c r="C81" s="344">
        <f>BS!K19</f>
        <v>7.7290000000000001</v>
      </c>
      <c r="D81" s="344">
        <f>BS!J19</f>
        <v>8.2720000000000002</v>
      </c>
      <c r="E81" s="344">
        <f>BS!I19</f>
        <v>9.6509999999999998</v>
      </c>
      <c r="F81" s="344">
        <f>BS!H19</f>
        <v>12.465</v>
      </c>
      <c r="G81" s="344">
        <f>BS!G19</f>
        <v>9.0559999999999992</v>
      </c>
      <c r="H81" s="344">
        <f>BS!F19</f>
        <v>7.4509999999999996</v>
      </c>
      <c r="I81" s="344">
        <f>BS!E19</f>
        <v>7.8440000000000003</v>
      </c>
      <c r="J81" s="344">
        <f>BS!D19</f>
        <v>6.34</v>
      </c>
      <c r="K81" s="344">
        <f>BS!C19</f>
        <v>8.2490000000000006</v>
      </c>
      <c r="L81" s="344">
        <f>BS!B19</f>
        <v>17.404</v>
      </c>
      <c r="M81" s="380">
        <f>M80+M72</f>
        <v>21.379772618172595</v>
      </c>
      <c r="N81" s="380">
        <f t="shared" ref="N81:Q81" ca="1" si="50">N80+N72</f>
        <v>34.15851370487308</v>
      </c>
      <c r="O81" s="380">
        <f t="shared" ca="1" si="50"/>
        <v>46.094979008945707</v>
      </c>
      <c r="P81" s="380">
        <f t="shared" ca="1" si="50"/>
        <v>58.31053762816758</v>
      </c>
      <c r="Q81" s="380">
        <f t="shared" ca="1" si="50"/>
        <v>62.292301036738017</v>
      </c>
    </row>
    <row r="82" spans="1:17">
      <c r="A82" s="347" t="s">
        <v>1196</v>
      </c>
      <c r="C82" s="375">
        <f>BS!K20+'DAL-US R&amp;D'!L34+'DAL-US Lease'!L27/1000</f>
        <v>20.222999999999999</v>
      </c>
      <c r="D82" s="375">
        <f>BS!J20+'DAL-US R&amp;D'!K34+'DAL-US Lease'!K27/1000</f>
        <v>20.713000000000001</v>
      </c>
      <c r="E82" s="375">
        <f>BS!I20+'DAL-US R&amp;D'!J34+'DAL-US Lease'!J27/1000</f>
        <v>21.853999999999999</v>
      </c>
      <c r="F82" s="375">
        <f>BS!H20+'DAL-US R&amp;D'!I34+'DAL-US Lease'!I27/1000</f>
        <v>21.928999999999998</v>
      </c>
      <c r="G82" s="375">
        <f>BS!G20+'DAL-US R&amp;D'!H34+'DAL-US Lease'!H27/1000</f>
        <v>23.039000000000001</v>
      </c>
      <c r="H82" s="375">
        <f>BS!F20+'DAL-US R&amp;D'!G34+'DAL-US Lease'!G27/1000</f>
        <v>24.375</v>
      </c>
      <c r="I82" s="375">
        <f>BS!E20+'DAL-US R&amp;D'!F34+'DAL-US Lease'!F27/1000</f>
        <v>26.562999999999999</v>
      </c>
      <c r="J82" s="375">
        <f>BS!D20+'DAL-US R&amp;D'!E34+'DAL-US Lease'!E27/1000</f>
        <v>34.329000000000001</v>
      </c>
      <c r="K82" s="375">
        <f>BS!C20+'DAL-US R&amp;D'!D34+'DAL-US Lease'!D27/1000</f>
        <v>36.936999999999998</v>
      </c>
      <c r="L82" s="375">
        <f>BS!B20+'DAL-US R&amp;D'!C34+'DAL-US Lease'!C27/1000</f>
        <v>32.262</v>
      </c>
      <c r="M82" s="327">
        <f>L82+(-M50)-M38</f>
        <v>26.445950000000003</v>
      </c>
      <c r="N82" s="327">
        <f>M82+(-N50)-N38</f>
        <v>20.060200000000002</v>
      </c>
      <c r="O82" s="327">
        <f>N82+(-O50)-O38</f>
        <v>13.076265000000001</v>
      </c>
      <c r="P82" s="327">
        <f>O82+(-P50)-P38</f>
        <v>5.4642357500000038</v>
      </c>
      <c r="Q82" s="327">
        <f>P82+(-Q50)-Q38</f>
        <v>6.4269575375000052</v>
      </c>
    </row>
    <row r="83" spans="1:17">
      <c r="A83" s="347" t="str">
        <f>BS!A21</f>
        <v>Total Investments and Advances</v>
      </c>
      <c r="C83" s="347">
        <f>BS!K21</f>
        <v>0.13300000000000001</v>
      </c>
      <c r="D83" s="347">
        <f>BS!J21</f>
        <v>0.27700000000000002</v>
      </c>
      <c r="E83" s="347">
        <f>BS!I21</f>
        <v>0.23799999999999999</v>
      </c>
      <c r="F83" s="347">
        <f>BS!H21</f>
        <v>0.17</v>
      </c>
      <c r="G83" s="347">
        <f>BS!G21</f>
        <v>0.17899999999999999</v>
      </c>
      <c r="H83" s="347">
        <f>BS!F21</f>
        <v>0.14599999999999999</v>
      </c>
      <c r="I83" s="347">
        <f>BS!E21</f>
        <v>0.52200000000000002</v>
      </c>
      <c r="J83" s="347">
        <f>BS!D21</f>
        <v>2.024</v>
      </c>
      <c r="K83" s="347">
        <f>BS!C21</f>
        <v>1.788</v>
      </c>
      <c r="L83" s="347">
        <f>BS!B21</f>
        <v>3.2410000000000001</v>
      </c>
      <c r="M83" s="327">
        <f>L83-M52</f>
        <v>3.2410000000000001</v>
      </c>
      <c r="N83" s="327">
        <f t="shared" ref="N83:Q83" si="51">M83-N52</f>
        <v>3.2410000000000001</v>
      </c>
      <c r="O83" s="327">
        <f t="shared" si="51"/>
        <v>3.2410000000000001</v>
      </c>
      <c r="P83" s="327">
        <f t="shared" si="51"/>
        <v>3.2410000000000001</v>
      </c>
      <c r="Q83" s="327">
        <f t="shared" si="51"/>
        <v>3.2410000000000001</v>
      </c>
    </row>
    <row r="84" spans="1:17">
      <c r="A84" s="347" t="str">
        <f>BS!A22</f>
        <v>Intangible Assets</v>
      </c>
      <c r="C84" s="347">
        <f>BS!K22</f>
        <v>14.545</v>
      </c>
      <c r="D84" s="347">
        <f>BS!J22</f>
        <v>14.473000000000001</v>
      </c>
      <c r="E84" s="347">
        <f>BS!I22</f>
        <v>14.452</v>
      </c>
      <c r="F84" s="347">
        <f>BS!H22</f>
        <v>14.397</v>
      </c>
      <c r="G84" s="347">
        <f>BS!G22</f>
        <v>14.654999999999999</v>
      </c>
      <c r="H84" s="347">
        <f>BS!F22</f>
        <v>14.638</v>
      </c>
      <c r="I84" s="347">
        <f>BS!E22</f>
        <v>14.641</v>
      </c>
      <c r="J84" s="347">
        <f>BS!D22</f>
        <v>14.611000000000001</v>
      </c>
      <c r="K84" s="347">
        <f>IF(ISNUMBER(BS!C22),BS!C22,0)</f>
        <v>14.944000000000001</v>
      </c>
      <c r="L84" s="347">
        <f>IF(ISNUMBER(BS!B22),BS!B22,0)</f>
        <v>15.763999999999999</v>
      </c>
      <c r="M84" s="327">
        <f>L84</f>
        <v>15.763999999999999</v>
      </c>
      <c r="N84" s="327">
        <f t="shared" ref="N84:Q84" si="52">M84</f>
        <v>15.763999999999999</v>
      </c>
      <c r="O84" s="327">
        <f t="shared" si="52"/>
        <v>15.763999999999999</v>
      </c>
      <c r="P84" s="327">
        <f t="shared" si="52"/>
        <v>15.763999999999999</v>
      </c>
      <c r="Q84" s="327">
        <f t="shared" si="52"/>
        <v>15.763999999999999</v>
      </c>
    </row>
    <row r="85" spans="1:17">
      <c r="A85" s="347" t="str">
        <f>BS!A23</f>
        <v>Deferred Tax Assets</v>
      </c>
      <c r="C85" s="347" t="str">
        <f>BS!K23</f>
        <v>-</v>
      </c>
      <c r="D85" s="347" t="str">
        <f>BS!J23</f>
        <v>-</v>
      </c>
      <c r="E85" s="347">
        <f>BS!I23</f>
        <v>12.134</v>
      </c>
      <c r="F85" s="347">
        <f>BS!H23</f>
        <v>4.32</v>
      </c>
      <c r="G85" s="347">
        <f>BS!G23</f>
        <v>12.456</v>
      </c>
      <c r="H85" s="347">
        <f>BS!F23</f>
        <v>10.702</v>
      </c>
      <c r="I85" s="347">
        <f>IF(ISNUMBER(BS!E23),BS!E23,0)</f>
        <v>6.1150000000000002</v>
      </c>
      <c r="J85" s="347">
        <f>IF(ISNUMBER(BS!D23),BS!D23,0)</f>
        <v>0.24199999999999999</v>
      </c>
      <c r="K85" s="347">
        <f>IF(ISNUMBER(BS!C23),BS!C23,0)</f>
        <v>0.12</v>
      </c>
      <c r="L85" s="347">
        <f>IF(ISNUMBER(BS!B23),BS!B23,0)</f>
        <v>1.988</v>
      </c>
      <c r="M85" s="327">
        <f>L85</f>
        <v>1.988</v>
      </c>
      <c r="N85" s="327">
        <f t="shared" ref="N85:Q85" si="53">M85</f>
        <v>1.988</v>
      </c>
      <c r="O85" s="327">
        <f t="shared" si="53"/>
        <v>1.988</v>
      </c>
      <c r="P85" s="327">
        <f t="shared" si="53"/>
        <v>1.988</v>
      </c>
      <c r="Q85" s="327">
        <f t="shared" si="53"/>
        <v>1.988</v>
      </c>
    </row>
    <row r="86" spans="1:17">
      <c r="A86" s="347" t="str">
        <f>BS!A24</f>
        <v>Other Assets</v>
      </c>
      <c r="C86" s="347">
        <f>BS!K24</f>
        <v>0.86899999999999999</v>
      </c>
      <c r="D86" s="347">
        <f>BS!J24</f>
        <v>0.81499999999999995</v>
      </c>
      <c r="E86" s="347">
        <f>BS!I24</f>
        <v>1.0649999999999999</v>
      </c>
      <c r="F86" s="347">
        <f>BS!H24</f>
        <v>0.84</v>
      </c>
      <c r="G86" s="347">
        <f>BS!G24</f>
        <v>1.2490000000000001</v>
      </c>
      <c r="H86" s="347">
        <f>BS!F24</f>
        <v>1.587</v>
      </c>
      <c r="I86" s="347">
        <f>BS!E24</f>
        <v>2.7869999999999999</v>
      </c>
      <c r="J86" s="347">
        <f>BS!D24</f>
        <v>2.72</v>
      </c>
      <c r="K86" s="347">
        <f>BS!C24</f>
        <v>2.4940000000000002</v>
      </c>
      <c r="L86" s="347">
        <f>BS!B24</f>
        <v>1.337</v>
      </c>
      <c r="M86" s="327">
        <f>L86-M53</f>
        <v>1.337</v>
      </c>
      <c r="N86" s="327">
        <f t="shared" ref="N86:Q86" si="54">M86-N53</f>
        <v>1.337</v>
      </c>
      <c r="O86" s="327">
        <f t="shared" si="54"/>
        <v>1.337</v>
      </c>
      <c r="P86" s="327">
        <f t="shared" si="54"/>
        <v>1.337</v>
      </c>
      <c r="Q86" s="327">
        <f t="shared" si="54"/>
        <v>1.337</v>
      </c>
    </row>
    <row r="87" spans="1:17">
      <c r="A87" s="374" t="str">
        <f>BS!A25</f>
        <v>Total Assets</v>
      </c>
      <c r="B87" s="374">
        <f t="shared" ref="B87" si="55">B72+B80+B82+B83+B84+B85+B86</f>
        <v>0</v>
      </c>
      <c r="C87" s="374">
        <f t="shared" ref="C87:L87" si="56">SUM(C81:C86)</f>
        <v>43.498999999999995</v>
      </c>
      <c r="D87" s="374">
        <f t="shared" si="56"/>
        <v>44.55</v>
      </c>
      <c r="E87" s="374">
        <f t="shared" si="56"/>
        <v>59.393999999999998</v>
      </c>
      <c r="F87" s="374">
        <f t="shared" si="56"/>
        <v>54.121000000000002</v>
      </c>
      <c r="G87" s="374">
        <f t="shared" si="56"/>
        <v>60.634000000000007</v>
      </c>
      <c r="H87" s="374">
        <f t="shared" si="56"/>
        <v>58.899000000000001</v>
      </c>
      <c r="I87" s="374">
        <f t="shared" si="56"/>
        <v>58.471999999999994</v>
      </c>
      <c r="J87" s="374">
        <f t="shared" si="56"/>
        <v>60.265999999999998</v>
      </c>
      <c r="K87" s="374">
        <f t="shared" si="56"/>
        <v>64.531999999999996</v>
      </c>
      <c r="L87" s="374">
        <f t="shared" si="56"/>
        <v>71.995999999999995</v>
      </c>
      <c r="M87" s="374">
        <f>SUM(M81:M86)</f>
        <v>70.155722618172604</v>
      </c>
      <c r="N87" s="374">
        <f t="shared" ref="N87:Q87" ca="1" si="57">SUM(N81:N86)</f>
        <v>76.54871370487308</v>
      </c>
      <c r="O87" s="374">
        <f t="shared" ca="1" si="57"/>
        <v>81.501244008945704</v>
      </c>
      <c r="P87" s="374">
        <f t="shared" ca="1" si="57"/>
        <v>86.104773378167579</v>
      </c>
      <c r="Q87" s="374">
        <f t="shared" ca="1" si="57"/>
        <v>91.049258574238024</v>
      </c>
    </row>
    <row r="88" spans="1:17">
      <c r="A88" s="344" t="str">
        <f>BS!A26</f>
        <v>Liabilities &amp; Shareholders' Equity</v>
      </c>
      <c r="C88" s="347"/>
      <c r="D88" s="347"/>
      <c r="E88" s="347"/>
      <c r="F88" s="347"/>
      <c r="G88" s="347"/>
      <c r="H88" s="347"/>
      <c r="I88" s="347"/>
      <c r="J88" s="347"/>
      <c r="K88" s="347"/>
      <c r="L88" s="347"/>
      <c r="O88" s="327"/>
    </row>
    <row r="89" spans="1:17">
      <c r="A89" s="344"/>
      <c r="C89" s="347"/>
      <c r="D89" s="347"/>
      <c r="E89" s="347"/>
      <c r="F89" s="347"/>
      <c r="G89" s="347"/>
      <c r="H89" s="347"/>
      <c r="I89" s="347"/>
      <c r="J89" s="347"/>
      <c r="K89" s="347"/>
      <c r="L89" s="695" t="s">
        <v>1197</v>
      </c>
      <c r="M89" s="708">
        <f>SUM(C90:L90)/SUM(C90:L90,C99:L99)</f>
        <v>0.13603263482367581</v>
      </c>
      <c r="O89" s="327"/>
    </row>
    <row r="90" spans="1:17">
      <c r="A90" s="347" t="str">
        <f>BS!A27</f>
        <v>ST Debt &amp; Curr. Portion LT Debt</v>
      </c>
      <c r="C90" s="347">
        <f>BS!K27</f>
        <v>1.944</v>
      </c>
      <c r="D90" s="347">
        <f>BS!J27</f>
        <v>1.627</v>
      </c>
      <c r="E90" s="347">
        <f>BS!I27</f>
        <v>1.5469999999999999</v>
      </c>
      <c r="F90" s="347">
        <f>BS!H27</f>
        <v>1.216</v>
      </c>
      <c r="G90" s="347">
        <f>BS!G27</f>
        <v>1.5629999999999999</v>
      </c>
      <c r="H90" s="347">
        <f>BS!F27</f>
        <v>1.131</v>
      </c>
      <c r="I90" s="347">
        <f>BS!E27</f>
        <v>2.242</v>
      </c>
      <c r="J90" s="347">
        <f>BS!D27</f>
        <v>2.4729999999999999</v>
      </c>
      <c r="K90" s="347">
        <f>BS!C27</f>
        <v>3.0880000000000001</v>
      </c>
      <c r="L90" s="347">
        <f>BS!B27</f>
        <v>2.41</v>
      </c>
      <c r="M90" s="327">
        <f>L90+$M$89*M59</f>
        <v>2.3963967365176324</v>
      </c>
      <c r="N90" s="327">
        <f t="shared" ref="N90:Q90" si="58">M90+$M$89*N59</f>
        <v>2.3827934730352647</v>
      </c>
      <c r="O90" s="327">
        <f t="shared" si="58"/>
        <v>2.3691902095528969</v>
      </c>
      <c r="P90" s="327">
        <f t="shared" si="58"/>
        <v>2.3555869460705292</v>
      </c>
      <c r="Q90" s="327">
        <f t="shared" si="58"/>
        <v>2.3419836825881615</v>
      </c>
    </row>
    <row r="91" spans="1:17">
      <c r="A91" s="678" t="str">
        <f>BS!A28</f>
        <v>Accounts Payable</v>
      </c>
      <c r="B91" s="679"/>
      <c r="C91" s="678">
        <f>BS!K28</f>
        <v>1.6</v>
      </c>
      <c r="D91" s="678">
        <f>BS!J28</f>
        <v>2.2930000000000001</v>
      </c>
      <c r="E91" s="678">
        <f>BS!I28</f>
        <v>2.2999999999999998</v>
      </c>
      <c r="F91" s="678">
        <f>BS!H28</f>
        <v>2.6219999999999999</v>
      </c>
      <c r="G91" s="678">
        <f>BS!G28</f>
        <v>2.7429999999999999</v>
      </c>
      <c r="H91" s="678">
        <f>BS!F28</f>
        <v>2.5720000000000001</v>
      </c>
      <c r="I91" s="678">
        <f>BS!E28</f>
        <v>3.6739999999999999</v>
      </c>
      <c r="J91" s="678">
        <f>BS!D28</f>
        <v>2.976</v>
      </c>
      <c r="K91" s="678">
        <f>BS!C28</f>
        <v>3.266</v>
      </c>
      <c r="L91" s="678">
        <f>BS!B28</f>
        <v>2.84</v>
      </c>
      <c r="O91" s="327"/>
    </row>
    <row r="92" spans="1:17">
      <c r="A92" s="680" t="s">
        <v>1198</v>
      </c>
      <c r="B92" s="679"/>
      <c r="C92" s="678"/>
      <c r="D92" s="681">
        <f t="shared" ref="D92:L92" si="59">365*AVERAGE(C91:D91)/(D8)</f>
        <v>23.07103425880825</v>
      </c>
      <c r="E92" s="681">
        <f t="shared" si="59"/>
        <v>26.745237867330331</v>
      </c>
      <c r="F92" s="681">
        <f t="shared" si="59"/>
        <v>28.120871552452805</v>
      </c>
      <c r="G92" s="681">
        <f t="shared" si="59"/>
        <v>34.407945600224913</v>
      </c>
      <c r="H92" s="681">
        <f t="shared" si="59"/>
        <v>33.88602620087336</v>
      </c>
      <c r="I92" s="681">
        <f t="shared" si="59"/>
        <v>36.755392899751712</v>
      </c>
      <c r="J92" s="681">
        <f t="shared" si="59"/>
        <v>34.176992396508027</v>
      </c>
      <c r="K92" s="681">
        <f t="shared" si="59"/>
        <v>31.138339164662142</v>
      </c>
      <c r="L92" s="681">
        <f t="shared" si="59"/>
        <v>47.156066184249504</v>
      </c>
      <c r="O92" s="327"/>
    </row>
    <row r="93" spans="1:17">
      <c r="A93" s="678" t="str">
        <f>BS!A29</f>
        <v>Income Tax Payable</v>
      </c>
      <c r="B93" s="679"/>
      <c r="C93" s="678">
        <f>BS!K29</f>
        <v>0.59399999999999997</v>
      </c>
      <c r="D93" s="678">
        <f>BS!J29</f>
        <v>0.58499999999999996</v>
      </c>
      <c r="E93" s="678">
        <f>BS!I29</f>
        <v>0.67300000000000004</v>
      </c>
      <c r="F93" s="678" t="str">
        <f>BS!H29</f>
        <v>-</v>
      </c>
      <c r="G93" s="678" t="str">
        <f>BS!G29</f>
        <v>-</v>
      </c>
      <c r="H93" s="678" t="str">
        <f>BS!F29</f>
        <v>-</v>
      </c>
      <c r="I93" s="678" t="str">
        <f>BS!E29</f>
        <v>-</v>
      </c>
      <c r="J93" s="678" t="str">
        <f>BS!D29</f>
        <v>-</v>
      </c>
      <c r="K93" s="678" t="str">
        <f>BS!C29</f>
        <v>-</v>
      </c>
      <c r="L93" s="678" t="str">
        <f>BS!B29</f>
        <v>-</v>
      </c>
      <c r="O93" s="327"/>
    </row>
    <row r="94" spans="1:17">
      <c r="A94" s="678" t="str">
        <f>BS!A30</f>
        <v>Other Current Liabilities</v>
      </c>
      <c r="B94" s="679"/>
      <c r="C94" s="678">
        <f>BS!K30</f>
        <v>8.5630000000000006</v>
      </c>
      <c r="D94" s="678">
        <f>BS!J30</f>
        <v>8.7650000000000006</v>
      </c>
      <c r="E94" s="678">
        <f>BS!I30</f>
        <v>9.6319999999999997</v>
      </c>
      <c r="F94" s="678">
        <f>BS!H30</f>
        <v>13.041</v>
      </c>
      <c r="G94" s="678">
        <f>BS!G30</f>
        <v>13.22</v>
      </c>
      <c r="H94" s="678">
        <f>BS!F30</f>
        <v>11.536</v>
      </c>
      <c r="I94" s="678">
        <f>BS!E30</f>
        <v>12.657</v>
      </c>
      <c r="J94" s="678">
        <f>BS!D30</f>
        <v>13.129</v>
      </c>
      <c r="K94" s="678">
        <f>BS!C30</f>
        <v>13.85</v>
      </c>
      <c r="L94" s="678">
        <f>BS!B30</f>
        <v>10.677</v>
      </c>
      <c r="O94" s="327"/>
    </row>
    <row r="95" spans="1:17">
      <c r="A95" s="680" t="s">
        <v>1199</v>
      </c>
      <c r="B95" s="679"/>
      <c r="C95" s="678"/>
      <c r="D95" s="681">
        <f t="shared" ref="D95:L95" si="60">365*AVERAGE(C94:D94)/(D8)</f>
        <v>102.69069654164639</v>
      </c>
      <c r="E95" s="681">
        <f t="shared" si="60"/>
        <v>107.12652755176924</v>
      </c>
      <c r="F95" s="681">
        <f t="shared" si="60"/>
        <v>129.53769213912281</v>
      </c>
      <c r="G95" s="681">
        <f>365*AVERAGE(F94:G94)/(G8)</f>
        <v>168.42256466123141</v>
      </c>
      <c r="H95" s="681">
        <f t="shared" si="60"/>
        <v>157.83301310043669</v>
      </c>
      <c r="I95" s="681">
        <f t="shared" si="60"/>
        <v>142.36683003901589</v>
      </c>
      <c r="J95" s="681">
        <f t="shared" si="60"/>
        <v>132.52450014080543</v>
      </c>
      <c r="K95" s="681">
        <f t="shared" si="60"/>
        <v>134.5852695167286</v>
      </c>
      <c r="L95" s="681">
        <f t="shared" si="60"/>
        <v>189.41972409123608</v>
      </c>
      <c r="O95" s="327"/>
    </row>
    <row r="96" spans="1:17">
      <c r="A96" s="680" t="s">
        <v>1200</v>
      </c>
      <c r="B96" s="679"/>
      <c r="C96" s="678"/>
      <c r="D96" s="681">
        <f>D92+D95</f>
        <v>125.76173080045464</v>
      </c>
      <c r="E96" s="681">
        <f t="shared" ref="E96:K96" si="61">E92+E95</f>
        <v>133.87176541909957</v>
      </c>
      <c r="F96" s="681">
        <f t="shared" si="61"/>
        <v>157.65856369157561</v>
      </c>
      <c r="G96" s="681">
        <f>G92+G95</f>
        <v>202.83051026145631</v>
      </c>
      <c r="H96" s="681">
        <f t="shared" si="61"/>
        <v>191.71903930131003</v>
      </c>
      <c r="I96" s="681">
        <f t="shared" si="61"/>
        <v>179.12222293876761</v>
      </c>
      <c r="J96" s="681">
        <f t="shared" si="61"/>
        <v>166.70149253731347</v>
      </c>
      <c r="K96" s="681">
        <f t="shared" si="61"/>
        <v>165.72360868139074</v>
      </c>
      <c r="L96" s="681">
        <f>L92+L95</f>
        <v>236.57579027548559</v>
      </c>
      <c r="M96" s="682">
        <f>AVERAGE(G96:L96)*0.95</f>
        <v>180.92317179932292</v>
      </c>
      <c r="N96" s="682">
        <f t="shared" ref="N96:Q96" si="62">M96</f>
        <v>180.92317179932292</v>
      </c>
      <c r="O96" s="682">
        <f t="shared" si="62"/>
        <v>180.92317179932292</v>
      </c>
      <c r="P96" s="682">
        <f t="shared" si="62"/>
        <v>180.92317179932292</v>
      </c>
      <c r="Q96" s="682">
        <f t="shared" si="62"/>
        <v>180.92317179932292</v>
      </c>
    </row>
    <row r="97" spans="1:18">
      <c r="A97" s="344" t="s">
        <v>1201</v>
      </c>
      <c r="B97" s="344"/>
      <c r="C97" s="344">
        <f>SUM(C91,C93:C94)</f>
        <v>10.757000000000001</v>
      </c>
      <c r="D97" s="344">
        <f t="shared" ref="D97:L97" si="63">SUM(D91,D93:D94)</f>
        <v>11.643000000000001</v>
      </c>
      <c r="E97" s="344">
        <f t="shared" si="63"/>
        <v>12.605</v>
      </c>
      <c r="F97" s="344">
        <f t="shared" si="63"/>
        <v>15.663</v>
      </c>
      <c r="G97" s="344">
        <f t="shared" si="63"/>
        <v>15.963000000000001</v>
      </c>
      <c r="H97" s="344">
        <f t="shared" si="63"/>
        <v>14.108000000000001</v>
      </c>
      <c r="I97" s="344">
        <f t="shared" si="63"/>
        <v>16.331</v>
      </c>
      <c r="J97" s="344">
        <f t="shared" si="63"/>
        <v>16.105</v>
      </c>
      <c r="K97" s="344">
        <f t="shared" si="63"/>
        <v>17.116</v>
      </c>
      <c r="L97" s="344">
        <f t="shared" si="63"/>
        <v>13.516999999999999</v>
      </c>
      <c r="M97" s="380">
        <f>M96*M8/365</f>
        <v>9.4951452017014866</v>
      </c>
      <c r="N97" s="380">
        <f>N96*N8/365</f>
        <v>12.311649347306414</v>
      </c>
      <c r="O97" s="380">
        <f>O96*O8/365</f>
        <v>13.32654312767</v>
      </c>
      <c r="P97" s="380">
        <f>P96*P8/365</f>
        <v>13.66102174322878</v>
      </c>
      <c r="Q97" s="380">
        <f>Q96*Q8/365</f>
        <v>13.962275153790497</v>
      </c>
    </row>
    <row r="98" spans="1:18" s="372" customFormat="1">
      <c r="A98" s="344" t="str">
        <f>BS!A31</f>
        <v>Total Current Liabilities</v>
      </c>
      <c r="C98" s="380">
        <f t="shared" ref="C98" si="64">SUM(C90,C97)</f>
        <v>12.701000000000001</v>
      </c>
      <c r="D98" s="380">
        <f t="shared" ref="D98" si="65">SUM(D90,D97)</f>
        <v>13.270000000000001</v>
      </c>
      <c r="E98" s="380">
        <f t="shared" ref="E98" si="66">SUM(E90,E97)</f>
        <v>14.152000000000001</v>
      </c>
      <c r="F98" s="380">
        <f t="shared" ref="F98" si="67">SUM(F90,F97)</f>
        <v>16.879000000000001</v>
      </c>
      <c r="G98" s="380">
        <f t="shared" ref="G98" si="68">SUM(G90,G97)</f>
        <v>17.526</v>
      </c>
      <c r="H98" s="380">
        <f t="shared" ref="H98" si="69">SUM(H90,H97)</f>
        <v>15.239000000000001</v>
      </c>
      <c r="I98" s="380">
        <f t="shared" ref="I98" si="70">SUM(I90,I97)</f>
        <v>18.573</v>
      </c>
      <c r="J98" s="380">
        <f t="shared" ref="J98" si="71">SUM(J90,J97)</f>
        <v>18.577999999999999</v>
      </c>
      <c r="K98" s="380">
        <f t="shared" ref="K98:L98" si="72">SUM(K90,K97)</f>
        <v>20.204000000000001</v>
      </c>
      <c r="L98" s="380">
        <f t="shared" si="72"/>
        <v>15.927</v>
      </c>
      <c r="M98" s="380">
        <f>SUM(M90,M97)</f>
        <v>11.891541938219119</v>
      </c>
      <c r="N98" s="380">
        <f t="shared" ref="N98:P98" si="73">SUM(N90,N97)</f>
        <v>14.694442820341678</v>
      </c>
      <c r="O98" s="380">
        <f t="shared" si="73"/>
        <v>15.695733337222897</v>
      </c>
      <c r="P98" s="380">
        <f t="shared" si="73"/>
        <v>16.016608689299311</v>
      </c>
      <c r="Q98" s="380">
        <f>SUM(Q90,Q97)</f>
        <v>16.304258836378658</v>
      </c>
      <c r="R98" s="3"/>
    </row>
    <row r="99" spans="1:18">
      <c r="A99" s="347" t="s">
        <v>1202</v>
      </c>
      <c r="C99" s="375">
        <f>SUM('DAL-US BS-adj'!L28:L29)</f>
        <v>11.847</v>
      </c>
      <c r="D99" s="375">
        <f>SUM('DAL-US BS-adj'!K28:K29)</f>
        <v>11.082000000000001</v>
      </c>
      <c r="E99" s="375">
        <f>SUM('DAL-US BS-adj'!J28:J29)</f>
        <v>9.7949999999999999</v>
      </c>
      <c r="F99" s="375">
        <f>SUM('DAL-US BS-adj'!I28:I29)</f>
        <v>8.5609999999999999</v>
      </c>
      <c r="G99" s="375">
        <f>SUM('DAL-US BS-adj'!H28:H29)</f>
        <v>6.766</v>
      </c>
      <c r="H99" s="375">
        <f>SUM('DAL-US BS-adj'!G28:G29)</f>
        <v>6.2009999999999996</v>
      </c>
      <c r="I99" s="375">
        <f>SUM('DAL-US BS-adj'!F28:F29)</f>
        <v>6.5919999999999996</v>
      </c>
      <c r="J99" s="375">
        <f>SUM('DAL-US BS-adj'!E28:E29)</f>
        <v>14.054</v>
      </c>
      <c r="K99" s="375">
        <f>SUM('DAL-US BS-adj'!D28:D29)</f>
        <v>14.167</v>
      </c>
      <c r="L99" s="375">
        <f>SUM('DAL-US BS-adj'!C28:C29)</f>
        <v>33.137999999999998</v>
      </c>
      <c r="M99" s="327">
        <f>L99+(1-$M$89)*M59</f>
        <v>33.051603263482363</v>
      </c>
      <c r="N99" s="327">
        <f t="shared" ref="N99:Q99" si="74">M99+(1-$M$89)*N59</f>
        <v>32.965206526964728</v>
      </c>
      <c r="O99" s="327">
        <f t="shared" si="74"/>
        <v>32.878809790447093</v>
      </c>
      <c r="P99" s="327">
        <f t="shared" si="74"/>
        <v>32.792413053929458</v>
      </c>
      <c r="Q99" s="327">
        <f t="shared" si="74"/>
        <v>32.706016317411823</v>
      </c>
    </row>
    <row r="100" spans="1:18">
      <c r="A100" s="347" t="str">
        <f>BS!A33</f>
        <v>Provision for Risks &amp; Charges</v>
      </c>
      <c r="C100" s="347">
        <f>BS!K33</f>
        <v>14.2</v>
      </c>
      <c r="D100" s="347">
        <f>BS!J33</f>
        <v>16.004999999999999</v>
      </c>
      <c r="E100" s="347">
        <f>BS!I33</f>
        <v>12.391999999999999</v>
      </c>
      <c r="F100" s="347">
        <f>BS!H33</f>
        <v>15.138</v>
      </c>
      <c r="G100" s="347">
        <f>BS!G33</f>
        <v>13.855</v>
      </c>
      <c r="H100" s="347">
        <f>BS!F33</f>
        <v>13.378</v>
      </c>
      <c r="I100" s="347">
        <f>BS!E33</f>
        <v>9.81</v>
      </c>
      <c r="J100" s="347">
        <f>BS!D33</f>
        <v>9.1630000000000003</v>
      </c>
      <c r="K100" s="347">
        <f>BS!C33</f>
        <v>8.452</v>
      </c>
      <c r="L100" s="347">
        <f>BS!B33</f>
        <v>10.63</v>
      </c>
      <c r="M100" s="327">
        <f>IF(ISNUMBER(L100),L100,0)</f>
        <v>10.63</v>
      </c>
      <c r="N100" s="327">
        <f>M100</f>
        <v>10.63</v>
      </c>
      <c r="O100" s="327">
        <f t="shared" ref="O100:Q100" si="75">N100</f>
        <v>10.63</v>
      </c>
      <c r="P100" s="327">
        <f t="shared" si="75"/>
        <v>10.63</v>
      </c>
      <c r="Q100" s="327">
        <f t="shared" si="75"/>
        <v>10.63</v>
      </c>
    </row>
    <row r="101" spans="1:18">
      <c r="A101" s="347" t="str">
        <f>BS!A34</f>
        <v>Deferred Tax Liabilities</v>
      </c>
      <c r="C101" s="347">
        <f>BS!K34</f>
        <v>2.028</v>
      </c>
      <c r="D101" s="347">
        <f>BS!J34</f>
        <v>2.0470000000000002</v>
      </c>
      <c r="E101" s="347">
        <f>BS!I34</f>
        <v>7.1420000000000003</v>
      </c>
      <c r="F101" s="347" t="str">
        <f>BS!H34</f>
        <v>-</v>
      </c>
      <c r="G101" s="347">
        <f>BS!G34</f>
        <v>7.5</v>
      </c>
      <c r="H101" s="347">
        <f>BS!F34</f>
        <v>7.6379999999999999</v>
      </c>
      <c r="I101" s="347">
        <f>BS!E34</f>
        <v>5.18</v>
      </c>
      <c r="J101" s="347" t="str">
        <f>BS!D34</f>
        <v>-</v>
      </c>
      <c r="K101" s="347">
        <f>BS!C34</f>
        <v>1.456</v>
      </c>
      <c r="L101" s="347" t="str">
        <f>BS!B34</f>
        <v>-</v>
      </c>
      <c r="M101" s="327">
        <f>IF(ISNUMBER(L101),L101+M39,M39)</f>
        <v>0</v>
      </c>
      <c r="N101" s="327">
        <f>M101+N39</f>
        <v>0</v>
      </c>
      <c r="O101" s="327">
        <f>N101+O39</f>
        <v>0</v>
      </c>
      <c r="P101" s="327">
        <f>O101+P39</f>
        <v>0</v>
      </c>
      <c r="Q101" s="327">
        <f>P101+Q39</f>
        <v>0</v>
      </c>
      <c r="R101" s="372"/>
    </row>
    <row r="102" spans="1:18">
      <c r="A102" s="347" t="str">
        <f>BS!A35</f>
        <v>Other Liabilities</v>
      </c>
      <c r="C102" s="347">
        <f>BS!K35</f>
        <v>4.1189999999999998</v>
      </c>
      <c r="D102" s="347">
        <f>BS!J35</f>
        <v>4.2770000000000001</v>
      </c>
      <c r="E102" s="347">
        <f>BS!I35</f>
        <v>4.2699999999999996</v>
      </c>
      <c r="F102" s="347">
        <f>BS!H35</f>
        <v>4.7300000000000004</v>
      </c>
      <c r="G102" s="347">
        <f>BS!G35</f>
        <v>4.1369999999999996</v>
      </c>
      <c r="H102" s="347">
        <f>BS!F35</f>
        <v>4.1559999999999997</v>
      </c>
      <c r="I102" s="347">
        <f>BS!E35</f>
        <v>4.407</v>
      </c>
      <c r="J102" s="347">
        <f>BS!D35</f>
        <v>4.7839999999999998</v>
      </c>
      <c r="K102" s="347">
        <f>BS!C35</f>
        <v>4.8949999999999996</v>
      </c>
      <c r="L102" s="347">
        <f>BS!B35</f>
        <v>10.766999999999999</v>
      </c>
      <c r="M102" s="327">
        <f>L102</f>
        <v>10.766999999999999</v>
      </c>
      <c r="N102" s="327">
        <f t="shared" ref="N102:Q102" si="76">M102</f>
        <v>10.766999999999999</v>
      </c>
      <c r="O102" s="327">
        <f t="shared" si="76"/>
        <v>10.766999999999999</v>
      </c>
      <c r="P102" s="327">
        <f t="shared" si="76"/>
        <v>10.766999999999999</v>
      </c>
      <c r="Q102" s="327">
        <f t="shared" si="76"/>
        <v>10.766999999999999</v>
      </c>
    </row>
    <row r="103" spans="1:18">
      <c r="A103" s="344" t="str">
        <f>BS!A36</f>
        <v>Total Liabilities</v>
      </c>
      <c r="C103" s="344">
        <f>SUM(C98:C102)</f>
        <v>44.895000000000003</v>
      </c>
      <c r="D103" s="344">
        <f t="shared" ref="D103:L103" si="77">SUM(D98:D102)</f>
        <v>46.680999999999997</v>
      </c>
      <c r="E103" s="344">
        <f t="shared" si="77"/>
        <v>47.751000000000005</v>
      </c>
      <c r="F103" s="344">
        <f t="shared" si="77"/>
        <v>45.308000000000007</v>
      </c>
      <c r="G103" s="344">
        <f t="shared" si="77"/>
        <v>49.784000000000006</v>
      </c>
      <c r="H103" s="344">
        <f t="shared" si="77"/>
        <v>46.611999999999995</v>
      </c>
      <c r="I103" s="344">
        <f t="shared" si="77"/>
        <v>44.561999999999998</v>
      </c>
      <c r="J103" s="344">
        <f t="shared" si="77"/>
        <v>46.579000000000001</v>
      </c>
      <c r="K103" s="344">
        <f t="shared" si="77"/>
        <v>49.174000000000007</v>
      </c>
      <c r="L103" s="344">
        <f t="shared" si="77"/>
        <v>70.462000000000003</v>
      </c>
      <c r="M103" s="344">
        <f t="shared" ref="M103" si="78">SUM(M98:M102)</f>
        <v>66.340145201701489</v>
      </c>
      <c r="N103" s="344">
        <f t="shared" ref="N103" si="79">SUM(N98:N102)</f>
        <v>69.056649347306404</v>
      </c>
      <c r="O103" s="344">
        <f t="shared" ref="O103" si="80">SUM(O98:O102)</f>
        <v>69.971543127669989</v>
      </c>
      <c r="P103" s="344">
        <f t="shared" ref="P103" si="81">SUM(P98:P102)</f>
        <v>70.206021743228774</v>
      </c>
      <c r="Q103" s="344">
        <f t="shared" ref="Q103" si="82">SUM(Q98:Q102)</f>
        <v>70.407275153790479</v>
      </c>
    </row>
    <row r="104" spans="1:18" customFormat="1">
      <c r="A104" s="709" t="str">
        <f>BS!A40</f>
        <v>Total Equity</v>
      </c>
      <c r="C104" s="375">
        <f>'DAL-US BS-adj'!L34</f>
        <v>-1.3959999999999999</v>
      </c>
      <c r="D104" s="375">
        <f>'DAL-US BS-adj'!K34</f>
        <v>-2.1309999999999998</v>
      </c>
      <c r="E104" s="375">
        <f>'DAL-US BS-adj'!J34</f>
        <v>11.643000000000001</v>
      </c>
      <c r="F104" s="375">
        <f>'DAL-US BS-adj'!I34</f>
        <v>8.8130000000000006</v>
      </c>
      <c r="G104" s="375">
        <f>'DAL-US BS-adj'!H34</f>
        <v>10.85</v>
      </c>
      <c r="H104" s="375">
        <f>'DAL-US BS-adj'!G34</f>
        <v>12.287000000000001</v>
      </c>
      <c r="I104" s="375">
        <f>'DAL-US BS-adj'!F34</f>
        <v>13.91</v>
      </c>
      <c r="J104" s="375">
        <f>'DAL-US BS-adj'!E34</f>
        <v>13.686999999999999</v>
      </c>
      <c r="K104" s="375">
        <f>'DAL-US BS-adj'!D34</f>
        <v>15.358000000000001</v>
      </c>
      <c r="L104" s="375">
        <f>'DAL-US BS-adj'!C34</f>
        <v>1.534</v>
      </c>
      <c r="M104" s="16">
        <f>L104+M37+M57+M58+M60+M40</f>
        <v>3.8155774164711076</v>
      </c>
      <c r="N104" s="16">
        <f ca="1">M104+N37+N57+N58+N60+N40</f>
        <v>7.4920643575666652</v>
      </c>
      <c r="O104" s="16">
        <f ca="1">N104+O37+O57+O58+O60+O40</f>
        <v>11.529700881275705</v>
      </c>
      <c r="P104" s="16">
        <f ca="1">O104+P37+P57+P58+P60+P40</f>
        <v>15.898751634938797</v>
      </c>
      <c r="Q104" s="16">
        <f ca="1">P104+Q37+Q57+Q58+Q60+Q40</f>
        <v>20.641983420447524</v>
      </c>
      <c r="R104" s="3"/>
    </row>
    <row r="105" spans="1:18">
      <c r="A105" s="374" t="str">
        <f>BS!A41</f>
        <v>Total Liabilities &amp; Shareholders' Equity</v>
      </c>
      <c r="C105" s="374">
        <f t="shared" ref="C105:K105" si="83">SUM(C103:C104)</f>
        <v>43.499000000000002</v>
      </c>
      <c r="D105" s="374">
        <f t="shared" si="83"/>
        <v>44.55</v>
      </c>
      <c r="E105" s="374">
        <f t="shared" si="83"/>
        <v>59.394000000000005</v>
      </c>
      <c r="F105" s="374">
        <f t="shared" si="83"/>
        <v>54.121000000000009</v>
      </c>
      <c r="G105" s="374">
        <f t="shared" si="83"/>
        <v>60.634000000000007</v>
      </c>
      <c r="H105" s="374">
        <f t="shared" si="83"/>
        <v>58.898999999999994</v>
      </c>
      <c r="I105" s="374">
        <f t="shared" si="83"/>
        <v>58.471999999999994</v>
      </c>
      <c r="J105" s="374">
        <f t="shared" si="83"/>
        <v>60.265999999999998</v>
      </c>
      <c r="K105" s="374">
        <f t="shared" si="83"/>
        <v>64.532000000000011</v>
      </c>
      <c r="L105" s="374">
        <f>SUM(L103:L104)</f>
        <v>71.996000000000009</v>
      </c>
      <c r="M105" s="374">
        <f>M103+M104</f>
        <v>70.155722618172604</v>
      </c>
      <c r="N105" s="374">
        <f t="shared" ref="N105:Q105" ca="1" si="84">N103+N104</f>
        <v>76.548713704873066</v>
      </c>
      <c r="O105" s="374">
        <f t="shared" ca="1" si="84"/>
        <v>81.50124400894569</v>
      </c>
      <c r="P105" s="374">
        <f t="shared" ca="1" si="84"/>
        <v>86.104773378167579</v>
      </c>
      <c r="Q105" s="374">
        <f t="shared" ca="1" si="84"/>
        <v>91.049258574237996</v>
      </c>
    </row>
    <row r="106" spans="1:18">
      <c r="A106" s="327" t="s">
        <v>1203</v>
      </c>
      <c r="C106" s="327">
        <f t="shared" ref="C106" si="85">C105-C87</f>
        <v>0</v>
      </c>
      <c r="D106" s="327">
        <f t="shared" ref="D106" si="86">D105-D87</f>
        <v>0</v>
      </c>
      <c r="E106" s="327">
        <f t="shared" ref="E106" si="87">E105-E87</f>
        <v>0</v>
      </c>
      <c r="F106" s="327">
        <f t="shared" ref="F106" si="88">F105-F87</f>
        <v>0</v>
      </c>
      <c r="G106" s="327">
        <f t="shared" ref="G106" si="89">G105-G87</f>
        <v>0</v>
      </c>
      <c r="H106" s="327">
        <f t="shared" ref="H106" si="90">H105-H87</f>
        <v>0</v>
      </c>
      <c r="I106" s="327">
        <f t="shared" ref="I106" si="91">I105-I87</f>
        <v>0</v>
      </c>
      <c r="J106" s="327">
        <f t="shared" ref="J106" si="92">J105-J87</f>
        <v>0</v>
      </c>
      <c r="K106" s="327">
        <f t="shared" ref="K106" si="93">K105-K87</f>
        <v>0</v>
      </c>
      <c r="L106" s="327">
        <f t="shared" ref="L106" si="94">L105-L87</f>
        <v>0</v>
      </c>
      <c r="M106" s="327">
        <f>M105-M87</f>
        <v>0</v>
      </c>
      <c r="N106" s="327">
        <f t="shared" ref="N106:Q106" ca="1" si="95">N105-N87</f>
        <v>0</v>
      </c>
      <c r="O106" s="327">
        <f t="shared" ca="1" si="95"/>
        <v>0</v>
      </c>
      <c r="P106" s="327">
        <f t="shared" ca="1" si="95"/>
        <v>0</v>
      </c>
      <c r="Q106" s="327">
        <f t="shared" ca="1" si="95"/>
        <v>0</v>
      </c>
    </row>
    <row r="107" spans="1:18">
      <c r="A107" s="353"/>
      <c r="C107" s="376"/>
      <c r="D107" s="376"/>
      <c r="E107" s="376"/>
      <c r="F107" s="376"/>
      <c r="G107" s="376"/>
      <c r="H107" s="376"/>
      <c r="I107" s="376"/>
      <c r="J107" s="376"/>
      <c r="K107" s="376"/>
      <c r="L107" s="376"/>
      <c r="M107" s="327"/>
      <c r="N107" s="327"/>
      <c r="O107" s="327"/>
      <c r="P107" s="327"/>
      <c r="Q107" s="327"/>
    </row>
    <row r="108" spans="1:18">
      <c r="A108" s="385"/>
      <c r="C108" s="523"/>
      <c r="D108" s="523"/>
      <c r="E108" s="523"/>
      <c r="F108" s="523"/>
      <c r="G108" s="523"/>
      <c r="H108" s="523"/>
      <c r="I108" s="523"/>
      <c r="J108" s="523"/>
      <c r="K108" s="523"/>
      <c r="L108" s="523"/>
      <c r="M108" s="327"/>
    </row>
    <row r="109" spans="1:18">
      <c r="A109" s="385"/>
      <c r="C109" s="523"/>
      <c r="D109" s="523"/>
      <c r="E109" s="523"/>
      <c r="F109" s="523"/>
      <c r="G109" s="523"/>
      <c r="H109" s="523"/>
      <c r="I109" s="523"/>
      <c r="J109" s="523"/>
      <c r="K109" s="523"/>
      <c r="L109" s="523"/>
      <c r="M109" s="327"/>
      <c r="O109" s="385"/>
    </row>
    <row r="110" spans="1:18">
      <c r="A110" s="385"/>
      <c r="C110" s="523"/>
      <c r="D110" s="523"/>
      <c r="E110" s="523"/>
      <c r="F110" s="523"/>
      <c r="G110" s="523"/>
      <c r="H110" s="523"/>
      <c r="I110" s="523"/>
      <c r="J110" s="523"/>
      <c r="K110" s="523"/>
      <c r="L110" s="523"/>
      <c r="O110" s="385"/>
    </row>
    <row r="111" spans="1:18">
      <c r="A111" s="522"/>
      <c r="C111" s="524"/>
      <c r="D111" s="524"/>
      <c r="E111" s="524"/>
      <c r="F111" s="524"/>
      <c r="G111" s="524"/>
      <c r="H111" s="523"/>
      <c r="I111" s="523"/>
      <c r="J111" s="523"/>
      <c r="K111" s="524"/>
      <c r="L111" s="524"/>
      <c r="O111" s="522"/>
    </row>
    <row r="112" spans="1:18">
      <c r="A112" s="522"/>
      <c r="C112" s="327"/>
      <c r="D112" s="327"/>
      <c r="E112" s="327"/>
      <c r="F112" s="327"/>
      <c r="G112" s="327"/>
      <c r="H112" s="523"/>
      <c r="I112" s="523"/>
      <c r="J112" s="523"/>
      <c r="K112" s="327"/>
      <c r="L112" s="327"/>
      <c r="O112" s="522"/>
    </row>
    <row r="113" spans="1:21">
      <c r="A113" s="522"/>
      <c r="C113" s="327"/>
      <c r="D113" s="327"/>
      <c r="E113" s="327"/>
      <c r="F113" s="327"/>
      <c r="G113" s="327"/>
      <c r="H113" s="523"/>
      <c r="I113" s="523"/>
      <c r="J113" s="523"/>
      <c r="K113" s="327"/>
      <c r="L113" s="327"/>
      <c r="O113" s="522"/>
    </row>
    <row r="114" spans="1:21">
      <c r="A114" s="385"/>
      <c r="C114" s="523"/>
      <c r="D114" s="523"/>
      <c r="E114" s="523"/>
      <c r="F114" s="523"/>
      <c r="G114" s="523"/>
      <c r="H114" s="523"/>
      <c r="I114" s="523"/>
      <c r="J114" s="523"/>
      <c r="K114" s="523"/>
      <c r="L114" s="523"/>
      <c r="O114" s="385"/>
    </row>
    <row r="115" spans="1:21">
      <c r="A115" s="385"/>
      <c r="C115" s="523"/>
      <c r="D115" s="523"/>
      <c r="E115" s="523"/>
      <c r="F115" s="523"/>
      <c r="G115" s="523"/>
      <c r="H115" s="523"/>
      <c r="I115" s="523"/>
      <c r="J115" s="523"/>
      <c r="K115" s="523"/>
      <c r="L115" s="523"/>
      <c r="O115" s="385"/>
    </row>
    <row r="116" spans="1:21">
      <c r="A116" s="385"/>
      <c r="C116" s="523"/>
      <c r="D116" s="523"/>
      <c r="E116" s="523"/>
      <c r="F116" s="523"/>
      <c r="G116" s="523"/>
      <c r="H116" s="523"/>
      <c r="I116" s="523"/>
      <c r="J116" s="523"/>
      <c r="K116" s="523"/>
      <c r="L116" s="523"/>
      <c r="O116" s="385"/>
    </row>
    <row r="117" spans="1:21">
      <c r="A117" s="522"/>
      <c r="C117" s="524"/>
      <c r="D117" s="524"/>
      <c r="E117" s="524"/>
      <c r="F117" s="524"/>
      <c r="G117" s="524"/>
      <c r="H117" s="523"/>
      <c r="I117" s="523"/>
      <c r="J117" s="523"/>
      <c r="K117" s="524"/>
      <c r="L117" s="524"/>
      <c r="O117" s="522"/>
    </row>
    <row r="118" spans="1:21">
      <c r="A118" s="522"/>
      <c r="C118" s="327"/>
      <c r="D118" s="327"/>
      <c r="E118" s="327"/>
      <c r="F118" s="327"/>
      <c r="G118" s="327"/>
      <c r="H118" s="523"/>
      <c r="I118" s="523"/>
      <c r="J118" s="523"/>
      <c r="K118" s="327"/>
      <c r="L118" s="327"/>
      <c r="O118" s="522"/>
    </row>
    <row r="119" spans="1:21">
      <c r="A119" s="526"/>
      <c r="C119" s="327"/>
      <c r="D119" s="327"/>
      <c r="E119" s="327"/>
      <c r="F119" s="327"/>
      <c r="G119" s="327"/>
      <c r="H119" s="523"/>
      <c r="I119" s="523"/>
      <c r="J119" s="523"/>
      <c r="K119" s="327"/>
      <c r="L119" s="327"/>
      <c r="O119" s="526"/>
    </row>
    <row r="120" spans="1:21">
      <c r="A120" s="372"/>
      <c r="C120" s="525"/>
      <c r="D120" s="525"/>
      <c r="E120" s="525"/>
      <c r="F120" s="525"/>
      <c r="G120" s="525"/>
      <c r="H120" s="523"/>
      <c r="I120" s="523"/>
      <c r="J120" s="523"/>
      <c r="K120" s="525"/>
      <c r="L120" s="525"/>
      <c r="O120" s="372"/>
    </row>
    <row r="121" spans="1:21">
      <c r="A121" s="372"/>
      <c r="C121" s="527"/>
      <c r="D121" s="527"/>
      <c r="E121" s="527"/>
      <c r="F121" s="527"/>
      <c r="G121" s="527"/>
      <c r="H121" s="523"/>
      <c r="I121" s="523"/>
      <c r="J121" s="523"/>
      <c r="K121" s="527"/>
      <c r="L121" s="527"/>
      <c r="O121" s="372"/>
    </row>
    <row r="122" spans="1:21">
      <c r="A122" s="377"/>
      <c r="C122" s="327"/>
      <c r="D122" s="327"/>
      <c r="E122" s="327"/>
      <c r="F122" s="327"/>
      <c r="G122" s="327"/>
      <c r="H122" s="523"/>
      <c r="I122" s="523"/>
      <c r="J122" s="523"/>
      <c r="K122" s="327"/>
      <c r="L122" s="327"/>
    </row>
    <row r="123" spans="1:21">
      <c r="A123" s="526"/>
      <c r="C123" s="327"/>
      <c r="D123" s="327"/>
      <c r="E123" s="327"/>
      <c r="F123" s="327"/>
      <c r="H123" s="523"/>
      <c r="I123" s="523"/>
      <c r="J123" s="523"/>
      <c r="K123" s="327"/>
      <c r="L123" s="327"/>
      <c r="U123" s="327"/>
    </row>
    <row r="124" spans="1:21">
      <c r="A124" s="327"/>
      <c r="H124" s="523"/>
      <c r="I124" s="523"/>
      <c r="J124" s="523"/>
    </row>
    <row r="125" spans="1:21">
      <c r="A125" s="327"/>
      <c r="H125" s="523"/>
      <c r="I125" s="523"/>
      <c r="J125" s="523"/>
    </row>
    <row r="126" spans="1:21">
      <c r="A126" s="327"/>
    </row>
    <row r="127" spans="1:21">
      <c r="A127" s="327"/>
    </row>
    <row r="128" spans="1:2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row r="163" spans="1:1">
      <c r="A163" s="327"/>
    </row>
    <row r="164" spans="1:1">
      <c r="A164" s="327"/>
    </row>
    <row r="165" spans="1:1">
      <c r="A165" s="327"/>
    </row>
    <row r="166" spans="1:1">
      <c r="A166" s="327"/>
    </row>
    <row r="167" spans="1:1">
      <c r="A167" s="327"/>
    </row>
    <row r="168" spans="1:1">
      <c r="A168" s="327"/>
    </row>
    <row r="169" spans="1:1">
      <c r="A169" s="327"/>
    </row>
    <row r="170" spans="1:1">
      <c r="A170" s="327"/>
    </row>
    <row r="171" spans="1:1">
      <c r="A171" s="327"/>
    </row>
    <row r="172" spans="1:1">
      <c r="A172" s="327"/>
    </row>
    <row r="173" spans="1:1">
      <c r="A173" s="327"/>
    </row>
    <row r="174" spans="1:1">
      <c r="A174" s="327"/>
    </row>
    <row r="175" spans="1:1">
      <c r="A175" s="327"/>
    </row>
    <row r="176" spans="1:1">
      <c r="A176" s="327"/>
    </row>
    <row r="177" spans="1:1">
      <c r="A177" s="327"/>
    </row>
  </sheetData>
  <pageMargins left="0.7" right="0.7" top="0.78740157499999996" bottom="0.78740157499999996" header="0.3" footer="0.3"/>
  <pageSetup orientation="portrait"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31">
    <tabColor theme="2" tint="-0.749992370372631"/>
  </sheetPr>
  <dimension ref="A1:Y162"/>
  <sheetViews>
    <sheetView zoomScaleNormal="100" workbookViewId="0">
      <selection activeCell="Q86" sqref="Q86"/>
    </sheetView>
  </sheetViews>
  <sheetFormatPr defaultColWidth="11.28515625" defaultRowHeight="15"/>
  <cols>
    <col min="1" max="1" width="40.7109375" style="3" bestFit="1" customWidth="1"/>
    <col min="2" max="2" width="5.7109375" style="3" customWidth="1"/>
    <col min="3" max="12" width="11.28515625" style="3" customWidth="1"/>
    <col min="13" max="16384" width="11.28515625" style="3"/>
  </cols>
  <sheetData>
    <row r="1" spans="1:20" s="340" customFormat="1" ht="26.1" customHeight="1">
      <c r="A1" s="371" t="s">
        <v>1204</v>
      </c>
    </row>
    <row r="2" spans="1:20">
      <c r="A2" s="327"/>
      <c r="B2" s="327"/>
      <c r="C2" s="327"/>
      <c r="D2" s="327"/>
      <c r="E2" s="327"/>
      <c r="F2" s="327"/>
      <c r="G2" s="327"/>
      <c r="H2" s="327"/>
      <c r="I2" s="327"/>
      <c r="J2" s="327"/>
      <c r="K2" s="327"/>
      <c r="L2" s="327"/>
      <c r="M2" s="327"/>
    </row>
    <row r="3" spans="1:20">
      <c r="A3" s="683" t="s">
        <v>1205</v>
      </c>
      <c r="B3" s="684"/>
      <c r="C3" s="685"/>
      <c r="D3" s="685"/>
      <c r="E3" s="685"/>
      <c r="F3" s="685"/>
      <c r="G3" s="685"/>
      <c r="H3" s="685"/>
      <c r="I3" s="685"/>
      <c r="J3" s="685"/>
      <c r="K3" s="685"/>
      <c r="L3" s="685"/>
      <c r="M3" s="685"/>
      <c r="N3" s="685"/>
      <c r="O3" s="685"/>
      <c r="P3" s="685"/>
      <c r="Q3" s="685"/>
    </row>
    <row r="4" spans="1:20">
      <c r="B4" s="327"/>
      <c r="C4" s="525" t="str">
        <f>Forecast!C3</f>
        <v>12/2011</v>
      </c>
      <c r="D4" s="525" t="str">
        <f>Forecast!D3</f>
        <v>12/2012</v>
      </c>
      <c r="E4" s="525" t="str">
        <f>Forecast!E3</f>
        <v>12/2013</v>
      </c>
      <c r="F4" s="525" t="str">
        <f>Forecast!F3</f>
        <v>12/2014</v>
      </c>
      <c r="G4" s="525" t="str">
        <f>Forecast!G3</f>
        <v>12/2015</v>
      </c>
      <c r="H4" s="525" t="str">
        <f>Forecast!H3</f>
        <v>12/2016</v>
      </c>
      <c r="I4" s="525" t="str">
        <f>Forecast!I3</f>
        <v>12/2017</v>
      </c>
      <c r="J4" s="525" t="str">
        <f>Forecast!J3</f>
        <v>12/2018</v>
      </c>
      <c r="K4" s="525" t="str">
        <f>Forecast!K3</f>
        <v>12/2019</v>
      </c>
      <c r="L4" s="525" t="str">
        <f>Forecast!L3</f>
        <v>12/2020</v>
      </c>
      <c r="M4" s="927">
        <f>Forecast!M3</f>
        <v>2021</v>
      </c>
      <c r="N4" s="927">
        <f>Forecast!N3</f>
        <v>2022</v>
      </c>
      <c r="O4" s="927">
        <f>Forecast!O3</f>
        <v>2023</v>
      </c>
      <c r="P4" s="927">
        <f>Forecast!P3</f>
        <v>2024</v>
      </c>
      <c r="Q4" s="927">
        <f>Forecast!Q3</f>
        <v>2025</v>
      </c>
      <c r="R4" s="327"/>
    </row>
    <row r="5" spans="1:20">
      <c r="A5" s="31" t="str">
        <f>Forecast!A73</f>
        <v>Short-Term Receivables</v>
      </c>
      <c r="B5" s="327"/>
      <c r="C5" s="31">
        <f>Forecast!C73</f>
        <v>1.5629999999999999</v>
      </c>
      <c r="D5" s="31">
        <f>Forecast!D73</f>
        <v>1.6930000000000001</v>
      </c>
      <c r="E5" s="31">
        <f>Forecast!E73</f>
        <v>1.609</v>
      </c>
      <c r="F5" s="31">
        <f>Forecast!F73</f>
        <v>3.222</v>
      </c>
      <c r="G5" s="31">
        <f>Forecast!G73</f>
        <v>2.1389999999999998</v>
      </c>
      <c r="H5" s="31">
        <f>Forecast!H73</f>
        <v>2.0640000000000001</v>
      </c>
      <c r="I5" s="31">
        <f>Forecast!I73</f>
        <v>2.3769999999999998</v>
      </c>
      <c r="J5" s="31">
        <f>Forecast!J73</f>
        <v>2.3140000000000001</v>
      </c>
      <c r="K5" s="31">
        <f>Forecast!K73</f>
        <v>2.8540000000000001</v>
      </c>
      <c r="L5" s="31">
        <f>Forecast!L73</f>
        <v>1.3959999999999999</v>
      </c>
      <c r="M5" s="15"/>
      <c r="N5" s="15"/>
      <c r="O5" s="15"/>
      <c r="P5" s="15"/>
      <c r="Q5" s="15"/>
    </row>
    <row r="6" spans="1:20">
      <c r="A6" s="31" t="str">
        <f>Forecast!A75</f>
        <v>Inventories</v>
      </c>
      <c r="B6" s="327"/>
      <c r="C6" s="31">
        <f>Forecast!C75</f>
        <v>0.36699999999999999</v>
      </c>
      <c r="D6" s="31">
        <f>Forecast!D75</f>
        <v>1.0229999999999999</v>
      </c>
      <c r="E6" s="31">
        <f>Forecast!E75</f>
        <v>1.0629999999999999</v>
      </c>
      <c r="F6" s="31">
        <f>Forecast!F75</f>
        <v>0.85199999999999998</v>
      </c>
      <c r="G6" s="31">
        <f>Forecast!G75</f>
        <v>0.69699999999999995</v>
      </c>
      <c r="H6" s="31">
        <f>Forecast!H75</f>
        <v>0.89100000000000001</v>
      </c>
      <c r="I6" s="31">
        <f>Forecast!I75</f>
        <v>1.329</v>
      </c>
      <c r="J6" s="31">
        <f>Forecast!J75</f>
        <v>1.0549999999999999</v>
      </c>
      <c r="K6" s="31">
        <f>Forecast!K75</f>
        <v>1.2509999999999999</v>
      </c>
      <c r="L6" s="31">
        <f>Forecast!L75</f>
        <v>0.73199999999999998</v>
      </c>
    </row>
    <row r="7" spans="1:20">
      <c r="A7" s="31" t="str">
        <f>Forecast!A77</f>
        <v>Other Current Assets</v>
      </c>
      <c r="B7" s="327"/>
      <c r="C7" s="31">
        <f>Forecast!C77</f>
        <v>1.879</v>
      </c>
      <c r="D7" s="31">
        <f>Forecast!D77</f>
        <v>1.8069999999999999</v>
      </c>
      <c r="E7" s="31">
        <f>Forecast!E77</f>
        <v>3.0539999999999998</v>
      </c>
      <c r="F7" s="31">
        <f>Forecast!F77</f>
        <v>4.008</v>
      </c>
      <c r="G7" s="31">
        <f>Forecast!G77</f>
        <v>0.79600000000000004</v>
      </c>
      <c r="H7" s="31">
        <f>Forecast!H77</f>
        <v>0.85399999999999998</v>
      </c>
      <c r="I7" s="31">
        <f>Forecast!I77</f>
        <v>1.4990000000000001</v>
      </c>
      <c r="J7" s="31">
        <f>Forecast!J77</f>
        <v>1.1559999999999999</v>
      </c>
      <c r="K7" s="31">
        <f>Forecast!K77</f>
        <v>1.05</v>
      </c>
      <c r="L7" s="31">
        <f>Forecast!L77</f>
        <v>0.98799999999999999</v>
      </c>
    </row>
    <row r="8" spans="1:20">
      <c r="A8" s="662" t="str">
        <f>Forecast!A79</f>
        <v>Net Collection Period</v>
      </c>
      <c r="B8" s="662"/>
      <c r="C8" s="662"/>
      <c r="D8" s="674">
        <f>Forecast!D79</f>
        <v>41.43861561520643</v>
      </c>
      <c r="E8" s="674">
        <f>Forecast!E79</f>
        <v>49.695586906849464</v>
      </c>
      <c r="F8" s="674">
        <f>Forecast!F79</f>
        <v>62.679335389513476</v>
      </c>
      <c r="G8" s="674">
        <f>Forecast!G79</f>
        <v>52.777489754604254</v>
      </c>
      <c r="H8" s="674">
        <f>Forecast!H79</f>
        <v>34.290755517398111</v>
      </c>
      <c r="I8" s="674">
        <f>Forecast!I79</f>
        <v>39.895595867487991</v>
      </c>
      <c r="J8" s="674">
        <f>Forecast!J79</f>
        <v>39.956909160459929</v>
      </c>
      <c r="K8" s="674">
        <f>Forecast!K79</f>
        <v>37.58243628472961</v>
      </c>
      <c r="L8" s="674">
        <f>Forecast!L79</f>
        <v>88.298186604270271</v>
      </c>
      <c r="M8" s="674">
        <f>Forecast!M79</f>
        <v>32.192869602570269</v>
      </c>
      <c r="N8" s="674">
        <f>Forecast!N79</f>
        <v>33.802513082698788</v>
      </c>
      <c r="O8" s="674">
        <f>Forecast!O79</f>
        <v>35.492638736833726</v>
      </c>
      <c r="P8" s="674">
        <f>Forecast!P79</f>
        <v>37.267270673675412</v>
      </c>
      <c r="Q8" s="674">
        <f>Forecast!Q79</f>
        <v>39.130634207359186</v>
      </c>
    </row>
    <row r="9" spans="1:20">
      <c r="A9" s="662" t="s">
        <v>1206</v>
      </c>
      <c r="B9" s="327"/>
      <c r="C9" s="327"/>
      <c r="D9" s="664"/>
      <c r="E9" s="664">
        <f t="shared" ref="E9:K9" si="0">E8/D8-1</f>
        <v>0.19925789433498919</v>
      </c>
      <c r="F9" s="664">
        <f t="shared" si="0"/>
        <v>0.26126562318302127</v>
      </c>
      <c r="G9" s="664">
        <f t="shared" si="0"/>
        <v>-0.1579762384743767</v>
      </c>
      <c r="H9" s="664">
        <f t="shared" si="0"/>
        <v>-0.35027687605383651</v>
      </c>
      <c r="I9" s="664">
        <f t="shared" si="0"/>
        <v>0.16345047711900507</v>
      </c>
      <c r="J9" s="664">
        <f t="shared" si="0"/>
        <v>1.5368436449874068E-3</v>
      </c>
      <c r="K9" s="664">
        <f t="shared" si="0"/>
        <v>-5.9425839626254695E-2</v>
      </c>
      <c r="L9" s="664">
        <f>L8/K8-1</f>
        <v>1.3494535036342854</v>
      </c>
      <c r="M9" s="664">
        <f t="shared" ref="M9:Q9" si="1">M8/L8-1</f>
        <v>-0.63540735273703386</v>
      </c>
      <c r="N9" s="664">
        <f t="shared" si="1"/>
        <v>5.0000000000000044E-2</v>
      </c>
      <c r="O9" s="664">
        <f t="shared" si="1"/>
        <v>5.0000000000000044E-2</v>
      </c>
      <c r="P9" s="664">
        <f t="shared" si="1"/>
        <v>5.0000000000000044E-2</v>
      </c>
      <c r="Q9" s="664">
        <f t="shared" si="1"/>
        <v>5.0000000000000044E-2</v>
      </c>
    </row>
    <row r="10" spans="1:20">
      <c r="A10" s="525" t="s">
        <v>1195</v>
      </c>
      <c r="B10" s="380"/>
      <c r="C10" s="380">
        <f>SUM(C5:C7)</f>
        <v>3.8090000000000002</v>
      </c>
      <c r="D10" s="380">
        <f t="shared" ref="D10:L10" si="2">SUM(D5:D7)</f>
        <v>4.5229999999999997</v>
      </c>
      <c r="E10" s="380">
        <f t="shared" si="2"/>
        <v>5.7259999999999991</v>
      </c>
      <c r="F10" s="380">
        <f t="shared" si="2"/>
        <v>8.0820000000000007</v>
      </c>
      <c r="G10" s="380">
        <f t="shared" si="2"/>
        <v>3.6319999999999997</v>
      </c>
      <c r="H10" s="380">
        <f t="shared" si="2"/>
        <v>3.8090000000000002</v>
      </c>
      <c r="I10" s="380">
        <f t="shared" si="2"/>
        <v>5.2050000000000001</v>
      </c>
      <c r="J10" s="380">
        <f t="shared" si="2"/>
        <v>4.5249999999999995</v>
      </c>
      <c r="K10" s="380">
        <f t="shared" si="2"/>
        <v>5.1550000000000002</v>
      </c>
      <c r="L10" s="380">
        <f t="shared" si="2"/>
        <v>3.1160000000000001</v>
      </c>
      <c r="M10" s="663">
        <f>Forecast!M80</f>
        <v>2.252712893145588</v>
      </c>
      <c r="N10" s="663">
        <f>Forecast!N80</f>
        <v>3.06697171691218</v>
      </c>
      <c r="O10" s="663">
        <f>Forecast!O80</f>
        <v>3.4857829514940049</v>
      </c>
      <c r="P10" s="663">
        <f>Forecast!P80</f>
        <v>3.7519350703444267</v>
      </c>
      <c r="Q10" s="663">
        <f>Forecast!Q80</f>
        <v>4.02640654086757</v>
      </c>
    </row>
    <row r="11" spans="1:20">
      <c r="A11" s="327"/>
      <c r="B11" s="327"/>
      <c r="C11" s="661"/>
      <c r="D11" s="661"/>
      <c r="E11" s="661"/>
      <c r="F11" s="661"/>
      <c r="G11" s="661"/>
      <c r="H11" s="661"/>
      <c r="I11" s="661"/>
      <c r="J11" s="661"/>
      <c r="K11" s="661"/>
      <c r="L11" s="661"/>
      <c r="M11" s="661"/>
      <c r="N11" s="661"/>
      <c r="O11" s="661"/>
      <c r="P11" s="661"/>
      <c r="Q11" s="661"/>
    </row>
    <row r="12" spans="1:20">
      <c r="A12" s="259" t="str">
        <f>Forecast!A91</f>
        <v>Accounts Payable</v>
      </c>
      <c r="B12" s="259"/>
      <c r="C12" s="259">
        <f>Forecast!C91</f>
        <v>1.6</v>
      </c>
      <c r="D12" s="259">
        <f>Forecast!D91</f>
        <v>2.2930000000000001</v>
      </c>
      <c r="E12" s="259">
        <f>Forecast!E91</f>
        <v>2.2999999999999998</v>
      </c>
      <c r="F12" s="259">
        <f>Forecast!F91</f>
        <v>2.6219999999999999</v>
      </c>
      <c r="G12" s="259">
        <f>Forecast!G91</f>
        <v>2.7429999999999999</v>
      </c>
      <c r="H12" s="259">
        <f>Forecast!H91</f>
        <v>2.5720000000000001</v>
      </c>
      <c r="I12" s="259">
        <f>Forecast!I91</f>
        <v>3.6739999999999999</v>
      </c>
      <c r="J12" s="259">
        <f>Forecast!J91</f>
        <v>2.976</v>
      </c>
      <c r="K12" s="259">
        <f>Forecast!K91</f>
        <v>3.266</v>
      </c>
      <c r="L12" s="259">
        <f>Forecast!L91</f>
        <v>2.84</v>
      </c>
      <c r="M12" s="663"/>
      <c r="N12" s="663"/>
      <c r="O12" s="663"/>
      <c r="P12" s="663"/>
      <c r="Q12" s="663"/>
    </row>
    <row r="13" spans="1:20">
      <c r="A13" s="259" t="str">
        <f>Forecast!A93</f>
        <v>Income Tax Payable</v>
      </c>
      <c r="B13" s="259"/>
      <c r="C13" s="259">
        <f>Forecast!C93</f>
        <v>0.59399999999999997</v>
      </c>
      <c r="D13" s="259">
        <f>Forecast!D93</f>
        <v>0.58499999999999996</v>
      </c>
      <c r="E13" s="259">
        <f>Forecast!E93</f>
        <v>0.67300000000000004</v>
      </c>
      <c r="F13" s="259" t="str">
        <f>Forecast!F93</f>
        <v>-</v>
      </c>
      <c r="G13" s="259" t="str">
        <f>Forecast!G93</f>
        <v>-</v>
      </c>
      <c r="H13" s="259" t="str">
        <f>Forecast!H93</f>
        <v>-</v>
      </c>
      <c r="I13" s="259" t="str">
        <f>Forecast!I93</f>
        <v>-</v>
      </c>
      <c r="J13" s="259" t="str">
        <f>Forecast!J93</f>
        <v>-</v>
      </c>
      <c r="K13" s="259" t="str">
        <f>Forecast!K93</f>
        <v>-</v>
      </c>
      <c r="L13" s="259" t="str">
        <f>Forecast!L93</f>
        <v>-</v>
      </c>
      <c r="M13" s="661"/>
      <c r="N13" s="661"/>
      <c r="O13" s="661"/>
      <c r="P13" s="661"/>
      <c r="Q13" s="661"/>
    </row>
    <row r="14" spans="1:20">
      <c r="A14" s="259" t="str">
        <f>Forecast!A94</f>
        <v>Other Current Liabilities</v>
      </c>
      <c r="B14" s="259"/>
      <c r="C14" s="259">
        <f>Forecast!C94</f>
        <v>8.5630000000000006</v>
      </c>
      <c r="D14" s="259">
        <f>Forecast!D94</f>
        <v>8.7650000000000006</v>
      </c>
      <c r="E14" s="259">
        <f>Forecast!E94</f>
        <v>9.6319999999999997</v>
      </c>
      <c r="F14" s="259">
        <f>Forecast!F94</f>
        <v>13.041</v>
      </c>
      <c r="G14" s="259">
        <f>Forecast!G94</f>
        <v>13.22</v>
      </c>
      <c r="H14" s="259">
        <f>Forecast!H94</f>
        <v>11.536</v>
      </c>
      <c r="I14" s="259">
        <f>Forecast!I94</f>
        <v>12.657</v>
      </c>
      <c r="J14" s="259">
        <f>Forecast!J94</f>
        <v>13.129</v>
      </c>
      <c r="K14" s="259">
        <f>Forecast!K94</f>
        <v>13.85</v>
      </c>
      <c r="L14" s="259">
        <f>Forecast!L94</f>
        <v>10.677</v>
      </c>
      <c r="M14" s="380"/>
      <c r="N14" s="380"/>
      <c r="O14" s="380"/>
      <c r="P14" s="380"/>
      <c r="Q14" s="380"/>
    </row>
    <row r="15" spans="1:20">
      <c r="A15" s="662" t="str">
        <f>Forecast!A96</f>
        <v>Days Net payments outstanding</v>
      </c>
      <c r="B15" s="662"/>
      <c r="C15" s="662"/>
      <c r="D15" s="662">
        <f>Forecast!D96</f>
        <v>125.76173080045464</v>
      </c>
      <c r="E15" s="662">
        <f>Forecast!E96</f>
        <v>133.87176541909957</v>
      </c>
      <c r="F15" s="662">
        <f>Forecast!F96</f>
        <v>157.65856369157561</v>
      </c>
      <c r="G15" s="662">
        <f>Forecast!G96</f>
        <v>202.83051026145631</v>
      </c>
      <c r="H15" s="662">
        <f>Forecast!H96</f>
        <v>191.71903930131003</v>
      </c>
      <c r="I15" s="662">
        <f>Forecast!I96</f>
        <v>179.12222293876761</v>
      </c>
      <c r="J15" s="662">
        <f>Forecast!J96</f>
        <v>166.70149253731347</v>
      </c>
      <c r="K15" s="662">
        <f>Forecast!K96</f>
        <v>165.72360868139074</v>
      </c>
      <c r="L15" s="662">
        <f>Forecast!L96</f>
        <v>236.57579027548559</v>
      </c>
      <c r="M15" s="662">
        <f>Forecast!M96</f>
        <v>180.92317179932292</v>
      </c>
      <c r="N15" s="662">
        <f>Forecast!N96</f>
        <v>180.92317179932292</v>
      </c>
      <c r="O15" s="662">
        <f>Forecast!O96</f>
        <v>180.92317179932292</v>
      </c>
      <c r="P15" s="662">
        <f>Forecast!P96</f>
        <v>180.92317179932292</v>
      </c>
      <c r="Q15" s="662">
        <f>Forecast!Q96</f>
        <v>180.92317179932292</v>
      </c>
      <c r="T15" s="388"/>
    </row>
    <row r="16" spans="1:20" s="372" customFormat="1">
      <c r="A16" s="662" t="s">
        <v>1206</v>
      </c>
      <c r="B16" s="327"/>
      <c r="C16" s="327"/>
      <c r="D16" s="664"/>
      <c r="E16" s="664">
        <f t="shared" ref="E16" si="3">E15/D15-1</f>
        <v>6.448730124041524E-2</v>
      </c>
      <c r="F16" s="664">
        <f t="shared" ref="F16" si="4">F15/E15-1</f>
        <v>0.17768345847990408</v>
      </c>
      <c r="G16" s="664">
        <f t="shared" ref="G16" si="5">G15/F15-1</f>
        <v>0.28651755738590712</v>
      </c>
      <c r="H16" s="664">
        <f t="shared" ref="H16" si="6">H15/G15-1</f>
        <v>-5.4782049040961178E-2</v>
      </c>
      <c r="I16" s="664">
        <f t="shared" ref="I16" si="7">I15/H15-1</f>
        <v>-6.5704566476284976E-2</v>
      </c>
      <c r="J16" s="664">
        <f t="shared" ref="J16" si="8">J15/I15-1</f>
        <v>-6.9342207782337129E-2</v>
      </c>
      <c r="K16" s="664">
        <f t="shared" ref="K16" si="9">K15/J15-1</f>
        <v>-5.8660773880224726E-3</v>
      </c>
      <c r="L16" s="664">
        <f>L15/K15-1</f>
        <v>0.42753221558378307</v>
      </c>
      <c r="M16" s="664">
        <f t="shared" ref="M16:Q16" si="10">M15/L15-1</f>
        <v>-0.2352422384866889</v>
      </c>
      <c r="N16" s="664">
        <f t="shared" si="10"/>
        <v>0</v>
      </c>
      <c r="O16" s="664">
        <f t="shared" si="10"/>
        <v>0</v>
      </c>
      <c r="P16" s="664">
        <f t="shared" si="10"/>
        <v>0</v>
      </c>
      <c r="Q16" s="664">
        <f t="shared" si="10"/>
        <v>0</v>
      </c>
      <c r="T16" s="671"/>
    </row>
    <row r="17" spans="1:20">
      <c r="A17" s="525" t="s">
        <v>1201</v>
      </c>
      <c r="B17" s="380"/>
      <c r="C17" s="380">
        <f>SUM(C12:C14)</f>
        <v>10.757000000000001</v>
      </c>
      <c r="D17" s="380">
        <f t="shared" ref="D17:L17" si="11">SUM(D12:D14)</f>
        <v>11.643000000000001</v>
      </c>
      <c r="E17" s="380">
        <f t="shared" si="11"/>
        <v>12.605</v>
      </c>
      <c r="F17" s="380">
        <f t="shared" si="11"/>
        <v>15.663</v>
      </c>
      <c r="G17" s="380">
        <f t="shared" si="11"/>
        <v>15.963000000000001</v>
      </c>
      <c r="H17" s="380">
        <f t="shared" si="11"/>
        <v>14.108000000000001</v>
      </c>
      <c r="I17" s="380">
        <f t="shared" si="11"/>
        <v>16.331</v>
      </c>
      <c r="J17" s="380">
        <f t="shared" si="11"/>
        <v>16.105</v>
      </c>
      <c r="K17" s="380">
        <f t="shared" si="11"/>
        <v>17.116</v>
      </c>
      <c r="L17" s="380">
        <f t="shared" si="11"/>
        <v>13.516999999999999</v>
      </c>
      <c r="M17" s="380">
        <f>Forecast!M97</f>
        <v>9.4951452017014866</v>
      </c>
      <c r="N17" s="380">
        <f>Forecast!N97</f>
        <v>12.311649347306414</v>
      </c>
      <c r="O17" s="380">
        <f>Forecast!O97</f>
        <v>13.32654312767</v>
      </c>
      <c r="P17" s="380">
        <f>Forecast!P97</f>
        <v>13.66102174322878</v>
      </c>
      <c r="Q17" s="380">
        <f>Forecast!Q97</f>
        <v>13.962275153790497</v>
      </c>
      <c r="R17" s="380"/>
    </row>
    <row r="18" spans="1:20">
      <c r="A18" s="260" t="s">
        <v>1207</v>
      </c>
      <c r="B18" s="327"/>
      <c r="C18" s="327">
        <f>C10-C17</f>
        <v>-6.9480000000000013</v>
      </c>
      <c r="D18" s="327">
        <f t="shared" ref="D18:L18" si="12">D10-D17</f>
        <v>-7.120000000000001</v>
      </c>
      <c r="E18" s="327">
        <f t="shared" si="12"/>
        <v>-6.8790000000000013</v>
      </c>
      <c r="F18" s="327">
        <f t="shared" si="12"/>
        <v>-7.5809999999999995</v>
      </c>
      <c r="G18" s="327">
        <f t="shared" si="12"/>
        <v>-12.331000000000001</v>
      </c>
      <c r="H18" s="327">
        <f t="shared" si="12"/>
        <v>-10.298999999999999</v>
      </c>
      <c r="I18" s="327">
        <f t="shared" si="12"/>
        <v>-11.125999999999999</v>
      </c>
      <c r="J18" s="327">
        <f t="shared" si="12"/>
        <v>-11.580000000000002</v>
      </c>
      <c r="K18" s="327">
        <f t="shared" si="12"/>
        <v>-11.960999999999999</v>
      </c>
      <c r="L18" s="327">
        <f t="shared" si="12"/>
        <v>-10.401</v>
      </c>
      <c r="M18" s="327">
        <f t="shared" ref="M18" si="13">M10-M17</f>
        <v>-7.2424323085558981</v>
      </c>
      <c r="N18" s="327">
        <f t="shared" ref="N18" si="14">N10-N17</f>
        <v>-9.244677630394234</v>
      </c>
      <c r="O18" s="327">
        <f t="shared" ref="O18" si="15">O10-O17</f>
        <v>-9.8407601761759942</v>
      </c>
      <c r="P18" s="327">
        <f t="shared" ref="P18" si="16">P10-P17</f>
        <v>-9.909086672884353</v>
      </c>
      <c r="Q18" s="327">
        <f t="shared" ref="Q18" si="17">Q10-Q17</f>
        <v>-9.9358686129229277</v>
      </c>
    </row>
    <row r="19" spans="1:20">
      <c r="A19" s="662" t="s">
        <v>1208</v>
      </c>
      <c r="B19" s="327"/>
      <c r="C19" s="327"/>
      <c r="D19" s="675">
        <f>D8-D15</f>
        <v>-84.323115185248213</v>
      </c>
      <c r="E19" s="675">
        <f t="shared" ref="E19:K19" si="18">E8-E15</f>
        <v>-84.176178512250118</v>
      </c>
      <c r="F19" s="675">
        <f t="shared" si="18"/>
        <v>-94.979228302062126</v>
      </c>
      <c r="G19" s="675">
        <f t="shared" si="18"/>
        <v>-150.05302050685205</v>
      </c>
      <c r="H19" s="675">
        <f t="shared" si="18"/>
        <v>-157.42828378391192</v>
      </c>
      <c r="I19" s="675">
        <f t="shared" si="18"/>
        <v>-139.22662707127961</v>
      </c>
      <c r="J19" s="675">
        <f t="shared" si="18"/>
        <v>-126.74458337685354</v>
      </c>
      <c r="K19" s="675">
        <f t="shared" si="18"/>
        <v>-128.14117239666115</v>
      </c>
      <c r="L19" s="675">
        <f>L8-L15</f>
        <v>-148.27760367121533</v>
      </c>
      <c r="M19" s="675">
        <f t="shared" ref="M19:Q19" si="19">M8-M15</f>
        <v>-148.73030219675263</v>
      </c>
      <c r="N19" s="675">
        <f t="shared" si="19"/>
        <v>-147.12065871662412</v>
      </c>
      <c r="O19" s="675">
        <f t="shared" si="19"/>
        <v>-145.43053306248919</v>
      </c>
      <c r="P19" s="675">
        <f t="shared" si="19"/>
        <v>-143.65590112564752</v>
      </c>
      <c r="Q19" s="675">
        <f t="shared" si="19"/>
        <v>-141.79253759196374</v>
      </c>
    </row>
    <row r="20" spans="1:20">
      <c r="A20" s="662" t="s">
        <v>1209</v>
      </c>
      <c r="B20" s="327"/>
      <c r="C20" s="662">
        <f>C18/(Forecast!C5-Forecast!C8)</f>
        <v>-1.2936138521690557</v>
      </c>
      <c r="D20" s="662">
        <f>D18/(Forecast!D5-Forecast!D8)</f>
        <v>-1.2067796610169497</v>
      </c>
      <c r="E20" s="662">
        <f>E18/(Forecast!E5-Forecast!E8)</f>
        <v>-1.0924249642687001</v>
      </c>
      <c r="F20" s="662">
        <f>F18/(Forecast!F5-Forecast!F8)</f>
        <v>-0.91768551022878586</v>
      </c>
      <c r="G20" s="662">
        <f>G18/(Forecast!G5-Forecast!G8)</f>
        <v>-1.0233195020746888</v>
      </c>
      <c r="H20" s="662">
        <f>H18/(Forecast!H5-Forecast!H8)</f>
        <v>-0.93823449029789585</v>
      </c>
      <c r="I20" s="662">
        <f>I18/(Forecast!I5-Forecast!I8)</f>
        <v>-1.0885431953820566</v>
      </c>
      <c r="J20" s="662">
        <f>J18/(Forecast!J5-Forecast!J8)</f>
        <v>-1.2966073228081958</v>
      </c>
      <c r="K20" s="662">
        <f>K18/(Forecast!K5-Forecast!K8)</f>
        <v>-1.1476683937823835</v>
      </c>
      <c r="L20" s="662">
        <f>L18/(Forecast!L5-Forecast!L8)</f>
        <v>1.5913402692778453</v>
      </c>
      <c r="M20" s="662">
        <f>M18/(Forecast!M5-Forecast!M8)</f>
        <v>-1.1342411972265416</v>
      </c>
      <c r="N20" s="662">
        <f>N18/(Forecast!N5-Forecast!N8)</f>
        <v>-1.1166012686771885</v>
      </c>
      <c r="O20" s="662">
        <f>O18/(Forecast!O5-Forecast!O8)</f>
        <v>-1.0980793437003664</v>
      </c>
      <c r="P20" s="662">
        <f>P18/(Forecast!P5-Forecast!P8)</f>
        <v>-1.0786313224747044</v>
      </c>
      <c r="Q20" s="662">
        <f>Q18/(Forecast!Q5-Forecast!Q8)</f>
        <v>-1.0582109001877589</v>
      </c>
    </row>
    <row r="21" spans="1:20">
      <c r="A21" s="259"/>
      <c r="B21" s="259"/>
      <c r="D21" s="664"/>
      <c r="E21" s="664">
        <f t="shared" ref="E21" si="20">E19/D19-1</f>
        <v>-1.7425432240648631E-3</v>
      </c>
      <c r="F21" s="664">
        <f t="shared" ref="F21" si="21">F19/E19-1</f>
        <v>0.12833856300853386</v>
      </c>
      <c r="G21" s="664">
        <f t="shared" ref="G21" si="22">G19/F19-1</f>
        <v>0.57985091255573185</v>
      </c>
      <c r="H21" s="664">
        <f t="shared" ref="H21" si="23">H19/G19-1</f>
        <v>4.91510484237343E-2</v>
      </c>
      <c r="I21" s="664">
        <f t="shared" ref="I21" si="24">I19/H19-1</f>
        <v>-0.11561872031595122</v>
      </c>
      <c r="J21" s="664">
        <f t="shared" ref="J21" si="25">J19/I19-1</f>
        <v>-8.9652704780642689E-2</v>
      </c>
      <c r="K21" s="664">
        <f t="shared" ref="K21" si="26">K19/J19-1</f>
        <v>1.101892469562249E-2</v>
      </c>
      <c r="L21" s="664">
        <f>L19/K19-1</f>
        <v>0.15714255533905863</v>
      </c>
      <c r="M21" s="664">
        <f t="shared" ref="M21:Q21" si="27">M19/L19-1</f>
        <v>3.0530472190601898E-3</v>
      </c>
      <c r="N21" s="664">
        <f t="shared" si="27"/>
        <v>-1.0822565787563243E-2</v>
      </c>
      <c r="O21" s="664">
        <f t="shared" si="27"/>
        <v>-1.1488023972148986E-2</v>
      </c>
      <c r="P21" s="664">
        <f t="shared" si="27"/>
        <v>-1.2202609035883438E-2</v>
      </c>
      <c r="Q21" s="664">
        <f t="shared" si="27"/>
        <v>-1.297101977073678E-2</v>
      </c>
    </row>
    <row r="22" spans="1:20" s="372" customFormat="1">
      <c r="A22" s="255" t="s">
        <v>1210</v>
      </c>
      <c r="B22" s="380"/>
      <c r="C22" s="380">
        <f t="shared" ref="C22:L22" si="28">B18-C18</f>
        <v>6.9480000000000013</v>
      </c>
      <c r="D22" s="380">
        <f t="shared" si="28"/>
        <v>0.17199999999999971</v>
      </c>
      <c r="E22" s="380">
        <f t="shared" si="28"/>
        <v>-0.24099999999999966</v>
      </c>
      <c r="F22" s="380">
        <f t="shared" si="28"/>
        <v>0.70199999999999818</v>
      </c>
      <c r="G22" s="380">
        <f t="shared" si="28"/>
        <v>4.7500000000000018</v>
      </c>
      <c r="H22" s="380">
        <f t="shared" si="28"/>
        <v>-2.0320000000000018</v>
      </c>
      <c r="I22" s="380">
        <f t="shared" si="28"/>
        <v>0.82699999999999996</v>
      </c>
      <c r="J22" s="380">
        <f t="shared" si="28"/>
        <v>0.4540000000000024</v>
      </c>
      <c r="K22" s="380">
        <f t="shared" si="28"/>
        <v>0.38099999999999667</v>
      </c>
      <c r="L22" s="380">
        <f t="shared" si="28"/>
        <v>-1.5599999999999987</v>
      </c>
      <c r="M22" s="380">
        <f>L18-M18</f>
        <v>-3.1585676914441017</v>
      </c>
      <c r="N22" s="380">
        <f t="shared" ref="N22:P22" si="29">M18-N18</f>
        <v>2.0022453218383358</v>
      </c>
      <c r="O22" s="380">
        <f t="shared" si="29"/>
        <v>0.59608254578176023</v>
      </c>
      <c r="P22" s="380">
        <f t="shared" si="29"/>
        <v>6.8326496708358775E-2</v>
      </c>
      <c r="Q22" s="380">
        <f>P18-Q18</f>
        <v>2.6781940038574703E-2</v>
      </c>
    </row>
    <row r="23" spans="1:20">
      <c r="A23" s="677"/>
      <c r="B23" s="473"/>
      <c r="C23" s="473"/>
      <c r="D23" s="473"/>
      <c r="E23" s="473"/>
      <c r="F23" s="473"/>
      <c r="G23" s="473"/>
      <c r="H23" s="473"/>
      <c r="I23" s="473"/>
      <c r="J23" s="473"/>
      <c r="K23" s="507"/>
      <c r="L23" s="473"/>
      <c r="M23" s="380"/>
      <c r="N23" s="473"/>
      <c r="O23" s="473"/>
      <c r="P23" s="473"/>
      <c r="Q23" s="473"/>
    </row>
    <row r="24" spans="1:20">
      <c r="A24" s="255"/>
      <c r="B24" s="327"/>
      <c r="C24" s="327"/>
      <c r="D24" s="327"/>
      <c r="E24" s="327"/>
      <c r="F24" s="327"/>
      <c r="G24" s="327"/>
      <c r="H24" s="327"/>
      <c r="I24" s="327"/>
      <c r="J24" s="327"/>
      <c r="K24" s="327"/>
      <c r="L24" s="327"/>
      <c r="M24" s="327"/>
    </row>
    <row r="25" spans="1:20">
      <c r="A25" s="259"/>
      <c r="B25" s="327"/>
      <c r="C25" s="474"/>
      <c r="D25" s="474"/>
      <c r="E25" s="474"/>
      <c r="F25" s="474"/>
      <c r="G25" s="474"/>
      <c r="H25" s="474"/>
      <c r="I25" s="474"/>
      <c r="J25" s="474"/>
      <c r="K25" s="474"/>
      <c r="L25" s="474"/>
    </row>
    <row r="26" spans="1:20">
      <c r="A26" s="662"/>
      <c r="C26" s="664"/>
      <c r="D26" s="664"/>
      <c r="E26" s="664"/>
      <c r="F26" s="664"/>
      <c r="G26" s="664"/>
      <c r="H26" s="664"/>
      <c r="I26" s="664"/>
      <c r="J26" s="664"/>
      <c r="K26" s="664"/>
      <c r="L26" s="664"/>
    </row>
    <row r="27" spans="1:20">
      <c r="A27" s="385"/>
      <c r="B27" s="327"/>
      <c r="C27" s="386"/>
      <c r="D27" s="386"/>
      <c r="E27" s="386"/>
      <c r="F27" s="386"/>
      <c r="G27" s="386"/>
      <c r="H27" s="386"/>
      <c r="I27" s="386"/>
      <c r="J27" s="386"/>
      <c r="K27" s="386"/>
      <c r="L27" s="386"/>
    </row>
    <row r="28" spans="1:20">
      <c r="A28" s="385"/>
      <c r="B28" s="327"/>
      <c r="C28" s="386"/>
      <c r="D28" s="386"/>
      <c r="E28" s="386"/>
      <c r="F28" s="386"/>
      <c r="G28" s="386"/>
      <c r="H28" s="386"/>
      <c r="I28" s="386"/>
      <c r="J28" s="386"/>
      <c r="K28" s="386"/>
      <c r="L28" s="386"/>
    </row>
    <row r="29" spans="1:20">
      <c r="A29" s="662"/>
      <c r="D29" s="675"/>
      <c r="E29" s="675"/>
      <c r="F29" s="675"/>
      <c r="G29" s="675"/>
      <c r="H29" s="675"/>
      <c r="I29" s="675"/>
      <c r="J29" s="675"/>
      <c r="K29" s="675"/>
      <c r="L29" s="675"/>
    </row>
    <row r="30" spans="1:20">
      <c r="A30" s="662"/>
      <c r="B30" s="327"/>
      <c r="C30" s="327"/>
      <c r="D30" s="675"/>
      <c r="E30" s="675"/>
      <c r="F30" s="675"/>
      <c r="G30" s="675"/>
      <c r="H30" s="675"/>
      <c r="I30" s="675"/>
      <c r="J30" s="675"/>
      <c r="K30" s="675"/>
      <c r="L30" s="675"/>
    </row>
    <row r="31" spans="1:20">
      <c r="A31" s="259"/>
      <c r="B31" s="259"/>
      <c r="M31" s="327"/>
      <c r="O31" s="259"/>
    </row>
    <row r="32" spans="1:20">
      <c r="A32" s="377"/>
      <c r="B32" s="377"/>
      <c r="C32" s="260"/>
      <c r="D32" s="260"/>
      <c r="E32" s="260"/>
      <c r="F32" s="260"/>
      <c r="G32" s="260"/>
      <c r="H32" s="260"/>
      <c r="I32" s="260"/>
      <c r="J32" s="260"/>
      <c r="K32" s="260"/>
      <c r="L32" s="260"/>
      <c r="M32" s="327"/>
      <c r="N32" s="327"/>
      <c r="O32" s="327"/>
      <c r="P32" s="327"/>
      <c r="Q32" s="327"/>
      <c r="R32" s="327"/>
      <c r="S32" s="327"/>
      <c r="T32" s="327"/>
    </row>
    <row r="33" spans="1:20">
      <c r="A33" s="377"/>
      <c r="B33" s="377"/>
      <c r="C33" s="377"/>
      <c r="D33" s="377"/>
      <c r="E33" s="377"/>
      <c r="F33" s="377"/>
      <c r="G33" s="377"/>
      <c r="H33" s="377"/>
      <c r="I33" s="377"/>
      <c r="J33" s="377"/>
      <c r="K33" s="377"/>
      <c r="L33" s="377"/>
      <c r="M33" s="327"/>
      <c r="N33" s="327"/>
      <c r="O33" s="327"/>
      <c r="P33" s="327"/>
      <c r="Q33" s="327"/>
      <c r="R33" s="327"/>
      <c r="S33" s="327"/>
      <c r="T33" s="327"/>
    </row>
    <row r="34" spans="1:20">
      <c r="A34" s="255"/>
      <c r="B34" s="255"/>
      <c r="C34" s="255"/>
      <c r="D34" s="255"/>
      <c r="E34" s="255"/>
      <c r="F34" s="255"/>
      <c r="G34" s="255"/>
      <c r="H34" s="255"/>
      <c r="I34" s="255"/>
      <c r="J34" s="255"/>
      <c r="K34" s="255"/>
      <c r="L34" s="255"/>
      <c r="M34" s="327"/>
      <c r="N34" s="377"/>
      <c r="O34" s="377"/>
      <c r="P34" s="377"/>
      <c r="Q34" s="377"/>
      <c r="R34" s="353"/>
      <c r="S34" s="353"/>
      <c r="T34" s="353"/>
    </row>
    <row r="35" spans="1:20">
      <c r="A35" s="259"/>
      <c r="B35" s="259"/>
      <c r="C35" s="259"/>
      <c r="D35" s="259"/>
      <c r="E35" s="259"/>
      <c r="F35" s="259"/>
      <c r="G35" s="259"/>
      <c r="H35" s="259"/>
      <c r="I35" s="259"/>
      <c r="J35" s="259"/>
      <c r="K35" s="259"/>
      <c r="L35" s="259"/>
      <c r="M35" s="327"/>
      <c r="N35" s="377"/>
      <c r="O35" s="377"/>
      <c r="P35" s="377"/>
      <c r="Q35" s="377"/>
      <c r="R35" s="353"/>
      <c r="S35" s="353"/>
      <c r="T35" s="353"/>
    </row>
    <row r="36" spans="1:20">
      <c r="A36" s="259"/>
      <c r="B36" s="259"/>
      <c r="C36" s="259"/>
      <c r="D36" s="259"/>
      <c r="E36" s="259"/>
      <c r="F36" s="259"/>
      <c r="G36" s="259"/>
      <c r="H36" s="259"/>
      <c r="I36" s="259"/>
      <c r="J36" s="259"/>
      <c r="K36" s="259"/>
      <c r="L36" s="259"/>
      <c r="M36" s="327"/>
      <c r="N36" s="377"/>
      <c r="O36" s="377"/>
    </row>
    <row r="37" spans="1:20">
      <c r="A37" s="259"/>
      <c r="B37" s="259"/>
      <c r="C37" s="259"/>
      <c r="D37" s="259"/>
      <c r="E37" s="259"/>
      <c r="F37" s="259"/>
      <c r="G37" s="259"/>
      <c r="H37" s="259"/>
      <c r="I37" s="259"/>
      <c r="J37" s="259"/>
      <c r="K37" s="259"/>
      <c r="L37" s="259"/>
      <c r="M37" s="327"/>
      <c r="N37" s="377"/>
      <c r="O37" s="377"/>
    </row>
    <row r="38" spans="1:20">
      <c r="A38" s="259"/>
      <c r="B38" s="259"/>
      <c r="C38" s="259"/>
      <c r="D38" s="259"/>
      <c r="E38" s="259"/>
      <c r="F38" s="259"/>
      <c r="G38" s="259"/>
      <c r="H38" s="259"/>
      <c r="I38" s="259"/>
      <c r="J38" s="259"/>
      <c r="K38" s="259"/>
      <c r="L38" s="259"/>
      <c r="M38" s="327"/>
      <c r="N38" s="377"/>
      <c r="O38" s="377"/>
    </row>
    <row r="39" spans="1:20">
      <c r="A39" s="259"/>
      <c r="B39" s="259"/>
      <c r="C39" s="259"/>
      <c r="D39" s="259"/>
      <c r="E39" s="259"/>
      <c r="F39" s="259"/>
      <c r="G39" s="259"/>
      <c r="H39" s="259"/>
      <c r="I39" s="259"/>
      <c r="J39" s="259"/>
      <c r="K39" s="259"/>
      <c r="L39" s="259"/>
      <c r="M39" s="327"/>
      <c r="N39" s="377"/>
      <c r="O39" s="377"/>
    </row>
    <row r="40" spans="1:20">
      <c r="A40" s="683" t="s">
        <v>1211</v>
      </c>
      <c r="B40" s="684"/>
      <c r="C40" s="685"/>
      <c r="D40" s="685"/>
      <c r="E40" s="685"/>
      <c r="F40" s="685"/>
      <c r="G40" s="685"/>
      <c r="H40" s="685"/>
      <c r="I40" s="685"/>
      <c r="J40" s="685"/>
      <c r="K40" s="685"/>
      <c r="L40" s="685"/>
      <c r="M40" s="685"/>
      <c r="N40" s="685"/>
      <c r="O40" s="685"/>
      <c r="P40" s="685"/>
      <c r="Q40" s="685"/>
    </row>
    <row r="41" spans="1:20">
      <c r="A41" s="259"/>
      <c r="B41" s="259"/>
      <c r="C41" s="260" t="str">
        <f>C4</f>
        <v>12/2011</v>
      </c>
      <c r="D41" s="260" t="str">
        <f>D4</f>
        <v>12/2012</v>
      </c>
      <c r="E41" s="260" t="str">
        <f t="shared" ref="E41:Q41" si="30">E4</f>
        <v>12/2013</v>
      </c>
      <c r="F41" s="260" t="str">
        <f t="shared" si="30"/>
        <v>12/2014</v>
      </c>
      <c r="G41" s="260" t="str">
        <f t="shared" si="30"/>
        <v>12/2015</v>
      </c>
      <c r="H41" s="260" t="str">
        <f t="shared" si="30"/>
        <v>12/2016</v>
      </c>
      <c r="I41" s="260" t="str">
        <f t="shared" si="30"/>
        <v>12/2017</v>
      </c>
      <c r="J41" s="260" t="str">
        <f t="shared" si="30"/>
        <v>12/2018</v>
      </c>
      <c r="K41" s="260" t="str">
        <f t="shared" si="30"/>
        <v>12/2019</v>
      </c>
      <c r="L41" s="260" t="str">
        <f t="shared" si="30"/>
        <v>12/2020</v>
      </c>
      <c r="M41" s="691">
        <f t="shared" si="30"/>
        <v>2021</v>
      </c>
      <c r="N41" s="691">
        <f t="shared" si="30"/>
        <v>2022</v>
      </c>
      <c r="O41" s="691">
        <f t="shared" si="30"/>
        <v>2023</v>
      </c>
      <c r="P41" s="691">
        <f t="shared" si="30"/>
        <v>2024</v>
      </c>
      <c r="Q41" s="691">
        <f t="shared" si="30"/>
        <v>2025</v>
      </c>
    </row>
    <row r="42" spans="1:20">
      <c r="A42" s="347" t="s">
        <v>1212</v>
      </c>
      <c r="B42" s="327"/>
      <c r="C42" s="347"/>
      <c r="D42" s="347">
        <f>Forecast!C82</f>
        <v>20.222999999999999</v>
      </c>
      <c r="E42" s="347">
        <f>Forecast!D82</f>
        <v>20.713000000000001</v>
      </c>
      <c r="F42" s="347">
        <f>Forecast!E82</f>
        <v>21.853999999999999</v>
      </c>
      <c r="G42" s="347">
        <f>Forecast!F82</f>
        <v>21.928999999999998</v>
      </c>
      <c r="H42" s="347">
        <f>Forecast!G82</f>
        <v>23.039000000000001</v>
      </c>
      <c r="I42" s="347">
        <f>Forecast!H82</f>
        <v>24.375</v>
      </c>
      <c r="J42" s="347">
        <f>Forecast!I82</f>
        <v>26.562999999999999</v>
      </c>
      <c r="K42" s="347">
        <f>Forecast!J82</f>
        <v>34.329000000000001</v>
      </c>
      <c r="L42" s="347">
        <f>Forecast!K82</f>
        <v>36.936999999999998</v>
      </c>
      <c r="M42" s="327"/>
      <c r="N42" s="327"/>
      <c r="O42" s="327"/>
      <c r="P42" s="327"/>
      <c r="Q42" s="327"/>
    </row>
    <row r="43" spans="1:20">
      <c r="A43" s="347" t="s">
        <v>1213</v>
      </c>
      <c r="B43" s="347"/>
      <c r="C43" s="347"/>
      <c r="D43" s="347">
        <f>-SUM(Forecast!D47:D48)</f>
        <v>1.968</v>
      </c>
      <c r="E43" s="347">
        <f>-SUM(Forecast!E47:E48)</f>
        <v>2.5680000000000001</v>
      </c>
      <c r="F43" s="347">
        <f>-SUM(Forecast!F47:F48)</f>
        <v>2.2490000000000001</v>
      </c>
      <c r="G43" s="347">
        <f>-SUM(Forecast!G47:G48)</f>
        <v>2.9449999999999998</v>
      </c>
      <c r="H43" s="347">
        <f>-SUM(Forecast!H47:H48)</f>
        <v>3.391</v>
      </c>
      <c r="I43" s="347">
        <f>-SUM(Forecast!I47:I48)</f>
        <v>3.891</v>
      </c>
      <c r="J43" s="347">
        <f>-SUM(Forecast!J47:J48)</f>
        <v>5.1680000000000001</v>
      </c>
      <c r="K43" s="347">
        <f>-SUM(Forecast!K47:K48)</f>
        <v>4.9359999999999999</v>
      </c>
      <c r="L43" s="347">
        <f>-SUM(Forecast!L47:L48)</f>
        <v>1.899</v>
      </c>
      <c r="M43" s="327"/>
      <c r="N43" s="327"/>
      <c r="O43" s="327"/>
      <c r="P43" s="327"/>
      <c r="Q43" s="327"/>
      <c r="R43" s="327"/>
    </row>
    <row r="44" spans="1:20">
      <c r="A44" s="347" t="s">
        <v>1214</v>
      </c>
      <c r="B44" s="347"/>
      <c r="C44" s="347"/>
      <c r="D44" s="347">
        <f>D43-Forecast!C49</f>
        <v>1.968</v>
      </c>
      <c r="E44" s="347">
        <f>E43-Forecast!D49</f>
        <v>2.5680000000000001</v>
      </c>
      <c r="F44" s="347">
        <f>F43-Forecast!E49</f>
        <v>2.2490000000000001</v>
      </c>
      <c r="G44" s="347">
        <f>G43-Forecast!F49</f>
        <v>2.9449999999999998</v>
      </c>
      <c r="H44" s="347">
        <f>H43-Forecast!G49</f>
        <v>3.6669999999999998</v>
      </c>
      <c r="I44" s="347">
        <f>I43-Forecast!H49</f>
        <v>3.891</v>
      </c>
      <c r="J44" s="347">
        <f>J43-Forecast!I49</f>
        <v>5.1680000000000001</v>
      </c>
      <c r="K44" s="347">
        <f>K43-Forecast!J49</f>
        <v>4.9359999999999999</v>
      </c>
      <c r="L44" s="347">
        <f>L43-Forecast!K49</f>
        <v>1.899</v>
      </c>
      <c r="M44" s="347">
        <f>-Forecast!M50</f>
        <v>3.798</v>
      </c>
      <c r="N44" s="347">
        <f>-Forecast!N50</f>
        <v>3.9879000000000002</v>
      </c>
      <c r="O44" s="347">
        <f>-Forecast!O50</f>
        <v>4.1872950000000007</v>
      </c>
      <c r="P44" s="347">
        <f>-Forecast!P50</f>
        <v>4.3966597500000013</v>
      </c>
      <c r="Q44" s="347">
        <f>-Forecast!Q50</f>
        <v>4.6164927375000016</v>
      </c>
      <c r="R44" s="327"/>
    </row>
    <row r="45" spans="1:20">
      <c r="A45" s="347" t="str">
        <f>Forecast!A38</f>
        <v>Depr. incl. R&amp;D and Leases</v>
      </c>
      <c r="B45" s="347"/>
      <c r="C45" s="347"/>
      <c r="D45" s="347">
        <f>Forecast!D38</f>
        <v>1.5649999999999999</v>
      </c>
      <c r="E45" s="347">
        <f>Forecast!E38</f>
        <v>1.6579999999999999</v>
      </c>
      <c r="F45" s="347">
        <f>Forecast!F38</f>
        <v>1.7709999999999999</v>
      </c>
      <c r="G45" s="347">
        <f>Forecast!G38</f>
        <v>1.835</v>
      </c>
      <c r="H45" s="347">
        <f>Forecast!H38</f>
        <v>1.9019999999999999</v>
      </c>
      <c r="I45" s="347">
        <f>Forecast!I38</f>
        <v>2.2349999999999999</v>
      </c>
      <c r="J45" s="347">
        <f>Forecast!J38</f>
        <v>2.3290000000000002</v>
      </c>
      <c r="K45" s="347">
        <f>Forecast!K38</f>
        <v>2.581</v>
      </c>
      <c r="L45" s="347">
        <f>Forecast!L38</f>
        <v>2.3119999999999998</v>
      </c>
      <c r="M45" s="327"/>
      <c r="N45" s="327"/>
      <c r="O45" s="327"/>
      <c r="P45" s="327"/>
      <c r="Q45" s="327"/>
    </row>
    <row r="46" spans="1:20" s="688" customFormat="1" ht="11.25">
      <c r="A46" s="686" t="s">
        <v>1215</v>
      </c>
      <c r="B46" s="686"/>
      <c r="C46" s="686"/>
      <c r="D46" s="687"/>
      <c r="E46" s="687">
        <f>E45/D45-1</f>
        <v>5.9424920127795433E-2</v>
      </c>
      <c r="F46" s="687">
        <f t="shared" ref="F46" si="31">F45/E45-1</f>
        <v>6.8154402895054256E-2</v>
      </c>
      <c r="G46" s="687">
        <f>G45/F45-1</f>
        <v>3.6137775268210159E-2</v>
      </c>
      <c r="H46" s="687">
        <f t="shared" ref="H46:I46" si="32">H45/G45-1</f>
        <v>3.6512261580381455E-2</v>
      </c>
      <c r="I46" s="687">
        <f t="shared" si="32"/>
        <v>0.17507886435331232</v>
      </c>
      <c r="J46" s="687">
        <f t="shared" ref="J46" si="33">J45/I45-1</f>
        <v>4.2058165548098492E-2</v>
      </c>
      <c r="K46" s="687">
        <f t="shared" ref="K46" si="34">K45/J45-1</f>
        <v>0.10820094461142116</v>
      </c>
      <c r="L46" s="687">
        <f t="shared" ref="L46" si="35">L45/K45-1</f>
        <v>-0.10422316931421938</v>
      </c>
      <c r="M46" s="11"/>
      <c r="N46" s="11"/>
      <c r="O46" s="11"/>
      <c r="P46" s="11"/>
      <c r="Q46" s="11"/>
      <c r="R46" s="11"/>
    </row>
    <row r="47" spans="1:20">
      <c r="A47" s="347" t="s">
        <v>1216</v>
      </c>
      <c r="B47" s="347"/>
      <c r="C47" s="347"/>
      <c r="D47" s="347">
        <f>D42/D45</f>
        <v>12.922044728434505</v>
      </c>
      <c r="E47" s="347">
        <f t="shared" ref="E47:L47" si="36">E42/E45</f>
        <v>12.492762364294332</v>
      </c>
      <c r="F47" s="347">
        <f t="shared" si="36"/>
        <v>12.339920948616601</v>
      </c>
      <c r="G47" s="347">
        <f t="shared" si="36"/>
        <v>11.950408719346049</v>
      </c>
      <c r="H47" s="347">
        <f t="shared" si="36"/>
        <v>12.113038906414301</v>
      </c>
      <c r="I47" s="347">
        <f t="shared" si="36"/>
        <v>10.906040268456376</v>
      </c>
      <c r="J47" s="347">
        <f t="shared" si="36"/>
        <v>11.405324173465004</v>
      </c>
      <c r="K47" s="347">
        <f t="shared" si="36"/>
        <v>13.300658659434328</v>
      </c>
      <c r="L47" s="347">
        <f t="shared" si="36"/>
        <v>15.976211072664359</v>
      </c>
      <c r="M47" s="347"/>
      <c r="N47" s="347"/>
      <c r="O47" s="347"/>
      <c r="P47" s="347"/>
      <c r="Q47" s="347"/>
    </row>
    <row r="48" spans="1:20">
      <c r="A48" s="347" t="s">
        <v>1217</v>
      </c>
      <c r="B48" s="347"/>
      <c r="C48" s="347"/>
      <c r="D48" s="347"/>
      <c r="E48" s="347"/>
      <c r="F48" s="347"/>
      <c r="G48" s="347"/>
      <c r="H48" s="347"/>
      <c r="I48" s="259"/>
      <c r="K48" s="519" t="s">
        <v>1218</v>
      </c>
      <c r="L48" s="327">
        <f>Forecast!M36</f>
        <v>4</v>
      </c>
      <c r="M48" s="347"/>
      <c r="N48" s="347"/>
      <c r="O48" s="347"/>
      <c r="P48" s="347"/>
      <c r="Q48" s="347"/>
    </row>
    <row r="49" spans="1:25">
      <c r="A49" s="347" t="s">
        <v>1219</v>
      </c>
      <c r="B49" s="347"/>
      <c r="C49" s="347"/>
      <c r="D49" s="347"/>
      <c r="E49" s="347"/>
      <c r="F49" s="347"/>
      <c r="G49" s="347"/>
      <c r="H49" s="347"/>
      <c r="I49" s="347"/>
      <c r="K49" s="519" t="s">
        <v>1220</v>
      </c>
      <c r="L49" s="327">
        <f>Forecast!M35</f>
        <v>5</v>
      </c>
    </row>
    <row r="50" spans="1:25">
      <c r="M50" s="347">
        <f>$L$42/$L$48</f>
        <v>9.2342499999999994</v>
      </c>
      <c r="N50" s="347">
        <f>IF($L$48&gt;=2,$L$42/$L$48,0)</f>
        <v>9.2342499999999994</v>
      </c>
      <c r="O50" s="347">
        <f>IF($L$48&gt;=3,$L$42/$L$48,0)</f>
        <v>9.2342499999999994</v>
      </c>
      <c r="P50" s="347">
        <f>IF($L$48&gt;=4,$L$42/$L$48,0)</f>
        <v>9.2342499999999994</v>
      </c>
      <c r="Q50" s="347">
        <f>IF($L$48&gt;=5,$L$42/$L$48,0)</f>
        <v>0</v>
      </c>
    </row>
    <row r="51" spans="1:25">
      <c r="A51" s="347" t="str">
        <f>"CAPEX Depreciation "&amp;M41</f>
        <v>CAPEX Depreciation 2021</v>
      </c>
      <c r="B51" s="347"/>
      <c r="C51" s="347"/>
      <c r="D51" s="347"/>
      <c r="E51" s="347"/>
      <c r="F51" s="347"/>
      <c r="G51" s="347"/>
      <c r="H51" s="347"/>
      <c r="I51" s="347"/>
      <c r="M51" s="347">
        <f>$L$44/$L$49</f>
        <v>0.37980000000000003</v>
      </c>
      <c r="N51" s="347">
        <f>IF($L$49&gt;=2,$L$44/$L$49,0)</f>
        <v>0.37980000000000003</v>
      </c>
      <c r="O51" s="347">
        <f>IF($L$49&gt;=3,$L$44/$L$49,0)</f>
        <v>0.37980000000000003</v>
      </c>
      <c r="P51" s="347">
        <f>IF($L$49&gt;=4,$L$44/$L$49,0)</f>
        <v>0.37980000000000003</v>
      </c>
      <c r="Q51" s="347">
        <f>IF($L$49&gt;=5,$L$44/$L$49,0)</f>
        <v>0.37980000000000003</v>
      </c>
    </row>
    <row r="52" spans="1:25">
      <c r="A52" s="347" t="str">
        <f>"CAPEX Depreciation "&amp;N41</f>
        <v>CAPEX Depreciation 2022</v>
      </c>
      <c r="B52" s="347"/>
      <c r="C52" s="347"/>
      <c r="D52" s="347"/>
      <c r="E52" s="347"/>
      <c r="F52" s="347"/>
      <c r="G52" s="347"/>
      <c r="H52" s="347"/>
      <c r="I52" s="347"/>
      <c r="M52" s="347"/>
      <c r="N52" s="347">
        <f>$M$44/$L$49</f>
        <v>0.75960000000000005</v>
      </c>
      <c r="O52" s="347">
        <f>IF($L$49&gt;=2,$M$44/$L$49,0)</f>
        <v>0.75960000000000005</v>
      </c>
      <c r="P52" s="347">
        <f>IF($L$49&gt;=3,$M$44/$L$49,0)</f>
        <v>0.75960000000000005</v>
      </c>
      <c r="Q52" s="347">
        <f>IF($L$49&gt;=4,$M$44/$L$49,0)</f>
        <v>0.75960000000000005</v>
      </c>
    </row>
    <row r="53" spans="1:25">
      <c r="A53" s="347" t="str">
        <f>"CAPEX Depreciation "&amp;O41</f>
        <v>CAPEX Depreciation 2023</v>
      </c>
      <c r="B53" s="347"/>
      <c r="C53" s="347"/>
      <c r="D53" s="347"/>
      <c r="E53" s="347"/>
      <c r="F53" s="347"/>
      <c r="G53" s="347"/>
      <c r="H53" s="347"/>
      <c r="I53" s="347"/>
      <c r="M53" s="347"/>
      <c r="N53" s="347"/>
      <c r="O53" s="347">
        <f>$N$44/$L$49</f>
        <v>0.79758000000000007</v>
      </c>
      <c r="P53" s="347">
        <f>IF($L$49&gt;=2,$N$44/$L$49,0)</f>
        <v>0.79758000000000007</v>
      </c>
      <c r="Q53" s="347">
        <f>IF($L$49&gt;=3,$N$44/$L$49,0)</f>
        <v>0.79758000000000007</v>
      </c>
    </row>
    <row r="54" spans="1:25">
      <c r="A54" s="347" t="str">
        <f>"CAPEX Depreciation "&amp;P41</f>
        <v>CAPEX Depreciation 2024</v>
      </c>
      <c r="B54" s="347"/>
      <c r="C54" s="347"/>
      <c r="D54" s="347"/>
      <c r="E54" s="347"/>
      <c r="F54" s="347"/>
      <c r="G54" s="347"/>
      <c r="H54" s="347"/>
      <c r="I54" s="347"/>
      <c r="M54" s="347"/>
      <c r="N54" s="347"/>
      <c r="O54" s="347"/>
      <c r="P54" s="347">
        <f>$O$44/$L$49</f>
        <v>0.83745900000000018</v>
      </c>
      <c r="Q54" s="347">
        <f>IF($L$49&gt;=2,$O$44/$L$49,0)</f>
        <v>0.83745900000000018</v>
      </c>
    </row>
    <row r="55" spans="1:25" s="689" customFormat="1">
      <c r="A55" s="347" t="str">
        <f>"CAPEX Depreciation "&amp;Q41</f>
        <v>CAPEX Depreciation 2025</v>
      </c>
      <c r="B55" s="347"/>
      <c r="C55" s="347"/>
      <c r="D55" s="347"/>
      <c r="E55" s="347"/>
      <c r="F55" s="347"/>
      <c r="G55" s="347"/>
      <c r="H55" s="347"/>
      <c r="I55" s="347"/>
      <c r="J55" s="3"/>
      <c r="K55" s="3"/>
      <c r="L55" s="3"/>
      <c r="M55" s="347"/>
      <c r="N55" s="347"/>
      <c r="O55" s="347"/>
      <c r="P55" s="347"/>
      <c r="Q55" s="347">
        <f>$P$44/$L$49</f>
        <v>0.87933195000000031</v>
      </c>
    </row>
    <row r="56" spans="1:25" s="688" customFormat="1" ht="12.75">
      <c r="A56" s="367" t="s">
        <v>1221</v>
      </c>
      <c r="B56" s="367"/>
      <c r="C56" s="367"/>
      <c r="D56" s="367">
        <f>D45</f>
        <v>1.5649999999999999</v>
      </c>
      <c r="E56" s="367">
        <f t="shared" ref="E56:L56" si="37">E45</f>
        <v>1.6579999999999999</v>
      </c>
      <c r="F56" s="367">
        <f t="shared" si="37"/>
        <v>1.7709999999999999</v>
      </c>
      <c r="G56" s="367">
        <f t="shared" si="37"/>
        <v>1.835</v>
      </c>
      <c r="H56" s="367">
        <f t="shared" si="37"/>
        <v>1.9019999999999999</v>
      </c>
      <c r="I56" s="367">
        <f t="shared" si="37"/>
        <v>2.2349999999999999</v>
      </c>
      <c r="J56" s="367">
        <f t="shared" si="37"/>
        <v>2.3290000000000002</v>
      </c>
      <c r="K56" s="367">
        <f t="shared" si="37"/>
        <v>2.581</v>
      </c>
      <c r="L56" s="367">
        <f t="shared" si="37"/>
        <v>2.3119999999999998</v>
      </c>
      <c r="M56" s="367">
        <f>SUM(M50:M55)</f>
        <v>9.6140499999999989</v>
      </c>
      <c r="N56" s="367">
        <f>SUM(N50:N55)</f>
        <v>10.37365</v>
      </c>
      <c r="O56" s="367">
        <f t="shared" ref="O56:Q56" si="38">SUM(O50:O55)</f>
        <v>11.17123</v>
      </c>
      <c r="P56" s="367">
        <f t="shared" si="38"/>
        <v>12.008689</v>
      </c>
      <c r="Q56" s="367">
        <f t="shared" si="38"/>
        <v>3.6537709500000002</v>
      </c>
    </row>
    <row r="57" spans="1:25">
      <c r="A57" s="686" t="s">
        <v>1222</v>
      </c>
      <c r="B57" s="686"/>
      <c r="C57" s="686"/>
      <c r="D57" s="687"/>
      <c r="E57" s="687">
        <f t="shared" ref="E57" si="39">E56/D56-1</f>
        <v>5.9424920127795433E-2</v>
      </c>
      <c r="F57" s="687">
        <f t="shared" ref="F57" si="40">F56/E56-1</f>
        <v>6.8154402895054256E-2</v>
      </c>
      <c r="G57" s="687">
        <f t="shared" ref="G57" si="41">G56/F56-1</f>
        <v>3.6137775268210159E-2</v>
      </c>
      <c r="H57" s="687">
        <f t="shared" ref="H57" si="42">H56/G56-1</f>
        <v>3.6512261580381455E-2</v>
      </c>
      <c r="I57" s="687">
        <f t="shared" ref="I57" si="43">I56/H56-1</f>
        <v>0.17507886435331232</v>
      </c>
      <c r="J57" s="687">
        <f t="shared" ref="J57" si="44">J56/I56-1</f>
        <v>4.2058165548098492E-2</v>
      </c>
      <c r="K57" s="687">
        <f t="shared" ref="K57" si="45">K56/J56-1</f>
        <v>0.10820094461142116</v>
      </c>
      <c r="L57" s="687">
        <f t="shared" ref="L57" si="46">L56/K56-1</f>
        <v>-0.10422316931421938</v>
      </c>
      <c r="M57" s="687">
        <f t="shared" ref="M57" si="47">M56/L56-1</f>
        <v>3.1583261245674743</v>
      </c>
      <c r="N57" s="687">
        <f t="shared" ref="N57" si="48">N56/M56-1</f>
        <v>7.9009366500070399E-2</v>
      </c>
      <c r="O57" s="687">
        <f t="shared" ref="O57" si="49">O56/N56-1</f>
        <v>7.6885185060224792E-2</v>
      </c>
      <c r="P57" s="687">
        <f t="shared" ref="P57" si="50">P56/O56-1</f>
        <v>7.4965693124212862E-2</v>
      </c>
      <c r="Q57" s="687">
        <f t="shared" ref="Q57" si="51">Q56/P56-1</f>
        <v>-0.69573939753123759</v>
      </c>
    </row>
    <row r="58" spans="1:25">
      <c r="A58" s="377"/>
      <c r="B58" s="327"/>
      <c r="C58" s="327"/>
      <c r="D58" s="327"/>
      <c r="E58" s="327"/>
      <c r="F58" s="327"/>
      <c r="G58" s="327"/>
      <c r="H58" s="327"/>
      <c r="I58" s="327"/>
      <c r="J58" s="327"/>
      <c r="K58" s="327"/>
      <c r="L58" s="327"/>
      <c r="N58" s="259"/>
      <c r="O58" s="259"/>
    </row>
    <row r="59" spans="1:25">
      <c r="A59" s="701" t="s">
        <v>1223</v>
      </c>
      <c r="B59" s="702"/>
      <c r="C59" s="703"/>
      <c r="D59" s="703"/>
      <c r="E59" s="703"/>
      <c r="F59" s="703"/>
      <c r="G59" s="703"/>
      <c r="H59" s="703"/>
      <c r="I59" s="703"/>
      <c r="J59" s="703"/>
      <c r="K59" s="703"/>
      <c r="L59" s="703"/>
      <c r="M59" s="707">
        <f t="shared" ref="M59:P59" si="52">M41</f>
        <v>2021</v>
      </c>
      <c r="N59" s="707">
        <f t="shared" si="52"/>
        <v>2022</v>
      </c>
      <c r="O59" s="707">
        <f t="shared" si="52"/>
        <v>2023</v>
      </c>
      <c r="P59" s="707">
        <f t="shared" si="52"/>
        <v>2024</v>
      </c>
      <c r="Q59" s="707">
        <f>Q41</f>
        <v>2025</v>
      </c>
    </row>
    <row r="60" spans="1:25">
      <c r="A60" s="344" t="s">
        <v>1224</v>
      </c>
      <c r="R60" s="327"/>
      <c r="S60" s="327"/>
      <c r="T60" s="327"/>
      <c r="U60" s="327"/>
      <c r="V60" s="327"/>
      <c r="W60" s="327"/>
      <c r="X60" s="327"/>
      <c r="Y60" s="327"/>
    </row>
    <row r="61" spans="1:25">
      <c r="A61" s="3" t="s">
        <v>1225</v>
      </c>
      <c r="C61" s="327"/>
      <c r="D61" s="327"/>
      <c r="E61" s="327"/>
      <c r="F61" s="327"/>
      <c r="G61" s="327"/>
      <c r="H61" s="327"/>
      <c r="I61" s="327"/>
      <c r="M61" s="327">
        <f>Forecast!L72</f>
        <v>14.288</v>
      </c>
      <c r="N61" s="327">
        <f>Forecast!M72</f>
        <v>19.127059725027006</v>
      </c>
      <c r="O61" s="327">
        <f ca="1">Forecast!N72</f>
        <v>31.091541987960902</v>
      </c>
      <c r="P61" s="327">
        <f ca="1">Forecast!O72</f>
        <v>42.609196057451705</v>
      </c>
      <c r="Q61" s="327">
        <f ca="1">Forecast!P72</f>
        <v>54.55860255782315</v>
      </c>
      <c r="R61" s="327"/>
      <c r="S61" s="327"/>
      <c r="T61" s="327"/>
      <c r="U61" s="327"/>
      <c r="V61" s="327"/>
      <c r="W61" s="327"/>
      <c r="X61" s="327"/>
      <c r="Y61" s="327"/>
    </row>
    <row r="62" spans="1:25">
      <c r="A62" s="3" t="s">
        <v>1189</v>
      </c>
      <c r="C62" s="327"/>
      <c r="D62" s="327"/>
      <c r="E62" s="327"/>
      <c r="F62" s="327"/>
      <c r="G62" s="327"/>
      <c r="H62" s="327"/>
      <c r="I62" s="327"/>
      <c r="J62" s="327"/>
      <c r="K62" s="327"/>
      <c r="L62" s="327"/>
      <c r="M62" s="327">
        <f>Forecast!M68</f>
        <v>4.9390597250270059</v>
      </c>
      <c r="N62" s="327">
        <f ca="1">Forecast!N68</f>
        <v>12.064482262933897</v>
      </c>
      <c r="O62" s="327">
        <f ca="1">Forecast!O68</f>
        <v>11.617654069490801</v>
      </c>
      <c r="P62" s="327">
        <f ca="1">Forecast!P68</f>
        <v>12.04940650037145</v>
      </c>
      <c r="Q62" s="327">
        <f ca="1">Forecast!Q68</f>
        <v>3.8072919380473009</v>
      </c>
      <c r="R62" s="327"/>
      <c r="S62" s="327"/>
      <c r="T62" s="327"/>
      <c r="U62" s="327"/>
      <c r="V62" s="327"/>
      <c r="W62" s="327"/>
      <c r="X62" s="327"/>
      <c r="Y62" s="327"/>
    </row>
    <row r="63" spans="1:25">
      <c r="A63" s="694" t="s">
        <v>1226</v>
      </c>
      <c r="B63" s="694"/>
      <c r="C63" s="694"/>
      <c r="D63" s="694"/>
      <c r="E63" s="694"/>
      <c r="F63" s="694"/>
      <c r="G63" s="694"/>
      <c r="H63" s="694"/>
      <c r="I63" s="694"/>
      <c r="J63" s="694"/>
      <c r="K63" s="694"/>
      <c r="L63" s="694"/>
      <c r="M63" s="694">
        <v>-1</v>
      </c>
      <c r="N63" s="694">
        <f>M63</f>
        <v>-1</v>
      </c>
      <c r="O63" s="694">
        <f t="shared" ref="O63:Q63" si="53">N63</f>
        <v>-1</v>
      </c>
      <c r="P63" s="694">
        <f t="shared" si="53"/>
        <v>-1</v>
      </c>
      <c r="Q63" s="694">
        <f t="shared" si="53"/>
        <v>-1</v>
      </c>
      <c r="R63" s="327"/>
      <c r="S63" s="327"/>
      <c r="T63" s="327"/>
      <c r="U63" s="327"/>
      <c r="V63" s="327"/>
      <c r="W63" s="327"/>
      <c r="X63" s="327"/>
      <c r="Y63" s="327"/>
    </row>
    <row r="64" spans="1:25">
      <c r="A64" s="3" t="s">
        <v>1227</v>
      </c>
      <c r="M64" s="327">
        <f>SUM(M61:M63)</f>
        <v>18.227059725027004</v>
      </c>
      <c r="N64" s="327">
        <f ca="1">SUM(N61:N63)</f>
        <v>30.191541987960903</v>
      </c>
      <c r="O64" s="327">
        <f ca="1">SUM(O61:O63)</f>
        <v>41.709196057451706</v>
      </c>
      <c r="P64" s="327">
        <f t="shared" ref="P64:Q64" ca="1" si="54">SUM(P61:P63)</f>
        <v>53.658602557823158</v>
      </c>
      <c r="Q64" s="327">
        <f t="shared" ca="1" si="54"/>
        <v>57.36589449587045</v>
      </c>
    </row>
    <row r="66" spans="1:17">
      <c r="A66" s="704" t="s">
        <v>1228</v>
      </c>
    </row>
    <row r="67" spans="1:17">
      <c r="A67" s="3" t="s">
        <v>1229</v>
      </c>
      <c r="M67" s="327">
        <f>Forecast!L90</f>
        <v>2.41</v>
      </c>
      <c r="N67" s="327">
        <f>M69</f>
        <v>2.3963967365176324</v>
      </c>
      <c r="O67" s="327">
        <f t="shared" ref="O67:Q67" si="55">N69</f>
        <v>2.3827934730352647</v>
      </c>
      <c r="P67" s="327">
        <f t="shared" si="55"/>
        <v>2.3691902095528969</v>
      </c>
      <c r="Q67" s="327">
        <f t="shared" si="55"/>
        <v>2.3555869460705292</v>
      </c>
    </row>
    <row r="68" spans="1:17">
      <c r="A68" s="3" t="s">
        <v>1230</v>
      </c>
      <c r="M68" s="327">
        <f>Forecast!$M$89*Forecast!M59</f>
        <v>-1.3603263482367581E-2</v>
      </c>
      <c r="N68" s="327">
        <f>Forecast!$M$89*Forecast!N59</f>
        <v>-1.3603263482367581E-2</v>
      </c>
      <c r="O68" s="327">
        <f>Forecast!$M$89*Forecast!O59</f>
        <v>-1.3603263482367581E-2</v>
      </c>
      <c r="P68" s="327">
        <f>Forecast!$M$89*Forecast!P59</f>
        <v>-1.3603263482367581E-2</v>
      </c>
      <c r="Q68" s="327">
        <f>Forecast!$M$89*Forecast!Q59</f>
        <v>-1.3603263482367581E-2</v>
      </c>
    </row>
    <row r="69" spans="1:17">
      <c r="A69" s="3" t="s">
        <v>1231</v>
      </c>
      <c r="M69" s="327">
        <f>SUM(M67:M68)</f>
        <v>2.3963967365176324</v>
      </c>
      <c r="N69" s="327">
        <f>SUM(N67:N68)</f>
        <v>2.3827934730352647</v>
      </c>
      <c r="O69" s="327">
        <f t="shared" ref="O69:Q69" si="56">SUM(O67:O68)</f>
        <v>2.3691902095528969</v>
      </c>
      <c r="P69" s="327">
        <f t="shared" si="56"/>
        <v>2.3555869460705292</v>
      </c>
      <c r="Q69" s="327">
        <f t="shared" si="56"/>
        <v>2.3419836825881615</v>
      </c>
    </row>
    <row r="70" spans="1:17">
      <c r="A70" s="705" t="s">
        <v>594</v>
      </c>
      <c r="M70" s="327">
        <f ca="1">AVERAGE(M69,M67)*Forecast!$Q$13</f>
        <v>3.7009254871185768E-2</v>
      </c>
      <c r="N70" s="327">
        <f ca="1">AVERAGE(N69,N67)*Forecast!$Q$13</f>
        <v>3.6799764613557315E-2</v>
      </c>
      <c r="O70" s="327">
        <f ca="1">AVERAGE(O69,O67)*Forecast!$Q$13</f>
        <v>3.6590274355928841E-2</v>
      </c>
      <c r="P70" s="327">
        <f ca="1">AVERAGE(P69,P67)*Forecast!$Q$13</f>
        <v>3.6380784098300388E-2</v>
      </c>
      <c r="Q70" s="327">
        <f ca="1">AVERAGE(Q69,Q67)*Forecast!$Q$13</f>
        <v>3.6171293840671914E-2</v>
      </c>
    </row>
    <row r="71" spans="1:17">
      <c r="A71" s="705"/>
      <c r="M71" s="378"/>
      <c r="N71" s="378"/>
      <c r="O71" s="378"/>
      <c r="P71" s="378"/>
      <c r="Q71" s="378"/>
    </row>
    <row r="72" spans="1:17">
      <c r="A72" s="704" t="s">
        <v>1232</v>
      </c>
    </row>
    <row r="73" spans="1:17">
      <c r="A73" s="3" t="s">
        <v>1229</v>
      </c>
      <c r="M73" s="327">
        <f>Forecast!L99</f>
        <v>33.137999999999998</v>
      </c>
      <c r="N73" s="327">
        <f>M75</f>
        <v>33.051603263482363</v>
      </c>
      <c r="O73" s="327">
        <f t="shared" ref="O73:Q73" si="57">N75</f>
        <v>32.965206526964728</v>
      </c>
      <c r="P73" s="327">
        <f t="shared" si="57"/>
        <v>32.878809790447093</v>
      </c>
      <c r="Q73" s="327">
        <f t="shared" si="57"/>
        <v>32.792413053929458</v>
      </c>
    </row>
    <row r="74" spans="1:17">
      <c r="A74" s="3" t="s">
        <v>1230</v>
      </c>
      <c r="M74" s="327">
        <f>Forecast!M59-'Supp. Schedule'!M68</f>
        <v>-8.6396736517632425E-2</v>
      </c>
      <c r="N74" s="327">
        <f>Forecast!N59-'Supp. Schedule'!N68</f>
        <v>-8.6396736517632425E-2</v>
      </c>
      <c r="O74" s="327">
        <f>Forecast!O59-'Supp. Schedule'!O68</f>
        <v>-8.6396736517632425E-2</v>
      </c>
      <c r="P74" s="327">
        <f>Forecast!P59-'Supp. Schedule'!P68</f>
        <v>-8.6396736517632425E-2</v>
      </c>
      <c r="Q74" s="327">
        <f>Forecast!Q59-'Supp. Schedule'!Q68</f>
        <v>-8.6396736517632425E-2</v>
      </c>
    </row>
    <row r="75" spans="1:17">
      <c r="A75" s="3" t="s">
        <v>1231</v>
      </c>
      <c r="M75" s="327">
        <f>SUM(M73:M74)</f>
        <v>33.051603263482363</v>
      </c>
      <c r="N75" s="327">
        <f t="shared" ref="N75:Q75" si="58">SUM(N73:N74)</f>
        <v>32.965206526964728</v>
      </c>
      <c r="O75" s="327">
        <f t="shared" si="58"/>
        <v>32.878809790447093</v>
      </c>
      <c r="P75" s="327">
        <f t="shared" si="58"/>
        <v>32.792413053929458</v>
      </c>
      <c r="Q75" s="327">
        <f t="shared" si="58"/>
        <v>32.706016317411823</v>
      </c>
    </row>
    <row r="76" spans="1:17">
      <c r="A76" s="705" t="s">
        <v>594</v>
      </c>
      <c r="M76" s="327">
        <f>AVERAGE(M75,M73)*Forecast!$M$13</f>
        <v>1.4363143908175671</v>
      </c>
      <c r="N76" s="327">
        <f>AVERAGE(N75,N73)*Forecast!$M$13</f>
        <v>1.432564772452702</v>
      </c>
      <c r="O76" s="327">
        <f>AVERAGE(O75,O73)*Forecast!$M$13</f>
        <v>1.4288151540878364</v>
      </c>
      <c r="P76" s="327">
        <f>AVERAGE(P75,P73)*Forecast!$M$13</f>
        <v>1.4250655357229713</v>
      </c>
      <c r="Q76" s="327">
        <f>AVERAGE(Q75,Q73)*Forecast!$M$13</f>
        <v>1.4213159173581056</v>
      </c>
    </row>
    <row r="77" spans="1:17">
      <c r="A77" s="705"/>
    </row>
    <row r="78" spans="1:17">
      <c r="A78" s="3" t="s">
        <v>1233</v>
      </c>
      <c r="M78" s="327">
        <f>Forecast!M59</f>
        <v>-0.1</v>
      </c>
      <c r="N78" s="327">
        <f>Forecast!N59</f>
        <v>-0.1</v>
      </c>
      <c r="O78" s="327">
        <f>Forecast!O59</f>
        <v>-0.1</v>
      </c>
      <c r="P78" s="327">
        <f>Forecast!P59</f>
        <v>-0.1</v>
      </c>
      <c r="Q78" s="327">
        <f>Forecast!Q59</f>
        <v>-0.1</v>
      </c>
    </row>
    <row r="79" spans="1:17">
      <c r="A79" s="3" t="s">
        <v>1234</v>
      </c>
      <c r="M79" s="327">
        <f ca="1">M70+M76</f>
        <v>1.4733236456887528</v>
      </c>
      <c r="N79" s="327">
        <f t="shared" ref="N79:Q79" ca="1" si="59">N70+N76</f>
        <v>1.4693645370662594</v>
      </c>
      <c r="O79" s="327">
        <f t="shared" ca="1" si="59"/>
        <v>1.4654054284437652</v>
      </c>
      <c r="P79" s="327">
        <f t="shared" ca="1" si="59"/>
        <v>1.4614463198212717</v>
      </c>
      <c r="Q79" s="327">
        <f t="shared" ca="1" si="59"/>
        <v>1.4574872111987776</v>
      </c>
    </row>
    <row r="81" spans="1:17">
      <c r="A81" s="3" t="s">
        <v>1235</v>
      </c>
      <c r="M81" s="327">
        <f>M61+M62+M78</f>
        <v>19.127059725027003</v>
      </c>
      <c r="N81" s="327">
        <f ca="1">N61+N62+N78</f>
        <v>31.091541987960902</v>
      </c>
      <c r="O81" s="327">
        <f t="shared" ref="O81:Q81" ca="1" si="60">O61+O62+O78</f>
        <v>42.609196057451705</v>
      </c>
      <c r="P81" s="327">
        <f t="shared" ca="1" si="60"/>
        <v>54.558602557823157</v>
      </c>
      <c r="Q81" s="327">
        <f t="shared" ca="1" si="60"/>
        <v>58.265894495870448</v>
      </c>
    </row>
    <row r="82" spans="1:17">
      <c r="A82" s="705" t="s">
        <v>1236</v>
      </c>
      <c r="M82" s="327">
        <f ca="1">AVERAGE(M81,M61)*Forecast!$Q$13*0.5</f>
        <v>0.12864797994135399</v>
      </c>
      <c r="N82" s="327">
        <f ca="1">AVERAGE(N81,N61)*Forecast!$Q$13*0.5</f>
        <v>0.19334161659500343</v>
      </c>
      <c r="O82" s="327">
        <f ca="1">AVERAGE(O81,O61)*Forecast!$Q$13*0.5</f>
        <v>0.28374784147483856</v>
      </c>
      <c r="P82" s="327">
        <f ca="1">AVERAGE(P81,P61)*Forecast!$Q$13*0.5</f>
        <v>0.3740960246688082</v>
      </c>
      <c r="Q82" s="327">
        <f ca="1">AVERAGE(Q81,Q61)*Forecast!$Q$13*0.5</f>
        <v>0.43437431365672036</v>
      </c>
    </row>
    <row r="83" spans="1:17">
      <c r="A83" s="705" t="s">
        <v>1237</v>
      </c>
      <c r="B83" s="648"/>
      <c r="M83" s="706"/>
    </row>
    <row r="85" spans="1:17">
      <c r="A85" s="3" t="s">
        <v>1238</v>
      </c>
      <c r="M85" s="887">
        <f ca="1">M76-M82</f>
        <v>1.307666410876213</v>
      </c>
      <c r="N85" s="887">
        <f ca="1">N76-N82</f>
        <v>1.2392231558576985</v>
      </c>
      <c r="O85" s="887">
        <f ca="1">O76-O82</f>
        <v>1.1450673126129978</v>
      </c>
      <c r="P85" s="887">
        <f ca="1">P76-P82</f>
        <v>1.0509695110541633</v>
      </c>
      <c r="Q85" s="887">
        <f ca="1">Q76-Q82</f>
        <v>0.98694160370138517</v>
      </c>
    </row>
    <row r="87" spans="1:17">
      <c r="A87" s="259"/>
      <c r="C87" s="259"/>
      <c r="D87" s="259"/>
      <c r="E87" s="259"/>
      <c r="F87" s="259"/>
      <c r="G87" s="259"/>
      <c r="H87" s="259"/>
      <c r="I87" s="259"/>
      <c r="J87" s="259"/>
      <c r="K87" s="259"/>
      <c r="L87" s="259"/>
    </row>
    <row r="88" spans="1:17">
      <c r="A88" s="255"/>
      <c r="C88" s="255"/>
      <c r="D88" s="255"/>
      <c r="E88" s="255"/>
      <c r="F88" s="255"/>
      <c r="G88" s="255"/>
      <c r="H88" s="255"/>
      <c r="I88" s="255"/>
      <c r="J88" s="255"/>
      <c r="K88" s="255"/>
      <c r="L88" s="255"/>
    </row>
    <row r="89" spans="1:17">
      <c r="A89" s="259"/>
      <c r="C89" s="259"/>
      <c r="D89" s="259"/>
      <c r="E89" s="259"/>
      <c r="F89" s="259"/>
      <c r="G89" s="259"/>
      <c r="H89" s="259"/>
      <c r="I89" s="259"/>
      <c r="J89" s="259"/>
      <c r="K89" s="259"/>
      <c r="L89" s="259"/>
    </row>
    <row r="90" spans="1:17">
      <c r="A90" s="255"/>
      <c r="C90" s="255"/>
      <c r="D90" s="255"/>
      <c r="E90" s="255"/>
      <c r="F90" s="255"/>
      <c r="G90" s="255"/>
      <c r="H90" s="255"/>
      <c r="I90" s="255"/>
      <c r="J90" s="255"/>
      <c r="K90" s="255"/>
      <c r="L90" s="255"/>
    </row>
    <row r="91" spans="1:17">
      <c r="A91" s="327"/>
      <c r="C91" s="260"/>
      <c r="D91" s="260"/>
      <c r="E91" s="260"/>
      <c r="F91" s="260"/>
      <c r="G91" s="260"/>
      <c r="H91" s="260"/>
      <c r="I91" s="260"/>
      <c r="J91" s="260"/>
      <c r="K91" s="260"/>
      <c r="L91" s="260"/>
      <c r="N91" s="377"/>
    </row>
    <row r="92" spans="1:17">
      <c r="A92" s="377"/>
      <c r="C92" s="260"/>
      <c r="D92" s="260"/>
      <c r="E92" s="260"/>
      <c r="F92" s="260"/>
      <c r="G92" s="260"/>
      <c r="H92" s="260"/>
      <c r="I92" s="260"/>
      <c r="J92" s="260"/>
      <c r="K92" s="260"/>
      <c r="L92" s="260"/>
    </row>
    <row r="93" spans="1:17">
      <c r="A93" s="710"/>
      <c r="B93" s="659"/>
      <c r="C93" s="711"/>
      <c r="D93" s="711"/>
      <c r="E93" s="711"/>
      <c r="F93" s="711"/>
      <c r="G93" s="711"/>
      <c r="H93" s="711"/>
      <c r="I93" s="711"/>
      <c r="J93" s="711"/>
      <c r="K93" s="711"/>
      <c r="L93" s="711"/>
      <c r="M93" s="659"/>
      <c r="N93" s="659"/>
      <c r="O93" s="710"/>
    </row>
    <row r="94" spans="1:17">
      <c r="A94" s="710"/>
      <c r="B94" s="659"/>
      <c r="C94" s="711"/>
      <c r="D94" s="711"/>
      <c r="E94" s="711"/>
      <c r="F94" s="711"/>
      <c r="G94" s="711"/>
      <c r="H94" s="711"/>
      <c r="I94" s="711"/>
      <c r="J94" s="711"/>
      <c r="K94" s="711"/>
      <c r="L94" s="711"/>
      <c r="M94" s="659"/>
      <c r="N94" s="659"/>
      <c r="O94" s="710"/>
    </row>
    <row r="95" spans="1:17">
      <c r="A95" s="710"/>
      <c r="B95" s="659"/>
      <c r="C95" s="711"/>
      <c r="D95" s="711"/>
      <c r="E95" s="711"/>
      <c r="F95" s="711"/>
      <c r="G95" s="711"/>
      <c r="H95" s="711"/>
      <c r="I95" s="711"/>
      <c r="J95" s="711"/>
      <c r="K95" s="711"/>
      <c r="L95" s="711"/>
      <c r="M95" s="659"/>
      <c r="N95" s="659"/>
      <c r="O95" s="710"/>
    </row>
    <row r="96" spans="1:17">
      <c r="A96" s="712"/>
      <c r="B96" s="659"/>
      <c r="C96" s="713"/>
      <c r="D96" s="713"/>
      <c r="E96" s="713"/>
      <c r="F96" s="713"/>
      <c r="G96" s="713"/>
      <c r="H96" s="713"/>
      <c r="I96" s="713"/>
      <c r="J96" s="713"/>
      <c r="K96" s="713"/>
      <c r="L96" s="713"/>
      <c r="M96" s="659"/>
      <c r="N96" s="659"/>
      <c r="O96" s="712"/>
    </row>
    <row r="97" spans="1:21">
      <c r="A97" s="712"/>
      <c r="B97" s="659"/>
      <c r="C97" s="698"/>
      <c r="D97" s="698"/>
      <c r="E97" s="698"/>
      <c r="F97" s="698"/>
      <c r="G97" s="698"/>
      <c r="H97" s="698"/>
      <c r="I97" s="698"/>
      <c r="J97" s="698"/>
      <c r="K97" s="698"/>
      <c r="L97" s="698"/>
      <c r="M97" s="659"/>
      <c r="N97" s="659"/>
      <c r="O97" s="712"/>
    </row>
    <row r="98" spans="1:21">
      <c r="A98" s="712"/>
      <c r="B98" s="659"/>
      <c r="C98" s="698"/>
      <c r="D98" s="698"/>
      <c r="E98" s="698"/>
      <c r="F98" s="698"/>
      <c r="G98" s="698"/>
      <c r="H98" s="698"/>
      <c r="I98" s="698"/>
      <c r="J98" s="698"/>
      <c r="K98" s="698"/>
      <c r="L98" s="698"/>
      <c r="M98" s="659"/>
      <c r="N98" s="659"/>
      <c r="O98" s="712"/>
    </row>
    <row r="99" spans="1:21">
      <c r="A99" s="710"/>
      <c r="B99" s="659"/>
      <c r="C99" s="711"/>
      <c r="D99" s="711"/>
      <c r="E99" s="711"/>
      <c r="F99" s="711"/>
      <c r="G99" s="711"/>
      <c r="H99" s="711"/>
      <c r="I99" s="711"/>
      <c r="J99" s="711"/>
      <c r="K99" s="711"/>
      <c r="L99" s="711"/>
      <c r="M99" s="659"/>
      <c r="N99" s="659"/>
      <c r="O99" s="710"/>
    </row>
    <row r="100" spans="1:21">
      <c r="A100" s="710"/>
      <c r="B100" s="659"/>
      <c r="C100" s="711"/>
      <c r="D100" s="711"/>
      <c r="E100" s="711"/>
      <c r="F100" s="711"/>
      <c r="G100" s="711"/>
      <c r="H100" s="711"/>
      <c r="I100" s="711"/>
      <c r="J100" s="711"/>
      <c r="K100" s="711"/>
      <c r="L100" s="711"/>
      <c r="M100" s="659"/>
      <c r="N100" s="659"/>
      <c r="O100" s="710"/>
    </row>
    <row r="101" spans="1:21">
      <c r="A101" s="710"/>
      <c r="B101" s="659"/>
      <c r="C101" s="711"/>
      <c r="D101" s="711"/>
      <c r="E101" s="711"/>
      <c r="F101" s="711"/>
      <c r="G101" s="711"/>
      <c r="H101" s="711"/>
      <c r="I101" s="711"/>
      <c r="J101" s="711"/>
      <c r="K101" s="711"/>
      <c r="L101" s="711"/>
      <c r="M101" s="659"/>
      <c r="N101" s="659"/>
      <c r="O101" s="710"/>
    </row>
    <row r="102" spans="1:21">
      <c r="A102" s="522"/>
      <c r="C102" s="524"/>
      <c r="D102" s="524"/>
      <c r="E102" s="524"/>
      <c r="F102" s="524"/>
      <c r="G102" s="524"/>
      <c r="H102" s="524"/>
      <c r="I102" s="524"/>
      <c r="J102" s="524"/>
      <c r="K102" s="524"/>
      <c r="L102" s="524"/>
      <c r="O102" s="522"/>
    </row>
    <row r="103" spans="1:21">
      <c r="A103" s="522"/>
      <c r="C103" s="327"/>
      <c r="D103" s="327"/>
      <c r="E103" s="327"/>
      <c r="F103" s="327"/>
      <c r="G103" s="327"/>
      <c r="H103" s="327"/>
      <c r="I103" s="327"/>
      <c r="J103" s="327"/>
      <c r="K103" s="327"/>
      <c r="L103" s="327"/>
      <c r="O103" s="522"/>
    </row>
    <row r="104" spans="1:21">
      <c r="A104" s="526"/>
      <c r="C104" s="327"/>
      <c r="D104" s="327"/>
      <c r="E104" s="327"/>
      <c r="F104" s="327"/>
      <c r="G104" s="327"/>
      <c r="H104" s="327"/>
      <c r="I104" s="327"/>
      <c r="J104" s="327"/>
      <c r="K104" s="327"/>
      <c r="L104" s="327"/>
      <c r="O104" s="526"/>
    </row>
    <row r="105" spans="1:21">
      <c r="A105" s="372"/>
      <c r="C105" s="525"/>
      <c r="D105" s="525"/>
      <c r="E105" s="525"/>
      <c r="F105" s="525"/>
      <c r="G105" s="525"/>
      <c r="H105" s="525"/>
      <c r="I105" s="525"/>
      <c r="J105" s="525"/>
      <c r="K105" s="525"/>
      <c r="L105" s="525"/>
      <c r="O105" s="372"/>
    </row>
    <row r="106" spans="1:21">
      <c r="A106" s="372"/>
      <c r="C106" s="527"/>
      <c r="D106" s="527"/>
      <c r="E106" s="527"/>
      <c r="F106" s="527"/>
      <c r="G106" s="527"/>
      <c r="H106" s="527"/>
      <c r="I106" s="527"/>
      <c r="J106" s="527"/>
      <c r="K106" s="527"/>
      <c r="L106" s="527"/>
      <c r="O106" s="372"/>
    </row>
    <row r="107" spans="1:21">
      <c r="A107" s="377"/>
      <c r="C107" s="327"/>
      <c r="D107" s="327"/>
      <c r="E107" s="327"/>
      <c r="F107" s="327"/>
      <c r="G107" s="327"/>
      <c r="H107" s="327"/>
      <c r="I107" s="327"/>
      <c r="J107" s="327"/>
      <c r="K107" s="327"/>
      <c r="L107" s="327"/>
    </row>
    <row r="108" spans="1:21">
      <c r="A108" s="526"/>
      <c r="C108" s="327"/>
      <c r="D108" s="327"/>
      <c r="E108" s="327"/>
      <c r="F108" s="327"/>
      <c r="H108" s="327"/>
      <c r="I108" s="327"/>
      <c r="J108" s="327"/>
      <c r="K108" s="327"/>
      <c r="L108" s="327"/>
      <c r="U108" s="327"/>
    </row>
    <row r="109" spans="1:21">
      <c r="A109" s="327"/>
    </row>
    <row r="110" spans="1:21">
      <c r="A110" s="327"/>
    </row>
    <row r="111" spans="1:21">
      <c r="A111" s="327"/>
    </row>
    <row r="112" spans="1:21">
      <c r="A112" s="327"/>
    </row>
    <row r="113" spans="1:1">
      <c r="A113" s="327"/>
    </row>
    <row r="114" spans="1:1">
      <c r="A114" s="327"/>
    </row>
    <row r="115" spans="1:1">
      <c r="A115" s="327"/>
    </row>
    <row r="116" spans="1:1">
      <c r="A116" s="327"/>
    </row>
    <row r="117" spans="1:1">
      <c r="A117" s="327"/>
    </row>
    <row r="118" spans="1:1">
      <c r="A118" s="327"/>
    </row>
    <row r="119" spans="1:1">
      <c r="A119" s="327"/>
    </row>
    <row r="120" spans="1:1">
      <c r="A120" s="327"/>
    </row>
    <row r="121" spans="1:1">
      <c r="A121" s="327"/>
    </row>
    <row r="122" spans="1:1">
      <c r="A122" s="327"/>
    </row>
    <row r="123" spans="1:1">
      <c r="A123" s="327"/>
    </row>
    <row r="124" spans="1:1">
      <c r="A124" s="327"/>
    </row>
    <row r="125" spans="1:1">
      <c r="A125" s="327"/>
    </row>
    <row r="126" spans="1:1">
      <c r="A126" s="327"/>
    </row>
    <row r="127" spans="1:1">
      <c r="A127" s="327"/>
    </row>
    <row r="128" spans="1:1">
      <c r="A128" s="327"/>
    </row>
    <row r="129" spans="1:1">
      <c r="A129" s="327"/>
    </row>
    <row r="130" spans="1:1">
      <c r="A130" s="327"/>
    </row>
    <row r="131" spans="1:1">
      <c r="A131" s="327"/>
    </row>
    <row r="132" spans="1:1">
      <c r="A132" s="327"/>
    </row>
    <row r="133" spans="1:1">
      <c r="A133" s="327"/>
    </row>
    <row r="134" spans="1:1">
      <c r="A134" s="327"/>
    </row>
    <row r="135" spans="1:1">
      <c r="A135" s="327"/>
    </row>
    <row r="136" spans="1:1">
      <c r="A136" s="327"/>
    </row>
    <row r="137" spans="1:1">
      <c r="A137" s="327"/>
    </row>
    <row r="138" spans="1:1">
      <c r="A138" s="327"/>
    </row>
    <row r="139" spans="1:1">
      <c r="A139" s="327"/>
    </row>
    <row r="140" spans="1:1">
      <c r="A140" s="327"/>
    </row>
    <row r="141" spans="1:1">
      <c r="A141" s="327"/>
    </row>
    <row r="142" spans="1:1">
      <c r="A142" s="327"/>
    </row>
    <row r="143" spans="1:1">
      <c r="A143" s="327"/>
    </row>
    <row r="144" spans="1:1">
      <c r="A144" s="327"/>
    </row>
    <row r="145" spans="1:1">
      <c r="A145" s="327"/>
    </row>
    <row r="146" spans="1:1">
      <c r="A146" s="327"/>
    </row>
    <row r="147" spans="1:1">
      <c r="A147" s="327"/>
    </row>
    <row r="148" spans="1:1">
      <c r="A148" s="327"/>
    </row>
    <row r="149" spans="1:1">
      <c r="A149" s="327"/>
    </row>
    <row r="150" spans="1:1">
      <c r="A150" s="327"/>
    </row>
    <row r="151" spans="1:1">
      <c r="A151" s="327"/>
    </row>
    <row r="152" spans="1:1">
      <c r="A152" s="327"/>
    </row>
    <row r="153" spans="1:1">
      <c r="A153" s="327"/>
    </row>
    <row r="154" spans="1:1">
      <c r="A154" s="327"/>
    </row>
    <row r="155" spans="1:1">
      <c r="A155" s="327"/>
    </row>
    <row r="156" spans="1:1">
      <c r="A156" s="327"/>
    </row>
    <row r="157" spans="1:1">
      <c r="A157" s="327"/>
    </row>
    <row r="158" spans="1:1">
      <c r="A158" s="327"/>
    </row>
    <row r="159" spans="1:1">
      <c r="A159" s="327"/>
    </row>
    <row r="160" spans="1:1">
      <c r="A160" s="327"/>
    </row>
    <row r="161" spans="1:1">
      <c r="A161" s="327"/>
    </row>
    <row r="162" spans="1:1">
      <c r="A162" s="327"/>
    </row>
  </sheetData>
  <pageMargins left="0.7" right="0.7" top="0.78740157499999996" bottom="0.78740157499999996"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32">
    <tabColor theme="2" tint="-0.749992370372631"/>
  </sheetPr>
  <dimension ref="A1:S902"/>
  <sheetViews>
    <sheetView showGridLines="0" zoomScaleNormal="100" workbookViewId="0">
      <pane ySplit="3" topLeftCell="A4" activePane="bottomLeft" state="frozen"/>
      <selection activeCell="E31" sqref="E31"/>
      <selection pane="bottomLeft" activeCell="F15" sqref="F15"/>
    </sheetView>
  </sheetViews>
  <sheetFormatPr defaultColWidth="9.28515625" defaultRowHeight="15"/>
  <cols>
    <col min="1" max="1" width="23.7109375" style="558" customWidth="1"/>
    <col min="2" max="2" width="11.140625" style="558" customWidth="1"/>
    <col min="3" max="3" width="9.28515625" style="558"/>
    <col min="4" max="4" width="1.28515625" style="558" customWidth="1"/>
    <col min="5" max="10" width="11.28515625" style="558" customWidth="1"/>
    <col min="11" max="11" width="9.28515625" style="558"/>
    <col min="12" max="12" width="9.7109375" customWidth="1"/>
    <col min="14" max="14" width="11.7109375" customWidth="1"/>
    <col min="15" max="17" width="10.7109375" bestFit="1" customWidth="1"/>
    <col min="18" max="18" width="10" customWidth="1"/>
    <col min="19" max="19" width="10.7109375" bestFit="1" customWidth="1"/>
    <col min="20" max="16384" width="9.28515625" style="558"/>
  </cols>
  <sheetData>
    <row r="1" spans="1:10" s="602" customFormat="1" ht="24.75" customHeight="1">
      <c r="B1" s="997" t="s">
        <v>1239</v>
      </c>
    </row>
    <row r="2" spans="1:10" ht="18.75" customHeight="1">
      <c r="A2" s="604"/>
      <c r="B2" s="605"/>
    </row>
    <row r="3" spans="1:10" ht="15.75" customHeight="1">
      <c r="B3" s="606"/>
      <c r="C3" s="606" t="s">
        <v>124</v>
      </c>
      <c r="E3" s="649" t="s">
        <v>1240</v>
      </c>
      <c r="F3" s="609">
        <v>1</v>
      </c>
      <c r="G3" s="609">
        <v>2</v>
      </c>
      <c r="H3" s="609">
        <v>3</v>
      </c>
      <c r="I3" s="609">
        <v>4</v>
      </c>
      <c r="J3" s="609">
        <v>5</v>
      </c>
    </row>
    <row r="4" spans="1:10">
      <c r="B4" s="610" t="s">
        <v>127</v>
      </c>
      <c r="C4" s="611"/>
      <c r="D4" s="611"/>
      <c r="E4" s="611"/>
      <c r="F4" s="611"/>
      <c r="G4" s="625"/>
      <c r="H4" s="625"/>
      <c r="I4" s="625"/>
      <c r="J4" s="625"/>
    </row>
    <row r="5" spans="1:10" ht="12.75" customHeight="1">
      <c r="F5" s="1104" t="s">
        <v>1241</v>
      </c>
    </row>
    <row r="6" spans="1:10">
      <c r="B6" s="612" t="s">
        <v>38</v>
      </c>
      <c r="E6" s="613">
        <f>IS!C14</f>
        <v>17.094999999999999</v>
      </c>
      <c r="F6" s="1011">
        <f>E6*(1+F7)</f>
        <v>25.541065961155951</v>
      </c>
      <c r="G6" s="1011">
        <f t="shared" ref="G6:J6" si="0">F6*(1+G7)</f>
        <v>33.117202674670757</v>
      </c>
      <c r="H6" s="1011">
        <f t="shared" si="0"/>
        <v>35.847173458391715</v>
      </c>
      <c r="I6" s="1011">
        <f t="shared" si="0"/>
        <v>36.746890124236074</v>
      </c>
      <c r="J6" s="1011">
        <f t="shared" si="0"/>
        <v>37.557234049129526</v>
      </c>
    </row>
    <row r="7" spans="1:10">
      <c r="B7" s="612" t="s">
        <v>1242</v>
      </c>
      <c r="E7" s="1015">
        <f>IS!D14/IS!C14-1</f>
        <v>1.7496928926586723</v>
      </c>
      <c r="F7" s="1016">
        <f>L24</f>
        <v>0.49406644990675347</v>
      </c>
      <c r="G7" s="1016">
        <f t="shared" ref="G7:J7" si="1">M24</f>
        <v>0.29662570563957474</v>
      </c>
      <c r="H7" s="1016">
        <f t="shared" si="1"/>
        <v>8.2433616466312781E-2</v>
      </c>
      <c r="I7" s="1016">
        <f t="shared" si="1"/>
        <v>2.5098678055849217E-2</v>
      </c>
      <c r="J7" s="1016">
        <f t="shared" si="1"/>
        <v>2.2052040925199256E-2</v>
      </c>
    </row>
    <row r="8" spans="1:10">
      <c r="B8" s="612" t="s">
        <v>1243</v>
      </c>
      <c r="E8" s="651">
        <f>'DAL-US IS-adj'!C11/'DAL-US IS-adj'!C8</f>
        <v>-0.41637905820415338</v>
      </c>
      <c r="F8" s="720">
        <f>Forecast!M12/Growth!F6</f>
        <v>0.21428571428571427</v>
      </c>
      <c r="G8" s="720">
        <f>Forecast!N12/Growth!G6</f>
        <v>0.21428571428571422</v>
      </c>
      <c r="H8" s="720">
        <f>Forecast!O12/Growth!H6</f>
        <v>0.21428571428571433</v>
      </c>
      <c r="I8" s="720">
        <f>Forecast!P12/Growth!I6</f>
        <v>0.21428571428571427</v>
      </c>
      <c r="J8" s="720">
        <f>Forecast!Q12/Growth!J6</f>
        <v>0.21428571428571433</v>
      </c>
    </row>
    <row r="9" spans="1:10" ht="15" customHeight="1">
      <c r="B9" s="612" t="s">
        <v>1244</v>
      </c>
      <c r="E9" s="650">
        <f>E8*E6</f>
        <v>-7.1180000000000012</v>
      </c>
      <c r="F9" s="650">
        <f>F8*F6</f>
        <v>5.4730855631048465</v>
      </c>
      <c r="G9" s="650">
        <f t="shared" ref="G9:J9" si="2">G8*G6</f>
        <v>7.0965434302865882</v>
      </c>
      <c r="H9" s="650">
        <f t="shared" si="2"/>
        <v>7.6815371696553694</v>
      </c>
      <c r="I9" s="650">
        <f t="shared" si="2"/>
        <v>7.8743335980505869</v>
      </c>
      <c r="J9" s="650">
        <f t="shared" si="2"/>
        <v>8.047978724813472</v>
      </c>
    </row>
    <row r="10" spans="1:10">
      <c r="B10" s="612" t="s">
        <v>47</v>
      </c>
      <c r="E10" s="1015">
        <f>Forecast!M21</f>
        <v>0.28999999999999998</v>
      </c>
      <c r="F10" s="1016">
        <f>Forecast!M21</f>
        <v>0.28999999999999998</v>
      </c>
      <c r="G10" s="1016">
        <f>Forecast!N21</f>
        <v>0.31</v>
      </c>
      <c r="H10" s="1016">
        <f>Forecast!O21</f>
        <v>0.32</v>
      </c>
      <c r="I10" s="1016">
        <f>Forecast!P21</f>
        <v>0.33</v>
      </c>
      <c r="J10" s="1016">
        <f>Forecast!Q21</f>
        <v>0.34</v>
      </c>
    </row>
    <row r="11" spans="1:10">
      <c r="B11" s="612" t="s">
        <v>1245</v>
      </c>
      <c r="E11" s="650">
        <f>E9*(1-0.21)</f>
        <v>-5.6232200000000008</v>
      </c>
      <c r="F11" s="650">
        <f>F9*(1-F10)</f>
        <v>3.885890749804441</v>
      </c>
      <c r="G11" s="650">
        <f t="shared" ref="G11:J11" si="3">G9*(1-G10)</f>
        <v>4.8966149668977454</v>
      </c>
      <c r="H11" s="650">
        <f t="shared" si="3"/>
        <v>5.2234452753656511</v>
      </c>
      <c r="I11" s="650">
        <f t="shared" si="3"/>
        <v>5.2758035106938923</v>
      </c>
      <c r="J11" s="650">
        <f t="shared" si="3"/>
        <v>5.3116659583768913</v>
      </c>
    </row>
    <row r="12" spans="1:10">
      <c r="B12" s="612" t="s">
        <v>1246</v>
      </c>
      <c r="E12" s="613"/>
      <c r="F12" s="613">
        <f>F6-E6</f>
        <v>8.4460659611559521</v>
      </c>
      <c r="G12" s="613">
        <f>G6-F6</f>
        <v>7.5761367135148063</v>
      </c>
      <c r="H12" s="613">
        <f>H6-G6</f>
        <v>2.7299707837209581</v>
      </c>
      <c r="I12" s="613">
        <f>I6-H6</f>
        <v>0.89971666584435894</v>
      </c>
      <c r="J12" s="613">
        <f>J6-I6</f>
        <v>0.81034392489345208</v>
      </c>
    </row>
    <row r="13" spans="1:10">
      <c r="B13" s="612" t="s">
        <v>1247</v>
      </c>
      <c r="E13" s="651"/>
      <c r="F13" s="720">
        <f>Forecast!M7</f>
        <v>0.66909091071058224</v>
      </c>
      <c r="G13" s="720">
        <f ca="1">Forecast!N7</f>
        <v>0.80671702153759628</v>
      </c>
      <c r="H13" s="720">
        <f ca="1">Forecast!O7</f>
        <v>0.80000150333708053</v>
      </c>
      <c r="I13" s="720">
        <f ca="1">Forecast!P7</f>
        <v>0.75128230578433841</v>
      </c>
      <c r="J13" s="720">
        <f ca="1">Forecast!Q7</f>
        <v>0.70373586056648385</v>
      </c>
    </row>
    <row r="14" spans="1:10">
      <c r="B14" s="612" t="s">
        <v>1248</v>
      </c>
      <c r="E14" s="613"/>
      <c r="F14" s="650">
        <f>F12/F13</f>
        <v>12.62319637877928</v>
      </c>
      <c r="G14" s="650">
        <f t="shared" ref="G14:J14" ca="1" si="4">G12/G13</f>
        <v>9.3913187787642673</v>
      </c>
      <c r="H14" s="650">
        <f t="shared" ca="1" si="4"/>
        <v>3.4124570670596417</v>
      </c>
      <c r="I14" s="650">
        <f t="shared" ca="1" si="4"/>
        <v>1.1975746785425156</v>
      </c>
      <c r="J14" s="650">
        <f t="shared" ca="1" si="4"/>
        <v>1.151488747839498</v>
      </c>
    </row>
    <row r="15" spans="1:10">
      <c r="B15" s="612" t="s">
        <v>855</v>
      </c>
      <c r="E15" s="613">
        <f>'FCF (corrected)'!B28</f>
        <v>-2.6917800000000005</v>
      </c>
      <c r="F15" s="613">
        <f>F11-F14</f>
        <v>-8.7373056289748394</v>
      </c>
      <c r="G15" s="613">
        <f ca="1">G11-G14</f>
        <v>-4.4947038118665219</v>
      </c>
      <c r="H15" s="613">
        <f t="shared" ref="H15:I15" ca="1" si="5">H11-H14</f>
        <v>1.8109882083060094</v>
      </c>
      <c r="I15" s="613">
        <f t="shared" ca="1" si="5"/>
        <v>4.0782288321513764</v>
      </c>
      <c r="J15" s="613">
        <f ca="1">J11-J14</f>
        <v>4.1601772105373929</v>
      </c>
    </row>
    <row r="16" spans="1:10">
      <c r="B16" s="612" t="s">
        <v>1249</v>
      </c>
      <c r="E16" s="613">
        <f>(AVERAGE('DAL-US BS-adj'!C34:D34)+AVERAGE('DAL-US BS-adj'!C29:D29)+AVERAGE('DAL-US BS-adj'!C28:D28)+AVERAGE('DAL-US BS-adj'!C23:D23))</f>
        <v>34.847500000000004</v>
      </c>
      <c r="F16" s="613">
        <f>E16+F14</f>
        <v>47.47069637877928</v>
      </c>
      <c r="G16" s="613">
        <f t="shared" ref="G16:J16" ca="1" si="6">F16+G14</f>
        <v>56.862015157543546</v>
      </c>
      <c r="H16" s="613">
        <f t="shared" ca="1" si="6"/>
        <v>60.274472224603187</v>
      </c>
      <c r="I16" s="613">
        <f t="shared" ca="1" si="6"/>
        <v>61.472046903145703</v>
      </c>
      <c r="J16" s="613">
        <f t="shared" ca="1" si="6"/>
        <v>62.623535650985204</v>
      </c>
    </row>
    <row r="17" spans="1:17">
      <c r="B17" s="612" t="s">
        <v>611</v>
      </c>
      <c r="E17" s="651">
        <f>Ratios!B161</f>
        <v>-0.21498365607019293</v>
      </c>
      <c r="F17" s="651">
        <f>F11/F16</f>
        <v>8.1858726461437423E-2</v>
      </c>
      <c r="G17" s="651">
        <f t="shared" ref="G17:J17" ca="1" si="7">G11/G16</f>
        <v>8.6113989335957264E-2</v>
      </c>
      <c r="H17" s="651">
        <f t="shared" ca="1" si="7"/>
        <v>8.6660987356327518E-2</v>
      </c>
      <c r="I17" s="651">
        <f t="shared" ca="1" si="7"/>
        <v>8.5824432022027136E-2</v>
      </c>
      <c r="J17" s="651">
        <f t="shared" ca="1" si="7"/>
        <v>8.4819004598845699E-2</v>
      </c>
    </row>
    <row r="18" spans="1:17">
      <c r="B18" s="612"/>
      <c r="E18" s="613"/>
      <c r="F18" s="613"/>
      <c r="G18" s="613"/>
      <c r="H18" s="613"/>
      <c r="I18" s="613"/>
      <c r="J18" s="613"/>
    </row>
    <row r="19" spans="1:17">
      <c r="B19" s="612"/>
      <c r="E19" s="613"/>
      <c r="F19" s="613"/>
      <c r="G19" s="614"/>
      <c r="H19" s="613"/>
      <c r="I19" s="613"/>
      <c r="J19" s="613"/>
    </row>
    <row r="20" spans="1:17" ht="15.75">
      <c r="A20" s="1246" t="s">
        <v>2</v>
      </c>
      <c r="B20" s="1240"/>
      <c r="C20" s="1240"/>
      <c r="D20" s="1240"/>
      <c r="E20" s="1240"/>
      <c r="F20" s="1240"/>
      <c r="G20" s="1240"/>
      <c r="H20" s="1240"/>
      <c r="I20" s="1240"/>
      <c r="J20" s="1240"/>
      <c r="K20" s="1240"/>
      <c r="L20" s="1240"/>
      <c r="M20" s="1240"/>
      <c r="N20" s="1240"/>
      <c r="O20" s="1240"/>
      <c r="P20" s="1240"/>
      <c r="Q20" s="1240"/>
    </row>
    <row r="21" spans="1:17" ht="15.75">
      <c r="A21" s="1246" t="s">
        <v>135</v>
      </c>
      <c r="B21" s="1240"/>
      <c r="C21" s="1240"/>
      <c r="D21" s="1240"/>
      <c r="E21" s="1240"/>
      <c r="F21" s="1240"/>
      <c r="G21" s="1240"/>
      <c r="H21" s="1240"/>
      <c r="I21" s="1240"/>
      <c r="J21" s="1240"/>
      <c r="K21" s="1240"/>
      <c r="L21" s="1240"/>
      <c r="M21" s="1240"/>
      <c r="N21" s="1240"/>
      <c r="O21" s="1240"/>
      <c r="P21" s="1240"/>
      <c r="Q21" s="1240"/>
    </row>
    <row r="22" spans="1:17">
      <c r="A22" s="1247" t="s">
        <v>1250</v>
      </c>
      <c r="B22" s="1247" t="s">
        <v>1251</v>
      </c>
      <c r="C22" s="1247" t="s">
        <v>1252</v>
      </c>
      <c r="D22" s="1247" t="s">
        <v>1253</v>
      </c>
      <c r="E22" s="1247" t="s">
        <v>1254</v>
      </c>
      <c r="F22" s="1247" t="s">
        <v>1255</v>
      </c>
      <c r="G22" s="1247" t="s">
        <v>1256</v>
      </c>
      <c r="H22" s="1247" t="s">
        <v>1257</v>
      </c>
      <c r="I22" s="1247" t="s">
        <v>1258</v>
      </c>
      <c r="J22" s="1247" t="s">
        <v>1259</v>
      </c>
      <c r="K22" s="1247" t="s">
        <v>1260</v>
      </c>
      <c r="L22" s="1248" t="s">
        <v>1261</v>
      </c>
      <c r="M22" s="1248" t="s">
        <v>1262</v>
      </c>
      <c r="N22" s="1248" t="s">
        <v>1263</v>
      </c>
      <c r="O22" s="1248" t="s">
        <v>1264</v>
      </c>
      <c r="P22" s="1248" t="s">
        <v>1265</v>
      </c>
      <c r="Q22" s="1248" t="s">
        <v>1266</v>
      </c>
    </row>
    <row r="23" spans="1:17" ht="15.75">
      <c r="A23" s="1249" t="s">
        <v>1250</v>
      </c>
      <c r="B23" s="1250" t="s">
        <v>1267</v>
      </c>
      <c r="C23" s="1250" t="s">
        <v>1268</v>
      </c>
      <c r="D23" s="1250" t="s">
        <v>1267</v>
      </c>
      <c r="E23" s="1250" t="s">
        <v>1267</v>
      </c>
      <c r="F23" s="1250" t="s">
        <v>1267</v>
      </c>
      <c r="G23" s="1250" t="s">
        <v>1268</v>
      </c>
      <c r="H23" s="1250" t="s">
        <v>1267</v>
      </c>
      <c r="I23" s="1250" t="s">
        <v>1267</v>
      </c>
      <c r="J23" s="1250" t="s">
        <v>1267</v>
      </c>
      <c r="K23" s="1250" t="s">
        <v>1268</v>
      </c>
      <c r="L23" s="1251" t="s">
        <v>1269</v>
      </c>
      <c r="M23" s="1251" t="s">
        <v>1267</v>
      </c>
      <c r="N23" s="1251" t="s">
        <v>1269</v>
      </c>
      <c r="O23" s="1251" t="s">
        <v>1268</v>
      </c>
      <c r="P23" s="1251" t="s">
        <v>1269</v>
      </c>
      <c r="Q23" s="1251" t="s">
        <v>1269</v>
      </c>
    </row>
    <row r="24" spans="1:17" ht="15.75">
      <c r="A24" s="1249" t="s">
        <v>1270</v>
      </c>
      <c r="B24" s="1250"/>
      <c r="C24" s="1260">
        <f t="shared" ref="C24:Q24" si="8">(C25-B25)/B25</f>
        <v>8.2642745265556025E-2</v>
      </c>
      <c r="D24" s="1260">
        <f t="shared" si="8"/>
        <v>0.17778888392035141</v>
      </c>
      <c r="E24" s="1260">
        <f t="shared" si="8"/>
        <v>5.3600142933714491E-2</v>
      </c>
      <c r="F24" s="1260">
        <f t="shared" si="8"/>
        <v>-4.3178734949974561E-2</v>
      </c>
      <c r="G24" s="1260">
        <f t="shared" si="8"/>
        <v>-4.1870666164514056E-2</v>
      </c>
      <c r="H24" s="1260">
        <f t="shared" si="8"/>
        <v>5.8544706235982333E-2</v>
      </c>
      <c r="I24" s="1260">
        <f t="shared" si="8"/>
        <v>7.7914418645289529E-2</v>
      </c>
      <c r="J24" s="1260">
        <f t="shared" si="8"/>
        <v>6.3224446786090627E-2</v>
      </c>
      <c r="K24" s="1260">
        <f t="shared" si="8"/>
        <v>-0.63619730121216744</v>
      </c>
      <c r="L24" s="1259">
        <f t="shared" si="8"/>
        <v>0.49406644990675347</v>
      </c>
      <c r="M24" s="1259">
        <f t="shared" si="8"/>
        <v>0.29662570563957474</v>
      </c>
      <c r="N24" s="1259">
        <f t="shared" si="8"/>
        <v>8.2433616466312781E-2</v>
      </c>
      <c r="O24" s="1259">
        <f t="shared" si="8"/>
        <v>2.5098678055849217E-2</v>
      </c>
      <c r="P24" s="1259">
        <f t="shared" si="8"/>
        <v>2.2052040925199256E-2</v>
      </c>
      <c r="Q24" s="1259">
        <f t="shared" si="8"/>
        <v>2.1026487280479768E-2</v>
      </c>
    </row>
    <row r="25" spans="1:17" ht="15.75">
      <c r="A25" s="1241" t="s">
        <v>934</v>
      </c>
      <c r="B25" s="1252">
        <v>35115</v>
      </c>
      <c r="C25" s="1252">
        <v>38017</v>
      </c>
      <c r="D25" s="1252">
        <v>44776</v>
      </c>
      <c r="E25" s="1252">
        <v>47176</v>
      </c>
      <c r="F25" s="1252">
        <v>45139</v>
      </c>
      <c r="G25" s="1252">
        <v>43249</v>
      </c>
      <c r="H25" s="1252">
        <v>45781</v>
      </c>
      <c r="I25" s="1252">
        <v>49348</v>
      </c>
      <c r="J25" s="1252">
        <v>52468</v>
      </c>
      <c r="K25" s="1252">
        <v>19088</v>
      </c>
      <c r="L25" s="1253">
        <f t="shared" ref="L25:Q25" si="9">L26+L27</f>
        <v>28518.74039582011</v>
      </c>
      <c r="M25" s="1253">
        <f t="shared" si="9"/>
        <v>36978.131889682096</v>
      </c>
      <c r="N25" s="1253">
        <f t="shared" si="9"/>
        <v>40026.37303151688</v>
      </c>
      <c r="O25" s="1253">
        <f t="shared" si="9"/>
        <v>41030.982081978247</v>
      </c>
      <c r="P25" s="1253">
        <f t="shared" si="9"/>
        <v>41935.798978051149</v>
      </c>
      <c r="Q25" s="1253">
        <f t="shared" si="9"/>
        <v>42817.561521859898</v>
      </c>
    </row>
    <row r="26" spans="1:17" ht="15.75">
      <c r="A26" s="1249" t="s">
        <v>1271</v>
      </c>
      <c r="B26" s="1254">
        <v>35115</v>
      </c>
      <c r="C26" s="1254">
        <v>36670</v>
      </c>
      <c r="D26" s="1254">
        <v>37773</v>
      </c>
      <c r="E26" s="1254">
        <v>40217</v>
      </c>
      <c r="F26" s="1254">
        <v>40398</v>
      </c>
      <c r="G26" s="1254">
        <v>39406</v>
      </c>
      <c r="H26" s="1254">
        <v>40742</v>
      </c>
      <c r="I26" s="1254">
        <v>43890</v>
      </c>
      <c r="J26" s="1254">
        <v>46910</v>
      </c>
      <c r="K26" s="1254">
        <v>15945</v>
      </c>
      <c r="L26" s="1257">
        <f>K26*(1+'Ind Revenues'!I22)</f>
        <v>24761.408719129679</v>
      </c>
      <c r="M26" s="1258">
        <f>L26*(1+'Ind Revenues'!I23)</f>
        <v>33124.886898617151</v>
      </c>
      <c r="N26" s="1258">
        <f>M26*(1+'Ind Revenues'!I24)</f>
        <v>36150.694433415396</v>
      </c>
      <c r="O26" s="1258">
        <f>N26*(1+'Ind Revenues'!I25)</f>
        <v>37141.389547481034</v>
      </c>
      <c r="P26" s="1258">
        <f>O26*(1+'Ind Revenues'!I26)</f>
        <v>37999.678449478743</v>
      </c>
      <c r="Q26" s="1258">
        <f>P26*(1+'Ind Revenues'!I27)</f>
        <v>38828.302571723529</v>
      </c>
    </row>
    <row r="27" spans="1:17" ht="15.75">
      <c r="A27" s="1240" t="s">
        <v>1272</v>
      </c>
      <c r="B27" s="1240"/>
      <c r="C27" s="1255">
        <v>1347</v>
      </c>
      <c r="D27" s="1255">
        <v>7003</v>
      </c>
      <c r="E27" s="1255">
        <v>6959</v>
      </c>
      <c r="F27" s="1255">
        <v>4741</v>
      </c>
      <c r="G27" s="1255">
        <v>3843</v>
      </c>
      <c r="H27" s="1255">
        <v>5039</v>
      </c>
      <c r="I27" s="1255">
        <v>5458</v>
      </c>
      <c r="J27" s="1255">
        <v>5558</v>
      </c>
      <c r="K27" s="1255">
        <v>3143</v>
      </c>
      <c r="L27" s="1258">
        <f>K27*(1+'Ind Revenues'!C22)</f>
        <v>3757.3316766904313</v>
      </c>
      <c r="M27" s="1258">
        <f>L27*(1+'Ind Revenues'!C23)</f>
        <v>3853.2449910649461</v>
      </c>
      <c r="N27" s="1258">
        <f>M27*(1+'Ind Revenues'!C24)</f>
        <v>3875.6785981014827</v>
      </c>
      <c r="O27" s="1258">
        <f>N27*(1+'Ind Revenues'!C25)</f>
        <v>3889.5925344972129</v>
      </c>
      <c r="P27" s="1258">
        <f>O27*(1+'Ind Revenues'!C26)</f>
        <v>3936.1205285724091</v>
      </c>
      <c r="Q27" s="1258">
        <f>P27*(1+'Ind Revenues'!C27)</f>
        <v>3989.2589501363659</v>
      </c>
    </row>
    <row r="28" spans="1:17" ht="15.75">
      <c r="A28" s="1256" t="s">
        <v>1273</v>
      </c>
      <c r="B28" s="1240"/>
      <c r="C28" s="1240"/>
      <c r="D28" s="1240"/>
      <c r="E28" s="1240"/>
      <c r="F28" s="1240"/>
      <c r="G28" s="1240"/>
      <c r="H28" s="1240"/>
      <c r="I28" s="1240"/>
      <c r="J28" s="1240"/>
      <c r="K28" s="1240"/>
      <c r="L28" s="1240"/>
      <c r="M28" s="1240"/>
      <c r="N28" s="1240"/>
      <c r="O28" s="1240"/>
    </row>
    <row r="29" spans="1:17">
      <c r="B29" s="615"/>
      <c r="E29" s="616"/>
      <c r="F29" s="616"/>
      <c r="G29" s="616"/>
      <c r="H29" s="616"/>
      <c r="I29" s="616"/>
      <c r="J29" s="616"/>
    </row>
    <row r="30" spans="1:17">
      <c r="E30" s="624"/>
      <c r="F30" s="624"/>
      <c r="G30" s="624"/>
      <c r="H30" s="624"/>
      <c r="I30" s="624"/>
      <c r="J30" s="624"/>
    </row>
    <row r="31" spans="1:17">
      <c r="E31" s="624"/>
      <c r="F31" s="624"/>
      <c r="G31" s="624"/>
      <c r="H31" s="624"/>
      <c r="I31" s="624"/>
      <c r="J31" s="624"/>
    </row>
    <row r="32" spans="1:17">
      <c r="E32" s="624"/>
      <c r="F32" s="624"/>
      <c r="G32" s="624"/>
      <c r="H32" s="624"/>
      <c r="I32" s="624"/>
      <c r="J32" s="624"/>
    </row>
    <row r="33" spans="5:10">
      <c r="E33" s="624"/>
      <c r="F33" s="624"/>
      <c r="G33" s="624"/>
      <c r="H33" s="624"/>
      <c r="I33" s="624"/>
      <c r="J33" s="624"/>
    </row>
    <row r="34" spans="5:10">
      <c r="E34" s="624"/>
      <c r="F34" s="624"/>
      <c r="G34" s="624"/>
      <c r="H34" s="624"/>
      <c r="I34" s="624"/>
      <c r="J34" s="624"/>
    </row>
    <row r="35" spans="5:10">
      <c r="E35" s="624"/>
      <c r="F35" s="624"/>
      <c r="G35" s="624"/>
      <c r="H35" s="624"/>
      <c r="I35" s="624"/>
      <c r="J35" s="624"/>
    </row>
    <row r="36" spans="5:10">
      <c r="E36" s="624"/>
      <c r="F36" s="624"/>
      <c r="G36" s="624"/>
      <c r="H36" s="624"/>
      <c r="I36" s="624"/>
      <c r="J36" s="624"/>
    </row>
    <row r="37" spans="5:10">
      <c r="E37" s="624"/>
      <c r="F37" s="624"/>
      <c r="G37" s="624"/>
      <c r="H37" s="624"/>
      <c r="I37" s="624"/>
      <c r="J37" s="624"/>
    </row>
    <row r="38" spans="5:10">
      <c r="E38" s="624"/>
      <c r="F38" s="624"/>
      <c r="G38" s="624"/>
      <c r="H38" s="624"/>
      <c r="I38" s="624"/>
      <c r="J38" s="624"/>
    </row>
    <row r="39" spans="5:10">
      <c r="E39" s="624"/>
      <c r="F39" s="624"/>
      <c r="G39" s="624"/>
      <c r="H39" s="624"/>
      <c r="I39" s="624"/>
      <c r="J39" s="624"/>
    </row>
    <row r="40" spans="5:10">
      <c r="E40" s="624"/>
      <c r="F40" s="624"/>
      <c r="G40" s="624"/>
      <c r="H40" s="624"/>
      <c r="I40" s="624"/>
      <c r="J40" s="624"/>
    </row>
    <row r="41" spans="5:10">
      <c r="E41" s="624"/>
      <c r="F41" s="624"/>
      <c r="G41" s="624"/>
      <c r="H41" s="624"/>
      <c r="I41" s="624"/>
      <c r="J41" s="624"/>
    </row>
    <row r="42" spans="5:10">
      <c r="E42" s="624"/>
      <c r="F42" s="624"/>
      <c r="G42" s="624"/>
      <c r="H42" s="624"/>
      <c r="I42" s="624"/>
      <c r="J42" s="624"/>
    </row>
    <row r="43" spans="5:10">
      <c r="E43" s="624"/>
      <c r="F43" s="624"/>
      <c r="G43" s="624"/>
      <c r="H43" s="624"/>
      <c r="I43" s="624"/>
      <c r="J43" s="624"/>
    </row>
    <row r="44" spans="5:10">
      <c r="E44" s="624"/>
      <c r="F44" s="624"/>
      <c r="G44" s="624"/>
      <c r="H44" s="624"/>
      <c r="I44" s="624"/>
      <c r="J44" s="624"/>
    </row>
    <row r="45" spans="5:10">
      <c r="E45" s="624"/>
      <c r="F45" s="624"/>
      <c r="G45" s="624"/>
      <c r="H45" s="624"/>
      <c r="I45" s="624"/>
      <c r="J45" s="624"/>
    </row>
    <row r="46" spans="5:10">
      <c r="E46" s="624"/>
      <c r="F46" s="624"/>
      <c r="G46" s="624"/>
      <c r="H46" s="624"/>
      <c r="I46" s="624"/>
      <c r="J46" s="624"/>
    </row>
    <row r="47" spans="5:10">
      <c r="E47" s="624"/>
      <c r="F47" s="624"/>
      <c r="G47" s="624"/>
      <c r="H47" s="624"/>
      <c r="I47" s="624"/>
      <c r="J47" s="624"/>
    </row>
    <row r="48" spans="5:10">
      <c r="E48" s="624"/>
      <c r="F48" s="624"/>
      <c r="G48" s="624"/>
      <c r="H48" s="624"/>
      <c r="I48" s="624"/>
      <c r="J48" s="624"/>
    </row>
    <row r="49" spans="5:10">
      <c r="E49" s="624"/>
      <c r="F49" s="624"/>
      <c r="G49" s="624"/>
      <c r="H49" s="624"/>
      <c r="I49" s="624"/>
      <c r="J49" s="624"/>
    </row>
    <row r="50" spans="5:10">
      <c r="E50" s="624"/>
      <c r="F50" s="624"/>
      <c r="G50" s="624"/>
      <c r="H50" s="624"/>
      <c r="I50" s="624"/>
      <c r="J50" s="624"/>
    </row>
    <row r="51" spans="5:10">
      <c r="E51" s="624"/>
      <c r="F51" s="624"/>
      <c r="G51" s="624"/>
      <c r="H51" s="624"/>
      <c r="I51" s="624"/>
      <c r="J51" s="624"/>
    </row>
    <row r="52" spans="5:10">
      <c r="E52" s="624"/>
      <c r="F52" s="624"/>
      <c r="G52" s="624"/>
      <c r="H52" s="624"/>
      <c r="I52" s="624"/>
      <c r="J52" s="624"/>
    </row>
    <row r="53" spans="5:10">
      <c r="E53" s="624"/>
      <c r="F53" s="624"/>
      <c r="G53" s="624"/>
      <c r="H53" s="624"/>
      <c r="I53" s="624"/>
      <c r="J53" s="624"/>
    </row>
    <row r="54" spans="5:10">
      <c r="E54" s="624"/>
      <c r="F54" s="624"/>
      <c r="G54" s="624"/>
      <c r="H54" s="624"/>
      <c r="I54" s="624"/>
      <c r="J54" s="624"/>
    </row>
    <row r="55" spans="5:10">
      <c r="E55" s="624"/>
      <c r="F55" s="624"/>
      <c r="G55" s="624"/>
      <c r="H55" s="624"/>
      <c r="I55" s="624"/>
      <c r="J55" s="624"/>
    </row>
    <row r="56" spans="5:10">
      <c r="E56" s="624"/>
      <c r="F56" s="624"/>
      <c r="G56" s="624"/>
      <c r="H56" s="624"/>
      <c r="I56" s="624"/>
      <c r="J56" s="624"/>
    </row>
    <row r="57" spans="5:10">
      <c r="E57" s="624"/>
      <c r="F57" s="624"/>
      <c r="G57" s="624"/>
      <c r="H57" s="624"/>
      <c r="I57" s="624"/>
      <c r="J57" s="624"/>
    </row>
    <row r="58" spans="5:10">
      <c r="E58" s="624"/>
      <c r="F58" s="624"/>
      <c r="G58" s="624"/>
      <c r="H58" s="624"/>
      <c r="I58" s="624"/>
      <c r="J58" s="624"/>
    </row>
    <row r="59" spans="5:10">
      <c r="E59" s="624"/>
      <c r="F59" s="624"/>
      <c r="G59" s="624"/>
      <c r="H59" s="624"/>
      <c r="I59" s="624"/>
      <c r="J59" s="624"/>
    </row>
    <row r="60" spans="5:10">
      <c r="E60" s="624"/>
      <c r="F60" s="624"/>
      <c r="G60" s="624"/>
      <c r="H60" s="624"/>
      <c r="I60" s="624"/>
      <c r="J60" s="624"/>
    </row>
    <row r="61" spans="5:10">
      <c r="E61" s="624"/>
      <c r="F61" s="624"/>
      <c r="G61" s="624"/>
      <c r="H61" s="624"/>
      <c r="I61" s="624"/>
      <c r="J61" s="624"/>
    </row>
    <row r="62" spans="5:10">
      <c r="E62" s="624"/>
      <c r="F62" s="624"/>
      <c r="G62" s="624"/>
      <c r="H62" s="624"/>
      <c r="I62" s="624"/>
      <c r="J62" s="624"/>
    </row>
    <row r="63" spans="5:10">
      <c r="E63" s="624"/>
      <c r="F63" s="624"/>
      <c r="G63" s="624"/>
      <c r="H63" s="624"/>
      <c r="I63" s="624"/>
      <c r="J63" s="624"/>
    </row>
    <row r="64" spans="5:10">
      <c r="E64" s="624"/>
      <c r="F64" s="624"/>
      <c r="G64" s="624"/>
      <c r="H64" s="624"/>
      <c r="I64" s="624"/>
      <c r="J64" s="624"/>
    </row>
    <row r="65" spans="5:10">
      <c r="E65" s="624"/>
      <c r="F65" s="624"/>
      <c r="G65" s="624"/>
      <c r="H65" s="624"/>
      <c r="I65" s="624"/>
      <c r="J65" s="624"/>
    </row>
    <row r="66" spans="5:10">
      <c r="E66" s="624"/>
      <c r="F66" s="624"/>
      <c r="G66" s="624"/>
      <c r="H66" s="624"/>
      <c r="I66" s="624"/>
      <c r="J66" s="624"/>
    </row>
    <row r="67" spans="5:10">
      <c r="E67" s="624"/>
      <c r="F67" s="624"/>
      <c r="G67" s="624"/>
      <c r="H67" s="624"/>
      <c r="I67" s="624"/>
      <c r="J67" s="624"/>
    </row>
    <row r="68" spans="5:10">
      <c r="E68" s="624"/>
      <c r="F68" s="624"/>
      <c r="G68" s="624"/>
      <c r="H68" s="624"/>
      <c r="I68" s="624"/>
      <c r="J68" s="624"/>
    </row>
    <row r="69" spans="5:10">
      <c r="E69" s="624"/>
      <c r="F69" s="624"/>
      <c r="G69" s="624"/>
      <c r="H69" s="624"/>
      <c r="I69" s="624"/>
      <c r="J69" s="624"/>
    </row>
    <row r="70" spans="5:10">
      <c r="E70" s="624"/>
      <c r="F70" s="624"/>
      <c r="G70" s="624"/>
      <c r="H70" s="624"/>
      <c r="I70" s="624"/>
      <c r="J70" s="624"/>
    </row>
    <row r="71" spans="5:10">
      <c r="E71" s="624"/>
      <c r="F71" s="624"/>
      <c r="G71" s="624"/>
      <c r="H71" s="624"/>
      <c r="I71" s="624"/>
      <c r="J71" s="624"/>
    </row>
    <row r="72" spans="5:10">
      <c r="E72" s="624"/>
      <c r="F72" s="624"/>
      <c r="G72" s="624"/>
      <c r="H72" s="624"/>
      <c r="I72" s="624"/>
      <c r="J72" s="624"/>
    </row>
    <row r="73" spans="5:10">
      <c r="E73" s="624"/>
      <c r="F73" s="624"/>
      <c r="G73" s="624"/>
      <c r="H73" s="624"/>
      <c r="I73" s="624"/>
      <c r="J73" s="624"/>
    </row>
    <row r="74" spans="5:10">
      <c r="E74" s="624"/>
      <c r="F74" s="624"/>
      <c r="G74" s="624"/>
      <c r="H74" s="624"/>
      <c r="I74" s="624"/>
      <c r="J74" s="624"/>
    </row>
    <row r="75" spans="5:10">
      <c r="E75" s="624"/>
      <c r="F75" s="624"/>
      <c r="G75" s="624"/>
      <c r="H75" s="624"/>
      <c r="I75" s="624"/>
      <c r="J75" s="624"/>
    </row>
    <row r="76" spans="5:10">
      <c r="E76" s="624"/>
      <c r="F76" s="624"/>
      <c r="G76" s="624"/>
      <c r="H76" s="624"/>
      <c r="I76" s="624"/>
      <c r="J76" s="624"/>
    </row>
    <row r="77" spans="5:10">
      <c r="E77" s="624"/>
      <c r="F77" s="624"/>
      <c r="G77" s="624"/>
      <c r="H77" s="624"/>
      <c r="I77" s="624"/>
      <c r="J77" s="624"/>
    </row>
    <row r="78" spans="5:10">
      <c r="E78" s="624"/>
      <c r="F78" s="624"/>
      <c r="G78" s="624"/>
      <c r="H78" s="624"/>
      <c r="I78" s="624"/>
      <c r="J78" s="624"/>
    </row>
    <row r="79" spans="5:10">
      <c r="E79" s="624"/>
      <c r="F79" s="624"/>
      <c r="G79" s="624"/>
      <c r="H79" s="624"/>
      <c r="I79" s="624"/>
      <c r="J79" s="624"/>
    </row>
    <row r="80" spans="5:10">
      <c r="E80" s="624"/>
      <c r="F80" s="624"/>
      <c r="G80" s="624"/>
      <c r="H80" s="624"/>
      <c r="I80" s="624"/>
      <c r="J80" s="624"/>
    </row>
    <row r="81" spans="5:10">
      <c r="E81" s="624"/>
      <c r="F81" s="624"/>
      <c r="G81" s="624"/>
      <c r="H81" s="624"/>
      <c r="I81" s="624"/>
      <c r="J81" s="624"/>
    </row>
    <row r="82" spans="5:10">
      <c r="E82" s="624"/>
      <c r="F82" s="624"/>
      <c r="G82" s="624"/>
      <c r="H82" s="624"/>
      <c r="I82" s="624"/>
      <c r="J82" s="624"/>
    </row>
    <row r="83" spans="5:10">
      <c r="E83" s="624"/>
      <c r="F83" s="624"/>
      <c r="G83" s="624"/>
      <c r="H83" s="624"/>
      <c r="I83" s="624"/>
      <c r="J83" s="624"/>
    </row>
    <row r="84" spans="5:10">
      <c r="E84" s="624"/>
      <c r="F84" s="624"/>
      <c r="G84" s="624"/>
      <c r="H84" s="624"/>
      <c r="I84" s="624"/>
      <c r="J84" s="624"/>
    </row>
    <row r="85" spans="5:10">
      <c r="E85" s="624"/>
      <c r="F85" s="624"/>
      <c r="G85" s="624"/>
      <c r="H85" s="624"/>
      <c r="I85" s="624"/>
      <c r="J85" s="624"/>
    </row>
    <row r="86" spans="5:10">
      <c r="E86" s="624"/>
      <c r="F86" s="624"/>
      <c r="G86" s="624"/>
      <c r="H86" s="624"/>
      <c r="I86" s="624"/>
      <c r="J86" s="624"/>
    </row>
    <row r="87" spans="5:10">
      <c r="E87" s="624"/>
      <c r="F87" s="624"/>
      <c r="G87" s="624"/>
      <c r="H87" s="624"/>
      <c r="I87" s="624"/>
      <c r="J87" s="624"/>
    </row>
    <row r="88" spans="5:10">
      <c r="E88" s="624"/>
      <c r="F88" s="624"/>
      <c r="G88" s="624"/>
      <c r="H88" s="624"/>
      <c r="I88" s="624"/>
      <c r="J88" s="624"/>
    </row>
    <row r="89" spans="5:10">
      <c r="E89" s="624"/>
      <c r="F89" s="624"/>
      <c r="G89" s="624"/>
      <c r="H89" s="624"/>
      <c r="I89" s="624"/>
      <c r="J89" s="624"/>
    </row>
    <row r="90" spans="5:10">
      <c r="E90" s="624"/>
      <c r="F90" s="624"/>
      <c r="G90" s="624"/>
      <c r="H90" s="624"/>
      <c r="I90" s="624"/>
      <c r="J90" s="624"/>
    </row>
    <row r="91" spans="5:10">
      <c r="E91" s="624"/>
      <c r="F91" s="624"/>
      <c r="G91" s="624"/>
      <c r="H91" s="624"/>
      <c r="I91" s="624"/>
      <c r="J91" s="624"/>
    </row>
    <row r="92" spans="5:10">
      <c r="E92" s="624"/>
      <c r="F92" s="624"/>
      <c r="G92" s="624"/>
      <c r="H92" s="624"/>
      <c r="I92" s="624"/>
      <c r="J92" s="624"/>
    </row>
    <row r="93" spans="5:10">
      <c r="E93" s="624"/>
      <c r="F93" s="624"/>
      <c r="G93" s="624"/>
      <c r="H93" s="624"/>
      <c r="I93" s="624"/>
      <c r="J93" s="624"/>
    </row>
    <row r="94" spans="5:10">
      <c r="E94" s="624"/>
      <c r="F94" s="624"/>
      <c r="G94" s="624"/>
      <c r="H94" s="624"/>
      <c r="I94" s="624"/>
      <c r="J94" s="624"/>
    </row>
    <row r="95" spans="5:10">
      <c r="E95" s="624"/>
      <c r="F95" s="624"/>
      <c r="G95" s="624"/>
      <c r="H95" s="624"/>
      <c r="I95" s="624"/>
      <c r="J95" s="624"/>
    </row>
    <row r="96" spans="5:10">
      <c r="E96" s="624"/>
      <c r="F96" s="624"/>
      <c r="G96" s="624"/>
      <c r="H96" s="624"/>
      <c r="I96" s="624"/>
      <c r="J96" s="624"/>
    </row>
    <row r="97" spans="5:10">
      <c r="E97" s="624"/>
      <c r="F97" s="624"/>
      <c r="G97" s="624"/>
      <c r="H97" s="624"/>
      <c r="I97" s="624"/>
      <c r="J97" s="624"/>
    </row>
    <row r="98" spans="5:10">
      <c r="E98" s="624"/>
      <c r="F98" s="624"/>
      <c r="G98" s="624"/>
      <c r="H98" s="624"/>
      <c r="I98" s="624"/>
      <c r="J98" s="624"/>
    </row>
    <row r="99" spans="5:10">
      <c r="E99" s="624"/>
      <c r="F99" s="624"/>
      <c r="G99" s="624"/>
      <c r="H99" s="624"/>
      <c r="I99" s="624"/>
      <c r="J99" s="624"/>
    </row>
    <row r="100" spans="5:10">
      <c r="E100" s="624"/>
      <c r="F100" s="624"/>
      <c r="G100" s="624"/>
      <c r="H100" s="624"/>
      <c r="I100" s="624"/>
      <c r="J100" s="624"/>
    </row>
    <row r="101" spans="5:10">
      <c r="E101" s="624"/>
      <c r="F101" s="624"/>
      <c r="G101" s="624"/>
      <c r="H101" s="624"/>
      <c r="I101" s="624"/>
      <c r="J101" s="624"/>
    </row>
    <row r="102" spans="5:10">
      <c r="E102" s="624"/>
      <c r="F102" s="624"/>
      <c r="G102" s="624"/>
      <c r="H102" s="624"/>
      <c r="I102" s="624"/>
      <c r="J102" s="624"/>
    </row>
    <row r="103" spans="5:10">
      <c r="E103" s="624"/>
      <c r="F103" s="624"/>
      <c r="G103" s="624"/>
      <c r="H103" s="624"/>
      <c r="I103" s="624"/>
      <c r="J103" s="624"/>
    </row>
    <row r="104" spans="5:10">
      <c r="E104" s="624"/>
      <c r="F104" s="624"/>
      <c r="G104" s="624"/>
      <c r="H104" s="624"/>
      <c r="I104" s="624"/>
      <c r="J104" s="624"/>
    </row>
    <row r="105" spans="5:10">
      <c r="E105" s="624"/>
      <c r="F105" s="624"/>
      <c r="G105" s="624"/>
      <c r="H105" s="624"/>
      <c r="I105" s="624"/>
      <c r="J105" s="624"/>
    </row>
    <row r="106" spans="5:10">
      <c r="E106" s="624"/>
      <c r="F106" s="624"/>
      <c r="G106" s="624"/>
      <c r="H106" s="624"/>
      <c r="I106" s="624"/>
      <c r="J106" s="624"/>
    </row>
    <row r="107" spans="5:10">
      <c r="E107" s="624"/>
      <c r="F107" s="624"/>
      <c r="G107" s="624"/>
      <c r="H107" s="624"/>
      <c r="I107" s="624"/>
      <c r="J107" s="624"/>
    </row>
    <row r="108" spans="5:10">
      <c r="E108" s="624"/>
      <c r="F108" s="624"/>
      <c r="G108" s="624"/>
      <c r="H108" s="624"/>
      <c r="I108" s="624"/>
      <c r="J108" s="624"/>
    </row>
    <row r="109" spans="5:10">
      <c r="E109" s="624"/>
      <c r="F109" s="624"/>
      <c r="G109" s="624"/>
      <c r="H109" s="624"/>
      <c r="I109" s="624"/>
      <c r="J109" s="624"/>
    </row>
    <row r="110" spans="5:10">
      <c r="E110" s="624"/>
      <c r="F110" s="624"/>
      <c r="G110" s="624"/>
      <c r="H110" s="624"/>
      <c r="I110" s="624"/>
      <c r="J110" s="624"/>
    </row>
    <row r="111" spans="5:10">
      <c r="E111" s="624"/>
      <c r="F111" s="624"/>
      <c r="G111" s="624"/>
      <c r="H111" s="624"/>
      <c r="I111" s="624"/>
      <c r="J111" s="624"/>
    </row>
    <row r="112" spans="5:10">
      <c r="E112" s="624"/>
      <c r="F112" s="624"/>
      <c r="G112" s="624"/>
      <c r="H112" s="624"/>
      <c r="I112" s="624"/>
      <c r="J112" s="624"/>
    </row>
    <row r="113" spans="5:10">
      <c r="E113" s="624"/>
      <c r="F113" s="624"/>
      <c r="G113" s="624"/>
      <c r="H113" s="624"/>
      <c r="I113" s="624"/>
      <c r="J113" s="624"/>
    </row>
    <row r="114" spans="5:10">
      <c r="E114" s="624"/>
      <c r="F114" s="624"/>
      <c r="G114" s="624"/>
      <c r="H114" s="624"/>
      <c r="I114" s="624"/>
      <c r="J114" s="624"/>
    </row>
    <row r="115" spans="5:10">
      <c r="E115" s="624"/>
      <c r="F115" s="624"/>
      <c r="G115" s="624"/>
      <c r="H115" s="624"/>
      <c r="I115" s="624"/>
      <c r="J115" s="624"/>
    </row>
    <row r="116" spans="5:10">
      <c r="E116" s="624"/>
      <c r="F116" s="624"/>
      <c r="G116" s="624"/>
      <c r="H116" s="624"/>
      <c r="I116" s="624"/>
      <c r="J116" s="624"/>
    </row>
    <row r="117" spans="5:10">
      <c r="E117" s="624"/>
      <c r="F117" s="624"/>
      <c r="G117" s="624"/>
      <c r="H117" s="624"/>
      <c r="I117" s="624"/>
      <c r="J117" s="624"/>
    </row>
    <row r="118" spans="5:10">
      <c r="E118" s="624"/>
      <c r="F118" s="624"/>
      <c r="G118" s="624"/>
      <c r="H118" s="624"/>
      <c r="I118" s="624"/>
      <c r="J118" s="624"/>
    </row>
    <row r="119" spans="5:10">
      <c r="E119" s="624"/>
      <c r="F119" s="624"/>
      <c r="G119" s="624"/>
      <c r="H119" s="624"/>
      <c r="I119" s="624"/>
      <c r="J119" s="624"/>
    </row>
    <row r="120" spans="5:10">
      <c r="E120" s="624"/>
      <c r="F120" s="624"/>
      <c r="G120" s="624"/>
      <c r="H120" s="624"/>
      <c r="I120" s="624"/>
      <c r="J120" s="624"/>
    </row>
    <row r="121" spans="5:10">
      <c r="E121" s="624"/>
      <c r="F121" s="624"/>
      <c r="G121" s="624"/>
      <c r="H121" s="624"/>
      <c r="I121" s="624"/>
      <c r="J121" s="624"/>
    </row>
    <row r="122" spans="5:10">
      <c r="E122" s="624"/>
      <c r="F122" s="624"/>
      <c r="G122" s="624"/>
      <c r="H122" s="624"/>
      <c r="I122" s="624"/>
      <c r="J122" s="624"/>
    </row>
    <row r="123" spans="5:10">
      <c r="E123" s="624"/>
      <c r="F123" s="624"/>
      <c r="G123" s="624"/>
      <c r="H123" s="624"/>
      <c r="I123" s="624"/>
      <c r="J123" s="624"/>
    </row>
    <row r="124" spans="5:10">
      <c r="E124" s="624"/>
      <c r="F124" s="624"/>
      <c r="G124" s="624"/>
      <c r="H124" s="624"/>
      <c r="I124" s="624"/>
      <c r="J124" s="624"/>
    </row>
    <row r="125" spans="5:10">
      <c r="E125" s="624"/>
      <c r="F125" s="624"/>
      <c r="G125" s="624"/>
      <c r="H125" s="624"/>
      <c r="I125" s="624"/>
      <c r="J125" s="624"/>
    </row>
    <row r="126" spans="5:10">
      <c r="E126" s="624"/>
      <c r="F126" s="624"/>
      <c r="G126" s="624"/>
      <c r="H126" s="624"/>
      <c r="I126" s="624"/>
      <c r="J126" s="624"/>
    </row>
    <row r="127" spans="5:10">
      <c r="E127" s="624"/>
      <c r="F127" s="624"/>
      <c r="G127" s="624"/>
      <c r="H127" s="624"/>
      <c r="I127" s="624"/>
      <c r="J127" s="624"/>
    </row>
    <row r="128" spans="5:10">
      <c r="E128" s="624"/>
      <c r="F128" s="624"/>
      <c r="G128" s="624"/>
      <c r="H128" s="624"/>
      <c r="I128" s="624"/>
      <c r="J128" s="624"/>
    </row>
    <row r="129" spans="5:10">
      <c r="E129" s="624"/>
      <c r="F129" s="624"/>
      <c r="G129" s="624"/>
      <c r="H129" s="624"/>
      <c r="I129" s="624"/>
      <c r="J129" s="624"/>
    </row>
    <row r="130" spans="5:10">
      <c r="E130" s="624"/>
      <c r="F130" s="624"/>
      <c r="G130" s="624"/>
      <c r="H130" s="624"/>
      <c r="I130" s="624"/>
      <c r="J130" s="624"/>
    </row>
    <row r="131" spans="5:10">
      <c r="E131" s="624"/>
      <c r="F131" s="624"/>
      <c r="G131" s="624"/>
      <c r="H131" s="624"/>
      <c r="I131" s="624"/>
      <c r="J131" s="624"/>
    </row>
    <row r="132" spans="5:10">
      <c r="E132" s="624"/>
      <c r="F132" s="624"/>
      <c r="G132" s="624"/>
      <c r="H132" s="624"/>
      <c r="I132" s="624"/>
      <c r="J132" s="624"/>
    </row>
    <row r="133" spans="5:10">
      <c r="E133" s="624"/>
      <c r="F133" s="624"/>
      <c r="G133" s="624"/>
      <c r="H133" s="624"/>
      <c r="I133" s="624"/>
      <c r="J133" s="624"/>
    </row>
    <row r="134" spans="5:10">
      <c r="E134" s="624"/>
      <c r="F134" s="624"/>
      <c r="G134" s="624"/>
      <c r="H134" s="624"/>
      <c r="I134" s="624"/>
      <c r="J134" s="624"/>
    </row>
    <row r="135" spans="5:10">
      <c r="E135" s="624"/>
      <c r="F135" s="624"/>
      <c r="G135" s="624"/>
      <c r="H135" s="624"/>
      <c r="I135" s="624"/>
      <c r="J135" s="624"/>
    </row>
    <row r="136" spans="5:10">
      <c r="E136" s="624"/>
      <c r="F136" s="624"/>
      <c r="G136" s="624"/>
      <c r="H136" s="624"/>
      <c r="I136" s="624"/>
      <c r="J136" s="624"/>
    </row>
    <row r="137" spans="5:10">
      <c r="E137" s="624"/>
      <c r="F137" s="624"/>
      <c r="G137" s="624"/>
      <c r="H137" s="624"/>
      <c r="I137" s="624"/>
      <c r="J137" s="624"/>
    </row>
    <row r="138" spans="5:10">
      <c r="E138" s="624"/>
      <c r="F138" s="624"/>
      <c r="G138" s="624"/>
      <c r="H138" s="624"/>
      <c r="I138" s="624"/>
      <c r="J138" s="624"/>
    </row>
    <row r="139" spans="5:10">
      <c r="E139" s="624"/>
      <c r="F139" s="624"/>
      <c r="G139" s="624"/>
      <c r="H139" s="624"/>
      <c r="I139" s="624"/>
      <c r="J139" s="624"/>
    </row>
    <row r="140" spans="5:10">
      <c r="E140" s="624"/>
      <c r="F140" s="624"/>
      <c r="G140" s="624"/>
      <c r="H140" s="624"/>
      <c r="I140" s="624"/>
      <c r="J140" s="624"/>
    </row>
    <row r="141" spans="5:10">
      <c r="E141" s="624"/>
      <c r="F141" s="624"/>
      <c r="G141" s="624"/>
      <c r="H141" s="624"/>
      <c r="I141" s="624"/>
      <c r="J141" s="624"/>
    </row>
    <row r="142" spans="5:10">
      <c r="E142" s="624"/>
      <c r="F142" s="624"/>
      <c r="G142" s="624"/>
      <c r="H142" s="624"/>
      <c r="I142" s="624"/>
      <c r="J142" s="624"/>
    </row>
    <row r="143" spans="5:10">
      <c r="E143" s="624"/>
      <c r="F143" s="624"/>
      <c r="G143" s="624"/>
      <c r="H143" s="624"/>
      <c r="I143" s="624"/>
      <c r="J143" s="624"/>
    </row>
    <row r="144" spans="5:10">
      <c r="E144" s="624"/>
      <c r="F144" s="624"/>
      <c r="G144" s="624"/>
      <c r="H144" s="624"/>
      <c r="I144" s="624"/>
      <c r="J144" s="624"/>
    </row>
    <row r="145" spans="5:10">
      <c r="E145" s="624"/>
      <c r="F145" s="624"/>
      <c r="G145" s="624"/>
      <c r="H145" s="624"/>
      <c r="I145" s="624"/>
      <c r="J145" s="624"/>
    </row>
    <row r="146" spans="5:10">
      <c r="E146" s="624"/>
      <c r="F146" s="624"/>
      <c r="G146" s="624"/>
      <c r="H146" s="624"/>
      <c r="I146" s="624"/>
      <c r="J146" s="624"/>
    </row>
    <row r="147" spans="5:10">
      <c r="E147" s="624"/>
      <c r="F147" s="624"/>
      <c r="G147" s="624"/>
      <c r="H147" s="624"/>
      <c r="I147" s="624"/>
      <c r="J147" s="624"/>
    </row>
    <row r="148" spans="5:10">
      <c r="E148" s="624"/>
      <c r="F148" s="624"/>
      <c r="G148" s="624"/>
      <c r="H148" s="624"/>
      <c r="I148" s="624"/>
      <c r="J148" s="624"/>
    </row>
    <row r="149" spans="5:10">
      <c r="E149" s="624"/>
      <c r="F149" s="624"/>
      <c r="G149" s="624"/>
      <c r="H149" s="624"/>
      <c r="I149" s="624"/>
      <c r="J149" s="624"/>
    </row>
    <row r="150" spans="5:10">
      <c r="E150" s="624"/>
      <c r="F150" s="624"/>
      <c r="G150" s="624"/>
      <c r="H150" s="624"/>
      <c r="I150" s="624"/>
      <c r="J150" s="624"/>
    </row>
    <row r="151" spans="5:10">
      <c r="E151" s="624"/>
      <c r="F151" s="624"/>
      <c r="G151" s="624"/>
      <c r="H151" s="624"/>
      <c r="I151" s="624"/>
      <c r="J151" s="624"/>
    </row>
    <row r="152" spans="5:10">
      <c r="E152" s="624"/>
      <c r="F152" s="624"/>
      <c r="G152" s="624"/>
      <c r="H152" s="624"/>
      <c r="I152" s="624"/>
      <c r="J152" s="624"/>
    </row>
    <row r="153" spans="5:10">
      <c r="E153" s="624"/>
      <c r="F153" s="624"/>
      <c r="G153" s="624"/>
      <c r="H153" s="624"/>
      <c r="I153" s="624"/>
      <c r="J153" s="624"/>
    </row>
    <row r="154" spans="5:10">
      <c r="E154" s="624"/>
      <c r="F154" s="624"/>
      <c r="G154" s="624"/>
      <c r="H154" s="624"/>
      <c r="I154" s="624"/>
      <c r="J154" s="624"/>
    </row>
    <row r="155" spans="5:10">
      <c r="E155" s="624"/>
      <c r="F155" s="624"/>
      <c r="G155" s="624"/>
      <c r="H155" s="624"/>
      <c r="I155" s="624"/>
      <c r="J155" s="624"/>
    </row>
    <row r="156" spans="5:10">
      <c r="E156" s="624"/>
      <c r="F156" s="624"/>
      <c r="G156" s="624"/>
      <c r="H156" s="624"/>
      <c r="I156" s="624"/>
      <c r="J156" s="624"/>
    </row>
    <row r="157" spans="5:10">
      <c r="E157" s="624"/>
      <c r="F157" s="624"/>
      <c r="G157" s="624"/>
      <c r="H157" s="624"/>
      <c r="I157" s="624"/>
      <c r="J157" s="624"/>
    </row>
    <row r="158" spans="5:10">
      <c r="E158" s="624"/>
      <c r="F158" s="624"/>
      <c r="G158" s="624"/>
      <c r="H158" s="624"/>
      <c r="I158" s="624"/>
      <c r="J158" s="624"/>
    </row>
    <row r="159" spans="5:10">
      <c r="E159" s="624"/>
      <c r="F159" s="624"/>
      <c r="G159" s="624"/>
      <c r="H159" s="624"/>
      <c r="I159" s="624"/>
      <c r="J159" s="624"/>
    </row>
    <row r="160" spans="5:10">
      <c r="E160" s="624"/>
      <c r="F160" s="624"/>
      <c r="G160" s="624"/>
      <c r="H160" s="624"/>
      <c r="I160" s="624"/>
      <c r="J160" s="624"/>
    </row>
    <row r="161" spans="5:10">
      <c r="E161" s="624"/>
      <c r="F161" s="624"/>
      <c r="G161" s="624"/>
      <c r="H161" s="624"/>
      <c r="I161" s="624"/>
      <c r="J161" s="624"/>
    </row>
    <row r="162" spans="5:10">
      <c r="E162" s="624"/>
      <c r="F162" s="624"/>
      <c r="G162" s="624"/>
      <c r="H162" s="624"/>
      <c r="I162" s="624"/>
      <c r="J162" s="624"/>
    </row>
    <row r="163" spans="5:10">
      <c r="E163" s="624"/>
      <c r="F163" s="624"/>
      <c r="G163" s="624"/>
      <c r="H163" s="624"/>
      <c r="I163" s="624"/>
      <c r="J163" s="624"/>
    </row>
    <row r="164" spans="5:10">
      <c r="E164" s="624"/>
      <c r="F164" s="624"/>
      <c r="G164" s="624"/>
      <c r="H164" s="624"/>
      <c r="I164" s="624"/>
      <c r="J164" s="624"/>
    </row>
    <row r="165" spans="5:10">
      <c r="E165" s="624"/>
      <c r="F165" s="624"/>
      <c r="G165" s="624"/>
      <c r="H165" s="624"/>
      <c r="I165" s="624"/>
      <c r="J165" s="624"/>
    </row>
    <row r="166" spans="5:10">
      <c r="E166" s="624"/>
      <c r="F166" s="624"/>
      <c r="G166" s="624"/>
      <c r="H166" s="624"/>
      <c r="I166" s="624"/>
      <c r="J166" s="624"/>
    </row>
    <row r="167" spans="5:10">
      <c r="E167" s="624"/>
      <c r="F167" s="624"/>
      <c r="G167" s="624"/>
      <c r="H167" s="624"/>
      <c r="I167" s="624"/>
      <c r="J167" s="624"/>
    </row>
    <row r="168" spans="5:10">
      <c r="E168" s="624"/>
      <c r="F168" s="624"/>
      <c r="G168" s="624"/>
      <c r="H168" s="624"/>
      <c r="I168" s="624"/>
      <c r="J168" s="624"/>
    </row>
    <row r="169" spans="5:10">
      <c r="E169" s="624"/>
      <c r="F169" s="624"/>
      <c r="G169" s="624"/>
      <c r="H169" s="624"/>
      <c r="I169" s="624"/>
      <c r="J169" s="624"/>
    </row>
    <row r="170" spans="5:10">
      <c r="E170" s="624"/>
      <c r="F170" s="624"/>
      <c r="G170" s="624"/>
      <c r="H170" s="624"/>
      <c r="I170" s="624"/>
      <c r="J170" s="624"/>
    </row>
    <row r="171" spans="5:10">
      <c r="E171" s="624"/>
      <c r="F171" s="624"/>
      <c r="G171" s="624"/>
      <c r="H171" s="624"/>
      <c r="I171" s="624"/>
      <c r="J171" s="624"/>
    </row>
    <row r="172" spans="5:10">
      <c r="E172" s="624"/>
      <c r="F172" s="624"/>
      <c r="G172" s="624"/>
      <c r="H172" s="624"/>
      <c r="I172" s="624"/>
      <c r="J172" s="624"/>
    </row>
    <row r="173" spans="5:10">
      <c r="E173" s="624"/>
      <c r="F173" s="624"/>
      <c r="G173" s="624"/>
      <c r="H173" s="624"/>
      <c r="I173" s="624"/>
      <c r="J173" s="624"/>
    </row>
    <row r="174" spans="5:10">
      <c r="E174" s="624"/>
      <c r="F174" s="624"/>
      <c r="G174" s="624"/>
      <c r="H174" s="624"/>
      <c r="I174" s="624"/>
      <c r="J174" s="624"/>
    </row>
    <row r="175" spans="5:10">
      <c r="E175" s="624"/>
      <c r="F175" s="624"/>
      <c r="G175" s="624"/>
      <c r="H175" s="624"/>
      <c r="I175" s="624"/>
      <c r="J175" s="624"/>
    </row>
    <row r="176" spans="5:10">
      <c r="E176" s="624"/>
      <c r="F176" s="624"/>
      <c r="G176" s="624"/>
      <c r="H176" s="624"/>
      <c r="I176" s="624"/>
      <c r="J176" s="624"/>
    </row>
    <row r="177" spans="5:10">
      <c r="E177" s="624"/>
      <c r="F177" s="624"/>
      <c r="G177" s="624"/>
      <c r="H177" s="624"/>
      <c r="I177" s="624"/>
      <c r="J177" s="624"/>
    </row>
    <row r="178" spans="5:10">
      <c r="E178" s="624"/>
      <c r="F178" s="624"/>
      <c r="G178" s="624"/>
      <c r="H178" s="624"/>
      <c r="I178" s="624"/>
      <c r="J178" s="624"/>
    </row>
    <row r="179" spans="5:10">
      <c r="E179" s="624"/>
      <c r="F179" s="624"/>
      <c r="G179" s="624"/>
      <c r="H179" s="624"/>
      <c r="I179" s="624"/>
      <c r="J179" s="624"/>
    </row>
    <row r="180" spans="5:10">
      <c r="E180" s="624"/>
      <c r="F180" s="624"/>
      <c r="G180" s="624"/>
      <c r="H180" s="624"/>
      <c r="I180" s="624"/>
      <c r="J180" s="624"/>
    </row>
    <row r="181" spans="5:10">
      <c r="E181" s="624"/>
      <c r="F181" s="624"/>
      <c r="G181" s="624"/>
      <c r="H181" s="624"/>
      <c r="I181" s="624"/>
      <c r="J181" s="624"/>
    </row>
    <row r="182" spans="5:10">
      <c r="E182" s="624"/>
      <c r="F182" s="624"/>
      <c r="G182" s="624"/>
      <c r="H182" s="624"/>
      <c r="I182" s="624"/>
      <c r="J182" s="624"/>
    </row>
    <row r="183" spans="5:10">
      <c r="E183" s="624"/>
      <c r="F183" s="624"/>
      <c r="G183" s="624"/>
      <c r="H183" s="624"/>
      <c r="I183" s="624"/>
      <c r="J183" s="624"/>
    </row>
    <row r="184" spans="5:10">
      <c r="E184" s="624"/>
      <c r="F184" s="624"/>
      <c r="G184" s="624"/>
      <c r="H184" s="624"/>
      <c r="I184" s="624"/>
      <c r="J184" s="624"/>
    </row>
    <row r="185" spans="5:10">
      <c r="E185" s="624"/>
      <c r="F185" s="624"/>
      <c r="G185" s="624"/>
      <c r="H185" s="624"/>
      <c r="I185" s="624"/>
      <c r="J185" s="624"/>
    </row>
    <row r="186" spans="5:10">
      <c r="E186" s="624"/>
      <c r="F186" s="624"/>
      <c r="G186" s="624"/>
      <c r="H186" s="624"/>
      <c r="I186" s="624"/>
      <c r="J186" s="624"/>
    </row>
    <row r="187" spans="5:10">
      <c r="E187" s="624"/>
      <c r="F187" s="624"/>
      <c r="G187" s="624"/>
      <c r="H187" s="624"/>
      <c r="I187" s="624"/>
      <c r="J187" s="624"/>
    </row>
    <row r="188" spans="5:10">
      <c r="E188" s="624"/>
      <c r="F188" s="624"/>
      <c r="G188" s="624"/>
      <c r="H188" s="624"/>
      <c r="I188" s="624"/>
      <c r="J188" s="624"/>
    </row>
    <row r="189" spans="5:10">
      <c r="E189" s="624"/>
      <c r="F189" s="624"/>
      <c r="G189" s="624"/>
      <c r="H189" s="624"/>
      <c r="I189" s="624"/>
      <c r="J189" s="624"/>
    </row>
    <row r="190" spans="5:10">
      <c r="E190" s="624"/>
      <c r="F190" s="624"/>
      <c r="G190" s="624"/>
      <c r="H190" s="624"/>
      <c r="I190" s="624"/>
      <c r="J190" s="624"/>
    </row>
    <row r="191" spans="5:10">
      <c r="E191" s="624"/>
      <c r="F191" s="624"/>
      <c r="G191" s="624"/>
      <c r="H191" s="624"/>
      <c r="I191" s="624"/>
      <c r="J191" s="624"/>
    </row>
    <row r="192" spans="5:10">
      <c r="E192" s="624"/>
      <c r="F192" s="624"/>
      <c r="G192" s="624"/>
      <c r="H192" s="624"/>
      <c r="I192" s="624"/>
      <c r="J192" s="624"/>
    </row>
    <row r="193" spans="5:10">
      <c r="E193" s="624"/>
      <c r="F193" s="624"/>
      <c r="G193" s="624"/>
      <c r="H193" s="624"/>
      <c r="I193" s="624"/>
      <c r="J193" s="624"/>
    </row>
    <row r="194" spans="5:10">
      <c r="E194" s="624"/>
      <c r="F194" s="624"/>
      <c r="G194" s="624"/>
      <c r="H194" s="624"/>
      <c r="I194" s="624"/>
      <c r="J194" s="624"/>
    </row>
    <row r="195" spans="5:10">
      <c r="E195" s="624"/>
      <c r="F195" s="624"/>
      <c r="G195" s="624"/>
      <c r="H195" s="624"/>
      <c r="I195" s="624"/>
      <c r="J195" s="624"/>
    </row>
    <row r="196" spans="5:10">
      <c r="E196" s="624"/>
      <c r="F196" s="624"/>
      <c r="G196" s="624"/>
      <c r="H196" s="624"/>
      <c r="I196" s="624"/>
      <c r="J196" s="624"/>
    </row>
    <row r="197" spans="5:10">
      <c r="E197" s="624"/>
      <c r="F197" s="624"/>
      <c r="G197" s="624"/>
      <c r="H197" s="624"/>
      <c r="I197" s="624"/>
      <c r="J197" s="624"/>
    </row>
    <row r="198" spans="5:10">
      <c r="E198" s="624"/>
      <c r="F198" s="624"/>
      <c r="G198" s="624"/>
      <c r="H198" s="624"/>
      <c r="I198" s="624"/>
      <c r="J198" s="624"/>
    </row>
    <row r="199" spans="5:10">
      <c r="E199" s="624"/>
      <c r="F199" s="624"/>
      <c r="G199" s="624"/>
      <c r="H199" s="624"/>
      <c r="I199" s="624"/>
      <c r="J199" s="624"/>
    </row>
    <row r="200" spans="5:10">
      <c r="E200" s="624"/>
      <c r="F200" s="624"/>
      <c r="G200" s="624"/>
      <c r="H200" s="624"/>
      <c r="I200" s="624"/>
      <c r="J200" s="624"/>
    </row>
    <row r="201" spans="5:10">
      <c r="E201" s="624"/>
      <c r="F201" s="624"/>
      <c r="G201" s="624"/>
      <c r="H201" s="624"/>
      <c r="I201" s="624"/>
      <c r="J201" s="624"/>
    </row>
    <row r="202" spans="5:10">
      <c r="E202" s="624"/>
      <c r="F202" s="624"/>
      <c r="G202" s="624"/>
      <c r="H202" s="624"/>
      <c r="I202" s="624"/>
      <c r="J202" s="624"/>
    </row>
    <row r="203" spans="5:10">
      <c r="E203" s="624"/>
      <c r="F203" s="624"/>
      <c r="G203" s="624"/>
      <c r="H203" s="624"/>
      <c r="I203" s="624"/>
      <c r="J203" s="624"/>
    </row>
    <row r="204" spans="5:10">
      <c r="E204" s="624"/>
      <c r="F204" s="624"/>
      <c r="G204" s="624"/>
      <c r="H204" s="624"/>
      <c r="I204" s="624"/>
      <c r="J204" s="624"/>
    </row>
    <row r="205" spans="5:10">
      <c r="E205" s="624"/>
      <c r="F205" s="624"/>
      <c r="G205" s="624"/>
      <c r="H205" s="624"/>
      <c r="I205" s="624"/>
      <c r="J205" s="624"/>
    </row>
    <row r="206" spans="5:10">
      <c r="E206" s="624"/>
      <c r="F206" s="624"/>
      <c r="G206" s="624"/>
      <c r="H206" s="624"/>
      <c r="I206" s="624"/>
      <c r="J206" s="624"/>
    </row>
    <row r="207" spans="5:10">
      <c r="E207" s="624"/>
      <c r="F207" s="624"/>
      <c r="G207" s="624"/>
      <c r="H207" s="624"/>
      <c r="I207" s="624"/>
      <c r="J207" s="624"/>
    </row>
    <row r="208" spans="5:10">
      <c r="E208" s="624"/>
      <c r="F208" s="624"/>
      <c r="G208" s="624"/>
      <c r="H208" s="624"/>
      <c r="I208" s="624"/>
      <c r="J208" s="624"/>
    </row>
    <row r="209" spans="5:10">
      <c r="E209" s="624"/>
      <c r="F209" s="624"/>
      <c r="G209" s="624"/>
      <c r="H209" s="624"/>
      <c r="I209" s="624"/>
      <c r="J209" s="624"/>
    </row>
    <row r="210" spans="5:10">
      <c r="E210" s="624"/>
      <c r="F210" s="624"/>
      <c r="G210" s="624"/>
      <c r="H210" s="624"/>
      <c r="I210" s="624"/>
      <c r="J210" s="624"/>
    </row>
    <row r="211" spans="5:10">
      <c r="E211" s="624"/>
      <c r="F211" s="624"/>
      <c r="G211" s="624"/>
      <c r="H211" s="624"/>
      <c r="I211" s="624"/>
      <c r="J211" s="624"/>
    </row>
    <row r="212" spans="5:10">
      <c r="E212" s="624"/>
      <c r="F212" s="624"/>
      <c r="G212" s="624"/>
      <c r="H212" s="624"/>
      <c r="I212" s="624"/>
      <c r="J212" s="624"/>
    </row>
    <row r="213" spans="5:10">
      <c r="E213" s="624"/>
      <c r="F213" s="624"/>
      <c r="G213" s="624"/>
      <c r="H213" s="624"/>
      <c r="I213" s="624"/>
      <c r="J213" s="624"/>
    </row>
    <row r="214" spans="5:10">
      <c r="E214" s="624"/>
      <c r="F214" s="624"/>
      <c r="G214" s="624"/>
      <c r="H214" s="624"/>
      <c r="I214" s="624"/>
      <c r="J214" s="624"/>
    </row>
    <row r="215" spans="5:10">
      <c r="E215" s="624"/>
      <c r="F215" s="624"/>
      <c r="G215" s="624"/>
      <c r="H215" s="624"/>
      <c r="I215" s="624"/>
      <c r="J215" s="624"/>
    </row>
    <row r="216" spans="5:10">
      <c r="E216" s="624"/>
      <c r="F216" s="624"/>
      <c r="G216" s="624"/>
      <c r="H216" s="624"/>
      <c r="I216" s="624"/>
      <c r="J216" s="624"/>
    </row>
    <row r="217" spans="5:10">
      <c r="E217" s="624"/>
      <c r="F217" s="624"/>
      <c r="G217" s="624"/>
      <c r="H217" s="624"/>
      <c r="I217" s="624"/>
      <c r="J217" s="624"/>
    </row>
    <row r="218" spans="5:10">
      <c r="E218" s="624"/>
      <c r="F218" s="624"/>
      <c r="G218" s="624"/>
      <c r="H218" s="624"/>
      <c r="I218" s="624"/>
      <c r="J218" s="624"/>
    </row>
    <row r="219" spans="5:10">
      <c r="E219" s="624"/>
      <c r="F219" s="624"/>
      <c r="G219" s="624"/>
      <c r="H219" s="624"/>
      <c r="I219" s="624"/>
      <c r="J219" s="624"/>
    </row>
    <row r="220" spans="5:10">
      <c r="E220" s="624"/>
      <c r="F220" s="624"/>
      <c r="G220" s="624"/>
      <c r="H220" s="624"/>
      <c r="I220" s="624"/>
      <c r="J220" s="624"/>
    </row>
    <row r="221" spans="5:10">
      <c r="E221" s="624"/>
      <c r="F221" s="624"/>
      <c r="G221" s="624"/>
      <c r="H221" s="624"/>
      <c r="I221" s="624"/>
      <c r="J221" s="624"/>
    </row>
    <row r="222" spans="5:10">
      <c r="E222" s="624"/>
      <c r="F222" s="624"/>
      <c r="G222" s="624"/>
      <c r="H222" s="624"/>
      <c r="I222" s="624"/>
      <c r="J222" s="624"/>
    </row>
    <row r="223" spans="5:10">
      <c r="E223" s="624"/>
      <c r="F223" s="624"/>
      <c r="G223" s="624"/>
      <c r="H223" s="624"/>
      <c r="I223" s="624"/>
      <c r="J223" s="624"/>
    </row>
    <row r="224" spans="5:10">
      <c r="E224" s="624"/>
      <c r="F224" s="624"/>
      <c r="G224" s="624"/>
      <c r="H224" s="624"/>
      <c r="I224" s="624"/>
      <c r="J224" s="624"/>
    </row>
    <row r="225" spans="5:10">
      <c r="E225" s="624"/>
      <c r="F225" s="624"/>
      <c r="G225" s="624"/>
      <c r="H225" s="624"/>
      <c r="I225" s="624"/>
      <c r="J225" s="624"/>
    </row>
    <row r="226" spans="5:10">
      <c r="E226" s="624"/>
      <c r="F226" s="624"/>
      <c r="G226" s="624"/>
      <c r="H226" s="624"/>
      <c r="I226" s="624"/>
      <c r="J226" s="624"/>
    </row>
    <row r="227" spans="5:10">
      <c r="E227" s="624"/>
      <c r="F227" s="624"/>
      <c r="G227" s="624"/>
      <c r="H227" s="624"/>
      <c r="I227" s="624"/>
      <c r="J227" s="624"/>
    </row>
    <row r="228" spans="5:10">
      <c r="E228" s="624"/>
      <c r="F228" s="624"/>
      <c r="G228" s="624"/>
      <c r="H228" s="624"/>
      <c r="I228" s="624"/>
      <c r="J228" s="624"/>
    </row>
    <row r="229" spans="5:10">
      <c r="E229" s="624"/>
      <c r="F229" s="624"/>
      <c r="G229" s="624"/>
      <c r="H229" s="624"/>
      <c r="I229" s="624"/>
      <c r="J229" s="624"/>
    </row>
    <row r="230" spans="5:10">
      <c r="E230" s="624"/>
      <c r="F230" s="624"/>
      <c r="G230" s="624"/>
      <c r="H230" s="624"/>
      <c r="I230" s="624"/>
      <c r="J230" s="624"/>
    </row>
    <row r="231" spans="5:10">
      <c r="E231" s="624"/>
      <c r="F231" s="624"/>
      <c r="G231" s="624"/>
      <c r="H231" s="624"/>
      <c r="I231" s="624"/>
      <c r="J231" s="624"/>
    </row>
    <row r="232" spans="5:10">
      <c r="E232" s="624"/>
      <c r="F232" s="624"/>
      <c r="G232" s="624"/>
      <c r="H232" s="624"/>
      <c r="I232" s="624"/>
      <c r="J232" s="624"/>
    </row>
    <row r="233" spans="5:10">
      <c r="E233" s="624"/>
      <c r="F233" s="624"/>
      <c r="G233" s="624"/>
      <c r="H233" s="624"/>
      <c r="I233" s="624"/>
      <c r="J233" s="624"/>
    </row>
    <row r="234" spans="5:10">
      <c r="E234" s="624"/>
      <c r="F234" s="624"/>
      <c r="G234" s="624"/>
      <c r="H234" s="624"/>
      <c r="I234" s="624"/>
      <c r="J234" s="624"/>
    </row>
    <row r="235" spans="5:10">
      <c r="E235" s="624"/>
      <c r="F235" s="624"/>
      <c r="G235" s="624"/>
      <c r="H235" s="624"/>
      <c r="I235" s="624"/>
      <c r="J235" s="624"/>
    </row>
    <row r="236" spans="5:10">
      <c r="E236" s="624"/>
      <c r="F236" s="624"/>
      <c r="G236" s="624"/>
      <c r="H236" s="624"/>
      <c r="I236" s="624"/>
      <c r="J236" s="624"/>
    </row>
    <row r="237" spans="5:10">
      <c r="E237" s="624"/>
      <c r="F237" s="624"/>
      <c r="G237" s="624"/>
      <c r="H237" s="624"/>
      <c r="I237" s="624"/>
      <c r="J237" s="624"/>
    </row>
    <row r="238" spans="5:10">
      <c r="E238" s="624"/>
      <c r="F238" s="624"/>
      <c r="G238" s="624"/>
      <c r="H238" s="624"/>
      <c r="I238" s="624"/>
      <c r="J238" s="624"/>
    </row>
    <row r="239" spans="5:10">
      <c r="E239" s="624"/>
      <c r="F239" s="624"/>
      <c r="G239" s="624"/>
      <c r="H239" s="624"/>
      <c r="I239" s="624"/>
      <c r="J239" s="624"/>
    </row>
    <row r="240" spans="5:10">
      <c r="E240" s="624"/>
      <c r="F240" s="624"/>
      <c r="G240" s="624"/>
      <c r="H240" s="624"/>
      <c r="I240" s="624"/>
      <c r="J240" s="624"/>
    </row>
    <row r="241" spans="5:10">
      <c r="E241" s="624"/>
      <c r="F241" s="624"/>
      <c r="G241" s="624"/>
      <c r="H241" s="624"/>
      <c r="I241" s="624"/>
      <c r="J241" s="624"/>
    </row>
    <row r="242" spans="5:10">
      <c r="E242" s="624"/>
      <c r="F242" s="624"/>
      <c r="G242" s="624"/>
      <c r="H242" s="624"/>
      <c r="I242" s="624"/>
      <c r="J242" s="624"/>
    </row>
    <row r="243" spans="5:10">
      <c r="E243" s="624"/>
      <c r="F243" s="624"/>
      <c r="G243" s="624"/>
      <c r="H243" s="624"/>
      <c r="I243" s="624"/>
      <c r="J243" s="624"/>
    </row>
    <row r="244" spans="5:10">
      <c r="E244" s="624"/>
      <c r="F244" s="624"/>
      <c r="G244" s="624"/>
      <c r="H244" s="624"/>
      <c r="I244" s="624"/>
      <c r="J244" s="624"/>
    </row>
    <row r="245" spans="5:10">
      <c r="E245" s="624"/>
      <c r="F245" s="624"/>
      <c r="G245" s="624"/>
      <c r="H245" s="624"/>
      <c r="I245" s="624"/>
      <c r="J245" s="624"/>
    </row>
    <row r="246" spans="5:10">
      <c r="E246" s="624"/>
      <c r="F246" s="624"/>
      <c r="G246" s="624"/>
      <c r="H246" s="624"/>
      <c r="I246" s="624"/>
      <c r="J246" s="624"/>
    </row>
    <row r="247" spans="5:10">
      <c r="E247" s="624"/>
      <c r="F247" s="624"/>
      <c r="G247" s="624"/>
      <c r="H247" s="624"/>
      <c r="I247" s="624"/>
      <c r="J247" s="624"/>
    </row>
    <row r="248" spans="5:10">
      <c r="E248" s="624"/>
      <c r="F248" s="624"/>
      <c r="G248" s="624"/>
      <c r="H248" s="624"/>
      <c r="I248" s="624"/>
      <c r="J248" s="624"/>
    </row>
    <row r="249" spans="5:10">
      <c r="E249" s="624"/>
      <c r="F249" s="624"/>
      <c r="G249" s="624"/>
      <c r="H249" s="624"/>
      <c r="I249" s="624"/>
      <c r="J249" s="624"/>
    </row>
    <row r="250" spans="5:10">
      <c r="E250" s="624"/>
      <c r="F250" s="624"/>
      <c r="G250" s="624"/>
      <c r="H250" s="624"/>
      <c r="I250" s="624"/>
      <c r="J250" s="624"/>
    </row>
    <row r="251" spans="5:10">
      <c r="E251" s="624"/>
      <c r="F251" s="624"/>
      <c r="G251" s="624"/>
      <c r="H251" s="624"/>
      <c r="I251" s="624"/>
      <c r="J251" s="624"/>
    </row>
    <row r="252" spans="5:10">
      <c r="E252" s="624"/>
      <c r="F252" s="624"/>
      <c r="G252" s="624"/>
      <c r="H252" s="624"/>
      <c r="I252" s="624"/>
      <c r="J252" s="624"/>
    </row>
    <row r="253" spans="5:10">
      <c r="E253" s="624"/>
      <c r="F253" s="624"/>
      <c r="G253" s="624"/>
      <c r="H253" s="624"/>
      <c r="I253" s="624"/>
      <c r="J253" s="624"/>
    </row>
    <row r="254" spans="5:10">
      <c r="E254" s="624"/>
      <c r="F254" s="624"/>
      <c r="G254" s="624"/>
      <c r="H254" s="624"/>
      <c r="I254" s="624"/>
      <c r="J254" s="624"/>
    </row>
    <row r="255" spans="5:10">
      <c r="E255" s="624"/>
      <c r="F255" s="624"/>
      <c r="G255" s="624"/>
      <c r="H255" s="624"/>
      <c r="I255" s="624"/>
      <c r="J255" s="624"/>
    </row>
    <row r="256" spans="5:10">
      <c r="E256" s="624"/>
      <c r="F256" s="624"/>
      <c r="G256" s="624"/>
      <c r="H256" s="624"/>
      <c r="I256" s="624"/>
      <c r="J256" s="624"/>
    </row>
    <row r="257" spans="5:10">
      <c r="E257" s="624"/>
      <c r="F257" s="624"/>
      <c r="G257" s="624"/>
      <c r="H257" s="624"/>
      <c r="I257" s="624"/>
      <c r="J257" s="624"/>
    </row>
    <row r="258" spans="5:10">
      <c r="E258" s="624"/>
      <c r="F258" s="624"/>
      <c r="G258" s="624"/>
      <c r="H258" s="624"/>
      <c r="I258" s="624"/>
      <c r="J258" s="624"/>
    </row>
    <row r="259" spans="5:10">
      <c r="E259" s="624"/>
      <c r="F259" s="624"/>
      <c r="G259" s="624"/>
      <c r="H259" s="624"/>
      <c r="I259" s="624"/>
      <c r="J259" s="624"/>
    </row>
    <row r="260" spans="5:10">
      <c r="E260" s="624"/>
      <c r="F260" s="624"/>
      <c r="G260" s="624"/>
      <c r="H260" s="624"/>
      <c r="I260" s="624"/>
      <c r="J260" s="624"/>
    </row>
    <row r="261" spans="5:10">
      <c r="E261" s="624"/>
      <c r="F261" s="624"/>
      <c r="G261" s="624"/>
      <c r="H261" s="624"/>
      <c r="I261" s="624"/>
      <c r="J261" s="624"/>
    </row>
    <row r="262" spans="5:10">
      <c r="E262" s="624"/>
      <c r="F262" s="624"/>
      <c r="G262" s="624"/>
      <c r="H262" s="624"/>
      <c r="I262" s="624"/>
      <c r="J262" s="624"/>
    </row>
    <row r="263" spans="5:10">
      <c r="E263" s="624"/>
      <c r="F263" s="624"/>
      <c r="G263" s="624"/>
      <c r="H263" s="624"/>
      <c r="I263" s="624"/>
      <c r="J263" s="624"/>
    </row>
    <row r="264" spans="5:10">
      <c r="E264" s="624"/>
      <c r="F264" s="624"/>
      <c r="G264" s="624"/>
      <c r="H264" s="624"/>
      <c r="I264" s="624"/>
      <c r="J264" s="624"/>
    </row>
    <row r="265" spans="5:10">
      <c r="E265" s="624"/>
      <c r="F265" s="624"/>
      <c r="G265" s="624"/>
      <c r="H265" s="624"/>
      <c r="I265" s="624"/>
      <c r="J265" s="624"/>
    </row>
    <row r="266" spans="5:10">
      <c r="E266" s="624"/>
      <c r="F266" s="624"/>
      <c r="G266" s="624"/>
      <c r="H266" s="624"/>
      <c r="I266" s="624"/>
      <c r="J266" s="624"/>
    </row>
    <row r="267" spans="5:10">
      <c r="E267" s="624"/>
      <c r="F267" s="624"/>
      <c r="G267" s="624"/>
      <c r="H267" s="624"/>
      <c r="I267" s="624"/>
      <c r="J267" s="624"/>
    </row>
    <row r="268" spans="5:10">
      <c r="E268" s="624"/>
      <c r="F268" s="624"/>
      <c r="G268" s="624"/>
      <c r="H268" s="624"/>
      <c r="I268" s="624"/>
      <c r="J268" s="624"/>
    </row>
    <row r="269" spans="5:10">
      <c r="E269" s="624"/>
      <c r="F269" s="624"/>
      <c r="G269" s="624"/>
      <c r="H269" s="624"/>
      <c r="I269" s="624"/>
      <c r="J269" s="624"/>
    </row>
    <row r="270" spans="5:10">
      <c r="E270" s="624"/>
      <c r="F270" s="624"/>
      <c r="G270" s="624"/>
      <c r="H270" s="624"/>
      <c r="I270" s="624"/>
      <c r="J270" s="624"/>
    </row>
    <row r="271" spans="5:10">
      <c r="E271" s="624"/>
      <c r="F271" s="624"/>
      <c r="G271" s="624"/>
      <c r="H271" s="624"/>
      <c r="I271" s="624"/>
      <c r="J271" s="624"/>
    </row>
    <row r="272" spans="5:10">
      <c r="E272" s="624"/>
      <c r="F272" s="624"/>
      <c r="G272" s="624"/>
      <c r="H272" s="624"/>
      <c r="I272" s="624"/>
      <c r="J272" s="624"/>
    </row>
    <row r="273" spans="5:10">
      <c r="E273" s="624"/>
      <c r="F273" s="624"/>
      <c r="G273" s="624"/>
      <c r="H273" s="624"/>
      <c r="I273" s="624"/>
      <c r="J273" s="624"/>
    </row>
    <row r="274" spans="5:10">
      <c r="E274" s="624"/>
      <c r="F274" s="624"/>
      <c r="G274" s="624"/>
      <c r="H274" s="624"/>
      <c r="I274" s="624"/>
      <c r="J274" s="624"/>
    </row>
    <row r="275" spans="5:10">
      <c r="E275" s="624"/>
      <c r="F275" s="624"/>
      <c r="G275" s="624"/>
      <c r="H275" s="624"/>
      <c r="I275" s="624"/>
      <c r="J275" s="624"/>
    </row>
    <row r="276" spans="5:10">
      <c r="E276" s="624"/>
      <c r="F276" s="624"/>
      <c r="G276" s="624"/>
      <c r="H276" s="624"/>
      <c r="I276" s="624"/>
      <c r="J276" s="624"/>
    </row>
    <row r="277" spans="5:10">
      <c r="E277" s="624"/>
      <c r="F277" s="624"/>
      <c r="G277" s="624"/>
      <c r="H277" s="624"/>
      <c r="I277" s="624"/>
      <c r="J277" s="624"/>
    </row>
    <row r="278" spans="5:10">
      <c r="E278" s="624"/>
      <c r="F278" s="624"/>
      <c r="G278" s="624"/>
      <c r="H278" s="624"/>
      <c r="I278" s="624"/>
      <c r="J278" s="624"/>
    </row>
    <row r="279" spans="5:10">
      <c r="E279" s="624"/>
      <c r="F279" s="624"/>
      <c r="G279" s="624"/>
      <c r="H279" s="624"/>
      <c r="I279" s="624"/>
      <c r="J279" s="624"/>
    </row>
    <row r="280" spans="5:10">
      <c r="E280" s="624"/>
      <c r="F280" s="624"/>
      <c r="G280" s="624"/>
      <c r="H280" s="624"/>
      <c r="I280" s="624"/>
      <c r="J280" s="624"/>
    </row>
    <row r="281" spans="5:10">
      <c r="E281" s="624"/>
      <c r="F281" s="624"/>
      <c r="G281" s="624"/>
      <c r="H281" s="624"/>
      <c r="I281" s="624"/>
      <c r="J281" s="624"/>
    </row>
    <row r="282" spans="5:10">
      <c r="E282" s="624"/>
      <c r="F282" s="624"/>
      <c r="G282" s="624"/>
      <c r="H282" s="624"/>
      <c r="I282" s="624"/>
      <c r="J282" s="624"/>
    </row>
    <row r="283" spans="5:10">
      <c r="E283" s="624"/>
      <c r="F283" s="624"/>
      <c r="G283" s="624"/>
      <c r="H283" s="624"/>
      <c r="I283" s="624"/>
      <c r="J283" s="624"/>
    </row>
    <row r="284" spans="5:10">
      <c r="E284" s="624"/>
      <c r="F284" s="624"/>
      <c r="G284" s="624"/>
      <c r="H284" s="624"/>
      <c r="I284" s="624"/>
      <c r="J284" s="624"/>
    </row>
    <row r="285" spans="5:10">
      <c r="E285" s="624"/>
      <c r="F285" s="624"/>
      <c r="G285" s="624"/>
      <c r="H285" s="624"/>
      <c r="I285" s="624"/>
      <c r="J285" s="624"/>
    </row>
    <row r="286" spans="5:10">
      <c r="E286" s="624"/>
      <c r="F286" s="624"/>
      <c r="G286" s="624"/>
      <c r="H286" s="624"/>
      <c r="I286" s="624"/>
      <c r="J286" s="624"/>
    </row>
    <row r="287" spans="5:10">
      <c r="E287" s="624"/>
      <c r="F287" s="624"/>
      <c r="G287" s="624"/>
      <c r="H287" s="624"/>
      <c r="I287" s="624"/>
      <c r="J287" s="624"/>
    </row>
    <row r="288" spans="5:10">
      <c r="E288" s="624"/>
      <c r="F288" s="624"/>
      <c r="G288" s="624"/>
      <c r="H288" s="624"/>
      <c r="I288" s="624"/>
      <c r="J288" s="624"/>
    </row>
    <row r="289" spans="5:10">
      <c r="E289" s="624"/>
      <c r="F289" s="624"/>
      <c r="G289" s="624"/>
      <c r="H289" s="624"/>
      <c r="I289" s="624"/>
      <c r="J289" s="624"/>
    </row>
    <row r="290" spans="5:10">
      <c r="E290" s="624"/>
      <c r="F290" s="624"/>
      <c r="G290" s="624"/>
      <c r="H290" s="624"/>
      <c r="I290" s="624"/>
      <c r="J290" s="624"/>
    </row>
    <row r="291" spans="5:10">
      <c r="E291" s="624"/>
      <c r="F291" s="624"/>
      <c r="G291" s="624"/>
      <c r="H291" s="624"/>
      <c r="I291" s="624"/>
      <c r="J291" s="624"/>
    </row>
    <row r="292" spans="5:10">
      <c r="E292" s="624"/>
      <c r="F292" s="624"/>
      <c r="G292" s="624"/>
      <c r="H292" s="624"/>
      <c r="I292" s="624"/>
      <c r="J292" s="624"/>
    </row>
    <row r="293" spans="5:10">
      <c r="E293" s="624"/>
      <c r="F293" s="624"/>
      <c r="G293" s="624"/>
      <c r="H293" s="624"/>
      <c r="I293" s="624"/>
      <c r="J293" s="624"/>
    </row>
    <row r="294" spans="5:10">
      <c r="E294" s="624"/>
      <c r="F294" s="624"/>
      <c r="G294" s="624"/>
      <c r="H294" s="624"/>
      <c r="I294" s="624"/>
      <c r="J294" s="624"/>
    </row>
    <row r="295" spans="5:10">
      <c r="E295" s="624"/>
      <c r="F295" s="624"/>
      <c r="G295" s="624"/>
      <c r="H295" s="624"/>
      <c r="I295" s="624"/>
      <c r="J295" s="624"/>
    </row>
    <row r="296" spans="5:10">
      <c r="E296" s="624"/>
      <c r="F296" s="624"/>
      <c r="G296" s="624"/>
      <c r="H296" s="624"/>
      <c r="I296" s="624"/>
      <c r="J296" s="624"/>
    </row>
    <row r="297" spans="5:10">
      <c r="E297" s="624"/>
      <c r="F297" s="624"/>
      <c r="G297" s="624"/>
      <c r="H297" s="624"/>
      <c r="I297" s="624"/>
      <c r="J297" s="624"/>
    </row>
    <row r="298" spans="5:10">
      <c r="E298" s="624"/>
      <c r="F298" s="624"/>
      <c r="G298" s="624"/>
      <c r="H298" s="624"/>
      <c r="I298" s="624"/>
      <c r="J298" s="624"/>
    </row>
    <row r="299" spans="5:10">
      <c r="E299" s="624"/>
      <c r="F299" s="624"/>
      <c r="G299" s="624"/>
      <c r="H299" s="624"/>
      <c r="I299" s="624"/>
      <c r="J299" s="624"/>
    </row>
    <row r="300" spans="5:10">
      <c r="E300" s="624"/>
      <c r="F300" s="624"/>
      <c r="G300" s="624"/>
      <c r="H300" s="624"/>
      <c r="I300" s="624"/>
      <c r="J300" s="624"/>
    </row>
    <row r="301" spans="5:10">
      <c r="E301" s="624"/>
      <c r="F301" s="624"/>
      <c r="G301" s="624"/>
      <c r="H301" s="624"/>
      <c r="I301" s="624"/>
      <c r="J301" s="624"/>
    </row>
    <row r="302" spans="5:10">
      <c r="E302" s="624"/>
      <c r="F302" s="624"/>
      <c r="G302" s="624"/>
      <c r="H302" s="624"/>
      <c r="I302" s="624"/>
      <c r="J302" s="624"/>
    </row>
    <row r="303" spans="5:10">
      <c r="E303" s="624"/>
      <c r="F303" s="624"/>
      <c r="G303" s="624"/>
      <c r="H303" s="624"/>
      <c r="I303" s="624"/>
      <c r="J303" s="624"/>
    </row>
    <row r="304" spans="5:10">
      <c r="E304" s="624"/>
      <c r="F304" s="624"/>
      <c r="G304" s="624"/>
      <c r="H304" s="624"/>
      <c r="I304" s="624"/>
      <c r="J304" s="624"/>
    </row>
    <row r="305" spans="5:10">
      <c r="E305" s="624"/>
      <c r="F305" s="624"/>
      <c r="G305" s="624"/>
      <c r="H305" s="624"/>
      <c r="I305" s="624"/>
      <c r="J305" s="624"/>
    </row>
    <row r="306" spans="5:10">
      <c r="E306" s="624"/>
      <c r="F306" s="624"/>
      <c r="G306" s="624"/>
      <c r="H306" s="624"/>
      <c r="I306" s="624"/>
      <c r="J306" s="624"/>
    </row>
    <row r="307" spans="5:10">
      <c r="E307" s="624"/>
      <c r="F307" s="624"/>
      <c r="G307" s="624"/>
      <c r="H307" s="624"/>
      <c r="I307" s="624"/>
      <c r="J307" s="624"/>
    </row>
    <row r="308" spans="5:10">
      <c r="E308" s="624"/>
      <c r="F308" s="624"/>
      <c r="G308" s="624"/>
      <c r="H308" s="624"/>
      <c r="I308" s="624"/>
      <c r="J308" s="624"/>
    </row>
    <row r="309" spans="5:10">
      <c r="E309" s="624"/>
      <c r="F309" s="624"/>
      <c r="G309" s="624"/>
      <c r="H309" s="624"/>
      <c r="I309" s="624"/>
      <c r="J309" s="624"/>
    </row>
    <row r="310" spans="5:10">
      <c r="E310" s="624"/>
      <c r="F310" s="624"/>
      <c r="G310" s="624"/>
      <c r="H310" s="624"/>
      <c r="I310" s="624"/>
      <c r="J310" s="624"/>
    </row>
    <row r="311" spans="5:10">
      <c r="E311" s="624"/>
      <c r="F311" s="624"/>
      <c r="G311" s="624"/>
      <c r="H311" s="624"/>
      <c r="I311" s="624"/>
      <c r="J311" s="624"/>
    </row>
    <row r="312" spans="5:10">
      <c r="E312" s="624"/>
      <c r="F312" s="624"/>
      <c r="G312" s="624"/>
      <c r="H312" s="624"/>
      <c r="I312" s="624"/>
      <c r="J312" s="624"/>
    </row>
    <row r="313" spans="5:10">
      <c r="E313" s="624"/>
      <c r="F313" s="624"/>
      <c r="G313" s="624"/>
      <c r="H313" s="624"/>
      <c r="I313" s="624"/>
      <c r="J313" s="624"/>
    </row>
    <row r="314" spans="5:10">
      <c r="E314" s="624"/>
      <c r="F314" s="624"/>
      <c r="G314" s="624"/>
      <c r="H314" s="624"/>
      <c r="I314" s="624"/>
      <c r="J314" s="624"/>
    </row>
    <row r="315" spans="5:10">
      <c r="E315" s="624"/>
      <c r="F315" s="624"/>
      <c r="G315" s="624"/>
      <c r="H315" s="624"/>
      <c r="I315" s="624"/>
      <c r="J315" s="624"/>
    </row>
    <row r="316" spans="5:10">
      <c r="E316" s="624"/>
      <c r="F316" s="624"/>
      <c r="G316" s="624"/>
      <c r="H316" s="624"/>
      <c r="I316" s="624"/>
      <c r="J316" s="624"/>
    </row>
    <row r="317" spans="5:10">
      <c r="E317" s="624"/>
      <c r="F317" s="624"/>
      <c r="G317" s="624"/>
      <c r="H317" s="624"/>
      <c r="I317" s="624"/>
      <c r="J317" s="624"/>
    </row>
    <row r="318" spans="5:10">
      <c r="E318" s="624"/>
      <c r="F318" s="624"/>
      <c r="G318" s="624"/>
      <c r="H318" s="624"/>
      <c r="I318" s="624"/>
      <c r="J318" s="624"/>
    </row>
    <row r="319" spans="5:10">
      <c r="E319" s="624"/>
      <c r="F319" s="624"/>
      <c r="G319" s="624"/>
      <c r="H319" s="624"/>
      <c r="I319" s="624"/>
      <c r="J319" s="624"/>
    </row>
    <row r="320" spans="5:10">
      <c r="E320" s="624"/>
      <c r="F320" s="624"/>
      <c r="G320" s="624"/>
      <c r="H320" s="624"/>
      <c r="I320" s="624"/>
      <c r="J320" s="624"/>
    </row>
    <row r="321" spans="5:10">
      <c r="E321" s="624"/>
      <c r="F321" s="624"/>
      <c r="G321" s="624"/>
      <c r="H321" s="624"/>
      <c r="I321" s="624"/>
      <c r="J321" s="624"/>
    </row>
    <row r="322" spans="5:10">
      <c r="E322" s="624"/>
      <c r="F322" s="624"/>
      <c r="G322" s="624"/>
      <c r="H322" s="624"/>
      <c r="I322" s="624"/>
      <c r="J322" s="624"/>
    </row>
    <row r="323" spans="5:10">
      <c r="E323" s="624"/>
      <c r="F323" s="624"/>
      <c r="G323" s="624"/>
      <c r="H323" s="624"/>
      <c r="I323" s="624"/>
      <c r="J323" s="624"/>
    </row>
    <row r="324" spans="5:10">
      <c r="E324" s="624"/>
      <c r="F324" s="624"/>
      <c r="G324" s="624"/>
      <c r="H324" s="624"/>
      <c r="I324" s="624"/>
      <c r="J324" s="624"/>
    </row>
    <row r="325" spans="5:10">
      <c r="E325" s="624"/>
      <c r="F325" s="624"/>
      <c r="G325" s="624"/>
      <c r="H325" s="624"/>
      <c r="I325" s="624"/>
      <c r="J325" s="624"/>
    </row>
    <row r="326" spans="5:10">
      <c r="E326" s="624"/>
      <c r="F326" s="624"/>
      <c r="G326" s="624"/>
      <c r="H326" s="624"/>
      <c r="I326" s="624"/>
      <c r="J326" s="624"/>
    </row>
    <row r="327" spans="5:10">
      <c r="E327" s="624"/>
      <c r="F327" s="624"/>
      <c r="G327" s="624"/>
      <c r="H327" s="624"/>
      <c r="I327" s="624"/>
      <c r="J327" s="624"/>
    </row>
    <row r="328" spans="5:10">
      <c r="E328" s="624"/>
      <c r="F328" s="624"/>
      <c r="G328" s="624"/>
      <c r="H328" s="624"/>
      <c r="I328" s="624"/>
      <c r="J328" s="624"/>
    </row>
    <row r="329" spans="5:10">
      <c r="E329" s="624"/>
      <c r="F329" s="624"/>
      <c r="G329" s="624"/>
      <c r="H329" s="624"/>
      <c r="I329" s="624"/>
      <c r="J329" s="624"/>
    </row>
    <row r="330" spans="5:10">
      <c r="E330" s="624"/>
      <c r="F330" s="624"/>
      <c r="G330" s="624"/>
      <c r="H330" s="624"/>
      <c r="I330" s="624"/>
      <c r="J330" s="624"/>
    </row>
    <row r="331" spans="5:10">
      <c r="E331" s="624"/>
      <c r="F331" s="624"/>
      <c r="G331" s="624"/>
      <c r="H331" s="624"/>
      <c r="I331" s="624"/>
      <c r="J331" s="624"/>
    </row>
    <row r="332" spans="5:10">
      <c r="E332" s="624"/>
      <c r="F332" s="624"/>
      <c r="G332" s="624"/>
      <c r="H332" s="624"/>
      <c r="I332" s="624"/>
      <c r="J332" s="624"/>
    </row>
    <row r="333" spans="5:10">
      <c r="E333" s="624"/>
      <c r="F333" s="624"/>
      <c r="G333" s="624"/>
      <c r="H333" s="624"/>
      <c r="I333" s="624"/>
      <c r="J333" s="624"/>
    </row>
    <row r="334" spans="5:10">
      <c r="E334" s="624"/>
      <c r="F334" s="624"/>
      <c r="G334" s="624"/>
      <c r="H334" s="624"/>
      <c r="I334" s="624"/>
      <c r="J334" s="624"/>
    </row>
    <row r="335" spans="5:10">
      <c r="E335" s="624"/>
      <c r="F335" s="624"/>
      <c r="G335" s="624"/>
      <c r="H335" s="624"/>
      <c r="I335" s="624"/>
      <c r="J335" s="624"/>
    </row>
    <row r="336" spans="5:10">
      <c r="E336" s="624"/>
      <c r="F336" s="624"/>
      <c r="G336" s="624"/>
      <c r="H336" s="624"/>
      <c r="I336" s="624"/>
      <c r="J336" s="624"/>
    </row>
    <row r="337" spans="5:10">
      <c r="E337" s="624"/>
      <c r="F337" s="624"/>
      <c r="G337" s="624"/>
      <c r="H337" s="624"/>
      <c r="I337" s="624"/>
      <c r="J337" s="624"/>
    </row>
    <row r="338" spans="5:10">
      <c r="E338" s="624"/>
      <c r="F338" s="624"/>
      <c r="G338" s="624"/>
      <c r="H338" s="624"/>
      <c r="I338" s="624"/>
      <c r="J338" s="624"/>
    </row>
    <row r="339" spans="5:10">
      <c r="E339" s="624"/>
      <c r="F339" s="624"/>
      <c r="G339" s="624"/>
      <c r="H339" s="624"/>
      <c r="I339" s="624"/>
      <c r="J339" s="624"/>
    </row>
    <row r="340" spans="5:10">
      <c r="E340" s="624"/>
      <c r="F340" s="624"/>
      <c r="G340" s="624"/>
      <c r="H340" s="624"/>
      <c r="I340" s="624"/>
      <c r="J340" s="624"/>
    </row>
    <row r="341" spans="5:10">
      <c r="E341" s="624"/>
      <c r="F341" s="624"/>
      <c r="G341" s="624"/>
      <c r="H341" s="624"/>
      <c r="I341" s="624"/>
      <c r="J341" s="624"/>
    </row>
    <row r="342" spans="5:10">
      <c r="E342" s="624"/>
      <c r="F342" s="624"/>
      <c r="G342" s="624"/>
      <c r="H342" s="624"/>
      <c r="I342" s="624"/>
      <c r="J342" s="624"/>
    </row>
    <row r="343" spans="5:10">
      <c r="E343" s="624"/>
      <c r="F343" s="624"/>
      <c r="G343" s="624"/>
      <c r="H343" s="624"/>
      <c r="I343" s="624"/>
      <c r="J343" s="624"/>
    </row>
    <row r="344" spans="5:10">
      <c r="E344" s="624"/>
      <c r="F344" s="624"/>
      <c r="G344" s="624"/>
      <c r="H344" s="624"/>
      <c r="I344" s="624"/>
      <c r="J344" s="624"/>
    </row>
    <row r="345" spans="5:10">
      <c r="E345" s="624"/>
      <c r="F345" s="624"/>
      <c r="G345" s="624"/>
      <c r="H345" s="624"/>
      <c r="I345" s="624"/>
      <c r="J345" s="624"/>
    </row>
    <row r="346" spans="5:10">
      <c r="E346" s="624"/>
      <c r="F346" s="624"/>
      <c r="G346" s="624"/>
      <c r="H346" s="624"/>
      <c r="I346" s="624"/>
      <c r="J346" s="624"/>
    </row>
    <row r="347" spans="5:10">
      <c r="E347" s="624"/>
      <c r="F347" s="624"/>
      <c r="G347" s="624"/>
      <c r="H347" s="624"/>
      <c r="I347" s="624"/>
      <c r="J347" s="624"/>
    </row>
    <row r="348" spans="5:10">
      <c r="E348" s="624"/>
      <c r="F348" s="624"/>
      <c r="G348" s="624"/>
      <c r="H348" s="624"/>
      <c r="I348" s="624"/>
      <c r="J348" s="624"/>
    </row>
    <row r="349" spans="5:10">
      <c r="E349" s="624"/>
      <c r="F349" s="624"/>
      <c r="G349" s="624"/>
      <c r="H349" s="624"/>
      <c r="I349" s="624"/>
      <c r="J349" s="624"/>
    </row>
    <row r="350" spans="5:10">
      <c r="E350" s="624"/>
      <c r="F350" s="624"/>
      <c r="G350" s="624"/>
      <c r="H350" s="624"/>
      <c r="I350" s="624"/>
      <c r="J350" s="624"/>
    </row>
    <row r="351" spans="5:10">
      <c r="E351" s="624"/>
      <c r="F351" s="624"/>
      <c r="G351" s="624"/>
      <c r="H351" s="624"/>
      <c r="I351" s="624"/>
      <c r="J351" s="624"/>
    </row>
    <row r="352" spans="5:10">
      <c r="E352" s="624"/>
      <c r="F352" s="624"/>
      <c r="G352" s="624"/>
      <c r="H352" s="624"/>
      <c r="I352" s="624"/>
      <c r="J352" s="624"/>
    </row>
    <row r="353" spans="5:10">
      <c r="E353" s="624"/>
      <c r="F353" s="624"/>
      <c r="G353" s="624"/>
      <c r="H353" s="624"/>
      <c r="I353" s="624"/>
      <c r="J353" s="624"/>
    </row>
    <row r="354" spans="5:10">
      <c r="E354" s="624"/>
      <c r="F354" s="624"/>
      <c r="G354" s="624"/>
      <c r="H354" s="624"/>
      <c r="I354" s="624"/>
      <c r="J354" s="624"/>
    </row>
    <row r="355" spans="5:10">
      <c r="E355" s="624"/>
      <c r="F355" s="624"/>
      <c r="G355" s="624"/>
      <c r="H355" s="624"/>
      <c r="I355" s="624"/>
      <c r="J355" s="624"/>
    </row>
    <row r="356" spans="5:10">
      <c r="E356" s="624"/>
      <c r="F356" s="624"/>
      <c r="G356" s="624"/>
      <c r="H356" s="624"/>
      <c r="I356" s="624"/>
      <c r="J356" s="624"/>
    </row>
    <row r="357" spans="5:10">
      <c r="E357" s="624"/>
      <c r="F357" s="624"/>
      <c r="G357" s="624"/>
      <c r="H357" s="624"/>
      <c r="I357" s="624"/>
      <c r="J357" s="624"/>
    </row>
    <row r="358" spans="5:10">
      <c r="E358" s="624"/>
      <c r="F358" s="624"/>
      <c r="G358" s="624"/>
      <c r="H358" s="624"/>
      <c r="I358" s="624"/>
      <c r="J358" s="624"/>
    </row>
    <row r="359" spans="5:10">
      <c r="E359" s="624"/>
      <c r="F359" s="624"/>
      <c r="G359" s="624"/>
      <c r="H359" s="624"/>
      <c r="I359" s="624"/>
      <c r="J359" s="624"/>
    </row>
    <row r="360" spans="5:10">
      <c r="E360" s="624"/>
      <c r="F360" s="624"/>
      <c r="G360" s="624"/>
      <c r="H360" s="624"/>
      <c r="I360" s="624"/>
      <c r="J360" s="624"/>
    </row>
    <row r="361" spans="5:10">
      <c r="E361" s="624"/>
      <c r="F361" s="624"/>
      <c r="G361" s="624"/>
      <c r="H361" s="624"/>
      <c r="I361" s="624"/>
      <c r="J361" s="624"/>
    </row>
    <row r="362" spans="5:10">
      <c r="E362" s="624"/>
      <c r="F362" s="624"/>
      <c r="G362" s="624"/>
      <c r="H362" s="624"/>
      <c r="I362" s="624"/>
      <c r="J362" s="624"/>
    </row>
    <row r="363" spans="5:10">
      <c r="E363" s="624"/>
      <c r="F363" s="624"/>
      <c r="G363" s="624"/>
      <c r="H363" s="624"/>
      <c r="I363" s="624"/>
      <c r="J363" s="624"/>
    </row>
    <row r="364" spans="5:10">
      <c r="E364" s="624"/>
      <c r="F364" s="624"/>
      <c r="G364" s="624"/>
      <c r="H364" s="624"/>
      <c r="I364" s="624"/>
      <c r="J364" s="624"/>
    </row>
    <row r="365" spans="5:10">
      <c r="E365" s="624"/>
      <c r="F365" s="624"/>
      <c r="G365" s="624"/>
      <c r="H365" s="624"/>
      <c r="I365" s="624"/>
      <c r="J365" s="624"/>
    </row>
    <row r="366" spans="5:10">
      <c r="E366" s="624"/>
      <c r="F366" s="624"/>
      <c r="G366" s="624"/>
      <c r="H366" s="624"/>
      <c r="I366" s="624"/>
      <c r="J366" s="624"/>
    </row>
    <row r="367" spans="5:10">
      <c r="E367" s="624"/>
      <c r="F367" s="624"/>
      <c r="G367" s="624"/>
      <c r="H367" s="624"/>
      <c r="I367" s="624"/>
      <c r="J367" s="624"/>
    </row>
    <row r="368" spans="5:10">
      <c r="E368" s="624"/>
      <c r="F368" s="624"/>
      <c r="G368" s="624"/>
      <c r="H368" s="624"/>
      <c r="I368" s="624"/>
      <c r="J368" s="624"/>
    </row>
    <row r="369" spans="5:10">
      <c r="E369" s="624"/>
      <c r="F369" s="624"/>
      <c r="G369" s="624"/>
      <c r="H369" s="624"/>
      <c r="I369" s="624"/>
      <c r="J369" s="624"/>
    </row>
    <row r="370" spans="5:10">
      <c r="E370" s="624"/>
      <c r="F370" s="624"/>
      <c r="G370" s="624"/>
      <c r="H370" s="624"/>
      <c r="I370" s="624"/>
      <c r="J370" s="624"/>
    </row>
    <row r="371" spans="5:10">
      <c r="E371" s="624"/>
      <c r="F371" s="624"/>
      <c r="G371" s="624"/>
      <c r="H371" s="624"/>
      <c r="I371" s="624"/>
      <c r="J371" s="624"/>
    </row>
    <row r="372" spans="5:10">
      <c r="E372" s="624"/>
      <c r="F372" s="624"/>
      <c r="G372" s="624"/>
      <c r="H372" s="624"/>
      <c r="I372" s="624"/>
      <c r="J372" s="624"/>
    </row>
    <row r="373" spans="5:10">
      <c r="E373" s="624"/>
      <c r="F373" s="624"/>
      <c r="G373" s="624"/>
      <c r="H373" s="624"/>
      <c r="I373" s="624"/>
      <c r="J373" s="624"/>
    </row>
    <row r="374" spans="5:10">
      <c r="E374" s="624"/>
      <c r="F374" s="624"/>
      <c r="G374" s="624"/>
      <c r="H374" s="624"/>
      <c r="I374" s="624"/>
      <c r="J374" s="624"/>
    </row>
    <row r="375" spans="5:10">
      <c r="E375" s="624"/>
      <c r="F375" s="624"/>
      <c r="G375" s="624"/>
      <c r="H375" s="624"/>
      <c r="I375" s="624"/>
      <c r="J375" s="624"/>
    </row>
    <row r="376" spans="5:10">
      <c r="E376" s="624"/>
      <c r="F376" s="624"/>
      <c r="G376" s="624"/>
      <c r="H376" s="624"/>
      <c r="I376" s="624"/>
      <c r="J376" s="624"/>
    </row>
    <row r="377" spans="5:10">
      <c r="E377" s="624"/>
      <c r="F377" s="624"/>
      <c r="G377" s="624"/>
      <c r="H377" s="624"/>
      <c r="I377" s="624"/>
      <c r="J377" s="624"/>
    </row>
    <row r="378" spans="5:10">
      <c r="E378" s="624"/>
      <c r="F378" s="624"/>
      <c r="G378" s="624"/>
      <c r="H378" s="624"/>
      <c r="I378" s="624"/>
      <c r="J378" s="624"/>
    </row>
    <row r="379" spans="5:10">
      <c r="E379" s="624"/>
      <c r="F379" s="624"/>
      <c r="G379" s="624"/>
      <c r="H379" s="624"/>
      <c r="I379" s="624"/>
      <c r="J379" s="624"/>
    </row>
    <row r="380" spans="5:10">
      <c r="E380" s="624"/>
      <c r="F380" s="624"/>
      <c r="G380" s="624"/>
      <c r="H380" s="624"/>
      <c r="I380" s="624"/>
      <c r="J380" s="624"/>
    </row>
    <row r="381" spans="5:10">
      <c r="E381" s="624"/>
      <c r="F381" s="624"/>
      <c r="G381" s="624"/>
      <c r="H381" s="624"/>
      <c r="I381" s="624"/>
      <c r="J381" s="624"/>
    </row>
    <row r="382" spans="5:10">
      <c r="E382" s="624"/>
      <c r="F382" s="624"/>
      <c r="G382" s="624"/>
      <c r="H382" s="624"/>
      <c r="I382" s="624"/>
      <c r="J382" s="624"/>
    </row>
    <row r="383" spans="5:10">
      <c r="E383" s="624"/>
      <c r="F383" s="624"/>
      <c r="G383" s="624"/>
      <c r="H383" s="624"/>
      <c r="I383" s="624"/>
      <c r="J383" s="624"/>
    </row>
    <row r="384" spans="5:10">
      <c r="E384" s="624"/>
      <c r="F384" s="624"/>
      <c r="G384" s="624"/>
      <c r="H384" s="624"/>
      <c r="I384" s="624"/>
      <c r="J384" s="624"/>
    </row>
    <row r="385" spans="5:10">
      <c r="E385" s="624"/>
      <c r="F385" s="624"/>
      <c r="G385" s="624"/>
      <c r="H385" s="624"/>
      <c r="I385" s="624"/>
      <c r="J385" s="624"/>
    </row>
    <row r="386" spans="5:10">
      <c r="E386" s="624"/>
      <c r="F386" s="624"/>
      <c r="G386" s="624"/>
      <c r="H386" s="624"/>
      <c r="I386" s="624"/>
      <c r="J386" s="624"/>
    </row>
    <row r="387" spans="5:10">
      <c r="E387" s="624"/>
      <c r="F387" s="624"/>
      <c r="G387" s="624"/>
      <c r="H387" s="624"/>
      <c r="I387" s="624"/>
      <c r="J387" s="624"/>
    </row>
    <row r="388" spans="5:10">
      <c r="E388" s="624"/>
      <c r="F388" s="624"/>
      <c r="G388" s="624"/>
      <c r="H388" s="624"/>
      <c r="I388" s="624"/>
      <c r="J388" s="624"/>
    </row>
    <row r="389" spans="5:10">
      <c r="E389" s="624"/>
      <c r="F389" s="624"/>
      <c r="G389" s="624"/>
      <c r="H389" s="624"/>
      <c r="I389" s="624"/>
      <c r="J389" s="624"/>
    </row>
    <row r="390" spans="5:10">
      <c r="E390" s="624"/>
      <c r="F390" s="624"/>
      <c r="G390" s="624"/>
      <c r="H390" s="624"/>
      <c r="I390" s="624"/>
      <c r="J390" s="624"/>
    </row>
    <row r="391" spans="5:10">
      <c r="E391" s="624"/>
      <c r="F391" s="624"/>
      <c r="G391" s="624"/>
      <c r="H391" s="624"/>
      <c r="I391" s="624"/>
      <c r="J391" s="624"/>
    </row>
    <row r="392" spans="5:10">
      <c r="E392" s="624"/>
      <c r="F392" s="624"/>
      <c r="G392" s="624"/>
      <c r="H392" s="624"/>
      <c r="I392" s="624"/>
      <c r="J392" s="624"/>
    </row>
    <row r="393" spans="5:10">
      <c r="E393" s="624"/>
      <c r="F393" s="624"/>
      <c r="G393" s="624"/>
      <c r="H393" s="624"/>
      <c r="I393" s="624"/>
      <c r="J393" s="624"/>
    </row>
    <row r="394" spans="5:10">
      <c r="E394" s="624"/>
      <c r="F394" s="624"/>
      <c r="G394" s="624"/>
      <c r="H394" s="624"/>
      <c r="I394" s="624"/>
      <c r="J394" s="624"/>
    </row>
    <row r="395" spans="5:10">
      <c r="E395" s="624"/>
      <c r="F395" s="624"/>
      <c r="G395" s="624"/>
      <c r="H395" s="624"/>
      <c r="I395" s="624"/>
      <c r="J395" s="624"/>
    </row>
    <row r="396" spans="5:10">
      <c r="E396" s="624"/>
      <c r="F396" s="624"/>
      <c r="G396" s="624"/>
      <c r="H396" s="624"/>
      <c r="I396" s="624"/>
      <c r="J396" s="624"/>
    </row>
    <row r="397" spans="5:10">
      <c r="E397" s="624"/>
      <c r="F397" s="624"/>
      <c r="G397" s="624"/>
      <c r="H397" s="624"/>
      <c r="I397" s="624"/>
      <c r="J397" s="624"/>
    </row>
    <row r="398" spans="5:10">
      <c r="E398" s="624"/>
      <c r="F398" s="624"/>
      <c r="G398" s="624"/>
      <c r="H398" s="624"/>
      <c r="I398" s="624"/>
      <c r="J398" s="624"/>
    </row>
    <row r="399" spans="5:10">
      <c r="E399" s="624"/>
      <c r="F399" s="624"/>
      <c r="G399" s="624"/>
      <c r="H399" s="624"/>
      <c r="I399" s="624"/>
      <c r="J399" s="624"/>
    </row>
    <row r="400" spans="5:10">
      <c r="E400" s="624"/>
      <c r="F400" s="624"/>
      <c r="G400" s="624"/>
      <c r="H400" s="624"/>
      <c r="I400" s="624"/>
      <c r="J400" s="624"/>
    </row>
    <row r="401" spans="5:10">
      <c r="E401" s="624"/>
      <c r="F401" s="624"/>
      <c r="G401" s="624"/>
      <c r="H401" s="624"/>
      <c r="I401" s="624"/>
      <c r="J401" s="624"/>
    </row>
    <row r="402" spans="5:10">
      <c r="E402" s="624"/>
      <c r="F402" s="624"/>
      <c r="G402" s="624"/>
      <c r="H402" s="624"/>
      <c r="I402" s="624"/>
      <c r="J402" s="624"/>
    </row>
    <row r="403" spans="5:10">
      <c r="E403" s="624"/>
      <c r="F403" s="624"/>
      <c r="G403" s="624"/>
      <c r="H403" s="624"/>
      <c r="I403" s="624"/>
      <c r="J403" s="624"/>
    </row>
    <row r="404" spans="5:10">
      <c r="E404" s="624"/>
      <c r="F404" s="624"/>
      <c r="G404" s="624"/>
      <c r="H404" s="624"/>
      <c r="I404" s="624"/>
      <c r="J404" s="624"/>
    </row>
    <row r="405" spans="5:10">
      <c r="E405" s="624"/>
      <c r="F405" s="624"/>
      <c r="G405" s="624"/>
      <c r="H405" s="624"/>
      <c r="I405" s="624"/>
      <c r="J405" s="624"/>
    </row>
    <row r="406" spans="5:10">
      <c r="E406" s="624"/>
      <c r="F406" s="624"/>
      <c r="G406" s="624"/>
      <c r="H406" s="624"/>
      <c r="I406" s="624"/>
      <c r="J406" s="624"/>
    </row>
    <row r="407" spans="5:10">
      <c r="E407" s="624"/>
      <c r="F407" s="624"/>
      <c r="G407" s="624"/>
      <c r="H407" s="624"/>
      <c r="I407" s="624"/>
      <c r="J407" s="624"/>
    </row>
    <row r="408" spans="5:10">
      <c r="E408" s="624"/>
      <c r="F408" s="624"/>
      <c r="G408" s="624"/>
      <c r="H408" s="624"/>
      <c r="I408" s="624"/>
      <c r="J408" s="624"/>
    </row>
    <row r="409" spans="5:10">
      <c r="E409" s="624"/>
      <c r="F409" s="624"/>
      <c r="G409" s="624"/>
      <c r="H409" s="624"/>
      <c r="I409" s="624"/>
      <c r="J409" s="624"/>
    </row>
    <row r="410" spans="5:10">
      <c r="E410" s="624"/>
      <c r="F410" s="624"/>
      <c r="G410" s="624"/>
      <c r="H410" s="624"/>
      <c r="I410" s="624"/>
      <c r="J410" s="624"/>
    </row>
    <row r="411" spans="5:10">
      <c r="E411" s="624"/>
      <c r="F411" s="624"/>
      <c r="G411" s="624"/>
      <c r="H411" s="624"/>
      <c r="I411" s="624"/>
      <c r="J411" s="624"/>
    </row>
    <row r="412" spans="5:10">
      <c r="E412" s="624"/>
      <c r="F412" s="624"/>
      <c r="G412" s="624"/>
      <c r="H412" s="624"/>
      <c r="I412" s="624"/>
      <c r="J412" s="624"/>
    </row>
    <row r="413" spans="5:10">
      <c r="E413" s="624"/>
      <c r="F413" s="624"/>
      <c r="G413" s="624"/>
      <c r="H413" s="624"/>
      <c r="I413" s="624"/>
      <c r="J413" s="624"/>
    </row>
    <row r="414" spans="5:10">
      <c r="E414" s="624"/>
      <c r="F414" s="624"/>
      <c r="G414" s="624"/>
      <c r="H414" s="624"/>
      <c r="I414" s="624"/>
      <c r="J414" s="624"/>
    </row>
    <row r="415" spans="5:10">
      <c r="E415" s="624"/>
      <c r="F415" s="624"/>
      <c r="G415" s="624"/>
      <c r="H415" s="624"/>
      <c r="I415" s="624"/>
      <c r="J415" s="624"/>
    </row>
    <row r="416" spans="5:10">
      <c r="E416" s="624"/>
      <c r="F416" s="624"/>
      <c r="G416" s="624"/>
      <c r="H416" s="624"/>
      <c r="I416" s="624"/>
      <c r="J416" s="624"/>
    </row>
    <row r="417" spans="5:10">
      <c r="E417" s="624"/>
      <c r="F417" s="624"/>
      <c r="G417" s="624"/>
      <c r="H417" s="624"/>
      <c r="I417" s="624"/>
      <c r="J417" s="624"/>
    </row>
    <row r="418" spans="5:10">
      <c r="E418" s="624"/>
      <c r="F418" s="624"/>
      <c r="G418" s="624"/>
      <c r="H418" s="624"/>
      <c r="I418" s="624"/>
      <c r="J418" s="624"/>
    </row>
    <row r="419" spans="5:10">
      <c r="E419" s="624"/>
      <c r="F419" s="624"/>
      <c r="G419" s="624"/>
      <c r="H419" s="624"/>
      <c r="I419" s="624"/>
      <c r="J419" s="624"/>
    </row>
    <row r="420" spans="5:10">
      <c r="E420" s="624"/>
      <c r="F420" s="624"/>
      <c r="G420" s="624"/>
      <c r="H420" s="624"/>
      <c r="I420" s="624"/>
      <c r="J420" s="624"/>
    </row>
    <row r="421" spans="5:10">
      <c r="E421" s="624"/>
      <c r="F421" s="624"/>
      <c r="G421" s="624"/>
      <c r="H421" s="624"/>
      <c r="I421" s="624"/>
      <c r="J421" s="624"/>
    </row>
    <row r="422" spans="5:10">
      <c r="E422" s="624"/>
      <c r="F422" s="624"/>
      <c r="G422" s="624"/>
      <c r="H422" s="624"/>
      <c r="I422" s="624"/>
      <c r="J422" s="624"/>
    </row>
    <row r="423" spans="5:10">
      <c r="E423" s="624"/>
      <c r="F423" s="624"/>
      <c r="G423" s="624"/>
      <c r="H423" s="624"/>
      <c r="I423" s="624"/>
      <c r="J423" s="624"/>
    </row>
    <row r="424" spans="5:10">
      <c r="E424" s="624"/>
      <c r="F424" s="624"/>
      <c r="G424" s="624"/>
      <c r="H424" s="624"/>
      <c r="I424" s="624"/>
      <c r="J424" s="624"/>
    </row>
    <row r="425" spans="5:10">
      <c r="E425" s="624"/>
      <c r="F425" s="624"/>
      <c r="G425" s="624"/>
      <c r="H425" s="624"/>
      <c r="I425" s="624"/>
      <c r="J425" s="624"/>
    </row>
    <row r="426" spans="5:10">
      <c r="E426" s="624"/>
      <c r="F426" s="624"/>
      <c r="G426" s="624"/>
      <c r="H426" s="624"/>
      <c r="I426" s="624"/>
      <c r="J426" s="624"/>
    </row>
    <row r="427" spans="5:10">
      <c r="E427" s="624"/>
      <c r="F427" s="624"/>
      <c r="G427" s="624"/>
      <c r="H427" s="624"/>
      <c r="I427" s="624"/>
      <c r="J427" s="624"/>
    </row>
    <row r="428" spans="5:10">
      <c r="E428" s="624"/>
      <c r="F428" s="624"/>
      <c r="G428" s="624"/>
      <c r="H428" s="624"/>
      <c r="I428" s="624"/>
      <c r="J428" s="624"/>
    </row>
    <row r="429" spans="5:10">
      <c r="E429" s="624"/>
      <c r="F429" s="624"/>
      <c r="G429" s="624"/>
      <c r="H429" s="624"/>
      <c r="I429" s="624"/>
      <c r="J429" s="624"/>
    </row>
    <row r="430" spans="5:10">
      <c r="E430" s="624"/>
      <c r="F430" s="624"/>
      <c r="G430" s="624"/>
      <c r="H430" s="624"/>
      <c r="I430" s="624"/>
      <c r="J430" s="624"/>
    </row>
    <row r="431" spans="5:10">
      <c r="E431" s="624"/>
      <c r="F431" s="624"/>
      <c r="G431" s="624"/>
      <c r="H431" s="624"/>
      <c r="I431" s="624"/>
      <c r="J431" s="624"/>
    </row>
    <row r="432" spans="5:10">
      <c r="E432" s="624"/>
      <c r="F432" s="624"/>
      <c r="G432" s="624"/>
      <c r="H432" s="624"/>
      <c r="I432" s="624"/>
      <c r="J432" s="624"/>
    </row>
    <row r="433" spans="5:10">
      <c r="E433" s="624"/>
      <c r="F433" s="624"/>
      <c r="G433" s="624"/>
      <c r="H433" s="624"/>
      <c r="I433" s="624"/>
      <c r="J433" s="624"/>
    </row>
    <row r="434" spans="5:10">
      <c r="E434" s="624"/>
      <c r="F434" s="624"/>
      <c r="G434" s="624"/>
      <c r="H434" s="624"/>
      <c r="I434" s="624"/>
      <c r="J434" s="624"/>
    </row>
    <row r="435" spans="5:10">
      <c r="E435" s="624"/>
      <c r="F435" s="624"/>
      <c r="G435" s="624"/>
      <c r="H435" s="624"/>
      <c r="I435" s="624"/>
      <c r="J435" s="624"/>
    </row>
    <row r="436" spans="5:10">
      <c r="E436" s="624"/>
      <c r="F436" s="624"/>
      <c r="G436" s="624"/>
      <c r="H436" s="624"/>
      <c r="I436" s="624"/>
      <c r="J436" s="624"/>
    </row>
    <row r="437" spans="5:10">
      <c r="E437" s="624"/>
      <c r="F437" s="624"/>
      <c r="G437" s="624"/>
      <c r="H437" s="624"/>
      <c r="I437" s="624"/>
      <c r="J437" s="624"/>
    </row>
    <row r="438" spans="5:10">
      <c r="E438" s="624"/>
      <c r="F438" s="624"/>
      <c r="G438" s="624"/>
      <c r="H438" s="624"/>
      <c r="I438" s="624"/>
      <c r="J438" s="624"/>
    </row>
    <row r="439" spans="5:10">
      <c r="E439" s="624"/>
      <c r="F439" s="624"/>
      <c r="G439" s="624"/>
      <c r="H439" s="624"/>
      <c r="I439" s="624"/>
      <c r="J439" s="624"/>
    </row>
    <row r="440" spans="5:10">
      <c r="E440" s="624"/>
      <c r="F440" s="624"/>
      <c r="G440" s="624"/>
      <c r="H440" s="624"/>
      <c r="I440" s="624"/>
      <c r="J440" s="624"/>
    </row>
    <row r="441" spans="5:10">
      <c r="E441" s="624"/>
      <c r="F441" s="624"/>
      <c r="G441" s="624"/>
      <c r="H441" s="624"/>
      <c r="I441" s="624"/>
      <c r="J441" s="624"/>
    </row>
    <row r="442" spans="5:10">
      <c r="E442" s="624"/>
      <c r="F442" s="624"/>
      <c r="G442" s="624"/>
      <c r="H442" s="624"/>
      <c r="I442" s="624"/>
      <c r="J442" s="624"/>
    </row>
    <row r="443" spans="5:10">
      <c r="E443" s="624"/>
      <c r="F443" s="624"/>
      <c r="G443" s="624"/>
      <c r="H443" s="624"/>
      <c r="I443" s="624"/>
      <c r="J443" s="624"/>
    </row>
    <row r="444" spans="5:10">
      <c r="E444" s="624"/>
      <c r="F444" s="624"/>
      <c r="G444" s="624"/>
      <c r="H444" s="624"/>
      <c r="I444" s="624"/>
      <c r="J444" s="624"/>
    </row>
    <row r="445" spans="5:10">
      <c r="E445" s="624"/>
      <c r="F445" s="624"/>
      <c r="G445" s="624"/>
      <c r="H445" s="624"/>
      <c r="I445" s="624"/>
      <c r="J445" s="624"/>
    </row>
    <row r="446" spans="5:10">
      <c r="E446" s="624"/>
      <c r="F446" s="624"/>
      <c r="G446" s="624"/>
      <c r="H446" s="624"/>
      <c r="I446" s="624"/>
      <c r="J446" s="624"/>
    </row>
    <row r="447" spans="5:10">
      <c r="E447" s="624"/>
      <c r="F447" s="624"/>
      <c r="G447" s="624"/>
      <c r="H447" s="624"/>
      <c r="I447" s="624"/>
      <c r="J447" s="624"/>
    </row>
    <row r="448" spans="5:10">
      <c r="E448" s="624"/>
      <c r="F448" s="624"/>
      <c r="G448" s="624"/>
      <c r="H448" s="624"/>
      <c r="I448" s="624"/>
      <c r="J448" s="624"/>
    </row>
    <row r="449" spans="5:10">
      <c r="E449" s="624"/>
      <c r="F449" s="624"/>
      <c r="G449" s="624"/>
      <c r="H449" s="624"/>
      <c r="I449" s="624"/>
      <c r="J449" s="624"/>
    </row>
    <row r="450" spans="5:10">
      <c r="E450" s="624"/>
      <c r="F450" s="624"/>
      <c r="G450" s="624"/>
      <c r="H450" s="624"/>
      <c r="I450" s="624"/>
      <c r="J450" s="624"/>
    </row>
    <row r="451" spans="5:10">
      <c r="E451" s="624"/>
      <c r="F451" s="624"/>
      <c r="G451" s="624"/>
      <c r="H451" s="624"/>
      <c r="I451" s="624"/>
      <c r="J451" s="624"/>
    </row>
    <row r="452" spans="5:10">
      <c r="E452" s="624"/>
      <c r="F452" s="624"/>
      <c r="G452" s="624"/>
      <c r="H452" s="624"/>
      <c r="I452" s="624"/>
      <c r="J452" s="624"/>
    </row>
    <row r="453" spans="5:10">
      <c r="E453" s="624"/>
      <c r="F453" s="624"/>
      <c r="G453" s="624"/>
      <c r="H453" s="624"/>
      <c r="I453" s="624"/>
      <c r="J453" s="624"/>
    </row>
    <row r="454" spans="5:10">
      <c r="E454" s="624"/>
      <c r="F454" s="624"/>
      <c r="G454" s="624"/>
      <c r="H454" s="624"/>
      <c r="I454" s="624"/>
      <c r="J454" s="624"/>
    </row>
    <row r="455" spans="5:10">
      <c r="E455" s="624"/>
      <c r="F455" s="624"/>
      <c r="G455" s="624"/>
      <c r="H455" s="624"/>
      <c r="I455" s="624"/>
      <c r="J455" s="624"/>
    </row>
    <row r="456" spans="5:10">
      <c r="E456" s="624"/>
      <c r="F456" s="624"/>
      <c r="G456" s="624"/>
      <c r="H456" s="624"/>
      <c r="I456" s="624"/>
      <c r="J456" s="624"/>
    </row>
    <row r="457" spans="5:10">
      <c r="E457" s="624"/>
      <c r="F457" s="624"/>
      <c r="G457" s="624"/>
      <c r="H457" s="624"/>
      <c r="I457" s="624"/>
      <c r="J457" s="624"/>
    </row>
    <row r="458" spans="5:10">
      <c r="E458" s="624"/>
      <c r="F458" s="624"/>
      <c r="G458" s="624"/>
      <c r="H458" s="624"/>
      <c r="I458" s="624"/>
      <c r="J458" s="624"/>
    </row>
    <row r="459" spans="5:10">
      <c r="E459" s="624"/>
      <c r="F459" s="624"/>
      <c r="G459" s="624"/>
      <c r="H459" s="624"/>
      <c r="I459" s="624"/>
      <c r="J459" s="624"/>
    </row>
    <row r="460" spans="5:10">
      <c r="E460" s="624"/>
      <c r="F460" s="624"/>
      <c r="G460" s="624"/>
      <c r="H460" s="624"/>
      <c r="I460" s="624"/>
      <c r="J460" s="624"/>
    </row>
    <row r="461" spans="5:10">
      <c r="E461" s="624"/>
      <c r="F461" s="624"/>
      <c r="G461" s="624"/>
      <c r="H461" s="624"/>
      <c r="I461" s="624"/>
      <c r="J461" s="624"/>
    </row>
    <row r="462" spans="5:10">
      <c r="E462" s="624"/>
      <c r="F462" s="624"/>
      <c r="G462" s="624"/>
      <c r="H462" s="624"/>
      <c r="I462" s="624"/>
      <c r="J462" s="624"/>
    </row>
    <row r="463" spans="5:10">
      <c r="E463" s="624"/>
      <c r="F463" s="624"/>
      <c r="G463" s="624"/>
      <c r="H463" s="624"/>
      <c r="I463" s="624"/>
      <c r="J463" s="624"/>
    </row>
    <row r="464" spans="5:10">
      <c r="E464" s="624"/>
      <c r="F464" s="624"/>
      <c r="G464" s="624"/>
      <c r="H464" s="624"/>
      <c r="I464" s="624"/>
      <c r="J464" s="624"/>
    </row>
    <row r="465" spans="5:10">
      <c r="E465" s="624"/>
      <c r="F465" s="624"/>
      <c r="G465" s="624"/>
      <c r="H465" s="624"/>
      <c r="I465" s="624"/>
      <c r="J465" s="624"/>
    </row>
    <row r="466" spans="5:10">
      <c r="E466" s="624"/>
      <c r="F466" s="624"/>
      <c r="G466" s="624"/>
      <c r="H466" s="624"/>
      <c r="I466" s="624"/>
      <c r="J466" s="624"/>
    </row>
    <row r="467" spans="5:10">
      <c r="E467" s="624"/>
      <c r="F467" s="624"/>
      <c r="G467" s="624"/>
      <c r="H467" s="624"/>
      <c r="I467" s="624"/>
      <c r="J467" s="624"/>
    </row>
    <row r="468" spans="5:10">
      <c r="E468" s="624"/>
      <c r="F468" s="624"/>
      <c r="G468" s="624"/>
      <c r="H468" s="624"/>
      <c r="I468" s="624"/>
      <c r="J468" s="624"/>
    </row>
    <row r="469" spans="5:10">
      <c r="E469" s="624"/>
      <c r="F469" s="624"/>
      <c r="G469" s="624"/>
      <c r="H469" s="624"/>
      <c r="I469" s="624"/>
      <c r="J469" s="624"/>
    </row>
    <row r="470" spans="5:10">
      <c r="E470" s="624"/>
      <c r="F470" s="624"/>
      <c r="G470" s="624"/>
      <c r="H470" s="624"/>
      <c r="I470" s="624"/>
      <c r="J470" s="624"/>
    </row>
    <row r="471" spans="5:10">
      <c r="E471" s="624"/>
      <c r="F471" s="624"/>
      <c r="G471" s="624"/>
      <c r="H471" s="624"/>
      <c r="I471" s="624"/>
      <c r="J471" s="624"/>
    </row>
    <row r="472" spans="5:10">
      <c r="E472" s="624"/>
      <c r="F472" s="624"/>
      <c r="G472" s="624"/>
      <c r="H472" s="624"/>
      <c r="I472" s="624"/>
      <c r="J472" s="624"/>
    </row>
    <row r="473" spans="5:10">
      <c r="E473" s="624"/>
      <c r="F473" s="624"/>
      <c r="G473" s="624"/>
      <c r="H473" s="624"/>
      <c r="I473" s="624"/>
      <c r="J473" s="624"/>
    </row>
    <row r="474" spans="5:10">
      <c r="E474" s="624"/>
      <c r="F474" s="624"/>
      <c r="G474" s="624"/>
      <c r="H474" s="624"/>
      <c r="I474" s="624"/>
      <c r="J474" s="624"/>
    </row>
    <row r="475" spans="5:10">
      <c r="E475" s="624"/>
      <c r="F475" s="624"/>
      <c r="G475" s="624"/>
      <c r="H475" s="624"/>
      <c r="I475" s="624"/>
      <c r="J475" s="624"/>
    </row>
    <row r="476" spans="5:10">
      <c r="E476" s="624"/>
      <c r="F476" s="624"/>
      <c r="G476" s="624"/>
      <c r="H476" s="624"/>
      <c r="I476" s="624"/>
      <c r="J476" s="624"/>
    </row>
    <row r="477" spans="5:10">
      <c r="E477" s="624"/>
      <c r="F477" s="624"/>
      <c r="G477" s="624"/>
      <c r="H477" s="624"/>
      <c r="I477" s="624"/>
      <c r="J477" s="624"/>
    </row>
    <row r="478" spans="5:10">
      <c r="E478" s="624"/>
      <c r="F478" s="624"/>
      <c r="G478" s="624"/>
      <c r="H478" s="624"/>
      <c r="I478" s="624"/>
      <c r="J478" s="624"/>
    </row>
    <row r="479" spans="5:10">
      <c r="E479" s="624"/>
      <c r="F479" s="624"/>
      <c r="G479" s="624"/>
      <c r="H479" s="624"/>
      <c r="I479" s="624"/>
      <c r="J479" s="624"/>
    </row>
    <row r="480" spans="5:10">
      <c r="E480" s="624"/>
      <c r="F480" s="624"/>
      <c r="G480" s="624"/>
      <c r="H480" s="624"/>
      <c r="I480" s="624"/>
      <c r="J480" s="624"/>
    </row>
    <row r="481" spans="5:10">
      <c r="E481" s="624"/>
      <c r="F481" s="624"/>
      <c r="G481" s="624"/>
      <c r="H481" s="624"/>
      <c r="I481" s="624"/>
      <c r="J481" s="624"/>
    </row>
    <row r="482" spans="5:10">
      <c r="E482" s="624"/>
      <c r="F482" s="624"/>
      <c r="G482" s="624"/>
      <c r="H482" s="624"/>
      <c r="I482" s="624"/>
      <c r="J482" s="624"/>
    </row>
    <row r="483" spans="5:10">
      <c r="E483" s="624"/>
      <c r="F483" s="624"/>
      <c r="G483" s="624"/>
      <c r="H483" s="624"/>
      <c r="I483" s="624"/>
      <c r="J483" s="624"/>
    </row>
    <row r="484" spans="5:10">
      <c r="E484" s="624"/>
      <c r="F484" s="624"/>
      <c r="G484" s="624"/>
      <c r="H484" s="624"/>
      <c r="I484" s="624"/>
      <c r="J484" s="624"/>
    </row>
    <row r="485" spans="5:10">
      <c r="E485" s="624"/>
      <c r="F485" s="624"/>
      <c r="G485" s="624"/>
      <c r="H485" s="624"/>
      <c r="I485" s="624"/>
      <c r="J485" s="624"/>
    </row>
    <row r="486" spans="5:10">
      <c r="E486" s="624"/>
      <c r="F486" s="624"/>
      <c r="G486" s="624"/>
      <c r="H486" s="624"/>
      <c r="I486" s="624"/>
      <c r="J486" s="624"/>
    </row>
    <row r="487" spans="5:10">
      <c r="E487" s="624"/>
      <c r="F487" s="624"/>
      <c r="G487" s="624"/>
      <c r="H487" s="624"/>
      <c r="I487" s="624"/>
      <c r="J487" s="624"/>
    </row>
    <row r="488" spans="5:10">
      <c r="E488" s="624"/>
      <c r="F488" s="624"/>
      <c r="G488" s="624"/>
      <c r="H488" s="624"/>
      <c r="I488" s="624"/>
      <c r="J488" s="624"/>
    </row>
    <row r="489" spans="5:10">
      <c r="E489" s="624"/>
      <c r="F489" s="624"/>
      <c r="G489" s="624"/>
      <c r="H489" s="624"/>
      <c r="I489" s="624"/>
      <c r="J489" s="624"/>
    </row>
    <row r="490" spans="5:10">
      <c r="E490" s="624"/>
      <c r="F490" s="624"/>
      <c r="G490" s="624"/>
      <c r="H490" s="624"/>
      <c r="I490" s="624"/>
      <c r="J490" s="624"/>
    </row>
    <row r="491" spans="5:10">
      <c r="E491" s="624"/>
      <c r="F491" s="624"/>
      <c r="G491" s="624"/>
      <c r="H491" s="624"/>
      <c r="I491" s="624"/>
      <c r="J491" s="624"/>
    </row>
    <row r="492" spans="5:10">
      <c r="E492" s="624"/>
      <c r="F492" s="624"/>
      <c r="G492" s="624"/>
      <c r="H492" s="624"/>
      <c r="I492" s="624"/>
      <c r="J492" s="624"/>
    </row>
    <row r="493" spans="5:10">
      <c r="E493" s="624"/>
      <c r="F493" s="624"/>
      <c r="G493" s="624"/>
      <c r="H493" s="624"/>
      <c r="I493" s="624"/>
      <c r="J493" s="624"/>
    </row>
    <row r="494" spans="5:10">
      <c r="E494" s="624"/>
      <c r="F494" s="624"/>
      <c r="G494" s="624"/>
      <c r="H494" s="624"/>
      <c r="I494" s="624"/>
      <c r="J494" s="624"/>
    </row>
    <row r="495" spans="5:10">
      <c r="E495" s="624"/>
      <c r="F495" s="624"/>
      <c r="G495" s="624"/>
      <c r="H495" s="624"/>
      <c r="I495" s="624"/>
      <c r="J495" s="624"/>
    </row>
    <row r="496" spans="5:10">
      <c r="E496" s="624"/>
      <c r="F496" s="624"/>
      <c r="G496" s="624"/>
      <c r="H496" s="624"/>
      <c r="I496" s="624"/>
      <c r="J496" s="624"/>
    </row>
    <row r="497" spans="5:10">
      <c r="E497" s="624"/>
      <c r="F497" s="624"/>
      <c r="G497" s="624"/>
      <c r="H497" s="624"/>
      <c r="I497" s="624"/>
      <c r="J497" s="624"/>
    </row>
    <row r="498" spans="5:10">
      <c r="E498" s="624"/>
      <c r="F498" s="624"/>
      <c r="G498" s="624"/>
      <c r="H498" s="624"/>
      <c r="I498" s="624"/>
      <c r="J498" s="624"/>
    </row>
    <row r="499" spans="5:10">
      <c r="E499" s="624"/>
      <c r="F499" s="624"/>
      <c r="G499" s="624"/>
      <c r="H499" s="624"/>
      <c r="I499" s="624"/>
      <c r="J499" s="624"/>
    </row>
    <row r="500" spans="5:10">
      <c r="E500" s="624"/>
      <c r="F500" s="624"/>
      <c r="G500" s="624"/>
      <c r="H500" s="624"/>
      <c r="I500" s="624"/>
      <c r="J500" s="624"/>
    </row>
    <row r="501" spans="5:10">
      <c r="E501" s="624"/>
      <c r="F501" s="624"/>
      <c r="G501" s="624"/>
      <c r="H501" s="624"/>
      <c r="I501" s="624"/>
      <c r="J501" s="624"/>
    </row>
    <row r="502" spans="5:10">
      <c r="E502" s="624"/>
      <c r="F502" s="624"/>
      <c r="G502" s="624"/>
      <c r="H502" s="624"/>
      <c r="I502" s="624"/>
      <c r="J502" s="624"/>
    </row>
    <row r="503" spans="5:10">
      <c r="E503" s="624"/>
      <c r="F503" s="624"/>
      <c r="G503" s="624"/>
      <c r="H503" s="624"/>
      <c r="I503" s="624"/>
      <c r="J503" s="624"/>
    </row>
    <row r="504" spans="5:10">
      <c r="E504" s="624"/>
      <c r="F504" s="624"/>
      <c r="G504" s="624"/>
      <c r="H504" s="624"/>
      <c r="I504" s="624"/>
      <c r="J504" s="624"/>
    </row>
    <row r="505" spans="5:10">
      <c r="E505" s="624"/>
      <c r="F505" s="624"/>
      <c r="G505" s="624"/>
      <c r="H505" s="624"/>
      <c r="I505" s="624"/>
      <c r="J505" s="624"/>
    </row>
    <row r="506" spans="5:10">
      <c r="E506" s="624"/>
      <c r="F506" s="624"/>
      <c r="G506" s="624"/>
      <c r="H506" s="624"/>
      <c r="I506" s="624"/>
      <c r="J506" s="624"/>
    </row>
    <row r="507" spans="5:10">
      <c r="E507" s="624"/>
      <c r="F507" s="624"/>
      <c r="G507" s="624"/>
      <c r="H507" s="624"/>
      <c r="I507" s="624"/>
      <c r="J507" s="624"/>
    </row>
    <row r="508" spans="5:10">
      <c r="E508" s="624"/>
      <c r="F508" s="624"/>
      <c r="G508" s="624"/>
      <c r="H508" s="624"/>
      <c r="I508" s="624"/>
      <c r="J508" s="624"/>
    </row>
    <row r="509" spans="5:10">
      <c r="E509" s="624"/>
      <c r="F509" s="624"/>
      <c r="G509" s="624"/>
      <c r="H509" s="624"/>
      <c r="I509" s="624"/>
      <c r="J509" s="624"/>
    </row>
    <row r="510" spans="5:10">
      <c r="E510" s="624"/>
      <c r="F510" s="624"/>
      <c r="G510" s="624"/>
      <c r="H510" s="624"/>
      <c r="I510" s="624"/>
      <c r="J510" s="624"/>
    </row>
    <row r="511" spans="5:10">
      <c r="E511" s="624"/>
      <c r="F511" s="624"/>
      <c r="G511" s="624"/>
      <c r="H511" s="624"/>
      <c r="I511" s="624"/>
      <c r="J511" s="624"/>
    </row>
    <row r="512" spans="5:10">
      <c r="E512" s="624"/>
      <c r="F512" s="624"/>
      <c r="G512" s="624"/>
      <c r="H512" s="624"/>
      <c r="I512" s="624"/>
      <c r="J512" s="624"/>
    </row>
    <row r="513" spans="5:10">
      <c r="E513" s="624"/>
      <c r="F513" s="624"/>
      <c r="G513" s="624"/>
      <c r="H513" s="624"/>
      <c r="I513" s="624"/>
      <c r="J513" s="624"/>
    </row>
    <row r="514" spans="5:10">
      <c r="E514" s="624"/>
      <c r="F514" s="624"/>
      <c r="G514" s="624"/>
      <c r="H514" s="624"/>
      <c r="I514" s="624"/>
      <c r="J514" s="624"/>
    </row>
    <row r="515" spans="5:10">
      <c r="E515" s="624"/>
      <c r="F515" s="624"/>
      <c r="G515" s="624"/>
      <c r="H515" s="624"/>
      <c r="I515" s="624"/>
      <c r="J515" s="624"/>
    </row>
    <row r="516" spans="5:10">
      <c r="E516" s="624"/>
      <c r="F516" s="624"/>
      <c r="G516" s="624"/>
      <c r="H516" s="624"/>
      <c r="I516" s="624"/>
      <c r="J516" s="624"/>
    </row>
    <row r="517" spans="5:10">
      <c r="E517" s="624"/>
      <c r="F517" s="624"/>
      <c r="G517" s="624"/>
      <c r="H517" s="624"/>
      <c r="I517" s="624"/>
      <c r="J517" s="624"/>
    </row>
    <row r="518" spans="5:10">
      <c r="E518" s="624"/>
      <c r="F518" s="624"/>
      <c r="G518" s="624"/>
      <c r="H518" s="624"/>
      <c r="I518" s="624"/>
      <c r="J518" s="624"/>
    </row>
    <row r="519" spans="5:10">
      <c r="E519" s="624"/>
      <c r="F519" s="624"/>
      <c r="G519" s="624"/>
      <c r="H519" s="624"/>
      <c r="I519" s="624"/>
      <c r="J519" s="624"/>
    </row>
    <row r="520" spans="5:10">
      <c r="E520" s="624"/>
      <c r="F520" s="624"/>
      <c r="G520" s="624"/>
      <c r="H520" s="624"/>
      <c r="I520" s="624"/>
      <c r="J520" s="624"/>
    </row>
    <row r="521" spans="5:10">
      <c r="E521" s="624"/>
      <c r="F521" s="624"/>
      <c r="G521" s="624"/>
      <c r="H521" s="624"/>
      <c r="I521" s="624"/>
      <c r="J521" s="624"/>
    </row>
    <row r="522" spans="5:10">
      <c r="E522" s="624"/>
      <c r="F522" s="624"/>
      <c r="G522" s="624"/>
      <c r="H522" s="624"/>
      <c r="I522" s="624"/>
      <c r="J522" s="624"/>
    </row>
    <row r="523" spans="5:10">
      <c r="E523" s="624"/>
      <c r="F523" s="624"/>
      <c r="G523" s="624"/>
      <c r="H523" s="624"/>
      <c r="I523" s="624"/>
      <c r="J523" s="624"/>
    </row>
    <row r="524" spans="5:10">
      <c r="E524" s="624"/>
      <c r="F524" s="624"/>
      <c r="G524" s="624"/>
      <c r="H524" s="624"/>
      <c r="I524" s="624"/>
      <c r="J524" s="624"/>
    </row>
    <row r="525" spans="5:10">
      <c r="E525" s="624"/>
      <c r="F525" s="624"/>
      <c r="G525" s="624"/>
      <c r="H525" s="624"/>
      <c r="I525" s="624"/>
      <c r="J525" s="624"/>
    </row>
    <row r="526" spans="5:10">
      <c r="E526" s="624"/>
      <c r="F526" s="624"/>
      <c r="G526" s="624"/>
      <c r="H526" s="624"/>
      <c r="I526" s="624"/>
      <c r="J526" s="624"/>
    </row>
    <row r="527" spans="5:10">
      <c r="E527" s="624"/>
      <c r="F527" s="624"/>
      <c r="G527" s="624"/>
      <c r="H527" s="624"/>
      <c r="I527" s="624"/>
      <c r="J527" s="624"/>
    </row>
    <row r="528" spans="5:10">
      <c r="E528" s="624"/>
      <c r="F528" s="624"/>
      <c r="G528" s="624"/>
      <c r="H528" s="624"/>
      <c r="I528" s="624"/>
      <c r="J528" s="624"/>
    </row>
    <row r="529" spans="5:10">
      <c r="E529" s="624"/>
      <c r="F529" s="624"/>
      <c r="G529" s="624"/>
      <c r="H529" s="624"/>
      <c r="I529" s="624"/>
      <c r="J529" s="624"/>
    </row>
    <row r="530" spans="5:10">
      <c r="E530" s="624"/>
      <c r="F530" s="624"/>
      <c r="G530" s="624"/>
      <c r="H530" s="624"/>
      <c r="I530" s="624"/>
      <c r="J530" s="624"/>
    </row>
    <row r="531" spans="5:10">
      <c r="E531" s="624"/>
      <c r="F531" s="624"/>
      <c r="G531" s="624"/>
      <c r="H531" s="624"/>
      <c r="I531" s="624"/>
      <c r="J531" s="624"/>
    </row>
    <row r="532" spans="5:10">
      <c r="E532" s="624"/>
      <c r="F532" s="624"/>
      <c r="G532" s="624"/>
      <c r="H532" s="624"/>
      <c r="I532" s="624"/>
      <c r="J532" s="624"/>
    </row>
    <row r="533" spans="5:10">
      <c r="E533" s="624"/>
      <c r="F533" s="624"/>
      <c r="G533" s="624"/>
      <c r="H533" s="624"/>
      <c r="I533" s="624"/>
      <c r="J533" s="624"/>
    </row>
    <row r="534" spans="5:10">
      <c r="E534" s="624"/>
      <c r="F534" s="624"/>
      <c r="G534" s="624"/>
      <c r="H534" s="624"/>
      <c r="I534" s="624"/>
      <c r="J534" s="624"/>
    </row>
    <row r="535" spans="5:10">
      <c r="E535" s="624"/>
      <c r="F535" s="624"/>
      <c r="G535" s="624"/>
      <c r="H535" s="624"/>
      <c r="I535" s="624"/>
      <c r="J535" s="624"/>
    </row>
    <row r="536" spans="5:10">
      <c r="E536" s="624"/>
      <c r="F536" s="624"/>
      <c r="G536" s="624"/>
      <c r="H536" s="624"/>
      <c r="I536" s="624"/>
      <c r="J536" s="624"/>
    </row>
    <row r="537" spans="5:10">
      <c r="E537" s="624"/>
      <c r="F537" s="624"/>
      <c r="G537" s="624"/>
      <c r="H537" s="624"/>
      <c r="I537" s="624"/>
      <c r="J537" s="624"/>
    </row>
    <row r="538" spans="5:10">
      <c r="E538" s="624"/>
      <c r="F538" s="624"/>
      <c r="G538" s="624"/>
      <c r="H538" s="624"/>
      <c r="I538" s="624"/>
      <c r="J538" s="624"/>
    </row>
    <row r="539" spans="5:10">
      <c r="E539" s="624"/>
      <c r="F539" s="624"/>
      <c r="G539" s="624"/>
      <c r="H539" s="624"/>
      <c r="I539" s="624"/>
      <c r="J539" s="624"/>
    </row>
    <row r="540" spans="5:10">
      <c r="E540" s="624"/>
      <c r="F540" s="624"/>
      <c r="G540" s="624"/>
      <c r="H540" s="624"/>
      <c r="I540" s="624"/>
      <c r="J540" s="624"/>
    </row>
    <row r="541" spans="5:10">
      <c r="E541" s="624"/>
      <c r="F541" s="624"/>
      <c r="G541" s="624"/>
      <c r="H541" s="624"/>
      <c r="I541" s="624"/>
      <c r="J541" s="624"/>
    </row>
    <row r="542" spans="5:10">
      <c r="E542" s="624"/>
      <c r="F542" s="624"/>
      <c r="G542" s="624"/>
      <c r="H542" s="624"/>
      <c r="I542" s="624"/>
      <c r="J542" s="624"/>
    </row>
    <row r="543" spans="5:10">
      <c r="E543" s="624"/>
      <c r="F543" s="624"/>
      <c r="G543" s="624"/>
      <c r="H543" s="624"/>
      <c r="I543" s="624"/>
      <c r="J543" s="624"/>
    </row>
    <row r="544" spans="5:10">
      <c r="E544" s="624"/>
      <c r="F544" s="624"/>
      <c r="G544" s="624"/>
      <c r="H544" s="624"/>
      <c r="I544" s="624"/>
      <c r="J544" s="624"/>
    </row>
    <row r="545" spans="5:10">
      <c r="E545" s="624"/>
      <c r="F545" s="624"/>
      <c r="G545" s="624"/>
      <c r="H545" s="624"/>
      <c r="I545" s="624"/>
      <c r="J545" s="624"/>
    </row>
    <row r="546" spans="5:10">
      <c r="E546" s="624"/>
      <c r="F546" s="624"/>
      <c r="G546" s="624"/>
      <c r="H546" s="624"/>
      <c r="I546" s="624"/>
      <c r="J546" s="624"/>
    </row>
    <row r="547" spans="5:10">
      <c r="E547" s="624"/>
      <c r="F547" s="624"/>
      <c r="G547" s="624"/>
      <c r="H547" s="624"/>
      <c r="I547" s="624"/>
      <c r="J547" s="624"/>
    </row>
    <row r="548" spans="5:10">
      <c r="E548" s="624"/>
      <c r="F548" s="624"/>
      <c r="G548" s="624"/>
      <c r="H548" s="624"/>
      <c r="I548" s="624"/>
      <c r="J548" s="624"/>
    </row>
    <row r="549" spans="5:10">
      <c r="E549" s="624"/>
      <c r="F549" s="624"/>
      <c r="G549" s="624"/>
      <c r="H549" s="624"/>
      <c r="I549" s="624"/>
      <c r="J549" s="624"/>
    </row>
    <row r="550" spans="5:10">
      <c r="E550" s="624"/>
      <c r="F550" s="624"/>
      <c r="G550" s="624"/>
      <c r="H550" s="624"/>
      <c r="I550" s="624"/>
      <c r="J550" s="624"/>
    </row>
    <row r="551" spans="5:10">
      <c r="E551" s="624"/>
      <c r="F551" s="624"/>
      <c r="G551" s="624"/>
      <c r="H551" s="624"/>
      <c r="I551" s="624"/>
      <c r="J551" s="624"/>
    </row>
    <row r="552" spans="5:10">
      <c r="E552" s="624"/>
      <c r="F552" s="624"/>
      <c r="G552" s="624"/>
      <c r="H552" s="624"/>
      <c r="I552" s="624"/>
      <c r="J552" s="624"/>
    </row>
    <row r="553" spans="5:10">
      <c r="E553" s="624"/>
      <c r="F553" s="624"/>
      <c r="G553" s="624"/>
      <c r="H553" s="624"/>
      <c r="I553" s="624"/>
      <c r="J553" s="624"/>
    </row>
    <row r="554" spans="5:10">
      <c r="E554" s="624"/>
      <c r="F554" s="624"/>
      <c r="G554" s="624"/>
      <c r="H554" s="624"/>
      <c r="I554" s="624"/>
      <c r="J554" s="624"/>
    </row>
    <row r="555" spans="5:10">
      <c r="E555" s="624"/>
      <c r="F555" s="624"/>
      <c r="G555" s="624"/>
      <c r="H555" s="624"/>
      <c r="I555" s="624"/>
      <c r="J555" s="624"/>
    </row>
    <row r="556" spans="5:10">
      <c r="E556" s="624"/>
      <c r="F556" s="624"/>
      <c r="G556" s="624"/>
      <c r="H556" s="624"/>
      <c r="I556" s="624"/>
      <c r="J556" s="624"/>
    </row>
    <row r="557" spans="5:10">
      <c r="E557" s="624"/>
      <c r="F557" s="624"/>
      <c r="G557" s="624"/>
      <c r="H557" s="624"/>
      <c r="I557" s="624"/>
      <c r="J557" s="624"/>
    </row>
    <row r="558" spans="5:10">
      <c r="E558" s="624"/>
      <c r="F558" s="624"/>
      <c r="G558" s="624"/>
      <c r="H558" s="624"/>
      <c r="I558" s="624"/>
      <c r="J558" s="624"/>
    </row>
    <row r="559" spans="5:10">
      <c r="E559" s="624"/>
      <c r="F559" s="624"/>
      <c r="G559" s="624"/>
      <c r="H559" s="624"/>
      <c r="I559" s="624"/>
      <c r="J559" s="624"/>
    </row>
    <row r="560" spans="5:10">
      <c r="E560" s="624"/>
      <c r="F560" s="624"/>
      <c r="G560" s="624"/>
      <c r="H560" s="624"/>
      <c r="I560" s="624"/>
      <c r="J560" s="624"/>
    </row>
    <row r="561" spans="5:10">
      <c r="E561" s="624"/>
      <c r="F561" s="624"/>
      <c r="G561" s="624"/>
      <c r="H561" s="624"/>
      <c r="I561" s="624"/>
      <c r="J561" s="624"/>
    </row>
    <row r="562" spans="5:10">
      <c r="E562" s="624"/>
      <c r="F562" s="624"/>
      <c r="G562" s="624"/>
      <c r="H562" s="624"/>
      <c r="I562" s="624"/>
      <c r="J562" s="624"/>
    </row>
    <row r="563" spans="5:10">
      <c r="E563" s="624"/>
      <c r="F563" s="624"/>
      <c r="G563" s="624"/>
      <c r="H563" s="624"/>
      <c r="I563" s="624"/>
      <c r="J563" s="624"/>
    </row>
    <row r="564" spans="5:10">
      <c r="E564" s="624"/>
      <c r="F564" s="624"/>
      <c r="G564" s="624"/>
      <c r="H564" s="624"/>
      <c r="I564" s="624"/>
      <c r="J564" s="624"/>
    </row>
    <row r="565" spans="5:10">
      <c r="E565" s="624"/>
      <c r="F565" s="624"/>
      <c r="G565" s="624"/>
      <c r="H565" s="624"/>
      <c r="I565" s="624"/>
      <c r="J565" s="624"/>
    </row>
    <row r="566" spans="5:10">
      <c r="E566" s="624"/>
      <c r="F566" s="624"/>
      <c r="G566" s="624"/>
      <c r="H566" s="624"/>
      <c r="I566" s="624"/>
      <c r="J566" s="624"/>
    </row>
    <row r="567" spans="5:10">
      <c r="E567" s="624"/>
      <c r="F567" s="624"/>
      <c r="G567" s="624"/>
      <c r="H567" s="624"/>
      <c r="I567" s="624"/>
      <c r="J567" s="624"/>
    </row>
    <row r="568" spans="5:10">
      <c r="E568" s="624"/>
      <c r="F568" s="624"/>
      <c r="G568" s="624"/>
      <c r="H568" s="624"/>
      <c r="I568" s="624"/>
      <c r="J568" s="624"/>
    </row>
    <row r="569" spans="5:10">
      <c r="E569" s="624"/>
      <c r="F569" s="624"/>
      <c r="G569" s="624"/>
      <c r="H569" s="624"/>
      <c r="I569" s="624"/>
      <c r="J569" s="624"/>
    </row>
    <row r="570" spans="5:10">
      <c r="E570" s="624"/>
      <c r="F570" s="624"/>
      <c r="G570" s="624"/>
      <c r="H570" s="624"/>
      <c r="I570" s="624"/>
      <c r="J570" s="624"/>
    </row>
    <row r="571" spans="5:10">
      <c r="E571" s="624"/>
      <c r="F571" s="624"/>
      <c r="G571" s="624"/>
      <c r="H571" s="624"/>
      <c r="I571" s="624"/>
      <c r="J571" s="624"/>
    </row>
    <row r="572" spans="5:10">
      <c r="E572" s="624"/>
      <c r="F572" s="624"/>
      <c r="G572" s="624"/>
      <c r="H572" s="624"/>
      <c r="I572" s="624"/>
      <c r="J572" s="624"/>
    </row>
    <row r="573" spans="5:10">
      <c r="E573" s="624"/>
      <c r="F573" s="624"/>
      <c r="G573" s="624"/>
      <c r="H573" s="624"/>
      <c r="I573" s="624"/>
      <c r="J573" s="624"/>
    </row>
    <row r="574" spans="5:10">
      <c r="E574" s="624"/>
      <c r="F574" s="624"/>
      <c r="G574" s="624"/>
      <c r="H574" s="624"/>
      <c r="I574" s="624"/>
      <c r="J574" s="624"/>
    </row>
    <row r="575" spans="5:10">
      <c r="E575" s="624"/>
      <c r="F575" s="624"/>
      <c r="G575" s="624"/>
      <c r="H575" s="624"/>
      <c r="I575" s="624"/>
      <c r="J575" s="624"/>
    </row>
    <row r="576" spans="5:10">
      <c r="E576" s="624"/>
      <c r="F576" s="624"/>
      <c r="G576" s="624"/>
      <c r="H576" s="624"/>
      <c r="I576" s="624"/>
      <c r="J576" s="624"/>
    </row>
    <row r="577" spans="5:10">
      <c r="E577" s="624"/>
      <c r="F577" s="624"/>
      <c r="G577" s="624"/>
      <c r="H577" s="624"/>
      <c r="I577" s="624"/>
      <c r="J577" s="624"/>
    </row>
    <row r="578" spans="5:10">
      <c r="E578" s="624"/>
      <c r="F578" s="624"/>
      <c r="G578" s="624"/>
      <c r="H578" s="624"/>
      <c r="I578" s="624"/>
      <c r="J578" s="624"/>
    </row>
    <row r="579" spans="5:10">
      <c r="E579" s="624"/>
      <c r="F579" s="624"/>
      <c r="G579" s="624"/>
      <c r="H579" s="624"/>
      <c r="I579" s="624"/>
      <c r="J579" s="624"/>
    </row>
    <row r="580" spans="5:10">
      <c r="E580" s="624"/>
      <c r="F580" s="624"/>
      <c r="G580" s="624"/>
      <c r="H580" s="624"/>
      <c r="I580" s="624"/>
      <c r="J580" s="624"/>
    </row>
    <row r="581" spans="5:10">
      <c r="E581" s="624"/>
      <c r="F581" s="624"/>
      <c r="G581" s="624"/>
      <c r="H581" s="624"/>
      <c r="I581" s="624"/>
      <c r="J581" s="624"/>
    </row>
    <row r="582" spans="5:10">
      <c r="E582" s="624"/>
      <c r="F582" s="624"/>
      <c r="G582" s="624"/>
      <c r="H582" s="624"/>
      <c r="I582" s="624"/>
      <c r="J582" s="624"/>
    </row>
    <row r="583" spans="5:10">
      <c r="E583" s="624"/>
      <c r="F583" s="624"/>
      <c r="G583" s="624"/>
      <c r="H583" s="624"/>
      <c r="I583" s="624"/>
      <c r="J583" s="624"/>
    </row>
    <row r="584" spans="5:10">
      <c r="E584" s="624"/>
      <c r="F584" s="624"/>
      <c r="G584" s="624"/>
      <c r="H584" s="624"/>
      <c r="I584" s="624"/>
      <c r="J584" s="624"/>
    </row>
    <row r="585" spans="5:10">
      <c r="E585" s="624"/>
      <c r="F585" s="624"/>
      <c r="G585" s="624"/>
      <c r="H585" s="624"/>
      <c r="I585" s="624"/>
      <c r="J585" s="624"/>
    </row>
    <row r="586" spans="5:10">
      <c r="E586" s="624"/>
      <c r="F586" s="624"/>
      <c r="G586" s="624"/>
      <c r="H586" s="624"/>
      <c r="I586" s="624"/>
      <c r="J586" s="624"/>
    </row>
    <row r="587" spans="5:10">
      <c r="E587" s="624"/>
      <c r="F587" s="624"/>
      <c r="G587" s="624"/>
      <c r="H587" s="624"/>
      <c r="I587" s="624"/>
      <c r="J587" s="624"/>
    </row>
    <row r="588" spans="5:10">
      <c r="E588" s="624"/>
      <c r="F588" s="624"/>
      <c r="G588" s="624"/>
      <c r="H588" s="624"/>
      <c r="I588" s="624"/>
      <c r="J588" s="624"/>
    </row>
    <row r="589" spans="5:10">
      <c r="E589" s="624"/>
      <c r="F589" s="624"/>
      <c r="G589" s="624"/>
      <c r="H589" s="624"/>
      <c r="I589" s="624"/>
      <c r="J589" s="624"/>
    </row>
    <row r="590" spans="5:10">
      <c r="E590" s="624"/>
      <c r="F590" s="624"/>
      <c r="G590" s="624"/>
      <c r="H590" s="624"/>
      <c r="I590" s="624"/>
      <c r="J590" s="624"/>
    </row>
    <row r="591" spans="5:10">
      <c r="E591" s="624"/>
      <c r="F591" s="624"/>
      <c r="G591" s="624"/>
      <c r="H591" s="624"/>
      <c r="I591" s="624"/>
      <c r="J591" s="624"/>
    </row>
    <row r="592" spans="5:10">
      <c r="E592" s="624"/>
      <c r="F592" s="624"/>
      <c r="G592" s="624"/>
      <c r="H592" s="624"/>
      <c r="I592" s="624"/>
      <c r="J592" s="624"/>
    </row>
    <row r="593" spans="5:10">
      <c r="E593" s="624"/>
      <c r="F593" s="624"/>
      <c r="G593" s="624"/>
      <c r="H593" s="624"/>
      <c r="I593" s="624"/>
      <c r="J593" s="624"/>
    </row>
    <row r="594" spans="5:10">
      <c r="E594" s="624"/>
      <c r="F594" s="624"/>
      <c r="G594" s="624"/>
      <c r="H594" s="624"/>
      <c r="I594" s="624"/>
      <c r="J594" s="624"/>
    </row>
    <row r="595" spans="5:10">
      <c r="E595" s="624"/>
      <c r="F595" s="624"/>
      <c r="G595" s="624"/>
      <c r="H595" s="624"/>
      <c r="I595" s="624"/>
      <c r="J595" s="624"/>
    </row>
    <row r="596" spans="5:10">
      <c r="E596" s="624"/>
      <c r="F596" s="624"/>
      <c r="G596" s="624"/>
      <c r="H596" s="624"/>
      <c r="I596" s="624"/>
      <c r="J596" s="624"/>
    </row>
    <row r="597" spans="5:10">
      <c r="E597" s="624"/>
      <c r="F597" s="624"/>
      <c r="G597" s="624"/>
      <c r="H597" s="624"/>
      <c r="I597" s="624"/>
      <c r="J597" s="624"/>
    </row>
    <row r="598" spans="5:10">
      <c r="E598" s="624"/>
      <c r="F598" s="624"/>
      <c r="G598" s="624"/>
      <c r="H598" s="624"/>
      <c r="I598" s="624"/>
      <c r="J598" s="624"/>
    </row>
    <row r="599" spans="5:10">
      <c r="E599" s="624"/>
      <c r="F599" s="624"/>
      <c r="G599" s="624"/>
      <c r="H599" s="624"/>
      <c r="I599" s="624"/>
      <c r="J599" s="624"/>
    </row>
    <row r="600" spans="5:10">
      <c r="E600" s="624"/>
      <c r="F600" s="624"/>
      <c r="G600" s="624"/>
      <c r="H600" s="624"/>
      <c r="I600" s="624"/>
      <c r="J600" s="624"/>
    </row>
    <row r="601" spans="5:10">
      <c r="E601" s="624"/>
      <c r="F601" s="624"/>
      <c r="G601" s="624"/>
      <c r="H601" s="624"/>
      <c r="I601" s="624"/>
      <c r="J601" s="624"/>
    </row>
    <row r="602" spans="5:10">
      <c r="E602" s="624"/>
      <c r="F602" s="624"/>
      <c r="G602" s="624"/>
      <c r="H602" s="624"/>
      <c r="I602" s="624"/>
      <c r="J602" s="624"/>
    </row>
    <row r="603" spans="5:10">
      <c r="E603" s="624"/>
      <c r="F603" s="624"/>
      <c r="G603" s="624"/>
      <c r="H603" s="624"/>
      <c r="I603" s="624"/>
      <c r="J603" s="624"/>
    </row>
    <row r="604" spans="5:10">
      <c r="E604" s="624"/>
      <c r="F604" s="624"/>
      <c r="G604" s="624"/>
      <c r="H604" s="624"/>
      <c r="I604" s="624"/>
      <c r="J604" s="624"/>
    </row>
    <row r="605" spans="5:10">
      <c r="E605" s="624"/>
      <c r="F605" s="624"/>
      <c r="G605" s="624"/>
      <c r="H605" s="624"/>
      <c r="I605" s="624"/>
      <c r="J605" s="624"/>
    </row>
    <row r="606" spans="5:10">
      <c r="E606" s="624"/>
      <c r="F606" s="624"/>
      <c r="G606" s="624"/>
      <c r="H606" s="624"/>
      <c r="I606" s="624"/>
      <c r="J606" s="624"/>
    </row>
    <row r="607" spans="5:10">
      <c r="E607" s="624"/>
      <c r="F607" s="624"/>
      <c r="G607" s="624"/>
      <c r="H607" s="624"/>
      <c r="I607" s="624"/>
      <c r="J607" s="624"/>
    </row>
    <row r="608" spans="5:10">
      <c r="E608" s="624"/>
      <c r="F608" s="624"/>
      <c r="G608" s="624"/>
      <c r="H608" s="624"/>
      <c r="I608" s="624"/>
      <c r="J608" s="624"/>
    </row>
    <row r="609" spans="5:10">
      <c r="E609" s="624"/>
      <c r="F609" s="624"/>
      <c r="G609" s="624"/>
      <c r="H609" s="624"/>
      <c r="I609" s="624"/>
      <c r="J609" s="624"/>
    </row>
    <row r="610" spans="5:10">
      <c r="E610" s="624"/>
      <c r="F610" s="624"/>
      <c r="G610" s="624"/>
      <c r="H610" s="624"/>
      <c r="I610" s="624"/>
      <c r="J610" s="624"/>
    </row>
    <row r="611" spans="5:10">
      <c r="E611" s="624"/>
      <c r="F611" s="624"/>
      <c r="G611" s="624"/>
      <c r="H611" s="624"/>
      <c r="I611" s="624"/>
      <c r="J611" s="624"/>
    </row>
    <row r="612" spans="5:10">
      <c r="E612" s="624"/>
      <c r="F612" s="624"/>
      <c r="G612" s="624"/>
      <c r="H612" s="624"/>
      <c r="I612" s="624"/>
      <c r="J612" s="624"/>
    </row>
    <row r="613" spans="5:10">
      <c r="E613" s="624"/>
      <c r="F613" s="624"/>
      <c r="G613" s="624"/>
      <c r="H613" s="624"/>
      <c r="I613" s="624"/>
      <c r="J613" s="624"/>
    </row>
    <row r="614" spans="5:10">
      <c r="E614" s="624"/>
      <c r="F614" s="624"/>
      <c r="G614" s="624"/>
      <c r="H614" s="624"/>
      <c r="I614" s="624"/>
      <c r="J614" s="624"/>
    </row>
    <row r="615" spans="5:10">
      <c r="E615" s="624"/>
      <c r="F615" s="624"/>
      <c r="G615" s="624"/>
      <c r="H615" s="624"/>
      <c r="I615" s="624"/>
      <c r="J615" s="624"/>
    </row>
    <row r="616" spans="5:10">
      <c r="E616" s="624"/>
      <c r="F616" s="624"/>
      <c r="G616" s="624"/>
      <c r="H616" s="624"/>
      <c r="I616" s="624"/>
      <c r="J616" s="624"/>
    </row>
    <row r="617" spans="5:10">
      <c r="E617" s="624"/>
      <c r="F617" s="624"/>
      <c r="G617" s="624"/>
      <c r="H617" s="624"/>
      <c r="I617" s="624"/>
      <c r="J617" s="624"/>
    </row>
    <row r="618" spans="5:10">
      <c r="E618" s="624"/>
      <c r="F618" s="624"/>
      <c r="G618" s="624"/>
      <c r="H618" s="624"/>
      <c r="I618" s="624"/>
      <c r="J618" s="624"/>
    </row>
    <row r="619" spans="5:10">
      <c r="E619" s="624"/>
      <c r="F619" s="624"/>
      <c r="G619" s="624"/>
      <c r="H619" s="624"/>
      <c r="I619" s="624"/>
      <c r="J619" s="624"/>
    </row>
    <row r="620" spans="5:10">
      <c r="E620" s="624"/>
      <c r="F620" s="624"/>
      <c r="G620" s="624"/>
      <c r="H620" s="624"/>
      <c r="I620" s="624"/>
      <c r="J620" s="624"/>
    </row>
    <row r="621" spans="5:10">
      <c r="E621" s="624"/>
      <c r="F621" s="624"/>
      <c r="G621" s="624"/>
      <c r="H621" s="624"/>
      <c r="I621" s="624"/>
      <c r="J621" s="624"/>
    </row>
    <row r="622" spans="5:10">
      <c r="E622" s="624"/>
      <c r="F622" s="624"/>
      <c r="G622" s="624"/>
      <c r="H622" s="624"/>
      <c r="I622" s="624"/>
      <c r="J622" s="624"/>
    </row>
    <row r="623" spans="5:10">
      <c r="E623" s="624"/>
      <c r="F623" s="624"/>
      <c r="G623" s="624"/>
      <c r="H623" s="624"/>
      <c r="I623" s="624"/>
      <c r="J623" s="624"/>
    </row>
    <row r="624" spans="5:10">
      <c r="E624" s="624"/>
      <c r="F624" s="624"/>
      <c r="G624" s="624"/>
      <c r="H624" s="624"/>
      <c r="I624" s="624"/>
      <c r="J624" s="624"/>
    </row>
    <row r="625" spans="5:10">
      <c r="E625" s="624"/>
      <c r="F625" s="624"/>
      <c r="G625" s="624"/>
      <c r="H625" s="624"/>
      <c r="I625" s="624"/>
      <c r="J625" s="624"/>
    </row>
    <row r="626" spans="5:10">
      <c r="E626" s="624"/>
      <c r="F626" s="624"/>
      <c r="G626" s="624"/>
      <c r="H626" s="624"/>
      <c r="I626" s="624"/>
      <c r="J626" s="624"/>
    </row>
    <row r="627" spans="5:10">
      <c r="E627" s="624"/>
      <c r="F627" s="624"/>
      <c r="G627" s="624"/>
      <c r="H627" s="624"/>
      <c r="I627" s="624"/>
      <c r="J627" s="624"/>
    </row>
    <row r="628" spans="5:10">
      <c r="E628" s="624"/>
      <c r="F628" s="624"/>
      <c r="G628" s="624"/>
      <c r="H628" s="624"/>
      <c r="I628" s="624"/>
      <c r="J628" s="624"/>
    </row>
    <row r="629" spans="5:10">
      <c r="E629" s="624"/>
      <c r="F629" s="624"/>
      <c r="G629" s="624"/>
      <c r="H629" s="624"/>
      <c r="I629" s="624"/>
      <c r="J629" s="624"/>
    </row>
    <row r="630" spans="5:10">
      <c r="E630" s="624"/>
      <c r="F630" s="624"/>
      <c r="G630" s="624"/>
      <c r="H630" s="624"/>
      <c r="I630" s="624"/>
      <c r="J630" s="624"/>
    </row>
    <row r="631" spans="5:10">
      <c r="E631" s="624"/>
      <c r="F631" s="624"/>
      <c r="G631" s="624"/>
      <c r="H631" s="624"/>
      <c r="I631" s="624"/>
      <c r="J631" s="624"/>
    </row>
    <row r="632" spans="5:10">
      <c r="E632" s="624"/>
      <c r="F632" s="624"/>
      <c r="G632" s="624"/>
      <c r="H632" s="624"/>
      <c r="I632" s="624"/>
      <c r="J632" s="624"/>
    </row>
    <row r="633" spans="5:10">
      <c r="E633" s="624"/>
      <c r="F633" s="624"/>
      <c r="G633" s="624"/>
      <c r="H633" s="624"/>
      <c r="I633" s="624"/>
      <c r="J633" s="624"/>
    </row>
    <row r="634" spans="5:10">
      <c r="E634" s="624"/>
      <c r="F634" s="624"/>
      <c r="G634" s="624"/>
      <c r="H634" s="624"/>
      <c r="I634" s="624"/>
      <c r="J634" s="624"/>
    </row>
    <row r="635" spans="5:10">
      <c r="E635" s="624"/>
      <c r="F635" s="624"/>
      <c r="G635" s="624"/>
      <c r="H635" s="624"/>
      <c r="I635" s="624"/>
      <c r="J635" s="624"/>
    </row>
    <row r="636" spans="5:10">
      <c r="E636" s="624"/>
      <c r="F636" s="624"/>
      <c r="G636" s="624"/>
      <c r="H636" s="624"/>
      <c r="I636" s="624"/>
      <c r="J636" s="624"/>
    </row>
    <row r="637" spans="5:10">
      <c r="E637" s="624"/>
      <c r="F637" s="624"/>
      <c r="G637" s="624"/>
      <c r="H637" s="624"/>
      <c r="I637" s="624"/>
      <c r="J637" s="624"/>
    </row>
    <row r="638" spans="5:10">
      <c r="E638" s="624"/>
      <c r="F638" s="624"/>
      <c r="G638" s="624"/>
      <c r="H638" s="624"/>
      <c r="I638" s="624"/>
      <c r="J638" s="624"/>
    </row>
    <row r="639" spans="5:10">
      <c r="E639" s="624"/>
      <c r="F639" s="624"/>
      <c r="G639" s="624"/>
      <c r="H639" s="624"/>
      <c r="I639" s="624"/>
      <c r="J639" s="624"/>
    </row>
    <row r="640" spans="5:10">
      <c r="E640" s="624"/>
      <c r="F640" s="624"/>
      <c r="G640" s="624"/>
      <c r="H640" s="624"/>
      <c r="I640" s="624"/>
      <c r="J640" s="624"/>
    </row>
    <row r="641" spans="5:10">
      <c r="E641" s="624"/>
      <c r="F641" s="624"/>
      <c r="G641" s="624"/>
      <c r="H641" s="624"/>
      <c r="I641" s="624"/>
      <c r="J641" s="624"/>
    </row>
    <row r="642" spans="5:10">
      <c r="E642" s="624"/>
      <c r="F642" s="624"/>
      <c r="G642" s="624"/>
      <c r="H642" s="624"/>
      <c r="I642" s="624"/>
      <c r="J642" s="624"/>
    </row>
    <row r="643" spans="5:10">
      <c r="E643" s="624"/>
      <c r="F643" s="624"/>
      <c r="G643" s="624"/>
      <c r="H643" s="624"/>
      <c r="I643" s="624"/>
      <c r="J643" s="624"/>
    </row>
    <row r="644" spans="5:10">
      <c r="E644" s="624"/>
      <c r="F644" s="624"/>
      <c r="G644" s="624"/>
      <c r="H644" s="624"/>
      <c r="I644" s="624"/>
      <c r="J644" s="624"/>
    </row>
    <row r="645" spans="5:10">
      <c r="E645" s="624"/>
      <c r="F645" s="624"/>
      <c r="G645" s="624"/>
      <c r="H645" s="624"/>
      <c r="I645" s="624"/>
      <c r="J645" s="624"/>
    </row>
    <row r="646" spans="5:10">
      <c r="E646" s="624"/>
      <c r="F646" s="624"/>
      <c r="G646" s="624"/>
      <c r="H646" s="624"/>
      <c r="I646" s="624"/>
      <c r="J646" s="624"/>
    </row>
    <row r="647" spans="5:10">
      <c r="E647" s="624"/>
      <c r="F647" s="624"/>
      <c r="G647" s="624"/>
      <c r="H647" s="624"/>
      <c r="I647" s="624"/>
      <c r="J647" s="624"/>
    </row>
    <row r="648" spans="5:10">
      <c r="E648" s="624"/>
      <c r="F648" s="624"/>
      <c r="G648" s="624"/>
      <c r="H648" s="624"/>
      <c r="I648" s="624"/>
      <c r="J648" s="624"/>
    </row>
    <row r="649" spans="5:10">
      <c r="E649" s="624"/>
      <c r="F649" s="624"/>
      <c r="G649" s="624"/>
      <c r="H649" s="624"/>
      <c r="I649" s="624"/>
      <c r="J649" s="624"/>
    </row>
    <row r="650" spans="5:10">
      <c r="E650" s="624"/>
      <c r="F650" s="624"/>
      <c r="G650" s="624"/>
      <c r="H650" s="624"/>
      <c r="I650" s="624"/>
      <c r="J650" s="624"/>
    </row>
    <row r="651" spans="5:10">
      <c r="E651" s="624"/>
      <c r="F651" s="624"/>
      <c r="G651" s="624"/>
      <c r="H651" s="624"/>
      <c r="I651" s="624"/>
      <c r="J651" s="624"/>
    </row>
    <row r="652" spans="5:10">
      <c r="E652" s="624"/>
      <c r="F652" s="624"/>
      <c r="G652" s="624"/>
      <c r="H652" s="624"/>
      <c r="I652" s="624"/>
      <c r="J652" s="624"/>
    </row>
    <row r="653" spans="5:10">
      <c r="E653" s="624"/>
      <c r="F653" s="624"/>
      <c r="G653" s="624"/>
      <c r="H653" s="624"/>
      <c r="I653" s="624"/>
      <c r="J653" s="624"/>
    </row>
    <row r="654" spans="5:10">
      <c r="E654" s="624"/>
      <c r="F654" s="624"/>
      <c r="G654" s="624"/>
      <c r="H654" s="624"/>
      <c r="I654" s="624"/>
      <c r="J654" s="624"/>
    </row>
    <row r="655" spans="5:10">
      <c r="E655" s="624"/>
      <c r="F655" s="624"/>
      <c r="G655" s="624"/>
      <c r="H655" s="624"/>
      <c r="I655" s="624"/>
      <c r="J655" s="624"/>
    </row>
    <row r="656" spans="5:10">
      <c r="E656" s="624"/>
      <c r="F656" s="624"/>
      <c r="G656" s="624"/>
      <c r="H656" s="624"/>
      <c r="I656" s="624"/>
      <c r="J656" s="624"/>
    </row>
    <row r="657" spans="5:10">
      <c r="E657" s="624"/>
      <c r="F657" s="624"/>
      <c r="G657" s="624"/>
      <c r="H657" s="624"/>
      <c r="I657" s="624"/>
      <c r="J657" s="624"/>
    </row>
    <row r="658" spans="5:10">
      <c r="E658" s="624"/>
      <c r="F658" s="624"/>
      <c r="G658" s="624"/>
      <c r="H658" s="624"/>
      <c r="I658" s="624"/>
      <c r="J658" s="624"/>
    </row>
    <row r="659" spans="5:10">
      <c r="E659" s="624"/>
      <c r="F659" s="624"/>
      <c r="G659" s="624"/>
      <c r="H659" s="624"/>
      <c r="I659" s="624"/>
      <c r="J659" s="624"/>
    </row>
    <row r="660" spans="5:10">
      <c r="E660" s="624"/>
      <c r="F660" s="624"/>
      <c r="G660" s="624"/>
      <c r="H660" s="624"/>
      <c r="I660" s="624"/>
      <c r="J660" s="624"/>
    </row>
    <row r="661" spans="5:10">
      <c r="E661" s="624"/>
      <c r="F661" s="624"/>
      <c r="G661" s="624"/>
      <c r="H661" s="624"/>
      <c r="I661" s="624"/>
      <c r="J661" s="624"/>
    </row>
    <row r="662" spans="5:10">
      <c r="E662" s="624"/>
      <c r="F662" s="624"/>
      <c r="G662" s="624"/>
      <c r="H662" s="624"/>
      <c r="I662" s="624"/>
      <c r="J662" s="624"/>
    </row>
    <row r="663" spans="5:10">
      <c r="E663" s="624"/>
      <c r="F663" s="624"/>
      <c r="G663" s="624"/>
      <c r="H663" s="624"/>
      <c r="I663" s="624"/>
      <c r="J663" s="624"/>
    </row>
    <row r="664" spans="5:10">
      <c r="E664" s="624"/>
      <c r="F664" s="624"/>
      <c r="G664" s="624"/>
      <c r="H664" s="624"/>
      <c r="I664" s="624"/>
      <c r="J664" s="624"/>
    </row>
    <row r="665" spans="5:10">
      <c r="E665" s="624"/>
      <c r="F665" s="624"/>
      <c r="G665" s="624"/>
      <c r="H665" s="624"/>
      <c r="I665" s="624"/>
      <c r="J665" s="624"/>
    </row>
    <row r="666" spans="5:10">
      <c r="E666" s="624"/>
      <c r="F666" s="624"/>
      <c r="G666" s="624"/>
      <c r="H666" s="624"/>
      <c r="I666" s="624"/>
      <c r="J666" s="624"/>
    </row>
    <row r="667" spans="5:10">
      <c r="E667" s="624"/>
      <c r="F667" s="624"/>
      <c r="G667" s="624"/>
      <c r="H667" s="624"/>
      <c r="I667" s="624"/>
      <c r="J667" s="624"/>
    </row>
    <row r="668" spans="5:10">
      <c r="E668" s="624"/>
      <c r="F668" s="624"/>
      <c r="G668" s="624"/>
      <c r="H668" s="624"/>
      <c r="I668" s="624"/>
      <c r="J668" s="624"/>
    </row>
    <row r="669" spans="5:10">
      <c r="E669" s="624"/>
      <c r="F669" s="624"/>
      <c r="G669" s="624"/>
      <c r="H669" s="624"/>
      <c r="I669" s="624"/>
      <c r="J669" s="624"/>
    </row>
    <row r="670" spans="5:10">
      <c r="E670" s="624"/>
      <c r="F670" s="624"/>
      <c r="G670" s="624"/>
      <c r="H670" s="624"/>
      <c r="I670" s="624"/>
      <c r="J670" s="624"/>
    </row>
    <row r="671" spans="5:10">
      <c r="E671" s="624"/>
      <c r="F671" s="624"/>
      <c r="G671" s="624"/>
      <c r="H671" s="624"/>
      <c r="I671" s="624"/>
      <c r="J671" s="624"/>
    </row>
    <row r="672" spans="5:10">
      <c r="E672" s="624"/>
      <c r="F672" s="624"/>
      <c r="G672" s="624"/>
      <c r="H672" s="624"/>
      <c r="I672" s="624"/>
      <c r="J672" s="624"/>
    </row>
    <row r="673" spans="5:10">
      <c r="E673" s="624"/>
      <c r="F673" s="624"/>
      <c r="G673" s="624"/>
      <c r="H673" s="624"/>
      <c r="I673" s="624"/>
      <c r="J673" s="624"/>
    </row>
    <row r="674" spans="5:10">
      <c r="E674" s="624"/>
      <c r="F674" s="624"/>
      <c r="G674" s="624"/>
      <c r="H674" s="624"/>
      <c r="I674" s="624"/>
      <c r="J674" s="624"/>
    </row>
    <row r="675" spans="5:10">
      <c r="E675" s="624"/>
      <c r="F675" s="624"/>
      <c r="G675" s="624"/>
      <c r="H675" s="624"/>
      <c r="I675" s="624"/>
      <c r="J675" s="624"/>
    </row>
    <row r="676" spans="5:10">
      <c r="E676" s="624"/>
      <c r="F676" s="624"/>
      <c r="G676" s="624"/>
      <c r="H676" s="624"/>
      <c r="I676" s="624"/>
      <c r="J676" s="624"/>
    </row>
    <row r="677" spans="5:10">
      <c r="E677" s="624"/>
      <c r="F677" s="624"/>
      <c r="G677" s="624"/>
      <c r="H677" s="624"/>
      <c r="I677" s="624"/>
      <c r="J677" s="624"/>
    </row>
    <row r="678" spans="5:10">
      <c r="E678" s="624"/>
      <c r="F678" s="624"/>
      <c r="G678" s="624"/>
      <c r="H678" s="624"/>
      <c r="I678" s="624"/>
      <c r="J678" s="624"/>
    </row>
    <row r="679" spans="5:10">
      <c r="E679" s="624"/>
      <c r="F679" s="624"/>
      <c r="G679" s="624"/>
      <c r="H679" s="624"/>
      <c r="I679" s="624"/>
      <c r="J679" s="624"/>
    </row>
    <row r="680" spans="5:10">
      <c r="E680" s="624"/>
      <c r="F680" s="624"/>
      <c r="G680" s="624"/>
      <c r="H680" s="624"/>
      <c r="I680" s="624"/>
      <c r="J680" s="624"/>
    </row>
    <row r="681" spans="5:10">
      <c r="E681" s="624"/>
      <c r="F681" s="624"/>
      <c r="G681" s="624"/>
      <c r="H681" s="624"/>
      <c r="I681" s="624"/>
      <c r="J681" s="624"/>
    </row>
    <row r="682" spans="5:10">
      <c r="E682" s="624"/>
      <c r="F682" s="624"/>
      <c r="G682" s="624"/>
      <c r="H682" s="624"/>
      <c r="I682" s="624"/>
      <c r="J682" s="624"/>
    </row>
    <row r="683" spans="5:10">
      <c r="E683" s="624"/>
      <c r="F683" s="624"/>
      <c r="G683" s="624"/>
      <c r="H683" s="624"/>
      <c r="I683" s="624"/>
      <c r="J683" s="624"/>
    </row>
    <row r="684" spans="5:10">
      <c r="E684" s="624"/>
      <c r="F684" s="624"/>
      <c r="G684" s="624"/>
      <c r="H684" s="624"/>
      <c r="I684" s="624"/>
      <c r="J684" s="624"/>
    </row>
    <row r="685" spans="5:10">
      <c r="E685" s="624"/>
      <c r="F685" s="624"/>
      <c r="G685" s="624"/>
      <c r="H685" s="624"/>
      <c r="I685" s="624"/>
      <c r="J685" s="624"/>
    </row>
    <row r="686" spans="5:10">
      <c r="E686" s="624"/>
      <c r="F686" s="624"/>
      <c r="G686" s="624"/>
      <c r="H686" s="624"/>
      <c r="I686" s="624"/>
      <c r="J686" s="624"/>
    </row>
    <row r="687" spans="5:10">
      <c r="E687" s="624"/>
      <c r="F687" s="624"/>
      <c r="G687" s="624"/>
      <c r="H687" s="624"/>
      <c r="I687" s="624"/>
      <c r="J687" s="624"/>
    </row>
    <row r="688" spans="5:10">
      <c r="E688" s="624"/>
      <c r="F688" s="624"/>
      <c r="G688" s="624"/>
      <c r="H688" s="624"/>
      <c r="I688" s="624"/>
      <c r="J688" s="624"/>
    </row>
    <row r="689" spans="5:10">
      <c r="E689" s="624"/>
      <c r="F689" s="624"/>
      <c r="G689" s="624"/>
      <c r="H689" s="624"/>
      <c r="I689" s="624"/>
      <c r="J689" s="624"/>
    </row>
    <row r="690" spans="5:10">
      <c r="E690" s="624"/>
      <c r="F690" s="624"/>
      <c r="G690" s="624"/>
      <c r="H690" s="624"/>
      <c r="I690" s="624"/>
      <c r="J690" s="624"/>
    </row>
    <row r="691" spans="5:10">
      <c r="E691" s="624"/>
      <c r="F691" s="624"/>
      <c r="G691" s="624"/>
      <c r="H691" s="624"/>
      <c r="I691" s="624"/>
      <c r="J691" s="624"/>
    </row>
    <row r="692" spans="5:10">
      <c r="E692" s="624"/>
      <c r="F692" s="624"/>
      <c r="G692" s="624"/>
      <c r="H692" s="624"/>
      <c r="I692" s="624"/>
      <c r="J692" s="624"/>
    </row>
    <row r="693" spans="5:10">
      <c r="E693" s="624"/>
      <c r="F693" s="624"/>
      <c r="G693" s="624"/>
      <c r="H693" s="624"/>
      <c r="I693" s="624"/>
      <c r="J693" s="624"/>
    </row>
    <row r="694" spans="5:10">
      <c r="E694" s="624"/>
      <c r="F694" s="624"/>
      <c r="G694" s="624"/>
      <c r="H694" s="624"/>
      <c r="I694" s="624"/>
      <c r="J694" s="624"/>
    </row>
    <row r="695" spans="5:10">
      <c r="E695" s="624"/>
      <c r="F695" s="624"/>
      <c r="G695" s="624"/>
      <c r="H695" s="624"/>
      <c r="I695" s="624"/>
      <c r="J695" s="624"/>
    </row>
    <row r="696" spans="5:10">
      <c r="E696" s="624"/>
      <c r="F696" s="624"/>
      <c r="G696" s="624"/>
      <c r="H696" s="624"/>
      <c r="I696" s="624"/>
      <c r="J696" s="624"/>
    </row>
    <row r="697" spans="5:10">
      <c r="E697" s="624"/>
      <c r="F697" s="624"/>
      <c r="G697" s="624"/>
      <c r="H697" s="624"/>
      <c r="I697" s="624"/>
      <c r="J697" s="624"/>
    </row>
    <row r="698" spans="5:10">
      <c r="E698" s="624"/>
      <c r="F698" s="624"/>
      <c r="G698" s="624"/>
      <c r="H698" s="624"/>
      <c r="I698" s="624"/>
      <c r="J698" s="624"/>
    </row>
    <row r="699" spans="5:10">
      <c r="E699" s="624"/>
      <c r="F699" s="624"/>
      <c r="G699" s="624"/>
      <c r="H699" s="624"/>
      <c r="I699" s="624"/>
      <c r="J699" s="624"/>
    </row>
    <row r="700" spans="5:10">
      <c r="E700" s="624"/>
      <c r="F700" s="624"/>
      <c r="G700" s="624"/>
      <c r="H700" s="624"/>
      <c r="I700" s="624"/>
      <c r="J700" s="624"/>
    </row>
    <row r="701" spans="5:10">
      <c r="E701" s="624"/>
      <c r="F701" s="624"/>
      <c r="G701" s="624"/>
      <c r="H701" s="624"/>
      <c r="I701" s="624"/>
      <c r="J701" s="624"/>
    </row>
    <row r="702" spans="5:10">
      <c r="E702" s="624"/>
      <c r="F702" s="624"/>
      <c r="G702" s="624"/>
      <c r="H702" s="624"/>
      <c r="I702" s="624"/>
      <c r="J702" s="624"/>
    </row>
    <row r="703" spans="5:10">
      <c r="E703" s="624"/>
      <c r="F703" s="624"/>
      <c r="G703" s="624"/>
      <c r="H703" s="624"/>
      <c r="I703" s="624"/>
      <c r="J703" s="624"/>
    </row>
    <row r="704" spans="5:10">
      <c r="E704" s="624"/>
      <c r="F704" s="624"/>
      <c r="G704" s="624"/>
      <c r="H704" s="624"/>
      <c r="I704" s="624"/>
      <c r="J704" s="624"/>
    </row>
    <row r="705" spans="5:10">
      <c r="E705" s="624"/>
      <c r="F705" s="624"/>
      <c r="G705" s="624"/>
      <c r="H705" s="624"/>
      <c r="I705" s="624"/>
      <c r="J705" s="624"/>
    </row>
    <row r="706" spans="5:10">
      <c r="E706" s="624"/>
      <c r="F706" s="624"/>
      <c r="G706" s="624"/>
      <c r="H706" s="624"/>
      <c r="I706" s="624"/>
      <c r="J706" s="624"/>
    </row>
    <row r="707" spans="5:10">
      <c r="E707" s="624"/>
      <c r="F707" s="624"/>
      <c r="G707" s="624"/>
      <c r="H707" s="624"/>
      <c r="I707" s="624"/>
      <c r="J707" s="624"/>
    </row>
    <row r="708" spans="5:10">
      <c r="E708" s="624"/>
      <c r="F708" s="624"/>
      <c r="G708" s="624"/>
      <c r="H708" s="624"/>
      <c r="I708" s="624"/>
      <c r="J708" s="624"/>
    </row>
    <row r="709" spans="5:10">
      <c r="E709" s="624"/>
      <c r="F709" s="624"/>
      <c r="G709" s="624"/>
      <c r="H709" s="624"/>
      <c r="I709" s="624"/>
      <c r="J709" s="624"/>
    </row>
    <row r="710" spans="5:10">
      <c r="E710" s="624"/>
      <c r="F710" s="624"/>
      <c r="G710" s="624"/>
      <c r="H710" s="624"/>
      <c r="I710" s="624"/>
      <c r="J710" s="624"/>
    </row>
    <row r="711" spans="5:10">
      <c r="E711" s="624"/>
      <c r="F711" s="624"/>
      <c r="G711" s="624"/>
      <c r="H711" s="624"/>
      <c r="I711" s="624"/>
      <c r="J711" s="624"/>
    </row>
    <row r="712" spans="5:10">
      <c r="E712" s="624"/>
      <c r="F712" s="624"/>
      <c r="G712" s="624"/>
      <c r="H712" s="624"/>
      <c r="I712" s="624"/>
      <c r="J712" s="624"/>
    </row>
    <row r="713" spans="5:10">
      <c r="E713" s="624"/>
      <c r="F713" s="624"/>
      <c r="G713" s="624"/>
      <c r="H713" s="624"/>
      <c r="I713" s="624"/>
      <c r="J713" s="624"/>
    </row>
    <row r="714" spans="5:10">
      <c r="E714" s="624"/>
      <c r="F714" s="624"/>
      <c r="G714" s="624"/>
      <c r="H714" s="624"/>
      <c r="I714" s="624"/>
      <c r="J714" s="624"/>
    </row>
    <row r="715" spans="5:10">
      <c r="E715" s="624"/>
      <c r="F715" s="624"/>
      <c r="G715" s="624"/>
      <c r="H715" s="624"/>
      <c r="I715" s="624"/>
      <c r="J715" s="624"/>
    </row>
    <row r="716" spans="5:10">
      <c r="E716" s="624"/>
      <c r="F716" s="624"/>
      <c r="G716" s="624"/>
      <c r="H716" s="624"/>
      <c r="I716" s="624"/>
      <c r="J716" s="624"/>
    </row>
    <row r="717" spans="5:10">
      <c r="E717" s="624"/>
      <c r="F717" s="624"/>
      <c r="G717" s="624"/>
      <c r="H717" s="624"/>
      <c r="I717" s="624"/>
      <c r="J717" s="624"/>
    </row>
    <row r="718" spans="5:10">
      <c r="E718" s="624"/>
      <c r="F718" s="624"/>
      <c r="G718" s="624"/>
      <c r="H718" s="624"/>
      <c r="I718" s="624"/>
      <c r="J718" s="624"/>
    </row>
    <row r="719" spans="5:10">
      <c r="E719" s="624"/>
      <c r="F719" s="624"/>
      <c r="G719" s="624"/>
      <c r="H719" s="624"/>
      <c r="I719" s="624"/>
      <c r="J719" s="624"/>
    </row>
    <row r="720" spans="5:10">
      <c r="E720" s="624"/>
      <c r="F720" s="624"/>
      <c r="G720" s="624"/>
      <c r="H720" s="624"/>
      <c r="I720" s="624"/>
      <c r="J720" s="624"/>
    </row>
    <row r="721" spans="5:10">
      <c r="E721" s="624"/>
      <c r="F721" s="624"/>
      <c r="G721" s="624"/>
      <c r="H721" s="624"/>
      <c r="I721" s="624"/>
      <c r="J721" s="624"/>
    </row>
    <row r="722" spans="5:10">
      <c r="E722" s="624"/>
      <c r="F722" s="624"/>
      <c r="G722" s="624"/>
      <c r="H722" s="624"/>
      <c r="I722" s="624"/>
      <c r="J722" s="624"/>
    </row>
    <row r="723" spans="5:10">
      <c r="E723" s="624"/>
      <c r="F723" s="624"/>
      <c r="G723" s="624"/>
      <c r="H723" s="624"/>
      <c r="I723" s="624"/>
      <c r="J723" s="624"/>
    </row>
    <row r="724" spans="5:10">
      <c r="E724" s="624"/>
      <c r="F724" s="624"/>
      <c r="G724" s="624"/>
      <c r="H724" s="624"/>
      <c r="I724" s="624"/>
      <c r="J724" s="624"/>
    </row>
    <row r="725" spans="5:10">
      <c r="E725" s="624"/>
      <c r="F725" s="624"/>
      <c r="G725" s="624"/>
      <c r="H725" s="624"/>
      <c r="I725" s="624"/>
      <c r="J725" s="624"/>
    </row>
    <row r="726" spans="5:10">
      <c r="E726" s="624"/>
      <c r="F726" s="624"/>
      <c r="G726" s="624"/>
      <c r="H726" s="624"/>
      <c r="I726" s="624"/>
      <c r="J726" s="624"/>
    </row>
    <row r="727" spans="5:10">
      <c r="E727" s="624"/>
      <c r="F727" s="624"/>
      <c r="G727" s="624"/>
      <c r="H727" s="624"/>
      <c r="I727" s="624"/>
      <c r="J727" s="624"/>
    </row>
    <row r="728" spans="5:10">
      <c r="E728" s="624"/>
      <c r="F728" s="624"/>
      <c r="G728" s="624"/>
      <c r="H728" s="624"/>
      <c r="I728" s="624"/>
      <c r="J728" s="624"/>
    </row>
    <row r="729" spans="5:10">
      <c r="E729" s="624"/>
      <c r="F729" s="624"/>
      <c r="G729" s="624"/>
      <c r="H729" s="624"/>
      <c r="I729" s="624"/>
      <c r="J729" s="624"/>
    </row>
    <row r="730" spans="5:10">
      <c r="E730" s="624"/>
      <c r="F730" s="624"/>
      <c r="G730" s="624"/>
      <c r="H730" s="624"/>
      <c r="I730" s="624"/>
      <c r="J730" s="624"/>
    </row>
    <row r="731" spans="5:10">
      <c r="E731" s="624"/>
      <c r="F731" s="624"/>
      <c r="G731" s="624"/>
      <c r="H731" s="624"/>
      <c r="I731" s="624"/>
      <c r="J731" s="624"/>
    </row>
    <row r="732" spans="5:10">
      <c r="E732" s="624"/>
      <c r="F732" s="624"/>
      <c r="G732" s="624"/>
      <c r="H732" s="624"/>
      <c r="I732" s="624"/>
      <c r="J732" s="624"/>
    </row>
    <row r="733" spans="5:10">
      <c r="E733" s="624"/>
      <c r="F733" s="624"/>
      <c r="G733" s="624"/>
      <c r="H733" s="624"/>
      <c r="I733" s="624"/>
      <c r="J733" s="624"/>
    </row>
    <row r="734" spans="5:10">
      <c r="E734" s="624"/>
      <c r="F734" s="624"/>
      <c r="G734" s="624"/>
      <c r="H734" s="624"/>
      <c r="I734" s="624"/>
      <c r="J734" s="624"/>
    </row>
    <row r="735" spans="5:10">
      <c r="E735" s="624"/>
      <c r="F735" s="624"/>
      <c r="G735" s="624"/>
      <c r="H735" s="624"/>
      <c r="I735" s="624"/>
      <c r="J735" s="624"/>
    </row>
    <row r="736" spans="5:10">
      <c r="E736" s="624"/>
      <c r="F736" s="624"/>
      <c r="G736" s="624"/>
      <c r="H736" s="624"/>
      <c r="I736" s="624"/>
      <c r="J736" s="624"/>
    </row>
    <row r="737" spans="5:10">
      <c r="E737" s="624"/>
      <c r="F737" s="624"/>
      <c r="G737" s="624"/>
      <c r="H737" s="624"/>
      <c r="I737" s="624"/>
      <c r="J737" s="624"/>
    </row>
    <row r="738" spans="5:10">
      <c r="E738" s="624"/>
      <c r="F738" s="624"/>
      <c r="G738" s="624"/>
      <c r="H738" s="624"/>
      <c r="I738" s="624"/>
      <c r="J738" s="624"/>
    </row>
    <row r="739" spans="5:10">
      <c r="E739" s="624"/>
      <c r="F739" s="624"/>
      <c r="G739" s="624"/>
      <c r="H739" s="624"/>
      <c r="I739" s="624"/>
      <c r="J739" s="624"/>
    </row>
    <row r="740" spans="5:10">
      <c r="E740" s="624"/>
      <c r="F740" s="624"/>
      <c r="G740" s="624"/>
      <c r="H740" s="624"/>
      <c r="I740" s="624"/>
      <c r="J740" s="624"/>
    </row>
    <row r="741" spans="5:10">
      <c r="E741" s="624"/>
      <c r="F741" s="624"/>
      <c r="G741" s="624"/>
      <c r="H741" s="624"/>
      <c r="I741" s="624"/>
      <c r="J741" s="624"/>
    </row>
    <row r="742" spans="5:10">
      <c r="E742" s="624"/>
      <c r="F742" s="624"/>
      <c r="G742" s="624"/>
      <c r="H742" s="624"/>
      <c r="I742" s="624"/>
      <c r="J742" s="624"/>
    </row>
    <row r="743" spans="5:10">
      <c r="E743" s="624"/>
      <c r="F743" s="624"/>
      <c r="G743" s="624"/>
      <c r="H743" s="624"/>
      <c r="I743" s="624"/>
      <c r="J743" s="624"/>
    </row>
    <row r="744" spans="5:10">
      <c r="E744" s="624"/>
      <c r="F744" s="624"/>
      <c r="G744" s="624"/>
      <c r="H744" s="624"/>
      <c r="I744" s="624"/>
      <c r="J744" s="624"/>
    </row>
    <row r="745" spans="5:10">
      <c r="E745" s="624"/>
      <c r="F745" s="624"/>
      <c r="G745" s="624"/>
      <c r="H745" s="624"/>
      <c r="I745" s="624"/>
      <c r="J745" s="624"/>
    </row>
    <row r="746" spans="5:10">
      <c r="E746" s="624"/>
      <c r="F746" s="624"/>
      <c r="G746" s="624"/>
      <c r="H746" s="624"/>
      <c r="I746" s="624"/>
      <c r="J746" s="624"/>
    </row>
    <row r="747" spans="5:10">
      <c r="E747" s="624"/>
      <c r="F747" s="624"/>
      <c r="G747" s="624"/>
      <c r="H747" s="624"/>
      <c r="I747" s="624"/>
      <c r="J747" s="624"/>
    </row>
    <row r="748" spans="5:10">
      <c r="E748" s="624"/>
      <c r="F748" s="624"/>
      <c r="G748" s="624"/>
      <c r="H748" s="624"/>
      <c r="I748" s="624"/>
      <c r="J748" s="624"/>
    </row>
    <row r="749" spans="5:10">
      <c r="E749" s="624"/>
      <c r="F749" s="624"/>
      <c r="G749" s="624"/>
      <c r="H749" s="624"/>
      <c r="I749" s="624"/>
      <c r="J749" s="624"/>
    </row>
    <row r="750" spans="5:10">
      <c r="E750" s="624"/>
      <c r="F750" s="624"/>
      <c r="G750" s="624"/>
      <c r="H750" s="624"/>
      <c r="I750" s="624"/>
      <c r="J750" s="624"/>
    </row>
    <row r="751" spans="5:10">
      <c r="E751" s="624"/>
      <c r="F751" s="624"/>
      <c r="G751" s="624"/>
      <c r="H751" s="624"/>
      <c r="I751" s="624"/>
      <c r="J751" s="624"/>
    </row>
    <row r="752" spans="5:10">
      <c r="E752" s="624"/>
      <c r="F752" s="624"/>
      <c r="G752" s="624"/>
      <c r="H752" s="624"/>
      <c r="I752" s="624"/>
      <c r="J752" s="624"/>
    </row>
    <row r="753" spans="5:10">
      <c r="E753" s="624"/>
      <c r="F753" s="624"/>
      <c r="G753" s="624"/>
      <c r="H753" s="624"/>
      <c r="I753" s="624"/>
      <c r="J753" s="624"/>
    </row>
    <row r="754" spans="5:10">
      <c r="E754" s="624"/>
      <c r="F754" s="624"/>
      <c r="G754" s="624"/>
      <c r="H754" s="624"/>
      <c r="I754" s="624"/>
      <c r="J754" s="624"/>
    </row>
    <row r="755" spans="5:10">
      <c r="E755" s="624"/>
      <c r="F755" s="624"/>
      <c r="G755" s="624"/>
      <c r="H755" s="624"/>
      <c r="I755" s="624"/>
      <c r="J755" s="624"/>
    </row>
    <row r="756" spans="5:10">
      <c r="E756" s="624"/>
      <c r="F756" s="624"/>
      <c r="G756" s="624"/>
      <c r="H756" s="624"/>
      <c r="I756" s="624"/>
      <c r="J756" s="624"/>
    </row>
    <row r="757" spans="5:10">
      <c r="E757" s="624"/>
      <c r="F757" s="624"/>
      <c r="G757" s="624"/>
      <c r="H757" s="624"/>
      <c r="I757" s="624"/>
      <c r="J757" s="624"/>
    </row>
    <row r="758" spans="5:10">
      <c r="E758" s="624"/>
      <c r="F758" s="624"/>
      <c r="G758" s="624"/>
      <c r="H758" s="624"/>
      <c r="I758" s="624"/>
      <c r="J758" s="624"/>
    </row>
    <row r="759" spans="5:10">
      <c r="E759" s="624"/>
      <c r="F759" s="624"/>
      <c r="G759" s="624"/>
      <c r="H759" s="624"/>
      <c r="I759" s="624"/>
      <c r="J759" s="624"/>
    </row>
    <row r="760" spans="5:10">
      <c r="E760" s="624"/>
      <c r="F760" s="624"/>
      <c r="G760" s="624"/>
      <c r="H760" s="624"/>
      <c r="I760" s="624"/>
      <c r="J760" s="624"/>
    </row>
    <row r="761" spans="5:10">
      <c r="E761" s="624"/>
      <c r="F761" s="624"/>
      <c r="G761" s="624"/>
      <c r="H761" s="624"/>
      <c r="I761" s="624"/>
      <c r="J761" s="624"/>
    </row>
    <row r="762" spans="5:10">
      <c r="E762" s="624"/>
      <c r="F762" s="624"/>
      <c r="G762" s="624"/>
      <c r="H762" s="624"/>
      <c r="I762" s="624"/>
      <c r="J762" s="624"/>
    </row>
    <row r="763" spans="5:10">
      <c r="E763" s="624"/>
      <c r="F763" s="624"/>
      <c r="G763" s="624"/>
      <c r="H763" s="624"/>
      <c r="I763" s="624"/>
      <c r="J763" s="624"/>
    </row>
    <row r="764" spans="5:10">
      <c r="E764" s="624"/>
      <c r="F764" s="624"/>
      <c r="G764" s="624"/>
      <c r="H764" s="624"/>
      <c r="I764" s="624"/>
      <c r="J764" s="624"/>
    </row>
    <row r="765" spans="5:10">
      <c r="E765" s="624"/>
      <c r="F765" s="624"/>
      <c r="G765" s="624"/>
      <c r="H765" s="624"/>
      <c r="I765" s="624"/>
      <c r="J765" s="624"/>
    </row>
    <row r="766" spans="5:10">
      <c r="E766" s="624"/>
      <c r="F766" s="624"/>
      <c r="G766" s="624"/>
      <c r="H766" s="624"/>
      <c r="I766" s="624"/>
      <c r="J766" s="624"/>
    </row>
    <row r="767" spans="5:10">
      <c r="E767" s="624"/>
      <c r="F767" s="624"/>
      <c r="G767" s="624"/>
      <c r="H767" s="624"/>
      <c r="I767" s="624"/>
      <c r="J767" s="624"/>
    </row>
    <row r="768" spans="5:10">
      <c r="E768" s="624"/>
      <c r="F768" s="624"/>
      <c r="G768" s="624"/>
      <c r="H768" s="624"/>
      <c r="I768" s="624"/>
      <c r="J768" s="624"/>
    </row>
    <row r="769" spans="5:10">
      <c r="E769" s="624"/>
      <c r="F769" s="624"/>
      <c r="G769" s="624"/>
      <c r="H769" s="624"/>
      <c r="I769" s="624"/>
      <c r="J769" s="624"/>
    </row>
    <row r="770" spans="5:10">
      <c r="E770" s="624"/>
      <c r="F770" s="624"/>
      <c r="G770" s="624"/>
      <c r="H770" s="624"/>
      <c r="I770" s="624"/>
      <c r="J770" s="624"/>
    </row>
    <row r="771" spans="5:10">
      <c r="E771" s="624"/>
      <c r="F771" s="624"/>
      <c r="G771" s="624"/>
      <c r="H771" s="624"/>
      <c r="I771" s="624"/>
      <c r="J771" s="624"/>
    </row>
    <row r="772" spans="5:10">
      <c r="E772" s="624"/>
      <c r="F772" s="624"/>
      <c r="G772" s="624"/>
      <c r="H772" s="624"/>
      <c r="I772" s="624"/>
      <c r="J772" s="624"/>
    </row>
    <row r="773" spans="5:10">
      <c r="E773" s="624"/>
      <c r="F773" s="624"/>
      <c r="G773" s="624"/>
      <c r="H773" s="624"/>
      <c r="I773" s="624"/>
      <c r="J773" s="624"/>
    </row>
    <row r="774" spans="5:10">
      <c r="E774" s="624"/>
      <c r="F774" s="624"/>
      <c r="G774" s="624"/>
      <c r="H774" s="624"/>
      <c r="I774" s="624"/>
      <c r="J774" s="624"/>
    </row>
    <row r="775" spans="5:10">
      <c r="E775" s="624"/>
      <c r="F775" s="624"/>
      <c r="G775" s="624"/>
      <c r="H775" s="624"/>
      <c r="I775" s="624"/>
      <c r="J775" s="624"/>
    </row>
    <row r="776" spans="5:10">
      <c r="E776" s="624"/>
      <c r="F776" s="624"/>
      <c r="G776" s="624"/>
      <c r="H776" s="624"/>
      <c r="I776" s="624"/>
      <c r="J776" s="624"/>
    </row>
    <row r="777" spans="5:10">
      <c r="E777" s="624"/>
      <c r="F777" s="624"/>
      <c r="G777" s="624"/>
      <c r="H777" s="624"/>
      <c r="I777" s="624"/>
      <c r="J777" s="624"/>
    </row>
    <row r="778" spans="5:10">
      <c r="E778" s="624"/>
      <c r="F778" s="624"/>
      <c r="G778" s="624"/>
      <c r="H778" s="624"/>
      <c r="I778" s="624"/>
      <c r="J778" s="624"/>
    </row>
    <row r="779" spans="5:10">
      <c r="E779" s="624"/>
      <c r="F779" s="624"/>
      <c r="G779" s="624"/>
      <c r="H779" s="624"/>
      <c r="I779" s="624"/>
      <c r="J779" s="624"/>
    </row>
    <row r="780" spans="5:10">
      <c r="E780" s="624"/>
      <c r="F780" s="624"/>
      <c r="G780" s="624"/>
      <c r="H780" s="624"/>
      <c r="I780" s="624"/>
      <c r="J780" s="624"/>
    </row>
    <row r="781" spans="5:10">
      <c r="E781" s="624"/>
      <c r="F781" s="624"/>
      <c r="G781" s="624"/>
      <c r="H781" s="624"/>
      <c r="I781" s="624"/>
      <c r="J781" s="624"/>
    </row>
    <row r="782" spans="5:10">
      <c r="E782" s="624"/>
      <c r="F782" s="624"/>
      <c r="G782" s="624"/>
      <c r="H782" s="624"/>
      <c r="I782" s="624"/>
      <c r="J782" s="624"/>
    </row>
    <row r="783" spans="5:10">
      <c r="E783" s="624"/>
      <c r="F783" s="624"/>
      <c r="G783" s="624"/>
      <c r="H783" s="624"/>
      <c r="I783" s="624"/>
      <c r="J783" s="624"/>
    </row>
    <row r="784" spans="5:10">
      <c r="E784" s="624"/>
      <c r="F784" s="624"/>
      <c r="G784" s="624"/>
      <c r="H784" s="624"/>
      <c r="I784" s="624"/>
      <c r="J784" s="624"/>
    </row>
    <row r="785" spans="5:10">
      <c r="E785" s="624"/>
      <c r="F785" s="624"/>
      <c r="G785" s="624"/>
      <c r="H785" s="624"/>
      <c r="I785" s="624"/>
      <c r="J785" s="624"/>
    </row>
    <row r="786" spans="5:10">
      <c r="E786" s="624"/>
      <c r="F786" s="624"/>
      <c r="G786" s="624"/>
      <c r="H786" s="624"/>
      <c r="I786" s="624"/>
      <c r="J786" s="624"/>
    </row>
    <row r="787" spans="5:10">
      <c r="E787" s="624"/>
      <c r="F787" s="624"/>
      <c r="G787" s="624"/>
      <c r="H787" s="624"/>
      <c r="I787" s="624"/>
      <c r="J787" s="624"/>
    </row>
    <row r="788" spans="5:10">
      <c r="E788" s="624"/>
      <c r="F788" s="624"/>
      <c r="G788" s="624"/>
      <c r="H788" s="624"/>
      <c r="I788" s="624"/>
      <c r="J788" s="624"/>
    </row>
    <row r="789" spans="5:10">
      <c r="E789" s="624"/>
      <c r="F789" s="624"/>
      <c r="G789" s="624"/>
      <c r="H789" s="624"/>
      <c r="I789" s="624"/>
      <c r="J789" s="624"/>
    </row>
    <row r="790" spans="5:10">
      <c r="E790" s="624"/>
      <c r="F790" s="624"/>
      <c r="G790" s="624"/>
      <c r="H790" s="624"/>
      <c r="I790" s="624"/>
      <c r="J790" s="624"/>
    </row>
    <row r="791" spans="5:10">
      <c r="E791" s="624"/>
      <c r="F791" s="624"/>
      <c r="G791" s="624"/>
      <c r="H791" s="624"/>
      <c r="I791" s="624"/>
      <c r="J791" s="624"/>
    </row>
    <row r="792" spans="5:10">
      <c r="E792" s="624"/>
      <c r="F792" s="624"/>
      <c r="G792" s="624"/>
      <c r="H792" s="624"/>
      <c r="I792" s="624"/>
      <c r="J792" s="624"/>
    </row>
    <row r="793" spans="5:10">
      <c r="E793" s="624"/>
      <c r="F793" s="624"/>
      <c r="G793" s="624"/>
      <c r="H793" s="624"/>
      <c r="I793" s="624"/>
      <c r="J793" s="624"/>
    </row>
    <row r="794" spans="5:10">
      <c r="E794" s="624"/>
      <c r="F794" s="624"/>
      <c r="G794" s="624"/>
      <c r="H794" s="624"/>
      <c r="I794" s="624"/>
      <c r="J794" s="624"/>
    </row>
    <row r="795" spans="5:10">
      <c r="E795" s="624"/>
      <c r="F795" s="624"/>
      <c r="G795" s="624"/>
      <c r="H795" s="624"/>
      <c r="I795" s="624"/>
      <c r="J795" s="624"/>
    </row>
    <row r="796" spans="5:10">
      <c r="E796" s="624"/>
      <c r="F796" s="624"/>
      <c r="G796" s="624"/>
      <c r="H796" s="624"/>
      <c r="I796" s="624"/>
      <c r="J796" s="624"/>
    </row>
    <row r="797" spans="5:10">
      <c r="E797" s="624"/>
      <c r="F797" s="624"/>
      <c r="G797" s="624"/>
      <c r="H797" s="624"/>
      <c r="I797" s="624"/>
      <c r="J797" s="624"/>
    </row>
    <row r="798" spans="5:10">
      <c r="E798" s="624"/>
      <c r="F798" s="624"/>
      <c r="G798" s="624"/>
      <c r="H798" s="624"/>
      <c r="I798" s="624"/>
      <c r="J798" s="624"/>
    </row>
    <row r="799" spans="5:10">
      <c r="E799" s="624"/>
      <c r="F799" s="624"/>
      <c r="G799" s="624"/>
      <c r="H799" s="624"/>
      <c r="I799" s="624"/>
      <c r="J799" s="624"/>
    </row>
    <row r="800" spans="5:10">
      <c r="E800" s="624"/>
      <c r="F800" s="624"/>
      <c r="G800" s="624"/>
      <c r="H800" s="624"/>
      <c r="I800" s="624"/>
      <c r="J800" s="624"/>
    </row>
    <row r="801" spans="5:10">
      <c r="E801" s="624"/>
      <c r="F801" s="624"/>
      <c r="G801" s="624"/>
      <c r="H801" s="624"/>
      <c r="I801" s="624"/>
      <c r="J801" s="624"/>
    </row>
    <row r="802" spans="5:10">
      <c r="E802" s="624"/>
      <c r="F802" s="624"/>
      <c r="G802" s="624"/>
      <c r="H802" s="624"/>
      <c r="I802" s="624"/>
      <c r="J802" s="624"/>
    </row>
    <row r="803" spans="5:10">
      <c r="E803" s="624"/>
      <c r="F803" s="624"/>
      <c r="G803" s="624"/>
      <c r="H803" s="624"/>
      <c r="I803" s="624"/>
      <c r="J803" s="624"/>
    </row>
    <row r="804" spans="5:10">
      <c r="E804" s="624"/>
      <c r="F804" s="624"/>
      <c r="G804" s="624"/>
      <c r="H804" s="624"/>
      <c r="I804" s="624"/>
      <c r="J804" s="624"/>
    </row>
    <row r="805" spans="5:10">
      <c r="E805" s="624"/>
      <c r="F805" s="624"/>
      <c r="G805" s="624"/>
      <c r="H805" s="624"/>
      <c r="I805" s="624"/>
      <c r="J805" s="624"/>
    </row>
    <row r="806" spans="5:10">
      <c r="E806" s="624"/>
      <c r="F806" s="624"/>
      <c r="G806" s="624"/>
      <c r="H806" s="624"/>
      <c r="I806" s="624"/>
      <c r="J806" s="624"/>
    </row>
    <row r="807" spans="5:10">
      <c r="E807" s="624"/>
      <c r="F807" s="624"/>
      <c r="G807" s="624"/>
      <c r="H807" s="624"/>
      <c r="I807" s="624"/>
      <c r="J807" s="624"/>
    </row>
    <row r="808" spans="5:10">
      <c r="E808" s="624"/>
      <c r="F808" s="624"/>
      <c r="G808" s="624"/>
      <c r="H808" s="624"/>
      <c r="I808" s="624"/>
      <c r="J808" s="624"/>
    </row>
    <row r="809" spans="5:10">
      <c r="E809" s="624"/>
      <c r="F809" s="624"/>
      <c r="G809" s="624"/>
      <c r="H809" s="624"/>
      <c r="I809" s="624"/>
      <c r="J809" s="624"/>
    </row>
    <row r="810" spans="5:10">
      <c r="E810" s="624"/>
      <c r="F810" s="624"/>
      <c r="G810" s="624"/>
      <c r="H810" s="624"/>
      <c r="I810" s="624"/>
      <c r="J810" s="624"/>
    </row>
    <row r="811" spans="5:10">
      <c r="E811" s="624"/>
      <c r="F811" s="624"/>
      <c r="G811" s="624"/>
      <c r="H811" s="624"/>
      <c r="I811" s="624"/>
      <c r="J811" s="624"/>
    </row>
    <row r="812" spans="5:10">
      <c r="E812" s="624"/>
      <c r="F812" s="624"/>
      <c r="G812" s="624"/>
      <c r="H812" s="624"/>
      <c r="I812" s="624"/>
      <c r="J812" s="624"/>
    </row>
    <row r="813" spans="5:10">
      <c r="E813" s="624"/>
      <c r="F813" s="624"/>
      <c r="G813" s="624"/>
      <c r="H813" s="624"/>
      <c r="I813" s="624"/>
      <c r="J813" s="624"/>
    </row>
    <row r="814" spans="5:10">
      <c r="E814" s="624"/>
      <c r="F814" s="624"/>
      <c r="G814" s="624"/>
      <c r="H814" s="624"/>
      <c r="I814" s="624"/>
      <c r="J814" s="624"/>
    </row>
    <row r="815" spans="5:10">
      <c r="E815" s="624"/>
      <c r="F815" s="624"/>
      <c r="G815" s="624"/>
      <c r="H815" s="624"/>
      <c r="I815" s="624"/>
      <c r="J815" s="624"/>
    </row>
    <row r="816" spans="5:10">
      <c r="E816" s="624"/>
      <c r="F816" s="624"/>
      <c r="G816" s="624"/>
      <c r="H816" s="624"/>
      <c r="I816" s="624"/>
      <c r="J816" s="624"/>
    </row>
    <row r="817" spans="5:10">
      <c r="E817" s="624"/>
      <c r="F817" s="624"/>
      <c r="G817" s="624"/>
      <c r="H817" s="624"/>
      <c r="I817" s="624"/>
      <c r="J817" s="624"/>
    </row>
    <row r="818" spans="5:10">
      <c r="E818" s="624"/>
      <c r="F818" s="624"/>
      <c r="G818" s="624"/>
      <c r="H818" s="624"/>
      <c r="I818" s="624"/>
      <c r="J818" s="624"/>
    </row>
    <row r="819" spans="5:10">
      <c r="E819" s="624"/>
      <c r="F819" s="624"/>
      <c r="G819" s="624"/>
      <c r="H819" s="624"/>
      <c r="I819" s="624"/>
      <c r="J819" s="624"/>
    </row>
    <row r="820" spans="5:10">
      <c r="E820" s="624"/>
      <c r="F820" s="624"/>
      <c r="G820" s="624"/>
      <c r="H820" s="624"/>
      <c r="I820" s="624"/>
      <c r="J820" s="624"/>
    </row>
    <row r="821" spans="5:10">
      <c r="E821" s="624"/>
      <c r="F821" s="624"/>
      <c r="G821" s="624"/>
      <c r="H821" s="624"/>
      <c r="I821" s="624"/>
      <c r="J821" s="624"/>
    </row>
    <row r="822" spans="5:10">
      <c r="E822" s="624"/>
      <c r="F822" s="624"/>
      <c r="G822" s="624"/>
      <c r="H822" s="624"/>
      <c r="I822" s="624"/>
      <c r="J822" s="624"/>
    </row>
    <row r="823" spans="5:10">
      <c r="E823" s="624"/>
      <c r="F823" s="624"/>
      <c r="G823" s="624"/>
      <c r="H823" s="624"/>
      <c r="I823" s="624"/>
      <c r="J823" s="624"/>
    </row>
    <row r="824" spans="5:10">
      <c r="E824" s="624"/>
      <c r="F824" s="624"/>
      <c r="G824" s="624"/>
      <c r="H824" s="624"/>
      <c r="I824" s="624"/>
      <c r="J824" s="624"/>
    </row>
    <row r="825" spans="5:10">
      <c r="E825" s="624"/>
      <c r="F825" s="624"/>
      <c r="G825" s="624"/>
      <c r="H825" s="624"/>
      <c r="I825" s="624"/>
      <c r="J825" s="624"/>
    </row>
    <row r="826" spans="5:10">
      <c r="E826" s="624"/>
      <c r="F826" s="624"/>
      <c r="G826" s="624"/>
      <c r="H826" s="624"/>
      <c r="I826" s="624"/>
      <c r="J826" s="624"/>
    </row>
    <row r="827" spans="5:10">
      <c r="E827" s="624"/>
      <c r="F827" s="624"/>
      <c r="G827" s="624"/>
      <c r="H827" s="624"/>
      <c r="I827" s="624"/>
      <c r="J827" s="624"/>
    </row>
    <row r="828" spans="5:10">
      <c r="E828" s="624"/>
      <c r="F828" s="624"/>
      <c r="G828" s="624"/>
      <c r="H828" s="624"/>
      <c r="I828" s="624"/>
      <c r="J828" s="624"/>
    </row>
    <row r="829" spans="5:10">
      <c r="E829" s="624"/>
      <c r="F829" s="624"/>
      <c r="G829" s="624"/>
      <c r="H829" s="624"/>
      <c r="I829" s="624"/>
      <c r="J829" s="624"/>
    </row>
    <row r="830" spans="5:10">
      <c r="E830" s="624"/>
      <c r="F830" s="624"/>
      <c r="G830" s="624"/>
      <c r="H830" s="624"/>
      <c r="I830" s="624"/>
      <c r="J830" s="624"/>
    </row>
    <row r="831" spans="5:10">
      <c r="E831" s="624"/>
      <c r="F831" s="624"/>
      <c r="G831" s="624"/>
      <c r="H831" s="624"/>
      <c r="I831" s="624"/>
      <c r="J831" s="624"/>
    </row>
    <row r="832" spans="5:10">
      <c r="E832" s="624"/>
      <c r="F832" s="624"/>
      <c r="G832" s="624"/>
      <c r="H832" s="624"/>
      <c r="I832" s="624"/>
      <c r="J832" s="624"/>
    </row>
    <row r="833" spans="5:10">
      <c r="E833" s="624"/>
      <c r="F833" s="624"/>
      <c r="G833" s="624"/>
      <c r="H833" s="624"/>
      <c r="I833" s="624"/>
      <c r="J833" s="624"/>
    </row>
    <row r="834" spans="5:10">
      <c r="E834" s="624"/>
      <c r="F834" s="624"/>
      <c r="G834" s="624"/>
      <c r="H834" s="624"/>
      <c r="I834" s="624"/>
      <c r="J834" s="624"/>
    </row>
    <row r="835" spans="5:10">
      <c r="E835" s="624"/>
      <c r="F835" s="624"/>
      <c r="G835" s="624"/>
      <c r="H835" s="624"/>
      <c r="I835" s="624"/>
      <c r="J835" s="624"/>
    </row>
    <row r="836" spans="5:10">
      <c r="E836" s="624"/>
      <c r="F836" s="624"/>
      <c r="G836" s="624"/>
      <c r="H836" s="624"/>
      <c r="I836" s="624"/>
      <c r="J836" s="624"/>
    </row>
    <row r="837" spans="5:10">
      <c r="E837" s="624"/>
      <c r="F837" s="624"/>
      <c r="G837" s="624"/>
      <c r="H837" s="624"/>
      <c r="I837" s="624"/>
      <c r="J837" s="624"/>
    </row>
    <row r="838" spans="5:10">
      <c r="E838" s="624"/>
      <c r="F838" s="624"/>
      <c r="G838" s="624"/>
      <c r="H838" s="624"/>
      <c r="I838" s="624"/>
      <c r="J838" s="624"/>
    </row>
    <row r="839" spans="5:10">
      <c r="E839" s="624"/>
      <c r="F839" s="624"/>
      <c r="G839" s="624"/>
      <c r="H839" s="624"/>
      <c r="I839" s="624"/>
      <c r="J839" s="624"/>
    </row>
    <row r="840" spans="5:10">
      <c r="E840" s="624"/>
      <c r="F840" s="624"/>
      <c r="G840" s="624"/>
      <c r="H840" s="624"/>
      <c r="I840" s="624"/>
      <c r="J840" s="624"/>
    </row>
    <row r="841" spans="5:10">
      <c r="E841" s="624"/>
      <c r="F841" s="624"/>
      <c r="G841" s="624"/>
      <c r="H841" s="624"/>
      <c r="I841" s="624"/>
      <c r="J841" s="624"/>
    </row>
    <row r="842" spans="5:10">
      <c r="E842" s="624"/>
      <c r="F842" s="624"/>
      <c r="G842" s="624"/>
      <c r="H842" s="624"/>
      <c r="I842" s="624"/>
      <c r="J842" s="624"/>
    </row>
    <row r="843" spans="5:10">
      <c r="E843" s="624"/>
      <c r="F843" s="624"/>
      <c r="G843" s="624"/>
      <c r="H843" s="624"/>
      <c r="I843" s="624"/>
      <c r="J843" s="624"/>
    </row>
    <row r="844" spans="5:10">
      <c r="E844" s="624"/>
      <c r="F844" s="624"/>
      <c r="G844" s="624"/>
      <c r="H844" s="624"/>
      <c r="I844" s="624"/>
      <c r="J844" s="624"/>
    </row>
    <row r="845" spans="5:10">
      <c r="E845" s="624"/>
      <c r="F845" s="624"/>
      <c r="G845" s="624"/>
      <c r="H845" s="624"/>
      <c r="I845" s="624"/>
      <c r="J845" s="624"/>
    </row>
    <row r="846" spans="5:10">
      <c r="E846" s="624"/>
      <c r="F846" s="624"/>
      <c r="G846" s="624"/>
      <c r="H846" s="624"/>
      <c r="I846" s="624"/>
      <c r="J846" s="624"/>
    </row>
    <row r="847" spans="5:10">
      <c r="E847" s="624"/>
      <c r="F847" s="624"/>
      <c r="G847" s="624"/>
      <c r="H847" s="624"/>
      <c r="I847" s="624"/>
      <c r="J847" s="624"/>
    </row>
    <row r="848" spans="5:10">
      <c r="E848" s="624"/>
      <c r="F848" s="624"/>
      <c r="G848" s="624"/>
      <c r="H848" s="624"/>
      <c r="I848" s="624"/>
      <c r="J848" s="624"/>
    </row>
    <row r="849" spans="5:10">
      <c r="E849" s="624"/>
      <c r="F849" s="624"/>
      <c r="G849" s="624"/>
      <c r="H849" s="624"/>
      <c r="I849" s="624"/>
      <c r="J849" s="624"/>
    </row>
    <row r="850" spans="5:10">
      <c r="E850" s="624"/>
      <c r="F850" s="624"/>
      <c r="G850" s="624"/>
      <c r="H850" s="624"/>
      <c r="I850" s="624"/>
      <c r="J850" s="624"/>
    </row>
    <row r="851" spans="5:10">
      <c r="E851" s="624"/>
      <c r="F851" s="624"/>
      <c r="G851" s="624"/>
      <c r="H851" s="624"/>
      <c r="I851" s="624"/>
      <c r="J851" s="624"/>
    </row>
    <row r="852" spans="5:10">
      <c r="E852" s="624"/>
      <c r="F852" s="624"/>
      <c r="G852" s="624"/>
      <c r="H852" s="624"/>
      <c r="I852" s="624"/>
      <c r="J852" s="624"/>
    </row>
    <row r="853" spans="5:10">
      <c r="E853" s="624"/>
      <c r="F853" s="624"/>
      <c r="G853" s="624"/>
      <c r="H853" s="624"/>
      <c r="I853" s="624"/>
      <c r="J853" s="624"/>
    </row>
    <row r="854" spans="5:10">
      <c r="E854" s="624"/>
      <c r="F854" s="624"/>
      <c r="G854" s="624"/>
      <c r="H854" s="624"/>
      <c r="I854" s="624"/>
      <c r="J854" s="624"/>
    </row>
    <row r="855" spans="5:10">
      <c r="E855" s="624"/>
      <c r="F855" s="624"/>
      <c r="G855" s="624"/>
      <c r="H855" s="624"/>
      <c r="I855" s="624"/>
      <c r="J855" s="624"/>
    </row>
    <row r="856" spans="5:10">
      <c r="E856" s="624"/>
      <c r="F856" s="624"/>
      <c r="G856" s="624"/>
      <c r="H856" s="624"/>
      <c r="I856" s="624"/>
      <c r="J856" s="624"/>
    </row>
    <row r="857" spans="5:10">
      <c r="E857" s="624"/>
      <c r="F857" s="624"/>
      <c r="G857" s="624"/>
      <c r="H857" s="624"/>
      <c r="I857" s="624"/>
      <c r="J857" s="624"/>
    </row>
    <row r="858" spans="5:10">
      <c r="E858" s="624"/>
      <c r="F858" s="624"/>
      <c r="G858" s="624"/>
      <c r="H858" s="624"/>
      <c r="I858" s="624"/>
      <c r="J858" s="624"/>
    </row>
    <row r="859" spans="5:10">
      <c r="E859" s="624"/>
      <c r="F859" s="624"/>
      <c r="G859" s="624"/>
      <c r="H859" s="624"/>
      <c r="I859" s="624"/>
      <c r="J859" s="624"/>
    </row>
    <row r="860" spans="5:10">
      <c r="E860" s="624"/>
      <c r="F860" s="624"/>
      <c r="G860" s="624"/>
      <c r="H860" s="624"/>
      <c r="I860" s="624"/>
      <c r="J860" s="624"/>
    </row>
    <row r="861" spans="5:10">
      <c r="E861" s="624"/>
      <c r="F861" s="624"/>
      <c r="G861" s="624"/>
      <c r="H861" s="624"/>
      <c r="I861" s="624"/>
      <c r="J861" s="624"/>
    </row>
    <row r="862" spans="5:10">
      <c r="E862" s="624"/>
      <c r="F862" s="624"/>
      <c r="G862" s="624"/>
      <c r="H862" s="624"/>
      <c r="I862" s="624"/>
      <c r="J862" s="624"/>
    </row>
    <row r="863" spans="5:10">
      <c r="E863" s="624"/>
      <c r="F863" s="624"/>
      <c r="G863" s="624"/>
      <c r="H863" s="624"/>
      <c r="I863" s="624"/>
      <c r="J863" s="624"/>
    </row>
    <row r="864" spans="5:10">
      <c r="E864" s="624"/>
      <c r="F864" s="624"/>
      <c r="G864" s="624"/>
      <c r="H864" s="624"/>
      <c r="I864" s="624"/>
      <c r="J864" s="624"/>
    </row>
    <row r="865" spans="5:10">
      <c r="E865" s="624"/>
      <c r="F865" s="624"/>
      <c r="G865" s="624"/>
      <c r="H865" s="624"/>
      <c r="I865" s="624"/>
      <c r="J865" s="624"/>
    </row>
    <row r="866" spans="5:10">
      <c r="E866" s="624"/>
      <c r="F866" s="624"/>
      <c r="G866" s="624"/>
      <c r="H866" s="624"/>
      <c r="I866" s="624"/>
      <c r="J866" s="624"/>
    </row>
    <row r="867" spans="5:10">
      <c r="E867" s="624"/>
      <c r="F867" s="624"/>
      <c r="G867" s="624"/>
      <c r="H867" s="624"/>
      <c r="I867" s="624"/>
      <c r="J867" s="624"/>
    </row>
    <row r="868" spans="5:10">
      <c r="E868" s="624"/>
      <c r="F868" s="624"/>
      <c r="G868" s="624"/>
      <c r="H868" s="624"/>
      <c r="I868" s="624"/>
      <c r="J868" s="624"/>
    </row>
    <row r="869" spans="5:10">
      <c r="E869" s="624"/>
      <c r="F869" s="624"/>
      <c r="G869" s="624"/>
      <c r="H869" s="624"/>
      <c r="I869" s="624"/>
      <c r="J869" s="624"/>
    </row>
    <row r="870" spans="5:10">
      <c r="E870" s="624"/>
      <c r="F870" s="624"/>
      <c r="G870" s="624"/>
      <c r="H870" s="624"/>
      <c r="I870" s="624"/>
      <c r="J870" s="624"/>
    </row>
    <row r="871" spans="5:10">
      <c r="E871" s="624"/>
      <c r="F871" s="624"/>
      <c r="G871" s="624"/>
      <c r="H871" s="624"/>
      <c r="I871" s="624"/>
      <c r="J871" s="624"/>
    </row>
    <row r="872" spans="5:10">
      <c r="E872" s="624"/>
      <c r="F872" s="624"/>
      <c r="G872" s="624"/>
      <c r="H872" s="624"/>
      <c r="I872" s="624"/>
      <c r="J872" s="624"/>
    </row>
    <row r="873" spans="5:10">
      <c r="E873" s="624"/>
      <c r="F873" s="624"/>
      <c r="G873" s="624"/>
      <c r="H873" s="624"/>
      <c r="I873" s="624"/>
      <c r="J873" s="624"/>
    </row>
    <row r="874" spans="5:10">
      <c r="E874" s="624"/>
      <c r="F874" s="624"/>
      <c r="G874" s="624"/>
      <c r="H874" s="624"/>
      <c r="I874" s="624"/>
      <c r="J874" s="624"/>
    </row>
    <row r="875" spans="5:10">
      <c r="E875" s="624"/>
      <c r="F875" s="624"/>
      <c r="G875" s="624"/>
      <c r="H875" s="624"/>
      <c r="I875" s="624"/>
      <c r="J875" s="624"/>
    </row>
    <row r="876" spans="5:10">
      <c r="E876" s="624"/>
      <c r="F876" s="624"/>
      <c r="G876" s="624"/>
      <c r="H876" s="624"/>
      <c r="I876" s="624"/>
      <c r="J876" s="624"/>
    </row>
    <row r="877" spans="5:10">
      <c r="E877" s="624"/>
      <c r="F877" s="624"/>
      <c r="G877" s="624"/>
      <c r="H877" s="624"/>
      <c r="I877" s="624"/>
      <c r="J877" s="624"/>
    </row>
    <row r="878" spans="5:10">
      <c r="E878" s="624"/>
      <c r="F878" s="624"/>
      <c r="G878" s="624"/>
      <c r="H878" s="624"/>
      <c r="I878" s="624"/>
      <c r="J878" s="624"/>
    </row>
    <row r="879" spans="5:10">
      <c r="E879" s="624"/>
      <c r="F879" s="624"/>
      <c r="G879" s="624"/>
      <c r="H879" s="624"/>
      <c r="I879" s="624"/>
      <c r="J879" s="624"/>
    </row>
    <row r="880" spans="5:10">
      <c r="E880" s="624"/>
      <c r="F880" s="624"/>
      <c r="G880" s="624"/>
      <c r="H880" s="624"/>
      <c r="I880" s="624"/>
      <c r="J880" s="624"/>
    </row>
    <row r="881" spans="5:10">
      <c r="E881" s="624"/>
      <c r="F881" s="624"/>
      <c r="G881" s="624"/>
      <c r="H881" s="624"/>
      <c r="I881" s="624"/>
      <c r="J881" s="624"/>
    </row>
    <row r="882" spans="5:10">
      <c r="E882" s="624"/>
      <c r="F882" s="624"/>
      <c r="G882" s="624"/>
      <c r="H882" s="624"/>
      <c r="I882" s="624"/>
      <c r="J882" s="624"/>
    </row>
    <row r="883" spans="5:10">
      <c r="E883" s="624"/>
      <c r="F883" s="624"/>
      <c r="G883" s="624"/>
      <c r="H883" s="624"/>
      <c r="I883" s="624"/>
      <c r="J883" s="624"/>
    </row>
    <row r="884" spans="5:10">
      <c r="E884" s="624"/>
      <c r="F884" s="624"/>
      <c r="G884" s="624"/>
      <c r="H884" s="624"/>
      <c r="I884" s="624"/>
      <c r="J884" s="624"/>
    </row>
    <row r="885" spans="5:10">
      <c r="E885" s="624"/>
      <c r="F885" s="624"/>
      <c r="G885" s="624"/>
      <c r="H885" s="624"/>
      <c r="I885" s="624"/>
      <c r="J885" s="624"/>
    </row>
    <row r="886" spans="5:10">
      <c r="E886" s="624"/>
      <c r="F886" s="624"/>
      <c r="G886" s="624"/>
      <c r="H886" s="624"/>
      <c r="I886" s="624"/>
      <c r="J886" s="624"/>
    </row>
    <row r="887" spans="5:10">
      <c r="E887" s="624"/>
      <c r="F887" s="624"/>
      <c r="G887" s="624"/>
      <c r="H887" s="624"/>
      <c r="I887" s="624"/>
      <c r="J887" s="624"/>
    </row>
    <row r="888" spans="5:10">
      <c r="E888" s="624"/>
      <c r="F888" s="624"/>
      <c r="G888" s="624"/>
      <c r="H888" s="624"/>
      <c r="I888" s="624"/>
      <c r="J888" s="624"/>
    </row>
    <row r="889" spans="5:10">
      <c r="E889" s="624"/>
      <c r="F889" s="624"/>
      <c r="G889" s="624"/>
      <c r="H889" s="624"/>
      <c r="I889" s="624"/>
      <c r="J889" s="624"/>
    </row>
    <row r="890" spans="5:10">
      <c r="E890" s="624"/>
      <c r="F890" s="624"/>
      <c r="G890" s="624"/>
      <c r="H890" s="624"/>
      <c r="I890" s="624"/>
      <c r="J890" s="624"/>
    </row>
    <row r="891" spans="5:10">
      <c r="E891" s="624"/>
      <c r="F891" s="624"/>
      <c r="G891" s="624"/>
      <c r="H891" s="624"/>
      <c r="I891" s="624"/>
      <c r="J891" s="624"/>
    </row>
    <row r="892" spans="5:10">
      <c r="E892" s="624"/>
      <c r="F892" s="624"/>
      <c r="G892" s="624"/>
      <c r="H892" s="624"/>
      <c r="I892" s="624"/>
      <c r="J892" s="624"/>
    </row>
    <row r="893" spans="5:10">
      <c r="E893" s="624"/>
      <c r="F893" s="624"/>
      <c r="G893" s="624"/>
      <c r="H893" s="624"/>
      <c r="I893" s="624"/>
      <c r="J893" s="624"/>
    </row>
    <row r="894" spans="5:10">
      <c r="E894" s="624"/>
      <c r="F894" s="624"/>
      <c r="G894" s="624"/>
      <c r="H894" s="624"/>
      <c r="I894" s="624"/>
      <c r="J894" s="624"/>
    </row>
    <row r="895" spans="5:10">
      <c r="E895" s="624"/>
      <c r="F895" s="624"/>
      <c r="G895" s="624"/>
      <c r="H895" s="624"/>
      <c r="I895" s="624"/>
      <c r="J895" s="624"/>
    </row>
    <row r="896" spans="5:10">
      <c r="E896" s="624"/>
      <c r="F896" s="624"/>
      <c r="G896" s="624"/>
      <c r="H896" s="624"/>
      <c r="I896" s="624"/>
      <c r="J896" s="624"/>
    </row>
    <row r="897" spans="5:10">
      <c r="E897" s="624"/>
      <c r="F897" s="624"/>
      <c r="G897" s="624"/>
      <c r="H897" s="624"/>
      <c r="I897" s="624"/>
      <c r="J897" s="624"/>
    </row>
    <row r="898" spans="5:10">
      <c r="E898" s="624"/>
      <c r="F898" s="624"/>
      <c r="G898" s="624"/>
      <c r="H898" s="624"/>
      <c r="I898" s="624"/>
      <c r="J898" s="624"/>
    </row>
    <row r="899" spans="5:10">
      <c r="E899" s="624"/>
      <c r="F899" s="624"/>
      <c r="G899" s="624"/>
      <c r="H899" s="624"/>
      <c r="I899" s="624"/>
      <c r="J899" s="624"/>
    </row>
    <row r="900" spans="5:10">
      <c r="E900" s="624"/>
      <c r="F900" s="624"/>
      <c r="G900" s="624"/>
      <c r="H900" s="624"/>
      <c r="I900" s="624"/>
      <c r="J900" s="624"/>
    </row>
    <row r="901" spans="5:10">
      <c r="E901" s="624"/>
      <c r="F901" s="624"/>
      <c r="G901" s="624"/>
      <c r="H901" s="624"/>
      <c r="I901" s="624"/>
      <c r="J901" s="624"/>
    </row>
    <row r="902" spans="5:10">
      <c r="E902" s="624"/>
      <c r="F902" s="624"/>
      <c r="G902" s="624"/>
      <c r="H902" s="624"/>
      <c r="I902" s="624"/>
      <c r="J902" s="624"/>
    </row>
  </sheetData>
  <pageMargins left="0.7" right="0.7" top="0.75" bottom="0.75" header="0.3" footer="0.3"/>
  <pageSetup paperSize="9" scale="58" orientation="portrait" horizontalDpi="300" verticalDpi="300" r:id="rId1"/>
  <headerFooter>
    <oddFooter>&amp;RPowered by FactSet</oddFooter>
  </headerFooter>
  <colBreaks count="1" manualBreakCount="1">
    <brk id="10" max="1048575" man="1"/>
  </col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F37E-530E-4F06-AB38-CD24F9E7AEBA}">
  <dimension ref="A1:J8"/>
  <sheetViews>
    <sheetView showGridLines="0" workbookViewId="0">
      <selection activeCell="K13" sqref="K13"/>
    </sheetView>
  </sheetViews>
  <sheetFormatPr defaultRowHeight="15"/>
  <cols>
    <col min="1" max="1" width="22.5703125" bestFit="1" customWidth="1"/>
    <col min="8" max="9" width="10.5703125" bestFit="1" customWidth="1"/>
  </cols>
  <sheetData>
    <row r="1" spans="1:10" ht="18">
      <c r="A1" s="582" t="s">
        <v>1542</v>
      </c>
      <c r="B1" s="582"/>
      <c r="C1" s="582"/>
      <c r="D1" s="582"/>
      <c r="E1" s="582"/>
      <c r="F1" s="582"/>
      <c r="G1" s="582"/>
      <c r="H1" s="582"/>
      <c r="I1" s="582"/>
    </row>
    <row r="2" spans="1:10">
      <c r="B2">
        <v>1</v>
      </c>
      <c r="C2">
        <v>2</v>
      </c>
      <c r="D2">
        <v>3</v>
      </c>
      <c r="E2">
        <v>4</v>
      </c>
      <c r="F2">
        <v>5</v>
      </c>
      <c r="G2" s="1290" t="s">
        <v>1543</v>
      </c>
    </row>
    <row r="3" spans="1:10">
      <c r="B3" s="1291">
        <f>Forecast!M3</f>
        <v>2021</v>
      </c>
      <c r="C3" s="1291">
        <f>Forecast!N3</f>
        <v>2022</v>
      </c>
      <c r="D3" s="1291">
        <f>Forecast!O3</f>
        <v>2023</v>
      </c>
      <c r="E3" s="1291">
        <f>Forecast!P3</f>
        <v>2024</v>
      </c>
      <c r="F3" s="1291">
        <f>Forecast!Q3</f>
        <v>2025</v>
      </c>
      <c r="I3" s="1288" t="str">
        <f>DCF!E12</f>
        <v>WACC</v>
      </c>
      <c r="J3" s="1289">
        <f ca="1">DCF!F12</f>
        <v>7.2014697784306636E-2</v>
      </c>
    </row>
    <row r="4" spans="1:10">
      <c r="A4" s="17" t="s">
        <v>1538</v>
      </c>
      <c r="B4" s="16">
        <f>Forecast!M25</f>
        <v>0</v>
      </c>
      <c r="C4" s="16">
        <f>Forecast!N25</f>
        <v>0</v>
      </c>
      <c r="D4" s="16">
        <f>Forecast!O25</f>
        <v>0.5</v>
      </c>
      <c r="E4" s="16">
        <f>Forecast!P25</f>
        <v>0.43</v>
      </c>
      <c r="F4" s="16">
        <f ca="1">Forecast!Q25</f>
        <v>0.21536478344343762</v>
      </c>
      <c r="G4" s="16">
        <f ca="1">F4/(J4-J5)</f>
        <v>4.3392106076173125</v>
      </c>
      <c r="I4" s="1288" t="str">
        <f>DCF!E13</f>
        <v>WACC (TV)</v>
      </c>
      <c r="J4" s="1289">
        <f ca="1">DCF!F13</f>
        <v>5.0477049713325214E-2</v>
      </c>
    </row>
    <row r="5" spans="1:10">
      <c r="A5" s="17" t="s">
        <v>1540</v>
      </c>
      <c r="B5" s="16">
        <f ca="1">B4/(1+$J3)^B2</f>
        <v>0</v>
      </c>
      <c r="C5" s="16">
        <f ca="1">C4/(1+$J3)^C2</f>
        <v>0</v>
      </c>
      <c r="D5" s="16">
        <f ca="1">D4/(1+$J3)^D2</f>
        <v>0.4058520883845031</v>
      </c>
      <c r="E5" s="16">
        <f ca="1">E4/(1+$J3)^E2</f>
        <v>0.32558583080257297</v>
      </c>
      <c r="F5" s="16">
        <f ca="1">F4/(1+$J3)^F2</f>
        <v>0.15205899389942384</v>
      </c>
      <c r="G5" s="16">
        <f ca="1">G4/(1+$J3)^F2</f>
        <v>3.063713522528102</v>
      </c>
      <c r="I5" s="1288" t="s">
        <v>1541</v>
      </c>
      <c r="J5" s="1289">
        <f ca="1">DCF!F19</f>
        <v>9.0480327486909941E-4</v>
      </c>
    </row>
    <row r="8" spans="1:10">
      <c r="A8" t="s">
        <v>1545</v>
      </c>
      <c r="B8" s="16">
        <f ca="1">SUM(B5:G5)</f>
        <v>3.9470260891589288</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33">
    <tabColor rgb="FF00B0F0"/>
  </sheetPr>
  <dimension ref="A1:O107"/>
  <sheetViews>
    <sheetView zoomScale="115" zoomScaleNormal="115" workbookViewId="0">
      <selection activeCell="J50" sqref="J50"/>
    </sheetView>
  </sheetViews>
  <sheetFormatPr defaultColWidth="10.7109375" defaultRowHeight="15"/>
  <cols>
    <col min="1" max="1" width="37.140625" style="3" customWidth="1"/>
    <col min="2" max="4" width="15.85546875" style="3" customWidth="1"/>
    <col min="5" max="5" width="20.7109375" style="3" customWidth="1"/>
    <col min="6" max="7" width="15.85546875" style="3" customWidth="1"/>
    <col min="8" max="8" width="10.7109375" style="3"/>
    <col min="9" max="9" width="27.28515625" style="3" customWidth="1"/>
    <col min="10" max="10" width="12.85546875" style="3" customWidth="1"/>
    <col min="11" max="11" width="12.7109375" style="3" customWidth="1"/>
    <col min="12" max="16384" width="10.7109375" style="3"/>
  </cols>
  <sheetData>
    <row r="1" spans="1:14" s="340" customFormat="1" ht="26.1" customHeight="1">
      <c r="A1" s="338" t="s">
        <v>1274</v>
      </c>
      <c r="B1" s="722" t="str">
        <f>BS!B8</f>
        <v>DAL-US</v>
      </c>
    </row>
    <row r="2" spans="1:14" s="343" customFormat="1" ht="16.350000000000001" customHeight="1">
      <c r="A2" s="341" t="s">
        <v>354</v>
      </c>
      <c r="D2" s="883"/>
    </row>
    <row r="3" spans="1:14" s="334" customFormat="1" ht="12.75">
      <c r="A3" s="349" t="s">
        <v>832</v>
      </c>
    </row>
    <row r="4" spans="1:14" s="334" customFormat="1" ht="12.75">
      <c r="A4" s="344" t="s">
        <v>356</v>
      </c>
      <c r="B4" s="723"/>
    </row>
    <row r="5" spans="1:14" s="334" customFormat="1" ht="12.75">
      <c r="A5" s="376" t="s">
        <v>1275</v>
      </c>
      <c r="B5" s="1104" t="s">
        <v>1241</v>
      </c>
      <c r="E5" s="865"/>
      <c r="F5" s="1104" t="s">
        <v>1241</v>
      </c>
      <c r="G5" s="532"/>
      <c r="I5" s="532"/>
      <c r="J5" s="352" t="s">
        <v>1276</v>
      </c>
      <c r="K5" s="352" t="s">
        <v>1277</v>
      </c>
    </row>
    <row r="6" spans="1:14" s="334" customFormat="1" ht="16.350000000000001" customHeight="1">
      <c r="A6" s="724" t="s">
        <v>27</v>
      </c>
      <c r="B6" s="1099">
        <f ca="1">'Delta Beta'!C9</f>
        <v>1.2184309013972165</v>
      </c>
      <c r="E6" s="334" t="s">
        <v>1278</v>
      </c>
      <c r="F6" s="1270" t="s">
        <v>1031</v>
      </c>
      <c r="G6" s="532"/>
      <c r="I6" s="725" t="s">
        <v>1279</v>
      </c>
      <c r="J6" s="491" cm="1">
        <f t="array" ref="J6">_xll.FDS(B1,"P_BETA_LOCIDX(-1AY,NOW)")</f>
        <v>1.1823977000000001</v>
      </c>
      <c r="K6" s="491">
        <f>J6*2/3+1/3</f>
        <v>1.1215984666666667</v>
      </c>
    </row>
    <row r="7" spans="1:14" s="352" customFormat="1" ht="16.350000000000001" customHeight="1">
      <c r="A7" s="352" t="s">
        <v>1280</v>
      </c>
      <c r="B7" s="1099">
        <v>1.2</v>
      </c>
      <c r="C7" s="334"/>
      <c r="D7" s="334"/>
      <c r="E7" s="334" t="s">
        <v>1281</v>
      </c>
      <c r="F7" s="886">
        <f>'ERP and Spreads'!C13</f>
        <v>2.5100000000000001E-2</v>
      </c>
      <c r="G7" s="532"/>
      <c r="H7" s="334"/>
      <c r="I7" s="725" t="s">
        <v>1282</v>
      </c>
      <c r="J7" s="491" cm="1">
        <f t="array" ref="J7">_xll.FDS(B1,"P_BETA_LOCIDX(-2AY,NOW)")</f>
        <v>1.3011155999999999</v>
      </c>
      <c r="K7" s="491">
        <f>J7*2/3+1/3</f>
        <v>1.2007437333333333</v>
      </c>
    </row>
    <row r="8" spans="1:14">
      <c r="A8" s="352" t="s">
        <v>1283</v>
      </c>
      <c r="B8" s="1271">
        <f ca="1">(Ratios!B255/1000)/((Ratios!B255/1000)+B14)</f>
        <v>0.4673035580996473</v>
      </c>
      <c r="C8" s="894"/>
      <c r="D8" s="334"/>
      <c r="E8" s="334" t="s">
        <v>1284</v>
      </c>
      <c r="F8" s="884">
        <f>B10+F7</f>
        <v>4.3400000000000001E-2</v>
      </c>
      <c r="G8" s="532"/>
      <c r="H8" s="334"/>
      <c r="I8" s="725" t="s">
        <v>1285</v>
      </c>
      <c r="J8" s="491" cm="1">
        <f t="array" ref="J8">_xll.FDS(B1,"P_BETA_LOCIDX(-3AY,NOW)")</f>
        <v>1.2701123999999999</v>
      </c>
      <c r="K8" s="491">
        <f t="shared" ref="K8" si="0">J8*2/3+1/3</f>
        <v>1.1800749333333334</v>
      </c>
    </row>
    <row r="9" spans="1:14">
      <c r="A9" s="352" t="s">
        <v>841</v>
      </c>
      <c r="B9" s="1100">
        <f>'DAL-US R&amp;D'!B5</f>
        <v>0.28999999999999998</v>
      </c>
      <c r="C9" s="334"/>
      <c r="D9" s="334"/>
      <c r="E9" s="334" t="s">
        <v>1286</v>
      </c>
      <c r="F9" s="886">
        <f>AVERAGE('DCS Detail'!L35:L43)/100</f>
        <v>2.5711111111111112E-2</v>
      </c>
      <c r="G9" s="532"/>
      <c r="H9" s="334"/>
      <c r="I9" s="725" t="s">
        <v>1287</v>
      </c>
      <c r="J9" s="491" cm="1">
        <f t="array" ref="J9">_xll.FDS(B1,"P_BETA_LOCIDX(-5AY,NOW)")</f>
        <v>1.2424847999999999</v>
      </c>
      <c r="K9" s="491">
        <f>J9*2/3+1/3</f>
        <v>1.1616565333333333</v>
      </c>
    </row>
    <row r="10" spans="1:14">
      <c r="A10" s="352" t="s">
        <v>1288</v>
      </c>
      <c r="B10" s="1101">
        <v>1.83E-2</v>
      </c>
      <c r="C10" s="334"/>
      <c r="D10" s="334"/>
      <c r="E10" s="334" t="s">
        <v>1289</v>
      </c>
      <c r="F10" s="885">
        <f ca="1">B10+B6*(B11+B12)</f>
        <v>8.7533891916642056E-2</v>
      </c>
      <c r="G10" s="532"/>
      <c r="H10" s="334"/>
      <c r="I10" s="725" t="s">
        <v>1290</v>
      </c>
      <c r="J10" s="491" cm="1">
        <f t="array" ref="J10">_xll.FDS(B1,"P_BETA_LOCIDX(-10AY,NOW)")</f>
        <v>1.2452976</v>
      </c>
      <c r="K10" s="491">
        <f>J10*2/3+1/3</f>
        <v>1.1635317333333333</v>
      </c>
    </row>
    <row r="11" spans="1:14">
      <c r="A11" s="352" t="s">
        <v>1291</v>
      </c>
      <c r="B11" s="1100">
        <f>'Delta CRP'!I40</f>
        <v>5.2011086684213753E-2</v>
      </c>
      <c r="E11" s="334" t="s">
        <v>1292</v>
      </c>
      <c r="F11" s="885">
        <v>8.5000000000000006E-2</v>
      </c>
      <c r="G11" s="532"/>
      <c r="H11" s="334"/>
    </row>
    <row r="12" spans="1:14">
      <c r="A12" s="352" t="s">
        <v>947</v>
      </c>
      <c r="B12" s="1263">
        <f>'Delta CRP'!J40</f>
        <v>4.8110866842137655E-3</v>
      </c>
      <c r="C12" s="334"/>
      <c r="D12" s="334"/>
      <c r="E12" s="334" t="s">
        <v>1293</v>
      </c>
      <c r="F12" s="1014">
        <f ca="1">(B10+B11*B6+1.35*B12)*B8+F8*(1-B9)</f>
        <v>7.2014697784306636E-2</v>
      </c>
    </row>
    <row r="13" spans="1:14">
      <c r="A13" s="352" t="s">
        <v>1294</v>
      </c>
      <c r="B13" s="1105">
        <f>Forecast!L28/1000</f>
        <v>0.63600000000000001</v>
      </c>
      <c r="E13" s="334" t="s">
        <v>1295</v>
      </c>
      <c r="F13" s="1014">
        <f ca="1">(B10+B11*B7+1.35*B12)*B8+F9*(1-B8)*(1-B9)</f>
        <v>5.0477049713325214E-2</v>
      </c>
      <c r="G13" s="532"/>
      <c r="H13" s="334"/>
    </row>
    <row r="14" spans="1:14">
      <c r="A14" s="352" t="s">
        <v>1296</v>
      </c>
      <c r="B14" s="1099">
        <f ca="1">'DCS Detail'!O69/1000</f>
        <v>29.231732558568122</v>
      </c>
      <c r="E14" s="334" t="s">
        <v>1297</v>
      </c>
      <c r="F14" s="885">
        <f ca="1">F33</f>
        <v>0.12342556288877161</v>
      </c>
      <c r="G14" s="532"/>
      <c r="H14" s="334"/>
    </row>
    <row r="15" spans="1:14">
      <c r="A15" s="352" t="s">
        <v>1298</v>
      </c>
      <c r="B15" s="366">
        <f ca="1">(G39-Forecast!Q72)*(1-B8)</f>
        <v>-30.98619850181073</v>
      </c>
      <c r="C15" s="334"/>
      <c r="D15" s="334"/>
      <c r="E15" s="334" t="s">
        <v>1299</v>
      </c>
      <c r="F15" s="885"/>
      <c r="G15" s="532"/>
      <c r="H15" s="334"/>
      <c r="I15" s="1281"/>
      <c r="J15" s="1281">
        <v>1</v>
      </c>
      <c r="K15" s="1281">
        <v>2</v>
      </c>
      <c r="L15" s="1281">
        <v>3</v>
      </c>
      <c r="M15" s="1281">
        <v>4</v>
      </c>
      <c r="N15" s="1281">
        <v>5</v>
      </c>
    </row>
    <row r="16" spans="1:14" ht="14.1" customHeight="1">
      <c r="A16" s="352" t="s">
        <v>1300</v>
      </c>
      <c r="B16" s="366">
        <f>Forecast!Q90+Forecast!Q99</f>
        <v>35.047999999999988</v>
      </c>
      <c r="C16" s="334"/>
      <c r="D16" s="334"/>
      <c r="E16" s="334" t="s">
        <v>1301</v>
      </c>
      <c r="F16" s="885">
        <v>0</v>
      </c>
      <c r="I16" s="1281"/>
      <c r="J16" s="1282" t="str">
        <f>B22</f>
        <v>2021E</v>
      </c>
      <c r="K16" s="1282" t="str">
        <f>C22</f>
        <v>2022E</v>
      </c>
      <c r="L16" s="1282" t="str">
        <f>D22</f>
        <v>2023E</v>
      </c>
      <c r="M16" s="1282" t="str">
        <f>E22</f>
        <v>2024E</v>
      </c>
      <c r="N16" s="1282" t="str">
        <f>F22</f>
        <v>2025E</v>
      </c>
    </row>
    <row r="17" spans="1:14" ht="14.1" customHeight="1">
      <c r="A17" s="352" t="s">
        <v>1302</v>
      </c>
      <c r="B17" s="1103">
        <f>Forecast!L72</f>
        <v>14.288</v>
      </c>
      <c r="C17" s="334"/>
      <c r="D17" s="334"/>
      <c r="E17" s="334" t="s">
        <v>1303</v>
      </c>
      <c r="F17" s="885">
        <f ca="1">F34</f>
        <v>7.5400272905758278E-2</v>
      </c>
      <c r="I17" s="1284" t="s">
        <v>1535</v>
      </c>
      <c r="J17" s="1283">
        <f ca="1">(Ratios!$B255/1000)/((Ratios!$B255/1000)+$B14-0.1*J15)</f>
        <v>0.46815669057416293</v>
      </c>
      <c r="K17" s="1283">
        <f ca="1">(Ratios!$B255/1000)/((Ratios!$B255/1000)+$B14-0.1*K15)</f>
        <v>0.46901294378768565</v>
      </c>
      <c r="L17" s="1283">
        <f ca="1">(Ratios!$B255/1000)/((Ratios!$B255/1000)+$B14-0.1*L15)</f>
        <v>0.46987233489497887</v>
      </c>
      <c r="M17" s="1283">
        <f ca="1">(Ratios!$B255/1000)/((Ratios!$B255/1000)+$B14-0.1*M15)</f>
        <v>0.4707348811767702</v>
      </c>
      <c r="N17" s="1283">
        <f ca="1">(Ratios!$B255/1000)/((Ratios!$B255/1000)+$B14-0.1*N15)</f>
        <v>0.47160060004090965</v>
      </c>
    </row>
    <row r="18" spans="1:14" ht="14.1" customHeight="1">
      <c r="A18" s="352" t="s">
        <v>1304</v>
      </c>
      <c r="B18" s="1102">
        <f>Multiples!C65</f>
        <v>-7.8461316803484671</v>
      </c>
      <c r="C18" s="334"/>
      <c r="D18" s="334"/>
      <c r="E18" s="334" t="s">
        <v>1305</v>
      </c>
      <c r="F18" s="885">
        <f>B7/100</f>
        <v>1.2E-2</v>
      </c>
      <c r="I18" s="1280" t="s">
        <v>1293</v>
      </c>
      <c r="J18" s="1285">
        <f ca="1">($B10+$B11*$B6+1.35*$B12)*J17+$F8*(1-$B9)</f>
        <v>7.2089915814735159E-2</v>
      </c>
      <c r="K18" s="1285">
        <f t="shared" ref="K18:N18" ca="1" si="1">($B10+$B11*$B6+1.35*$B12)*K17+$F8*(1-$B9)</f>
        <v>7.2165408990992261E-2</v>
      </c>
      <c r="L18" s="1285">
        <f t="shared" ca="1" si="1"/>
        <v>7.2241178825559971E-2</v>
      </c>
      <c r="M18" s="1285">
        <f t="shared" ca="1" si="1"/>
        <v>7.2317226842026142E-2</v>
      </c>
      <c r="N18" s="1285">
        <f t="shared" ca="1" si="1"/>
        <v>7.2393554575186633E-2</v>
      </c>
    </row>
    <row r="19" spans="1:14" ht="14.1" customHeight="1">
      <c r="A19" s="352" t="s">
        <v>1306</v>
      </c>
      <c r="B19" s="253" cm="1">
        <f t="array" ref="B19">_xll.FDS(B1,"FG_PRICE(0)")</f>
        <v>36.380000000000003</v>
      </c>
      <c r="C19" s="334"/>
      <c r="D19" s="334"/>
      <c r="E19" s="334" t="s">
        <v>1307</v>
      </c>
      <c r="F19" s="885">
        <f ca="1">F18*F34</f>
        <v>9.0480327486909941E-4</v>
      </c>
    </row>
    <row r="20" spans="1:14">
      <c r="A20" s="350"/>
      <c r="B20" s="351"/>
      <c r="C20" s="351"/>
      <c r="D20" s="351"/>
      <c r="G20" s="352"/>
      <c r="H20" s="352"/>
      <c r="I20" s="352"/>
      <c r="J20" s="352"/>
    </row>
    <row r="21" spans="1:14">
      <c r="B21" s="3">
        <v>1</v>
      </c>
      <c r="C21" s="3">
        <v>2</v>
      </c>
      <c r="D21" s="3">
        <v>3</v>
      </c>
      <c r="E21" s="3">
        <v>4</v>
      </c>
      <c r="F21" s="3">
        <v>5</v>
      </c>
    </row>
    <row r="22" spans="1:14" ht="25.5">
      <c r="A22" s="998" t="s">
        <v>1308</v>
      </c>
      <c r="B22" s="726" t="str">
        <f>Forecast!M3 &amp;"E"</f>
        <v>2021E</v>
      </c>
      <c r="C22" s="726" t="str">
        <f>Forecast!N3 &amp;"E"</f>
        <v>2022E</v>
      </c>
      <c r="D22" s="726" t="str">
        <f>Forecast!O3 &amp;"E"</f>
        <v>2023E</v>
      </c>
      <c r="E22" s="726" t="str">
        <f>Forecast!P3 &amp;"E"</f>
        <v>2024E</v>
      </c>
      <c r="F22" s="726" t="str">
        <f>Forecast!Q3 &amp;"E"</f>
        <v>2025E</v>
      </c>
    </row>
    <row r="23" spans="1:14">
      <c r="A23" s="381" t="s">
        <v>870</v>
      </c>
      <c r="B23" s="381">
        <f>Forecast!M16-Forecast!M72*DCF!$B$10</f>
        <v>2.1243855568364474</v>
      </c>
      <c r="C23" s="381">
        <f ca="1">Forecast!N16-Forecast!N72*DCF!$B$10</f>
        <v>3.3003450560492067</v>
      </c>
      <c r="D23" s="381">
        <f ca="1">Forecast!O16-Forecast!O72*DCF!$B$10</f>
        <v>3.7687215691910056</v>
      </c>
      <c r="E23" s="381">
        <f ca="1">Forecast!P16-Forecast!P72*DCF!$B$10</f>
        <v>3.8369416601882609</v>
      </c>
      <c r="F23" s="381">
        <f ca="1">Forecast!Q16-Forecast!Q72*DCF!$B$10</f>
        <v>4.0067712518376579</v>
      </c>
    </row>
    <row r="24" spans="1:14">
      <c r="A24" s="727" t="s">
        <v>44</v>
      </c>
      <c r="B24" s="727">
        <f>Forecast!M12</f>
        <v>5.4730855631048465</v>
      </c>
      <c r="C24" s="727">
        <f>Forecast!N12</f>
        <v>7.0965434302865891</v>
      </c>
      <c r="D24" s="727">
        <f>Forecast!O12</f>
        <v>7.6815371696553694</v>
      </c>
      <c r="E24" s="727">
        <f>Forecast!P12</f>
        <v>7.8743335980505869</v>
      </c>
      <c r="F24" s="727">
        <f>Forecast!Q12</f>
        <v>8.047978724813472</v>
      </c>
      <c r="H24" s="728"/>
      <c r="I24" s="729"/>
      <c r="J24" s="729"/>
    </row>
    <row r="25" spans="1:14">
      <c r="A25" s="491" t="s">
        <v>841</v>
      </c>
      <c r="B25" s="491">
        <f>Forecast!M21</f>
        <v>0.28999999999999998</v>
      </c>
      <c r="C25" s="491">
        <f>Forecast!N21</f>
        <v>0.31</v>
      </c>
      <c r="D25" s="491">
        <f>Forecast!O21</f>
        <v>0.32</v>
      </c>
      <c r="E25" s="491">
        <f>Forecast!P21</f>
        <v>0.33</v>
      </c>
      <c r="F25" s="491">
        <f>Forecast!Q21</f>
        <v>0.34</v>
      </c>
      <c r="H25" s="729"/>
      <c r="I25" s="729"/>
      <c r="J25" s="729"/>
    </row>
    <row r="26" spans="1:14">
      <c r="A26" s="468" t="s">
        <v>793</v>
      </c>
      <c r="B26" s="468">
        <f>B24*(1-B25)</f>
        <v>3.885890749804441</v>
      </c>
      <c r="C26" s="468">
        <f t="shared" ref="C26:F26" si="2">C24*(1-C25)</f>
        <v>4.8966149668977463</v>
      </c>
      <c r="D26" s="468">
        <f t="shared" si="2"/>
        <v>5.2234452753656511</v>
      </c>
      <c r="E26" s="468">
        <f t="shared" si="2"/>
        <v>5.2758035106938923</v>
      </c>
      <c r="F26" s="468">
        <f t="shared" si="2"/>
        <v>5.3116659583768913</v>
      </c>
    </row>
    <row r="27" spans="1:14">
      <c r="A27" s="491" t="s">
        <v>1309</v>
      </c>
      <c r="B27" s="491">
        <f>Forecast!M38</f>
        <v>9.6140499999999989</v>
      </c>
      <c r="C27" s="491">
        <f>Forecast!N38</f>
        <v>10.37365</v>
      </c>
      <c r="D27" s="491">
        <f>Forecast!O38</f>
        <v>11.17123</v>
      </c>
      <c r="E27" s="491">
        <f>Forecast!P38</f>
        <v>12.008689</v>
      </c>
      <c r="F27" s="491">
        <f>Forecast!Q38</f>
        <v>3.6537709500000002</v>
      </c>
    </row>
    <row r="28" spans="1:14">
      <c r="A28" s="491" t="str">
        <f>FCF!A7</f>
        <v>Changes in Working Capital</v>
      </c>
      <c r="B28" s="491">
        <f>Forecast!M44</f>
        <v>-3.1585676914441017</v>
      </c>
      <c r="C28" s="491">
        <f>Forecast!N44</f>
        <v>2.0022453218383358</v>
      </c>
      <c r="D28" s="491">
        <f>Forecast!O44</f>
        <v>0.59608254578176023</v>
      </c>
      <c r="E28" s="491">
        <f>Forecast!P44</f>
        <v>6.8326496708358775E-2</v>
      </c>
      <c r="F28" s="491">
        <f>Forecast!Q44</f>
        <v>2.6781940038574703E-2</v>
      </c>
    </row>
    <row r="29" spans="1:14">
      <c r="A29" s="732" t="s">
        <v>1310</v>
      </c>
      <c r="B29" s="732">
        <f>Forecast!M50</f>
        <v>-3.798</v>
      </c>
      <c r="C29" s="732">
        <f>Forecast!N50</f>
        <v>-3.9879000000000002</v>
      </c>
      <c r="D29" s="732">
        <f>Forecast!O50</f>
        <v>-4.1872950000000007</v>
      </c>
      <c r="E29" s="732">
        <f>Forecast!P50</f>
        <v>-4.3966597500000013</v>
      </c>
      <c r="F29" s="732">
        <f>Forecast!Q50</f>
        <v>-4.6164927375000016</v>
      </c>
    </row>
    <row r="30" spans="1:14">
      <c r="A30" s="733" t="s">
        <v>855</v>
      </c>
      <c r="B30" s="1107">
        <f>B26+B29+B28+B27</f>
        <v>6.5433730583603378</v>
      </c>
      <c r="C30" s="1107">
        <f t="shared" ref="C30:F30" si="3">C26+C29+C28+C27</f>
        <v>13.284610288736081</v>
      </c>
      <c r="D30" s="1107">
        <f t="shared" si="3"/>
        <v>12.803462821147409</v>
      </c>
      <c r="E30" s="1107">
        <f t="shared" si="3"/>
        <v>12.95615925740225</v>
      </c>
      <c r="F30" s="1107">
        <f t="shared" si="3"/>
        <v>4.3757261109154646</v>
      </c>
      <c r="G30" s="1104" t="s">
        <v>1311</v>
      </c>
    </row>
    <row r="31" spans="1:14">
      <c r="A31" s="496" t="s">
        <v>1312</v>
      </c>
      <c r="B31" s="872">
        <f>Forecast!M59</f>
        <v>-0.1</v>
      </c>
      <c r="C31" s="872">
        <f>Forecast!N59</f>
        <v>-0.1</v>
      </c>
      <c r="D31" s="872">
        <f>Forecast!O59</f>
        <v>-0.1</v>
      </c>
      <c r="E31" s="872">
        <f>Forecast!P59</f>
        <v>-0.1</v>
      </c>
      <c r="F31" s="872">
        <f>Forecast!Q59</f>
        <v>-0.1</v>
      </c>
      <c r="K31" s="729"/>
      <c r="L31" s="729"/>
      <c r="M31" s="729"/>
    </row>
    <row r="32" spans="1:14">
      <c r="A32" s="733" t="s">
        <v>890</v>
      </c>
      <c r="B32" s="1107">
        <f>B23+B27+B28+B29+B31</f>
        <v>4.6818678653923449</v>
      </c>
      <c r="C32" s="1107">
        <f t="shared" ref="C32:F32" ca="1" si="4">C23+C27+C28+C29+C31</f>
        <v>11.588340377887542</v>
      </c>
      <c r="D32" s="1107">
        <f t="shared" ca="1" si="4"/>
        <v>11.248739114972766</v>
      </c>
      <c r="E32" s="1107">
        <f t="shared" ca="1" si="4"/>
        <v>11.417297406896619</v>
      </c>
      <c r="F32" s="1107">
        <f t="shared" ca="1" si="4"/>
        <v>2.9708314043762312</v>
      </c>
      <c r="G32" s="1104" t="s">
        <v>1311</v>
      </c>
    </row>
    <row r="33" spans="1:15">
      <c r="A33" s="468" t="s">
        <v>1313</v>
      </c>
      <c r="B33" s="383">
        <f>B23/((Ratios!B255/1000)-B30)</f>
        <v>0.11122482238453701</v>
      </c>
      <c r="C33" s="383">
        <f ca="1">C23/((Ratios!C255/1000)-C30)</f>
        <v>0.13450531519857475</v>
      </c>
      <c r="D33" s="383">
        <f ca="1">D23/((Ratios!D255/1000)-D30)</f>
        <v>0.17603517475372502</v>
      </c>
      <c r="E33" s="383">
        <f ca="1">E23/((Ratios!E255/1000)-E30)</f>
        <v>0.14226524805642168</v>
      </c>
      <c r="F33" s="383">
        <f ca="1">F23/((Ratios!F255/1000)-F30)</f>
        <v>0.12342556288877161</v>
      </c>
      <c r="G33" s="1104" t="s">
        <v>1311</v>
      </c>
      <c r="H33" s="729"/>
      <c r="I33" s="729"/>
      <c r="J33" s="731"/>
    </row>
    <row r="34" spans="1:15">
      <c r="A34" s="468" t="s">
        <v>606</v>
      </c>
      <c r="B34" s="383">
        <f ca="1">B26/($B14+(Ratios!B255/1000)+B30)</f>
        <v>6.3269160969226232E-2</v>
      </c>
      <c r="C34" s="383">
        <f ca="1">C26/($B14+(Ratios!C255/1000)+C30)</f>
        <v>6.0950275074139956E-2</v>
      </c>
      <c r="D34" s="383">
        <f ca="1">D26/($B14+(Ratios!D255/1000)+D30)</f>
        <v>6.8506383351690778E-2</v>
      </c>
      <c r="E34" s="383">
        <f ca="1">E26/($B14+(Ratios!E255/1000)+E30)</f>
        <v>6.4249440871364805E-2</v>
      </c>
      <c r="F34" s="383">
        <f ca="1">F26/($B14+(Ratios!F255/1000)+F30)</f>
        <v>7.5400272905758278E-2</v>
      </c>
      <c r="G34" s="1104" t="s">
        <v>1311</v>
      </c>
      <c r="H34" s="729"/>
      <c r="I34" s="729"/>
      <c r="J34" s="731"/>
    </row>
    <row r="35" spans="1:15">
      <c r="A35" s="468"/>
      <c r="B35" s="491"/>
      <c r="C35" s="491"/>
      <c r="D35" s="491"/>
      <c r="E35" s="491"/>
      <c r="F35" s="491"/>
      <c r="H35" s="729"/>
      <c r="I35" s="729"/>
      <c r="J35" s="731"/>
    </row>
    <row r="36" spans="1:15" ht="25.5">
      <c r="A36" s="998" t="s">
        <v>1314</v>
      </c>
      <c r="B36" s="726" t="str">
        <f>B22</f>
        <v>2021E</v>
      </c>
      <c r="C36" s="726" t="str">
        <f>C22</f>
        <v>2022E</v>
      </c>
      <c r="D36" s="726" t="str">
        <f>D22</f>
        <v>2023E</v>
      </c>
      <c r="E36" s="726" t="str">
        <f>E22</f>
        <v>2024E</v>
      </c>
      <c r="F36" s="726" t="str">
        <f>F22</f>
        <v>2025E</v>
      </c>
      <c r="G36" s="726" t="str">
        <f>Forecast!Q3+1 &amp;"E"</f>
        <v>2026E</v>
      </c>
      <c r="I36" s="998" t="s">
        <v>1315</v>
      </c>
      <c r="J36" s="726" t="str">
        <f>DCF!B36</f>
        <v>2021E</v>
      </c>
      <c r="K36" s="726" t="str">
        <f>DCF!C36</f>
        <v>2022E</v>
      </c>
      <c r="L36" s="726" t="str">
        <f>DCF!D36</f>
        <v>2023E</v>
      </c>
      <c r="M36" s="726" t="str">
        <f>DCF!E36</f>
        <v>2024E</v>
      </c>
      <c r="N36" s="726" t="str">
        <f>DCF!F36</f>
        <v>2025E</v>
      </c>
      <c r="O36" s="726" t="str">
        <f>G36</f>
        <v>2026E</v>
      </c>
    </row>
    <row r="37" spans="1:15">
      <c r="A37" s="372"/>
      <c r="B37" s="372">
        <v>1</v>
      </c>
      <c r="C37" s="372">
        <v>3</v>
      </c>
      <c r="D37" s="372">
        <v>3</v>
      </c>
      <c r="E37" s="372">
        <v>4</v>
      </c>
      <c r="F37" s="372">
        <v>5</v>
      </c>
      <c r="G37" s="734" t="s">
        <v>1316</v>
      </c>
      <c r="I37" s="372"/>
      <c r="J37" s="372">
        <v>1</v>
      </c>
      <c r="K37" s="372">
        <v>3</v>
      </c>
      <c r="L37" s="372">
        <v>3</v>
      </c>
      <c r="M37" s="372">
        <v>4</v>
      </c>
      <c r="N37" s="372">
        <v>5</v>
      </c>
      <c r="O37" s="734" t="s">
        <v>1316</v>
      </c>
    </row>
    <row r="38" spans="1:15">
      <c r="A38" s="470" t="str">
        <f t="shared" ref="A38:E38" si="5">A30</f>
        <v>FCFF</v>
      </c>
      <c r="B38" s="380">
        <f>B30</f>
        <v>6.5433730583603378</v>
      </c>
      <c r="C38" s="380">
        <f>C30</f>
        <v>13.284610288736081</v>
      </c>
      <c r="D38" s="380">
        <f t="shared" si="5"/>
        <v>12.803462821147409</v>
      </c>
      <c r="E38" s="380">
        <f t="shared" si="5"/>
        <v>12.95615925740225</v>
      </c>
      <c r="F38" s="380">
        <f>F30</f>
        <v>4.3757261109154646</v>
      </c>
      <c r="G38" s="1106">
        <f ca="1">F38/(F13-F19)</f>
        <v>88.269675580426309</v>
      </c>
      <c r="I38" s="470" t="str">
        <f>Growth!B15</f>
        <v>FCFF</v>
      </c>
      <c r="J38" s="380">
        <f>Growth!F15</f>
        <v>-8.7373056289748394</v>
      </c>
      <c r="K38" s="380">
        <f ca="1">Growth!G15</f>
        <v>-4.4947038118665219</v>
      </c>
      <c r="L38" s="380">
        <f ca="1">Growth!H15</f>
        <v>1.8109882083060094</v>
      </c>
      <c r="M38" s="380">
        <f ca="1">Growth!I15</f>
        <v>4.0782288321513764</v>
      </c>
      <c r="N38" s="380">
        <f ca="1">Growth!J15</f>
        <v>4.1601772105373929</v>
      </c>
      <c r="O38" s="1106">
        <f ca="1">N38/(F11-F19)</f>
        <v>49.470644278887917</v>
      </c>
    </row>
    <row r="39" spans="1:15">
      <c r="A39" s="3" t="s">
        <v>1317</v>
      </c>
      <c r="B39" s="327">
        <f ca="1">B38/(1+J18)^B37</f>
        <v>6.103380846920567</v>
      </c>
      <c r="C39" s="327">
        <f t="shared" ref="C39:E39" ca="1" si="6">C38/(1+K18)^C37</f>
        <v>10.778627018196918</v>
      </c>
      <c r="D39" s="327">
        <f ca="1">D38/(1+L18)^D37</f>
        <v>10.386040183947312</v>
      </c>
      <c r="E39" s="327">
        <f t="shared" ca="1" si="6"/>
        <v>9.7990313178122399</v>
      </c>
      <c r="F39" s="327">
        <f ca="1">F38/(1+N18)^F37</f>
        <v>3.085170393836036</v>
      </c>
      <c r="G39" s="648"/>
      <c r="H39" s="648"/>
      <c r="I39" s="3" t="s">
        <v>1317</v>
      </c>
      <c r="J39" s="327">
        <f ca="1">J38/(1+J18)^J37</f>
        <v>-8.1497880915472649</v>
      </c>
      <c r="K39" s="327">
        <f t="shared" ref="K39:M39" ca="1" si="7">K38/(1+K18)^K37</f>
        <v>-3.6460254125158844</v>
      </c>
      <c r="L39" s="327">
        <f t="shared" ca="1" si="7"/>
        <v>1.4687295020366902</v>
      </c>
      <c r="M39" s="327">
        <f t="shared" ca="1" si="7"/>
        <v>3.0835395139329242</v>
      </c>
      <c r="N39" s="327">
        <f ca="1">N38/(1+N18)^N37</f>
        <v>2.9321021548760413</v>
      </c>
    </row>
    <row r="40" spans="1:15">
      <c r="A40" s="3" t="s">
        <v>1318</v>
      </c>
      <c r="B40" s="327"/>
      <c r="C40" s="327"/>
      <c r="D40" s="327"/>
      <c r="E40" s="327"/>
      <c r="F40" s="693">
        <f ca="1">G38/(1+F12)^F37</f>
        <v>62.34589037997555</v>
      </c>
      <c r="H40" s="648"/>
      <c r="I40" s="3" t="s">
        <v>1318</v>
      </c>
      <c r="J40" s="327"/>
      <c r="K40" s="327"/>
      <c r="L40" s="327"/>
      <c r="M40" s="327"/>
      <c r="N40" s="693">
        <f ca="1">O38/(1+F13)^N37</f>
        <v>38.66232083945598</v>
      </c>
    </row>
    <row r="41" spans="1:15">
      <c r="A41" s="3" t="s">
        <v>1319</v>
      </c>
      <c r="B41" s="327">
        <f ca="1">SUM(B39:F40)</f>
        <v>102.49814014068863</v>
      </c>
      <c r="C41" s="327"/>
      <c r="D41" s="327"/>
      <c r="I41" s="3" t="s">
        <v>1319</v>
      </c>
      <c r="J41" s="327">
        <f ca="1">SUM(J39:N40)</f>
        <v>34.351476908292817</v>
      </c>
      <c r="K41" s="327"/>
      <c r="L41" s="327"/>
    </row>
    <row r="42" spans="1:15">
      <c r="A42" s="3" t="s">
        <v>1320</v>
      </c>
      <c r="B42" s="384">
        <f>Ratios!B261</f>
        <v>8.1833517981996187E-2</v>
      </c>
      <c r="C42" s="507" t="s">
        <v>1321</v>
      </c>
      <c r="E42" s="327">
        <f ca="1">0.6*B41</f>
        <v>61.498884084413177</v>
      </c>
      <c r="F42" s="507"/>
      <c r="G42" s="507"/>
      <c r="H42" s="507"/>
      <c r="I42" s="507" t="s">
        <v>1320</v>
      </c>
      <c r="J42" s="507">
        <f>B42</f>
        <v>8.1833517981996187E-2</v>
      </c>
      <c r="K42" s="507" t="s">
        <v>1321</v>
      </c>
      <c r="L42" s="327">
        <f ca="1">E42</f>
        <v>61.498884084413177</v>
      </c>
    </row>
    <row r="43" spans="1:15">
      <c r="A43" s="3" t="s">
        <v>1322</v>
      </c>
      <c r="B43" s="327">
        <f ca="1">(1-B42)*B41+B42*E42</f>
        <v>99.143026782958941</v>
      </c>
      <c r="C43" s="327"/>
      <c r="D43" s="327"/>
      <c r="H43" s="327"/>
      <c r="I43" s="3" t="s">
        <v>1322</v>
      </c>
      <c r="J43" s="327">
        <f ca="1">(1-J42)*J41+J42*L42</f>
        <v>36.567774234847121</v>
      </c>
      <c r="K43" s="327"/>
      <c r="L43" s="327"/>
    </row>
    <row r="44" spans="1:15">
      <c r="A44" s="3" t="s">
        <v>1323</v>
      </c>
      <c r="B44" s="327">
        <f ca="1">B14</f>
        <v>29.231732558568122</v>
      </c>
      <c r="C44" s="327"/>
      <c r="D44" s="327"/>
      <c r="H44" s="327"/>
      <c r="I44" s="3" t="s">
        <v>1323</v>
      </c>
      <c r="J44" s="327">
        <f ca="1">B44</f>
        <v>29.231732558568122</v>
      </c>
      <c r="K44" s="327"/>
      <c r="L44" s="327"/>
    </row>
    <row r="45" spans="1:15">
      <c r="A45" s="3" t="s">
        <v>1324</v>
      </c>
      <c r="B45" s="693">
        <v>0</v>
      </c>
      <c r="C45" s="327"/>
      <c r="D45" s="327"/>
      <c r="H45" s="327"/>
      <c r="I45" s="3" t="s">
        <v>1324</v>
      </c>
      <c r="J45" s="327">
        <f>B45</f>
        <v>0</v>
      </c>
      <c r="K45" s="327"/>
      <c r="L45" s="327"/>
    </row>
    <row r="46" spans="1:15">
      <c r="A46" s="3" t="s">
        <v>1325</v>
      </c>
      <c r="B46" s="327">
        <f>B17</f>
        <v>14.288</v>
      </c>
      <c r="C46" s="327"/>
      <c r="D46" s="327"/>
      <c r="H46" s="327"/>
      <c r="I46" s="3" t="s">
        <v>1325</v>
      </c>
      <c r="J46" s="327">
        <f>B46</f>
        <v>14.288</v>
      </c>
      <c r="K46" s="327"/>
      <c r="L46" s="327"/>
    </row>
    <row r="47" spans="1:15">
      <c r="A47" s="3" t="s">
        <v>1326</v>
      </c>
      <c r="B47" s="327">
        <f>Forecast!L83</f>
        <v>3.2410000000000001</v>
      </c>
      <c r="C47" s="327"/>
      <c r="D47" s="327"/>
      <c r="H47" s="327"/>
      <c r="I47" s="3" t="s">
        <v>1326</v>
      </c>
      <c r="J47" s="327">
        <f>B47</f>
        <v>3.2410000000000001</v>
      </c>
      <c r="K47" s="327"/>
      <c r="L47" s="327"/>
    </row>
    <row r="48" spans="1:15">
      <c r="A48" s="3" t="s">
        <v>1327</v>
      </c>
      <c r="B48" s="693">
        <v>0</v>
      </c>
      <c r="C48" s="327"/>
      <c r="D48" s="327"/>
      <c r="H48" s="327"/>
      <c r="I48" s="3" t="s">
        <v>1327</v>
      </c>
      <c r="J48" s="327">
        <f>B48</f>
        <v>0</v>
      </c>
      <c r="K48" s="327"/>
      <c r="L48" s="327"/>
    </row>
    <row r="49" spans="1:12">
      <c r="A49" s="3" t="s">
        <v>1328</v>
      </c>
      <c r="B49" s="693">
        <f ca="1">B41-B44-B45+B46+B47+B48</f>
        <v>90.795407582120504</v>
      </c>
      <c r="C49" s="327"/>
      <c r="D49" s="327"/>
      <c r="H49" s="327"/>
      <c r="I49" s="3" t="s">
        <v>1328</v>
      </c>
      <c r="J49" s="693">
        <f ca="1">J41-J44-J45+J46+J47+J48</f>
        <v>22.753016475164078</v>
      </c>
      <c r="K49" s="327"/>
      <c r="L49" s="327"/>
    </row>
    <row r="50" spans="1:12">
      <c r="A50" s="372" t="s">
        <v>1329</v>
      </c>
      <c r="B50" s="1106">
        <f ca="1">B49/B13</f>
        <v>142.76007481465487</v>
      </c>
      <c r="C50" s="1104" t="s">
        <v>1330</v>
      </c>
      <c r="D50" s="327"/>
      <c r="H50" s="327"/>
      <c r="I50" s="372" t="s">
        <v>1329</v>
      </c>
      <c r="J50" s="1106">
        <f ca="1">J49/B13</f>
        <v>35.775183137050433</v>
      </c>
      <c r="K50" s="1104" t="s">
        <v>1330</v>
      </c>
      <c r="L50" s="327"/>
    </row>
    <row r="51" spans="1:12">
      <c r="A51" s="372"/>
      <c r="B51" s="380"/>
      <c r="C51" s="327"/>
      <c r="D51" s="327"/>
      <c r="H51" s="327"/>
      <c r="J51" s="380"/>
      <c r="K51" s="327"/>
      <c r="L51" s="327"/>
    </row>
    <row r="52" spans="1:12" ht="25.5">
      <c r="A52" s="998" t="s">
        <v>1331</v>
      </c>
      <c r="B52" s="726" t="str">
        <f>B36</f>
        <v>2021E</v>
      </c>
      <c r="C52" s="726" t="str">
        <f t="shared" ref="C52:G52" si="8">C36</f>
        <v>2022E</v>
      </c>
      <c r="D52" s="726" t="str">
        <f t="shared" si="8"/>
        <v>2023E</v>
      </c>
      <c r="E52" s="726" t="str">
        <f t="shared" si="8"/>
        <v>2024E</v>
      </c>
      <c r="F52" s="726" t="str">
        <f t="shared" si="8"/>
        <v>2025E</v>
      </c>
      <c r="G52" s="726" t="str">
        <f t="shared" si="8"/>
        <v>2026E</v>
      </c>
      <c r="H52" s="327"/>
      <c r="J52" s="327"/>
      <c r="K52" s="327"/>
      <c r="L52" s="327"/>
    </row>
    <row r="53" spans="1:12">
      <c r="A53" s="372"/>
      <c r="B53" s="372">
        <v>1</v>
      </c>
      <c r="C53" s="372">
        <v>3</v>
      </c>
      <c r="D53" s="372">
        <v>3</v>
      </c>
      <c r="E53" s="372">
        <v>4</v>
      </c>
      <c r="F53" s="372">
        <v>5</v>
      </c>
      <c r="G53" s="734" t="s">
        <v>1316</v>
      </c>
      <c r="H53" s="327"/>
      <c r="J53" s="380"/>
      <c r="K53" s="327"/>
      <c r="L53" s="327"/>
    </row>
    <row r="54" spans="1:12">
      <c r="A54" s="470" t="str">
        <f t="shared" ref="A54:F54" si="9">A32</f>
        <v>FCFE</v>
      </c>
      <c r="B54" s="380">
        <f>B32</f>
        <v>4.6818678653923449</v>
      </c>
      <c r="C54" s="380">
        <f t="shared" ca="1" si="9"/>
        <v>11.588340377887542</v>
      </c>
      <c r="D54" s="380">
        <f t="shared" ca="1" si="9"/>
        <v>11.248739114972766</v>
      </c>
      <c r="E54" s="380">
        <f t="shared" ca="1" si="9"/>
        <v>11.417297406896619</v>
      </c>
      <c r="F54" s="380">
        <f t="shared" ca="1" si="9"/>
        <v>2.9708314043762312</v>
      </c>
      <c r="G54" s="1106">
        <f ca="1">F54/((F11-F19))</f>
        <v>35.327568077192744</v>
      </c>
      <c r="H54" s="327"/>
      <c r="J54" s="327"/>
      <c r="K54" s="327"/>
      <c r="L54" s="327"/>
    </row>
    <row r="55" spans="1:12">
      <c r="A55" s="3" t="s">
        <v>1536</v>
      </c>
      <c r="B55" s="327">
        <f ca="1">B54/(1+J18)^B53</f>
        <v>4.3670477600140067</v>
      </c>
      <c r="C55" s="327">
        <f t="shared" ref="C55:F55" ca="1" si="10">C54/(1+K18)^C53</f>
        <v>9.4002597891130257</v>
      </c>
      <c r="D55" s="327">
        <f t="shared" ca="1" si="10"/>
        <v>9.1228396314786586</v>
      </c>
      <c r="E55" s="327">
        <f t="shared" ca="1" si="10"/>
        <v>8.6325925163737516</v>
      </c>
      <c r="F55" s="327">
        <f t="shared" ca="1" si="10"/>
        <v>2.093848584257723</v>
      </c>
      <c r="G55" s="327"/>
      <c r="H55" s="327"/>
      <c r="J55" s="380"/>
      <c r="K55" s="327"/>
      <c r="L55" s="327"/>
    </row>
    <row r="56" spans="1:12">
      <c r="A56" s="3" t="s">
        <v>1318</v>
      </c>
      <c r="B56" s="327"/>
      <c r="C56" s="327"/>
      <c r="D56" s="327"/>
      <c r="E56" s="327"/>
      <c r="F56" s="693">
        <f ca="1">G54/(1+$F$10)^F53</f>
        <v>23.222006430630518</v>
      </c>
      <c r="H56" s="327"/>
      <c r="J56" s="327"/>
      <c r="K56" s="327"/>
      <c r="L56" s="327"/>
    </row>
    <row r="57" spans="1:12">
      <c r="A57" s="3" t="s">
        <v>1319</v>
      </c>
      <c r="B57" s="327">
        <f ca="1">SUM(B55:F56)</f>
        <v>56.838274059315538</v>
      </c>
      <c r="C57" s="327"/>
      <c r="D57" s="327"/>
      <c r="H57" s="327"/>
      <c r="J57" s="380"/>
      <c r="K57" s="327"/>
      <c r="L57" s="327"/>
    </row>
    <row r="58" spans="1:12">
      <c r="A58" s="3" t="s">
        <v>1320</v>
      </c>
      <c r="B58" s="507">
        <f>B42</f>
        <v>8.1833517981996187E-2</v>
      </c>
      <c r="C58" s="507" t="s">
        <v>1321</v>
      </c>
      <c r="D58" s="327">
        <f ca="1">0.6*B57</f>
        <v>34.102964435589321</v>
      </c>
      <c r="H58" s="327"/>
      <c r="J58" s="327"/>
      <c r="K58" s="327"/>
      <c r="L58" s="327"/>
    </row>
    <row r="59" spans="1:12">
      <c r="A59" s="3" t="s">
        <v>1332</v>
      </c>
      <c r="B59" s="693">
        <f ca="1">B57</f>
        <v>56.838274059315538</v>
      </c>
      <c r="C59" s="327"/>
      <c r="D59" s="327"/>
      <c r="H59" s="327"/>
      <c r="J59" s="380"/>
      <c r="K59" s="327"/>
      <c r="L59" s="327"/>
    </row>
    <row r="60" spans="1:12">
      <c r="A60" s="372" t="s">
        <v>1329</v>
      </c>
      <c r="B60" s="1106">
        <f ca="1">B59/B13</f>
        <v>89.368355439175374</v>
      </c>
      <c r="C60" s="327"/>
      <c r="D60" s="327"/>
      <c r="H60" s="327"/>
      <c r="J60" s="380"/>
      <c r="K60" s="327"/>
      <c r="L60" s="327"/>
    </row>
    <row r="61" spans="1:12">
      <c r="A61" s="372"/>
      <c r="B61" s="380"/>
      <c r="C61" s="327"/>
      <c r="D61" s="327"/>
      <c r="H61" s="327"/>
      <c r="J61" s="380"/>
      <c r="K61" s="327"/>
      <c r="L61" s="327"/>
    </row>
    <row r="62" spans="1:12">
      <c r="A62" s="468"/>
      <c r="B62" s="468"/>
      <c r="C62" s="468"/>
      <c r="D62" s="468"/>
      <c r="E62" s="468"/>
      <c r="F62" s="468"/>
      <c r="H62" s="729"/>
      <c r="I62" s="729"/>
      <c r="J62" s="731"/>
    </row>
    <row r="63" spans="1:12">
      <c r="A63" s="467" t="s">
        <v>1333</v>
      </c>
      <c r="B63" s="726" t="str">
        <f>B36</f>
        <v>2021E</v>
      </c>
      <c r="C63" s="726" t="str">
        <f>C36</f>
        <v>2022E</v>
      </c>
      <c r="D63" s="726" t="str">
        <f>D36</f>
        <v>2023E</v>
      </c>
      <c r="E63" s="726" t="str">
        <f>E36</f>
        <v>2024E</v>
      </c>
      <c r="F63" s="726" t="str">
        <f>F36</f>
        <v>2025E</v>
      </c>
    </row>
    <row r="64" spans="1:12">
      <c r="A64" s="1012" t="s">
        <v>1537</v>
      </c>
      <c r="F64" s="327">
        <f>Forecast!Q22</f>
        <v>11.701749674813472</v>
      </c>
      <c r="I64" s="3" t="s">
        <v>1334</v>
      </c>
      <c r="K64" s="730">
        <f>DCF!B18</f>
        <v>-7.8461316803484671</v>
      </c>
    </row>
    <row r="65" spans="1:11">
      <c r="A65" s="3" t="s">
        <v>1335</v>
      </c>
      <c r="E65" s="1108" t="s">
        <v>1339</v>
      </c>
      <c r="F65" s="378">
        <f>INDEX(DCF!K64:K72,MATCH(E65,DCF!I64:I72,0))</f>
        <v>3.2172253632780849</v>
      </c>
      <c r="I65" s="729" t="s">
        <v>1336</v>
      </c>
      <c r="J65" s="729"/>
      <c r="K65" s="731">
        <f>'DCF Comps'!M30</f>
        <v>2.9409393269168174</v>
      </c>
    </row>
    <row r="66" spans="1:11">
      <c r="A66" s="3" t="s">
        <v>1337</v>
      </c>
      <c r="F66" s="1013">
        <f ca="1">F64*F65-SUM(B67:E67)</f>
        <v>0.5800864816639475</v>
      </c>
      <c r="I66" s="729" t="s">
        <v>1338</v>
      </c>
      <c r="J66" s="729"/>
      <c r="K66" s="731">
        <f>'DCF Comps'!M29</f>
        <v>3.853146363930525</v>
      </c>
    </row>
    <row r="67" spans="1:11">
      <c r="A67" s="3" t="s">
        <v>1317</v>
      </c>
      <c r="B67" s="327">
        <f ca="1">B39</f>
        <v>6.103380846920567</v>
      </c>
      <c r="C67" s="327">
        <f ca="1">C39</f>
        <v>10.778627018196918</v>
      </c>
      <c r="D67" s="327">
        <f ca="1">D39</f>
        <v>10.386040183947312</v>
      </c>
      <c r="E67" s="327">
        <f ca="1">E39</f>
        <v>9.7990313178122399</v>
      </c>
      <c r="F67" s="327">
        <f ca="1">F39</f>
        <v>3.085170393836036</v>
      </c>
      <c r="I67" s="729" t="s">
        <v>1339</v>
      </c>
      <c r="J67" s="729"/>
      <c r="K67" s="731">
        <f>'DCF Comps'!M27</f>
        <v>3.2172253632780849</v>
      </c>
    </row>
    <row r="68" spans="1:11">
      <c r="A68" s="3" t="s">
        <v>1318</v>
      </c>
      <c r="B68" s="327"/>
      <c r="C68" s="327"/>
      <c r="D68" s="327"/>
      <c r="E68" s="327"/>
      <c r="F68" s="327">
        <f ca="1">F66/(1+F12)^F37</f>
        <v>0.40972177544454391</v>
      </c>
      <c r="I68" s="729" t="s">
        <v>1340</v>
      </c>
      <c r="J68" s="729"/>
      <c r="K68" s="731">
        <f>'DCF Comps'!M28</f>
        <v>3.1710210487975719</v>
      </c>
    </row>
    <row r="69" spans="1:11">
      <c r="A69" s="3" t="s">
        <v>1319</v>
      </c>
      <c r="B69" s="327">
        <f ca="1">SUM(B67:F68)</f>
        <v>40.561971536157621</v>
      </c>
      <c r="C69" s="327"/>
      <c r="D69" s="327"/>
      <c r="I69" s="729" t="s">
        <v>1341</v>
      </c>
      <c r="J69" s="729"/>
      <c r="K69" s="731">
        <f>'DCF Comps'!L30</f>
        <v>-14.335507294698875</v>
      </c>
    </row>
    <row r="70" spans="1:11">
      <c r="A70" s="3" t="s">
        <v>1320</v>
      </c>
      <c r="B70" s="507">
        <f>B42</f>
        <v>8.1833517981996187E-2</v>
      </c>
      <c r="C70" s="507" t="s">
        <v>1321</v>
      </c>
      <c r="D70" s="327">
        <f ca="1">0.6*B69</f>
        <v>24.337182921694573</v>
      </c>
      <c r="I70" s="729" t="s">
        <v>1342</v>
      </c>
      <c r="J70" s="729"/>
      <c r="K70" s="731">
        <f>'DCF Comps'!L29</f>
        <v>19.682018088722874</v>
      </c>
    </row>
    <row r="71" spans="1:11">
      <c r="A71" s="3" t="s">
        <v>1322</v>
      </c>
      <c r="B71" s="327">
        <f ca="1">(1-B70)*B69+B70*D70</f>
        <v>39.234240005321873</v>
      </c>
      <c r="C71" s="327"/>
      <c r="D71" s="327"/>
      <c r="I71" s="729" t="s">
        <v>1343</v>
      </c>
      <c r="J71" s="729"/>
      <c r="K71" s="731">
        <f>'DCF Comps'!L27</f>
        <v>-5.7380359747204661</v>
      </c>
    </row>
    <row r="72" spans="1:11">
      <c r="A72" s="3" t="s">
        <v>1328</v>
      </c>
      <c r="B72" s="693">
        <f ca="1">B69-B44-B45+B46+B47+B48</f>
        <v>28.859238977589499</v>
      </c>
      <c r="I72" s="729" t="s">
        <v>1344</v>
      </c>
      <c r="J72" s="729"/>
      <c r="K72" s="731">
        <f>'DCF Comps'!L28</f>
        <v>-102.80962801488903</v>
      </c>
    </row>
    <row r="73" spans="1:11">
      <c r="A73" s="372" t="s">
        <v>1329</v>
      </c>
      <c r="B73" s="1106">
        <f ca="1">B72/B13</f>
        <v>45.376161914448893</v>
      </c>
    </row>
    <row r="76" spans="1:11">
      <c r="A76" s="467" t="s">
        <v>1345</v>
      </c>
      <c r="B76" s="735" t="str">
        <f>B63</f>
        <v>2021E</v>
      </c>
      <c r="C76" s="735" t="str">
        <f>C63</f>
        <v>2022E</v>
      </c>
      <c r="D76" s="735" t="str">
        <f>D63</f>
        <v>2023E</v>
      </c>
      <c r="E76" s="735" t="str">
        <f>E63</f>
        <v>2024E</v>
      </c>
      <c r="F76" s="735" t="str">
        <f>F63</f>
        <v>2025E</v>
      </c>
    </row>
    <row r="77" spans="1:11">
      <c r="A77" s="3" t="s">
        <v>1337</v>
      </c>
      <c r="F77" s="663">
        <f ca="1">F66</f>
        <v>0.5800864816639475</v>
      </c>
      <c r="I77" s="648"/>
    </row>
    <row r="78" spans="1:11">
      <c r="A78" s="3" t="s">
        <v>1320</v>
      </c>
      <c r="B78" s="507">
        <f>B42</f>
        <v>8.1833517981996187E-2</v>
      </c>
      <c r="E78" s="888" t="s">
        <v>1321</v>
      </c>
      <c r="F78" s="327">
        <f ca="1">0.6*F77</f>
        <v>0.34805188899836847</v>
      </c>
    </row>
    <row r="79" spans="1:11">
      <c r="A79" s="3" t="s">
        <v>1322</v>
      </c>
      <c r="C79" s="327"/>
      <c r="D79" s="327"/>
      <c r="E79" s="476"/>
      <c r="F79" s="327">
        <f ca="1">(1-B78)*F77+B78*F78</f>
        <v>0.56109827465260365</v>
      </c>
    </row>
    <row r="80" spans="1:11">
      <c r="A80" s="3" t="s">
        <v>1323</v>
      </c>
      <c r="C80" s="327"/>
      <c r="D80" s="327"/>
      <c r="E80" s="476"/>
      <c r="F80" s="327">
        <f>Forecast!Q90+Forecast!Q99</f>
        <v>35.047999999999988</v>
      </c>
    </row>
    <row r="81" spans="1:14">
      <c r="A81" s="3" t="s">
        <v>1324</v>
      </c>
      <c r="C81" s="327"/>
      <c r="D81" s="327"/>
      <c r="E81" s="476"/>
      <c r="F81" s="693">
        <f>B48</f>
        <v>0</v>
      </c>
    </row>
    <row r="82" spans="1:14">
      <c r="A82" s="3" t="s">
        <v>1325</v>
      </c>
      <c r="C82" s="327"/>
      <c r="D82" s="327"/>
      <c r="E82" s="476"/>
      <c r="F82" s="327">
        <f ca="1">Forecast!Q72</f>
        <v>58.265894495870448</v>
      </c>
    </row>
    <row r="83" spans="1:14">
      <c r="A83" s="3" t="s">
        <v>1326</v>
      </c>
      <c r="C83" s="327"/>
      <c r="D83" s="327"/>
      <c r="E83" s="476"/>
      <c r="F83" s="327">
        <f>Forecast!Q83</f>
        <v>3.2410000000000001</v>
      </c>
    </row>
    <row r="84" spans="1:14">
      <c r="A84" s="3" t="s">
        <v>1346</v>
      </c>
      <c r="C84" s="327"/>
      <c r="D84" s="327"/>
      <c r="E84" s="476"/>
      <c r="F84" s="693">
        <v>0</v>
      </c>
    </row>
    <row r="85" spans="1:14">
      <c r="A85" s="372" t="s">
        <v>1328</v>
      </c>
      <c r="B85" s="372"/>
      <c r="C85" s="380"/>
      <c r="D85" s="380"/>
      <c r="E85" s="519"/>
      <c r="F85" s="468">
        <f ca="1">SUM(F79,F82:F84)-SUM(F80:F81)</f>
        <v>27.027773234800286</v>
      </c>
    </row>
    <row r="86" spans="1:14">
      <c r="A86" s="3" t="s">
        <v>1347</v>
      </c>
      <c r="F86" s="327">
        <f>Forecast!Q28/1000</f>
        <v>0.63600000000000001</v>
      </c>
    </row>
    <row r="87" spans="1:14">
      <c r="A87" s="372" t="s">
        <v>1348</v>
      </c>
      <c r="B87" s="690"/>
      <c r="C87" s="372"/>
      <c r="D87" s="372"/>
      <c r="E87" s="519"/>
      <c r="F87" s="690">
        <f ca="1">F85/F86</f>
        <v>42.496498796855796</v>
      </c>
    </row>
    <row r="90" spans="1:14">
      <c r="A90" s="372" t="s">
        <v>1349</v>
      </c>
    </row>
    <row r="91" spans="1:14">
      <c r="A91" s="3" t="s">
        <v>27</v>
      </c>
      <c r="D91" s="372" t="s">
        <v>1350</v>
      </c>
      <c r="I91" s="3" t="s">
        <v>1351</v>
      </c>
      <c r="L91" s="372" t="s">
        <v>1352</v>
      </c>
    </row>
    <row r="92" spans="1:14">
      <c r="A92" s="380">
        <f ca="1">((SUM(B39:F39)+(F38*(1+F16))/((F13-F16)*(1+F12)^5))*(B42*0.6+(1-B42))-B44+B46+B47)/B13</f>
        <v>135.78509871422551</v>
      </c>
      <c r="B92" s="889">
        <f>C92-0.5%</f>
        <v>-0.01</v>
      </c>
      <c r="C92" s="889">
        <f>D92-0.5%</f>
        <v>-5.0000000000000001E-3</v>
      </c>
      <c r="D92" s="889">
        <f>F16</f>
        <v>0</v>
      </c>
      <c r="E92" s="889">
        <f>D92+0.5%</f>
        <v>5.0000000000000001E-3</v>
      </c>
      <c r="F92" s="889">
        <f>E92+0.5%</f>
        <v>0.01</v>
      </c>
      <c r="I92" s="380">
        <f ca="1">(((F65*F64/(1+F12)^5)+SUM(B67:F67))*(B70*0.6+(1-B70))-B44+B46+B47)/B13</f>
        <v>83.10601109637382</v>
      </c>
      <c r="J92" s="736">
        <f>K92-5</f>
        <v>9.6820180887228737</v>
      </c>
      <c r="K92" s="736">
        <f>L92-5</f>
        <v>14.682018088722874</v>
      </c>
      <c r="L92" s="736">
        <f>K70</f>
        <v>19.682018088722874</v>
      </c>
      <c r="M92" s="736">
        <f>L92+5</f>
        <v>24.682018088722874</v>
      </c>
      <c r="N92" s="736">
        <f>M92+5</f>
        <v>29.682018088722874</v>
      </c>
    </row>
    <row r="93" spans="1:14">
      <c r="A93" s="737">
        <f t="shared" ref="A93:A94" si="11">A94-0.05</f>
        <v>1.0499999999999998</v>
      </c>
      <c r="B93" s="663">
        <f t="dataTable" ref="B93:F98" dt2D="1" dtr="1" r1="F16" r2="B7" ca="1"/>
        <v>124.54639198489051</v>
      </c>
      <c r="C93" s="663">
        <v>117.54497133281505</v>
      </c>
      <c r="D93" s="663">
        <v>117.54497133281505</v>
      </c>
      <c r="E93" s="663">
        <v>124.54639198489051</v>
      </c>
      <c r="F93" s="663">
        <v>143.03432334388452</v>
      </c>
      <c r="I93" s="889">
        <f t="shared" ref="I93:I94" si="12">I94-1%</f>
        <v>0</v>
      </c>
      <c r="J93" s="663">
        <f t="dataTable" ref="J93:N99" dt2D="1" dtr="1" r1="F65" r2="B70" ca="1"/>
        <v>170.55374086470928</v>
      </c>
      <c r="K93" s="663">
        <v>235.5307913232644</v>
      </c>
      <c r="L93" s="663">
        <v>300.50784178181954</v>
      </c>
      <c r="M93" s="663">
        <v>365.48489224037462</v>
      </c>
      <c r="N93" s="663">
        <v>430.4619426989297</v>
      </c>
    </row>
    <row r="94" spans="1:14">
      <c r="A94" s="737">
        <f t="shared" si="11"/>
        <v>1.0999999999999999</v>
      </c>
      <c r="B94" s="663">
        <v>128.2046365409262</v>
      </c>
      <c r="C94" s="663">
        <v>120.60881064723314</v>
      </c>
      <c r="D94" s="663">
        <v>120.60881064723314</v>
      </c>
      <c r="E94" s="663">
        <v>128.2046365409262</v>
      </c>
      <c r="F94" s="663">
        <v>148.52850969569832</v>
      </c>
      <c r="I94" s="889">
        <f t="shared" si="12"/>
        <v>9.9999999999999967E-3</v>
      </c>
      <c r="J94" s="663">
        <v>169.79792380968712</v>
      </c>
      <c r="K94" s="663">
        <v>234.51506606640802</v>
      </c>
      <c r="L94" s="663">
        <v>299.23220832312899</v>
      </c>
      <c r="M94" s="663">
        <v>363.94935057984981</v>
      </c>
      <c r="N94" s="663">
        <v>428.66649283657068</v>
      </c>
    </row>
    <row r="95" spans="1:14">
      <c r="A95" s="737">
        <f>A96-0.05</f>
        <v>1.1499999999999999</v>
      </c>
      <c r="B95" s="663">
        <v>130.15914084343146</v>
      </c>
      <c r="C95" s="663">
        <v>122.23671611693085</v>
      </c>
      <c r="D95" s="663">
        <v>122.23671611693085</v>
      </c>
      <c r="E95" s="663">
        <v>130.15914084343146</v>
      </c>
      <c r="F95" s="663">
        <v>151.50751374395449</v>
      </c>
      <c r="I95" s="889">
        <f>I96-1%</f>
        <v>1.9999999999999997E-2</v>
      </c>
      <c r="J95" s="663">
        <v>169.04210675466496</v>
      </c>
      <c r="K95" s="663">
        <v>233.49934080955163</v>
      </c>
      <c r="L95" s="663">
        <v>297.95657486443832</v>
      </c>
      <c r="M95" s="663">
        <v>362.41380891932499</v>
      </c>
      <c r="N95" s="663">
        <v>426.8710429742116</v>
      </c>
    </row>
    <row r="96" spans="1:14">
      <c r="A96" s="737">
        <f>B7</f>
        <v>1.2</v>
      </c>
      <c r="B96" s="663">
        <v>130.15914084343146</v>
      </c>
      <c r="C96" s="663">
        <v>122.23671611693085</v>
      </c>
      <c r="D96" s="663">
        <v>122.23671611693085</v>
      </c>
      <c r="E96" s="663">
        <v>130.15914084343146</v>
      </c>
      <c r="F96" s="663">
        <v>151.50751374395449</v>
      </c>
      <c r="I96" s="889">
        <v>0.03</v>
      </c>
      <c r="J96" s="663">
        <v>168.28628969964282</v>
      </c>
      <c r="K96" s="663">
        <v>232.48361555269526</v>
      </c>
      <c r="L96" s="663">
        <v>296.68094140574777</v>
      </c>
      <c r="M96" s="663">
        <v>360.87826725880018</v>
      </c>
      <c r="N96" s="663">
        <v>425.07559311185258</v>
      </c>
    </row>
    <row r="97" spans="1:14">
      <c r="A97" s="737">
        <f>A96+0.05</f>
        <v>1.25</v>
      </c>
      <c r="B97" s="663">
        <v>128.2046365409262</v>
      </c>
      <c r="C97" s="663">
        <v>120.60881064723314</v>
      </c>
      <c r="D97" s="663">
        <v>120.60881064723314</v>
      </c>
      <c r="E97" s="663">
        <v>128.2046365409262</v>
      </c>
      <c r="F97" s="663">
        <v>148.52850969569832</v>
      </c>
      <c r="I97" s="889">
        <f t="shared" ref="I97:I99" si="13">I96+1%</f>
        <v>0.04</v>
      </c>
      <c r="J97" s="663">
        <v>167.53047264462066</v>
      </c>
      <c r="K97" s="663">
        <v>231.46789029583886</v>
      </c>
      <c r="L97" s="663">
        <v>295.40530794705717</v>
      </c>
      <c r="M97" s="663">
        <v>359.34272559827531</v>
      </c>
      <c r="N97" s="663">
        <v>423.28014324949356</v>
      </c>
    </row>
    <row r="98" spans="1:14">
      <c r="A98" s="737">
        <f t="shared" ref="A98:A99" si="14">A97+0.05</f>
        <v>1.3</v>
      </c>
      <c r="B98" s="663">
        <v>124.54639198489051</v>
      </c>
      <c r="C98" s="663">
        <v>117.54497133281505</v>
      </c>
      <c r="D98" s="663">
        <v>117.54497133281505</v>
      </c>
      <c r="E98" s="663">
        <v>124.54639198489051</v>
      </c>
      <c r="F98" s="663">
        <v>143.03432334388452</v>
      </c>
      <c r="I98" s="889">
        <f t="shared" si="13"/>
        <v>0.05</v>
      </c>
      <c r="J98" s="663">
        <v>166.7746555895985</v>
      </c>
      <c r="K98" s="663">
        <v>230.45216503898249</v>
      </c>
      <c r="L98" s="663">
        <v>294.12967448836656</v>
      </c>
      <c r="M98" s="663">
        <v>357.80718393775049</v>
      </c>
      <c r="N98" s="663">
        <v>421.48469338713448</v>
      </c>
    </row>
    <row r="99" spans="1:14">
      <c r="A99" s="737">
        <f t="shared" si="14"/>
        <v>1.35</v>
      </c>
      <c r="B99" s="663">
        <v>0.9</v>
      </c>
      <c r="C99" s="663">
        <v>0.9</v>
      </c>
      <c r="D99" s="663">
        <v>0.9</v>
      </c>
      <c r="E99" s="663">
        <v>0.9</v>
      </c>
      <c r="F99" s="663">
        <v>0.9</v>
      </c>
      <c r="I99" s="889">
        <f t="shared" si="13"/>
        <v>6.0000000000000005E-2</v>
      </c>
      <c r="J99" s="663">
        <v>166.01883853457633</v>
      </c>
      <c r="K99" s="663">
        <v>229.43643978212612</v>
      </c>
      <c r="L99" s="663">
        <v>292.85404102967595</v>
      </c>
      <c r="M99" s="663">
        <v>356.27164227722568</v>
      </c>
      <c r="N99" s="663">
        <v>419.68924352477546</v>
      </c>
    </row>
    <row r="100" spans="1:14">
      <c r="C100" s="473"/>
      <c r="D100" s="473"/>
      <c r="E100" s="473"/>
    </row>
    <row r="101" spans="1:14">
      <c r="C101" s="473"/>
      <c r="D101" s="473"/>
      <c r="E101" s="473"/>
    </row>
    <row r="102" spans="1:14">
      <c r="C102" s="473"/>
      <c r="D102" s="473"/>
      <c r="E102" s="473"/>
    </row>
    <row r="103" spans="1:14">
      <c r="C103" s="473"/>
      <c r="D103" s="473"/>
      <c r="E103" s="473"/>
    </row>
    <row r="104" spans="1:14">
      <c r="C104" s="473"/>
      <c r="D104" s="473"/>
      <c r="E104" s="473"/>
    </row>
    <row r="105" spans="1:14">
      <c r="C105" s="473"/>
      <c r="D105" s="473"/>
      <c r="E105" s="473"/>
    </row>
    <row r="106" spans="1:14">
      <c r="C106" s="473"/>
      <c r="D106" s="473"/>
      <c r="E106" s="473"/>
    </row>
    <row r="107" spans="1:14">
      <c r="C107" s="473"/>
      <c r="D107" s="473"/>
      <c r="E107" s="473"/>
    </row>
  </sheetData>
  <conditionalFormatting sqref="A91:F91">
    <cfRule type="dataBar" priority="2">
      <dataBar>
        <cfvo type="min"/>
        <cfvo type="max"/>
        <color rgb="FF638EC6"/>
      </dataBar>
      <extLst>
        <ext xmlns:x14="http://schemas.microsoft.com/office/spreadsheetml/2009/9/main" uri="{B025F937-C7B1-47D3-B67F-A62EFF666E3E}">
          <x14:id>{F4481B62-B950-4EC1-A4BC-C16A607CF45B}</x14:id>
        </ext>
      </extLst>
    </cfRule>
  </conditionalFormatting>
  <conditionalFormatting sqref="L91">
    <cfRule type="dataBar" priority="1">
      <dataBar>
        <cfvo type="min"/>
        <cfvo type="max"/>
        <color rgb="FF638EC6"/>
      </dataBar>
      <extLst>
        <ext xmlns:x14="http://schemas.microsoft.com/office/spreadsheetml/2009/9/main" uri="{B025F937-C7B1-47D3-B67F-A62EFF666E3E}">
          <x14:id>{3D8953B3-E2EA-42F3-B9D1-414EE270825D}</x14:id>
        </ext>
      </extLst>
    </cfRule>
  </conditionalFormatting>
  <conditionalFormatting sqref="J93:N99 B93:F99">
    <cfRule type="cellIs" dxfId="27" priority="9" operator="greaterThan">
      <formula>$B$19</formula>
    </cfRule>
  </conditionalFormatting>
  <dataValidations count="2">
    <dataValidation type="list" allowBlank="1" showInputMessage="1" showErrorMessage="1" sqref="E87 E78:E85" xr:uid="{00000000-0002-0000-1C00-000000000000}">
      <formula1>$I$64:$I$71</formula1>
    </dataValidation>
    <dataValidation type="list" allowBlank="1" showInputMessage="1" showErrorMessage="1" sqref="E65" xr:uid="{00000000-0002-0000-1C00-000001000000}">
      <formula1>$I$64:$I$72</formula1>
    </dataValidation>
  </dataValidations>
  <pageMargins left="0.7" right="0.7" top="0.78740157499999996" bottom="0.78740157499999996"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F4481B62-B950-4EC1-A4BC-C16A607CF45B}">
            <x14:dataBar minLength="0" maxLength="100" gradient="0">
              <x14:cfvo type="autoMin"/>
              <x14:cfvo type="autoMax"/>
              <x14:negativeFillColor rgb="FFFF0000"/>
              <x14:axisColor rgb="FF000000"/>
            </x14:dataBar>
          </x14:cfRule>
          <xm:sqref>A91:F91</xm:sqref>
        </x14:conditionalFormatting>
        <x14:conditionalFormatting xmlns:xm="http://schemas.microsoft.com/office/excel/2006/main">
          <x14:cfRule type="dataBar" id="{3D8953B3-E2EA-42F3-B9D1-414EE270825D}">
            <x14:dataBar minLength="0" maxLength="100" gradient="0">
              <x14:cfvo type="autoMin"/>
              <x14:cfvo type="autoMax"/>
              <x14:negativeFillColor rgb="FFFF0000"/>
              <x14:axisColor rgb="FF000000"/>
            </x14:dataBar>
          </x14:cfRule>
          <xm:sqref>L91</xm:sqref>
        </x14:conditionalFormatting>
      </x14:conditionalFormatting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34">
    <tabColor rgb="FF00B0F0"/>
  </sheetPr>
  <dimension ref="A1:S55"/>
  <sheetViews>
    <sheetView workbookViewId="0">
      <selection activeCell="L27" sqref="L27"/>
    </sheetView>
  </sheetViews>
  <sheetFormatPr defaultColWidth="9.28515625" defaultRowHeight="20.100000000000001" customHeight="1"/>
  <cols>
    <col min="1" max="1" width="30.28515625" style="744" bestFit="1" customWidth="1"/>
    <col min="2" max="2" width="65.28515625" style="744" bestFit="1" customWidth="1"/>
    <col min="3" max="4" width="17" style="836" customWidth="1"/>
    <col min="5" max="5" width="17" style="744" customWidth="1"/>
    <col min="6" max="13" width="12.28515625" style="744" customWidth="1"/>
    <col min="14" max="14" width="10.7109375" style="744" customWidth="1"/>
    <col min="15" max="16384" width="9.28515625" style="744"/>
  </cols>
  <sheetData>
    <row r="1" spans="1:13" s="739" customFormat="1" ht="26.1" customHeight="1">
      <c r="A1" s="738"/>
      <c r="B1" s="338" t="s">
        <v>1353</v>
      </c>
    </row>
    <row r="2" spans="1:13" ht="21.75" customHeight="1">
      <c r="A2" s="740"/>
      <c r="B2" s="741"/>
      <c r="C2" s="742"/>
      <c r="D2" s="742"/>
      <c r="E2" s="740"/>
      <c r="F2" s="740"/>
      <c r="G2" s="740"/>
      <c r="H2" s="740"/>
      <c r="I2" s="740"/>
      <c r="J2" s="740"/>
      <c r="K2" s="740"/>
      <c r="L2" s="740"/>
      <c r="M2" s="743"/>
    </row>
    <row r="3" spans="1:13" ht="13.5" customHeight="1">
      <c r="A3" s="745" t="s">
        <v>1354</v>
      </c>
      <c r="B3" s="746"/>
      <c r="C3" s="747"/>
      <c r="D3" s="747"/>
      <c r="E3" s="746"/>
      <c r="F3" s="746"/>
      <c r="G3" s="746"/>
      <c r="H3" s="746"/>
      <c r="I3" s="746"/>
      <c r="J3" s="746"/>
      <c r="K3" s="746"/>
      <c r="L3" s="746"/>
      <c r="M3" s="748"/>
    </row>
    <row r="4" spans="1:13" ht="12" customHeight="1">
      <c r="A4" s="749"/>
      <c r="B4" s="750"/>
      <c r="C4" s="751"/>
      <c r="D4" s="751"/>
      <c r="E4" s="751"/>
      <c r="F4" s="751"/>
      <c r="G4" s="752"/>
      <c r="H4" s="752"/>
      <c r="I4" s="752"/>
      <c r="J4" s="752"/>
      <c r="K4" s="752"/>
      <c r="L4" s="752"/>
      <c r="M4" s="753"/>
    </row>
    <row r="5" spans="1:13" ht="12" customHeight="1">
      <c r="A5" s="754"/>
      <c r="B5" s="750"/>
      <c r="C5" s="1342" t="s">
        <v>1355</v>
      </c>
      <c r="D5" s="1345" t="s">
        <v>1356</v>
      </c>
      <c r="E5" s="755" t="s">
        <v>1357</v>
      </c>
      <c r="F5" s="756" t="s">
        <v>1358</v>
      </c>
      <c r="G5" s="757"/>
      <c r="H5" s="758" t="s">
        <v>1359</v>
      </c>
      <c r="I5" s="759"/>
      <c r="J5" s="758" t="s">
        <v>1360</v>
      </c>
      <c r="K5" s="759"/>
      <c r="L5" s="758" t="s">
        <v>1361</v>
      </c>
      <c r="M5" s="760"/>
    </row>
    <row r="6" spans="1:13" ht="12" customHeight="1">
      <c r="A6" s="761"/>
      <c r="B6" s="762"/>
      <c r="C6" s="1343"/>
      <c r="D6" s="1346"/>
      <c r="E6" s="763" t="s">
        <v>1362</v>
      </c>
      <c r="F6" s="764" t="str">
        <f>D35</f>
        <v>12/2020</v>
      </c>
      <c r="G6" s="765" t="e">
        <f t="shared" ref="G6:M6" si="0">E35</f>
        <v>#REF!</v>
      </c>
      <c r="H6" s="766" t="str">
        <f t="shared" si="0"/>
        <v>12/2020</v>
      </c>
      <c r="I6" s="767" t="e">
        <f t="shared" si="0"/>
        <v>#REF!</v>
      </c>
      <c r="J6" s="766" t="str">
        <f t="shared" si="0"/>
        <v>12/2020</v>
      </c>
      <c r="K6" s="768" t="e">
        <f t="shared" si="0"/>
        <v>#REF!</v>
      </c>
      <c r="L6" s="766" t="str">
        <f t="shared" si="0"/>
        <v>12/2020</v>
      </c>
      <c r="M6" s="765" t="e">
        <f t="shared" si="0"/>
        <v>#REF!</v>
      </c>
    </row>
    <row r="7" spans="1:13" ht="12" customHeight="1">
      <c r="A7" s="769"/>
      <c r="B7" s="770" t="s">
        <v>1363</v>
      </c>
      <c r="C7" s="1344"/>
      <c r="D7" s="1347"/>
      <c r="E7" s="771" t="s">
        <v>1364</v>
      </c>
      <c r="F7" s="772" t="s">
        <v>1365</v>
      </c>
      <c r="G7" s="773" t="s">
        <v>1365</v>
      </c>
      <c r="H7" s="772" t="s">
        <v>1365</v>
      </c>
      <c r="I7" s="773" t="s">
        <v>1365</v>
      </c>
      <c r="J7" s="772" t="s">
        <v>1365</v>
      </c>
      <c r="K7" s="773" t="s">
        <v>1365</v>
      </c>
      <c r="L7" s="772" t="s">
        <v>1365</v>
      </c>
      <c r="M7" s="773" t="s">
        <v>1365</v>
      </c>
    </row>
    <row r="8" spans="1:13" ht="20.100000000000001" customHeight="1">
      <c r="A8" s="774" t="str">
        <f>BS!B8</f>
        <v>DAL-US</v>
      </c>
      <c r="B8" s="775" t="str" cm="1">
        <f t="array" ref="B8">IFERROR(_xll.FDS(A8,"FG_COMPANY_NAME"),"-")</f>
        <v>Delta Air Lines, Inc.</v>
      </c>
      <c r="C8" s="776" cm="1">
        <f t="array" ref="C8">IFERROR(_xll.FDS(A8,"FG_PRICE(0)"),"-")</f>
        <v>36.380000000000003</v>
      </c>
      <c r="D8" s="776" cm="1">
        <f t="array" ref="D8">IFERROR(_xll.FDS(A8,"FG_MKT_VALUE(0)"),"-")</f>
        <v>25402.153999999999</v>
      </c>
      <c r="E8" s="776" cm="1">
        <f t="array" ref="E8">IFERROR(_xll.FDS(A8,"FF_ENTRPR_VAL(ANN_R,0)"),"-")</f>
        <v>46833.56</v>
      </c>
      <c r="F8" s="777">
        <f t="shared" ref="F8:F26" si="1">IFERROR($C8/L37,"-")</f>
        <v>-4.0497429713111526</v>
      </c>
      <c r="G8" s="777" t="str">
        <f t="shared" ref="G8:G26" si="2">IFERROR($C8/M37,"-")</f>
        <v>-</v>
      </c>
      <c r="H8" s="777">
        <f t="shared" ref="H8:H26" si="3">IFERROR($E8/D37,"-")</f>
        <v>2.7396057326703711</v>
      </c>
      <c r="I8" s="777" t="str">
        <f t="shared" ref="I8:I26" si="4">IFERROR($E8/E37,"-")</f>
        <v>-</v>
      </c>
      <c r="J8" s="777">
        <f t="shared" ref="J8:J26" si="5">IFERROR($E8/F37,"-")</f>
        <v>-6.579595391964034</v>
      </c>
      <c r="K8" s="777" t="str">
        <f t="shared" ref="K8:K26" si="6">IFERROR($E8/G37,"-")</f>
        <v>-</v>
      </c>
      <c r="L8" s="777">
        <f t="shared" ref="L8:L26" si="7">IFERROR($E8/J37,"-")</f>
        <v>-9.7448106533499761</v>
      </c>
      <c r="M8" s="778" t="str">
        <f t="shared" ref="M8:M26" si="8">IFERROR($E8/K37,"-")</f>
        <v>-</v>
      </c>
    </row>
    <row r="9" spans="1:13" ht="20.100000000000001" customHeight="1">
      <c r="A9" s="779" t="str">
        <f>Comps!D13</f>
        <v>AAL-US</v>
      </c>
      <c r="B9" s="873" t="str" cm="1">
        <f t="array" ref="B9">IFERROR(_xll.FDS(A9,"FG_COMPANY_NAME"),"-")</f>
        <v>American Airlines Group, Inc.</v>
      </c>
      <c r="C9" s="779" cm="1">
        <f t="array" ref="C9">IFERROR(_xll.FDS(A9,"FG_PRICE(0)"),"-")</f>
        <v>19.46</v>
      </c>
      <c r="D9" s="779" cm="1">
        <f t="array" ref="D9">IFERROR(_xll.FDS(A9,"FG_MKT_VALUE(0)"),"-")</f>
        <v>12600.620999999999</v>
      </c>
      <c r="E9" s="780" cm="1">
        <f t="array" ref="E9">IFERROR(_xll.FDS(A9,"FF_ENTRPR_VAL(ANN_R,0)"),"-")</f>
        <v>41178.913760000003</v>
      </c>
      <c r="F9" s="781">
        <f t="shared" si="1"/>
        <v>-1.0598147230376274</v>
      </c>
      <c r="G9" s="781" t="str">
        <f t="shared" si="2"/>
        <v>-</v>
      </c>
      <c r="H9" s="781">
        <f t="shared" si="3"/>
        <v>2.3752041160523736</v>
      </c>
      <c r="I9" s="781" t="str">
        <f t="shared" si="4"/>
        <v>-</v>
      </c>
      <c r="J9" s="781">
        <f t="shared" si="5"/>
        <v>-3.6163092790023712</v>
      </c>
      <c r="K9" s="781" t="str">
        <f t="shared" si="6"/>
        <v>-</v>
      </c>
      <c r="L9" s="781">
        <f t="shared" si="7"/>
        <v>-4.5642777388605635</v>
      </c>
      <c r="M9" s="782" t="str">
        <f t="shared" si="8"/>
        <v>-</v>
      </c>
    </row>
    <row r="10" spans="1:13" ht="20.100000000000001" customHeight="1">
      <c r="A10" s="783" t="str">
        <f>Comps!D14</f>
        <v>ALK-US</v>
      </c>
      <c r="B10" s="874" t="str" cm="1">
        <f t="array" ref="B10">IFERROR(_xll.FDS(A10,"FG_COMPANY_NAME"),"-")</f>
        <v>Alaska Air Group, Inc.</v>
      </c>
      <c r="C10" s="783" cm="1">
        <f t="array" ref="C10">IFERROR(_xll.FDS(A10,"FG_PRICE(0)"),"-")</f>
        <v>52.91</v>
      </c>
      <c r="D10" s="783" cm="1">
        <f t="array" ref="D10">IFERROR(_xll.FDS(A10,"FG_MKT_VALUE(0)"),"-")</f>
        <v>6630.2046</v>
      </c>
      <c r="E10" s="784" cm="1">
        <f t="array" ref="E10">IFERROR(_xll.FDS(A10,"FF_ENTRPR_VAL(ANN_R,0)"),"-")</f>
        <v>8126.4</v>
      </c>
      <c r="F10" s="785">
        <f t="shared" si="1"/>
        <v>-4.9333333333333336</v>
      </c>
      <c r="G10" s="785" t="str">
        <f t="shared" si="2"/>
        <v>-</v>
      </c>
      <c r="H10" s="785">
        <f t="shared" si="3"/>
        <v>2.2788558609085809</v>
      </c>
      <c r="I10" s="785" t="str">
        <f t="shared" si="4"/>
        <v>-</v>
      </c>
      <c r="J10" s="785">
        <f t="shared" si="5"/>
        <v>-4.8056771141336485</v>
      </c>
      <c r="K10" s="785" t="str">
        <f t="shared" si="6"/>
        <v>-</v>
      </c>
      <c r="L10" s="785">
        <f t="shared" si="7"/>
        <v>-6.3937057435090479</v>
      </c>
      <c r="M10" s="786" t="str">
        <f t="shared" si="8"/>
        <v>-</v>
      </c>
    </row>
    <row r="11" spans="1:13" ht="20.100000000000001" customHeight="1">
      <c r="A11" s="789" t="str">
        <f>Comps!D15</f>
        <v>2610-TW</v>
      </c>
      <c r="B11" s="875" t="str" cm="1">
        <f t="array" ref="B11">IFERROR(_xll.FDS(A11,"FG_COMPANY_NAME"),"-")</f>
        <v>China Airlines Ltd.</v>
      </c>
      <c r="C11" s="789" cm="1">
        <f t="array" ref="C11">IFERROR(_xll.FDS(A11,"FG_PRICE(0)"),"-")</f>
        <v>29.65</v>
      </c>
      <c r="D11" s="789" cm="1">
        <f t="array" ref="D11">IFERROR(_xll.FDS(A11,"FG_MKT_VALUE(0)"),"-")</f>
        <v>168093.11</v>
      </c>
      <c r="E11" s="790" cm="1">
        <f t="array" ref="E11">IFERROR(_xll.FDS(A11,"FF_ENTRPR_VAL(ANN_R,0)"),"-")</f>
        <v>175128.14379999999</v>
      </c>
      <c r="F11" s="785">
        <f t="shared" si="1"/>
        <v>1149.2248062015503</v>
      </c>
      <c r="G11" s="785" t="str">
        <f t="shared" si="2"/>
        <v>-</v>
      </c>
      <c r="H11" s="785">
        <f t="shared" si="3"/>
        <v>1.5195428030495297</v>
      </c>
      <c r="I11" s="785" t="str">
        <f t="shared" si="4"/>
        <v>-</v>
      </c>
      <c r="J11" s="785">
        <f t="shared" si="5"/>
        <v>80.161700033780591</v>
      </c>
      <c r="K11" s="785" t="str">
        <f t="shared" si="6"/>
        <v>-</v>
      </c>
      <c r="L11" s="785">
        <f t="shared" si="7"/>
        <v>5.2185773249950032</v>
      </c>
      <c r="M11" s="786" t="str">
        <f t="shared" si="8"/>
        <v>-</v>
      </c>
    </row>
    <row r="12" spans="1:13" ht="20.100000000000001" customHeight="1">
      <c r="A12" s="789" t="str">
        <f>Comps!D16</f>
        <v>ELAL-IL</v>
      </c>
      <c r="B12" s="875" t="str" cm="1">
        <f t="array" ref="B12">IFERROR(_xll.FDS(A12,"FG_COMPANY_NAME"),"-")</f>
        <v>El Al Israel Airlines Ltd</v>
      </c>
      <c r="C12" s="789" cm="1">
        <f t="array" ref="C12">IFERROR(_xll.FDS(A12,"FG_PRICE(0)"),"-")</f>
        <v>3.1829999999999998</v>
      </c>
      <c r="D12" s="789" cm="1">
        <f t="array" ref="D12">IFERROR(_xll.FDS(A12,"FG_MKT_VALUE(0)"),"-")</f>
        <v>537.29989999999998</v>
      </c>
      <c r="E12" s="790" cm="1">
        <f t="array" ref="E12">IFERROR(_xll.FDS(A12,"FF_ENTRPR_VAL(ANN_R,0)"),"-")</f>
        <v>7300.6517806000002</v>
      </c>
      <c r="F12" s="785">
        <f t="shared" si="1"/>
        <v>-0.15566390680705597</v>
      </c>
      <c r="G12" s="785" t="str">
        <f t="shared" si="2"/>
        <v>-</v>
      </c>
      <c r="H12" s="785">
        <f t="shared" si="3"/>
        <v>3.4071040941430195</v>
      </c>
      <c r="I12" s="785" t="str">
        <f t="shared" si="4"/>
        <v>-</v>
      </c>
      <c r="J12" s="785">
        <f t="shared" si="5"/>
        <v>-5.5071973364260804</v>
      </c>
      <c r="K12" s="785" t="str">
        <f t="shared" si="6"/>
        <v>-</v>
      </c>
      <c r="L12" s="785">
        <f t="shared" si="7"/>
        <v>-14.633799376094556</v>
      </c>
      <c r="M12" s="786" t="str">
        <f t="shared" si="8"/>
        <v>-</v>
      </c>
    </row>
    <row r="13" spans="1:13" ht="20.100000000000001" customHeight="1">
      <c r="A13" s="789" t="str">
        <f>Comps!D17</f>
        <v>1055-HK</v>
      </c>
      <c r="B13" s="875" t="str" cm="1">
        <f t="array" ref="B13">IFERROR(_xll.FDS(A13,"FG_COMPANY_NAME"),"-")</f>
        <v>China Southern Airlines Company Limited Class H</v>
      </c>
      <c r="C13" s="789" cm="1">
        <f t="array" ref="C13">IFERROR(_xll.FDS(A13,"FG_PRICE(0)"),"-")</f>
        <v>4.7300000000000004</v>
      </c>
      <c r="D13" s="789" cm="1">
        <f t="array" ref="D13">IFERROR(_xll.FDS(A13,"FG_MKT_VALUE(0)"),"-")</f>
        <v>80166.164000000004</v>
      </c>
      <c r="E13" s="790" cm="1">
        <f t="array" ref="E13">IFERROR(_xll.FDS(A13,"FF_ENTRPR_VAL(ANN_R,0)"),"-")</f>
        <v>279407.49816105101</v>
      </c>
      <c r="F13" s="785">
        <f t="shared" si="1"/>
        <v>-6.1325035654090501</v>
      </c>
      <c r="G13" s="785" t="str">
        <f t="shared" si="2"/>
        <v>-</v>
      </c>
      <c r="H13" s="785">
        <f t="shared" si="3"/>
        <v>2.6863475587823222</v>
      </c>
      <c r="I13" s="785" t="str">
        <f t="shared" si="4"/>
        <v>-</v>
      </c>
      <c r="J13" s="785">
        <f t="shared" si="5"/>
        <v>-19.751450972779654</v>
      </c>
      <c r="K13" s="785" t="str">
        <f t="shared" si="6"/>
        <v>-</v>
      </c>
      <c r="L13" s="785">
        <f t="shared" si="7"/>
        <v>20.832022158575757</v>
      </c>
      <c r="M13" s="786" t="str">
        <f t="shared" si="8"/>
        <v>-</v>
      </c>
    </row>
    <row r="14" spans="1:13" ht="20.100000000000001" customHeight="1">
      <c r="A14" s="789" t="str">
        <f>Comps!D18</f>
        <v>PFAVH-CO</v>
      </c>
      <c r="B14" s="875" t="str" cm="1">
        <f t="array" ref="B14">IFERROR(_xll.FDS(A14,"FG_COMPANY_NAME"),"-")</f>
        <v>Avianca Holdings SA Pfd</v>
      </c>
      <c r="C14" s="789" cm="1">
        <f t="array" ref="C14">IFERROR(_xll.FDS(A14,"FG_PRICE(0)"),"-")</f>
        <v>42.5</v>
      </c>
      <c r="D14" s="789" cm="1">
        <f t="array" ref="D14">IFERROR(_xll.FDS(A14,"FG_MKT_VALUE(0)"),"-")</f>
        <v>42371.95</v>
      </c>
      <c r="E14" s="790" cm="1">
        <f t="array" ref="E14">IFERROR(_xll.FDS(A14,"FF_ENTRPR_VAL(ANN_R,0)"),"-")</f>
        <v>18292073.212824401</v>
      </c>
      <c r="F14" s="785">
        <f t="shared" si="1"/>
        <v>-1.0547337580245696E-2</v>
      </c>
      <c r="G14" s="785" t="str">
        <f t="shared" si="2"/>
        <v>-</v>
      </c>
      <c r="H14" s="785">
        <f t="shared" si="3"/>
        <v>2.8915621006289705</v>
      </c>
      <c r="I14" s="785" t="str">
        <f t="shared" si="4"/>
        <v>-</v>
      </c>
      <c r="J14" s="785">
        <f t="shared" si="5"/>
        <v>-9.6834521986261581</v>
      </c>
      <c r="K14" s="785" t="str">
        <f t="shared" si="6"/>
        <v>-</v>
      </c>
      <c r="L14" s="785">
        <f t="shared" si="7"/>
        <v>225.98878163468743</v>
      </c>
      <c r="M14" s="786" t="str">
        <f t="shared" si="8"/>
        <v>-</v>
      </c>
    </row>
    <row r="15" spans="1:13" ht="20.100000000000001" customHeight="1">
      <c r="A15" s="789" t="str">
        <f>Comps!D19</f>
        <v>QAN-AU</v>
      </c>
      <c r="B15" s="875" t="str" cm="1">
        <f t="array" ref="B15">IFERROR(_xll.FDS(A15,"FG_COMPANY_NAME"),"-")</f>
        <v>Qantas Airways Limited</v>
      </c>
      <c r="C15" s="789" cm="1">
        <f t="array" ref="C15">IFERROR(_xll.FDS(A15,"FG_PRICE(0)"),"-")</f>
        <v>5.29</v>
      </c>
      <c r="D15" s="789" cm="1">
        <f t="array" ref="D15">IFERROR(_xll.FDS(A15,"FG_MKT_VALUE(0)"),"-")</f>
        <v>9960.7559999999994</v>
      </c>
      <c r="E15" s="790" cm="1">
        <f t="array" ref="E15">IFERROR(_xll.FDS(A15,"FF_ENTRPR_VAL(ANN_R,0)"),"-")</f>
        <v>14781.12</v>
      </c>
      <c r="F15" s="785">
        <f t="shared" si="1"/>
        <v>-5.7612720540187325</v>
      </c>
      <c r="G15" s="785">
        <f t="shared" si="2"/>
        <v>6.3581730769230775</v>
      </c>
      <c r="H15" s="785">
        <f t="shared" si="3"/>
        <v>2.7448690807799445</v>
      </c>
      <c r="I15" s="785">
        <f t="shared" si="4"/>
        <v>0.72630927227163289</v>
      </c>
      <c r="J15" s="785">
        <f t="shared" si="5"/>
        <v>-5.5339273680269567</v>
      </c>
      <c r="K15" s="785">
        <f t="shared" si="6"/>
        <v>6.5635523978685617</v>
      </c>
      <c r="L15" s="785">
        <f t="shared" si="7"/>
        <v>-20.192786885245901</v>
      </c>
      <c r="M15" s="786">
        <f t="shared" si="8"/>
        <v>3.4144421344421345</v>
      </c>
    </row>
    <row r="16" spans="1:13" ht="20.100000000000001" customHeight="1">
      <c r="A16" s="789" t="str">
        <f>Comps!D20</f>
        <v>MESA-US</v>
      </c>
      <c r="B16" s="875" t="str" cm="1">
        <f t="array" ref="B16">IFERROR(_xll.FDS(A16,"FG_COMPANY_NAME"),"-")</f>
        <v>Mesa Air Group Inc</v>
      </c>
      <c r="C16" s="789" cm="1">
        <f t="array" ref="C16">IFERROR(_xll.FDS(A16,"FG_PRICE(0)"),"-")</f>
        <v>7.68</v>
      </c>
      <c r="D16" s="789" cm="1">
        <f t="array" ref="D16">IFERROR(_xll.FDS(A16,"FG_MKT_VALUE(0)"),"-")</f>
        <v>275.64285000000001</v>
      </c>
      <c r="E16" s="790" cm="1">
        <f t="array" ref="E16">IFERROR(_xll.FDS(A16,"FF_ENTRPR_VAL(ANN_R,0)"),"-")</f>
        <v>839.50459999999998</v>
      </c>
      <c r="F16" s="785" t="str">
        <f t="shared" si="1"/>
        <v>-</v>
      </c>
      <c r="G16" s="785" t="str">
        <f t="shared" si="2"/>
        <v>-</v>
      </c>
      <c r="H16" s="785">
        <f t="shared" si="3"/>
        <v>1.540177591868934</v>
      </c>
      <c r="I16" s="785" t="str">
        <f t="shared" si="4"/>
        <v>-</v>
      </c>
      <c r="J16" s="785" t="str">
        <f t="shared" si="5"/>
        <v>-</v>
      </c>
      <c r="K16" s="785" t="str">
        <f t="shared" si="6"/>
        <v>-</v>
      </c>
      <c r="L16" s="785" t="str">
        <f t="shared" si="7"/>
        <v>-</v>
      </c>
      <c r="M16" s="786" t="str">
        <f t="shared" si="8"/>
        <v>-</v>
      </c>
    </row>
    <row r="17" spans="1:17" ht="20.100000000000001" customHeight="1">
      <c r="A17" s="789" t="str">
        <f>Comps!D21</f>
        <v>VOLARA-MX</v>
      </c>
      <c r="B17" s="875" t="str" cm="1">
        <f t="array" ref="B17">IFERROR(_xll.FDS(A17,"FG_COMPANY_NAME"),"-")</f>
        <v>Controladora Vuela Compania de Aviacion SAB de CV Class A</v>
      </c>
      <c r="C17" s="789" cm="1">
        <f t="array" ref="C17">IFERROR(_xll.FDS(A17,"FG_PRICE(0)"),"-")</f>
        <v>33.01</v>
      </c>
      <c r="D17" s="789" cm="1">
        <f t="array" ref="D17">IFERROR(_xll.FDS(A17,"FG_MKT_VALUE(0)"),"-")</f>
        <v>38136.6</v>
      </c>
      <c r="E17" s="790" cm="1">
        <f t="array" ref="E17">IFERROR(_xll.FDS(A17,"FF_ENTRPR_VAL(ANN_R,0)"),"-")</f>
        <v>64685.855969999997</v>
      </c>
      <c r="F17" s="785">
        <f t="shared" si="1"/>
        <v>-7.8535401598781878</v>
      </c>
      <c r="G17" s="785" t="str">
        <f t="shared" si="2"/>
        <v>-</v>
      </c>
      <c r="H17" s="785">
        <f t="shared" si="3"/>
        <v>2.8659072214190955</v>
      </c>
      <c r="I17" s="785" t="str">
        <f t="shared" si="4"/>
        <v>-</v>
      </c>
      <c r="J17" s="785">
        <f t="shared" si="5"/>
        <v>-18.105558605841452</v>
      </c>
      <c r="K17" s="785" t="str">
        <f t="shared" si="6"/>
        <v>-</v>
      </c>
      <c r="L17" s="785">
        <f t="shared" si="7"/>
        <v>27.239430082948935</v>
      </c>
      <c r="M17" s="786" t="str">
        <f t="shared" si="8"/>
        <v>-</v>
      </c>
    </row>
    <row r="18" spans="1:17" ht="20.100000000000001" customHeight="1">
      <c r="A18" s="789" t="str">
        <f>Comps!D22</f>
        <v>AEROMEX-MX</v>
      </c>
      <c r="B18" s="875" t="str" cm="1">
        <f t="array" ref="B18">IFERROR(_xll.FDS(A18,"FG_COMPANY_NAME"),"-")</f>
        <v>Grupo Aeromexico SA de CV</v>
      </c>
      <c r="C18" s="789" cm="1">
        <f t="array" ref="C18">IFERROR(_xll.FDS(A18,"FG_PRICE(0)"),"-")</f>
        <v>5.38</v>
      </c>
      <c r="D18" s="789" cm="1">
        <f t="array" ref="D18">IFERROR(_xll.FDS(A18,"FG_MKT_VALUE(0)"),"-")</f>
        <v>3669.8056999999999</v>
      </c>
      <c r="E18" s="790" cm="1">
        <f t="array" ref="E18">IFERROR(_xll.FDS(A18,"FF_ENTRPR_VAL(ANN_R,0)"),"-")</f>
        <v>69822.894552750004</v>
      </c>
      <c r="F18" s="785">
        <f t="shared" si="1"/>
        <v>-8.630826810749069E-2</v>
      </c>
      <c r="G18" s="785" t="str">
        <f t="shared" si="2"/>
        <v>-</v>
      </c>
      <c r="H18" s="785">
        <f t="shared" si="3"/>
        <v>2.4480248253768524</v>
      </c>
      <c r="I18" s="785" t="str">
        <f t="shared" si="4"/>
        <v>-</v>
      </c>
      <c r="J18" s="785">
        <f t="shared" si="5"/>
        <v>-3.958562483009417</v>
      </c>
      <c r="K18" s="785" t="str">
        <f t="shared" si="6"/>
        <v>-</v>
      </c>
      <c r="L18" s="785">
        <f t="shared" si="7"/>
        <v>-14.335507294698875</v>
      </c>
      <c r="M18" s="786" t="str">
        <f t="shared" si="8"/>
        <v>-</v>
      </c>
    </row>
    <row r="19" spans="1:17" ht="20.100000000000001" customHeight="1">
      <c r="A19" s="789" t="str">
        <f>Comps!D23</f>
        <v>HA-US</v>
      </c>
      <c r="B19" s="875" t="str" cm="1">
        <f t="array" ref="B19">IFERROR(_xll.FDS(A19,"FG_COMPANY_NAME"),"-")</f>
        <v>Hawaiian Holdings, Inc.</v>
      </c>
      <c r="C19" s="789" cm="1">
        <f t="array" ref="C19">IFERROR(_xll.FDS(A19,"FG_PRICE(0)"),"-")</f>
        <v>19.82</v>
      </c>
      <c r="D19" s="789" cm="1">
        <f t="array" ref="D19">IFERROR(_xll.FDS(A19,"FG_MKT_VALUE(0)"),"-")</f>
        <v>1015.03766</v>
      </c>
      <c r="E19" s="790" cm="1">
        <f t="array" ref="E19">IFERROR(_xll.FDS(A19,"FF_ENTRPR_VAL(ANN_R,0)"),"-")</f>
        <v>1829.1110000000001</v>
      </c>
      <c r="F19" s="785">
        <f t="shared" si="1"/>
        <v>-1.788292189981233</v>
      </c>
      <c r="G19" s="785" t="str">
        <f t="shared" si="2"/>
        <v>-</v>
      </c>
      <c r="H19" s="785">
        <f t="shared" si="3"/>
        <v>2.1730170195476504</v>
      </c>
      <c r="I19" s="785" t="str">
        <f t="shared" si="4"/>
        <v>-</v>
      </c>
      <c r="J19" s="785">
        <f t="shared" si="5"/>
        <v>-3.9202936291057173</v>
      </c>
      <c r="K19" s="785" t="str">
        <f t="shared" si="6"/>
        <v>-</v>
      </c>
      <c r="L19" s="785">
        <f t="shared" si="7"/>
        <v>-5.8083611190498869</v>
      </c>
      <c r="M19" s="786" t="str">
        <f t="shared" si="8"/>
        <v>-</v>
      </c>
    </row>
    <row r="20" spans="1:17" ht="20.100000000000001" customHeight="1">
      <c r="A20" s="789" t="str">
        <f>Comps!D24</f>
        <v>LTM-CL</v>
      </c>
      <c r="B20" s="875" t="str" cm="1">
        <f t="array" ref="B20">IFERROR(_xll.FDS(A20,"FG_COMPANY_NAME"),"-")</f>
        <v>LATAM Airlines Group SA</v>
      </c>
      <c r="C20" s="789" cm="1">
        <f t="array" ref="C20">IFERROR(_xll.FDS(A20,"FG_PRICE(0)"),"-")</f>
        <v>907.83</v>
      </c>
      <c r="D20" s="789" cm="1">
        <f t="array" ref="D20">IFERROR(_xll.FDS(A20,"FG_MKT_VALUE(0)"),"-")</f>
        <v>550515.4</v>
      </c>
      <c r="E20" s="790" cm="1">
        <f t="array" ref="E20">IFERROR(_xll.FDS(A20,"FF_ENTRPR_VAL(ANN_R,0)"),"-")</f>
        <v>7272713.82855622</v>
      </c>
      <c r="F20" s="785">
        <f t="shared" si="1"/>
        <v>-0.15297959367178815</v>
      </c>
      <c r="G20" s="785" t="str">
        <f t="shared" si="2"/>
        <v>-</v>
      </c>
      <c r="H20" s="785">
        <f t="shared" si="3"/>
        <v>2.3414626746359368</v>
      </c>
      <c r="I20" s="785" t="str">
        <f t="shared" si="4"/>
        <v>-</v>
      </c>
      <c r="J20" s="785">
        <f t="shared" si="5"/>
        <v>-5.2338330266648621</v>
      </c>
      <c r="K20" s="785" t="str">
        <f t="shared" si="6"/>
        <v>-</v>
      </c>
      <c r="L20" s="785">
        <f t="shared" si="7"/>
        <v>-25.105055726926736</v>
      </c>
      <c r="M20" s="786" t="str">
        <f t="shared" si="8"/>
        <v>-</v>
      </c>
    </row>
    <row r="21" spans="1:17" ht="20.100000000000001" customHeight="1">
      <c r="A21" s="789" t="str">
        <f>Comps!D25</f>
        <v>SKYW-US</v>
      </c>
      <c r="B21" s="875" t="str" cm="1">
        <f t="array" ref="B21">IFERROR(_xll.FDS(A21,"FG_COMPANY_NAME"),"-")</f>
        <v>SkyWest, Inc</v>
      </c>
      <c r="C21" s="789" cm="1">
        <f t="array" ref="C21">IFERROR(_xll.FDS(A21,"FG_PRICE(0)"),"-")</f>
        <v>44.23</v>
      </c>
      <c r="D21" s="789" cm="1">
        <f t="array" ref="D21">IFERROR(_xll.FDS(A21,"FG_MKT_VALUE(0)"),"-")</f>
        <v>2228.3029999999999</v>
      </c>
      <c r="E21" s="790" cm="1">
        <f t="array" ref="E21">IFERROR(_xll.FDS(A21,"FF_ENTRPR_VAL(ANN_R,0)"),"-")</f>
        <v>4689.6344499999996</v>
      </c>
      <c r="F21" s="785">
        <f t="shared" si="1"/>
        <v>-260.79009433962261</v>
      </c>
      <c r="G21" s="785" t="str">
        <f t="shared" si="2"/>
        <v>-</v>
      </c>
      <c r="H21" s="785">
        <f t="shared" si="3"/>
        <v>2.2047018108171379</v>
      </c>
      <c r="I21" s="785" t="str">
        <f t="shared" si="4"/>
        <v>-</v>
      </c>
      <c r="J21" s="785">
        <f t="shared" si="5"/>
        <v>-19.813487107554639</v>
      </c>
      <c r="K21" s="785" t="str">
        <f t="shared" si="6"/>
        <v>-</v>
      </c>
      <c r="L21" s="785">
        <f t="shared" si="7"/>
        <v>19.682018088722874</v>
      </c>
      <c r="M21" s="786" t="str">
        <f t="shared" si="8"/>
        <v>-</v>
      </c>
    </row>
    <row r="22" spans="1:17" ht="20.100000000000001" customHeight="1">
      <c r="A22" s="789" t="str">
        <f>Comps!D26</f>
        <v>AC-CA</v>
      </c>
      <c r="B22" s="875" t="str" cm="1">
        <f t="array" ref="B22">IFERROR(_xll.FDS(A22,"FG_COMPANY_NAME"),"-")</f>
        <v>Air Canada</v>
      </c>
      <c r="C22" s="789" cm="1">
        <f t="array" ref="C22">IFERROR(_xll.FDS(A22,"FG_PRICE(0)"),"-")</f>
        <v>23.32</v>
      </c>
      <c r="D22" s="789" cm="1">
        <f t="array" ref="D22">IFERROR(_xll.FDS(A22,"FG_MKT_VALUE(0)"),"-")</f>
        <v>8342.2749999999996</v>
      </c>
      <c r="E22" s="790" cm="1">
        <f t="array" ref="E22">IFERROR(_xll.FDS(A22,"FF_ENTRPR_VAL(ANN_R,0)"),"-")</f>
        <v>11803.14</v>
      </c>
      <c r="F22" s="785">
        <f t="shared" si="1"/>
        <v>-1.4151601764702313</v>
      </c>
      <c r="G22" s="785">
        <f t="shared" si="2"/>
        <v>4.5502439024390249</v>
      </c>
      <c r="H22" s="785">
        <f t="shared" si="3"/>
        <v>2.0235110577747299</v>
      </c>
      <c r="I22" s="785">
        <f t="shared" si="4"/>
        <v>0.57123484573502714</v>
      </c>
      <c r="J22" s="785">
        <f t="shared" si="5"/>
        <v>-3.0326670092497428</v>
      </c>
      <c r="K22" s="785">
        <f t="shared" si="6"/>
        <v>4.6286823529411762</v>
      </c>
      <c r="L22" s="785">
        <f t="shared" si="7"/>
        <v>-5.7380359747204661</v>
      </c>
      <c r="M22" s="786">
        <f t="shared" si="8"/>
        <v>2.7037315313251629</v>
      </c>
    </row>
    <row r="23" spans="1:17" ht="20.100000000000001" customHeight="1">
      <c r="A23" s="789" t="str">
        <f>Comps!D27</f>
        <v>CHR-CA</v>
      </c>
      <c r="B23" s="875" t="str" cm="1">
        <f t="array" ref="B23">IFERROR(_xll.FDS(A23,"FG_COMPANY_NAME"),"-")</f>
        <v>Chorus Aviation Inc.</v>
      </c>
      <c r="C23" s="789" cm="1">
        <f t="array" ref="C23">IFERROR(_xll.FDS(A23,"FG_PRICE(0)"),"-")</f>
        <v>3.9</v>
      </c>
      <c r="D23" s="789" cm="1">
        <f t="array" ref="D23">IFERROR(_xll.FDS(A23,"FG_MKT_VALUE(0)"),"-")</f>
        <v>692.83889999999997</v>
      </c>
      <c r="E23" s="790" cm="1">
        <f t="array" ref="E23">IFERROR(_xll.FDS(A23,"FF_ENTRPR_VAL(ANN_R,0)"),"-")</f>
        <v>2634.3681367999998</v>
      </c>
      <c r="F23" s="785">
        <f t="shared" si="1"/>
        <v>15.192832099727308</v>
      </c>
      <c r="G23" s="785">
        <f t="shared" si="2"/>
        <v>3.5779816513761467</v>
      </c>
      <c r="H23" s="785">
        <f t="shared" si="3"/>
        <v>2.7767574838124167</v>
      </c>
      <c r="I23" s="785">
        <f t="shared" si="4"/>
        <v>1.5942128217557248</v>
      </c>
      <c r="J23" s="785">
        <f t="shared" si="5"/>
        <v>22.998141695548551</v>
      </c>
      <c r="K23" s="785">
        <f t="shared" si="6"/>
        <v>7.7577018054602576</v>
      </c>
      <c r="L23" s="785">
        <f t="shared" si="7"/>
        <v>7.7732675229639323</v>
      </c>
      <c r="M23" s="786">
        <f t="shared" si="8"/>
        <v>5.1692590523956969</v>
      </c>
    </row>
    <row r="24" spans="1:17" ht="20.100000000000001" customHeight="1">
      <c r="A24" s="789" t="str">
        <f>Comps!D28</f>
        <v>CPA-US</v>
      </c>
      <c r="B24" s="875" t="str" cm="1">
        <f t="array" ref="B24">IFERROR(_xll.FDS(A24,"FG_COMPANY_NAME"),"-")</f>
        <v>Copa Holdings, S.A. Class A</v>
      </c>
      <c r="C24" s="789" cm="1">
        <f t="array" ref="C24">IFERROR(_xll.FDS(A24,"FG_PRICE(0)"),"-")</f>
        <v>77.39</v>
      </c>
      <c r="D24" s="789" cm="1">
        <f t="array" ref="D24">IFERROR(_xll.FDS(A24,"FG_MKT_VALUE(0)"),"-")</f>
        <v>3287.8386</v>
      </c>
      <c r="E24" s="790" cm="1">
        <f t="array" ref="E24">IFERROR(_xll.FDS(A24,"FF_ENTRPR_VAL(ANN_R,0)"),"-")</f>
        <v>3787.42184</v>
      </c>
      <c r="F24" s="785">
        <f t="shared" si="1"/>
        <v>-5.4190503532641046</v>
      </c>
      <c r="G24" s="785" t="str">
        <f t="shared" si="2"/>
        <v>-</v>
      </c>
      <c r="H24" s="785">
        <f t="shared" si="3"/>
        <v>4.728349132275409</v>
      </c>
      <c r="I24" s="785" t="str">
        <f t="shared" si="4"/>
        <v>-</v>
      </c>
      <c r="J24" s="785">
        <f t="shared" si="5"/>
        <v>-17.386015800369993</v>
      </c>
      <c r="K24" s="785" t="str">
        <f t="shared" si="6"/>
        <v>-</v>
      </c>
      <c r="L24" s="785">
        <f t="shared" si="7"/>
        <v>91.278573253319834</v>
      </c>
      <c r="M24" s="786" t="str">
        <f t="shared" si="8"/>
        <v>-</v>
      </c>
    </row>
    <row r="25" spans="1:17" ht="20.100000000000001" hidden="1" customHeight="1">
      <c r="A25" s="789" t="str">
        <f>Comps!D29</f>
        <v>PAL-PH</v>
      </c>
      <c r="B25" s="875" t="str" cm="1">
        <f t="array" ref="B25">IFERROR(_xll.FDS(A25,"FG_COMPANY_NAME"),"-")</f>
        <v>PAL Holdings, Inc.</v>
      </c>
      <c r="C25" s="789" cm="1">
        <f t="array" ref="C25">IFERROR(_xll.FDS(A25,"FG_PRICE(0)"),"-")</f>
        <v>6.05</v>
      </c>
      <c r="D25" s="789" t="str" cm="1">
        <f t="array" ref="D25">IFERROR(_xll.FDS(A25,"FG_MKT_VALUE(0)"),"-")</f>
        <v>-</v>
      </c>
      <c r="E25" s="790" cm="1">
        <f t="array" ref="E25">IFERROR(_xll.FDS(A25,"FF_ENTRPR_VAL(ANN_R,0)"),"-")</f>
        <v>275621.31348509999</v>
      </c>
      <c r="F25" s="785">
        <f t="shared" si="1"/>
        <v>-0.97822044723268708</v>
      </c>
      <c r="G25" s="785" t="str">
        <f t="shared" si="2"/>
        <v>-</v>
      </c>
      <c r="H25" s="785">
        <f t="shared" si="3"/>
        <v>4.9873603621770464</v>
      </c>
      <c r="I25" s="785" t="str">
        <f t="shared" si="4"/>
        <v>-</v>
      </c>
      <c r="J25" s="785">
        <f t="shared" si="5"/>
        <v>-10.370850916891433</v>
      </c>
      <c r="K25" s="785" t="str">
        <f t="shared" si="6"/>
        <v>-</v>
      </c>
      <c r="L25" s="785">
        <f t="shared" si="7"/>
        <v>-381.04241255448716</v>
      </c>
      <c r="M25" s="786" t="str">
        <f t="shared" si="8"/>
        <v>-</v>
      </c>
    </row>
    <row r="26" spans="1:17" ht="20.100000000000001" hidden="1" customHeight="1">
      <c r="A26" s="793" t="str">
        <f>Comps!D30</f>
        <v>TRZ-CA</v>
      </c>
      <c r="B26" s="876" t="str" cm="1">
        <f t="array" ref="B26">IFERROR(_xll.FDS(A26,"FG_COMPANY_NAME"),"-")</f>
        <v>Transat A.T. Inc.</v>
      </c>
      <c r="C26" s="793" cm="1">
        <f t="array" ref="C26">IFERROR(_xll.FDS(A26,"FG_PRICE(0)"),"-")</f>
        <v>4.8600000000000003</v>
      </c>
      <c r="D26" s="793" cm="1">
        <f t="array" ref="D26">IFERROR(_xll.FDS(A26,"FG_MKT_VALUE(0)"),"-")</f>
        <v>183.45090999999999</v>
      </c>
      <c r="E26" s="794" cm="1">
        <f t="array" ref="E26">IFERROR(_xll.FDS(A26,"FF_ENTRPR_VAL(ANN_R,0)"),"-")</f>
        <v>643.21955000000003</v>
      </c>
      <c r="F26" s="795" t="str">
        <f t="shared" si="1"/>
        <v>-</v>
      </c>
      <c r="G26" s="795">
        <f t="shared" si="2"/>
        <v>-4.5</v>
      </c>
      <c r="H26" s="795">
        <f t="shared" si="3"/>
        <v>0.4939980523305601</v>
      </c>
      <c r="I26" s="795">
        <f t="shared" si="4"/>
        <v>0.21778995623340472</v>
      </c>
      <c r="J26" s="795" t="str">
        <f t="shared" si="5"/>
        <v>-</v>
      </c>
      <c r="K26" s="795" t="str">
        <f t="shared" si="6"/>
        <v>-</v>
      </c>
      <c r="L26" s="795" t="str">
        <f t="shared" si="7"/>
        <v>-</v>
      </c>
      <c r="M26" s="796">
        <f t="shared" si="8"/>
        <v>3.0200085921140358</v>
      </c>
    </row>
    <row r="27" spans="1:17" s="802" customFormat="1" ht="16.5" customHeight="1">
      <c r="A27" s="797"/>
      <c r="B27" s="798" t="s">
        <v>672</v>
      </c>
      <c r="C27" s="799"/>
      <c r="D27" s="799"/>
      <c r="E27" s="799"/>
      <c r="F27" s="800">
        <f>MEDIAN(F8:F26)</f>
        <v>-1.4151601764702313</v>
      </c>
      <c r="G27" s="800">
        <f t="shared" ref="G27:M27" si="9">MEDIAN(G8:G26)</f>
        <v>4.064112776907586</v>
      </c>
      <c r="H27" s="800">
        <f t="shared" si="9"/>
        <v>2.4480248253768524</v>
      </c>
      <c r="I27" s="800">
        <f t="shared" si="9"/>
        <v>0.64877205900333001</v>
      </c>
      <c r="J27" s="800">
        <f t="shared" si="9"/>
        <v>-5.5071973364260804</v>
      </c>
      <c r="K27" s="800">
        <f t="shared" si="9"/>
        <v>6.5635523978685617</v>
      </c>
      <c r="L27" s="800">
        <f t="shared" si="9"/>
        <v>-5.7380359747204661</v>
      </c>
      <c r="M27" s="801">
        <f t="shared" si="9"/>
        <v>3.2172253632780849</v>
      </c>
    </row>
    <row r="28" spans="1:17" s="802" customFormat="1" ht="16.5" customHeight="1">
      <c r="A28" s="797"/>
      <c r="B28" s="798" t="s">
        <v>1366</v>
      </c>
      <c r="C28" s="799"/>
      <c r="D28" s="799"/>
      <c r="E28" s="799"/>
      <c r="F28" s="800">
        <f>SUMIFS(D8:D26,L37:L55,"&gt;0")/SUMPRODUCT(C37:C55,L37:L55)</f>
        <v>-2.172144617727436E-2</v>
      </c>
      <c r="G28" s="800">
        <f>SUMIFS(D8:D26,M37:M55,"&gt;0")/SUMPRODUCT(C37:C55,M37:M55)</f>
        <v>6.0372666095119891</v>
      </c>
      <c r="H28" s="800">
        <f>SUMIFS(E8:E26,D37:D55,"&gt;0")/SUM(D37:D55)</f>
        <v>2.7073084876425306</v>
      </c>
      <c r="I28" s="800">
        <f>SUMIFS(E8:E26,E37:E55,"&gt;0")/SUM(E37:E55)</f>
        <v>0.65458729754397427</v>
      </c>
      <c r="J28" s="800">
        <f>SUMIFS(E8:E26,F37:F55,"&gt;0")/SUM(F37:F55)</f>
        <v>-5.2792358425505725E-2</v>
      </c>
      <c r="K28" s="800">
        <f>SUMIFS(E8:E26,G37:G55,"&gt;0")/SUM(G37:G55)</f>
        <v>5.6828100416583931</v>
      </c>
      <c r="L28" s="800">
        <f>SUMIFS(E8:E26,J37:J55,"&gt;0")/SUM(J37:J55)</f>
        <v>-102.80962801488903</v>
      </c>
      <c r="M28" s="801">
        <f>SUMIFS(E8:E26,K37:K55,"&gt;0")/SUM(K37:K55)</f>
        <v>3.1710210487975719</v>
      </c>
      <c r="O28" s="3"/>
      <c r="P28" s="3"/>
      <c r="Q28" s="3"/>
    </row>
    <row r="29" spans="1:17" s="802" customFormat="1" ht="15">
      <c r="A29" s="797"/>
      <c r="B29" s="798" t="s">
        <v>1367</v>
      </c>
      <c r="C29" s="799"/>
      <c r="D29" s="799"/>
      <c r="E29" s="799"/>
      <c r="F29" s="800">
        <f>QUARTILE(F8:F26,3)</f>
        <v>-0.15297959367178815</v>
      </c>
      <c r="G29" s="800">
        <f t="shared" ref="G29:M29" si="10">QUARTILE(G8:G26,3)</f>
        <v>5.0022261960600378</v>
      </c>
      <c r="H29" s="800">
        <f t="shared" si="10"/>
        <v>2.8213323526157561</v>
      </c>
      <c r="I29" s="800">
        <f t="shared" si="10"/>
        <v>0.94328515964265591</v>
      </c>
      <c r="J29" s="800">
        <f t="shared" si="10"/>
        <v>-3.9202936291057173</v>
      </c>
      <c r="K29" s="800">
        <f t="shared" si="10"/>
        <v>7.1606271016644101</v>
      </c>
      <c r="L29" s="800">
        <f t="shared" si="10"/>
        <v>19.682018088722874</v>
      </c>
      <c r="M29" s="801">
        <f t="shared" si="10"/>
        <v>3.853146363930525</v>
      </c>
      <c r="P29" s="744"/>
      <c r="Q29" s="744"/>
    </row>
    <row r="30" spans="1:17" s="802" customFormat="1" ht="15">
      <c r="A30" s="803"/>
      <c r="B30" s="804" t="s">
        <v>1368</v>
      </c>
      <c r="C30" s="805"/>
      <c r="D30" s="805"/>
      <c r="E30" s="805"/>
      <c r="F30" s="806">
        <f>QUARTILE(F8:F26,1)</f>
        <v>-5.4190503532641046</v>
      </c>
      <c r="G30" s="806">
        <f t="shared" ref="G30:M30" si="11">QUARTILE(G8:G26,1)</f>
        <v>1.5584862385321099</v>
      </c>
      <c r="H30" s="806">
        <f t="shared" si="11"/>
        <v>2.1888594151823941</v>
      </c>
      <c r="I30" s="806">
        <f t="shared" si="11"/>
        <v>0.48287362335962158</v>
      </c>
      <c r="J30" s="806">
        <f t="shared" si="11"/>
        <v>-10.370850916891433</v>
      </c>
      <c r="K30" s="806">
        <f t="shared" si="11"/>
        <v>5.5961173754048694</v>
      </c>
      <c r="L30" s="806">
        <f t="shared" si="11"/>
        <v>-14.335507294698875</v>
      </c>
      <c r="M30" s="807">
        <f t="shared" si="11"/>
        <v>2.9409393269168174</v>
      </c>
      <c r="P30" s="744"/>
      <c r="Q30" s="744"/>
    </row>
    <row r="31" spans="1:17" s="802" customFormat="1" ht="15">
      <c r="A31" s="744"/>
      <c r="B31" s="808"/>
      <c r="C31" s="809"/>
      <c r="D31" s="809"/>
      <c r="E31" s="809"/>
      <c r="F31" s="809"/>
      <c r="G31" s="809"/>
      <c r="H31" s="809"/>
      <c r="I31" s="809"/>
      <c r="J31" s="809"/>
      <c r="K31" s="809"/>
      <c r="L31" s="809"/>
      <c r="M31" s="809"/>
      <c r="P31" s="744"/>
      <c r="Q31" s="744"/>
    </row>
    <row r="32" spans="1:17" ht="13.5" customHeight="1">
      <c r="A32" s="745" t="s">
        <v>1369</v>
      </c>
      <c r="B32" s="746"/>
      <c r="C32" s="746"/>
      <c r="D32" s="746"/>
      <c r="E32" s="746"/>
      <c r="F32" s="746"/>
      <c r="G32" s="746"/>
      <c r="H32" s="746"/>
      <c r="I32" s="746"/>
      <c r="J32" s="746"/>
      <c r="K32" s="746"/>
      <c r="L32" s="746"/>
      <c r="M32" s="748"/>
    </row>
    <row r="33" spans="1:19" ht="12" customHeight="1">
      <c r="A33" s="754"/>
      <c r="B33" s="750"/>
      <c r="C33" s="810"/>
      <c r="D33" s="810"/>
      <c r="E33" s="810"/>
      <c r="F33" s="811"/>
      <c r="G33" s="811"/>
      <c r="H33" s="811"/>
      <c r="I33" s="811"/>
      <c r="J33" s="812"/>
      <c r="K33" s="811"/>
      <c r="L33" s="811"/>
      <c r="M33" s="813"/>
    </row>
    <row r="34" spans="1:19" ht="12" customHeight="1">
      <c r="A34" s="754"/>
      <c r="B34" s="750"/>
      <c r="C34" s="814" t="s">
        <v>1370</v>
      </c>
      <c r="D34" s="1340" t="s">
        <v>135</v>
      </c>
      <c r="E34" s="1340"/>
      <c r="F34" s="1340" t="s">
        <v>44</v>
      </c>
      <c r="G34" s="1340"/>
      <c r="H34" s="1340" t="s">
        <v>1371</v>
      </c>
      <c r="I34" s="1340"/>
      <c r="J34" s="1340" t="s">
        <v>43</v>
      </c>
      <c r="K34" s="1340"/>
      <c r="L34" s="1340" t="s">
        <v>151</v>
      </c>
      <c r="M34" s="1341"/>
    </row>
    <row r="35" spans="1:19" ht="12" customHeight="1">
      <c r="A35" s="761"/>
      <c r="B35" s="762"/>
      <c r="C35" s="762"/>
      <c r="D35" s="882" t="str">
        <f>Forecast!L3</f>
        <v>12/2020</v>
      </c>
      <c r="E35" s="815" t="e">
        <f>DCF!#REF!</f>
        <v>#REF!</v>
      </c>
      <c r="F35" s="815" t="str">
        <f>D35</f>
        <v>12/2020</v>
      </c>
      <c r="G35" s="816" t="e">
        <f>E35</f>
        <v>#REF!</v>
      </c>
      <c r="H35" s="815" t="str">
        <f>F35</f>
        <v>12/2020</v>
      </c>
      <c r="I35" s="816" t="e">
        <f>G35</f>
        <v>#REF!</v>
      </c>
      <c r="J35" s="815" t="str">
        <f>H35</f>
        <v>12/2020</v>
      </c>
      <c r="K35" s="816" t="e">
        <f>E35</f>
        <v>#REF!</v>
      </c>
      <c r="L35" s="815" t="str">
        <f>J35</f>
        <v>12/2020</v>
      </c>
      <c r="M35" s="817" t="e">
        <f>E35</f>
        <v>#REF!</v>
      </c>
    </row>
    <row r="36" spans="1:19" ht="12" customHeight="1">
      <c r="A36" s="769"/>
      <c r="B36" s="770" t="s">
        <v>1363</v>
      </c>
      <c r="C36" s="770"/>
      <c r="D36" s="818" t="s">
        <v>1364</v>
      </c>
      <c r="E36" s="818" t="s">
        <v>1364</v>
      </c>
      <c r="F36" s="818" t="s">
        <v>1364</v>
      </c>
      <c r="G36" s="818" t="s">
        <v>1364</v>
      </c>
      <c r="H36" s="818" t="s">
        <v>1364</v>
      </c>
      <c r="I36" s="818" t="s">
        <v>1364</v>
      </c>
      <c r="J36" s="818" t="s">
        <v>1364</v>
      </c>
      <c r="K36" s="818" t="s">
        <v>1364</v>
      </c>
      <c r="L36" s="818" t="s">
        <v>1372</v>
      </c>
      <c r="M36" s="819" t="s">
        <v>1372</v>
      </c>
    </row>
    <row r="37" spans="1:19" ht="20.100000000000001" customHeight="1">
      <c r="A37" s="820"/>
      <c r="B37" s="821" t="str">
        <f>B8</f>
        <v>Delta Air Lines, Inc.</v>
      </c>
      <c r="C37" s="775" cm="1">
        <f t="array" ref="C37">IFERROR(_xll.FDSR(A8,"FF_COM_SHS_OUT_EPS_BASIC(ANN_R,0)"),"-")</f>
        <v>636</v>
      </c>
      <c r="D37" s="822" cm="1">
        <f t="array" ref="D37">IFERROR(_xll.FDS(A8,"FF_SALES(ANN_R,0)"),)</f>
        <v>17095</v>
      </c>
      <c r="E37" s="822" cm="1">
        <f t="array" ref="E37">IFERROR(_xll.FDS(A8,"FE_ESTIMATE(SALES,MEDIAN,ANN_ROLL,+5,NOW,,,'')"),)</f>
        <v>0</v>
      </c>
      <c r="F37" s="822">
        <f>Forecast!L12*1000</f>
        <v>-7118.0000000000009</v>
      </c>
      <c r="G37" s="822" cm="1">
        <f t="array" ref="G37">IFERROR(_xll.FDS(A8,"FE_ESTIMATE(EBIT,MEDIAN,ANN_ROLL,+5,NOW,,,'')"),)</f>
        <v>0</v>
      </c>
      <c r="H37" s="822">
        <f>Forecast!L38*1000</f>
        <v>2312</v>
      </c>
      <c r="I37" s="822" cm="1">
        <f t="array" ref="I37">IFERROR(_xll.FDS(A8,"FE_ESTIMATE(DEP_AMORT_EXP,MEDIAN,ANN_ROLL,+5,NOW,,,'')"),)</f>
        <v>0</v>
      </c>
      <c r="J37" s="822">
        <f>Forecast!L22*1000</f>
        <v>-4806.0000000000009</v>
      </c>
      <c r="K37" s="822" cm="1">
        <f t="array" ref="K37">IFERROR(_xll.FDS(A8,"FE_ESTIMATE(EBITDA,MEDIAN,ANN_ROLL,+5,NOW,,,'')"),)</f>
        <v>0</v>
      </c>
      <c r="L37" s="823">
        <f>Forecast!L16/Forecast!L27*1000</f>
        <v>-8.9832861635220134</v>
      </c>
      <c r="M37" s="823" cm="1">
        <f t="array" ref="M37">IFERROR(_xll.FDS(A8,"FE_ESTIMATE(EPS,MEDIAN,ANN_ROLL,+5,NOW,,,'')"),)</f>
        <v>0</v>
      </c>
      <c r="N37" s="824"/>
      <c r="O37" s="824"/>
      <c r="R37" s="824"/>
      <c r="S37" s="824"/>
    </row>
    <row r="38" spans="1:19" ht="20.100000000000001" customHeight="1">
      <c r="A38" s="825"/>
      <c r="B38" s="881" t="str">
        <f>B9</f>
        <v>American Airlines Group, Inc.</v>
      </c>
      <c r="C38" s="826" cm="1">
        <f t="array" ref="C38">IFERROR(_xll.FDSR(A9,"FF_COM_SHS_OUT_EPS_BASIC(ANN_R,0)"),"-")</f>
        <v>483.88799999999998</v>
      </c>
      <c r="D38" s="827" cm="1">
        <f t="array" ref="D38">IFERROR(_xll.FDS(A9,"FF_SALES(ANN_R,0)"),0)</f>
        <v>17337</v>
      </c>
      <c r="E38" s="827" cm="1">
        <f t="array" ref="E38">IFERROR(_xll.FDS(A9,"FE_ESTIMATE(SALES,MEDIAN,ANN_ROLL,+5,NOW,,,'')"),)</f>
        <v>0</v>
      </c>
      <c r="F38" s="827" cm="1">
        <f t="array" ref="F38">IFERROR(_xll.FDS(A9,"FF_EBIT_OPER(ANN_R,NOW)"),)</f>
        <v>-11387</v>
      </c>
      <c r="G38" s="827" cm="1">
        <f t="array" ref="G38">IFERROR(_xll.FDS(A9,"FE_ESTIMATE(EBIT,MEDIAN,ANN_ROLL,+5,NOW,,,'')"),)</f>
        <v>0</v>
      </c>
      <c r="H38" s="827" cm="1">
        <f t="array" ref="H38">IFERROR(_xll.FDS(A9,"FF_DEP_AMORT_EXP(ANN_R,0)"),)</f>
        <v>2365</v>
      </c>
      <c r="I38" s="827" cm="1">
        <f t="array" ref="I38">IFERROR(_xll.FDS(A9,"FE_ESTIMATE(DEP_AMORT_EXP,MEDIAN,ANN_ROLL,+5,NOW,,,'')"),)</f>
        <v>0</v>
      </c>
      <c r="J38" s="827" cm="1">
        <f t="array" ref="J38">IFERROR(_xll.FDS(A9,"FF_EBITDA_OPER(ANN,NOW)"),)</f>
        <v>-9022</v>
      </c>
      <c r="K38" s="827" cm="1">
        <f t="array" ref="K38">IFERROR(_xll.FDS(A9,"FE_ESTIMATE(EBITDA,MEDIAN,ANN_ROLL,+5,NOW,,,'')"),)</f>
        <v>0</v>
      </c>
      <c r="L38" s="827" cm="1">
        <f t="array" ref="L38">IFERROR(_xll.FDS(A9,"FF_EPS(ANN_R,NOW)"),)</f>
        <v>-18.361699999999999</v>
      </c>
      <c r="M38" s="827" cm="1">
        <f t="array" ref="M38">IFERROR(_xll.FDS(A9,"FE_ESTIMATE(EPS,MEDIAN,ANN_ROLL,+5,NOW,,,'')"),)</f>
        <v>0</v>
      </c>
    </row>
    <row r="39" spans="1:19" ht="20.100000000000001" customHeight="1">
      <c r="A39" s="787"/>
      <c r="B39" s="788" t="str">
        <f t="shared" ref="B39:B55" si="12">B10</f>
        <v>Alaska Air Group, Inc.</v>
      </c>
      <c r="C39" s="788" cm="1">
        <f t="array" ref="C39">IFERROR(_xll.FDSR(A10,"FF_COM_SHS_OUT_EPS_BASIC(ANN_R,0)"),"-")</f>
        <v>123.45</v>
      </c>
      <c r="D39" s="828" cm="1">
        <f t="array" ref="D39">IFERROR(_xll.FDS(A10,"FF_SALES(ANN_R,0)"),0)</f>
        <v>3566</v>
      </c>
      <c r="E39" s="829" cm="1">
        <f t="array" ref="E39">IFERROR(_xll.FDS(A10,"FE_ESTIMATE(SALES,MEDIAN,ANN_ROLL,+5,NOW,,,'')"),)</f>
        <v>0</v>
      </c>
      <c r="F39" s="828" cm="1">
        <f t="array" ref="F39">IFERROR(_xll.FDS(A10,"FF_EBIT_OPER(ANN_R,NOW)"),)</f>
        <v>-1691</v>
      </c>
      <c r="G39" s="829" cm="1">
        <f t="array" ref="G39">IFERROR(_xll.FDS(A10,"FE_ESTIMATE(EBIT,MEDIAN,ANN_ROLL,+5,NOW,,,'')"),)</f>
        <v>0</v>
      </c>
      <c r="H39" s="828" cm="1">
        <f t="array" ref="H39">IFERROR(_xll.FDS(A10,"FF_DEP_AMORT_EXP(ANN_R,0)"),)</f>
        <v>420</v>
      </c>
      <c r="I39" s="829" cm="1">
        <f t="array" ref="I39">IFERROR(_xll.FDS(A10,"FE_ESTIMATE(DEP_AMORT_EXP,MEDIAN,ANN_ROLL,+5,NOW,,,'')"),)</f>
        <v>0</v>
      </c>
      <c r="J39" s="828" cm="1">
        <f t="array" ref="J39">IFERROR(_xll.FDS(A10,"FF_EBITDA_OPER(ANN,NOW)"),)</f>
        <v>-1271</v>
      </c>
      <c r="K39" s="829" cm="1">
        <f t="array" ref="K39">IFERROR(_xll.FDS(A10,"FE_ESTIMATE(EBITDA,MEDIAN,ANN_ROLL,+5,NOW,,,'')"),)</f>
        <v>0</v>
      </c>
      <c r="L39" s="830" cm="1">
        <f t="array" ref="L39">IFERROR(_xll.FDS(A10,"FF_EPS(ANN_R,NOW)"),)</f>
        <v>-10.725</v>
      </c>
      <c r="M39" s="831" cm="1">
        <f t="array" ref="M39">IFERROR(_xll.FDS(A10,"FE_ESTIMATE(EPS,MEDIAN,ANN_ROLL,+5,NOW,,,'')"),)</f>
        <v>0</v>
      </c>
    </row>
    <row r="40" spans="1:19" ht="20.100000000000001" customHeight="1">
      <c r="A40" s="787"/>
      <c r="B40" s="788" t="str">
        <f t="shared" si="12"/>
        <v>China Airlines Ltd.</v>
      </c>
      <c r="C40" s="788" cm="1">
        <f t="array" ref="C40">IFERROR(_xll.FDSR(A11,"FF_COM_SHS_OUT_EPS_BASIC(ANN_R,0)"),"-")</f>
        <v>5418.7759999999998</v>
      </c>
      <c r="D40" s="828" cm="1">
        <f t="array" ref="D40">IFERROR(_xll.FDS(A11,"FF_SALES(ANN_R,0)"),0)</f>
        <v>115250.55</v>
      </c>
      <c r="E40" s="828" cm="1">
        <f t="array" ref="E40">IFERROR(_xll.FDS(A11,"FE_ESTIMATE(SALES,MEDIAN,ANN_ROLL,+5,NOW,,,'')"),)</f>
        <v>0</v>
      </c>
      <c r="F40" s="828" cm="1">
        <f t="array" ref="F40">IFERROR(_xll.FDS(A11,"FF_EBIT_OPER(ANN_R,NOW)"),)</f>
        <v>2184.6860000000001</v>
      </c>
      <c r="G40" s="828" cm="1">
        <f t="array" ref="G40">IFERROR(_xll.FDS(A11,"FE_ESTIMATE(EBIT,MEDIAN,ANN_ROLL,+5,NOW,,,'')"),)</f>
        <v>0</v>
      </c>
      <c r="H40" s="828" cm="1">
        <f t="array" ref="H40">IFERROR(_xll.FDS(A11,"FF_DEP_AMORT_EXP(ANN_R,0)"),)</f>
        <v>31373.913</v>
      </c>
      <c r="I40" s="828" cm="1">
        <f t="array" ref="I40">IFERROR(_xll.FDS(A11,"FE_ESTIMATE(DEP_AMORT_EXP,MEDIAN,ANN_ROLL,+5,NOW,,,'')"),)</f>
        <v>0</v>
      </c>
      <c r="J40" s="828" cm="1">
        <f t="array" ref="J40">IFERROR(_xll.FDS(A11,"FF_EBITDA_OPER(ANN,NOW)"),)</f>
        <v>33558.599000000002</v>
      </c>
      <c r="K40" s="832" cm="1">
        <f t="array" ref="K40">IFERROR(_xll.FDS(A11,"FE_ESTIMATE(EBITDA,MEDIAN,ANN_ROLL,+5,NOW,,,'')"),)</f>
        <v>0</v>
      </c>
      <c r="L40" s="830" cm="1">
        <f t="array" ref="L40">IFERROR(_xll.FDS(A11,"FF_EPS(ANN_R,NOW)"),)</f>
        <v>2.58E-2</v>
      </c>
      <c r="M40" s="830" cm="1">
        <f t="array" ref="M40">IFERROR(_xll.FDS(A11,"FE_ESTIMATE(EPS,MEDIAN,ANN_ROLL,+5,NOW,,,'')"),)</f>
        <v>0</v>
      </c>
    </row>
    <row r="41" spans="1:19" ht="20.100000000000001" customHeight="1">
      <c r="A41" s="787"/>
      <c r="B41" s="788" t="str">
        <f t="shared" si="12"/>
        <v>El Al Israel Airlines Ltd</v>
      </c>
      <c r="C41" s="788" cm="1">
        <f t="array" ref="C41">IFERROR(_xll.FDSR(A12,"FF_COM_SHS_OUT_EPS_BASIC(ANN_R,0)"),"-")</f>
        <v>89.312624999999997</v>
      </c>
      <c r="D41" s="828" cm="1">
        <f t="array" ref="D41">IFERROR(_xll.FDS(A12,"FF_SALES(ANN_R,0)"),0)</f>
        <v>2142.7733285725499</v>
      </c>
      <c r="E41" s="828" cm="1">
        <f t="array" ref="E41">IFERROR(_xll.FDS(A12,"FE_ESTIMATE(SALES,MEDIAN,ANN_ROLL,+5,NOW,,,'')"),)</f>
        <v>0</v>
      </c>
      <c r="F41" s="828" cm="1">
        <f t="array" ref="F41">IFERROR(_xll.FDS(A12,"FF_EBIT_OPER(ANN_R,NOW)"),)</f>
        <v>-1325.6564699999999</v>
      </c>
      <c r="G41" s="828" cm="1">
        <f t="array" ref="G41">IFERROR(_xll.FDS(A12,"FE_ESTIMATE(EBIT,MEDIAN,ANN_ROLL,+5,NOW,,,'')"),)</f>
        <v>0</v>
      </c>
      <c r="H41" s="828" cm="1">
        <f t="array" ref="H41">IFERROR(_xll.FDS(A12,"FF_DEP_AMORT_EXP(ANN_R,0)"),)</f>
        <v>826.76677382681203</v>
      </c>
      <c r="I41" s="828" cm="1">
        <f t="array" ref="I41">IFERROR(_xll.FDS(A12,"FE_ESTIMATE(DEP_AMORT_EXP,MEDIAN,ANN_ROLL,+5,NOW,,,'')"),)</f>
        <v>0</v>
      </c>
      <c r="J41" s="828" cm="1">
        <f t="array" ref="J41">IFERROR(_xll.FDS(A12,"FF_EBITDA_OPER(ANN,NOW)"),)</f>
        <v>-498.8897</v>
      </c>
      <c r="K41" s="828" cm="1">
        <f t="array" ref="K41">IFERROR(_xll.FDS(A12,"FE_ESTIMATE(EBITDA,MEDIAN,ANN_ROLL,+5,NOW,,,'')"),)</f>
        <v>0</v>
      </c>
      <c r="L41" s="830" cm="1">
        <f t="array" ref="L41">IFERROR(_xll.FDS(A12,"FF_EPS(ANN_R,NOW)"),)</f>
        <v>-20.447900000000001</v>
      </c>
      <c r="M41" s="830" cm="1">
        <f t="array" ref="M41">IFERROR(_xll.FDS(A12,"FE_ESTIMATE(EPS,MEDIAN,ANN_ROLL,+5,NOW,,,'')"),)</f>
        <v>0</v>
      </c>
    </row>
    <row r="42" spans="1:19" ht="20.100000000000001" customHeight="1">
      <c r="A42" s="877"/>
      <c r="B42" s="878" t="str">
        <f t="shared" si="12"/>
        <v>China Southern Airlines Company Limited Class H</v>
      </c>
      <c r="C42" s="878" cm="1">
        <f t="array" ref="C42">IFERROR(_xll.FDSR(A13,"FF_COM_SHS_OUT_EPS_BASIC(ANN_R,0)"),"-")</f>
        <v>14057</v>
      </c>
      <c r="D42" s="879" cm="1">
        <f t="array" ref="D42">IFERROR(_xll.FDS(A13,"FF_SALES(ANN_R,0)"),0)</f>
        <v>104010.18187226</v>
      </c>
      <c r="E42" s="879" cm="1">
        <f t="array" ref="E42">IFERROR(_xll.FDS(A13,"FE_ESTIMATE(SALES,MEDIAN,ANN_ROLL,+5,NOW,,,'')"),)</f>
        <v>0</v>
      </c>
      <c r="F42" s="879" cm="1">
        <f t="array" ref="F42">IFERROR(_xll.FDS(A13,"FF_EBIT_OPER(ANN_R,NOW)"),)</f>
        <v>-14146.17582</v>
      </c>
      <c r="G42" s="879" cm="1">
        <f t="array" ref="G42">IFERROR(_xll.FDS(A13,"FE_ESTIMATE(EBIT,MEDIAN,ANN_ROLL,+5,NOW,,,'')"),)</f>
        <v>0</v>
      </c>
      <c r="H42" s="879" cm="1">
        <f t="array" ref="H42">IFERROR(_xll.FDS(A13,"FF_DEP_AMORT_EXP(ANN_R,0)"),)</f>
        <v>27558.579859953599</v>
      </c>
      <c r="I42" s="879" cm="1">
        <f t="array" ref="I42">IFERROR(_xll.FDS(A13,"FE_ESTIMATE(DEP_AMORT_EXP,MEDIAN,ANN_ROLL,+5,NOW,,,'')"),)</f>
        <v>0</v>
      </c>
      <c r="J42" s="879" cm="1">
        <f t="array" ref="J42">IFERROR(_xll.FDS(A13,"FF_EBITDA_OPER(ANN,NOW)"),)</f>
        <v>13412.404039999999</v>
      </c>
      <c r="K42" s="879" cm="1">
        <f t="array" ref="K42">IFERROR(_xll.FDS(A13,"FE_ESTIMATE(EBITDA,MEDIAN,ANN_ROLL,+5,NOW,,,'')"),)</f>
        <v>0</v>
      </c>
      <c r="L42" s="880" cm="1">
        <f t="array" ref="L42">IFERROR(_xll.FDS(A13,"FF_EPS(ANN_R,NOW)"),)</f>
        <v>-0.77129999999999999</v>
      </c>
      <c r="M42" s="880" cm="1">
        <f t="array" ref="M42">IFERROR(_xll.FDS(A13,"FE_ESTIMATE(EPS,MEDIAN,ANN_ROLL,+5,NOW,,,'')"),)</f>
        <v>0</v>
      </c>
    </row>
    <row r="43" spans="1:19" ht="20.100000000000001" customHeight="1">
      <c r="A43" s="877"/>
      <c r="B43" s="878" t="str">
        <f t="shared" si="12"/>
        <v>Avianca Holdings SA Pfd</v>
      </c>
      <c r="C43" s="878" cm="1">
        <f t="array" ref="C43">IFERROR(_xll.FDSR(A14,"FF_COM_SHS_OUT_EPS_BASIC(ANN_R,0)"),"-")</f>
        <v>996.98699999999997</v>
      </c>
      <c r="D43" s="879" cm="1">
        <f t="array" ref="D43">IFERROR(_xll.FDS(A14,"FF_SALES(ANN_R,0)"),0)</f>
        <v>6326017.7634938303</v>
      </c>
      <c r="E43" s="879" cm="1">
        <f t="array" ref="E43">IFERROR(_xll.FDS(A14,"FE_ESTIMATE(SALES,MEDIAN,ANN_ROLL,+5,NOW,,,'')"),)</f>
        <v>0</v>
      </c>
      <c r="F43" s="879" cm="1">
        <f t="array" ref="F43">IFERROR(_xll.FDS(A14,"FF_EBIT_OPER(ANN_R,NOW)"),)</f>
        <v>-1889003.3056000001</v>
      </c>
      <c r="G43" s="879" cm="1">
        <f t="array" ref="G43">IFERROR(_xll.FDS(A14,"FE_ESTIMATE(EBIT,MEDIAN,ANN_ROLL,+5,NOW,,,'')"),)</f>
        <v>0</v>
      </c>
      <c r="H43" s="879" cm="1">
        <f t="array" ref="H43">IFERROR(_xll.FDS(A14,"FF_DEP_AMORT_EXP(ANN_R,0)"),)</f>
        <v>1969945.7005264901</v>
      </c>
      <c r="I43" s="879" cm="1">
        <f t="array" ref="I43">IFERROR(_xll.FDS(A14,"FE_ESTIMATE(DEP_AMORT_EXP,MEDIAN,ANN_ROLL,+5,NOW,,,'')"),)</f>
        <v>0</v>
      </c>
      <c r="J43" s="879" cm="1">
        <f t="array" ref="J43">IFERROR(_xll.FDS(A14,"FF_EBITDA_OPER(ANN,NOW)"),)</f>
        <v>80942.394929999995</v>
      </c>
      <c r="K43" s="879" cm="1">
        <f t="array" ref="K43">IFERROR(_xll.FDS(A14,"FE_ESTIMATE(EBITDA,MEDIAN,ANN_ROLL,+5,NOW,,,'')"),)</f>
        <v>0</v>
      </c>
      <c r="L43" s="880" cm="1">
        <f t="array" ref="L43">IFERROR(_xll.FDS(A14,"FF_EPS(ANN_R,NOW)"),)</f>
        <v>-4029.4529000000002</v>
      </c>
      <c r="M43" s="880" cm="1">
        <f t="array" ref="M43">IFERROR(_xll.FDS(A14,"FE_ESTIMATE(EPS,MEDIAN,ANN_ROLL,+5,NOW,,,'')"),)</f>
        <v>0</v>
      </c>
    </row>
    <row r="44" spans="1:19" ht="20.100000000000001" customHeight="1">
      <c r="A44" s="877"/>
      <c r="B44" s="878" t="str">
        <f t="shared" si="12"/>
        <v>Qantas Airways Limited</v>
      </c>
      <c r="C44" s="878" cm="1">
        <f t="array" ref="C44">IFERROR(_xll.FDSR(A15,"FF_COM_SHS_OUT_EPS_BASIC(ANN_R,0)"),"-")</f>
        <v>1882</v>
      </c>
      <c r="D44" s="879" cm="1">
        <f t="array" ref="D44">IFERROR(_xll.FDS(A15,"FF_SALES(ANN_R,0)"),0)</f>
        <v>5385</v>
      </c>
      <c r="E44" s="879" cm="1">
        <f t="array" ref="E44">IFERROR(_xll.FDS(A15,"FE_ESTIMATE(SALES,MEDIAN,ANN_ROLL,+5,NOW,,,'')"),)</f>
        <v>20351</v>
      </c>
      <c r="F44" s="879" cm="1">
        <f t="array" ref="F44">IFERROR(_xll.FDS(A15,"FF_EBIT_OPER(ANN_R,NOW)"),)</f>
        <v>-2671</v>
      </c>
      <c r="G44" s="879" cm="1">
        <f t="array" ref="G44">IFERROR(_xll.FDS(A15,"FE_ESTIMATE(EBIT,MEDIAN,ANN_ROLL,+5,NOW,,,'')"),)</f>
        <v>2252</v>
      </c>
      <c r="H44" s="879" cm="1">
        <f t="array" ref="H44">IFERROR(_xll.FDS(A15,"FF_DEP_AMORT_EXP(ANN_R,0)"),)</f>
        <v>1939</v>
      </c>
      <c r="I44" s="879" cm="1">
        <f t="array" ref="I44">IFERROR(_xll.FDS(A15,"FE_ESTIMATE(DEP_AMORT_EXP,MEDIAN,ANN_ROLL,+5,NOW,,,'')"),)</f>
        <v>0</v>
      </c>
      <c r="J44" s="879" cm="1">
        <f t="array" ref="J44">IFERROR(_xll.FDS(A15,"FF_EBITDA_OPER(ANN,NOW)"),)</f>
        <v>-732</v>
      </c>
      <c r="K44" s="879" cm="1">
        <f t="array" ref="K44">IFERROR(_xll.FDS(A15,"FE_ESTIMATE(EBITDA,MEDIAN,ANN_ROLL,+5,NOW,,,'')"),)</f>
        <v>4329</v>
      </c>
      <c r="L44" s="880" cm="1">
        <f t="array" ref="L44">IFERROR(_xll.FDS(A15,"FF_EPS(ANN_R,NOW)"),)</f>
        <v>-0.91820000000000002</v>
      </c>
      <c r="M44" s="880" cm="1">
        <f t="array" ref="M44">IFERROR(_xll.FDS(A15,"FE_ESTIMATE(EPS,MEDIAN,ANN_ROLL,+5,NOW,,,'')"),)</f>
        <v>0.83199999999999996</v>
      </c>
    </row>
    <row r="45" spans="1:19" ht="20.100000000000001" customHeight="1">
      <c r="A45" s="877"/>
      <c r="B45" s="878" t="str">
        <f t="shared" si="12"/>
        <v>Mesa Air Group Inc</v>
      </c>
      <c r="C45" s="878" cm="1">
        <f t="array" ref="C45">IFERROR(_xll.FDSR(A16,"FF_COM_SHS_OUT_EPS_BASIC(ANN_R,0)"),"-")</f>
        <v>35.237000000000002</v>
      </c>
      <c r="D45" s="879" cm="1">
        <f t="array" ref="D45">IFERROR(_xll.FDS(A16,"FF_SALES(ANN_R,0)"),0)</f>
        <v>545.07000000000005</v>
      </c>
      <c r="E45" s="879" cm="1">
        <f t="array" ref="E45">IFERROR(_xll.FDS(A16,"FE_ESTIMATE(SALES,MEDIAN,ANN_ROLL,+5,NOW,,,'')"),)</f>
        <v>0</v>
      </c>
      <c r="F45" s="879" cm="1">
        <f t="array" ref="F45">IFERROR(_xll.FDS(A16,"FF_EBIT_OPER(ANN_R,NOW)"),)</f>
        <v>0</v>
      </c>
      <c r="G45" s="879" cm="1">
        <f t="array" ref="G45">IFERROR(_xll.FDS(A16,"FE_ESTIMATE(EBIT,MEDIAN,ANN_ROLL,+5,NOW,,,'')"),)</f>
        <v>0</v>
      </c>
      <c r="H45" s="879" cm="1">
        <f t="array" ref="H45">IFERROR(_xll.FDS(A16,"FF_DEP_AMORT_EXP(ANN_R,0)"),)</f>
        <v>82.296000000000006</v>
      </c>
      <c r="I45" s="879" cm="1">
        <f t="array" ref="I45">IFERROR(_xll.FDS(A16,"FE_ESTIMATE(DEP_AMORT_EXP,MEDIAN,ANN_ROLL,+5,NOW,,,'')"),)</f>
        <v>0</v>
      </c>
      <c r="J45" s="879" cm="1">
        <f t="array" ref="J45">IFERROR(_xll.FDS(A16,"FF_EBITDA_OPER(ANN,NOW)"),)</f>
        <v>0</v>
      </c>
      <c r="K45" s="879" cm="1">
        <f t="array" ref="K45">IFERROR(_xll.FDS(A16,"FE_ESTIMATE(EBITDA,MEDIAN,ANN_ROLL,+5,NOW,,,'')"),)</f>
        <v>0</v>
      </c>
      <c r="L45" s="880" cm="1">
        <f t="array" ref="L45">IFERROR(_xll.FDS(A16,"FF_EPS(ANN_R,NOW)"),)</f>
        <v>0</v>
      </c>
      <c r="M45" s="880" cm="1">
        <f t="array" ref="M45">IFERROR(_xll.FDS(A16,"FE_ESTIMATE(EPS,MEDIAN,ANN_ROLL,+5,NOW,,,'')"),)</f>
        <v>0</v>
      </c>
    </row>
    <row r="46" spans="1:19" ht="20.100000000000001" customHeight="1">
      <c r="A46" s="877"/>
      <c r="B46" s="878" t="str">
        <f t="shared" si="12"/>
        <v>Controladora Vuela Compania de Aviacion SAB de CV Class A</v>
      </c>
      <c r="C46" s="878" cm="1">
        <f t="array" ref="C46">IFERROR(_xll.FDSR(A17,"FF_COM_SHS_OUT_EPS_BASIC(ANN_R,0)"),"-")</f>
        <v>1021.561</v>
      </c>
      <c r="D46" s="879" cm="1">
        <f t="array" ref="D46">IFERROR(_xll.FDS(A17,"FF_SALES(ANN_R,0)"),0)</f>
        <v>22570.812999999998</v>
      </c>
      <c r="E46" s="879" cm="1">
        <f t="array" ref="E46">IFERROR(_xll.FDS(A17,"FE_ESTIMATE(SALES,MEDIAN,ANN_ROLL,+5,NOW,,,'')"),)</f>
        <v>0</v>
      </c>
      <c r="F46" s="879" cm="1">
        <f t="array" ref="F46">IFERROR(_xll.FDS(A17,"FF_EBIT_OPER(ANN_R,NOW)"),)</f>
        <v>-3572.7069999999999</v>
      </c>
      <c r="G46" s="879" cm="1">
        <f t="array" ref="G46">IFERROR(_xll.FDS(A17,"FE_ESTIMATE(EBIT,MEDIAN,ANN_ROLL,+5,NOW,,,'')"),)</f>
        <v>0</v>
      </c>
      <c r="H46" s="879" cm="1">
        <f t="array" ref="H46">IFERROR(_xll.FDS(A17,"FF_DEP_AMORT_EXP(ANN_R,0)"),)</f>
        <v>5947.4210000000003</v>
      </c>
      <c r="I46" s="879" cm="1">
        <f t="array" ref="I46">IFERROR(_xll.FDS(A17,"FE_ESTIMATE(DEP_AMORT_EXP,MEDIAN,ANN_ROLL,+5,NOW,,,'')"),)</f>
        <v>0</v>
      </c>
      <c r="J46" s="879" cm="1">
        <f t="array" ref="J46">IFERROR(_xll.FDS(A17,"FF_EBITDA_OPER(ANN,NOW)"),)</f>
        <v>2374.7139999999999</v>
      </c>
      <c r="K46" s="879" cm="1">
        <f t="array" ref="K46">IFERROR(_xll.FDS(A17,"FE_ESTIMATE(EBITDA,MEDIAN,ANN_ROLL,+5,NOW,,,'')"),)</f>
        <v>0</v>
      </c>
      <c r="L46" s="880" cm="1">
        <f t="array" ref="L46">IFERROR(_xll.FDS(A17,"FF_EPS(ANN_R,NOW)"),)</f>
        <v>-4.2031999999999998</v>
      </c>
      <c r="M46" s="880" cm="1">
        <f t="array" ref="M46">IFERROR(_xll.FDS(A17,"FE_ESTIMATE(EPS,MEDIAN,ANN_ROLL,+5,NOW,,,'')"),)</f>
        <v>0</v>
      </c>
    </row>
    <row r="47" spans="1:19" ht="20.100000000000001" customHeight="1">
      <c r="A47" s="877"/>
      <c r="B47" s="878" t="str">
        <f t="shared" si="12"/>
        <v>Grupo Aeromexico SA de CV</v>
      </c>
      <c r="C47" s="878" cm="1">
        <f t="array" ref="C47">IFERROR(_xll.FDSR(A18,"FF_COM_SHS_OUT_EPS_BASIC(ANN_R,0)"),"-")</f>
        <v>682.275305</v>
      </c>
      <c r="D47" s="879" cm="1">
        <f t="array" ref="D47">IFERROR(_xll.FDS(A18,"FF_SALES(ANN_R,0)"),0)</f>
        <v>28522.134999999998</v>
      </c>
      <c r="E47" s="879" cm="1">
        <f t="array" ref="E47">IFERROR(_xll.FDS(A18,"FE_ESTIMATE(SALES,MEDIAN,ANN_ROLL,+5,NOW,,,'')"),)</f>
        <v>0</v>
      </c>
      <c r="F47" s="879" cm="1">
        <f t="array" ref="F47">IFERROR(_xll.FDS(A18,"FF_EBIT_OPER(ANN_R,NOW)"),)</f>
        <v>-17638.447</v>
      </c>
      <c r="G47" s="879" cm="1">
        <f t="array" ref="G47">IFERROR(_xll.FDS(A18,"FE_ESTIMATE(EBIT,MEDIAN,ANN_ROLL,+5,NOW,,,'')"),)</f>
        <v>0</v>
      </c>
      <c r="H47" s="879" cm="1">
        <f t="array" ref="H47">IFERROR(_xll.FDS(A18,"FF_DEP_AMORT_EXP(ANN_R,0)"),)</f>
        <v>12767.821</v>
      </c>
      <c r="I47" s="879" cm="1">
        <f t="array" ref="I47">IFERROR(_xll.FDS(A18,"FE_ESTIMATE(DEP_AMORT_EXP,MEDIAN,ANN_ROLL,+5,NOW,,,'')"),)</f>
        <v>0</v>
      </c>
      <c r="J47" s="879" cm="1">
        <f t="array" ref="J47">IFERROR(_xll.FDS(A18,"FF_EBITDA_OPER(ANN,NOW)"),)</f>
        <v>-4870.6260000000002</v>
      </c>
      <c r="K47" s="879" cm="1">
        <f t="array" ref="K47">IFERROR(_xll.FDS(A18,"FE_ESTIMATE(EBITDA,MEDIAN,ANN_ROLL,+5,NOW,,,'')"),)</f>
        <v>0</v>
      </c>
      <c r="L47" s="880" cm="1">
        <f t="array" ref="L47">IFERROR(_xll.FDS(A18,"FF_EPS(ANN_R,NOW)"),)</f>
        <v>-62.334699999999998</v>
      </c>
      <c r="M47" s="880" cm="1">
        <f t="array" ref="M47">IFERROR(_xll.FDS(A18,"FE_ESTIMATE(EPS,MEDIAN,ANN_ROLL,+5,NOW,,,'')"),)</f>
        <v>0</v>
      </c>
    </row>
    <row r="48" spans="1:19" ht="20.100000000000001" customHeight="1">
      <c r="A48" s="877"/>
      <c r="B48" s="878" t="str">
        <f t="shared" si="12"/>
        <v>Hawaiian Holdings, Inc.</v>
      </c>
      <c r="C48" s="878" cm="1">
        <f t="array" ref="C48">IFERROR(_xll.FDSR(A19,"FF_COM_SHS_OUT_EPS_BASIC(ANN_R,0)"),"-")</f>
        <v>46.1</v>
      </c>
      <c r="D48" s="879" cm="1">
        <f t="array" ref="D48">IFERROR(_xll.FDS(A19,"FF_SALES(ANN_R,0)"),0)</f>
        <v>841.73800000000006</v>
      </c>
      <c r="E48" s="879" cm="1">
        <f t="array" ref="E48">IFERROR(_xll.FDS(A19,"FE_ESTIMATE(SALES,MEDIAN,ANN_ROLL,+5,NOW,,,'')"),)</f>
        <v>0</v>
      </c>
      <c r="F48" s="879" cm="1">
        <f t="array" ref="F48">IFERROR(_xll.FDS(A19,"FF_EBIT_OPER(ANN_R,NOW)"),)</f>
        <v>-466.57499999999999</v>
      </c>
      <c r="G48" s="879" cm="1">
        <f t="array" ref="G48">IFERROR(_xll.FDS(A19,"FE_ESTIMATE(EBIT,MEDIAN,ANN_ROLL,+5,NOW,,,'')"),)</f>
        <v>0</v>
      </c>
      <c r="H48" s="879" cm="1">
        <f t="array" ref="H48">IFERROR(_xll.FDS(A19,"FF_DEP_AMORT_EXP(ANN_R,0)"),)</f>
        <v>151.66499999999999</v>
      </c>
      <c r="I48" s="879" cm="1">
        <f t="array" ref="I48">IFERROR(_xll.FDS(A19,"FE_ESTIMATE(DEP_AMORT_EXP,MEDIAN,ANN_ROLL,+5,NOW,,,'')"),)</f>
        <v>0</v>
      </c>
      <c r="J48" s="879" cm="1">
        <f t="array" ref="J48">IFERROR(_xll.FDS(A19,"FF_EBITDA_OPER(ANN,NOW)"),)</f>
        <v>-314.91000000000003</v>
      </c>
      <c r="K48" s="879" cm="1">
        <f t="array" ref="K48">IFERROR(_xll.FDS(A19,"FE_ESTIMATE(EBITDA,MEDIAN,ANN_ROLL,+5,NOW,,,'')"),)</f>
        <v>0</v>
      </c>
      <c r="L48" s="880" cm="1">
        <f t="array" ref="L48">IFERROR(_xll.FDS(A19,"FF_EPS(ANN_R,NOW)"),)</f>
        <v>-11.0832</v>
      </c>
      <c r="M48" s="880" cm="1">
        <f t="array" ref="M48">IFERROR(_xll.FDS(A19,"FE_ESTIMATE(EPS,MEDIAN,ANN_ROLL,+5,NOW,,,'')"),)</f>
        <v>0</v>
      </c>
    </row>
    <row r="49" spans="1:13" ht="20.100000000000001" customHeight="1">
      <c r="A49" s="877"/>
      <c r="B49" s="878" t="str">
        <f t="shared" si="12"/>
        <v>LATAM Airlines Group SA</v>
      </c>
      <c r="C49" s="878" cm="1">
        <f t="array" ref="C49">IFERROR(_xll.FDSR(A20,"FF_COM_SHS_OUT_EPS_BASIC(ANN_R,0)"),"-")</f>
        <v>606.40769299999999</v>
      </c>
      <c r="D49" s="879" cm="1">
        <f t="array" ref="D49">IFERROR(_xll.FDS(A20,"FF_SALES(ANN_R,0)"),0)</f>
        <v>3106055.8459199099</v>
      </c>
      <c r="E49" s="879" cm="1">
        <f t="array" ref="E49">IFERROR(_xll.FDS(A20,"FE_ESTIMATE(SALES,MEDIAN,ANN_ROLL,+5,NOW,,,'')"),)</f>
        <v>0</v>
      </c>
      <c r="F49" s="879" cm="1">
        <f t="array" ref="F49">IFERROR(_xll.FDS(A20,"FF_EBIT_OPER(ANN_R,NOW)"),)</f>
        <v>-1389557.86161</v>
      </c>
      <c r="G49" s="879" cm="1">
        <f t="array" ref="G49">IFERROR(_xll.FDS(A20,"FE_ESTIMATE(EBIT,MEDIAN,ANN_ROLL,+5,NOW,,,'')"),)</f>
        <v>0</v>
      </c>
      <c r="H49" s="879" cm="1">
        <f t="array" ref="H49">IFERROR(_xll.FDS(A20,"FF_DEP_AMORT_EXP(ANN_R,0)"),)</f>
        <v>1099866.6572722101</v>
      </c>
      <c r="I49" s="879" cm="1">
        <f t="array" ref="I49">IFERROR(_xll.FDS(A20,"FE_ESTIMATE(DEP_AMORT_EXP,MEDIAN,ANN_ROLL,+5,NOW,,,'')"),)</f>
        <v>0</v>
      </c>
      <c r="J49" s="879" cm="1">
        <f t="array" ref="J49">IFERROR(_xll.FDS(A20,"FF_EBITDA_OPER(ANN,NOW)"),)</f>
        <v>-289691.20434</v>
      </c>
      <c r="K49" s="879" cm="1">
        <f t="array" ref="K49">IFERROR(_xll.FDS(A20,"FE_ESTIMATE(EBITDA,MEDIAN,ANN_ROLL,+5,NOW,,,'')"),)</f>
        <v>0</v>
      </c>
      <c r="L49" s="880" cm="1">
        <f t="array" ref="L49">IFERROR(_xll.FDS(A20,"FF_EPS(ANN_R,NOW)"),)</f>
        <v>-5934.3208999999997</v>
      </c>
      <c r="M49" s="880" cm="1">
        <f t="array" ref="M49">IFERROR(_xll.FDS(A20,"FE_ESTIMATE(EPS,MEDIAN,ANN_ROLL,+5,NOW,,,'')"),)</f>
        <v>0</v>
      </c>
    </row>
    <row r="50" spans="1:13" ht="20.100000000000001" customHeight="1">
      <c r="A50" s="877"/>
      <c r="B50" s="878" t="str">
        <f t="shared" si="12"/>
        <v>SkyWest, Inc</v>
      </c>
      <c r="C50" s="878" cm="1">
        <f t="array" ref="C50">IFERROR(_xll.FDSR(A21,"FF_COM_SHS_OUT_EPS_BASIC(ANN_R,0)"),"-")</f>
        <v>50.195</v>
      </c>
      <c r="D50" s="879" cm="1">
        <f t="array" ref="D50">IFERROR(_xll.FDS(A21,"FF_SALES(ANN_R,0)"),0)</f>
        <v>2127.1060000000002</v>
      </c>
      <c r="E50" s="879" cm="1">
        <f t="array" ref="E50">IFERROR(_xll.FDS(A21,"FE_ESTIMATE(SALES,MEDIAN,ANN_ROLL,+5,NOW,,,'')"),)</f>
        <v>0</v>
      </c>
      <c r="F50" s="879" cm="1">
        <f t="array" ref="F50">IFERROR(_xll.FDS(A21,"FF_EBIT_OPER(ANN_R,NOW)"),)</f>
        <v>-236.68899999999999</v>
      </c>
      <c r="G50" s="879" cm="1">
        <f t="array" ref="G50">IFERROR(_xll.FDS(A21,"FE_ESTIMATE(EBIT,MEDIAN,ANN_ROLL,+5,NOW,,,'')"),)</f>
        <v>0</v>
      </c>
      <c r="H50" s="879" cm="1">
        <f t="array" ref="H50">IFERROR(_xll.FDS(A21,"FF_DEP_AMORT_EXP(ANN_R,0)"),)</f>
        <v>474.959</v>
      </c>
      <c r="I50" s="879" cm="1">
        <f t="array" ref="I50">IFERROR(_xll.FDS(A21,"FE_ESTIMATE(DEP_AMORT_EXP,MEDIAN,ANN_ROLL,+5,NOW,,,'')"),)</f>
        <v>0</v>
      </c>
      <c r="J50" s="879" cm="1">
        <f t="array" ref="J50">IFERROR(_xll.FDS(A21,"FF_EBITDA_OPER(ANN,NOW)"),)</f>
        <v>238.27</v>
      </c>
      <c r="K50" s="879" cm="1">
        <f t="array" ref="K50">IFERROR(_xll.FDS(A21,"FE_ESTIMATE(EBITDA,MEDIAN,ANN_ROLL,+5,NOW,,,'')"),)</f>
        <v>0</v>
      </c>
      <c r="L50" s="880" cm="1">
        <f t="array" ref="L50">IFERROR(_xll.FDS(A21,"FF_EPS(ANN_R,NOW)"),)</f>
        <v>-0.1696</v>
      </c>
      <c r="M50" s="880" cm="1">
        <f t="array" ref="M50">IFERROR(_xll.FDS(A21,"FE_ESTIMATE(EPS,MEDIAN,ANN_ROLL,+5,NOW,,,'')"),)</f>
        <v>0</v>
      </c>
    </row>
    <row r="51" spans="1:13" ht="20.100000000000001" customHeight="1">
      <c r="A51" s="877"/>
      <c r="B51" s="878" t="str">
        <f t="shared" si="12"/>
        <v>Air Canada</v>
      </c>
      <c r="C51" s="878" cm="1">
        <f t="array" ref="C51">IFERROR(_xll.FDSR(A22,"FF_COM_SHS_OUT_EPS_BASIC(ANN_R,0)"),"-")</f>
        <v>282</v>
      </c>
      <c r="D51" s="879" cm="1">
        <f t="array" ref="D51">IFERROR(_xll.FDS(A22,"FF_SALES(ANN_R,0)"),0)</f>
        <v>5833</v>
      </c>
      <c r="E51" s="879" cm="1">
        <f t="array" ref="E51">IFERROR(_xll.FDS(A22,"FE_ESTIMATE(SALES,MEDIAN,ANN_ROLL,+5,NOW,,,'')"),)</f>
        <v>20662.5</v>
      </c>
      <c r="F51" s="879" cm="1">
        <f t="array" ref="F51">IFERROR(_xll.FDS(A22,"FF_EBIT_OPER(ANN_R,NOW)"),)</f>
        <v>-3892</v>
      </c>
      <c r="G51" s="879" cm="1">
        <f t="array" ref="G51">IFERROR(_xll.FDS(A22,"FE_ESTIMATE(EBIT,MEDIAN,ANN_ROLL,+5,NOW,,,'')"),)</f>
        <v>2550</v>
      </c>
      <c r="H51" s="879" cm="1">
        <f t="array" ref="H51">IFERROR(_xll.FDS(A22,"FF_DEP_AMORT_EXP(ANN_R,0)"),)</f>
        <v>1835</v>
      </c>
      <c r="I51" s="879" cm="1">
        <f t="array" ref="I51">IFERROR(_xll.FDS(A22,"FE_ESTIMATE(DEP_AMORT_EXP,MEDIAN,ANN_ROLL,+5,NOW,,,'')"),)</f>
        <v>1857</v>
      </c>
      <c r="J51" s="879" cm="1">
        <f t="array" ref="J51">IFERROR(_xll.FDS(A22,"FF_EBITDA_OPER(ANN,NOW)"),)</f>
        <v>-2057</v>
      </c>
      <c r="K51" s="879" cm="1">
        <f t="array" ref="K51">IFERROR(_xll.FDS(A22,"FE_ESTIMATE(EBITDA,MEDIAN,ANN_ROLL,+5,NOW,,,'')"),)</f>
        <v>4365.5</v>
      </c>
      <c r="L51" s="880" cm="1">
        <f t="array" ref="L51">IFERROR(_xll.FDS(A22,"FF_EPS(ANN_R,NOW)"),)</f>
        <v>-16.4787</v>
      </c>
      <c r="M51" s="880" cm="1">
        <f t="array" ref="M51">IFERROR(_xll.FDS(A22,"FE_ESTIMATE(EPS,MEDIAN,ANN_ROLL,+5,NOW,,,'')"),)</f>
        <v>5.125</v>
      </c>
    </row>
    <row r="52" spans="1:13" ht="20.100000000000001" customHeight="1">
      <c r="A52" s="877"/>
      <c r="B52" s="878" t="str">
        <f t="shared" si="12"/>
        <v>Chorus Aviation Inc.</v>
      </c>
      <c r="C52" s="878" cm="1">
        <f t="array" ref="C52">IFERROR(_xll.FDSR(A23,"FF_COM_SHS_OUT_EPS_BASIC(ANN_R,0)"),"-")</f>
        <v>161.58554699999999</v>
      </c>
      <c r="D52" s="879" cm="1">
        <f t="array" ref="D52">IFERROR(_xll.FDS(A23,"FF_SALES(ANN_R,0)"),0)</f>
        <v>948.721</v>
      </c>
      <c r="E52" s="879" cm="1">
        <f t="array" ref="E52">IFERROR(_xll.FDS(A23,"FE_ESTIMATE(SALES,MEDIAN,ANN_ROLL,+5,NOW,,,'')"),)</f>
        <v>1652.4570000000001</v>
      </c>
      <c r="F52" s="879" cm="1">
        <f t="array" ref="F52">IFERROR(_xll.FDS(A23,"FF_EBIT_OPER(ANN_R,NOW)"),)</f>
        <v>114.547</v>
      </c>
      <c r="G52" s="879" cm="1">
        <f t="array" ref="G52">IFERROR(_xll.FDS(A23,"FE_ESTIMATE(EBIT,MEDIAN,ANN_ROLL,+5,NOW,,,'')"),)</f>
        <v>339.58100000000002</v>
      </c>
      <c r="H52" s="879" cm="1">
        <f t="array" ref="H52">IFERROR(_xll.FDS(A23,"FF_DEP_AMORT_EXP(ANN_R,0)"),)</f>
        <v>224.35400000000001</v>
      </c>
      <c r="I52" s="879" cm="1">
        <f t="array" ref="I52">IFERROR(_xll.FDS(A23,"FE_ESTIMATE(DEP_AMORT_EXP,MEDIAN,ANN_ROLL,+5,NOW,,,'')"),)</f>
        <v>0</v>
      </c>
      <c r="J52" s="879" cm="1">
        <f t="array" ref="J52">IFERROR(_xll.FDS(A23,"FF_EBITDA_OPER(ANN,NOW)"),)</f>
        <v>338.90100000000001</v>
      </c>
      <c r="K52" s="879" cm="1">
        <f t="array" ref="K52">IFERROR(_xll.FDS(A23,"FE_ESTIMATE(EBITDA,MEDIAN,ANN_ROLL,+5,NOW,,,'')"),)</f>
        <v>509.62200000000001</v>
      </c>
      <c r="L52" s="880" cm="1">
        <f t="array" ref="L52">IFERROR(_xll.FDS(A23,"FF_EPS(ANN_R,NOW)"),)</f>
        <v>0.25669999999999998</v>
      </c>
      <c r="M52" s="880" cm="1">
        <f t="array" ref="M52">IFERROR(_xll.FDS(A23,"FE_ESTIMATE(EPS,MEDIAN,ANN_ROLL,+5,NOW,,,'')"),)</f>
        <v>1.0900000000000001</v>
      </c>
    </row>
    <row r="53" spans="1:13" ht="20.100000000000001" customHeight="1">
      <c r="A53" s="877"/>
      <c r="B53" s="878" t="str">
        <f t="shared" si="12"/>
        <v>Copa Holdings, S.A. Class A</v>
      </c>
      <c r="C53" s="878" cm="1">
        <f t="array" ref="C53">IFERROR(_xll.FDSR(A24,"FF_COM_SHS_OUT_EPS_BASIC(ANN_R,0)"),"-")</f>
        <v>42.508000000000003</v>
      </c>
      <c r="D53" s="879" cm="1">
        <f t="array" ref="D53">IFERROR(_xll.FDS(A24,"FF_SALES(ANN_R,0)"),0)</f>
        <v>801.00300000000004</v>
      </c>
      <c r="E53" s="879" cm="1">
        <f t="array" ref="E53">IFERROR(_xll.FDS(A24,"FE_ESTIMATE(SALES,MEDIAN,ANN_ROLL,+5,NOW,,,'')"),)</f>
        <v>0</v>
      </c>
      <c r="F53" s="879" cm="1">
        <f t="array" ref="F53">IFERROR(_xll.FDS(A24,"FF_EBIT_OPER(ANN_R,NOW)"),)</f>
        <v>-217.84299999999999</v>
      </c>
      <c r="G53" s="879" cm="1">
        <f t="array" ref="G53">IFERROR(_xll.FDS(A24,"FE_ESTIMATE(EBIT,MEDIAN,ANN_ROLL,+5,NOW,,,'')"),)</f>
        <v>0</v>
      </c>
      <c r="H53" s="879" cm="1">
        <f t="array" ref="H53">IFERROR(_xll.FDS(A24,"FF_DEP_AMORT_EXP(ANN_R,0)"),)</f>
        <v>259.33600000000001</v>
      </c>
      <c r="I53" s="879" cm="1">
        <f t="array" ref="I53">IFERROR(_xll.FDS(A24,"FE_ESTIMATE(DEP_AMORT_EXP,MEDIAN,ANN_ROLL,+5,NOW,,,'')"),)</f>
        <v>0</v>
      </c>
      <c r="J53" s="879" cm="1">
        <f t="array" ref="J53">IFERROR(_xll.FDS(A24,"FF_EBITDA_OPER(ANN,NOW)"),)</f>
        <v>41.493000000000002</v>
      </c>
      <c r="K53" s="879" cm="1">
        <f t="array" ref="K53">IFERROR(_xll.FDS(A24,"FE_ESTIMATE(EBITDA,MEDIAN,ANN_ROLL,+5,NOW,,,'')"),)</f>
        <v>0</v>
      </c>
      <c r="L53" s="880" cm="1">
        <f t="array" ref="L53">IFERROR(_xll.FDS(A24,"FF_EPS(ANN_R,NOW)"),)</f>
        <v>-14.2811</v>
      </c>
      <c r="M53" s="880" cm="1">
        <f t="array" ref="M53">IFERROR(_xll.FDS(A24,"FE_ESTIMATE(EPS,MEDIAN,ANN_ROLL,+5,NOW,,,'')"),)</f>
        <v>0</v>
      </c>
    </row>
    <row r="54" spans="1:13" ht="20.100000000000001" customHeight="1">
      <c r="A54" s="877"/>
      <c r="B54" s="878" t="str">
        <f t="shared" si="12"/>
        <v>PAL Holdings, Inc.</v>
      </c>
      <c r="C54" s="878" cm="1">
        <f t="array" ref="C54">IFERROR(_xll.FDSR(A25,"FF_COM_SHS_OUT_EPS_BASIC(ANN_R,0)"),"-")</f>
        <v>11610.978241999999</v>
      </c>
      <c r="D54" s="879" cm="1">
        <f t="array" ref="D54">IFERROR(_xll.FDS(A25,"FF_SALES(ANN_R,0)"),0)</f>
        <v>55263.966</v>
      </c>
      <c r="E54" s="879" cm="1">
        <f t="array" ref="E54">IFERROR(_xll.FDS(A25,"FE_ESTIMATE(SALES,MEDIAN,ANN_ROLL,+5,NOW,,,'')"),)</f>
        <v>0</v>
      </c>
      <c r="F54" s="879" cm="1">
        <f t="array" ref="F54">IFERROR(_xll.FDS(A25,"FF_EBIT_OPER(ANN_R,NOW)"),)</f>
        <v>-26576.538</v>
      </c>
      <c r="G54" s="879" cm="1">
        <f t="array" ref="G54">IFERROR(_xll.FDS(A25,"FE_ESTIMATE(EBIT,MEDIAN,ANN_ROLL,+5,NOW,,,'')"),)</f>
        <v>0</v>
      </c>
      <c r="H54" s="879" cm="1">
        <f t="array" ref="H54">IFERROR(_xll.FDS(A25,"FF_DEP_AMORT_EXP(ANN_R,0)"),)</f>
        <v>25853.203000000001</v>
      </c>
      <c r="I54" s="879" cm="1">
        <f t="array" ref="I54">IFERROR(_xll.FDS(A25,"FE_ESTIMATE(DEP_AMORT_EXP,MEDIAN,ANN_ROLL,+5,NOW,,,'')"),)</f>
        <v>0</v>
      </c>
      <c r="J54" s="879" cm="1">
        <f t="array" ref="J54">IFERROR(_xll.FDS(A25,"FF_EBITDA_OPER(ANN,NOW)"),)</f>
        <v>-723.33500000000004</v>
      </c>
      <c r="K54" s="879" cm="1">
        <f t="array" ref="K54">IFERROR(_xll.FDS(A25,"FE_ESTIMATE(EBITDA,MEDIAN,ANN_ROLL,+5,NOW,,,'')"),)</f>
        <v>0</v>
      </c>
      <c r="L54" s="880" cm="1">
        <f t="array" ref="L54">IFERROR(_xll.FDS(A25,"FF_EPS(ANN_R,NOW)"),)</f>
        <v>-6.1847000000000003</v>
      </c>
      <c r="M54" s="880" cm="1">
        <f t="array" ref="M54">IFERROR(_xll.FDS(A25,"FE_ESTIMATE(EPS,MEDIAN,ANN_ROLL,+5,NOW,,,'')"),)</f>
        <v>0</v>
      </c>
    </row>
    <row r="55" spans="1:13" ht="20.100000000000001" customHeight="1">
      <c r="A55" s="791"/>
      <c r="B55" s="792" t="str">
        <f t="shared" si="12"/>
        <v>Transat A.T. Inc.</v>
      </c>
      <c r="C55" s="792" cm="1">
        <f t="array" ref="C55">IFERROR(_xll.FDSR(A26,"FF_COM_SHS_OUT_EPS_BASIC(ANN_R,0)"),"-")</f>
        <v>37.747</v>
      </c>
      <c r="D55" s="833" cm="1">
        <f t="array" ref="D55">IFERROR(_xll.FDS(A26,"FF_SALES(ANN_R,0)"),0)</f>
        <v>1302.069</v>
      </c>
      <c r="E55" s="834" cm="1">
        <f t="array" ref="E55">IFERROR(_xll.FDS(A26,"FE_ESTIMATE(SALES,MEDIAN,ANN_ROLL,+5,NOW,,,'')"),)</f>
        <v>2953.3939999999998</v>
      </c>
      <c r="F55" s="833" cm="1">
        <f t="array" ref="F55">IFERROR(_xll.FDS(A26,"FF_EBIT_OPER(ANN_R,NOW)"),)</f>
        <v>0</v>
      </c>
      <c r="G55" s="833" cm="1">
        <f t="array" ref="G55">IFERROR(_xll.FDS(A26,"FE_ESTIMATE(EBIT,MEDIAN,ANN_ROLL,+5,NOW,,,'')"),)</f>
        <v>0</v>
      </c>
      <c r="H55" s="833" cm="1">
        <f t="array" ref="H55">IFERROR(_xll.FDS(A26,"FF_DEP_AMORT_EXP(ANN_R,0)"),)</f>
        <v>204.11</v>
      </c>
      <c r="I55" s="833" cm="1">
        <f t="array" ref="I55">IFERROR(_xll.FDS(A26,"FE_ESTIMATE(DEP_AMORT_EXP,MEDIAN,ANN_ROLL,+5,NOW,,,'')"),)</f>
        <v>178.70599999999999</v>
      </c>
      <c r="J55" s="833" cm="1">
        <f t="array" ref="J55">IFERROR(_xll.FDS(A26,"FF_EBITDA_OPER(ANN,NOW)"),)</f>
        <v>0</v>
      </c>
      <c r="K55" s="834" cm="1">
        <f t="array" ref="K55">IFERROR(_xll.FDS(A26,"FE_ESTIMATE(EBITDA,MEDIAN,ANN_ROLL,+5,NOW,,,'')"),)</f>
        <v>212.98599999999999</v>
      </c>
      <c r="L55" s="835" cm="1">
        <f t="array" ref="L55">IFERROR(_xll.FDS(A26,"FF_EPS(ANN_R,NOW)"),)</f>
        <v>0</v>
      </c>
      <c r="M55" s="835" cm="1">
        <f t="array" ref="M55">IFERROR(_xll.FDS(A26,"FE_ESTIMATE(EPS,MEDIAN,ANN_ROLL,+5,NOW,,,'')"),)</f>
        <v>-1.08</v>
      </c>
    </row>
  </sheetData>
  <mergeCells count="7">
    <mergeCell ref="L34:M34"/>
    <mergeCell ref="C5:C7"/>
    <mergeCell ref="D5:D7"/>
    <mergeCell ref="D34:E34"/>
    <mergeCell ref="F34:G34"/>
    <mergeCell ref="H34:I34"/>
    <mergeCell ref="J34:K34"/>
  </mergeCells>
  <pageMargins left="0.75" right="0.75" top="1" bottom="1" header="0.5" footer="0.5"/>
  <pageSetup scale="83" orientation="landscape" r:id="rId1"/>
  <headerFooter alignWithMargins="0">
    <oddFooter>&amp;LThe Analyst Exchange&amp;8
On - Line Training
www.theanalystexchange.com
&amp;R&amp;F, &amp;A
&amp;P of &amp;N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35">
    <tabColor rgb="FF00B0F0"/>
  </sheetPr>
  <dimension ref="B2:AI57"/>
  <sheetViews>
    <sheetView showGridLines="0" topLeftCell="A7" zoomScale="70" zoomScaleNormal="70" zoomScaleSheetLayoutView="80" workbookViewId="0"/>
  </sheetViews>
  <sheetFormatPr defaultColWidth="9.28515625" defaultRowHeight="15" outlineLevelCol="1"/>
  <cols>
    <col min="1" max="1" width="9.28515625" style="837"/>
    <col min="2" max="2" width="17.28515625" style="837" customWidth="1"/>
    <col min="3" max="3" width="12.7109375" style="837" customWidth="1" outlineLevel="1"/>
    <col min="4" max="4" width="10.7109375" style="837" customWidth="1" outlineLevel="1"/>
    <col min="5" max="5" width="13.28515625" style="837" bestFit="1" customWidth="1" outlineLevel="1"/>
    <col min="6" max="6" width="2.7109375" style="837" customWidth="1" outlineLevel="1" collapsed="1"/>
    <col min="7" max="7" width="13.85546875" style="837" customWidth="1" outlineLevel="1"/>
    <col min="8" max="8" width="9.28515625" style="837" customWidth="1" outlineLevel="1"/>
    <col min="9" max="9" width="12.7109375" style="837" customWidth="1" outlineLevel="1"/>
    <col min="10" max="10" width="2.7109375" style="837" customWidth="1"/>
    <col min="11" max="11" width="10.7109375" style="837" bestFit="1" customWidth="1"/>
    <col min="12" max="12" width="9.28515625" style="837"/>
    <col min="13" max="13" width="12.7109375" style="837" bestFit="1" customWidth="1"/>
    <col min="14" max="14" width="2.7109375" style="837" customWidth="1"/>
    <col min="15" max="15" width="12" style="837" customWidth="1"/>
    <col min="16" max="16" width="9.28515625" style="837"/>
    <col min="17" max="17" width="13.28515625" style="837" bestFit="1" customWidth="1"/>
    <col min="18" max="18" width="3.28515625" style="837" customWidth="1"/>
    <col min="19" max="19" width="11.7109375" style="837" customWidth="1"/>
    <col min="20" max="20" width="9.28515625" style="837"/>
    <col min="21" max="21" width="13.28515625" style="837" bestFit="1" customWidth="1"/>
    <col min="22" max="22" width="9.28515625" style="837"/>
    <col min="23" max="23" width="26.7109375" style="837" bestFit="1" customWidth="1"/>
    <col min="24" max="24" width="18.28515625" style="837" customWidth="1"/>
    <col min="25" max="26" width="17" style="837" customWidth="1"/>
    <col min="27" max="28" width="9.28515625" style="837"/>
    <col min="29" max="29" width="13.28515625" style="837" customWidth="1"/>
    <col min="30" max="16384" width="9.28515625" style="837"/>
  </cols>
  <sheetData>
    <row r="2" spans="2:35">
      <c r="AD2" s="1348" t="s">
        <v>7</v>
      </c>
      <c r="AE2" s="1348"/>
      <c r="AF2" s="1348"/>
      <c r="AG2" s="1348" t="s">
        <v>1373</v>
      </c>
      <c r="AH2" s="1348"/>
      <c r="AI2" s="1348"/>
    </row>
    <row r="3" spans="2:35">
      <c r="AD3" s="895" t="str">
        <f>DCF!B1</f>
        <v>DAL-US</v>
      </c>
      <c r="AE3" s="837" t="s">
        <v>894</v>
      </c>
      <c r="AF3" t="s">
        <v>1374</v>
      </c>
      <c r="AG3" s="895">
        <f>DCF!E1</f>
        <v>0</v>
      </c>
      <c r="AH3" s="837" t="s">
        <v>894</v>
      </c>
      <c r="AI3" t="s">
        <v>1374</v>
      </c>
    </row>
    <row r="4" spans="2:35">
      <c r="C4" s="838" t="s">
        <v>1375</v>
      </c>
      <c r="D4" s="839"/>
      <c r="E4" s="839"/>
      <c r="F4" s="840"/>
      <c r="G4" s="838" t="s">
        <v>1376</v>
      </c>
      <c r="H4" s="839"/>
      <c r="I4" s="839"/>
      <c r="J4" s="840"/>
      <c r="K4" s="838" t="s">
        <v>1376</v>
      </c>
      <c r="L4" s="839"/>
      <c r="M4" s="839"/>
      <c r="N4" s="840"/>
      <c r="O4" s="838" t="s">
        <v>1377</v>
      </c>
      <c r="P4" s="839"/>
      <c r="Q4" s="839"/>
      <c r="R4" s="839"/>
      <c r="S4" s="838" t="s">
        <v>1377</v>
      </c>
      <c r="T4" s="839"/>
      <c r="U4" s="839"/>
      <c r="AD4" s="837" t="str" cm="1">
        <f t="array" ref="AD4">_xll.FDS(AD3,"FG_COMPANY_NAME")</f>
        <v>Delta Air Lines, Inc.</v>
      </c>
      <c r="AE4" s="837" t="str" cm="1">
        <f t="array" ref="AE4">_xll.FDS(AE3,"FG_COMPANY_NAME")</f>
        <v>S&amp;P 500</v>
      </c>
      <c r="AF4" s="837" t="str" cm="1">
        <f t="array" ref="AF4">_xll.FDS(AF3,"FG_COMPANY_NAME")</f>
        <v>United States / Telecommunications Equipment -IND</v>
      </c>
      <c r="AG4" s="837" t="e" cm="1">
        <f t="array" ref="AG4">_xll.FDS(AG3,"FG_COMPANY_NAME")</f>
        <v>#N/A</v>
      </c>
      <c r="AH4" s="837" t="str" cm="1">
        <f t="array" ref="AH4">_xll.FDS(AH3,"FG_COMPANY_NAME")</f>
        <v>S&amp;P 500</v>
      </c>
      <c r="AI4" s="837" t="str" cm="1">
        <f t="array" ref="AI4">_xll.FDS(AI3,"FG_COMPANY_NAME")</f>
        <v>United States / Telecommunications Equipment -IND</v>
      </c>
    </row>
    <row r="5" spans="2:35" ht="32.25" customHeight="1">
      <c r="C5" s="838" t="s">
        <v>1378</v>
      </c>
      <c r="D5" s="839"/>
      <c r="E5" s="839"/>
      <c r="F5" s="840"/>
      <c r="G5" s="838" t="s">
        <v>1379</v>
      </c>
      <c r="H5" s="839"/>
      <c r="I5" s="839"/>
      <c r="J5" s="840"/>
      <c r="K5" s="838" t="s">
        <v>1380</v>
      </c>
      <c r="L5" s="839"/>
      <c r="M5" s="839"/>
      <c r="N5" s="840"/>
      <c r="O5" s="838" t="s">
        <v>1381</v>
      </c>
      <c r="P5" s="839"/>
      <c r="Q5" s="839"/>
      <c r="R5" s="839"/>
      <c r="S5" s="838" t="s">
        <v>1381</v>
      </c>
      <c r="T5" s="839"/>
      <c r="U5" s="839"/>
      <c r="AC5" s="890">
        <f t="array" ref="AC5:AC57">_xll.FDS('DCF Comps'!A8,"JULIAN(FG_PRICE(NOW,-1AY,W).dates)")</f>
        <v>44526</v>
      </c>
      <c r="AD5" s="837">
        <f t="array" ref="AD5:AD57">_xll.FDS('DCF Comps'!A8,"FG_PRICE(NOW,-1AY,W)")</f>
        <v>36.380000000000003</v>
      </c>
      <c r="AE5" s="837">
        <f t="array" ref="AE5:AE57">_xll.FDS(AE3,"FG_PRICE(NOW,-1AY,W)")</f>
        <v>4594.62</v>
      </c>
      <c r="AF5" s="837">
        <f t="array" ref="AF5:AF57">_xll.FDS(AF3,"FG_PRICE(NOW,-1AY,W)")</f>
        <v>326.09116</v>
      </c>
      <c r="AG5" s="837">
        <f t="shared" ref="AG5" si="0">AD5/AD6*AG6</f>
        <v>88.602045786653619</v>
      </c>
      <c r="AH5" s="837">
        <f t="shared" ref="AH5" si="1">AE5/AE6*AH6</f>
        <v>126.28306787417374</v>
      </c>
      <c r="AI5" s="837">
        <f t="shared" ref="AI5" si="2">AF5/AF6*AI6</f>
        <v>138.78580704921626</v>
      </c>
    </row>
    <row r="6" spans="2:35">
      <c r="C6" s="841" t="s">
        <v>1382</v>
      </c>
      <c r="D6" s="841" t="s">
        <v>1383</v>
      </c>
      <c r="E6" s="841" t="s">
        <v>1384</v>
      </c>
      <c r="F6" s="842"/>
      <c r="G6" s="841" t="str">
        <f>C6</f>
        <v>Low</v>
      </c>
      <c r="H6" s="841" t="str">
        <f>D6</f>
        <v>—</v>
      </c>
      <c r="I6" s="841" t="str">
        <f>E6</f>
        <v>High</v>
      </c>
      <c r="J6" s="842"/>
      <c r="K6" s="841" t="str">
        <f>G6</f>
        <v>Low</v>
      </c>
      <c r="L6" s="841" t="str">
        <f>H6</f>
        <v>—</v>
      </c>
      <c r="M6" s="841" t="str">
        <f>I6</f>
        <v>High</v>
      </c>
      <c r="N6" s="842"/>
      <c r="O6" s="841" t="str">
        <f>K6</f>
        <v>Low</v>
      </c>
      <c r="P6" s="841" t="str">
        <f>L6</f>
        <v>—</v>
      </c>
      <c r="Q6" s="841" t="str">
        <f>M6</f>
        <v>High</v>
      </c>
      <c r="R6" s="841"/>
      <c r="S6" s="841" t="str">
        <f>O6</f>
        <v>Low</v>
      </c>
      <c r="T6" s="841" t="str">
        <f>P6</f>
        <v>—</v>
      </c>
      <c r="U6" s="841" t="str">
        <f>Q6</f>
        <v>High</v>
      </c>
      <c r="AC6" s="890">
        <v>44519</v>
      </c>
      <c r="AD6" s="837">
        <v>39.69</v>
      </c>
      <c r="AE6" s="837">
        <v>4697.96</v>
      </c>
      <c r="AF6" s="837">
        <v>323.98309999999998</v>
      </c>
      <c r="AG6" s="837">
        <f t="shared" ref="AG6:AG55" si="3">AD6/AD7*AG7</f>
        <v>96.663419386263925</v>
      </c>
      <c r="AH6" s="837">
        <f t="shared" ref="AH6:AH55" si="4">AE6/AE7*AH7</f>
        <v>129.12336636112525</v>
      </c>
      <c r="AI6" s="837">
        <f t="shared" ref="AI6:AI55" si="5">AF6/AF7*AI7</f>
        <v>137.88860760226353</v>
      </c>
    </row>
    <row r="7" spans="2:35">
      <c r="AC7" s="890">
        <v>44512</v>
      </c>
      <c r="AD7" s="837">
        <v>42.22</v>
      </c>
      <c r="AE7" s="837">
        <v>4682.8500000000004</v>
      </c>
      <c r="AF7" s="837">
        <v>302.4864</v>
      </c>
      <c r="AG7" s="837">
        <f t="shared" si="3"/>
        <v>102.82513395031653</v>
      </c>
      <c r="AH7" s="837">
        <f t="shared" si="4"/>
        <v>128.7080682177361</v>
      </c>
      <c r="AI7" s="837">
        <f t="shared" si="5"/>
        <v>128.73951917436844</v>
      </c>
    </row>
    <row r="8" spans="2:35">
      <c r="B8" s="843" t="s">
        <v>1385</v>
      </c>
      <c r="C8" s="844">
        <f>X23</f>
        <v>36.380000000000003</v>
      </c>
      <c r="D8" s="845" t="s">
        <v>1383</v>
      </c>
      <c r="E8" s="844">
        <f>Z23</f>
        <v>49.83</v>
      </c>
      <c r="F8" s="845"/>
      <c r="G8" s="846">
        <f ca="1">G10/G9</f>
        <v>108.30425208453495</v>
      </c>
      <c r="H8" s="846" t="s">
        <v>1383</v>
      </c>
      <c r="I8" s="846">
        <f ca="1">I10/I9</f>
        <v>-148.75270859585018</v>
      </c>
      <c r="K8" s="846">
        <f>K14*K15</f>
        <v>48.680880057906521</v>
      </c>
      <c r="L8" s="846" t="s">
        <v>1383</v>
      </c>
      <c r="M8" s="846">
        <f>M14*M15</f>
        <v>1.3742594671329944</v>
      </c>
      <c r="O8" s="847">
        <f>MIN(DCF!B93:F99)</f>
        <v>0.9</v>
      </c>
      <c r="P8" s="848" t="str">
        <f>L8</f>
        <v>—</v>
      </c>
      <c r="Q8" s="847">
        <f>MAX(DCF!B93:F99)</f>
        <v>151.50751374395449</v>
      </c>
      <c r="R8" s="847"/>
      <c r="S8" s="847">
        <f>MIN(DCF!J93:N99)</f>
        <v>166.01883853457633</v>
      </c>
      <c r="T8" s="848" t="str">
        <f>P8</f>
        <v>—</v>
      </c>
      <c r="U8" s="847">
        <f>MAX(DCF!J93:N99)</f>
        <v>430.4619426989297</v>
      </c>
      <c r="AC8" s="890">
        <v>44505</v>
      </c>
      <c r="AD8" s="837">
        <v>44.29</v>
      </c>
      <c r="AE8" s="837">
        <v>4697.53</v>
      </c>
      <c r="AF8" s="837">
        <v>304.66521999999998</v>
      </c>
      <c r="AG8" s="837">
        <f t="shared" si="3"/>
        <v>107.86653677545048</v>
      </c>
      <c r="AH8" s="837">
        <f t="shared" si="4"/>
        <v>129.11154781700498</v>
      </c>
      <c r="AI8" s="837">
        <f t="shared" si="5"/>
        <v>129.66683438314311</v>
      </c>
    </row>
    <row r="9" spans="2:35">
      <c r="B9" s="837" t="s">
        <v>1386</v>
      </c>
      <c r="C9" s="849">
        <f>DCF!B13*1000</f>
        <v>636</v>
      </c>
      <c r="D9" s="845" t="s">
        <v>1383</v>
      </c>
      <c r="E9" s="850">
        <f>C9</f>
        <v>636</v>
      </c>
      <c r="F9" s="845"/>
      <c r="G9" s="851">
        <f>E9</f>
        <v>636</v>
      </c>
      <c r="H9" s="851"/>
      <c r="I9" s="851">
        <f>G9</f>
        <v>636</v>
      </c>
      <c r="K9" s="851">
        <f>I9</f>
        <v>636</v>
      </c>
      <c r="L9" s="851"/>
      <c r="M9" s="851">
        <f>K9</f>
        <v>636</v>
      </c>
      <c r="O9" s="851">
        <f>C9</f>
        <v>636</v>
      </c>
      <c r="Q9" s="851">
        <f>E9</f>
        <v>636</v>
      </c>
      <c r="R9" s="851"/>
      <c r="S9" s="851">
        <f>G9</f>
        <v>636</v>
      </c>
      <c r="U9" s="851">
        <f>I9</f>
        <v>636</v>
      </c>
      <c r="W9" s="852" t="s">
        <v>1387</v>
      </c>
      <c r="AC9" s="890">
        <v>44498</v>
      </c>
      <c r="AD9" s="837">
        <v>39.130000000000003</v>
      </c>
      <c r="AE9" s="837">
        <v>4605.38</v>
      </c>
      <c r="AF9" s="837">
        <v>297.85106999999999</v>
      </c>
      <c r="AG9" s="837">
        <f t="shared" si="3"/>
        <v>95.299561617145571</v>
      </c>
      <c r="AH9" s="837">
        <f t="shared" si="4"/>
        <v>126.57880632704388</v>
      </c>
      <c r="AI9" s="837">
        <f t="shared" si="5"/>
        <v>126.76670269265381</v>
      </c>
    </row>
    <row r="10" spans="2:35">
      <c r="B10" s="843" t="s">
        <v>1388</v>
      </c>
      <c r="C10" s="853">
        <f>C8*C9</f>
        <v>23137.68</v>
      </c>
      <c r="D10" s="853" t="s">
        <v>1383</v>
      </c>
      <c r="E10" s="853">
        <f>E8*E9</f>
        <v>31691.879999999997</v>
      </c>
      <c r="F10" s="853"/>
      <c r="G10" s="853">
        <f ca="1">G12-G11</f>
        <v>68881.504325764225</v>
      </c>
      <c r="H10" s="853"/>
      <c r="I10" s="853">
        <f ca="1">I12-I11</f>
        <v>-94606.722666960719</v>
      </c>
      <c r="J10" s="853"/>
      <c r="K10" s="853">
        <f>K8*K9</f>
        <v>30961.039716828545</v>
      </c>
      <c r="L10" s="853"/>
      <c r="M10" s="853">
        <f>M8*M9</f>
        <v>874.02902109658442</v>
      </c>
      <c r="N10" s="853"/>
      <c r="O10" s="853">
        <f>O8*O9</f>
        <v>572.4</v>
      </c>
      <c r="P10" s="853"/>
      <c r="Q10" s="853">
        <f>Q8*Q9</f>
        <v>96358.778741155053</v>
      </c>
      <c r="R10" s="853"/>
      <c r="S10" s="853">
        <f>S8*S9</f>
        <v>105587.98130799054</v>
      </c>
      <c r="T10" s="853"/>
      <c r="U10" s="853">
        <f>U8*U9</f>
        <v>273773.7955565193</v>
      </c>
      <c r="W10" s="843" t="str">
        <f>W23</f>
        <v>52-Week high/low</v>
      </c>
      <c r="X10" s="837" t="str">
        <f ca="1">TEXT(X31,"$0,0")&amp;" / "&amp;""&amp;TEXT(X23,"$0.00")</f>
        <v>$23,153 / $36.38</v>
      </c>
      <c r="Z10" s="837" t="str">
        <f ca="1">TEXT(Z31,"$0,0")&amp;" / "&amp;""&amp;TEXT(Z23,"$0.00")</f>
        <v>$31,707 / $49.83</v>
      </c>
      <c r="AC10" s="890">
        <v>44491</v>
      </c>
      <c r="AD10" s="837">
        <v>39.74</v>
      </c>
      <c r="AE10" s="837">
        <v>4544.8999999999996</v>
      </c>
      <c r="AF10" s="837">
        <v>296.00259999999997</v>
      </c>
      <c r="AG10" s="837">
        <f t="shared" si="3"/>
        <v>96.785192401363787</v>
      </c>
      <c r="AH10" s="837">
        <f t="shared" si="4"/>
        <v>124.91651435403412</v>
      </c>
      <c r="AI10" s="837">
        <f t="shared" si="5"/>
        <v>125.9799858716389</v>
      </c>
    </row>
    <row r="11" spans="2:35">
      <c r="B11" s="837" t="s">
        <v>1389</v>
      </c>
      <c r="C11" s="854">
        <f ca="1">DCF!B14-DCF!B17</f>
        <v>14.943732558568122</v>
      </c>
      <c r="D11" s="845" t="s">
        <v>1383</v>
      </c>
      <c r="E11" s="854">
        <f ca="1">C11</f>
        <v>14.943732558568122</v>
      </c>
      <c r="F11" s="845"/>
      <c r="G11" s="851">
        <f ca="1">E11</f>
        <v>14.943732558568122</v>
      </c>
      <c r="H11" s="851"/>
      <c r="I11" s="851">
        <f ca="1">G11</f>
        <v>14.943732558568122</v>
      </c>
      <c r="K11" s="851">
        <f ca="1">I11</f>
        <v>14.943732558568122</v>
      </c>
      <c r="L11" s="851"/>
      <c r="M11" s="851">
        <f ca="1">K11</f>
        <v>14.943732558568122</v>
      </c>
      <c r="O11" s="851">
        <f ca="1">C11</f>
        <v>14.943732558568122</v>
      </c>
      <c r="Q11" s="851">
        <f ca="1">E11</f>
        <v>14.943732558568122</v>
      </c>
      <c r="R11" s="851"/>
      <c r="S11" s="851">
        <f ca="1">G11</f>
        <v>14.943732558568122</v>
      </c>
      <c r="U11" s="851">
        <f ca="1">I11</f>
        <v>14.943732558568122</v>
      </c>
      <c r="W11" s="843" t="s">
        <v>1390</v>
      </c>
      <c r="X11" s="837" t="str">
        <f ca="1">TEXT(X32,"$0,0")&amp;" / "&amp;""&amp;TEXT(X24,"$0.00")</f>
        <v>$68,896 / $108.30</v>
      </c>
      <c r="Z11" s="837" t="str">
        <f ca="1">TEXT(Z32,"$0,0")&amp;" / "&amp;""&amp;TEXT(Z24,"$0.00")</f>
        <v>-$94,592 / -$148.75</v>
      </c>
      <c r="AC11" s="890">
        <v>44484</v>
      </c>
      <c r="AD11" s="837">
        <v>40.99</v>
      </c>
      <c r="AE11" s="837">
        <v>4471.37</v>
      </c>
      <c r="AF11" s="837">
        <v>288.81335000000001</v>
      </c>
      <c r="AG11" s="837">
        <f t="shared" si="3"/>
        <v>99.829517778860136</v>
      </c>
      <c r="AH11" s="837">
        <f t="shared" si="4"/>
        <v>122.89554330946723</v>
      </c>
      <c r="AI11" s="837">
        <f t="shared" si="5"/>
        <v>122.92020999998211</v>
      </c>
    </row>
    <row r="12" spans="2:35">
      <c r="B12" s="843" t="s">
        <v>1391</v>
      </c>
      <c r="C12" s="891">
        <f ca="1">C10+C11</f>
        <v>23152.623732558568</v>
      </c>
      <c r="D12" s="855" t="s">
        <v>1383</v>
      </c>
      <c r="E12" s="891">
        <f ca="1">E10+E11</f>
        <v>31706.823732558565</v>
      </c>
      <c r="F12" s="855"/>
      <c r="G12" s="891">
        <f>G15*G13</f>
        <v>68896.4480583228</v>
      </c>
      <c r="H12" s="855" t="s">
        <v>1383</v>
      </c>
      <c r="I12" s="891">
        <f>I15*I13</f>
        <v>-94591.778934402144</v>
      </c>
      <c r="J12" s="891"/>
      <c r="K12" s="891">
        <f ca="1">K10+K11</f>
        <v>30975.983449387113</v>
      </c>
      <c r="L12" s="891" t="s">
        <v>1383</v>
      </c>
      <c r="M12" s="891">
        <f ca="1">M10+M11</f>
        <v>888.97275365515259</v>
      </c>
      <c r="N12" s="891"/>
      <c r="O12" s="891">
        <f ca="1">O10+O11</f>
        <v>587.34373255856815</v>
      </c>
      <c r="P12" s="891" t="s">
        <v>1383</v>
      </c>
      <c r="Q12" s="891">
        <f ca="1">Q10+Q11</f>
        <v>96373.722473713628</v>
      </c>
      <c r="R12" s="891"/>
      <c r="S12" s="891">
        <f ca="1">S10+S11</f>
        <v>105602.92504054912</v>
      </c>
      <c r="T12" s="891" t="s">
        <v>1383</v>
      </c>
      <c r="U12" s="891">
        <f ca="1">U10+U11</f>
        <v>273788.73928907787</v>
      </c>
      <c r="W12" s="843" t="s">
        <v>1392</v>
      </c>
      <c r="X12" s="837" t="str">
        <f ca="1">TEXT(X33,"$0,0")&amp;" / "&amp;""&amp;TEXT(X25,"$0.00")</f>
        <v>$30,976 / $48.68</v>
      </c>
      <c r="Z12" s="837" t="str">
        <f ca="1">TEXT(Z33,"$0,0")&amp;" / "&amp;""&amp;TEXT(Z25,"$0.00")</f>
        <v>$889 / $1.37</v>
      </c>
      <c r="AC12" s="890">
        <v>44477</v>
      </c>
      <c r="AD12" s="837">
        <v>43.38</v>
      </c>
      <c r="AE12" s="837">
        <v>4391.34</v>
      </c>
      <c r="AF12" s="837">
        <v>284.69247000000001</v>
      </c>
      <c r="AG12" s="837">
        <f t="shared" si="3"/>
        <v>105.65026790063315</v>
      </c>
      <c r="AH12" s="837">
        <f t="shared" si="4"/>
        <v>120.6959198537799</v>
      </c>
      <c r="AI12" s="837">
        <f t="shared" si="5"/>
        <v>121.16634566170021</v>
      </c>
    </row>
    <row r="13" spans="2:35">
      <c r="B13" s="837" t="s">
        <v>1393</v>
      </c>
      <c r="C13" s="851">
        <f>Forecast!L22*1000</f>
        <v>-4806.0000000000009</v>
      </c>
      <c r="D13" s="845"/>
      <c r="E13" s="851">
        <f>C13</f>
        <v>-4806.0000000000009</v>
      </c>
      <c r="F13" s="845"/>
      <c r="G13" s="856">
        <f>E13</f>
        <v>-4806.0000000000009</v>
      </c>
      <c r="H13" s="845"/>
      <c r="I13" s="856">
        <f>G13</f>
        <v>-4806.0000000000009</v>
      </c>
      <c r="K13" s="856">
        <f>I13</f>
        <v>-4806.0000000000009</v>
      </c>
      <c r="L13" s="845"/>
      <c r="M13" s="856">
        <f>K13</f>
        <v>-4806.0000000000009</v>
      </c>
      <c r="O13" s="856">
        <f>M13</f>
        <v>-4806.0000000000009</v>
      </c>
      <c r="Q13" s="856">
        <f>O13</f>
        <v>-4806.0000000000009</v>
      </c>
      <c r="R13" s="856"/>
      <c r="S13" s="856">
        <f>Q13</f>
        <v>-4806.0000000000009</v>
      </c>
      <c r="U13" s="856">
        <f>S13</f>
        <v>-4806.0000000000009</v>
      </c>
      <c r="W13" s="843" t="s">
        <v>1394</v>
      </c>
      <c r="X13" s="837" t="str">
        <f ca="1">TEXT(X34,"$0,0")&amp;" / "&amp;""&amp;TEXT(X26,"$0.00")</f>
        <v>$587 / $0.90</v>
      </c>
      <c r="Z13" s="837" t="str">
        <f ca="1">TEXT(Z34,"$0,0")&amp;" / "&amp;""&amp;TEXT(Z26,"$0.00")</f>
        <v>$96,374 / $151.51</v>
      </c>
      <c r="AC13" s="890">
        <v>44470</v>
      </c>
      <c r="AD13" s="837">
        <v>45.38</v>
      </c>
      <c r="AE13" s="837">
        <v>4357.04</v>
      </c>
      <c r="AF13" s="837">
        <v>284.49567000000002</v>
      </c>
      <c r="AG13" s="837">
        <f t="shared" si="3"/>
        <v>110.52118850462732</v>
      </c>
      <c r="AH13" s="837">
        <f t="shared" si="4"/>
        <v>119.75318482279057</v>
      </c>
      <c r="AI13" s="837">
        <f t="shared" si="5"/>
        <v>121.08258673113832</v>
      </c>
    </row>
    <row r="14" spans="2:35">
      <c r="B14" s="837" t="s">
        <v>1395</v>
      </c>
      <c r="C14" s="851">
        <f>Forecast!L16/(Forecast!L28/1000)</f>
        <v>-8.9832861635220151</v>
      </c>
      <c r="D14" s="857" t="s">
        <v>1383</v>
      </c>
      <c r="E14" s="851">
        <f>C14</f>
        <v>-8.9832861635220151</v>
      </c>
      <c r="G14" s="856">
        <f>E14</f>
        <v>-8.9832861635220151</v>
      </c>
      <c r="H14" s="845"/>
      <c r="I14" s="856">
        <f>G14</f>
        <v>-8.9832861635220151</v>
      </c>
      <c r="K14" s="856">
        <f>I14</f>
        <v>-8.9832861635220151</v>
      </c>
      <c r="L14" s="845"/>
      <c r="M14" s="856">
        <f>K14</f>
        <v>-8.9832861635220151</v>
      </c>
      <c r="O14" s="856">
        <f>M14</f>
        <v>-8.9832861635220151</v>
      </c>
      <c r="Q14" s="856">
        <f>O14</f>
        <v>-8.9832861635220151</v>
      </c>
      <c r="R14" s="856"/>
      <c r="S14" s="856">
        <f>Q14</f>
        <v>-8.9832861635220151</v>
      </c>
      <c r="U14" s="856">
        <f>S14</f>
        <v>-8.9832861635220151</v>
      </c>
      <c r="W14" s="843" t="s">
        <v>1394</v>
      </c>
      <c r="X14" s="837" t="str">
        <f ca="1">TEXT(X35,"$0,0")&amp;" / "&amp;""&amp;TEXT(X27,"$0.00")</f>
        <v>$105,603 / $166.02</v>
      </c>
      <c r="Z14" s="837" t="str">
        <f ca="1">TEXT(Z35,"$0,0")&amp;" / "&amp;""&amp;TEXT(Z27,"$0.00")</f>
        <v>$273,789 / $430.46</v>
      </c>
      <c r="AC14" s="890">
        <v>44463</v>
      </c>
      <c r="AD14" s="837">
        <v>43.53</v>
      </c>
      <c r="AE14" s="837">
        <v>4455.4799999999996</v>
      </c>
      <c r="AF14" s="837">
        <v>293.32909999999998</v>
      </c>
      <c r="AG14" s="837">
        <f t="shared" si="3"/>
        <v>106.01558694593272</v>
      </c>
      <c r="AH14" s="837">
        <f t="shared" si="4"/>
        <v>122.45880687674359</v>
      </c>
      <c r="AI14" s="837">
        <f t="shared" si="5"/>
        <v>124.84213271687665</v>
      </c>
    </row>
    <row r="15" spans="2:35">
      <c r="B15" s="837" t="s">
        <v>1396</v>
      </c>
      <c r="C15" s="858">
        <f ca="1">C12/C13</f>
        <v>-4.8174414757716528</v>
      </c>
      <c r="D15" s="857" t="s">
        <v>1383</v>
      </c>
      <c r="E15" s="858">
        <f ca="1">E12/E13</f>
        <v>-6.5973416006155974</v>
      </c>
      <c r="F15" s="845"/>
      <c r="G15" s="859">
        <f>'DCF Comps'!L30</f>
        <v>-14.335507294698875</v>
      </c>
      <c r="H15" s="857" t="s">
        <v>1383</v>
      </c>
      <c r="I15" s="859">
        <f>'DCF Comps'!L29</f>
        <v>19.682018088722874</v>
      </c>
      <c r="K15" s="859">
        <f>'DCF Comps'!F30</f>
        <v>-5.4190503532641046</v>
      </c>
      <c r="L15" s="857" t="s">
        <v>1383</v>
      </c>
      <c r="M15" s="859">
        <f>'DCF Comps'!F29</f>
        <v>-0.15297959367178815</v>
      </c>
      <c r="O15" s="858">
        <f ca="1">O12/O13</f>
        <v>-0.12221051447327674</v>
      </c>
      <c r="P15" s="860" t="s">
        <v>1383</v>
      </c>
      <c r="Q15" s="858">
        <f ca="1">Q12/Q13</f>
        <v>-20.052792857618311</v>
      </c>
      <c r="R15" s="858"/>
      <c r="S15" s="858">
        <f ca="1">S12/S13</f>
        <v>-21.973142954754287</v>
      </c>
      <c r="T15" s="860" t="s">
        <v>1383</v>
      </c>
      <c r="U15" s="858">
        <f ca="1">U12/U13</f>
        <v>-56.968110547040745</v>
      </c>
      <c r="AC15" s="890">
        <v>44456</v>
      </c>
      <c r="AD15" s="837">
        <v>40.11</v>
      </c>
      <c r="AE15" s="837">
        <v>4432.99</v>
      </c>
      <c r="AF15" s="837">
        <v>291.57569999999998</v>
      </c>
      <c r="AG15" s="837">
        <f t="shared" si="3"/>
        <v>97.686312713102723</v>
      </c>
      <c r="AH15" s="837">
        <f t="shared" si="4"/>
        <v>121.84066953426692</v>
      </c>
      <c r="AI15" s="837">
        <f t="shared" si="5"/>
        <v>124.09587809875056</v>
      </c>
    </row>
    <row r="16" spans="2:35">
      <c r="AC16" s="890">
        <v>44449</v>
      </c>
      <c r="AD16" s="837">
        <v>39.36</v>
      </c>
      <c r="AE16" s="837">
        <v>4458.58</v>
      </c>
      <c r="AF16" s="837">
        <v>298.16543999999999</v>
      </c>
      <c r="AG16" s="837">
        <f t="shared" si="3"/>
        <v>95.859717486604922</v>
      </c>
      <c r="AH16" s="837">
        <f t="shared" si="4"/>
        <v>122.54401033435488</v>
      </c>
      <c r="AI16" s="837">
        <f t="shared" si="5"/>
        <v>126.90049992334863</v>
      </c>
    </row>
    <row r="17" spans="3:35">
      <c r="AC17" s="890">
        <v>44442</v>
      </c>
      <c r="AD17" s="837">
        <v>40.25</v>
      </c>
      <c r="AE17" s="837">
        <v>4535.43</v>
      </c>
      <c r="AF17" s="837">
        <v>308.46145999999999</v>
      </c>
      <c r="AG17" s="837">
        <f t="shared" si="3"/>
        <v>98.027277155382322</v>
      </c>
      <c r="AH17" s="837">
        <f t="shared" si="4"/>
        <v>124.65623153352485</v>
      </c>
      <c r="AI17" s="837">
        <f t="shared" si="5"/>
        <v>131.28253053434364</v>
      </c>
    </row>
    <row r="18" spans="3:35">
      <c r="AC18" s="890">
        <v>44435</v>
      </c>
      <c r="AD18" s="837">
        <v>41.52</v>
      </c>
      <c r="AE18" s="837">
        <v>4509.37</v>
      </c>
      <c r="AF18" s="837">
        <v>298.11862000000002</v>
      </c>
      <c r="AG18" s="837">
        <f t="shared" si="3"/>
        <v>101.12031173891862</v>
      </c>
      <c r="AH18" s="837">
        <f t="shared" si="4"/>
        <v>123.93997278986356</v>
      </c>
      <c r="AI18" s="837">
        <f t="shared" si="5"/>
        <v>126.88057312899443</v>
      </c>
    </row>
    <row r="19" spans="3:35">
      <c r="AC19" s="890">
        <v>44428</v>
      </c>
      <c r="AD19" s="837">
        <v>38.119999999999997</v>
      </c>
      <c r="AE19" s="837">
        <v>4441.67</v>
      </c>
      <c r="AF19" s="837">
        <v>296.6703</v>
      </c>
      <c r="AG19" s="837">
        <f t="shared" si="3"/>
        <v>92.83974671212853</v>
      </c>
      <c r="AH19" s="837">
        <f t="shared" si="4"/>
        <v>122.07923921557853</v>
      </c>
      <c r="AI19" s="837">
        <f t="shared" si="5"/>
        <v>126.26416187741214</v>
      </c>
    </row>
    <row r="20" spans="3:35">
      <c r="C20" s="843"/>
      <c r="AC20" s="890">
        <v>44421</v>
      </c>
      <c r="AD20" s="837">
        <v>39.9</v>
      </c>
      <c r="AE20" s="837">
        <v>4468</v>
      </c>
      <c r="AF20" s="837">
        <v>299.19470000000001</v>
      </c>
      <c r="AG20" s="837">
        <f t="shared" si="3"/>
        <v>97.174866049683331</v>
      </c>
      <c r="AH20" s="837">
        <f t="shared" si="4"/>
        <v>122.80291890554788</v>
      </c>
      <c r="AI20" s="837">
        <f t="shared" si="5"/>
        <v>127.33855742777003</v>
      </c>
    </row>
    <row r="21" spans="3:35">
      <c r="W21" s="861"/>
      <c r="X21" s="861"/>
      <c r="Y21" s="861"/>
      <c r="Z21" s="861"/>
      <c r="AC21" s="890">
        <v>44414</v>
      </c>
      <c r="AD21" s="837">
        <v>40.32</v>
      </c>
      <c r="AE21" s="837">
        <v>4436.5200000000004</v>
      </c>
      <c r="AF21" s="837">
        <v>293.61282</v>
      </c>
      <c r="AG21" s="837">
        <f t="shared" si="3"/>
        <v>98.197759376522114</v>
      </c>
      <c r="AH21" s="837">
        <f t="shared" si="4"/>
        <v>121.9376915359985</v>
      </c>
      <c r="AI21" s="837">
        <f t="shared" si="5"/>
        <v>124.96288517510339</v>
      </c>
    </row>
    <row r="22" spans="3:35">
      <c r="W22" s="852" t="s">
        <v>1387</v>
      </c>
      <c r="X22" s="852" t="s">
        <v>1397</v>
      </c>
      <c r="Y22" s="852" t="s">
        <v>1398</v>
      </c>
      <c r="Z22" s="852" t="s">
        <v>1399</v>
      </c>
      <c r="AC22" s="890">
        <v>44407</v>
      </c>
      <c r="AD22" s="837">
        <v>39.9</v>
      </c>
      <c r="AE22" s="837">
        <v>4395.26</v>
      </c>
      <c r="AF22" s="837">
        <v>293.44592</v>
      </c>
      <c r="AG22" s="837">
        <f t="shared" si="3"/>
        <v>97.174866049683345</v>
      </c>
      <c r="AH22" s="837">
        <f t="shared" si="4"/>
        <v>120.80366100017868</v>
      </c>
      <c r="AI22" s="837">
        <f t="shared" si="5"/>
        <v>124.89185181376814</v>
      </c>
    </row>
    <row r="23" spans="3:35">
      <c r="W23" s="843" t="s">
        <v>1400</v>
      </c>
      <c r="X23" s="862">
        <f>MIN(AD5:AD57)</f>
        <v>36.380000000000003</v>
      </c>
      <c r="Y23" s="862">
        <f>Z23-X23</f>
        <v>13.449999999999996</v>
      </c>
      <c r="Z23" s="862">
        <f>MAX(AD5:AD57)</f>
        <v>49.83</v>
      </c>
      <c r="AC23" s="890">
        <v>44400</v>
      </c>
      <c r="AD23" s="837">
        <v>40.409999999999997</v>
      </c>
      <c r="AE23" s="837">
        <v>4411.79</v>
      </c>
      <c r="AF23" s="837">
        <v>297.61153999999999</v>
      </c>
      <c r="AG23" s="837">
        <f t="shared" si="3"/>
        <v>98.416950803701852</v>
      </c>
      <c r="AH23" s="837">
        <f t="shared" si="4"/>
        <v>121.25798782415107</v>
      </c>
      <c r="AI23" s="837">
        <f t="shared" si="5"/>
        <v>126.66475768941456</v>
      </c>
    </row>
    <row r="24" spans="3:35">
      <c r="W24" s="843" t="s">
        <v>1401</v>
      </c>
      <c r="X24" s="862">
        <f ca="1">G8</f>
        <v>108.30425208453495</v>
      </c>
      <c r="Y24" s="862">
        <f ca="1">Z24-X24</f>
        <v>-257.05696068038515</v>
      </c>
      <c r="Z24" s="862">
        <f ca="1">I8</f>
        <v>-148.75270859585018</v>
      </c>
      <c r="AC24" s="890">
        <v>44393</v>
      </c>
      <c r="AD24" s="837">
        <v>40.06</v>
      </c>
      <c r="AE24" s="837">
        <v>4327.16</v>
      </c>
      <c r="AF24" s="837">
        <v>292.67937999999998</v>
      </c>
      <c r="AG24" s="837">
        <f t="shared" si="3"/>
        <v>97.564539698002889</v>
      </c>
      <c r="AH24" s="837">
        <f t="shared" si="4"/>
        <v>118.93193343136312</v>
      </c>
      <c r="AI24" s="837">
        <f t="shared" si="5"/>
        <v>124.56560907681229</v>
      </c>
    </row>
    <row r="25" spans="3:35">
      <c r="W25" s="843" t="s">
        <v>1402</v>
      </c>
      <c r="X25" s="862">
        <f>K8</f>
        <v>48.680880057906521</v>
      </c>
      <c r="Y25" s="862">
        <f>Z25-X25</f>
        <v>-47.306620590773527</v>
      </c>
      <c r="Z25" s="862">
        <f>M8</f>
        <v>1.3742594671329944</v>
      </c>
      <c r="AC25" s="890">
        <v>44386</v>
      </c>
      <c r="AD25" s="837">
        <v>42.92</v>
      </c>
      <c r="AE25" s="837">
        <v>4369.55</v>
      </c>
      <c r="AF25" s="837">
        <v>290.90802000000002</v>
      </c>
      <c r="AG25" s="837">
        <f t="shared" si="3"/>
        <v>104.52995616171452</v>
      </c>
      <c r="AH25" s="837">
        <f t="shared" si="4"/>
        <v>120.09702200173156</v>
      </c>
      <c r="AI25" s="837">
        <f t="shared" si="5"/>
        <v>123.81171060506379</v>
      </c>
    </row>
    <row r="26" spans="3:35">
      <c r="W26" s="843" t="s">
        <v>1403</v>
      </c>
      <c r="X26" s="862">
        <f>O8</f>
        <v>0.9</v>
      </c>
      <c r="Y26" s="862">
        <f>Z26-X26</f>
        <v>150.60751374395448</v>
      </c>
      <c r="Z26" s="862">
        <f>Q8</f>
        <v>151.50751374395449</v>
      </c>
      <c r="AC26" s="890">
        <v>44379</v>
      </c>
      <c r="AD26" s="837">
        <v>44.15</v>
      </c>
      <c r="AE26" s="837">
        <v>4352.34</v>
      </c>
      <c r="AF26" s="837">
        <v>281.64931999999999</v>
      </c>
      <c r="AG26" s="837">
        <f t="shared" si="3"/>
        <v>107.52557233317091</v>
      </c>
      <c r="AH26" s="837">
        <f t="shared" si="4"/>
        <v>119.62400538705731</v>
      </c>
      <c r="AI26" s="837">
        <f t="shared" si="5"/>
        <v>119.87116786932515</v>
      </c>
    </row>
    <row r="27" spans="3:35" ht="13.5" customHeight="1" thickBot="1">
      <c r="W27" s="843" t="s">
        <v>1404</v>
      </c>
      <c r="X27" s="863">
        <f>S8</f>
        <v>166.01883853457633</v>
      </c>
      <c r="Y27" s="864">
        <f>Z27-X27</f>
        <v>264.44310416435337</v>
      </c>
      <c r="Z27" s="863">
        <f>U8</f>
        <v>430.4619426989297</v>
      </c>
      <c r="AC27" s="890">
        <v>44372</v>
      </c>
      <c r="AD27" s="837">
        <v>44.43</v>
      </c>
      <c r="AE27" s="837">
        <v>4280.7</v>
      </c>
      <c r="AF27" s="837">
        <v>268.66521999999998</v>
      </c>
      <c r="AG27" s="837">
        <f t="shared" si="3"/>
        <v>108.2075012177301</v>
      </c>
      <c r="AH27" s="837">
        <f t="shared" si="4"/>
        <v>117.65498096664696</v>
      </c>
      <c r="AI27" s="837">
        <f t="shared" si="5"/>
        <v>114.34507879255371</v>
      </c>
    </row>
    <row r="28" spans="3:35">
      <c r="W28" s="843"/>
      <c r="X28" s="862"/>
      <c r="Y28" s="862"/>
      <c r="Z28" s="862"/>
      <c r="AC28" s="890">
        <v>44365</v>
      </c>
      <c r="AD28" s="837">
        <v>44.96</v>
      </c>
      <c r="AE28" s="837">
        <v>4166.45</v>
      </c>
      <c r="AF28" s="837">
        <v>262.82769999999999</v>
      </c>
      <c r="AG28" s="837">
        <f t="shared" si="3"/>
        <v>109.49829517778855</v>
      </c>
      <c r="AH28" s="837">
        <f t="shared" si="4"/>
        <v>114.5148212788764</v>
      </c>
      <c r="AI28" s="837">
        <f t="shared" si="5"/>
        <v>111.860605051021</v>
      </c>
    </row>
    <row r="29" spans="3:35">
      <c r="AC29" s="890">
        <v>44358</v>
      </c>
      <c r="AD29" s="837">
        <v>46.5</v>
      </c>
      <c r="AE29" s="837">
        <v>4247.4399999999996</v>
      </c>
      <c r="AF29" s="837">
        <v>257.88317999999998</v>
      </c>
      <c r="AG29" s="837">
        <f t="shared" si="3"/>
        <v>113.24890404286404</v>
      </c>
      <c r="AH29" s="837">
        <f t="shared" si="4"/>
        <v>116.74083032143689</v>
      </c>
      <c r="AI29" s="837">
        <f t="shared" si="5"/>
        <v>109.75619596899931</v>
      </c>
    </row>
    <row r="30" spans="3:35">
      <c r="W30" s="852" t="s">
        <v>1387</v>
      </c>
      <c r="X30" s="852" t="s">
        <v>1397</v>
      </c>
      <c r="Y30" s="852" t="s">
        <v>1398</v>
      </c>
      <c r="Z30" s="852" t="s">
        <v>1399</v>
      </c>
      <c r="AC30" s="890">
        <v>44351</v>
      </c>
      <c r="AD30" s="837">
        <v>45.98</v>
      </c>
      <c r="AE30" s="837">
        <v>4229.8900000000003</v>
      </c>
      <c r="AF30" s="837">
        <v>255.16831999999999</v>
      </c>
      <c r="AG30" s="837">
        <f t="shared" si="3"/>
        <v>111.98246468582555</v>
      </c>
      <c r="AH30" s="837">
        <f t="shared" si="4"/>
        <v>116.25846881141177</v>
      </c>
      <c r="AI30" s="837">
        <f t="shared" si="5"/>
        <v>108.60073981948078</v>
      </c>
    </row>
    <row r="31" spans="3:35">
      <c r="W31" s="843" t="str">
        <f>W23</f>
        <v>52-Week high/low</v>
      </c>
      <c r="X31" s="862">
        <f ca="1">C12</f>
        <v>23152.623732558568</v>
      </c>
      <c r="Y31" s="862">
        <f ca="1">Z31-X31</f>
        <v>8554.1999999999971</v>
      </c>
      <c r="Z31" s="862">
        <f ca="1">E12</f>
        <v>31706.823732558565</v>
      </c>
      <c r="AC31" s="890">
        <v>44344</v>
      </c>
      <c r="AD31" s="837">
        <v>47.68</v>
      </c>
      <c r="AE31" s="837">
        <v>4204.1099999999997</v>
      </c>
      <c r="AF31" s="837">
        <v>252.48021</v>
      </c>
      <c r="AG31" s="837">
        <f t="shared" si="3"/>
        <v>116.12274719922058</v>
      </c>
      <c r="AH31" s="837">
        <f t="shared" si="4"/>
        <v>115.54990586392182</v>
      </c>
      <c r="AI31" s="837">
        <f t="shared" si="5"/>
        <v>107.45666858557469</v>
      </c>
    </row>
    <row r="32" spans="3:35">
      <c r="W32" s="843" t="str">
        <f>W24</f>
        <v>Comparable company analysis (EBITDA)</v>
      </c>
      <c r="X32" s="862">
        <f>G12</f>
        <v>68896.4480583228</v>
      </c>
      <c r="Y32" s="862">
        <f>Z32-X32</f>
        <v>-163488.22699272493</v>
      </c>
      <c r="Z32" s="862">
        <f>I12</f>
        <v>-94591.778934402144</v>
      </c>
      <c r="AC32" s="890">
        <v>44337</v>
      </c>
      <c r="AD32" s="837">
        <v>45.21</v>
      </c>
      <c r="AE32" s="837">
        <v>4155.8599999999997</v>
      </c>
      <c r="AF32" s="837">
        <v>253.24665999999999</v>
      </c>
      <c r="AG32" s="837">
        <f t="shared" si="3"/>
        <v>110.10716025328782</v>
      </c>
      <c r="AH32" s="837">
        <f t="shared" si="4"/>
        <v>114.22375527368175</v>
      </c>
      <c r="AI32" s="837">
        <f t="shared" si="5"/>
        <v>107.78287301814156</v>
      </c>
    </row>
    <row r="33" spans="3:35">
      <c r="W33" s="843" t="str">
        <f>W25</f>
        <v>Comparable company analysis (P/E)</v>
      </c>
      <c r="X33" s="862">
        <f ca="1">K12</f>
        <v>30975.983449387113</v>
      </c>
      <c r="Y33" s="862">
        <f ca="1">Z33-X33</f>
        <v>-30087.010695731962</v>
      </c>
      <c r="Z33" s="862">
        <f ca="1">M12</f>
        <v>888.97275365515259</v>
      </c>
      <c r="AC33" s="890">
        <v>44330</v>
      </c>
      <c r="AD33" s="837">
        <v>46.31</v>
      </c>
      <c r="AE33" s="837">
        <v>4173.8500000000004</v>
      </c>
      <c r="AF33" s="837">
        <v>254.41890000000001</v>
      </c>
      <c r="AG33" s="837">
        <f t="shared" si="3"/>
        <v>112.78616658548461</v>
      </c>
      <c r="AH33" s="837">
        <f t="shared" si="4"/>
        <v>114.71821017769045</v>
      </c>
      <c r="AI33" s="837">
        <f t="shared" si="5"/>
        <v>108.28178342851692</v>
      </c>
    </row>
    <row r="34" spans="3:35">
      <c r="W34" s="843" t="str">
        <f>W26</f>
        <v>Discounted cash flow analysis (FCFF)</v>
      </c>
      <c r="X34" s="862">
        <f ca="1">O12</f>
        <v>587.34373255856815</v>
      </c>
      <c r="Y34" s="862">
        <f ca="1">Z34-X34</f>
        <v>95786.378741155058</v>
      </c>
      <c r="Z34" s="862">
        <f ca="1">Q12</f>
        <v>96373.722473713628</v>
      </c>
      <c r="AC34" s="890">
        <v>44323</v>
      </c>
      <c r="AD34" s="837">
        <v>46.11</v>
      </c>
      <c r="AE34" s="837">
        <v>4232.6000000000004</v>
      </c>
      <c r="AF34" s="837">
        <v>260.59699999999998</v>
      </c>
      <c r="AG34" s="837">
        <f t="shared" si="3"/>
        <v>112.29907452508519</v>
      </c>
      <c r="AH34" s="837">
        <f t="shared" si="4"/>
        <v>116.33295312435584</v>
      </c>
      <c r="AI34" s="837">
        <f t="shared" si="5"/>
        <v>110.91120949002303</v>
      </c>
    </row>
    <row r="35" spans="3:35">
      <c r="C35" s="892" t="s">
        <v>1405</v>
      </c>
      <c r="W35" s="843" t="str">
        <f>W27</f>
        <v>Discounted cash flow analysis (EV/EBITDA Multiple)</v>
      </c>
      <c r="X35" s="862">
        <f ca="1">S12</f>
        <v>105602.92504054912</v>
      </c>
      <c r="Y35" s="862">
        <f ca="1">Z35-X35</f>
        <v>168185.81424852874</v>
      </c>
      <c r="Z35" s="862">
        <f ca="1">U12</f>
        <v>273788.73928907787</v>
      </c>
      <c r="AC35" s="890">
        <v>44316</v>
      </c>
      <c r="AD35" s="837">
        <v>46.92</v>
      </c>
      <c r="AE35" s="837">
        <v>4181.17</v>
      </c>
      <c r="AF35" s="837">
        <v>262.74677000000003</v>
      </c>
      <c r="AG35" s="837">
        <f t="shared" si="3"/>
        <v>114.27179736970284</v>
      </c>
      <c r="AH35" s="837">
        <f t="shared" si="4"/>
        <v>114.91940027759838</v>
      </c>
      <c r="AI35" s="837">
        <f t="shared" si="5"/>
        <v>111.82616089324475</v>
      </c>
    </row>
    <row r="36" spans="3:35">
      <c r="C36" s="893" t="str">
        <f>DCF!A19</f>
        <v>Price (current)</v>
      </c>
      <c r="AC36" s="890">
        <v>44309</v>
      </c>
      <c r="AD36" s="837">
        <v>45.8</v>
      </c>
      <c r="AE36" s="837">
        <v>4180.17</v>
      </c>
      <c r="AF36" s="837">
        <v>267.7242</v>
      </c>
      <c r="AG36" s="837">
        <f t="shared" si="3"/>
        <v>111.5440818314661</v>
      </c>
      <c r="AH36" s="837">
        <f t="shared" si="4"/>
        <v>114.89191529127217</v>
      </c>
      <c r="AI36" s="837">
        <f t="shared" si="5"/>
        <v>113.94457661350216</v>
      </c>
    </row>
    <row r="37" spans="3:35">
      <c r="AC37" s="890">
        <v>44302</v>
      </c>
      <c r="AD37" s="837">
        <v>46.64</v>
      </c>
      <c r="AE37" s="837">
        <v>4185.47</v>
      </c>
      <c r="AF37" s="837">
        <v>267.80646000000002</v>
      </c>
      <c r="AG37" s="837">
        <f t="shared" si="3"/>
        <v>113.58986848514365</v>
      </c>
      <c r="AH37" s="837">
        <f t="shared" si="4"/>
        <v>115.03758571880114</v>
      </c>
      <c r="AI37" s="837">
        <f t="shared" si="5"/>
        <v>113.97958682502666</v>
      </c>
    </row>
    <row r="38" spans="3:35">
      <c r="AC38" s="890">
        <v>44295</v>
      </c>
      <c r="AD38" s="837">
        <v>49.27</v>
      </c>
      <c r="AE38" s="837">
        <v>4128.8</v>
      </c>
      <c r="AF38" s="837">
        <v>265.92473999999999</v>
      </c>
      <c r="AG38" s="837">
        <f t="shared" si="3"/>
        <v>119.99512907939598</v>
      </c>
      <c r="AH38" s="837">
        <f t="shared" si="4"/>
        <v>113.48001154369429</v>
      </c>
      <c r="AI38" s="837">
        <f t="shared" si="5"/>
        <v>113.17871866030653</v>
      </c>
    </row>
    <row r="39" spans="3:35">
      <c r="AC39" s="890">
        <v>44287</v>
      </c>
      <c r="AD39" s="837">
        <v>48.83</v>
      </c>
      <c r="AE39" s="837">
        <v>4019.87</v>
      </c>
      <c r="AF39" s="837">
        <v>247.40411</v>
      </c>
      <c r="AG39" s="837">
        <f t="shared" si="3"/>
        <v>118.92352654651725</v>
      </c>
      <c r="AH39" s="837">
        <f t="shared" si="4"/>
        <v>110.48607198317922</v>
      </c>
      <c r="AI39" s="837">
        <f t="shared" si="5"/>
        <v>105.29625848686938</v>
      </c>
    </row>
    <row r="40" spans="3:35">
      <c r="AC40" s="890">
        <v>44281</v>
      </c>
      <c r="AD40" s="837">
        <v>47.66</v>
      </c>
      <c r="AE40" s="837">
        <v>3974.54</v>
      </c>
      <c r="AF40" s="837">
        <v>244.13793999999999</v>
      </c>
      <c r="AG40" s="837">
        <f t="shared" si="3"/>
        <v>116.07403799318067</v>
      </c>
      <c r="AH40" s="837">
        <f t="shared" si="4"/>
        <v>109.24017755301169</v>
      </c>
      <c r="AI40" s="837">
        <f t="shared" si="5"/>
        <v>103.90616241861061</v>
      </c>
    </row>
    <row r="41" spans="3:35">
      <c r="AC41" s="890">
        <v>44274</v>
      </c>
      <c r="AD41" s="837">
        <v>49</v>
      </c>
      <c r="AE41" s="837">
        <v>3913.1</v>
      </c>
      <c r="AF41" s="837">
        <v>241.523</v>
      </c>
      <c r="AG41" s="837">
        <f t="shared" si="3"/>
        <v>119.33755479785677</v>
      </c>
      <c r="AH41" s="837">
        <f t="shared" si="4"/>
        <v>107.55149999312877</v>
      </c>
      <c r="AI41" s="837">
        <f t="shared" si="5"/>
        <v>102.79323265294239</v>
      </c>
    </row>
    <row r="42" spans="3:35">
      <c r="AC42" s="890">
        <v>44267</v>
      </c>
      <c r="AD42" s="837">
        <v>49.83</v>
      </c>
      <c r="AE42" s="837">
        <v>3943.34</v>
      </c>
      <c r="AF42" s="837">
        <v>243.31003999999999</v>
      </c>
      <c r="AG42" s="837">
        <f t="shared" si="3"/>
        <v>121.35898684851435</v>
      </c>
      <c r="AH42" s="837">
        <f t="shared" si="4"/>
        <v>108.38264597963365</v>
      </c>
      <c r="AI42" s="837">
        <f t="shared" si="5"/>
        <v>103.55380460045924</v>
      </c>
    </row>
    <row r="43" spans="3:35">
      <c r="AC43" s="890">
        <v>44260</v>
      </c>
      <c r="AD43" s="837">
        <v>46.21</v>
      </c>
      <c r="AE43" s="837">
        <v>3841.94</v>
      </c>
      <c r="AF43" s="837">
        <v>243.30214000000001</v>
      </c>
      <c r="AG43" s="837">
        <f t="shared" si="3"/>
        <v>112.54262055528494</v>
      </c>
      <c r="AH43" s="837">
        <f t="shared" si="4"/>
        <v>105.59566836615501</v>
      </c>
      <c r="AI43" s="837">
        <f t="shared" si="5"/>
        <v>103.55044232631576</v>
      </c>
    </row>
    <row r="44" spans="3:35">
      <c r="AC44" s="890">
        <v>44253</v>
      </c>
      <c r="AD44" s="837">
        <v>47.94</v>
      </c>
      <c r="AE44" s="837">
        <v>3811.15</v>
      </c>
      <c r="AF44" s="837">
        <v>244.05312000000001</v>
      </c>
      <c r="AG44" s="837">
        <f t="shared" si="3"/>
        <v>116.75596687773988</v>
      </c>
      <c r="AH44" s="837">
        <f t="shared" si="4"/>
        <v>104.74940563717072</v>
      </c>
      <c r="AI44" s="837">
        <f t="shared" si="5"/>
        <v>103.8700626600219</v>
      </c>
    </row>
    <row r="45" spans="3:35">
      <c r="AC45" s="890">
        <v>44246</v>
      </c>
      <c r="AD45" s="837">
        <v>45.67</v>
      </c>
      <c r="AE45" s="837">
        <v>3906.71</v>
      </c>
      <c r="AF45" s="837">
        <v>261.12353999999999</v>
      </c>
      <c r="AG45" s="837">
        <f t="shared" si="3"/>
        <v>111.22747199220652</v>
      </c>
      <c r="AH45" s="837">
        <f t="shared" si="4"/>
        <v>107.37587093050423</v>
      </c>
      <c r="AI45" s="837">
        <f t="shared" si="5"/>
        <v>111.13530718970827</v>
      </c>
    </row>
    <row r="46" spans="3:35">
      <c r="AC46" s="890">
        <v>44239</v>
      </c>
      <c r="AD46" s="837">
        <v>43.29</v>
      </c>
      <c r="AE46" s="837">
        <v>3934.83</v>
      </c>
      <c r="AF46" s="837">
        <v>271.66604999999998</v>
      </c>
      <c r="AG46" s="837">
        <f t="shared" si="3"/>
        <v>105.43107647345347</v>
      </c>
      <c r="AH46" s="837">
        <f t="shared" si="4"/>
        <v>108.14874874599752</v>
      </c>
      <c r="AI46" s="837">
        <f t="shared" si="5"/>
        <v>115.62224501002339</v>
      </c>
    </row>
    <row r="47" spans="3:35">
      <c r="AC47" s="890">
        <v>44232</v>
      </c>
      <c r="AD47" s="837">
        <v>41.15</v>
      </c>
      <c r="AE47" s="837">
        <v>3886.83</v>
      </c>
      <c r="AF47" s="837">
        <v>273.32690000000002</v>
      </c>
      <c r="AG47" s="837">
        <f t="shared" si="3"/>
        <v>100.21919142717974</v>
      </c>
      <c r="AH47" s="837">
        <f t="shared" si="4"/>
        <v>106.82946940233899</v>
      </c>
      <c r="AI47" s="837">
        <f t="shared" si="5"/>
        <v>116.32910994815204</v>
      </c>
    </row>
    <row r="48" spans="3:35">
      <c r="AC48" s="890">
        <v>44225</v>
      </c>
      <c r="AD48" s="837">
        <v>37.96</v>
      </c>
      <c r="AE48" s="837">
        <v>3714.24</v>
      </c>
      <c r="AF48" s="837">
        <v>265.26083</v>
      </c>
      <c r="AG48" s="837">
        <f t="shared" si="3"/>
        <v>92.450073063809072</v>
      </c>
      <c r="AH48" s="837">
        <f t="shared" si="4"/>
        <v>102.08583561229678</v>
      </c>
      <c r="AI48" s="837">
        <f t="shared" si="5"/>
        <v>112.89615569491355</v>
      </c>
    </row>
    <row r="49" spans="29:35">
      <c r="AC49" s="890">
        <v>44218</v>
      </c>
      <c r="AD49" s="837">
        <v>40</v>
      </c>
      <c r="AE49" s="837">
        <v>3841.47</v>
      </c>
      <c r="AF49" s="837">
        <v>278.83524</v>
      </c>
      <c r="AG49" s="837">
        <f t="shared" si="3"/>
        <v>97.418412079883097</v>
      </c>
      <c r="AH49" s="837">
        <f t="shared" si="4"/>
        <v>105.58275042258165</v>
      </c>
      <c r="AI49" s="837">
        <f t="shared" si="5"/>
        <v>118.67348325898168</v>
      </c>
    </row>
    <row r="50" spans="29:35">
      <c r="AC50" s="890">
        <v>44211</v>
      </c>
      <c r="AD50" s="837">
        <v>39.979999999999997</v>
      </c>
      <c r="AE50" s="837">
        <v>3768.25</v>
      </c>
      <c r="AF50" s="837">
        <v>256.27440000000001</v>
      </c>
      <c r="AG50" s="837">
        <f t="shared" si="3"/>
        <v>97.369702873843153</v>
      </c>
      <c r="AH50" s="837">
        <f t="shared" si="4"/>
        <v>103.57029972377589</v>
      </c>
      <c r="AI50" s="837">
        <f t="shared" si="5"/>
        <v>109.0714922479152</v>
      </c>
    </row>
    <row r="51" spans="29:35">
      <c r="AC51" s="890">
        <v>44204</v>
      </c>
      <c r="AD51" s="837">
        <v>40.020000000000003</v>
      </c>
      <c r="AE51" s="837">
        <v>3824.68</v>
      </c>
      <c r="AF51" s="837">
        <v>265.03604000000001</v>
      </c>
      <c r="AG51" s="837">
        <f t="shared" si="3"/>
        <v>97.467121285923056</v>
      </c>
      <c r="AH51" s="837">
        <f t="shared" si="4"/>
        <v>105.12127750216445</v>
      </c>
      <c r="AI51" s="837">
        <f t="shared" si="5"/>
        <v>112.80048409937997</v>
      </c>
    </row>
    <row r="52" spans="29:35">
      <c r="AC52" s="890">
        <v>44196</v>
      </c>
      <c r="AD52" s="837">
        <v>40.21</v>
      </c>
      <c r="AE52" s="837">
        <v>3756.07</v>
      </c>
      <c r="AF52" s="837">
        <v>265.63042999999999</v>
      </c>
      <c r="AG52" s="837">
        <f t="shared" si="3"/>
        <v>97.929858743302489</v>
      </c>
      <c r="AH52" s="837">
        <f t="shared" si="4"/>
        <v>103.23553259032255</v>
      </c>
      <c r="AI52" s="837">
        <f t="shared" si="5"/>
        <v>113.05345905231026</v>
      </c>
    </row>
    <row r="53" spans="29:35">
      <c r="AC53" s="890">
        <v>44189</v>
      </c>
      <c r="AD53" s="837">
        <v>39.729999999999997</v>
      </c>
      <c r="AE53" s="837">
        <v>3703.06</v>
      </c>
      <c r="AF53" s="837">
        <v>263.93146000000002</v>
      </c>
      <c r="AG53" s="837">
        <f t="shared" si="3"/>
        <v>96.760837798343871</v>
      </c>
      <c r="AH53" s="837">
        <f t="shared" si="4"/>
        <v>101.77855346516965</v>
      </c>
      <c r="AI53" s="837">
        <f t="shared" si="5"/>
        <v>112.33037007742848</v>
      </c>
    </row>
    <row r="54" spans="29:35">
      <c r="AC54" s="890">
        <v>44183</v>
      </c>
      <c r="AD54" s="837">
        <v>40.68</v>
      </c>
      <c r="AE54" s="837">
        <v>3709.41</v>
      </c>
      <c r="AF54" s="837">
        <v>254.07156000000001</v>
      </c>
      <c r="AG54" s="837">
        <f t="shared" si="3"/>
        <v>99.074525085241106</v>
      </c>
      <c r="AH54" s="837">
        <f t="shared" si="4"/>
        <v>101.95308312834113</v>
      </c>
      <c r="AI54" s="837">
        <f t="shared" si="5"/>
        <v>108.13395402332702</v>
      </c>
    </row>
    <row r="55" spans="29:35">
      <c r="AC55" s="890">
        <v>44176</v>
      </c>
      <c r="AD55" s="837">
        <v>41.74</v>
      </c>
      <c r="AE55" s="837">
        <v>3663.46</v>
      </c>
      <c r="AF55" s="837">
        <v>245.79384999999999</v>
      </c>
      <c r="AG55" s="837">
        <f t="shared" si="3"/>
        <v>101.65611300535801</v>
      </c>
      <c r="AH55" s="837">
        <f t="shared" si="4"/>
        <v>100.69014800665137</v>
      </c>
      <c r="AI55" s="837">
        <f t="shared" si="5"/>
        <v>104.61092487138875</v>
      </c>
    </row>
    <row r="56" spans="29:35">
      <c r="AC56" s="890">
        <v>44169</v>
      </c>
      <c r="AD56" s="837">
        <v>42.36</v>
      </c>
      <c r="AE56" s="837">
        <v>3699.12</v>
      </c>
      <c r="AF56" s="837">
        <v>247.10796999999999</v>
      </c>
      <c r="AG56" s="837">
        <f>AD56/AD57*AG57</f>
        <v>103.16609839259618</v>
      </c>
      <c r="AH56" s="837">
        <f t="shared" ref="AH56:AI56" si="6">AE56/AE57*AH57</f>
        <v>101.67026261904435</v>
      </c>
      <c r="AI56" s="837">
        <f t="shared" si="6"/>
        <v>105.1702200229639</v>
      </c>
    </row>
    <row r="57" spans="29:35">
      <c r="AC57" s="890">
        <v>44162</v>
      </c>
      <c r="AD57" s="837">
        <v>41.06</v>
      </c>
      <c r="AE57" s="837">
        <v>3638.35</v>
      </c>
      <c r="AF57" s="837">
        <v>234.96001999999999</v>
      </c>
      <c r="AG57" s="837">
        <v>100</v>
      </c>
      <c r="AH57" s="837">
        <v>100</v>
      </c>
      <c r="AI57" s="837">
        <v>100</v>
      </c>
    </row>
  </sheetData>
  <mergeCells count="2">
    <mergeCell ref="AD2:AF2"/>
    <mergeCell ref="AG2:AI2"/>
  </mergeCells>
  <pageMargins left="0.7" right="0.7" top="0.75" bottom="0.75" header="0.3" footer="0.3"/>
  <pageSetup scale="58"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20">
    <tabColor theme="8" tint="0.59999389629810485"/>
  </sheetPr>
  <dimension ref="A1:M97"/>
  <sheetViews>
    <sheetView workbookViewId="0"/>
  </sheetViews>
  <sheetFormatPr defaultColWidth="11.28515625" defaultRowHeight="15"/>
  <cols>
    <col min="1" max="1" width="34.28515625" bestFit="1" customWidth="1"/>
  </cols>
  <sheetData>
    <row r="1" spans="1:13" ht="26.25">
      <c r="A1" s="28" t="s">
        <v>1406</v>
      </c>
      <c r="B1" s="29" t="s">
        <v>1407</v>
      </c>
      <c r="C1" s="30" t="s">
        <v>812</v>
      </c>
      <c r="D1" s="30" t="s">
        <v>1408</v>
      </c>
      <c r="E1" s="30" t="s">
        <v>1409</v>
      </c>
      <c r="G1" s="19" t="s">
        <v>1410</v>
      </c>
      <c r="H1" s="1355">
        <v>44201</v>
      </c>
      <c r="I1" s="1356"/>
      <c r="J1" s="1356"/>
      <c r="K1" s="1356"/>
      <c r="L1" s="1356"/>
      <c r="M1" s="1357"/>
    </row>
    <row r="2" spans="1:13" ht="15.75">
      <c r="A2" s="1089" t="s">
        <v>1411</v>
      </c>
      <c r="B2" s="1087">
        <v>29</v>
      </c>
      <c r="C2" s="1088">
        <v>2.8528566971630114</v>
      </c>
      <c r="D2" s="1088">
        <v>37.680380236658841</v>
      </c>
      <c r="E2" s="1088">
        <v>13.238851632697788</v>
      </c>
      <c r="G2" s="20" t="s">
        <v>1412</v>
      </c>
      <c r="H2" s="1349" t="s">
        <v>1413</v>
      </c>
      <c r="I2" s="1350"/>
      <c r="J2" s="1350"/>
      <c r="K2" s="1350"/>
      <c r="L2" s="1350"/>
      <c r="M2" s="1351"/>
    </row>
    <row r="3" spans="1:13" ht="15.75">
      <c r="A3" s="1089" t="s">
        <v>1414</v>
      </c>
      <c r="B3" s="1087">
        <v>17</v>
      </c>
      <c r="C3" s="1088">
        <v>8.1428389405848396</v>
      </c>
      <c r="D3" s="1088">
        <v>13.467519539284243</v>
      </c>
      <c r="E3" s="1088">
        <v>27.418032786885249</v>
      </c>
      <c r="G3" s="20" t="s">
        <v>1415</v>
      </c>
      <c r="H3" s="1358" t="s">
        <v>1416</v>
      </c>
      <c r="I3" s="1359"/>
      <c r="J3" s="1359"/>
      <c r="K3" s="1360"/>
      <c r="L3" s="1358" t="s">
        <v>1417</v>
      </c>
      <c r="M3" s="1361"/>
    </row>
    <row r="4" spans="1:13" ht="15.75">
      <c r="A4" s="1089" t="s">
        <v>1418</v>
      </c>
      <c r="B4" s="1087">
        <v>7</v>
      </c>
      <c r="C4" s="1088">
        <v>8.4604623045955609</v>
      </c>
      <c r="D4" s="1088">
        <v>14.862679952459837</v>
      </c>
      <c r="E4" s="1088">
        <v>13.25830624397633</v>
      </c>
      <c r="G4" s="20" t="s">
        <v>1419</v>
      </c>
      <c r="H4" s="1362" t="s">
        <v>1420</v>
      </c>
      <c r="I4" s="1363"/>
      <c r="J4" s="1363"/>
      <c r="K4" s="1363"/>
      <c r="L4" s="1363"/>
      <c r="M4" s="1364"/>
    </row>
    <row r="5" spans="1:13" ht="15.75">
      <c r="A5" s="1089" t="s">
        <v>1421</v>
      </c>
      <c r="B5" s="1087">
        <v>2</v>
      </c>
      <c r="C5" s="1088">
        <v>9.5613688451880385</v>
      </c>
      <c r="D5" s="1088">
        <v>15.20057915057915</v>
      </c>
      <c r="E5" s="1088">
        <v>12.99045851013673</v>
      </c>
      <c r="G5" s="20" t="s">
        <v>1422</v>
      </c>
      <c r="H5" s="1365" t="s">
        <v>1423</v>
      </c>
      <c r="I5" s="1366"/>
      <c r="J5" s="1366"/>
      <c r="K5" s="1366"/>
      <c r="L5" s="1366"/>
      <c r="M5" s="1367"/>
    </row>
    <row r="6" spans="1:13" ht="15.75">
      <c r="A6" s="1089" t="s">
        <v>1424</v>
      </c>
      <c r="B6" s="1087">
        <v>57</v>
      </c>
      <c r="C6" s="1088">
        <v>10.842200540287193</v>
      </c>
      <c r="D6" s="1088">
        <v>37.082779959348315</v>
      </c>
      <c r="E6" s="1088">
        <v>13.863272520521564</v>
      </c>
      <c r="G6" s="20" t="s">
        <v>1425</v>
      </c>
      <c r="H6" s="1349" t="s">
        <v>1426</v>
      </c>
      <c r="I6" s="1350"/>
      <c r="J6" s="1350"/>
      <c r="K6" s="1350"/>
      <c r="L6" s="1350"/>
      <c r="M6" s="1351"/>
    </row>
    <row r="7" spans="1:13" ht="15.75">
      <c r="A7" s="1089" t="s">
        <v>1427</v>
      </c>
      <c r="B7" s="1087">
        <v>598</v>
      </c>
      <c r="C7" s="1088">
        <v>13.499386028883045</v>
      </c>
      <c r="D7" s="1088">
        <v>15.385193908763318</v>
      </c>
      <c r="E7" s="1088">
        <v>12.867311816131537</v>
      </c>
      <c r="G7" s="21" t="s">
        <v>1428</v>
      </c>
      <c r="H7" s="1352" t="s">
        <v>1429</v>
      </c>
      <c r="I7" s="1353"/>
      <c r="J7" s="1353"/>
      <c r="K7" s="1353"/>
      <c r="L7" s="1353"/>
      <c r="M7" s="1354"/>
    </row>
    <row r="8" spans="1:13" ht="15.75">
      <c r="A8" s="1089" t="s">
        <v>1430</v>
      </c>
      <c r="B8" s="1087">
        <v>48</v>
      </c>
      <c r="C8" s="1088">
        <v>13.804173763677584</v>
      </c>
      <c r="D8" s="1088">
        <v>45.863876676003365</v>
      </c>
      <c r="E8" s="1088">
        <v>19.323915637757299</v>
      </c>
    </row>
    <row r="9" spans="1:13" ht="15.75">
      <c r="A9" s="1089" t="s">
        <v>1431</v>
      </c>
      <c r="B9" s="1087">
        <v>5</v>
      </c>
      <c r="C9" s="1088">
        <v>13.889530966480525</v>
      </c>
      <c r="D9" s="1088">
        <v>17.186064480100946</v>
      </c>
      <c r="E9" s="1088">
        <v>12.779182278332533</v>
      </c>
    </row>
    <row r="10" spans="1:13" ht="15.75">
      <c r="A10" s="1089" t="s">
        <v>1432</v>
      </c>
      <c r="B10" s="1087">
        <v>29</v>
      </c>
      <c r="C10" s="1088">
        <v>15.10182798935117</v>
      </c>
      <c r="D10" s="1088">
        <v>12.419936016946153</v>
      </c>
      <c r="E10" s="1088">
        <v>25.731757695495585</v>
      </c>
    </row>
    <row r="11" spans="1:13" ht="15.75">
      <c r="A11" s="1089" t="s">
        <v>1433</v>
      </c>
      <c r="B11" s="1087">
        <v>22</v>
      </c>
      <c r="C11" s="1088">
        <v>16.094369661224782</v>
      </c>
      <c r="D11" s="1088">
        <v>33.034458299910348</v>
      </c>
      <c r="E11" s="1088">
        <v>20.312323265237826</v>
      </c>
    </row>
    <row r="12" spans="1:13" ht="15.75">
      <c r="A12" s="1089" t="s">
        <v>1434</v>
      </c>
      <c r="B12" s="1087">
        <v>26</v>
      </c>
      <c r="C12" s="1088">
        <v>18.966864977285091</v>
      </c>
      <c r="D12" s="1088">
        <v>28.985999646276792</v>
      </c>
      <c r="E12" s="1088">
        <v>7.9284852741399652</v>
      </c>
    </row>
    <row r="13" spans="1:13" ht="15.75">
      <c r="A13" s="1089" t="s">
        <v>1435</v>
      </c>
      <c r="B13" s="1087">
        <v>30</v>
      </c>
      <c r="C13" s="1088">
        <v>19.458234493963456</v>
      </c>
      <c r="D13" s="1088">
        <v>17.342111719652049</v>
      </c>
      <c r="E13" s="1088">
        <v>11.042260142263562</v>
      </c>
    </row>
    <row r="14" spans="1:13" ht="15.75">
      <c r="A14" s="1089" t="s">
        <v>1436</v>
      </c>
      <c r="B14" s="1087">
        <v>93</v>
      </c>
      <c r="C14" s="1088">
        <v>19.65064042416331</v>
      </c>
      <c r="D14" s="1088">
        <v>86.454170201567749</v>
      </c>
      <c r="E14" s="1088">
        <v>20.667476320893531</v>
      </c>
    </row>
    <row r="15" spans="1:13" ht="15.75">
      <c r="A15" s="1089" t="s">
        <v>1437</v>
      </c>
      <c r="B15" s="1087">
        <v>15</v>
      </c>
      <c r="C15" s="1088">
        <v>20.061717291573434</v>
      </c>
      <c r="D15" s="1088">
        <v>20.046811587596142</v>
      </c>
      <c r="E15" s="1088">
        <v>22.525505445102908</v>
      </c>
    </row>
    <row r="16" spans="1:13" ht="15.75">
      <c r="A16" s="1089" t="s">
        <v>1438</v>
      </c>
      <c r="B16" s="1087">
        <v>16</v>
      </c>
      <c r="C16" s="1088">
        <v>20.24431447932459</v>
      </c>
      <c r="D16" s="1088">
        <v>18.730852059509221</v>
      </c>
      <c r="E16" s="1088">
        <v>18.252801393649513</v>
      </c>
    </row>
    <row r="17" spans="1:5" ht="15.75">
      <c r="A17" s="1089" t="s">
        <v>1439</v>
      </c>
      <c r="B17" s="1087">
        <v>61</v>
      </c>
      <c r="C17" s="1088">
        <v>20.948920718452705</v>
      </c>
      <c r="D17" s="1088">
        <v>45.375202628511474</v>
      </c>
      <c r="E17" s="1088">
        <v>38.919797108816311</v>
      </c>
    </row>
    <row r="18" spans="1:5" ht="15.75">
      <c r="A18" s="1089" t="s">
        <v>1440</v>
      </c>
      <c r="B18" s="1087">
        <v>39</v>
      </c>
      <c r="C18" s="1088">
        <v>21.142913650498212</v>
      </c>
      <c r="D18" s="1088">
        <v>82.198355424233498</v>
      </c>
      <c r="E18" s="1088">
        <v>14.337457107934958</v>
      </c>
    </row>
    <row r="19" spans="1:5" ht="15.75">
      <c r="A19" s="1089" t="s">
        <v>1441</v>
      </c>
      <c r="B19" s="1087">
        <v>55</v>
      </c>
      <c r="C19" s="1088">
        <v>21.477989038891085</v>
      </c>
      <c r="D19" s="1088">
        <v>21.953539691815568</v>
      </c>
      <c r="E19" s="1088">
        <v>19.175407988161034</v>
      </c>
    </row>
    <row r="20" spans="1:5" ht="15.75">
      <c r="A20" s="1089" t="s">
        <v>1442</v>
      </c>
      <c r="B20" s="1087">
        <v>51</v>
      </c>
      <c r="C20" s="1088">
        <v>22.383344457974761</v>
      </c>
      <c r="D20" s="1088">
        <v>22.761750232250616</v>
      </c>
      <c r="E20" s="1088">
        <v>83.023908123075302</v>
      </c>
    </row>
    <row r="21" spans="1:5" ht="15.75">
      <c r="A21" s="1089" t="s">
        <v>1443</v>
      </c>
      <c r="B21" s="1087">
        <v>17</v>
      </c>
      <c r="C21" s="1088">
        <v>23.22562025936022</v>
      </c>
      <c r="D21" s="1088">
        <v>22.701744745699372</v>
      </c>
      <c r="E21" s="1088">
        <v>25.816479714308258</v>
      </c>
    </row>
    <row r="22" spans="1:5" ht="15.75">
      <c r="A22" s="1089" t="s">
        <v>1444</v>
      </c>
      <c r="B22" s="1087">
        <v>11</v>
      </c>
      <c r="C22" s="1088">
        <v>23.466801239308086</v>
      </c>
      <c r="D22" s="1088">
        <v>49.987186364820744</v>
      </c>
      <c r="E22" s="1088">
        <v>23.610520141057425</v>
      </c>
    </row>
    <row r="23" spans="1:5" ht="15.75">
      <c r="A23" s="1089" t="s">
        <v>1445</v>
      </c>
      <c r="B23" s="1087">
        <v>235</v>
      </c>
      <c r="C23" s="1088">
        <v>24.298801953842695</v>
      </c>
      <c r="D23" s="1088">
        <v>21.864515213007955</v>
      </c>
      <c r="E23" s="1088">
        <v>19.348299111655503</v>
      </c>
    </row>
    <row r="24" spans="1:5" ht="15.75">
      <c r="A24" s="1089" t="s">
        <v>1446</v>
      </c>
      <c r="B24" s="1087">
        <v>278</v>
      </c>
      <c r="C24" s="1088">
        <v>25.146184392043807</v>
      </c>
      <c r="D24" s="1088">
        <v>26.134360751561921</v>
      </c>
      <c r="E24" s="1088">
        <v>38.635806875947324</v>
      </c>
    </row>
    <row r="25" spans="1:5" ht="15.75">
      <c r="A25" s="1089" t="s">
        <v>1447</v>
      </c>
      <c r="B25" s="1087">
        <v>26</v>
      </c>
      <c r="C25" s="1088">
        <v>25.243273347664914</v>
      </c>
      <c r="D25" s="1088">
        <v>24.252317258960598</v>
      </c>
      <c r="E25" s="1088">
        <v>34.803954406773208</v>
      </c>
    </row>
    <row r="26" spans="1:5" ht="15.75">
      <c r="A26" s="1089" t="s">
        <v>1448</v>
      </c>
      <c r="B26" s="1087">
        <v>6</v>
      </c>
      <c r="C26" s="1088">
        <v>25.541871374698623</v>
      </c>
      <c r="D26" s="1088">
        <v>28.550848056184293</v>
      </c>
      <c r="E26" s="1088">
        <v>22.916980565730569</v>
      </c>
    </row>
    <row r="27" spans="1:5" ht="15.75">
      <c r="A27" s="1089" t="s">
        <v>1449</v>
      </c>
      <c r="B27" s="1087">
        <v>29</v>
      </c>
      <c r="C27" s="1088">
        <v>26.175322916472133</v>
      </c>
      <c r="D27" s="1088">
        <v>27.983642584788679</v>
      </c>
      <c r="E27" s="1088">
        <v>31.500942234278543</v>
      </c>
    </row>
    <row r="28" spans="1:5" ht="15.75">
      <c r="A28" s="1089" t="s">
        <v>1450</v>
      </c>
      <c r="B28" s="1087">
        <v>32</v>
      </c>
      <c r="C28" s="1088">
        <v>26.44834057984254</v>
      </c>
      <c r="D28" s="1088">
        <v>23.819322781968737</v>
      </c>
      <c r="E28" s="1088">
        <v>29.581771984023778</v>
      </c>
    </row>
    <row r="29" spans="1:5" ht="15.75">
      <c r="A29" s="1089" t="s">
        <v>1451</v>
      </c>
      <c r="B29" s="1087">
        <v>38</v>
      </c>
      <c r="C29" s="1088">
        <v>26.920903829736986</v>
      </c>
      <c r="D29" s="1088">
        <v>26.631329737537396</v>
      </c>
      <c r="E29" s="1088">
        <v>27.549791735743984</v>
      </c>
    </row>
    <row r="30" spans="1:5" ht="15.75">
      <c r="A30" s="1089" t="s">
        <v>1452</v>
      </c>
      <c r="B30" s="1087">
        <v>61</v>
      </c>
      <c r="C30" s="1088">
        <v>27.424827013720574</v>
      </c>
      <c r="D30" s="1088">
        <v>34.524899609773172</v>
      </c>
      <c r="E30" s="1088">
        <v>28.829779103847368</v>
      </c>
    </row>
    <row r="31" spans="1:5" ht="15.75">
      <c r="A31" s="1089" t="s">
        <v>1453</v>
      </c>
      <c r="B31" s="1087">
        <v>52</v>
      </c>
      <c r="C31" s="1088">
        <v>27.429583543538932</v>
      </c>
      <c r="D31" s="1088">
        <v>55.564670951608257</v>
      </c>
      <c r="E31" s="1088">
        <v>27.212780125819283</v>
      </c>
    </row>
    <row r="32" spans="1:5" ht="15.75">
      <c r="A32" s="1089" t="s">
        <v>811</v>
      </c>
      <c r="B32" s="1087">
        <v>21</v>
      </c>
      <c r="C32" s="1088">
        <v>27.844321947895128</v>
      </c>
      <c r="D32" s="1088">
        <v>48.605928871645851</v>
      </c>
      <c r="E32" s="1088">
        <v>20.000337340973289</v>
      </c>
    </row>
    <row r="33" spans="1:5" ht="15.75">
      <c r="A33" s="1089" t="s">
        <v>1454</v>
      </c>
      <c r="B33" s="1087">
        <v>42</v>
      </c>
      <c r="C33" s="1088">
        <v>28.188123576278759</v>
      </c>
      <c r="D33" s="1088">
        <v>25.634097120278831</v>
      </c>
      <c r="E33" s="1088">
        <v>21.859266486388886</v>
      </c>
    </row>
    <row r="34" spans="1:5" ht="15.75">
      <c r="A34" s="1089" t="s">
        <v>1455</v>
      </c>
      <c r="B34" s="1087">
        <v>15</v>
      </c>
      <c r="C34" s="1088">
        <v>28.532808512185788</v>
      </c>
      <c r="D34" s="1088">
        <v>54.618361961531335</v>
      </c>
      <c r="E34" s="1088">
        <v>14.110759977190732</v>
      </c>
    </row>
    <row r="35" spans="1:5" ht="15.75">
      <c r="A35" s="1089" t="s">
        <v>1456</v>
      </c>
      <c r="B35" s="1087">
        <v>16</v>
      </c>
      <c r="C35" s="1088">
        <v>29.653492436176812</v>
      </c>
      <c r="D35" s="1088">
        <v>24.683121593527087</v>
      </c>
      <c r="E35" s="1088">
        <v>26.033438478865307</v>
      </c>
    </row>
    <row r="36" spans="1:5" ht="15.75">
      <c r="A36" s="1089" t="s">
        <v>1457</v>
      </c>
      <c r="B36" s="1087">
        <v>40</v>
      </c>
      <c r="C36" s="1088">
        <v>29.969003305006453</v>
      </c>
      <c r="D36" s="1088">
        <v>125.49843153837293</v>
      </c>
      <c r="E36" s="1088">
        <v>21.55784833000164</v>
      </c>
    </row>
    <row r="37" spans="1:5" ht="15.75">
      <c r="A37" s="1089" t="s">
        <v>1458</v>
      </c>
      <c r="B37" s="1087">
        <v>86</v>
      </c>
      <c r="C37" s="1088">
        <v>30.208689590526685</v>
      </c>
      <c r="D37" s="1088">
        <v>44.419732750252479</v>
      </c>
      <c r="E37" s="1088">
        <v>41.856363222945845</v>
      </c>
    </row>
    <row r="38" spans="1:5" ht="15.75">
      <c r="A38" s="1089" t="s">
        <v>1459</v>
      </c>
      <c r="B38" s="1087">
        <v>30</v>
      </c>
      <c r="C38" s="1088">
        <v>30.46400250251115</v>
      </c>
      <c r="D38" s="1088">
        <v>17.520871329775961</v>
      </c>
      <c r="E38" s="1088">
        <v>17.245103062095065</v>
      </c>
    </row>
    <row r="39" spans="1:5" ht="15.75">
      <c r="A39" s="1089" t="s">
        <v>1460</v>
      </c>
      <c r="B39" s="1087">
        <v>85</v>
      </c>
      <c r="C39" s="1088">
        <v>30.513496867091341</v>
      </c>
      <c r="D39" s="1088">
        <v>55.991884110178958</v>
      </c>
      <c r="E39" s="1088">
        <v>26.494570746393119</v>
      </c>
    </row>
    <row r="40" spans="1:5" ht="15.75">
      <c r="A40" s="1089" t="s">
        <v>1461</v>
      </c>
      <c r="B40" s="1087">
        <v>35</v>
      </c>
      <c r="C40" s="1088">
        <v>30.51424909697813</v>
      </c>
      <c r="D40" s="1088">
        <v>46.738341622015596</v>
      </c>
      <c r="E40" s="1088">
        <v>27.294505246909484</v>
      </c>
    </row>
    <row r="41" spans="1:5" ht="15.75">
      <c r="A41" s="1089" t="s">
        <v>1462</v>
      </c>
      <c r="B41" s="1087">
        <v>547</v>
      </c>
      <c r="C41" s="1088">
        <v>31.002465111461522</v>
      </c>
      <c r="D41" s="1088">
        <v>480.18431697399177</v>
      </c>
      <c r="E41" s="1088">
        <v>75.430555073268778</v>
      </c>
    </row>
    <row r="42" spans="1:5" ht="15.75">
      <c r="A42" s="1089" t="s">
        <v>1463</v>
      </c>
      <c r="B42" s="1087">
        <v>25</v>
      </c>
      <c r="C42" s="1088">
        <v>31.021741666730062</v>
      </c>
      <c r="D42" s="1088">
        <v>15.955592105263159</v>
      </c>
      <c r="E42" s="1088">
        <v>11.664739884393063</v>
      </c>
    </row>
    <row r="43" spans="1:5" ht="15.75">
      <c r="A43" s="1089" t="s">
        <v>1464</v>
      </c>
      <c r="B43" s="1087">
        <v>11</v>
      </c>
      <c r="C43" s="1088">
        <v>31.52827619780162</v>
      </c>
      <c r="D43" s="1088">
        <v>46.18128726931203</v>
      </c>
      <c r="E43" s="1088">
        <v>22.567217323272995</v>
      </c>
    </row>
    <row r="44" spans="1:5" ht="15.75">
      <c r="A44" s="1089" t="s">
        <v>1465</v>
      </c>
      <c r="B44" s="1087">
        <v>3</v>
      </c>
      <c r="C44" s="1088">
        <v>33.880263647932658</v>
      </c>
      <c r="D44" s="1088">
        <v>52.496325301204813</v>
      </c>
      <c r="E44" s="1088">
        <v>38.800336438923395</v>
      </c>
    </row>
    <row r="45" spans="1:5" ht="15.75">
      <c r="A45" s="1089" t="s">
        <v>1466</v>
      </c>
      <c r="B45" s="1087">
        <v>97</v>
      </c>
      <c r="C45" s="1088">
        <v>36.062064309868184</v>
      </c>
      <c r="D45" s="1088">
        <v>58.864592105629278</v>
      </c>
      <c r="E45" s="1088">
        <v>25.112355660766543</v>
      </c>
    </row>
    <row r="46" spans="1:5" ht="15.75">
      <c r="A46" s="1089" t="s">
        <v>1467</v>
      </c>
      <c r="B46" s="1087">
        <v>169</v>
      </c>
      <c r="C46" s="1088">
        <v>38.247789643016965</v>
      </c>
      <c r="D46" s="1088">
        <v>44.220616607815849</v>
      </c>
      <c r="E46" s="1088">
        <v>86.137426357386545</v>
      </c>
    </row>
    <row r="47" spans="1:5" ht="15.75">
      <c r="A47" s="1089" t="s">
        <v>1468</v>
      </c>
      <c r="B47" s="1087">
        <v>3</v>
      </c>
      <c r="C47" s="1088">
        <v>39.186082698060403</v>
      </c>
      <c r="D47" s="1088">
        <v>24.892802164704982</v>
      </c>
      <c r="E47" s="1088">
        <v>15.284327217125384</v>
      </c>
    </row>
    <row r="48" spans="1:5" ht="15.75">
      <c r="A48" s="1089" t="s">
        <v>1469</v>
      </c>
      <c r="B48" s="1087">
        <v>69</v>
      </c>
      <c r="C48" s="1088">
        <v>39.299104278628825</v>
      </c>
      <c r="D48" s="1088">
        <v>155.39430580205871</v>
      </c>
      <c r="E48" s="1088">
        <v>49.58485664357152</v>
      </c>
    </row>
    <row r="49" spans="1:5" ht="15.75">
      <c r="A49" s="1089" t="s">
        <v>1470</v>
      </c>
      <c r="B49" s="1087">
        <v>11</v>
      </c>
      <c r="C49" s="1088">
        <v>40.160322784667386</v>
      </c>
      <c r="D49" s="1088">
        <v>52.413073487914708</v>
      </c>
      <c r="E49" s="1088">
        <v>82.139419887836937</v>
      </c>
    </row>
    <row r="50" spans="1:5" ht="15.75">
      <c r="A50" s="1089" t="s">
        <v>1471</v>
      </c>
      <c r="B50" s="1087">
        <v>135</v>
      </c>
      <c r="C50" s="1088">
        <v>40.30222828455743</v>
      </c>
      <c r="D50" s="1088">
        <v>31.776149931718642</v>
      </c>
      <c r="E50" s="1088">
        <v>37.282315359238076</v>
      </c>
    </row>
    <row r="51" spans="1:5" ht="15.75">
      <c r="A51" s="1089" t="s">
        <v>1472</v>
      </c>
      <c r="B51" s="1087">
        <v>14</v>
      </c>
      <c r="C51" s="1088">
        <v>40.595073044786119</v>
      </c>
      <c r="D51" s="1088">
        <v>14.413462025265975</v>
      </c>
      <c r="E51" s="1088">
        <v>18.420473848228895</v>
      </c>
    </row>
    <row r="52" spans="1:5" ht="15.75">
      <c r="A52" s="1089" t="s">
        <v>1473</v>
      </c>
      <c r="B52" s="1087">
        <v>52</v>
      </c>
      <c r="C52" s="1088">
        <v>40.61166857838127</v>
      </c>
      <c r="D52" s="1088">
        <v>27.254643581045862</v>
      </c>
      <c r="E52" s="1088">
        <v>30.143165695611042</v>
      </c>
    </row>
    <row r="53" spans="1:5" ht="15.75">
      <c r="A53" s="1089" t="s">
        <v>1474</v>
      </c>
      <c r="B53" s="1087">
        <v>85</v>
      </c>
      <c r="C53" s="1088">
        <v>41.38419371280137</v>
      </c>
      <c r="D53" s="1088">
        <v>138.4448999428416</v>
      </c>
      <c r="E53" s="1088">
        <v>21.913433639665147</v>
      </c>
    </row>
    <row r="54" spans="1:5" ht="15.75">
      <c r="A54" s="1089" t="s">
        <v>1475</v>
      </c>
      <c r="B54" s="1087">
        <v>55</v>
      </c>
      <c r="C54" s="1088">
        <v>44.23144875800697</v>
      </c>
      <c r="D54" s="1088">
        <v>22.123312520281296</v>
      </c>
      <c r="E54" s="1088">
        <v>28.488545253296433</v>
      </c>
    </row>
    <row r="55" spans="1:5" ht="15.75">
      <c r="A55" s="1089" t="s">
        <v>1476</v>
      </c>
      <c r="B55" s="1087">
        <v>116</v>
      </c>
      <c r="C55" s="1088">
        <v>45.382630118182185</v>
      </c>
      <c r="D55" s="1088">
        <v>27.860284729188052</v>
      </c>
      <c r="E55" s="1088">
        <v>35.79627949187708</v>
      </c>
    </row>
    <row r="56" spans="1:5" ht="15.75">
      <c r="A56" s="1089" t="s">
        <v>1477</v>
      </c>
      <c r="B56" s="1087">
        <v>23</v>
      </c>
      <c r="C56" s="1088">
        <v>45.636174933572981</v>
      </c>
      <c r="D56" s="1088">
        <v>32.389619105867602</v>
      </c>
      <c r="E56" s="1088">
        <v>28.236769024496219</v>
      </c>
    </row>
    <row r="57" spans="1:5" ht="15.75">
      <c r="A57" s="1089" t="s">
        <v>1478</v>
      </c>
      <c r="B57" s="1087">
        <v>29</v>
      </c>
      <c r="C57" s="1088">
        <v>47.997077974813507</v>
      </c>
      <c r="D57" s="1088">
        <v>48.936283563714277</v>
      </c>
      <c r="E57" s="1088">
        <v>25.04619321202637</v>
      </c>
    </row>
    <row r="58" spans="1:5" ht="15.75">
      <c r="A58" s="1089" t="s">
        <v>1479</v>
      </c>
      <c r="B58" s="1087">
        <v>238</v>
      </c>
      <c r="C58" s="1088">
        <v>49.791280586602454</v>
      </c>
      <c r="D58" s="1088">
        <v>62.999428661447418</v>
      </c>
      <c r="E58" s="1088">
        <v>70.039567131380295</v>
      </c>
    </row>
    <row r="59" spans="1:5" ht="15.75">
      <c r="A59" s="1089" t="s">
        <v>1480</v>
      </c>
      <c r="B59" s="1087">
        <v>122</v>
      </c>
      <c r="C59" s="1088">
        <v>51.610063219708337</v>
      </c>
      <c r="D59" s="1088">
        <v>106.0185982870089</v>
      </c>
      <c r="E59" s="1088">
        <v>37.002150259114622</v>
      </c>
    </row>
    <row r="60" spans="1:5" ht="15.75">
      <c r="A60" s="1089" t="s">
        <v>1481</v>
      </c>
      <c r="B60" s="1087">
        <v>66</v>
      </c>
      <c r="C60" s="1088">
        <v>51.994966104007361</v>
      </c>
      <c r="D60" s="1088">
        <v>64.17173094138856</v>
      </c>
      <c r="E60" s="1088">
        <v>37.773261457592575</v>
      </c>
    </row>
    <row r="61" spans="1:5" ht="15.75">
      <c r="A61" s="1089" t="s">
        <v>1482</v>
      </c>
      <c r="B61" s="1087">
        <v>17</v>
      </c>
      <c r="C61" s="1088">
        <v>54.771951486625902</v>
      </c>
      <c r="D61" s="1088">
        <v>62.39214919438848</v>
      </c>
      <c r="E61" s="1088">
        <v>48.224063042161475</v>
      </c>
    </row>
    <row r="62" spans="1:5" ht="15.75">
      <c r="A62" s="1089" t="s">
        <v>1483</v>
      </c>
      <c r="B62" s="1087">
        <v>25</v>
      </c>
      <c r="C62" s="1088">
        <v>56.002473919972573</v>
      </c>
      <c r="D62" s="1088">
        <v>40.672598073760867</v>
      </c>
      <c r="E62" s="1088">
        <v>45.514092356687897</v>
      </c>
    </row>
    <row r="63" spans="1:5" ht="15.75">
      <c r="A63" s="1089" t="s">
        <v>1484</v>
      </c>
      <c r="B63" s="1087">
        <v>22</v>
      </c>
      <c r="C63" s="1088">
        <v>57.056173755295973</v>
      </c>
      <c r="D63" s="1088">
        <v>14.621502322457888</v>
      </c>
      <c r="E63" s="1088">
        <v>17.439377099318161</v>
      </c>
    </row>
    <row r="64" spans="1:5" ht="15.75">
      <c r="A64" s="1089" t="s">
        <v>1485</v>
      </c>
      <c r="B64" s="1087">
        <v>125</v>
      </c>
      <c r="C64" s="1088">
        <v>59.509523956471895</v>
      </c>
      <c r="D64" s="1088">
        <v>46.086855188000342</v>
      </c>
      <c r="E64" s="1088">
        <v>29.02328059507186</v>
      </c>
    </row>
    <row r="65" spans="1:5" ht="15.75">
      <c r="A65" s="1089" t="s">
        <v>1486</v>
      </c>
      <c r="B65" s="1087">
        <v>21</v>
      </c>
      <c r="C65" s="1088">
        <v>65.338066149330828</v>
      </c>
      <c r="D65" s="1088">
        <v>50.362847538359041</v>
      </c>
      <c r="E65" s="1088">
        <v>28.179691630590003</v>
      </c>
    </row>
    <row r="66" spans="1:5" ht="15.75">
      <c r="A66" s="1089" t="s">
        <v>1487</v>
      </c>
      <c r="B66" s="1087">
        <v>13</v>
      </c>
      <c r="C66" s="1088">
        <v>68.46240313870625</v>
      </c>
      <c r="D66" s="1088">
        <v>63.676658140226202</v>
      </c>
      <c r="E66" s="1088">
        <v>26.046271982106937</v>
      </c>
    </row>
    <row r="67" spans="1:5" ht="15.75">
      <c r="A67" s="1089" t="s">
        <v>1488</v>
      </c>
      <c r="B67" s="1087">
        <v>96</v>
      </c>
      <c r="C67" s="1088">
        <v>69.360518295562073</v>
      </c>
      <c r="D67" s="1088">
        <v>50.678124744497509</v>
      </c>
      <c r="E67" s="1088">
        <v>221.68406661120909</v>
      </c>
    </row>
    <row r="68" spans="1:5" ht="15.75">
      <c r="A68" s="1089" t="s">
        <v>1489</v>
      </c>
      <c r="B68" s="1087">
        <v>79</v>
      </c>
      <c r="C68" s="1088">
        <v>70.431254016216755</v>
      </c>
      <c r="D68" s="1088">
        <v>58.913182776746602</v>
      </c>
      <c r="E68" s="1088">
        <v>1610.2120353920329</v>
      </c>
    </row>
    <row r="69" spans="1:5" ht="15.75">
      <c r="A69" s="1089" t="s">
        <v>1490</v>
      </c>
      <c r="B69" s="1087">
        <v>32</v>
      </c>
      <c r="C69" s="1088">
        <v>72.233188340877831</v>
      </c>
      <c r="D69" s="1088">
        <v>44.606702222356631</v>
      </c>
      <c r="E69" s="1088">
        <v>28.534647340746719</v>
      </c>
    </row>
    <row r="70" spans="1:5" ht="15.75">
      <c r="A70" s="1089" t="s">
        <v>1491</v>
      </c>
      <c r="B70" s="1087">
        <v>32</v>
      </c>
      <c r="C70" s="1088">
        <v>76.289986055696986</v>
      </c>
      <c r="D70" s="1088">
        <v>35.726079443105931</v>
      </c>
      <c r="E70" s="1088">
        <v>17.024206969680463</v>
      </c>
    </row>
    <row r="71" spans="1:5" ht="15.75">
      <c r="A71" s="1089" t="s">
        <v>1492</v>
      </c>
      <c r="B71" s="1087">
        <v>157</v>
      </c>
      <c r="C71" s="1088">
        <v>81.090808307936229</v>
      </c>
      <c r="D71" s="1088">
        <v>69.761936850042233</v>
      </c>
      <c r="E71" s="1088">
        <v>35.472207902239688</v>
      </c>
    </row>
    <row r="72" spans="1:5" ht="15.75">
      <c r="A72" s="1089" t="s">
        <v>1493</v>
      </c>
      <c r="B72" s="1087">
        <v>46</v>
      </c>
      <c r="C72" s="1088">
        <v>84.987568315760811</v>
      </c>
      <c r="D72" s="1088">
        <v>108.39709320846305</v>
      </c>
      <c r="E72" s="1088">
        <v>24.498518965263774</v>
      </c>
    </row>
    <row r="73" spans="1:5" ht="15.75">
      <c r="A73" s="1089" t="s">
        <v>1494</v>
      </c>
      <c r="B73" s="1087">
        <v>36</v>
      </c>
      <c r="C73" s="1088">
        <v>92.255870505035048</v>
      </c>
      <c r="D73" s="1088">
        <v>67.888620201828758</v>
      </c>
      <c r="E73" s="1088">
        <v>47.860243359081913</v>
      </c>
    </row>
    <row r="74" spans="1:5" ht="15.75">
      <c r="A74" s="1089" t="s">
        <v>1495</v>
      </c>
      <c r="B74" s="1087">
        <v>101</v>
      </c>
      <c r="C74" s="1088">
        <v>100.58887317378142</v>
      </c>
      <c r="D74" s="1088">
        <v>157.38488806622505</v>
      </c>
      <c r="E74" s="1088">
        <v>109.43751125654759</v>
      </c>
    </row>
    <row r="75" spans="1:5" ht="15.75">
      <c r="A75" s="1089" t="s">
        <v>1496</v>
      </c>
      <c r="B75" s="1087">
        <v>129</v>
      </c>
      <c r="C75" s="1088">
        <v>101.83991360672398</v>
      </c>
      <c r="D75" s="1088">
        <v>104.17605537136028</v>
      </c>
      <c r="E75" s="1088">
        <v>31.478885999190737</v>
      </c>
    </row>
    <row r="76" spans="1:5" ht="15.75">
      <c r="A76" s="1089" t="s">
        <v>1497</v>
      </c>
      <c r="B76" s="1087">
        <v>77</v>
      </c>
      <c r="C76" s="1088">
        <v>102.24371569385259</v>
      </c>
      <c r="D76" s="1088">
        <v>71.12999032730562</v>
      </c>
      <c r="E76" s="1088">
        <v>39.958111991454864</v>
      </c>
    </row>
    <row r="77" spans="1:5" ht="15.75">
      <c r="A77" s="1089" t="s">
        <v>1498</v>
      </c>
      <c r="B77" s="1087">
        <v>6253</v>
      </c>
      <c r="C77" s="1088">
        <v>103.3305021162834</v>
      </c>
      <c r="D77" s="1088">
        <v>87.077262365850473</v>
      </c>
      <c r="E77" s="1088">
        <v>93.385287795672369</v>
      </c>
    </row>
    <row r="78" spans="1:5" ht="15.75">
      <c r="A78" s="1089" t="s">
        <v>1499</v>
      </c>
      <c r="B78" s="1087">
        <v>40</v>
      </c>
      <c r="C78" s="1088">
        <v>108.67500882112068</v>
      </c>
      <c r="D78" s="1088">
        <v>55.871007175483264</v>
      </c>
      <c r="E78" s="1088">
        <v>30.137480934824328</v>
      </c>
    </row>
    <row r="79" spans="1:5" ht="15.75">
      <c r="A79" s="1089" t="s">
        <v>1500</v>
      </c>
      <c r="B79" s="1087">
        <v>7582</v>
      </c>
      <c r="C79" s="1088">
        <v>109.79299344075949</v>
      </c>
      <c r="D79" s="1088">
        <v>103.24608265487092</v>
      </c>
      <c r="E79" s="1088">
        <v>79.743516870033332</v>
      </c>
    </row>
    <row r="80" spans="1:5" ht="15.75">
      <c r="A80" s="1089" t="s">
        <v>1501</v>
      </c>
      <c r="B80" s="1087">
        <v>287</v>
      </c>
      <c r="C80" s="1088">
        <v>122.81580662788741</v>
      </c>
      <c r="D80" s="1088">
        <v>34.542058049164375</v>
      </c>
      <c r="E80" s="1088">
        <v>34.051288006260023</v>
      </c>
    </row>
    <row r="81" spans="1:5" ht="15.75">
      <c r="A81" s="1089" t="s">
        <v>1502</v>
      </c>
      <c r="B81" s="1087">
        <v>75</v>
      </c>
      <c r="C81" s="1088">
        <v>133.68279991280295</v>
      </c>
      <c r="D81" s="1088">
        <v>131.27291479009298</v>
      </c>
      <c r="E81" s="1088">
        <v>129.0535099931864</v>
      </c>
    </row>
    <row r="82" spans="1:5" ht="15.75">
      <c r="A82" s="1089" t="s">
        <v>1503</v>
      </c>
      <c r="B82" s="1087">
        <v>15</v>
      </c>
      <c r="C82" s="1088">
        <v>152.69326052161856</v>
      </c>
      <c r="D82" s="1088">
        <v>140.10936326540158</v>
      </c>
      <c r="E82" s="1088">
        <v>25.590545234211827</v>
      </c>
    </row>
    <row r="83" spans="1:5" ht="15.75">
      <c r="A83" s="1089" t="s">
        <v>1504</v>
      </c>
      <c r="B83" s="1087">
        <v>58</v>
      </c>
      <c r="C83" s="1088">
        <v>158.40765707279064</v>
      </c>
      <c r="D83" s="1088">
        <v>22.272683229104771</v>
      </c>
      <c r="E83" s="1088">
        <v>96.94678199119474</v>
      </c>
    </row>
    <row r="84" spans="1:5" ht="15.75">
      <c r="A84" s="1089" t="s">
        <v>1505</v>
      </c>
      <c r="B84" s="1087">
        <v>19</v>
      </c>
      <c r="C84" s="1088">
        <v>164.37090793856405</v>
      </c>
      <c r="D84" s="1088">
        <v>261.55986156714147</v>
      </c>
      <c r="E84" s="1088">
        <v>37.204591381186063</v>
      </c>
    </row>
    <row r="85" spans="1:5" ht="15.75">
      <c r="A85" s="1089" t="s">
        <v>1506</v>
      </c>
      <c r="B85" s="1087">
        <v>139</v>
      </c>
      <c r="C85" s="1088">
        <v>189.46726106643752</v>
      </c>
      <c r="D85" s="1088">
        <v>162.96068906351726</v>
      </c>
      <c r="E85" s="1088">
        <v>77.244164165981417</v>
      </c>
    </row>
    <row r="86" spans="1:5" ht="15.75">
      <c r="A86" s="1089" t="s">
        <v>1507</v>
      </c>
      <c r="B86" s="1087">
        <v>388</v>
      </c>
      <c r="C86" s="1088">
        <v>193.64858144684882</v>
      </c>
      <c r="D86" s="1088">
        <v>148.99150403292035</v>
      </c>
      <c r="E86" s="1088">
        <v>305.13389180320263</v>
      </c>
    </row>
    <row r="87" spans="1:5" ht="15.75">
      <c r="A87" s="1089" t="s">
        <v>1508</v>
      </c>
      <c r="B87" s="1087">
        <v>41</v>
      </c>
      <c r="C87" s="1088">
        <v>201.33746051277691</v>
      </c>
      <c r="D87" s="1088">
        <v>116.71720199086498</v>
      </c>
      <c r="E87" s="1088">
        <v>72.190260037517319</v>
      </c>
    </row>
    <row r="88" spans="1:5" ht="15.75">
      <c r="A88" s="1089" t="s">
        <v>1509</v>
      </c>
      <c r="B88" s="1087">
        <v>101</v>
      </c>
      <c r="C88" s="1088">
        <v>268.11019028308885</v>
      </c>
      <c r="D88" s="1088">
        <v>375.19491831868447</v>
      </c>
      <c r="E88" s="1088">
        <v>244.40231292771873</v>
      </c>
    </row>
    <row r="89" spans="1:5" ht="15.75">
      <c r="A89" s="1089" t="s">
        <v>1510</v>
      </c>
      <c r="B89" s="1087">
        <v>72</v>
      </c>
      <c r="C89" s="1088">
        <v>291.55725460813619</v>
      </c>
      <c r="D89" s="1088">
        <v>107.38396177092393</v>
      </c>
      <c r="E89" s="1088">
        <v>122.3657101512303</v>
      </c>
    </row>
    <row r="90" spans="1:5" ht="15.75">
      <c r="A90" s="1089" t="s">
        <v>1511</v>
      </c>
      <c r="B90" s="1087">
        <v>18</v>
      </c>
      <c r="C90" s="1088">
        <v>320.61246798052684</v>
      </c>
      <c r="D90" s="1088">
        <v>8.6352957442395955</v>
      </c>
      <c r="E90" s="1088">
        <v>20.387474913631497</v>
      </c>
    </row>
    <row r="91" spans="1:5" ht="15.75">
      <c r="A91" s="1089" t="s">
        <v>1512</v>
      </c>
      <c r="B91" s="1087">
        <v>265</v>
      </c>
      <c r="C91" s="1088">
        <v>330.7314866712556</v>
      </c>
      <c r="D91" s="1088">
        <v>317.981478965745</v>
      </c>
      <c r="E91" s="1088">
        <v>248.2610300217101</v>
      </c>
    </row>
    <row r="92" spans="1:5" ht="15.75">
      <c r="A92" s="1089" t="s">
        <v>1513</v>
      </c>
      <c r="B92" s="1087">
        <v>348</v>
      </c>
      <c r="C92" s="1088">
        <v>480.92020345274636</v>
      </c>
      <c r="D92" s="1088">
        <v>625.40619966705265</v>
      </c>
      <c r="E92" s="1088">
        <v>15.571507079738737</v>
      </c>
    </row>
    <row r="93" spans="1:5" ht="15.75">
      <c r="A93" s="1089" t="s">
        <v>1514</v>
      </c>
      <c r="B93" s="1087">
        <v>86</v>
      </c>
      <c r="C93" s="1088">
        <v>538.13204403835141</v>
      </c>
      <c r="D93" s="1088">
        <v>549.57907903689807</v>
      </c>
      <c r="E93" s="1088">
        <v>34.578025822155141</v>
      </c>
    </row>
    <row r="94" spans="1:5" ht="15.75">
      <c r="A94" s="1089" t="s">
        <v>1515</v>
      </c>
      <c r="B94" s="1087">
        <v>140</v>
      </c>
      <c r="C94" s="1088">
        <v>592.22597336201579</v>
      </c>
      <c r="D94" s="1088">
        <v>36.292003801021629</v>
      </c>
      <c r="E94" s="1088">
        <v>85.735963483325477</v>
      </c>
    </row>
    <row r="95" spans="1:5" ht="15.75">
      <c r="A95" s="1089" t="s">
        <v>1516</v>
      </c>
      <c r="B95" s="1087">
        <v>118</v>
      </c>
      <c r="C95" s="1088">
        <v>908.12329003074115</v>
      </c>
      <c r="D95" s="1088">
        <v>1157.1319525274689</v>
      </c>
      <c r="E95" s="1088">
        <v>58.162430280706019</v>
      </c>
    </row>
    <row r="96" spans="1:5" ht="15.75">
      <c r="A96" s="1089" t="s">
        <v>1517</v>
      </c>
      <c r="B96" s="1087">
        <v>61</v>
      </c>
      <c r="C96" s="1088">
        <v>1199.2609078134933</v>
      </c>
      <c r="D96" s="1088">
        <v>56.828067786122666</v>
      </c>
      <c r="E96" s="1088">
        <v>57.156357333238205</v>
      </c>
    </row>
    <row r="97" spans="1:5" ht="15.75">
      <c r="A97" s="1086" t="s">
        <v>1518</v>
      </c>
      <c r="B97" s="1090">
        <v>70</v>
      </c>
      <c r="C97" s="1091">
        <v>1291.4193241620565</v>
      </c>
      <c r="D97" s="1091">
        <v>726.52219693530583</v>
      </c>
      <c r="E97" s="1091">
        <v>44.338149304590132</v>
      </c>
    </row>
  </sheetData>
  <mergeCells count="8">
    <mergeCell ref="H6:M6"/>
    <mergeCell ref="H7:M7"/>
    <mergeCell ref="H1:M1"/>
    <mergeCell ref="H2:M2"/>
    <mergeCell ref="H3:K3"/>
    <mergeCell ref="L3:M3"/>
    <mergeCell ref="H4:M4"/>
    <mergeCell ref="H5:M5"/>
  </mergeCells>
  <hyperlinks>
    <hyperlink ref="H2" r:id="rId1" xr:uid="{00000000-0004-0000-1F00-000000000000}"/>
    <hyperlink ref="H4" r:id="rId2" xr:uid="{00000000-0004-0000-1F00-000001000000}"/>
    <hyperlink ref="H5" r:id="rId3" xr:uid="{00000000-0004-0000-1F00-000002000000}"/>
    <hyperlink ref="H6" r:id="rId4" xr:uid="{00000000-0004-0000-1F00-000003000000}"/>
    <hyperlink ref="H7" r:id="rId5" xr:uid="{00000000-0004-0000-1F00-000004000000}"/>
  </hyperlinks>
  <pageMargins left="0.7" right="0.7" top="0.78740157499999996" bottom="0.78740157499999996" header="0.3" footer="0.3"/>
  <drawing r:id="rId6"/>
  <tableParts count="1">
    <tablePart r:id="rId7"/>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21">
    <tabColor theme="8" tint="0.59999389629810485"/>
  </sheetPr>
  <dimension ref="A1:N97"/>
  <sheetViews>
    <sheetView zoomScale="115" zoomScaleNormal="115" workbookViewId="0">
      <selection activeCell="D9" sqref="D9"/>
    </sheetView>
  </sheetViews>
  <sheetFormatPr defaultColWidth="11.28515625" defaultRowHeight="15"/>
  <cols>
    <col min="1" max="1" width="34.28515625" bestFit="1" customWidth="1"/>
    <col min="2" max="3" width="12.28515625" customWidth="1"/>
    <col min="4" max="4" width="14.28515625" customWidth="1"/>
    <col min="5" max="6" width="12.28515625" customWidth="1"/>
    <col min="8" max="8" width="27.7109375" bestFit="1" customWidth="1"/>
  </cols>
  <sheetData>
    <row r="1" spans="1:14" ht="26.25">
      <c r="A1" s="32" t="s">
        <v>1406</v>
      </c>
      <c r="B1" s="33" t="s">
        <v>1407</v>
      </c>
      <c r="C1" s="33" t="s">
        <v>1519</v>
      </c>
      <c r="D1" s="33" t="s">
        <v>165</v>
      </c>
      <c r="E1" s="33" t="s">
        <v>166</v>
      </c>
      <c r="F1" s="33" t="s">
        <v>814</v>
      </c>
      <c r="H1" s="19" t="s">
        <v>1410</v>
      </c>
      <c r="I1" s="1374">
        <v>44201</v>
      </c>
      <c r="J1" s="1375"/>
      <c r="K1" s="1375"/>
      <c r="L1" s="1375"/>
      <c r="M1" s="1375"/>
      <c r="N1" s="1376"/>
    </row>
    <row r="2" spans="1:14" ht="15.75">
      <c r="A2" s="1089" t="s">
        <v>1439</v>
      </c>
      <c r="B2" s="1087">
        <v>61</v>
      </c>
      <c r="C2" s="1088">
        <v>8.6918413430498038</v>
      </c>
      <c r="D2" s="1088">
        <v>8.8603141590353722</v>
      </c>
      <c r="E2" s="1088">
        <v>16.081323674363535</v>
      </c>
      <c r="F2" s="1088">
        <v>20.216026376784157</v>
      </c>
      <c r="H2" s="20" t="s">
        <v>1412</v>
      </c>
      <c r="I2" s="1368" t="s">
        <v>1413</v>
      </c>
      <c r="J2" s="1369"/>
      <c r="K2" s="1369"/>
      <c r="L2" s="1369"/>
      <c r="M2" s="1369"/>
      <c r="N2" s="1370"/>
    </row>
    <row r="3" spans="1:14" ht="15.75">
      <c r="A3" s="1089" t="s">
        <v>1510</v>
      </c>
      <c r="B3" s="1087">
        <v>72</v>
      </c>
      <c r="C3" s="1088">
        <v>9.207578714375428</v>
      </c>
      <c r="D3" s="1088">
        <v>12.152653123863544</v>
      </c>
      <c r="E3" s="1088">
        <v>20.31000758159399</v>
      </c>
      <c r="F3" s="1088">
        <v>27.490204749757122</v>
      </c>
      <c r="H3" s="20" t="s">
        <v>1415</v>
      </c>
      <c r="I3" s="1358" t="s">
        <v>1520</v>
      </c>
      <c r="J3" s="1359"/>
      <c r="K3" s="1359"/>
      <c r="L3" s="1360"/>
      <c r="M3" s="1358" t="s">
        <v>1417</v>
      </c>
      <c r="N3" s="1361"/>
    </row>
    <row r="4" spans="1:14" ht="15.75">
      <c r="A4" s="1089" t="s">
        <v>1414</v>
      </c>
      <c r="B4" s="1087">
        <v>17</v>
      </c>
      <c r="C4" s="1088">
        <v>31.731230225685863</v>
      </c>
      <c r="D4" s="1088">
        <v>34.425447646964919</v>
      </c>
      <c r="E4" s="1088" t="s">
        <v>963</v>
      </c>
      <c r="F4" s="1088" t="s">
        <v>963</v>
      </c>
      <c r="H4" s="20" t="s">
        <v>1419</v>
      </c>
      <c r="I4" s="1377" t="s">
        <v>1420</v>
      </c>
      <c r="J4" s="1378"/>
      <c r="K4" s="1378"/>
      <c r="L4" s="1378"/>
      <c r="M4" s="1378"/>
      <c r="N4" s="1379"/>
    </row>
    <row r="5" spans="1:14" ht="15.75">
      <c r="A5" s="1089" t="s">
        <v>1442</v>
      </c>
      <c r="B5" s="1087">
        <v>51</v>
      </c>
      <c r="C5" s="1088">
        <v>14.50984710767999</v>
      </c>
      <c r="D5" s="1088">
        <v>14.688666444402248</v>
      </c>
      <c r="E5" s="1088">
        <v>33.976254544925858</v>
      </c>
      <c r="F5" s="1088">
        <v>42.737987574652514</v>
      </c>
      <c r="H5" s="20" t="s">
        <v>1422</v>
      </c>
      <c r="I5" s="1380" t="s">
        <v>1423</v>
      </c>
      <c r="J5" s="1381"/>
      <c r="K5" s="1381"/>
      <c r="L5" s="1381"/>
      <c r="M5" s="1381"/>
      <c r="N5" s="1382"/>
    </row>
    <row r="6" spans="1:14" ht="15.75">
      <c r="A6" s="1089" t="s">
        <v>1505</v>
      </c>
      <c r="B6" s="1087">
        <v>19</v>
      </c>
      <c r="C6" s="1088">
        <v>26.834593539329592</v>
      </c>
      <c r="D6" s="1088">
        <v>45.729895275109342</v>
      </c>
      <c r="E6" s="1088">
        <v>177.76001060289539</v>
      </c>
      <c r="F6" s="1088" t="s">
        <v>963</v>
      </c>
      <c r="H6" s="20" t="s">
        <v>1425</v>
      </c>
      <c r="I6" s="1368" t="s">
        <v>1426</v>
      </c>
      <c r="J6" s="1369"/>
      <c r="K6" s="1369"/>
      <c r="L6" s="1369"/>
      <c r="M6" s="1369"/>
      <c r="N6" s="1370"/>
    </row>
    <row r="7" spans="1:14" ht="15.75">
      <c r="A7" s="1089" t="s">
        <v>1453</v>
      </c>
      <c r="B7" s="1087">
        <v>52</v>
      </c>
      <c r="C7" s="1088">
        <v>7.4659489584388066</v>
      </c>
      <c r="D7" s="1088">
        <v>10.069787934462136</v>
      </c>
      <c r="E7" s="1088">
        <v>23.282397038125321</v>
      </c>
      <c r="F7" s="1088">
        <v>32.835382990197125</v>
      </c>
      <c r="H7" s="21" t="s">
        <v>1428</v>
      </c>
      <c r="I7" s="1371" t="s">
        <v>1429</v>
      </c>
      <c r="J7" s="1372"/>
      <c r="K7" s="1372"/>
      <c r="L7" s="1372"/>
      <c r="M7" s="1372"/>
      <c r="N7" s="1373"/>
    </row>
    <row r="8" spans="1:14" ht="15.75">
      <c r="A8" s="1089" t="s">
        <v>1418</v>
      </c>
      <c r="B8" s="1087">
        <v>7</v>
      </c>
      <c r="C8" s="1088" t="s">
        <v>963</v>
      </c>
      <c r="D8" s="1088" t="s">
        <v>963</v>
      </c>
      <c r="E8" s="1088" t="s">
        <v>963</v>
      </c>
      <c r="F8" s="1088" t="s">
        <v>963</v>
      </c>
    </row>
    <row r="9" spans="1:14" ht="15.75">
      <c r="A9" s="1089" t="s">
        <v>1427</v>
      </c>
      <c r="B9" s="1087">
        <v>598</v>
      </c>
      <c r="C9" s="1088" t="s">
        <v>963</v>
      </c>
      <c r="D9" s="1088" t="s">
        <v>963</v>
      </c>
      <c r="E9" s="1088" t="s">
        <v>963</v>
      </c>
      <c r="F9" s="1088" t="s">
        <v>963</v>
      </c>
    </row>
    <row r="10" spans="1:14" ht="15.75">
      <c r="A10" s="1089" t="s">
        <v>1477</v>
      </c>
      <c r="B10" s="1087">
        <v>23</v>
      </c>
      <c r="C10" s="1088">
        <v>17.606214861939037</v>
      </c>
      <c r="D10" s="1088">
        <v>17.606214861939037</v>
      </c>
      <c r="E10" s="1088">
        <v>22.212937620161576</v>
      </c>
      <c r="F10" s="1088">
        <v>25.728595536551893</v>
      </c>
    </row>
    <row r="11" spans="1:14" ht="15.75">
      <c r="A11" s="1089" t="s">
        <v>1508</v>
      </c>
      <c r="B11" s="1087">
        <v>41</v>
      </c>
      <c r="C11" s="1088">
        <v>20.218169068708161</v>
      </c>
      <c r="D11" s="1088">
        <v>20.735000117358791</v>
      </c>
      <c r="E11" s="1088">
        <v>25.222526693198947</v>
      </c>
      <c r="F11" s="1088">
        <v>31.145032885218658</v>
      </c>
    </row>
    <row r="12" spans="1:14" ht="15.75">
      <c r="A12" s="1089" t="s">
        <v>1432</v>
      </c>
      <c r="B12" s="1087">
        <v>29</v>
      </c>
      <c r="C12" s="1088">
        <v>7.8425781330879838</v>
      </c>
      <c r="D12" s="1088">
        <v>7.8435943814345883</v>
      </c>
      <c r="E12" s="1088">
        <v>10.931193344849747</v>
      </c>
      <c r="F12" s="1088">
        <v>13.837757272156642</v>
      </c>
    </row>
    <row r="13" spans="1:14" ht="15.75">
      <c r="A13" s="1089" t="s">
        <v>1440</v>
      </c>
      <c r="B13" s="1087">
        <v>39</v>
      </c>
      <c r="C13" s="1088" t="s">
        <v>963</v>
      </c>
      <c r="D13" s="1088" t="s">
        <v>963</v>
      </c>
      <c r="E13" s="1088" t="s">
        <v>963</v>
      </c>
      <c r="F13" s="1088" t="s">
        <v>963</v>
      </c>
    </row>
    <row r="14" spans="1:14" ht="15.75">
      <c r="A14" s="1089" t="s">
        <v>1454</v>
      </c>
      <c r="B14" s="1087">
        <v>42</v>
      </c>
      <c r="C14" s="1088">
        <v>12.34771633835595</v>
      </c>
      <c r="D14" s="1088">
        <v>13.271107257463079</v>
      </c>
      <c r="E14" s="1088">
        <v>18.167058935351683</v>
      </c>
      <c r="F14" s="1088">
        <v>23.357788996788482</v>
      </c>
    </row>
    <row r="15" spans="1:14" ht="15.75">
      <c r="A15" s="1089" t="s">
        <v>1467</v>
      </c>
      <c r="B15" s="1087">
        <v>169</v>
      </c>
      <c r="C15" s="1088">
        <v>16.934655001992251</v>
      </c>
      <c r="D15" s="1088">
        <v>17.396962450101594</v>
      </c>
      <c r="E15" s="1088">
        <v>31.207264566605247</v>
      </c>
      <c r="F15" s="1088">
        <v>41.483345696322807</v>
      </c>
    </row>
    <row r="16" spans="1:14" ht="15.75">
      <c r="A16" s="1089" t="s">
        <v>1487</v>
      </c>
      <c r="B16" s="1087">
        <v>13</v>
      </c>
      <c r="C16" s="1088">
        <v>11.059925605222446</v>
      </c>
      <c r="D16" s="1088">
        <v>11.110660352699769</v>
      </c>
      <c r="E16" s="1088">
        <v>20.197523407169026</v>
      </c>
      <c r="F16" s="1088">
        <v>26.092669034821043</v>
      </c>
    </row>
    <row r="17" spans="1:6" ht="15.75">
      <c r="A17" s="1089" t="s">
        <v>1430</v>
      </c>
      <c r="B17" s="1087">
        <v>48</v>
      </c>
      <c r="C17" s="1088">
        <v>9.3297431770748211</v>
      </c>
      <c r="D17" s="1088">
        <v>10.009800017612704</v>
      </c>
      <c r="E17" s="1088">
        <v>20.702463001148864</v>
      </c>
      <c r="F17" s="1088">
        <v>21.700296846077009</v>
      </c>
    </row>
    <row r="18" spans="1:6" ht="15.75">
      <c r="A18" s="1089" t="s">
        <v>1431</v>
      </c>
      <c r="B18" s="1087">
        <v>5</v>
      </c>
      <c r="C18" s="1088">
        <v>11.392461969576596</v>
      </c>
      <c r="D18" s="1088">
        <v>13.381341293177154</v>
      </c>
      <c r="E18" s="1088">
        <v>29.250566929834815</v>
      </c>
      <c r="F18" s="1088">
        <v>31.00468384866517</v>
      </c>
    </row>
    <row r="19" spans="1:6" ht="15.75">
      <c r="A19" s="1089" t="s">
        <v>1466</v>
      </c>
      <c r="B19" s="1087">
        <v>97</v>
      </c>
      <c r="C19" s="1088">
        <v>13.701816355876835</v>
      </c>
      <c r="D19" s="1088">
        <v>15.557856524721306</v>
      </c>
      <c r="E19" s="1088">
        <v>26.532549641016292</v>
      </c>
      <c r="F19" s="1088">
        <v>31.307595990906151</v>
      </c>
    </row>
    <row r="20" spans="1:6" ht="15.75">
      <c r="A20" s="1089" t="s">
        <v>1411</v>
      </c>
      <c r="B20" s="1087">
        <v>29</v>
      </c>
      <c r="C20" s="1088">
        <v>5.7523305108903449</v>
      </c>
      <c r="D20" s="1088">
        <v>5.7852295537945153</v>
      </c>
      <c r="E20" s="1088" t="s">
        <v>963</v>
      </c>
      <c r="F20" s="1088" t="s">
        <v>963</v>
      </c>
    </row>
    <row r="21" spans="1:6" ht="15.75">
      <c r="A21" s="1089" t="s">
        <v>1476</v>
      </c>
      <c r="B21" s="1087">
        <v>116</v>
      </c>
      <c r="C21" s="1088">
        <v>9.0165563962664645</v>
      </c>
      <c r="D21" s="1088">
        <v>10.703294417645781</v>
      </c>
      <c r="E21" s="1088">
        <v>17.955357866981824</v>
      </c>
      <c r="F21" s="1088">
        <v>20.451212883920071</v>
      </c>
    </row>
    <row r="22" spans="1:6" ht="15.75">
      <c r="A22" s="1089" t="s">
        <v>1473</v>
      </c>
      <c r="B22" s="1087">
        <v>52</v>
      </c>
      <c r="C22" s="1088">
        <v>18.797036796355286</v>
      </c>
      <c r="D22" s="1088">
        <v>24.763418044250692</v>
      </c>
      <c r="E22" s="1088">
        <v>32.891802691131986</v>
      </c>
      <c r="F22" s="1088">
        <v>38.038035489749923</v>
      </c>
    </row>
    <row r="23" spans="1:6" ht="15.75">
      <c r="A23" s="1089" t="s">
        <v>1493</v>
      </c>
      <c r="B23" s="1087">
        <v>46</v>
      </c>
      <c r="C23" s="1088">
        <v>12.86649626391071</v>
      </c>
      <c r="D23" s="1088">
        <v>15.233753921075373</v>
      </c>
      <c r="E23" s="1088">
        <v>23.470484102110117</v>
      </c>
      <c r="F23" s="1088">
        <v>30.303072407786367</v>
      </c>
    </row>
    <row r="24" spans="1:6" ht="15.75">
      <c r="A24" s="1089" t="s">
        <v>1449</v>
      </c>
      <c r="B24" s="1087">
        <v>29</v>
      </c>
      <c r="C24" s="1088">
        <v>10.536451617711645</v>
      </c>
      <c r="D24" s="1088">
        <v>11.373562877617585</v>
      </c>
      <c r="E24" s="1088">
        <v>15.120913165750846</v>
      </c>
      <c r="F24" s="1088">
        <v>19.478390975651749</v>
      </c>
    </row>
    <row r="25" spans="1:6" ht="15.75">
      <c r="A25" s="1089" t="s">
        <v>1462</v>
      </c>
      <c r="B25" s="1087">
        <v>547</v>
      </c>
      <c r="C25" s="1088">
        <v>6.7911192825637379</v>
      </c>
      <c r="D25" s="1088">
        <v>14.395456267958144</v>
      </c>
      <c r="E25" s="1088">
        <v>57.628031832586927</v>
      </c>
      <c r="F25" s="1088">
        <v>94.475937495525258</v>
      </c>
    </row>
    <row r="26" spans="1:6" ht="15.75">
      <c r="A26" s="1089" t="s">
        <v>1501</v>
      </c>
      <c r="B26" s="1087">
        <v>287</v>
      </c>
      <c r="C26" s="1088">
        <v>9.5239044806252497</v>
      </c>
      <c r="D26" s="1088">
        <v>14.320361585486834</v>
      </c>
      <c r="E26" s="1088">
        <v>22.267716292883382</v>
      </c>
      <c r="F26" s="1088">
        <v>26.600663683591602</v>
      </c>
    </row>
    <row r="27" spans="1:6" ht="15.75">
      <c r="A27" s="1089" t="s">
        <v>1451</v>
      </c>
      <c r="B27" s="1087">
        <v>38</v>
      </c>
      <c r="C27" s="1088">
        <v>13.451882761373072</v>
      </c>
      <c r="D27" s="1088">
        <v>14.427941847430578</v>
      </c>
      <c r="E27" s="1088">
        <v>31.20589851999431</v>
      </c>
      <c r="F27" s="1088">
        <v>36.909580504775086</v>
      </c>
    </row>
    <row r="28" spans="1:6" ht="15.75">
      <c r="A28" s="1089" t="s">
        <v>1480</v>
      </c>
      <c r="B28" s="1087">
        <v>122</v>
      </c>
      <c r="C28" s="1088">
        <v>13.689249159365886</v>
      </c>
      <c r="D28" s="1088">
        <v>15.957574454786183</v>
      </c>
      <c r="E28" s="1088">
        <v>22.8282656767188</v>
      </c>
      <c r="F28" s="1088">
        <v>28.057748336359257</v>
      </c>
    </row>
    <row r="29" spans="1:6" ht="15.75">
      <c r="A29" s="1089" t="s">
        <v>1484</v>
      </c>
      <c r="B29" s="1087">
        <v>22</v>
      </c>
      <c r="C29" s="1088">
        <v>7.5694059591658913</v>
      </c>
      <c r="D29" s="1088">
        <v>18.961147120687322</v>
      </c>
      <c r="E29" s="1088">
        <v>59.518418530000268</v>
      </c>
      <c r="F29" s="1088">
        <v>66.243703767921019</v>
      </c>
    </row>
    <row r="30" spans="1:6" ht="15.75">
      <c r="A30" s="1089" t="s">
        <v>1492</v>
      </c>
      <c r="B30" s="1087">
        <v>157</v>
      </c>
      <c r="C30" s="1088">
        <v>12.277120865767937</v>
      </c>
      <c r="D30" s="1088">
        <v>17.517836254129978</v>
      </c>
      <c r="E30" s="1088">
        <v>32.120767125385541</v>
      </c>
      <c r="F30" s="1088">
        <v>41.517408965477628</v>
      </c>
    </row>
    <row r="31" spans="1:6" ht="15.75">
      <c r="A31" s="1089" t="s">
        <v>1452</v>
      </c>
      <c r="B31" s="1087">
        <v>61</v>
      </c>
      <c r="C31" s="1088">
        <v>10.821089636126798</v>
      </c>
      <c r="D31" s="1088">
        <v>10.853099629722484</v>
      </c>
      <c r="E31" s="1088">
        <v>19.795486858818521</v>
      </c>
      <c r="F31" s="1088">
        <v>25.7675836761731</v>
      </c>
    </row>
    <row r="32" spans="1:6" ht="15.75">
      <c r="A32" s="1089" t="s">
        <v>1516</v>
      </c>
      <c r="B32" s="1087">
        <v>118</v>
      </c>
      <c r="C32" s="1088">
        <v>28.602123827203428</v>
      </c>
      <c r="D32" s="1088">
        <v>36.256779848569074</v>
      </c>
      <c r="E32" s="1088">
        <v>89.241474916291409</v>
      </c>
      <c r="F32" s="1088">
        <v>95.012576909384165</v>
      </c>
    </row>
    <row r="33" spans="1:6" ht="15.75">
      <c r="A33" s="1089" t="s">
        <v>1514</v>
      </c>
      <c r="B33" s="1087">
        <v>86</v>
      </c>
      <c r="C33" s="1088">
        <v>14.964175901448959</v>
      </c>
      <c r="D33" s="1088">
        <v>14.978449052948609</v>
      </c>
      <c r="E33" s="1088">
        <v>27.418717580911146</v>
      </c>
      <c r="F33" s="1088">
        <v>33.920053303492168</v>
      </c>
    </row>
    <row r="34" spans="1:6" ht="15.75">
      <c r="A34" s="1089" t="s">
        <v>1450</v>
      </c>
      <c r="B34" s="1087">
        <v>32</v>
      </c>
      <c r="C34" s="1088">
        <v>12.686983520646093</v>
      </c>
      <c r="D34" s="1088">
        <v>14.707892115448548</v>
      </c>
      <c r="E34" s="1088">
        <v>20.129193995151144</v>
      </c>
      <c r="F34" s="1088">
        <v>26.417499570412261</v>
      </c>
    </row>
    <row r="35" spans="1:6" ht="15.75">
      <c r="A35" s="1089" t="s">
        <v>1445</v>
      </c>
      <c r="B35" s="1087">
        <v>235</v>
      </c>
      <c r="C35" s="1088">
        <v>195.85557788499096</v>
      </c>
      <c r="D35" s="1088" t="s">
        <v>963</v>
      </c>
      <c r="E35" s="1088" t="s">
        <v>963</v>
      </c>
      <c r="F35" s="1088" t="s">
        <v>963</v>
      </c>
    </row>
    <row r="36" spans="1:6" ht="15.75">
      <c r="A36" s="1089" t="s">
        <v>1509</v>
      </c>
      <c r="B36" s="1087">
        <v>101</v>
      </c>
      <c r="C36" s="1088">
        <v>12.457428794066784</v>
      </c>
      <c r="D36" s="1088">
        <v>12.883089542134233</v>
      </c>
      <c r="E36" s="1088">
        <v>16.826468443447887</v>
      </c>
      <c r="F36" s="1088">
        <v>23.139424344650969</v>
      </c>
    </row>
    <row r="37" spans="1:6" ht="15.75">
      <c r="A37" s="1089" t="s">
        <v>1511</v>
      </c>
      <c r="B37" s="1087">
        <v>18</v>
      </c>
      <c r="C37" s="1088">
        <v>15.870984526059432</v>
      </c>
      <c r="D37" s="1088">
        <v>15.871954547377648</v>
      </c>
      <c r="E37" s="1088">
        <v>35.361015975894979</v>
      </c>
      <c r="F37" s="1088">
        <v>35.524472924795155</v>
      </c>
    </row>
    <row r="38" spans="1:6" ht="15.75">
      <c r="A38" s="1089" t="s">
        <v>1457</v>
      </c>
      <c r="B38" s="1087">
        <v>40</v>
      </c>
      <c r="C38" s="1088">
        <v>8.6129906765582369</v>
      </c>
      <c r="D38" s="1088">
        <v>9.7334239178307449</v>
      </c>
      <c r="E38" s="1088">
        <v>15.816425327036262</v>
      </c>
      <c r="F38" s="1088">
        <v>19.539422312310666</v>
      </c>
    </row>
    <row r="39" spans="1:6" ht="15.75">
      <c r="A39" s="1089" t="s">
        <v>1483</v>
      </c>
      <c r="B39" s="1087">
        <v>25</v>
      </c>
      <c r="C39" s="1088">
        <v>22.873846541563953</v>
      </c>
      <c r="D39" s="1088">
        <v>22.940439620941806</v>
      </c>
      <c r="E39" s="1088">
        <v>50.762789375211959</v>
      </c>
      <c r="F39" s="1088">
        <v>55.412465801346755</v>
      </c>
    </row>
    <row r="40" spans="1:6" ht="15.75">
      <c r="A40" s="1089" t="s">
        <v>1512</v>
      </c>
      <c r="B40" s="1087">
        <v>265</v>
      </c>
      <c r="C40" s="1088">
        <v>21.582966183674881</v>
      </c>
      <c r="D40" s="1088">
        <v>28.528876115334604</v>
      </c>
      <c r="E40" s="1088">
        <v>49.24884508873965</v>
      </c>
      <c r="F40" s="1088">
        <v>56.828139229215523</v>
      </c>
    </row>
    <row r="41" spans="1:6" ht="15.75">
      <c r="A41" s="1089" t="s">
        <v>1496</v>
      </c>
      <c r="B41" s="1087">
        <v>129</v>
      </c>
      <c r="C41" s="1088">
        <v>10.313839624861489</v>
      </c>
      <c r="D41" s="1088">
        <v>10.360969964204955</v>
      </c>
      <c r="E41" s="1088">
        <v>13.628443805969216</v>
      </c>
      <c r="F41" s="1088">
        <v>17.775060471158593</v>
      </c>
    </row>
    <row r="42" spans="1:6" ht="15.75">
      <c r="A42" s="1089" t="s">
        <v>1506</v>
      </c>
      <c r="B42" s="1087">
        <v>139</v>
      </c>
      <c r="C42" s="1088">
        <v>23.159154618274613</v>
      </c>
      <c r="D42" s="1088">
        <v>29.316679172039294</v>
      </c>
      <c r="E42" s="1088">
        <v>50.487687969802643</v>
      </c>
      <c r="F42" s="1088">
        <v>59.210451889891637</v>
      </c>
    </row>
    <row r="43" spans="1:6" ht="15.75">
      <c r="A43" s="1089" t="s">
        <v>1435</v>
      </c>
      <c r="B43" s="1087">
        <v>30</v>
      </c>
      <c r="C43" s="1088">
        <v>9.5449309888112772</v>
      </c>
      <c r="D43" s="1088">
        <v>9.5449309888112772</v>
      </c>
      <c r="E43" s="1088">
        <v>10.22676909904947</v>
      </c>
      <c r="F43" s="1088">
        <v>12.818389720038885</v>
      </c>
    </row>
    <row r="44" spans="1:6" ht="15.75">
      <c r="A44" s="1089" t="s">
        <v>1490</v>
      </c>
      <c r="B44" s="1087">
        <v>32</v>
      </c>
      <c r="C44" s="1088">
        <v>8.9637729867292286</v>
      </c>
      <c r="D44" s="1088">
        <v>8.9654632470681257</v>
      </c>
      <c r="E44" s="1088">
        <v>16.183161799511307</v>
      </c>
      <c r="F44" s="1088">
        <v>19.629196396820788</v>
      </c>
    </row>
    <row r="45" spans="1:6" ht="15.75">
      <c r="A45" s="1089" t="s">
        <v>1481</v>
      </c>
      <c r="B45" s="1087">
        <v>66</v>
      </c>
      <c r="C45" s="1088">
        <v>33.580697364961338</v>
      </c>
      <c r="D45" s="1088">
        <v>38.324760402618416</v>
      </c>
      <c r="E45" s="1088" t="s">
        <v>963</v>
      </c>
      <c r="F45" s="1088" t="s">
        <v>963</v>
      </c>
    </row>
    <row r="46" spans="1:6" ht="15.75">
      <c r="A46" s="1089" t="s">
        <v>1515</v>
      </c>
      <c r="B46" s="1087">
        <v>140</v>
      </c>
      <c r="C46" s="1088">
        <v>16.262296753381491</v>
      </c>
      <c r="D46" s="1088">
        <v>17.59977177709689</v>
      </c>
      <c r="E46" s="1088">
        <v>22.326919748346679</v>
      </c>
      <c r="F46" s="1088">
        <v>28.159015785661769</v>
      </c>
    </row>
    <row r="47" spans="1:6" ht="15.75">
      <c r="A47" s="1089" t="s">
        <v>1497</v>
      </c>
      <c r="B47" s="1087">
        <v>77</v>
      </c>
      <c r="C47" s="1088">
        <v>29.273661631931933</v>
      </c>
      <c r="D47" s="1088">
        <v>31.702639169289323</v>
      </c>
      <c r="E47" s="1088">
        <v>44.480181369409003</v>
      </c>
      <c r="F47" s="1088">
        <v>55.788549135524242</v>
      </c>
    </row>
    <row r="48" spans="1:6" ht="15.75">
      <c r="A48" s="1089" t="s">
        <v>1486</v>
      </c>
      <c r="B48" s="1087">
        <v>21</v>
      </c>
      <c r="C48" s="1088">
        <v>9.9513445028476575</v>
      </c>
      <c r="D48" s="1088">
        <v>9.9861166404891897</v>
      </c>
      <c r="E48" s="1088">
        <v>15.008167570981826</v>
      </c>
      <c r="F48" s="1088">
        <v>17.342040509144262</v>
      </c>
    </row>
    <row r="49" spans="1:6" ht="15.75">
      <c r="A49" s="1089" t="s">
        <v>1434</v>
      </c>
      <c r="B49" s="1087">
        <v>26</v>
      </c>
      <c r="C49" s="1088">
        <v>12.509114846235827</v>
      </c>
      <c r="D49" s="1088">
        <v>12.509114846235827</v>
      </c>
      <c r="E49" s="1088">
        <v>15.004458995361144</v>
      </c>
      <c r="F49" s="1088">
        <v>17.227119802354164</v>
      </c>
    </row>
    <row r="50" spans="1:6" ht="15.75">
      <c r="A50" s="1089" t="s">
        <v>1475</v>
      </c>
      <c r="B50" s="1087">
        <v>55</v>
      </c>
      <c r="C50" s="1088">
        <v>9.6858278209457733</v>
      </c>
      <c r="D50" s="1088">
        <v>9.6858278209457733</v>
      </c>
      <c r="E50" s="1088">
        <v>12.331872133525609</v>
      </c>
      <c r="F50" s="1088">
        <v>15.640644437038661</v>
      </c>
    </row>
    <row r="51" spans="1:6" ht="15.75">
      <c r="A51" s="1089" t="s">
        <v>1513</v>
      </c>
      <c r="B51" s="1087">
        <v>348</v>
      </c>
      <c r="C51" s="1088">
        <v>25.408684806254499</v>
      </c>
      <c r="D51" s="1088">
        <v>26.171674354963887</v>
      </c>
      <c r="E51" s="1088">
        <v>30.597103347514032</v>
      </c>
      <c r="F51" s="1088">
        <v>38.157016259710723</v>
      </c>
    </row>
    <row r="52" spans="1:6" ht="15.75">
      <c r="A52" s="1089" t="s">
        <v>1485</v>
      </c>
      <c r="B52" s="1087">
        <v>125</v>
      </c>
      <c r="C52" s="1088">
        <v>14.934026587784373</v>
      </c>
      <c r="D52" s="1088">
        <v>16.702375922383748</v>
      </c>
      <c r="E52" s="1088">
        <v>23.08223261612077</v>
      </c>
      <c r="F52" s="1088">
        <v>28.60282566640565</v>
      </c>
    </row>
    <row r="53" spans="1:6" ht="15.75">
      <c r="A53" s="1089" t="s">
        <v>1458</v>
      </c>
      <c r="B53" s="1087">
        <v>86</v>
      </c>
      <c r="C53" s="1088">
        <v>13.73672459893835</v>
      </c>
      <c r="D53" s="1088">
        <v>13.901198791089055</v>
      </c>
      <c r="E53" s="1088">
        <v>25.920174938045761</v>
      </c>
      <c r="F53" s="1088">
        <v>42.528849136935634</v>
      </c>
    </row>
    <row r="54" spans="1:6" ht="15.75">
      <c r="A54" s="1089" t="s">
        <v>1433</v>
      </c>
      <c r="B54" s="1087">
        <v>22</v>
      </c>
      <c r="C54" s="1088">
        <v>7.6605033852105162</v>
      </c>
      <c r="D54" s="1088">
        <v>8.8204688607122339</v>
      </c>
      <c r="E54" s="1088">
        <v>14.773431283161203</v>
      </c>
      <c r="F54" s="1088">
        <v>18.844044762870347</v>
      </c>
    </row>
    <row r="55" spans="1:6" ht="15.75">
      <c r="A55" s="1089" t="s">
        <v>1465</v>
      </c>
      <c r="B55" s="1087">
        <v>3</v>
      </c>
      <c r="C55" s="1088">
        <v>10.382921314622472</v>
      </c>
      <c r="D55" s="1088">
        <v>10.77335432691406</v>
      </c>
      <c r="E55" s="1088" t="s">
        <v>963</v>
      </c>
      <c r="F55" s="1088" t="s">
        <v>963</v>
      </c>
    </row>
    <row r="56" spans="1:6" ht="15.75">
      <c r="A56" s="1089" t="s">
        <v>1446</v>
      </c>
      <c r="B56" s="1087">
        <v>278</v>
      </c>
      <c r="C56" s="1088">
        <v>6.3823679152884951</v>
      </c>
      <c r="D56" s="1088">
        <v>6.3941465877313668</v>
      </c>
      <c r="E56" s="1088" t="s">
        <v>963</v>
      </c>
      <c r="F56" s="1088" t="s">
        <v>963</v>
      </c>
    </row>
    <row r="57" spans="1:6" ht="15.75">
      <c r="A57" s="1089" t="s">
        <v>1424</v>
      </c>
      <c r="B57" s="1087">
        <v>57</v>
      </c>
      <c r="C57" s="1088">
        <v>9.1233312166575953</v>
      </c>
      <c r="D57" s="1088">
        <v>9.1233312166575953</v>
      </c>
      <c r="E57" s="1088">
        <v>13.945658781175549</v>
      </c>
      <c r="F57" s="1088">
        <v>15.78945174093618</v>
      </c>
    </row>
    <row r="58" spans="1:6" ht="15.75">
      <c r="A58" s="1089" t="s">
        <v>1471</v>
      </c>
      <c r="B58" s="1087">
        <v>135</v>
      </c>
      <c r="C58" s="1088">
        <v>10.496810893753986</v>
      </c>
      <c r="D58" s="1088">
        <v>11.347598966546137</v>
      </c>
      <c r="E58" s="1088">
        <v>95.775016728609842</v>
      </c>
      <c r="F58" s="1088">
        <v>98.531664392409652</v>
      </c>
    </row>
    <row r="59" spans="1:6" ht="15.75">
      <c r="A59" s="1089" t="s">
        <v>1447</v>
      </c>
      <c r="B59" s="1087">
        <v>26</v>
      </c>
      <c r="C59" s="1088">
        <v>10.050607968567133</v>
      </c>
      <c r="D59" s="1088">
        <v>10.335189534200357</v>
      </c>
      <c r="E59" s="1088">
        <v>17.478590949457661</v>
      </c>
      <c r="F59" s="1088">
        <v>22.547162233405267</v>
      </c>
    </row>
    <row r="60" spans="1:6" ht="15.75">
      <c r="A60" s="1089" t="s">
        <v>1437</v>
      </c>
      <c r="B60" s="1087">
        <v>15</v>
      </c>
      <c r="C60" s="1088">
        <v>7.5909926488819739</v>
      </c>
      <c r="D60" s="1088">
        <v>7.7090415384646294</v>
      </c>
      <c r="E60" s="1088">
        <v>15.645062769895638</v>
      </c>
      <c r="F60" s="1088">
        <v>19.078559932407682</v>
      </c>
    </row>
    <row r="61" spans="1:6" ht="15.75">
      <c r="A61" s="1089" t="s">
        <v>1441</v>
      </c>
      <c r="B61" s="1087">
        <v>55</v>
      </c>
      <c r="C61" s="1088">
        <v>11.86276685071048</v>
      </c>
      <c r="D61" s="1088">
        <v>11.886012377389731</v>
      </c>
      <c r="E61" s="1088">
        <v>22.257213209873189</v>
      </c>
      <c r="F61" s="1088">
        <v>24.42090429052887</v>
      </c>
    </row>
    <row r="62" spans="1:6" ht="15.75">
      <c r="A62" s="1089" t="s">
        <v>1436</v>
      </c>
      <c r="B62" s="1087">
        <v>93</v>
      </c>
      <c r="C62" s="1088">
        <v>10.061988974434366</v>
      </c>
      <c r="D62" s="1088">
        <v>10.29895210389425</v>
      </c>
      <c r="E62" s="1088">
        <v>21.447009085372958</v>
      </c>
      <c r="F62" s="1088">
        <v>26.531801509545975</v>
      </c>
    </row>
    <row r="63" spans="1:6" ht="15.75">
      <c r="A63" s="1089" t="s">
        <v>1478</v>
      </c>
      <c r="B63" s="1087">
        <v>29</v>
      </c>
      <c r="C63" s="1088">
        <v>9.5488037823082621</v>
      </c>
      <c r="D63" s="1088">
        <v>9.7685891595619463</v>
      </c>
      <c r="E63" s="1088">
        <v>21.764632043006802</v>
      </c>
      <c r="F63" s="1088">
        <v>24.644895138191746</v>
      </c>
    </row>
    <row r="64" spans="1:6" ht="15.75">
      <c r="A64" s="1089" t="s">
        <v>1479</v>
      </c>
      <c r="B64" s="1087">
        <v>238</v>
      </c>
      <c r="C64" s="1088">
        <v>22.712974227517748</v>
      </c>
      <c r="D64" s="1088">
        <v>22.717249672863435</v>
      </c>
      <c r="E64" s="1088">
        <v>61.429724826063385</v>
      </c>
      <c r="F64" s="1088">
        <v>63.618410370215607</v>
      </c>
    </row>
    <row r="65" spans="1:6" ht="15.75">
      <c r="A65" s="1089" t="s">
        <v>1463</v>
      </c>
      <c r="B65" s="1087">
        <v>25</v>
      </c>
      <c r="C65" s="1088">
        <v>47.574355721584382</v>
      </c>
      <c r="D65" s="1088">
        <v>47.574355721584382</v>
      </c>
      <c r="E65" s="1088" t="s">
        <v>963</v>
      </c>
      <c r="F65" s="1088" t="s">
        <v>963</v>
      </c>
    </row>
    <row r="66" spans="1:6" ht="15.75">
      <c r="A66" s="1089" t="s">
        <v>1470</v>
      </c>
      <c r="B66" s="1087">
        <v>11</v>
      </c>
      <c r="C66" s="1088">
        <v>25.25416971536394</v>
      </c>
      <c r="D66" s="1088">
        <v>25.25416971536394</v>
      </c>
      <c r="E66" s="1088">
        <v>78.401285959932977</v>
      </c>
      <c r="F66" s="1088">
        <v>116.99970719796829</v>
      </c>
    </row>
    <row r="67" spans="1:6" ht="15.75">
      <c r="A67" s="1089" t="s">
        <v>1517</v>
      </c>
      <c r="B67" s="1087">
        <v>61</v>
      </c>
      <c r="C67" s="1088">
        <v>14.413844741573806</v>
      </c>
      <c r="D67" s="1088">
        <v>14.823666944541676</v>
      </c>
      <c r="E67" s="1088">
        <v>32.308078336473812</v>
      </c>
      <c r="F67" s="1088">
        <v>36.104359736907462</v>
      </c>
    </row>
    <row r="68" spans="1:6" ht="15.75">
      <c r="A68" s="1089" t="s">
        <v>1469</v>
      </c>
      <c r="B68" s="1087">
        <v>69</v>
      </c>
      <c r="C68" s="1088">
        <v>18.674533463242476</v>
      </c>
      <c r="D68" s="1088">
        <v>22.593235934486472</v>
      </c>
      <c r="E68" s="1088">
        <v>52.057461234948995</v>
      </c>
      <c r="F68" s="1088">
        <v>72.347442663035565</v>
      </c>
    </row>
    <row r="69" spans="1:6" ht="15.75">
      <c r="A69" s="1089" t="s">
        <v>1421</v>
      </c>
      <c r="B69" s="1087">
        <v>2</v>
      </c>
      <c r="C69" s="1088">
        <v>12.924039416278688</v>
      </c>
      <c r="D69" s="1088">
        <v>12.924039416278688</v>
      </c>
      <c r="E69" s="1088">
        <v>19.184172065966298</v>
      </c>
      <c r="F69" s="1088">
        <v>24.977655236959386</v>
      </c>
    </row>
    <row r="70" spans="1:6" ht="15.75">
      <c r="A70" s="1089" t="s">
        <v>1489</v>
      </c>
      <c r="B70" s="1087">
        <v>79</v>
      </c>
      <c r="C70" s="1088">
        <v>23.527876220935955</v>
      </c>
      <c r="D70" s="1088">
        <v>23.531642798240242</v>
      </c>
      <c r="E70" s="1088">
        <v>80.248550963463103</v>
      </c>
      <c r="F70" s="1088">
        <v>103.24313650888841</v>
      </c>
    </row>
    <row r="71" spans="1:6" ht="15.75">
      <c r="A71" s="1089" t="s">
        <v>1459</v>
      </c>
      <c r="B71" s="1087">
        <v>30</v>
      </c>
      <c r="C71" s="1088">
        <v>11.562482223335346</v>
      </c>
      <c r="D71" s="1088">
        <v>11.562920284920681</v>
      </c>
      <c r="E71" s="1088">
        <v>19.837016676554224</v>
      </c>
      <c r="F71" s="1088">
        <v>26.078834209327823</v>
      </c>
    </row>
    <row r="72" spans="1:6" ht="15.75">
      <c r="A72" s="1089" t="s">
        <v>1503</v>
      </c>
      <c r="B72" s="1087">
        <v>15</v>
      </c>
      <c r="C72" s="1088">
        <v>12.572930670648061</v>
      </c>
      <c r="D72" s="1088">
        <v>12.587836152496534</v>
      </c>
      <c r="E72" s="1088">
        <v>16.492777890733734</v>
      </c>
      <c r="F72" s="1088">
        <v>21.656374346501774</v>
      </c>
    </row>
    <row r="73" spans="1:6" ht="15.75">
      <c r="A73" s="1089" t="s">
        <v>1474</v>
      </c>
      <c r="B73" s="1087">
        <v>85</v>
      </c>
      <c r="C73" s="1088">
        <v>13.867467620144318</v>
      </c>
      <c r="D73" s="1088">
        <v>13.87615007968248</v>
      </c>
      <c r="E73" s="1088">
        <v>18.778751898007332</v>
      </c>
      <c r="F73" s="1088">
        <v>25.510873866058585</v>
      </c>
    </row>
    <row r="74" spans="1:6" ht="15.75">
      <c r="A74" s="1089" t="s">
        <v>1443</v>
      </c>
      <c r="B74" s="1087">
        <v>17</v>
      </c>
      <c r="C74" s="1088">
        <v>12.29072578840788</v>
      </c>
      <c r="D74" s="1088">
        <v>12.294282269885292</v>
      </c>
      <c r="E74" s="1088">
        <v>22.811510729590694</v>
      </c>
      <c r="F74" s="1088">
        <v>30.970070293826623</v>
      </c>
    </row>
    <row r="75" spans="1:6" ht="15.75">
      <c r="A75" s="1089" t="s">
        <v>1472</v>
      </c>
      <c r="B75" s="1087">
        <v>14</v>
      </c>
      <c r="C75" s="1088">
        <v>5.7468993960427213</v>
      </c>
      <c r="D75" s="1088">
        <v>5.7468993960427213</v>
      </c>
      <c r="E75" s="1088">
        <v>14.309495478867953</v>
      </c>
      <c r="F75" s="1088">
        <v>18.894590133165547</v>
      </c>
    </row>
    <row r="76" spans="1:6" ht="15.75">
      <c r="A76" s="1089" t="s">
        <v>1502</v>
      </c>
      <c r="B76" s="1087">
        <v>75</v>
      </c>
      <c r="C76" s="1088">
        <v>19.057547028687303</v>
      </c>
      <c r="D76" s="1088">
        <v>33.186332533470555</v>
      </c>
      <c r="E76" s="1088">
        <v>83.834248001141233</v>
      </c>
      <c r="F76" s="1088">
        <v>101.81076620144303</v>
      </c>
    </row>
    <row r="77" spans="1:6" ht="15.75">
      <c r="A77" s="1089" t="s">
        <v>1460</v>
      </c>
      <c r="B77" s="1087">
        <v>85</v>
      </c>
      <c r="C77" s="1088">
        <v>11.267699695964222</v>
      </c>
      <c r="D77" s="1088">
        <v>11.399676175611779</v>
      </c>
      <c r="E77" s="1088">
        <v>43.753030514934892</v>
      </c>
      <c r="F77" s="1088">
        <v>58.307001370649452</v>
      </c>
    </row>
    <row r="78" spans="1:6" ht="15.75">
      <c r="A78" s="1089" t="s">
        <v>1468</v>
      </c>
      <c r="B78" s="1087">
        <v>3</v>
      </c>
      <c r="C78" s="1088">
        <v>6.8097754639138692</v>
      </c>
      <c r="D78" s="1088">
        <v>9.8411681981767494</v>
      </c>
      <c r="E78" s="1088" t="s">
        <v>963</v>
      </c>
      <c r="F78" s="1088" t="s">
        <v>963</v>
      </c>
    </row>
    <row r="79" spans="1:6" ht="15.75">
      <c r="A79" s="1089" t="s">
        <v>1518</v>
      </c>
      <c r="B79" s="1087">
        <v>70</v>
      </c>
      <c r="C79" s="1088">
        <v>12.228227967573481</v>
      </c>
      <c r="D79" s="1088">
        <v>18.043377965076608</v>
      </c>
      <c r="E79" s="1088">
        <v>29.301109086416297</v>
      </c>
      <c r="F79" s="1088">
        <v>32.5429254766184</v>
      </c>
    </row>
    <row r="80" spans="1:6" ht="15.75">
      <c r="A80" s="1089" t="s">
        <v>1499</v>
      </c>
      <c r="B80" s="1087">
        <v>40</v>
      </c>
      <c r="C80" s="1088">
        <v>13.402758643426347</v>
      </c>
      <c r="D80" s="1088">
        <v>18.692654437299094</v>
      </c>
      <c r="E80" s="1088">
        <v>22.856391580514028</v>
      </c>
      <c r="F80" s="1088">
        <v>26.20468115871623</v>
      </c>
    </row>
    <row r="81" spans="1:6" ht="15.75">
      <c r="A81" s="1089" t="s">
        <v>1444</v>
      </c>
      <c r="B81" s="1087">
        <v>11</v>
      </c>
      <c r="C81" s="1088">
        <v>10.668320496769473</v>
      </c>
      <c r="D81" s="1088">
        <v>10.668320496769473</v>
      </c>
      <c r="E81" s="1088">
        <v>30.643960861814708</v>
      </c>
      <c r="F81" s="1088">
        <v>35.439408492806457</v>
      </c>
    </row>
    <row r="82" spans="1:6" ht="15.75">
      <c r="A82" s="1089" t="s">
        <v>1464</v>
      </c>
      <c r="B82" s="1087">
        <v>11</v>
      </c>
      <c r="C82" s="1088">
        <v>35.54814179053394</v>
      </c>
      <c r="D82" s="1088">
        <v>35.832925338054658</v>
      </c>
      <c r="E82" s="1088">
        <v>56.487971693198233</v>
      </c>
      <c r="F82" s="1088">
        <v>64.898252589597121</v>
      </c>
    </row>
    <row r="83" spans="1:6" ht="15.75">
      <c r="A83" s="1089" t="s">
        <v>1495</v>
      </c>
      <c r="B83" s="1087">
        <v>101</v>
      </c>
      <c r="C83" s="1088">
        <v>15.746091980752869</v>
      </c>
      <c r="D83" s="1088">
        <v>25.090060525473032</v>
      </c>
      <c r="E83" s="1088">
        <v>38.042802515274332</v>
      </c>
      <c r="F83" s="1088">
        <v>43.439877427407843</v>
      </c>
    </row>
    <row r="84" spans="1:6" ht="15.75">
      <c r="A84" s="1089" t="s">
        <v>1494</v>
      </c>
      <c r="B84" s="1087">
        <v>36</v>
      </c>
      <c r="C84" s="1088">
        <v>12.228741065763819</v>
      </c>
      <c r="D84" s="1088">
        <v>19.20812597236386</v>
      </c>
      <c r="E84" s="1088">
        <v>95.438933520365097</v>
      </c>
      <c r="F84" s="1088">
        <v>114.79332645817459</v>
      </c>
    </row>
    <row r="85" spans="1:6" ht="15.75">
      <c r="A85" s="1089" t="s">
        <v>1507</v>
      </c>
      <c r="B85" s="1087">
        <v>388</v>
      </c>
      <c r="C85" s="1088">
        <v>20.041691897740023</v>
      </c>
      <c r="D85" s="1088">
        <v>30.423805681689416</v>
      </c>
      <c r="E85" s="1088">
        <v>43.934979084480268</v>
      </c>
      <c r="F85" s="1088">
        <v>52.252062327661584</v>
      </c>
    </row>
    <row r="86" spans="1:6" ht="15.75">
      <c r="A86" s="1089" t="s">
        <v>1491</v>
      </c>
      <c r="B86" s="1087">
        <v>32</v>
      </c>
      <c r="C86" s="1088">
        <v>9.6517194059838296</v>
      </c>
      <c r="D86" s="1088">
        <v>9.7390031891988702</v>
      </c>
      <c r="E86" s="1088">
        <v>23.061200217062375</v>
      </c>
      <c r="F86" s="1088">
        <v>33.844356730702401</v>
      </c>
    </row>
    <row r="87" spans="1:6" ht="15.75">
      <c r="A87" s="1089" t="s">
        <v>1456</v>
      </c>
      <c r="B87" s="1087">
        <v>16</v>
      </c>
      <c r="C87" s="1088">
        <v>10.004017289442286</v>
      </c>
      <c r="D87" s="1088">
        <v>10.141158263225391</v>
      </c>
      <c r="E87" s="1088">
        <v>29.546652439145003</v>
      </c>
      <c r="F87" s="1088">
        <v>39.175730978771519</v>
      </c>
    </row>
    <row r="88" spans="1:6" ht="15.75">
      <c r="A88" s="1089" t="s">
        <v>1488</v>
      </c>
      <c r="B88" s="1087">
        <v>96</v>
      </c>
      <c r="C88" s="1088">
        <v>9.119338496874045</v>
      </c>
      <c r="D88" s="1088">
        <v>13.922166632416614</v>
      </c>
      <c r="E88" s="1088">
        <v>18.523992372505774</v>
      </c>
      <c r="F88" s="1088">
        <v>22.398521037545521</v>
      </c>
    </row>
    <row r="89" spans="1:6" ht="15.75">
      <c r="A89" s="1089" t="s">
        <v>1504</v>
      </c>
      <c r="B89" s="1087">
        <v>58</v>
      </c>
      <c r="C89" s="1088">
        <v>6.6794010420033842</v>
      </c>
      <c r="D89" s="1088">
        <v>6.7612311933973341</v>
      </c>
      <c r="E89" s="1088">
        <v>13.116222031782481</v>
      </c>
      <c r="F89" s="1088">
        <v>15.8086702791178</v>
      </c>
    </row>
    <row r="90" spans="1:6" ht="15.75">
      <c r="A90" s="1089" t="s">
        <v>1455</v>
      </c>
      <c r="B90" s="1087">
        <v>15</v>
      </c>
      <c r="C90" s="1088">
        <v>10.221097484697021</v>
      </c>
      <c r="D90" s="1088">
        <v>10.48285471378874</v>
      </c>
      <c r="E90" s="1088">
        <v>11.203681381675812</v>
      </c>
      <c r="F90" s="1088">
        <v>17.529345566932779</v>
      </c>
    </row>
    <row r="91" spans="1:6" ht="15.75">
      <c r="A91" s="1089" t="s">
        <v>811</v>
      </c>
      <c r="B91" s="1087">
        <v>21</v>
      </c>
      <c r="C91" s="1088">
        <v>12.9492483068755</v>
      </c>
      <c r="D91" s="1088">
        <v>12.959492073346206</v>
      </c>
      <c r="E91" s="1088">
        <v>25.626980651208445</v>
      </c>
      <c r="F91" s="1088">
        <v>32.484421571592051</v>
      </c>
    </row>
    <row r="92" spans="1:6" ht="15.75">
      <c r="A92" s="1089" t="s">
        <v>1448</v>
      </c>
      <c r="B92" s="1087">
        <v>6</v>
      </c>
      <c r="C92" s="1088">
        <v>15.458052399785434</v>
      </c>
      <c r="D92" s="1088">
        <v>15.458052399785434</v>
      </c>
      <c r="E92" s="1088">
        <v>20.934853811173205</v>
      </c>
      <c r="F92" s="1088">
        <v>27.192438712343861</v>
      </c>
    </row>
    <row r="93" spans="1:6" ht="15.75">
      <c r="A93" s="1089" t="s">
        <v>1461</v>
      </c>
      <c r="B93" s="1087">
        <v>35</v>
      </c>
      <c r="C93" s="1088">
        <v>7.7269346001959542</v>
      </c>
      <c r="D93" s="1088">
        <v>10.064082127941029</v>
      </c>
      <c r="E93" s="1088" t="s">
        <v>963</v>
      </c>
      <c r="F93" s="1088" t="s">
        <v>963</v>
      </c>
    </row>
    <row r="94" spans="1:6" ht="15.75">
      <c r="A94" s="1089" t="s">
        <v>1438</v>
      </c>
      <c r="B94" s="1087">
        <v>16</v>
      </c>
      <c r="C94" s="1088">
        <v>12.144740516676858</v>
      </c>
      <c r="D94" s="1088">
        <v>12.15184429138481</v>
      </c>
      <c r="E94" s="1088">
        <v>20.529474325741415</v>
      </c>
      <c r="F94" s="1088">
        <v>22.561579599337787</v>
      </c>
    </row>
    <row r="95" spans="1:6" ht="15.75">
      <c r="A95" s="1089" t="s">
        <v>1482</v>
      </c>
      <c r="B95" s="1087">
        <v>17</v>
      </c>
      <c r="C95" s="1088">
        <v>20.924608602203101</v>
      </c>
      <c r="D95" s="1088">
        <v>20.924855016692508</v>
      </c>
      <c r="E95" s="1088">
        <v>32.162808766564744</v>
      </c>
      <c r="F95" s="1088">
        <v>39.421076966676964</v>
      </c>
    </row>
    <row r="96" spans="1:6" ht="15.75">
      <c r="A96" s="1089" t="s">
        <v>1500</v>
      </c>
      <c r="B96" s="1087">
        <v>7582</v>
      </c>
      <c r="C96" s="1088">
        <v>16.915305131466482</v>
      </c>
      <c r="D96" s="1088">
        <v>20.01732271472191</v>
      </c>
      <c r="E96" s="1088">
        <v>36.460964745465837</v>
      </c>
      <c r="F96" s="1088">
        <v>45.021678373290833</v>
      </c>
    </row>
    <row r="97" spans="1:6" ht="15.75">
      <c r="A97" s="1086" t="s">
        <v>1498</v>
      </c>
      <c r="B97" s="1090">
        <v>6253</v>
      </c>
      <c r="C97" s="1091">
        <v>13.845787429791692</v>
      </c>
      <c r="D97" s="1091">
        <v>16.520979574563068</v>
      </c>
      <c r="E97" s="1091">
        <v>30.624257438474952</v>
      </c>
      <c r="F97" s="1091">
        <v>37.897667859769413</v>
      </c>
    </row>
  </sheetData>
  <mergeCells count="8">
    <mergeCell ref="I6:N6"/>
    <mergeCell ref="I7:N7"/>
    <mergeCell ref="I1:N1"/>
    <mergeCell ref="I2:N2"/>
    <mergeCell ref="I3:L3"/>
    <mergeCell ref="M3:N3"/>
    <mergeCell ref="I4:N4"/>
    <mergeCell ref="I5:N5"/>
  </mergeCells>
  <hyperlinks>
    <hyperlink ref="I2" r:id="rId1" xr:uid="{00000000-0004-0000-2000-000000000000}"/>
    <hyperlink ref="I4" r:id="rId2" xr:uid="{00000000-0004-0000-2000-000001000000}"/>
    <hyperlink ref="I5" r:id="rId3" xr:uid="{00000000-0004-0000-2000-000002000000}"/>
    <hyperlink ref="I6" r:id="rId4" xr:uid="{00000000-0004-0000-2000-000003000000}"/>
    <hyperlink ref="I7" r:id="rId5" xr:uid="{00000000-0004-0000-2000-000004000000}"/>
  </hyperlinks>
  <pageMargins left="0.7" right="0.7" top="0.78740157499999996" bottom="0.78740157499999996" header="0.3" footer="0.3"/>
  <tableParts count="1">
    <tablePart r:id="rId6"/>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22">
    <tabColor theme="8" tint="0.59999389629810485"/>
  </sheetPr>
  <dimension ref="A1:N97"/>
  <sheetViews>
    <sheetView topLeftCell="A4" workbookViewId="0"/>
  </sheetViews>
  <sheetFormatPr defaultColWidth="11.28515625" defaultRowHeight="15"/>
  <cols>
    <col min="1" max="1" width="39.28515625" bestFit="1" customWidth="1"/>
    <col min="4" max="4" width="17.5703125" bestFit="1" customWidth="1"/>
  </cols>
  <sheetData>
    <row r="1" spans="1:14" ht="15.75">
      <c r="A1" s="23" t="s">
        <v>1521</v>
      </c>
      <c r="B1" s="24" t="s">
        <v>1407</v>
      </c>
      <c r="C1" s="24" t="s">
        <v>1522</v>
      </c>
      <c r="D1" s="24" t="s">
        <v>80</v>
      </c>
      <c r="E1" s="24" t="s">
        <v>164</v>
      </c>
      <c r="F1" s="24" t="s">
        <v>1523</v>
      </c>
      <c r="H1" s="25" t="s">
        <v>1410</v>
      </c>
      <c r="I1" s="1374">
        <v>44201</v>
      </c>
      <c r="J1" s="1375"/>
      <c r="K1" s="1375"/>
      <c r="L1" s="1375"/>
      <c r="M1" s="1375"/>
      <c r="N1" s="1376"/>
    </row>
    <row r="2" spans="1:14" ht="15.75">
      <c r="A2" s="1092" t="s">
        <v>1439</v>
      </c>
      <c r="B2" s="1087">
        <v>61</v>
      </c>
      <c r="C2" s="1088">
        <v>1.1601770802301183</v>
      </c>
      <c r="D2" s="1093">
        <v>3.4467762105073693E-3</v>
      </c>
      <c r="E2" s="1088">
        <v>1.8279748463952663</v>
      </c>
      <c r="F2" s="1093">
        <v>0.10342236704723004</v>
      </c>
      <c r="H2" s="26" t="s">
        <v>1412</v>
      </c>
      <c r="I2" s="1349" t="s">
        <v>1413</v>
      </c>
      <c r="J2" s="1350"/>
      <c r="K2" s="1350"/>
      <c r="L2" s="1350"/>
      <c r="M2" s="1350"/>
      <c r="N2" s="1351"/>
    </row>
    <row r="3" spans="1:14" ht="15.75">
      <c r="A3" s="1092" t="s">
        <v>1510</v>
      </c>
      <c r="B3" s="1087">
        <v>72</v>
      </c>
      <c r="C3" s="1088">
        <v>1.6073155889367576</v>
      </c>
      <c r="D3" s="1093">
        <v>2.4921270992485887E-2</v>
      </c>
      <c r="E3" s="1088">
        <v>2.0117675852403769</v>
      </c>
      <c r="F3" s="1093">
        <v>7.5637499774395392E-2</v>
      </c>
      <c r="H3" s="26" t="s">
        <v>1415</v>
      </c>
      <c r="I3" s="1358" t="s">
        <v>1524</v>
      </c>
      <c r="J3" s="1359"/>
      <c r="K3" s="1359"/>
      <c r="L3" s="1360"/>
      <c r="M3" s="1358" t="s">
        <v>1417</v>
      </c>
      <c r="N3" s="1361"/>
    </row>
    <row r="4" spans="1:14" ht="15.75">
      <c r="A4" s="1092" t="s">
        <v>1414</v>
      </c>
      <c r="B4" s="1087">
        <v>17</v>
      </c>
      <c r="C4" s="1088">
        <v>0.94008502517596615</v>
      </c>
      <c r="D4" s="1093">
        <v>-0.25034764274434979</v>
      </c>
      <c r="E4" s="1088">
        <v>1.9728015748703169</v>
      </c>
      <c r="F4" s="1093">
        <v>-0.19364975206939777</v>
      </c>
      <c r="H4" s="26" t="s">
        <v>1419</v>
      </c>
      <c r="I4" s="1362" t="s">
        <v>1420</v>
      </c>
      <c r="J4" s="1363"/>
      <c r="K4" s="1363"/>
      <c r="L4" s="1363"/>
      <c r="M4" s="1363"/>
      <c r="N4" s="1364"/>
    </row>
    <row r="5" spans="1:14" ht="15.75">
      <c r="A5" s="1092" t="s">
        <v>1442</v>
      </c>
      <c r="B5" s="1087">
        <v>51</v>
      </c>
      <c r="C5" s="1088">
        <v>1.6040078419842758</v>
      </c>
      <c r="D5" s="1093">
        <v>-3.941169615105522E-2</v>
      </c>
      <c r="E5" s="1088">
        <v>2.0258437620692398</v>
      </c>
      <c r="F5" s="1093">
        <v>5.9252245435338254E-2</v>
      </c>
      <c r="H5" s="26" t="s">
        <v>1422</v>
      </c>
      <c r="I5" s="1365" t="s">
        <v>1423</v>
      </c>
      <c r="J5" s="1366"/>
      <c r="K5" s="1366"/>
      <c r="L5" s="1366"/>
      <c r="M5" s="1366"/>
      <c r="N5" s="1367"/>
    </row>
    <row r="6" spans="1:14" ht="15.75">
      <c r="A6" s="1092" t="s">
        <v>1505</v>
      </c>
      <c r="B6" s="1087">
        <v>19</v>
      </c>
      <c r="C6" s="1088">
        <v>2.7117882789168939</v>
      </c>
      <c r="D6" s="1093">
        <v>1.4015077082889514E-2</v>
      </c>
      <c r="E6" s="1088">
        <v>3.5828402796043126</v>
      </c>
      <c r="F6" s="1093">
        <v>1.9940544925985602E-2</v>
      </c>
      <c r="H6" s="26" t="s">
        <v>1425</v>
      </c>
      <c r="I6" s="1349" t="s">
        <v>1426</v>
      </c>
      <c r="J6" s="1350"/>
      <c r="K6" s="1350"/>
      <c r="L6" s="1350"/>
      <c r="M6" s="1350"/>
      <c r="N6" s="1351"/>
    </row>
    <row r="7" spans="1:14" ht="16.5" thickBot="1">
      <c r="A7" s="1092" t="s">
        <v>1453</v>
      </c>
      <c r="B7" s="1087">
        <v>52</v>
      </c>
      <c r="C7" s="1088">
        <v>1.3749963186566601</v>
      </c>
      <c r="D7" s="1093">
        <v>-4.4507483576293701E-2</v>
      </c>
      <c r="E7" s="1088">
        <v>1.5973947047834025</v>
      </c>
      <c r="F7" s="1093">
        <v>4.1687566553187907E-2</v>
      </c>
      <c r="H7" s="27" t="s">
        <v>1428</v>
      </c>
      <c r="I7" s="1352" t="s">
        <v>1429</v>
      </c>
      <c r="J7" s="1353"/>
      <c r="K7" s="1353"/>
      <c r="L7" s="1353"/>
      <c r="M7" s="1353"/>
      <c r="N7" s="1383"/>
    </row>
    <row r="8" spans="1:14" ht="15.75">
      <c r="A8" s="1092" t="s">
        <v>1418</v>
      </c>
      <c r="B8" s="1087">
        <v>7</v>
      </c>
      <c r="C8" s="1088">
        <v>3.1347531028865769</v>
      </c>
      <c r="D8" s="1093">
        <v>0.20975609913257065</v>
      </c>
      <c r="E8" s="1088">
        <v>5.3169845646763871</v>
      </c>
      <c r="F8" s="1093">
        <v>-1.1112733946249372E-3</v>
      </c>
    </row>
    <row r="9" spans="1:14" ht="15.75">
      <c r="A9" s="1092" t="s">
        <v>1427</v>
      </c>
      <c r="B9" s="1087">
        <v>598</v>
      </c>
      <c r="C9" s="1088">
        <v>3.7353631597412003</v>
      </c>
      <c r="D9" s="1093">
        <v>0.23793236645016949</v>
      </c>
      <c r="E9" s="1088">
        <v>4.4727113990451093</v>
      </c>
      <c r="F9" s="1093">
        <v>-4.0525423832215883E-3</v>
      </c>
    </row>
    <row r="10" spans="1:14" ht="15.75">
      <c r="A10" s="1092" t="s">
        <v>1477</v>
      </c>
      <c r="B10" s="1087">
        <v>23</v>
      </c>
      <c r="C10" s="1088">
        <v>4.3676426291950872</v>
      </c>
      <c r="D10" s="1093">
        <v>0.11951162686308751</v>
      </c>
      <c r="E10" s="1088">
        <v>5.2995319513213071</v>
      </c>
      <c r="F10" s="1093">
        <v>0.23840844026504482</v>
      </c>
    </row>
    <row r="11" spans="1:14" ht="15.75">
      <c r="A11" s="1092" t="s">
        <v>1508</v>
      </c>
      <c r="B11" s="1087">
        <v>41</v>
      </c>
      <c r="C11" s="1088">
        <v>4.3199152238091481</v>
      </c>
      <c r="D11" s="1093">
        <v>0.14104657523775332</v>
      </c>
      <c r="E11" s="1088">
        <v>5.0750689171479744</v>
      </c>
      <c r="F11" s="1093">
        <v>0.200977248763449</v>
      </c>
    </row>
    <row r="12" spans="1:14" ht="15.75">
      <c r="A12" s="1092" t="s">
        <v>1432</v>
      </c>
      <c r="B12" s="1087">
        <v>29</v>
      </c>
      <c r="C12" s="1088">
        <v>1.0256527749225774</v>
      </c>
      <c r="D12" s="1093">
        <v>1.2360516106521061E-3</v>
      </c>
      <c r="E12" s="1088">
        <v>2.0808035893696673</v>
      </c>
      <c r="F12" s="1093">
        <v>0.19029850631343828</v>
      </c>
    </row>
    <row r="13" spans="1:14" ht="15.75">
      <c r="A13" s="1092" t="s">
        <v>1440</v>
      </c>
      <c r="B13" s="1087">
        <v>39</v>
      </c>
      <c r="C13" s="1088">
        <v>2.0475613425097174</v>
      </c>
      <c r="D13" s="1093">
        <v>0.12709664436112283</v>
      </c>
      <c r="E13" s="1088">
        <v>4.9306724537536955</v>
      </c>
      <c r="F13" s="1093">
        <v>-1.6163799493610915E-4</v>
      </c>
    </row>
    <row r="14" spans="1:14" ht="15.75">
      <c r="A14" s="1092" t="s">
        <v>1454</v>
      </c>
      <c r="B14" s="1087">
        <v>42</v>
      </c>
      <c r="C14" s="1088">
        <v>1.6787876653671443</v>
      </c>
      <c r="D14" s="1093">
        <v>5.060567678966886E-2</v>
      </c>
      <c r="E14" s="1088">
        <v>1.9953151010184944</v>
      </c>
      <c r="F14" s="1093">
        <v>0.10965039786325621</v>
      </c>
    </row>
    <row r="15" spans="1:14" ht="15.75">
      <c r="A15" s="1092" t="s">
        <v>1467</v>
      </c>
      <c r="B15" s="1087">
        <v>169</v>
      </c>
      <c r="C15" s="1088">
        <v>2.5138764939941436</v>
      </c>
      <c r="D15" s="1093">
        <v>2.4686368279173483E-2</v>
      </c>
      <c r="E15" s="1088">
        <v>2.9656653719133295</v>
      </c>
      <c r="F15" s="1093">
        <v>9.1229855816585936E-2</v>
      </c>
    </row>
    <row r="16" spans="1:14" ht="15.75">
      <c r="A16" s="1092" t="s">
        <v>1487</v>
      </c>
      <c r="B16" s="1087">
        <v>13</v>
      </c>
      <c r="C16" s="1088">
        <v>2.5975716977289975</v>
      </c>
      <c r="D16" s="1093">
        <v>8.4995978797670776E-2</v>
      </c>
      <c r="E16" s="1088">
        <v>3.8522973077997342</v>
      </c>
      <c r="F16" s="1093">
        <v>0.18067798848355601</v>
      </c>
    </row>
    <row r="17" spans="1:6" ht="15.75">
      <c r="A17" s="1092" t="s">
        <v>1430</v>
      </c>
      <c r="B17" s="1087">
        <v>48</v>
      </c>
      <c r="C17" s="1088">
        <v>1.0518893602059118</v>
      </c>
      <c r="D17" s="1093">
        <v>-7.1771992328551436E-3</v>
      </c>
      <c r="E17" s="1088">
        <v>1.5174120796495583</v>
      </c>
      <c r="F17" s="1093">
        <v>7.2985778725880537E-2</v>
      </c>
    </row>
    <row r="18" spans="1:6" ht="15.75">
      <c r="A18" s="1092" t="s">
        <v>1431</v>
      </c>
      <c r="B18" s="1087">
        <v>5</v>
      </c>
      <c r="C18" s="1088">
        <v>1.177505803167455</v>
      </c>
      <c r="D18" s="1093">
        <v>6.4309990527293789E-2</v>
      </c>
      <c r="E18" s="1088">
        <v>1.7193508613762196</v>
      </c>
      <c r="F18" s="1093">
        <v>5.8732854753746115E-2</v>
      </c>
    </row>
    <row r="19" spans="1:6" ht="15.75">
      <c r="A19" s="1092" t="s">
        <v>1466</v>
      </c>
      <c r="B19" s="1087">
        <v>97</v>
      </c>
      <c r="C19" s="1088">
        <v>2.732751074981226</v>
      </c>
      <c r="D19" s="1093">
        <v>2.2051473548119458E-2</v>
      </c>
      <c r="E19" s="1088">
        <v>3.2734869788149399</v>
      </c>
      <c r="F19" s="1093">
        <v>0.12258487649209099</v>
      </c>
    </row>
    <row r="20" spans="1:6" ht="15.75">
      <c r="A20" s="1092" t="s">
        <v>1411</v>
      </c>
      <c r="B20" s="1087">
        <v>29</v>
      </c>
      <c r="C20" s="1088">
        <v>0.63899865102671871</v>
      </c>
      <c r="D20" s="1093">
        <v>-0.31794434236164698</v>
      </c>
      <c r="E20" s="1088">
        <v>1.0829349201864724</v>
      </c>
      <c r="F20" s="1093">
        <v>-8.4802264629288304E-2</v>
      </c>
    </row>
    <row r="21" spans="1:6" ht="15.75">
      <c r="A21" s="1092" t="s">
        <v>1476</v>
      </c>
      <c r="B21" s="1087">
        <v>116</v>
      </c>
      <c r="C21" s="1088">
        <v>1.1127764786765628</v>
      </c>
      <c r="D21" s="1093">
        <v>3.6158006342228897E-2</v>
      </c>
      <c r="E21" s="1088">
        <v>1.4323282243264928</v>
      </c>
      <c r="F21" s="1093">
        <v>7.8778970616059832E-2</v>
      </c>
    </row>
    <row r="22" spans="1:6" ht="15.75">
      <c r="A22" s="1092" t="s">
        <v>1473</v>
      </c>
      <c r="B22" s="1087">
        <v>52</v>
      </c>
      <c r="C22" s="1088">
        <v>4.8325099395252247</v>
      </c>
      <c r="D22" s="1093">
        <v>0.12482690376304825</v>
      </c>
      <c r="E22" s="1088">
        <v>5.1406397654346936</v>
      </c>
      <c r="F22" s="1093">
        <v>0.1553321087978809</v>
      </c>
    </row>
    <row r="23" spans="1:6" ht="15.75">
      <c r="A23" s="1092" t="s">
        <v>1493</v>
      </c>
      <c r="B23" s="1087">
        <v>46</v>
      </c>
      <c r="C23" s="1088">
        <v>1.8002159836723342</v>
      </c>
      <c r="D23" s="1093">
        <v>5.8581344328340286E-2</v>
      </c>
      <c r="E23" s="1088">
        <v>2.2653310476695232</v>
      </c>
      <c r="F23" s="1093">
        <v>9.4283867325302292E-2</v>
      </c>
    </row>
    <row r="24" spans="1:6" ht="15.75">
      <c r="A24" s="1092" t="s">
        <v>1449</v>
      </c>
      <c r="B24" s="1087">
        <v>29</v>
      </c>
      <c r="C24" s="1088">
        <v>2.2865217923890921</v>
      </c>
      <c r="D24" s="1093">
        <v>0.12179683485439068</v>
      </c>
      <c r="E24" s="1088">
        <v>2.7973465663251851</v>
      </c>
      <c r="F24" s="1093">
        <v>0.18140885561099176</v>
      </c>
    </row>
    <row r="25" spans="1:6" ht="15.75">
      <c r="A25" s="1092" t="s">
        <v>1462</v>
      </c>
      <c r="B25" s="1087">
        <v>547</v>
      </c>
      <c r="C25" s="1088">
        <v>8.0882072529405047</v>
      </c>
      <c r="D25" s="1093">
        <v>-9.4036387298279574E-3</v>
      </c>
      <c r="E25" s="1088">
        <v>8.7344405883629719</v>
      </c>
      <c r="F25" s="1093">
        <v>9.3621641259694716E-2</v>
      </c>
    </row>
    <row r="26" spans="1:6" ht="15.75">
      <c r="A26" s="1092" t="s">
        <v>1501</v>
      </c>
      <c r="B26" s="1087">
        <v>287</v>
      </c>
      <c r="C26" s="1088">
        <v>4.9080382472963127</v>
      </c>
      <c r="D26" s="1093">
        <v>0.14100419460619434</v>
      </c>
      <c r="E26" s="1088">
        <v>5.5545983292003589</v>
      </c>
      <c r="F26" s="1093">
        <v>0.24040904023430507</v>
      </c>
    </row>
    <row r="27" spans="1:6" ht="15.75">
      <c r="A27" s="1092" t="s">
        <v>1451</v>
      </c>
      <c r="B27" s="1087">
        <v>38</v>
      </c>
      <c r="C27" s="1088">
        <v>2.4795948710143607</v>
      </c>
      <c r="D27" s="1093">
        <v>-4.8234773506890379E-2</v>
      </c>
      <c r="E27" s="1088">
        <v>2.8063477998163817</v>
      </c>
      <c r="F27" s="1093">
        <v>8.7158593723877506E-2</v>
      </c>
    </row>
    <row r="28" spans="1:6" ht="15.75">
      <c r="A28" s="1092" t="s">
        <v>1480</v>
      </c>
      <c r="B28" s="1087">
        <v>122</v>
      </c>
      <c r="C28" s="1088">
        <v>3.3322682084092348</v>
      </c>
      <c r="D28" s="1093">
        <v>7.6279642544095014E-2</v>
      </c>
      <c r="E28" s="1088">
        <v>3.6555586962612141</v>
      </c>
      <c r="F28" s="1093">
        <v>0.12817662064755483</v>
      </c>
    </row>
    <row r="29" spans="1:6" ht="15.75">
      <c r="A29" s="1092" t="s">
        <v>1484</v>
      </c>
      <c r="B29" s="1087">
        <v>22</v>
      </c>
      <c r="C29" s="1088">
        <v>1.3604362391136686</v>
      </c>
      <c r="D29" s="1093">
        <v>-1.5302121271339456E-2</v>
      </c>
      <c r="E29" s="1088">
        <v>1.3166288849653709</v>
      </c>
      <c r="F29" s="1093">
        <v>2.0454600360342703E-2</v>
      </c>
    </row>
    <row r="30" spans="1:6" ht="15.75">
      <c r="A30" s="1092" t="s">
        <v>1492</v>
      </c>
      <c r="B30" s="1087">
        <v>157</v>
      </c>
      <c r="C30" s="1088">
        <v>2.3868211216806658</v>
      </c>
      <c r="D30" s="1093">
        <v>3.4876310655141678E-2</v>
      </c>
      <c r="E30" s="1088">
        <v>2.543668038136409</v>
      </c>
      <c r="F30" s="1093">
        <v>7.5721954677627892E-2</v>
      </c>
    </row>
    <row r="31" spans="1:6" ht="15.75">
      <c r="A31" s="1092" t="s">
        <v>1452</v>
      </c>
      <c r="B31" s="1087">
        <v>61</v>
      </c>
      <c r="C31" s="1088">
        <v>0.76528656914570214</v>
      </c>
      <c r="D31" s="1093">
        <v>7.4957694488532933E-3</v>
      </c>
      <c r="E31" s="1088">
        <v>0.8994726401457801</v>
      </c>
      <c r="F31" s="1093">
        <v>4.3156208635480406E-2</v>
      </c>
    </row>
    <row r="32" spans="1:6" ht="15.75">
      <c r="A32" s="1092" t="s">
        <v>1516</v>
      </c>
      <c r="B32" s="1087">
        <v>118</v>
      </c>
      <c r="C32" s="1088">
        <v>6.238755622594681</v>
      </c>
      <c r="D32" s="1093">
        <v>-3.0009409207244472E-2</v>
      </c>
      <c r="E32" s="1088">
        <v>6.8089956450789391</v>
      </c>
      <c r="F32" s="1093">
        <v>6.9773855214771516E-2</v>
      </c>
    </row>
    <row r="33" spans="1:6" ht="15.75">
      <c r="A33" s="1092" t="s">
        <v>1514</v>
      </c>
      <c r="B33" s="1087">
        <v>86</v>
      </c>
      <c r="C33" s="1088">
        <v>2.7207779618166317</v>
      </c>
      <c r="D33" s="1093">
        <v>3.5207730179984867E-2</v>
      </c>
      <c r="E33" s="1088">
        <v>3.3408368969906879</v>
      </c>
      <c r="F33" s="1093">
        <v>0.12093923632616241</v>
      </c>
    </row>
    <row r="34" spans="1:6" ht="15.75">
      <c r="A34" s="1092" t="s">
        <v>1450</v>
      </c>
      <c r="B34" s="1087">
        <v>32</v>
      </c>
      <c r="C34" s="1088">
        <v>0.97129272556085611</v>
      </c>
      <c r="D34" s="1093">
        <v>3.8069979223742091E-2</v>
      </c>
      <c r="E34" s="1088">
        <v>1.3516162158425524</v>
      </c>
      <c r="F34" s="1093">
        <v>6.6736589709050192E-2</v>
      </c>
    </row>
    <row r="35" spans="1:6" ht="15.75">
      <c r="A35" s="1092" t="s">
        <v>1445</v>
      </c>
      <c r="B35" s="1087">
        <v>235</v>
      </c>
      <c r="C35" s="1088">
        <v>3.2629798248181063</v>
      </c>
      <c r="D35" s="1093">
        <v>0.20128984680570286</v>
      </c>
      <c r="E35" s="1088">
        <v>31.486334617180493</v>
      </c>
      <c r="F35" s="1093">
        <v>0.12202940415873974</v>
      </c>
    </row>
    <row r="36" spans="1:6" ht="15.75">
      <c r="A36" s="1092" t="s">
        <v>1509</v>
      </c>
      <c r="B36" s="1087">
        <v>101</v>
      </c>
      <c r="C36" s="1088">
        <v>1.7114299579152281</v>
      </c>
      <c r="D36" s="1093">
        <v>6.3834466895239E-2</v>
      </c>
      <c r="E36" s="1088">
        <v>2.1935894352175414</v>
      </c>
      <c r="F36" s="1093">
        <v>0.12951496129958115</v>
      </c>
    </row>
    <row r="37" spans="1:6" ht="15.75">
      <c r="A37" s="1092" t="s">
        <v>1511</v>
      </c>
      <c r="B37" s="1087">
        <v>18</v>
      </c>
      <c r="C37" s="1088">
        <v>0.38275809614194378</v>
      </c>
      <c r="D37" s="1093">
        <v>-3.6467733172495151E-3</v>
      </c>
      <c r="E37" s="1088">
        <v>0.5436161544559327</v>
      </c>
      <c r="F37" s="1093">
        <v>1.5358452305018389E-2</v>
      </c>
    </row>
    <row r="38" spans="1:6" ht="15.75">
      <c r="A38" s="1092" t="s">
        <v>1457</v>
      </c>
      <c r="B38" s="1087">
        <v>40</v>
      </c>
      <c r="C38" s="1088">
        <v>1.0775011533313437</v>
      </c>
      <c r="D38" s="1093">
        <v>4.6290279565434141E-2</v>
      </c>
      <c r="E38" s="1088">
        <v>1.3108448970847419</v>
      </c>
      <c r="F38" s="1093">
        <v>8.1468551243781537E-2</v>
      </c>
    </row>
    <row r="39" spans="1:6" ht="15.75">
      <c r="A39" s="1092" t="s">
        <v>1483</v>
      </c>
      <c r="B39" s="1087">
        <v>25</v>
      </c>
      <c r="C39" s="1088">
        <v>8.1340207130909068</v>
      </c>
      <c r="D39" s="1093">
        <v>-0.34815354249179103</v>
      </c>
      <c r="E39" s="1088">
        <v>13.152748324967906</v>
      </c>
      <c r="F39" s="1093">
        <v>0.2584262522620554</v>
      </c>
    </row>
    <row r="40" spans="1:6" ht="15.75">
      <c r="A40" s="1092" t="s">
        <v>1512</v>
      </c>
      <c r="B40" s="1087">
        <v>265</v>
      </c>
      <c r="C40" s="1088">
        <v>6.9420791415337764</v>
      </c>
      <c r="D40" s="1093">
        <v>0.10914748449512829</v>
      </c>
      <c r="E40" s="1088">
        <v>7.418860964552465</v>
      </c>
      <c r="F40" s="1093">
        <v>0.14286675776253324</v>
      </c>
    </row>
    <row r="41" spans="1:6" ht="15.75">
      <c r="A41" s="1092" t="s">
        <v>1496</v>
      </c>
      <c r="B41" s="1087">
        <v>129</v>
      </c>
      <c r="C41" s="1088">
        <v>0.55382069652488086</v>
      </c>
      <c r="D41" s="1093">
        <v>2.6302308508942808E-2</v>
      </c>
      <c r="E41" s="1088">
        <v>0.6820844203953057</v>
      </c>
      <c r="F41" s="1093">
        <v>4.8380246787163496E-2</v>
      </c>
    </row>
    <row r="42" spans="1:6" ht="15.75">
      <c r="A42" s="1092" t="s">
        <v>1506</v>
      </c>
      <c r="B42" s="1087">
        <v>139</v>
      </c>
      <c r="C42" s="1088">
        <v>6.7834604886152432</v>
      </c>
      <c r="D42" s="1093">
        <v>0.10610525420304337</v>
      </c>
      <c r="E42" s="1088">
        <v>7.3338745856522403</v>
      </c>
      <c r="F42" s="1093">
        <v>0.13189886053390243</v>
      </c>
    </row>
    <row r="43" spans="1:6" ht="15.75">
      <c r="A43" s="1092" t="s">
        <v>1435</v>
      </c>
      <c r="B43" s="1087">
        <v>30</v>
      </c>
      <c r="C43" s="1088">
        <v>1.0281799779652792</v>
      </c>
      <c r="D43" s="1093">
        <v>9.0393346092065049E-2</v>
      </c>
      <c r="E43" s="1088">
        <v>1.2091954271235921</v>
      </c>
      <c r="F43" s="1093">
        <v>0.11820899341778766</v>
      </c>
    </row>
    <row r="44" spans="1:6" ht="15.75">
      <c r="A44" s="1092" t="s">
        <v>1490</v>
      </c>
      <c r="B44" s="1087">
        <v>32</v>
      </c>
      <c r="C44" s="1088">
        <v>0.83651967178833497</v>
      </c>
      <c r="D44" s="1093">
        <v>3.6964017207213477E-2</v>
      </c>
      <c r="E44" s="1088">
        <v>1.5355178116126029</v>
      </c>
      <c r="F44" s="1093">
        <v>9.4837865438052199E-2</v>
      </c>
    </row>
    <row r="45" spans="1:6" ht="15.75">
      <c r="A45" s="1092" t="s">
        <v>1481</v>
      </c>
      <c r="B45" s="1087">
        <v>66</v>
      </c>
      <c r="C45" s="1088">
        <v>5.539164934766668</v>
      </c>
      <c r="D45" s="1093">
        <v>-0.3077986899550243</v>
      </c>
      <c r="E45" s="1088">
        <v>8.0782571525859517</v>
      </c>
      <c r="F45" s="1093">
        <v>-0.14766573084899906</v>
      </c>
    </row>
    <row r="46" spans="1:6" ht="15.75">
      <c r="A46" s="1092" t="s">
        <v>1515</v>
      </c>
      <c r="B46" s="1087">
        <v>140</v>
      </c>
      <c r="C46" s="1088">
        <v>3.7004086669453931</v>
      </c>
      <c r="D46" s="1093">
        <v>0.11712443600964097</v>
      </c>
      <c r="E46" s="1088">
        <v>4.0934208573020419</v>
      </c>
      <c r="F46" s="1093">
        <v>0.1826973136639399</v>
      </c>
    </row>
    <row r="47" spans="1:6" ht="15.75">
      <c r="A47" s="1092" t="s">
        <v>1497</v>
      </c>
      <c r="B47" s="1087">
        <v>77</v>
      </c>
      <c r="C47" s="1088">
        <v>9.9398055303763364</v>
      </c>
      <c r="D47" s="1093">
        <v>0.15757093042154743</v>
      </c>
      <c r="E47" s="1088">
        <v>10.543643178813669</v>
      </c>
      <c r="F47" s="1093">
        <v>0.23524941653506409</v>
      </c>
    </row>
    <row r="48" spans="1:6" ht="15.75">
      <c r="A48" s="1092" t="s">
        <v>1486</v>
      </c>
      <c r="B48" s="1087">
        <v>21</v>
      </c>
      <c r="C48" s="1088">
        <v>1.4891093351453799</v>
      </c>
      <c r="D48" s="1093">
        <v>1.4298548178051991E-2</v>
      </c>
      <c r="E48" s="1088">
        <v>1.9727436127834244</v>
      </c>
      <c r="F48" s="1093">
        <v>0.12897712912926268</v>
      </c>
    </row>
    <row r="49" spans="1:6" ht="15.75">
      <c r="A49" s="1092" t="s">
        <v>1434</v>
      </c>
      <c r="B49" s="1087">
        <v>26</v>
      </c>
      <c r="C49" s="1088">
        <v>0.73769663764269899</v>
      </c>
      <c r="D49" s="1093">
        <v>6.5359031635431927E-2</v>
      </c>
      <c r="E49" s="1088">
        <v>1.3106236214950624</v>
      </c>
      <c r="F49" s="1093">
        <v>8.4790241950832165E-2</v>
      </c>
    </row>
    <row r="50" spans="1:6" ht="15.75">
      <c r="A50" s="1092" t="s">
        <v>1475</v>
      </c>
      <c r="B50" s="1087">
        <v>55</v>
      </c>
      <c r="C50" s="1088">
        <v>1.227994180026327</v>
      </c>
      <c r="D50" s="1093">
        <v>6.6778762784521453E-2</v>
      </c>
      <c r="E50" s="1088">
        <v>1.4442166689309721</v>
      </c>
      <c r="F50" s="1093">
        <v>0.10894128541349707</v>
      </c>
    </row>
    <row r="51" spans="1:6" ht="15.75">
      <c r="A51" s="1092" t="s">
        <v>1513</v>
      </c>
      <c r="B51" s="1087">
        <v>348</v>
      </c>
      <c r="C51" s="1088">
        <v>4.5427229044541875</v>
      </c>
      <c r="D51" s="1093">
        <v>0.19510306517731921</v>
      </c>
      <c r="E51" s="1088">
        <v>5.8715163223657916</v>
      </c>
      <c r="F51" s="1093">
        <v>0.16699070808242561</v>
      </c>
    </row>
    <row r="52" spans="1:6" ht="15.75">
      <c r="A52" s="1092" t="s">
        <v>1485</v>
      </c>
      <c r="B52" s="1087">
        <v>125</v>
      </c>
      <c r="C52" s="1088">
        <v>2.6754302091622479</v>
      </c>
      <c r="D52" s="1093">
        <v>6.584903385571951E-2</v>
      </c>
      <c r="E52" s="1088">
        <v>3.0635239041521163</v>
      </c>
      <c r="F52" s="1093">
        <v>0.13256893901738206</v>
      </c>
    </row>
    <row r="53" spans="1:6" ht="15.75">
      <c r="A53" s="1092" t="s">
        <v>1458</v>
      </c>
      <c r="B53" s="1087">
        <v>86</v>
      </c>
      <c r="C53" s="1088">
        <v>2.5745430521859842</v>
      </c>
      <c r="D53" s="1093">
        <v>1.6373017865906586E-2</v>
      </c>
      <c r="E53" s="1088">
        <v>2.9961886099567443</v>
      </c>
      <c r="F53" s="1093">
        <v>0.11281987089236832</v>
      </c>
    </row>
    <row r="54" spans="1:6" ht="15.75">
      <c r="A54" s="1092" t="s">
        <v>1433</v>
      </c>
      <c r="B54" s="1087">
        <v>22</v>
      </c>
      <c r="C54" s="1088">
        <v>0.85211582103397387</v>
      </c>
      <c r="D54" s="1093">
        <v>1.9476055591445933E-2</v>
      </c>
      <c r="E54" s="1088">
        <v>1.1194240858943512</v>
      </c>
      <c r="F54" s="1093">
        <v>7.5763766255232207E-2</v>
      </c>
    </row>
    <row r="55" spans="1:6" ht="15.75">
      <c r="A55" s="1092" t="s">
        <v>1465</v>
      </c>
      <c r="B55" s="1087">
        <v>3</v>
      </c>
      <c r="C55" s="1088">
        <v>1.1037442819577201</v>
      </c>
      <c r="D55" s="1093">
        <v>-7.1996523055083944E-2</v>
      </c>
      <c r="E55" s="1088">
        <v>1.5354222004654785</v>
      </c>
      <c r="F55" s="1093">
        <v>-3.9761406271051493E-2</v>
      </c>
    </row>
    <row r="56" spans="1:6" ht="15.75">
      <c r="A56" s="1092" t="s">
        <v>1446</v>
      </c>
      <c r="B56" s="1087">
        <v>278</v>
      </c>
      <c r="C56" s="1088">
        <v>1.7667769116062642</v>
      </c>
      <c r="D56" s="1093">
        <v>-0.78848951001156098</v>
      </c>
      <c r="E56" s="1088">
        <v>2.9075110392871673</v>
      </c>
      <c r="F56" s="1093">
        <v>-0.20696498151756457</v>
      </c>
    </row>
    <row r="57" spans="1:6" ht="15.75">
      <c r="A57" s="1092" t="s">
        <v>1424</v>
      </c>
      <c r="B57" s="1087">
        <v>57</v>
      </c>
      <c r="C57" s="1088">
        <v>1.0703741071078299</v>
      </c>
      <c r="D57" s="1093">
        <v>9.5853999611012174E-3</v>
      </c>
      <c r="E57" s="1088">
        <v>2.4248652088923657</v>
      </c>
      <c r="F57" s="1093">
        <v>0.17376261398262641</v>
      </c>
    </row>
    <row r="58" spans="1:6" ht="15.75">
      <c r="A58" s="1092" t="s">
        <v>1471</v>
      </c>
      <c r="B58" s="1087">
        <v>135</v>
      </c>
      <c r="C58" s="1088">
        <v>0.44790904622596134</v>
      </c>
      <c r="D58" s="1093">
        <v>-0.10979032316798781</v>
      </c>
      <c r="E58" s="1088">
        <v>0.7342577025313457</v>
      </c>
      <c r="F58" s="1093">
        <v>7.1616784136324775E-3</v>
      </c>
    </row>
    <row r="59" spans="1:6" ht="15.75">
      <c r="A59" s="1092" t="s">
        <v>1447</v>
      </c>
      <c r="B59" s="1087">
        <v>26</v>
      </c>
      <c r="C59" s="1088">
        <v>1.1492573024089541</v>
      </c>
      <c r="D59" s="1093">
        <v>2.98333526244478E-2</v>
      </c>
      <c r="E59" s="1088">
        <v>1.7169827985643689</v>
      </c>
      <c r="F59" s="1093">
        <v>9.816983029651595E-2</v>
      </c>
    </row>
    <row r="60" spans="1:6" ht="15.75">
      <c r="A60" s="1092" t="s">
        <v>1437</v>
      </c>
      <c r="B60" s="1087">
        <v>15</v>
      </c>
      <c r="C60" s="1088">
        <v>0.73634667145696964</v>
      </c>
      <c r="D60" s="1093">
        <v>2.2707966204610273E-2</v>
      </c>
      <c r="E60" s="1088">
        <v>0.94369086049964812</v>
      </c>
      <c r="F60" s="1093">
        <v>5.9976180845438619E-2</v>
      </c>
    </row>
    <row r="61" spans="1:6" ht="15.75">
      <c r="A61" s="1092" t="s">
        <v>1441</v>
      </c>
      <c r="B61" s="1087">
        <v>55</v>
      </c>
      <c r="C61" s="1088">
        <v>2.4880683579673928</v>
      </c>
      <c r="D61" s="1093">
        <v>8.8003534413607823E-2</v>
      </c>
      <c r="E61" s="1088">
        <v>4.3654784348990487</v>
      </c>
      <c r="F61" s="1093">
        <v>0.19612704730347097</v>
      </c>
    </row>
    <row r="62" spans="1:6" ht="15.75">
      <c r="A62" s="1092" t="s">
        <v>1436</v>
      </c>
      <c r="B62" s="1087">
        <v>93</v>
      </c>
      <c r="C62" s="1088">
        <v>4.6421419520316345</v>
      </c>
      <c r="D62" s="1093">
        <v>0.15793230865724675</v>
      </c>
      <c r="E62" s="1088">
        <v>4.8166170023120944</v>
      </c>
      <c r="F62" s="1093">
        <v>0.21644261789472666</v>
      </c>
    </row>
    <row r="63" spans="1:6" ht="15.75">
      <c r="A63" s="1092" t="s">
        <v>1478</v>
      </c>
      <c r="B63" s="1087">
        <v>29</v>
      </c>
      <c r="C63" s="1088">
        <v>0.82989238449259695</v>
      </c>
      <c r="D63" s="1093">
        <v>-6.2700525576884505E-2</v>
      </c>
      <c r="E63" s="1088">
        <v>1.1672414575150774</v>
      </c>
      <c r="F63" s="1093">
        <v>5.3427484979822866E-2</v>
      </c>
    </row>
    <row r="64" spans="1:6" ht="15.75">
      <c r="A64" s="1092" t="s">
        <v>1479</v>
      </c>
      <c r="B64" s="1087">
        <v>238</v>
      </c>
      <c r="C64" s="1088">
        <v>7.4743790298995583</v>
      </c>
      <c r="D64" s="1093">
        <v>6.7199147491527333E-2</v>
      </c>
      <c r="E64" s="1088">
        <v>12.853445702702684</v>
      </c>
      <c r="F64" s="1093">
        <v>0.19052041356205573</v>
      </c>
    </row>
    <row r="65" spans="1:6" ht="15.75">
      <c r="A65" s="1092" t="s">
        <v>1463</v>
      </c>
      <c r="B65" s="1087">
        <v>25</v>
      </c>
      <c r="C65" s="1088">
        <v>3.46350317869594</v>
      </c>
      <c r="D65" s="1093">
        <v>-3.1775438208409123E-3</v>
      </c>
      <c r="E65" s="1088">
        <v>5.997432276524977</v>
      </c>
      <c r="F65" s="1093">
        <v>-6.7119749696710945E-2</v>
      </c>
    </row>
    <row r="66" spans="1:6" ht="15.75">
      <c r="A66" s="1092" t="s">
        <v>1470</v>
      </c>
      <c r="B66" s="1087">
        <v>11</v>
      </c>
      <c r="C66" s="1088">
        <v>6.2189326077856855</v>
      </c>
      <c r="D66" s="1093">
        <v>5.1179014929538177E-2</v>
      </c>
      <c r="E66" s="1088">
        <v>6.8144572719394834</v>
      </c>
      <c r="F66" s="1093">
        <v>6.3742841691355648E-2</v>
      </c>
    </row>
    <row r="67" spans="1:6" ht="15.75">
      <c r="A67" s="1092" t="s">
        <v>1517</v>
      </c>
      <c r="B67" s="1087">
        <v>61</v>
      </c>
      <c r="C67" s="1088">
        <v>1.1818590667977391</v>
      </c>
      <c r="D67" s="1093">
        <v>1.5280643624134407E-2</v>
      </c>
      <c r="E67" s="1088">
        <v>1.5620549062342843</v>
      </c>
      <c r="F67" s="1093">
        <v>4.0203862359896002E-2</v>
      </c>
    </row>
    <row r="68" spans="1:6" ht="15.75">
      <c r="A68" s="1092" t="s">
        <v>1469</v>
      </c>
      <c r="B68" s="1087">
        <v>69</v>
      </c>
      <c r="C68" s="1088">
        <v>3.1579225580692443</v>
      </c>
      <c r="D68" s="1093">
        <v>-2.1180667717104654E-2</v>
      </c>
      <c r="E68" s="1088">
        <v>3.7330910404870941</v>
      </c>
      <c r="F68" s="1093">
        <v>6.3836275981382862E-2</v>
      </c>
    </row>
    <row r="69" spans="1:6" ht="15.75">
      <c r="A69" s="1092" t="s">
        <v>1421</v>
      </c>
      <c r="B69" s="1087">
        <v>2</v>
      </c>
      <c r="C69" s="1088">
        <v>0.72518443702792912</v>
      </c>
      <c r="D69" s="1093">
        <v>2.1623045845775513E-2</v>
      </c>
      <c r="E69" s="1088">
        <v>0.80749707015112049</v>
      </c>
      <c r="F69" s="1093">
        <v>4.2091838385022701E-2</v>
      </c>
    </row>
    <row r="70" spans="1:6" ht="15.75">
      <c r="A70" s="1092" t="s">
        <v>1489</v>
      </c>
      <c r="B70" s="1087">
        <v>79</v>
      </c>
      <c r="C70" s="1088">
        <v>4.0557770936620718</v>
      </c>
      <c r="D70" s="1093">
        <v>5.6907119249523047E-2</v>
      </c>
      <c r="E70" s="1088">
        <v>5.2680885093782539</v>
      </c>
      <c r="F70" s="1093">
        <v>6.5537036850484481E-2</v>
      </c>
    </row>
    <row r="71" spans="1:6" ht="15.75">
      <c r="A71" s="1092" t="s">
        <v>1459</v>
      </c>
      <c r="B71" s="1087">
        <v>30</v>
      </c>
      <c r="C71" s="1088">
        <v>0.8575877553366793</v>
      </c>
      <c r="D71" s="1093">
        <v>3.8437952750406373E-2</v>
      </c>
      <c r="E71" s="1088">
        <v>1.2354713774059443</v>
      </c>
      <c r="F71" s="1093">
        <v>5.4821199469799201E-2</v>
      </c>
    </row>
    <row r="72" spans="1:6" ht="15.75">
      <c r="A72" s="1092" t="s">
        <v>1503</v>
      </c>
      <c r="B72" s="1087">
        <v>15</v>
      </c>
      <c r="C72" s="1088">
        <v>1.8382607872973482</v>
      </c>
      <c r="D72" s="1093">
        <v>7.5343891925098758E-2</v>
      </c>
      <c r="E72" s="1088">
        <v>2.0622277256162804</v>
      </c>
      <c r="F72" s="1093">
        <v>0.12503624449428144</v>
      </c>
    </row>
    <row r="73" spans="1:6" ht="15.75">
      <c r="A73" s="1092" t="s">
        <v>1474</v>
      </c>
      <c r="B73" s="1087">
        <v>85</v>
      </c>
      <c r="C73" s="1088">
        <v>1.0625314396749146</v>
      </c>
      <c r="D73" s="1093">
        <v>2.741602953333586E-2</v>
      </c>
      <c r="E73" s="1088">
        <v>1.4939726023257278</v>
      </c>
      <c r="F73" s="1093">
        <v>7.8990578621528848E-2</v>
      </c>
    </row>
    <row r="74" spans="1:6" ht="15.75">
      <c r="A74" s="1092" t="s">
        <v>1443</v>
      </c>
      <c r="B74" s="1087">
        <v>17</v>
      </c>
      <c r="C74" s="1088">
        <v>0.8073553749719985</v>
      </c>
      <c r="D74" s="1093">
        <v>2.7913802813362955E-2</v>
      </c>
      <c r="E74" s="1088">
        <v>0.9340125081690106</v>
      </c>
      <c r="F74" s="1093">
        <v>4.0943648154012788E-2</v>
      </c>
    </row>
    <row r="75" spans="1:6" ht="15.75">
      <c r="A75" s="1092" t="s">
        <v>1472</v>
      </c>
      <c r="B75" s="1087">
        <v>14</v>
      </c>
      <c r="C75" s="1088">
        <v>0.2118521128225945</v>
      </c>
      <c r="D75" s="1093">
        <v>2.2005099246267888E-2</v>
      </c>
      <c r="E75" s="1088">
        <v>0.38776793300135814</v>
      </c>
      <c r="F75" s="1093">
        <v>2.7066363205398937E-2</v>
      </c>
    </row>
    <row r="76" spans="1:6" ht="15.75">
      <c r="A76" s="1092" t="s">
        <v>1502</v>
      </c>
      <c r="B76" s="1087">
        <v>75</v>
      </c>
      <c r="C76" s="1088">
        <v>4.5171981187183547</v>
      </c>
      <c r="D76" s="1093">
        <v>4.9473020682845828E-2</v>
      </c>
      <c r="E76" s="1088">
        <v>4.706890357997243</v>
      </c>
      <c r="F76" s="1093">
        <v>5.2423167252282257E-2</v>
      </c>
    </row>
    <row r="77" spans="1:6" ht="15.75">
      <c r="A77" s="1092" t="s">
        <v>1460</v>
      </c>
      <c r="B77" s="1087">
        <v>85</v>
      </c>
      <c r="C77" s="1088">
        <v>0.81186611115273499</v>
      </c>
      <c r="D77" s="1093">
        <v>-1.0485962469816658E-3</v>
      </c>
      <c r="E77" s="1088">
        <v>1.1005434739152702</v>
      </c>
      <c r="F77" s="1093">
        <v>2.4952262811887286E-2</v>
      </c>
    </row>
    <row r="78" spans="1:6" ht="15.75">
      <c r="A78" s="1092" t="s">
        <v>1468</v>
      </c>
      <c r="B78" s="1087">
        <v>3</v>
      </c>
      <c r="C78" s="1088">
        <v>0.30727349596415682</v>
      </c>
      <c r="D78" s="1093">
        <v>-0.10404234235018939</v>
      </c>
      <c r="E78" s="1088">
        <v>0.74063296455059391</v>
      </c>
      <c r="F78" s="1093">
        <v>-2.3475230163679369E-4</v>
      </c>
    </row>
    <row r="79" spans="1:6" ht="15.75">
      <c r="A79" s="1092" t="s">
        <v>1518</v>
      </c>
      <c r="B79" s="1087">
        <v>70</v>
      </c>
      <c r="C79" s="1088">
        <v>6.7070087114171963</v>
      </c>
      <c r="D79" s="1093">
        <v>0.20490124300092438</v>
      </c>
      <c r="E79" s="1088">
        <v>7.1590845870761628</v>
      </c>
      <c r="F79" s="1093">
        <v>0.24093183559409068</v>
      </c>
    </row>
    <row r="80" spans="1:6" ht="15.75">
      <c r="A80" s="1092" t="s">
        <v>1499</v>
      </c>
      <c r="B80" s="1087">
        <v>40</v>
      </c>
      <c r="C80" s="1088">
        <v>5.0333733137383065</v>
      </c>
      <c r="D80" s="1093">
        <v>0.17055847249931999</v>
      </c>
      <c r="E80" s="1088">
        <v>5.1438517688976919</v>
      </c>
      <c r="F80" s="1093">
        <v>0.22387312354021505</v>
      </c>
    </row>
    <row r="81" spans="1:6" ht="15.75">
      <c r="A81" s="1092" t="s">
        <v>1444</v>
      </c>
      <c r="B81" s="1087">
        <v>11</v>
      </c>
      <c r="C81" s="1088">
        <v>1.1210417918403328</v>
      </c>
      <c r="D81" s="1093">
        <v>-5.9884185775855948E-2</v>
      </c>
      <c r="E81" s="1088">
        <v>1.7395230517207627</v>
      </c>
      <c r="F81" s="1093">
        <v>5.6632046024762447E-2</v>
      </c>
    </row>
    <row r="82" spans="1:6" ht="15.75">
      <c r="A82" s="1092" t="s">
        <v>1464</v>
      </c>
      <c r="B82" s="1087">
        <v>11</v>
      </c>
      <c r="C82" s="1088">
        <v>4.9333581833400579</v>
      </c>
      <c r="D82" s="1093">
        <v>6.8586921830871436E-2</v>
      </c>
      <c r="E82" s="1088">
        <v>5.0458322546184595</v>
      </c>
      <c r="F82" s="1093">
        <v>8.932447521076721E-2</v>
      </c>
    </row>
    <row r="83" spans="1:6" ht="15.75">
      <c r="A83" s="1092" t="s">
        <v>1495</v>
      </c>
      <c r="B83" s="1087">
        <v>101</v>
      </c>
      <c r="C83" s="1088">
        <v>8.1137628538007949</v>
      </c>
      <c r="D83" s="1093">
        <v>0.20295340557302777</v>
      </c>
      <c r="E83" s="1088">
        <v>8.1627602634263159</v>
      </c>
      <c r="F83" s="1093">
        <v>0.19816785545687668</v>
      </c>
    </row>
    <row r="84" spans="1:6" ht="15.75">
      <c r="A84" s="1092" t="s">
        <v>1494</v>
      </c>
      <c r="B84" s="1087">
        <v>36</v>
      </c>
      <c r="C84" s="1088">
        <v>14.848475612838014</v>
      </c>
      <c r="D84" s="1093">
        <v>-5.6002976441187215E-2</v>
      </c>
      <c r="E84" s="1088">
        <v>15.670513651651863</v>
      </c>
      <c r="F84" s="1093">
        <v>4.79762071362849E-2</v>
      </c>
    </row>
    <row r="85" spans="1:6" ht="15.75">
      <c r="A85" s="1092" t="s">
        <v>1507</v>
      </c>
      <c r="B85" s="1087">
        <v>388</v>
      </c>
      <c r="C85" s="1088">
        <v>11.401716727166024</v>
      </c>
      <c r="D85" s="1093">
        <v>0.19994215340707683</v>
      </c>
      <c r="E85" s="1088">
        <v>11.823495715635733</v>
      </c>
      <c r="F85" s="1093">
        <v>0.23267066737572673</v>
      </c>
    </row>
    <row r="86" spans="1:6" ht="15.75">
      <c r="A86" s="1092" t="s">
        <v>1491</v>
      </c>
      <c r="B86" s="1087">
        <v>32</v>
      </c>
      <c r="C86" s="1088">
        <v>0.70059395274324132</v>
      </c>
      <c r="D86" s="1093">
        <v>-1.2751877360530349E-2</v>
      </c>
      <c r="E86" s="1088">
        <v>0.93481481073420414</v>
      </c>
      <c r="F86" s="1093">
        <v>3.6272592071230111E-2</v>
      </c>
    </row>
    <row r="87" spans="1:6" ht="15.75">
      <c r="A87" s="1092" t="s">
        <v>1456</v>
      </c>
      <c r="B87" s="1087">
        <v>16</v>
      </c>
      <c r="C87" s="1088">
        <v>2.4564340592115892</v>
      </c>
      <c r="D87" s="1093">
        <v>4.5954539072285326E-2</v>
      </c>
      <c r="E87" s="1088">
        <v>3.6701715389319451</v>
      </c>
      <c r="F87" s="1093">
        <v>0.12419471247476192</v>
      </c>
    </row>
    <row r="88" spans="1:6" ht="15.75">
      <c r="A88" s="1092" t="s">
        <v>1488</v>
      </c>
      <c r="B88" s="1087">
        <v>96</v>
      </c>
      <c r="C88" s="1088">
        <v>3.2929993059132214</v>
      </c>
      <c r="D88" s="1093">
        <v>0.10793587453130335</v>
      </c>
      <c r="E88" s="1088">
        <v>3.5641828955814892</v>
      </c>
      <c r="F88" s="1093">
        <v>0.18908320058875869</v>
      </c>
    </row>
    <row r="89" spans="1:6" ht="15.75">
      <c r="A89" s="1092" t="s">
        <v>1504</v>
      </c>
      <c r="B89" s="1087">
        <v>58</v>
      </c>
      <c r="C89" s="1088">
        <v>1.4075373513992468</v>
      </c>
      <c r="D89" s="1093">
        <v>8.5171486595762166E-2</v>
      </c>
      <c r="E89" s="1088">
        <v>2.5063851234126462</v>
      </c>
      <c r="F89" s="1093">
        <v>0.19062240101858391</v>
      </c>
    </row>
    <row r="90" spans="1:6" ht="15.75">
      <c r="A90" s="1092" t="s">
        <v>1455</v>
      </c>
      <c r="B90" s="1087">
        <v>15</v>
      </c>
      <c r="C90" s="1088">
        <v>3.8306820168972289</v>
      </c>
      <c r="D90" s="1093">
        <v>0.15310086168988379</v>
      </c>
      <c r="E90" s="1088">
        <v>4.8154292104667444</v>
      </c>
      <c r="F90" s="1093">
        <v>0.42921884360605222</v>
      </c>
    </row>
    <row r="91" spans="1:6" ht="15.75">
      <c r="A91" s="1092" t="s">
        <v>811</v>
      </c>
      <c r="B91" s="1087">
        <v>21</v>
      </c>
      <c r="C91" s="1088">
        <v>1.262377083878903</v>
      </c>
      <c r="D91" s="1093">
        <v>3.8789566370597078E-2</v>
      </c>
      <c r="E91" s="1088">
        <v>1.5567317897080666</v>
      </c>
      <c r="F91" s="1093">
        <v>6.0726418953908574E-2</v>
      </c>
    </row>
    <row r="92" spans="1:6" ht="15.75">
      <c r="A92" s="1092" t="s">
        <v>1448</v>
      </c>
      <c r="B92" s="1087">
        <v>6</v>
      </c>
      <c r="C92" s="1088">
        <v>6.7530065130529628</v>
      </c>
      <c r="D92" s="1093">
        <v>0.25067897818162288</v>
      </c>
      <c r="E92" s="1088">
        <v>8.0999444290363432</v>
      </c>
      <c r="F92" s="1093">
        <v>0.38690910749986346</v>
      </c>
    </row>
    <row r="93" spans="1:6" ht="15.75">
      <c r="A93" s="1092" t="s">
        <v>1461</v>
      </c>
      <c r="B93" s="1087">
        <v>35</v>
      </c>
      <c r="C93" s="1088">
        <v>2.1639911936285183</v>
      </c>
      <c r="D93" s="1093">
        <v>-9.2726807781460627E-2</v>
      </c>
      <c r="E93" s="1088">
        <v>2.7292351713007115</v>
      </c>
      <c r="F93" s="1093">
        <v>-2.5557384134277682E-2</v>
      </c>
    </row>
    <row r="94" spans="1:6" ht="15.75">
      <c r="A94" s="1092" t="s">
        <v>1438</v>
      </c>
      <c r="B94" s="1087">
        <v>16</v>
      </c>
      <c r="C94" s="1088">
        <v>2.4017897143691531</v>
      </c>
      <c r="D94" s="1093">
        <v>8.5903302990379418E-2</v>
      </c>
      <c r="E94" s="1088">
        <v>4.136621754888119</v>
      </c>
      <c r="F94" s="1093">
        <v>0.20149672072710154</v>
      </c>
    </row>
    <row r="95" spans="1:6" ht="15.75">
      <c r="A95" s="1092" t="s">
        <v>1482</v>
      </c>
      <c r="B95" s="1087">
        <v>17</v>
      </c>
      <c r="C95" s="1088">
        <v>7.0445606851838969</v>
      </c>
      <c r="D95" s="1093">
        <v>0.16235626218854005</v>
      </c>
      <c r="E95" s="1088">
        <v>9.786175412560377</v>
      </c>
      <c r="F95" s="1093">
        <v>0.30220114771976636</v>
      </c>
    </row>
    <row r="96" spans="1:6" ht="15.75">
      <c r="A96" s="1092" t="s">
        <v>1500</v>
      </c>
      <c r="B96" s="1087">
        <v>7582</v>
      </c>
      <c r="C96" s="1088">
        <v>2.6424727828772707</v>
      </c>
      <c r="D96" s="1093">
        <v>5.0539759121906037E-2</v>
      </c>
      <c r="E96" s="1088">
        <v>3.6462526886648874</v>
      </c>
      <c r="F96" s="1093">
        <v>9.4176974136656197E-2</v>
      </c>
    </row>
    <row r="97" spans="1:6" ht="15.75">
      <c r="A97" s="1092" t="s">
        <v>1498</v>
      </c>
      <c r="B97" s="1087">
        <v>6253</v>
      </c>
      <c r="C97" s="1088">
        <v>2.6635813479292616</v>
      </c>
      <c r="D97" s="1093">
        <v>4.0099383045661484E-2</v>
      </c>
      <c r="E97" s="1088">
        <v>3.196959116613741</v>
      </c>
      <c r="F97" s="1093">
        <v>9.720507391093354E-2</v>
      </c>
    </row>
  </sheetData>
  <mergeCells count="8">
    <mergeCell ref="I6:N6"/>
    <mergeCell ref="I7:N7"/>
    <mergeCell ref="I1:N1"/>
    <mergeCell ref="I2:N2"/>
    <mergeCell ref="I3:L3"/>
    <mergeCell ref="M3:N3"/>
    <mergeCell ref="I4:N4"/>
    <mergeCell ref="I5:N5"/>
  </mergeCells>
  <hyperlinks>
    <hyperlink ref="I2" r:id="rId1" xr:uid="{00000000-0004-0000-2100-000000000000}"/>
    <hyperlink ref="I4" r:id="rId2" xr:uid="{00000000-0004-0000-2100-000001000000}"/>
    <hyperlink ref="I5" r:id="rId3" xr:uid="{00000000-0004-0000-2100-000002000000}"/>
    <hyperlink ref="I6" r:id="rId4" xr:uid="{00000000-0004-0000-2100-000003000000}"/>
    <hyperlink ref="I7" r:id="rId5" xr:uid="{00000000-0004-0000-2100-000004000000}"/>
  </hyperlinks>
  <pageMargins left="0.7" right="0.7" top="0.78740157499999996" bottom="0.78740157499999996" header="0.3" footer="0.3"/>
  <tableParts count="1">
    <tablePart r:id="rId6"/>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2ED88-B16E-46A1-8D59-A7C324C4D4D7}">
  <dimension ref="A1:I28"/>
  <sheetViews>
    <sheetView workbookViewId="0"/>
  </sheetViews>
  <sheetFormatPr defaultRowHeight="15"/>
  <cols>
    <col min="2" max="2" width="20.140625" bestFit="1" customWidth="1"/>
    <col min="3" max="3" width="29.42578125" bestFit="1" customWidth="1"/>
    <col min="4" max="4" width="20.140625" bestFit="1" customWidth="1"/>
    <col min="5" max="5" width="29.42578125" bestFit="1" customWidth="1"/>
    <col min="6" max="6" width="20.140625" bestFit="1" customWidth="1"/>
    <col min="7" max="7" width="29.42578125" bestFit="1" customWidth="1"/>
    <col min="8" max="8" width="26" bestFit="1" customWidth="1"/>
    <col min="9" max="9" width="36.42578125" bestFit="1" customWidth="1"/>
  </cols>
  <sheetData>
    <row r="1" spans="1:9" ht="15.75">
      <c r="A1" s="1240"/>
      <c r="B1" s="1384" t="s">
        <v>1525</v>
      </c>
      <c r="C1" s="1384"/>
      <c r="D1" s="1384" t="s">
        <v>1526</v>
      </c>
      <c r="E1" s="1384"/>
      <c r="F1" s="1384" t="s">
        <v>1527</v>
      </c>
      <c r="G1" s="1384"/>
      <c r="H1" s="1384" t="s">
        <v>1528</v>
      </c>
      <c r="I1" s="1384"/>
    </row>
    <row r="2" spans="1:9" ht="15.75">
      <c r="A2" s="1241" t="s">
        <v>1529</v>
      </c>
      <c r="B2" s="1241" t="s">
        <v>1530</v>
      </c>
      <c r="C2" s="1241" t="s">
        <v>1531</v>
      </c>
      <c r="D2" s="1241" t="s">
        <v>1530</v>
      </c>
      <c r="E2" s="1241" t="s">
        <v>1531</v>
      </c>
      <c r="F2" s="1241" t="s">
        <v>1530</v>
      </c>
      <c r="G2" s="1241" t="s">
        <v>1531</v>
      </c>
      <c r="H2" s="1241" t="s">
        <v>1532</v>
      </c>
      <c r="I2" s="1241" t="s">
        <v>1533</v>
      </c>
    </row>
    <row r="3" spans="1:9" ht="15.75">
      <c r="A3" s="1241">
        <v>2002</v>
      </c>
      <c r="B3" s="1240"/>
      <c r="C3" s="1240"/>
      <c r="D3" s="1240">
        <v>31852</v>
      </c>
      <c r="E3" s="1240"/>
      <c r="F3" s="1240">
        <v>94100</v>
      </c>
      <c r="G3" s="1240"/>
      <c r="H3" s="1240">
        <v>125952</v>
      </c>
      <c r="I3" s="1240"/>
    </row>
    <row r="4" spans="1:9" ht="15.75">
      <c r="A4" s="1241">
        <v>2003</v>
      </c>
      <c r="B4" s="1240"/>
      <c r="C4" s="1240"/>
      <c r="D4" s="1240">
        <v>32448</v>
      </c>
      <c r="E4" s="1244">
        <f t="shared" ref="E4:E28" si="0">((D4-D3)/D3)</f>
        <v>1.8711540876554064E-2</v>
      </c>
      <c r="F4" s="1240">
        <v>104624</v>
      </c>
      <c r="G4" s="1244">
        <f t="shared" ref="G4:G28" si="1">(F4-F3)/F3</f>
        <v>0.1118384697130712</v>
      </c>
      <c r="H4" s="1240">
        <v>137072</v>
      </c>
      <c r="I4" s="1244">
        <f t="shared" ref="I4:I28" si="2">(H4-H3)/H3</f>
        <v>8.828760162601626E-2</v>
      </c>
    </row>
    <row r="5" spans="1:9" ht="15.75">
      <c r="A5" s="1241">
        <v>2004</v>
      </c>
      <c r="B5" s="1240"/>
      <c r="C5" s="1240"/>
      <c r="D5" s="1240">
        <v>37199</v>
      </c>
      <c r="E5" s="1244">
        <f t="shared" si="0"/>
        <v>0.1464188856015779</v>
      </c>
      <c r="F5" s="1240">
        <v>116287</v>
      </c>
      <c r="G5" s="1244">
        <f t="shared" si="1"/>
        <v>0.11147537849824132</v>
      </c>
      <c r="H5" s="1240">
        <v>153486</v>
      </c>
      <c r="I5" s="1244">
        <f t="shared" si="2"/>
        <v>0.11974728609781721</v>
      </c>
    </row>
    <row r="6" spans="1:9" ht="15.75">
      <c r="A6" s="1241">
        <v>2005</v>
      </c>
      <c r="B6" s="1240">
        <v>589146</v>
      </c>
      <c r="C6" s="1240" t="s">
        <v>1365</v>
      </c>
      <c r="D6" s="1240">
        <v>42502</v>
      </c>
      <c r="E6" s="1244">
        <f t="shared" si="0"/>
        <v>0.14255759563429124</v>
      </c>
      <c r="F6" s="1240">
        <v>125270</v>
      </c>
      <c r="G6" s="1244">
        <f t="shared" si="1"/>
        <v>7.7248531650141464E-2</v>
      </c>
      <c r="H6" s="1240">
        <v>167772</v>
      </c>
      <c r="I6" s="1244">
        <f t="shared" si="2"/>
        <v>9.3076893006528286E-2</v>
      </c>
    </row>
    <row r="7" spans="1:9" ht="15.75">
      <c r="A7" s="1241">
        <v>2006</v>
      </c>
      <c r="B7" s="1240">
        <v>657178</v>
      </c>
      <c r="C7" s="1244">
        <f t="shared" ref="C7:C28" si="3">((B7-B6)/B6)</f>
        <v>0.11547562064411877</v>
      </c>
      <c r="D7" s="1240">
        <v>46566</v>
      </c>
      <c r="E7" s="1244">
        <f t="shared" si="0"/>
        <v>9.5619029692720348E-2</v>
      </c>
      <c r="F7" s="1240">
        <v>131660</v>
      </c>
      <c r="G7" s="1244">
        <f t="shared" si="1"/>
        <v>5.1009818791410554E-2</v>
      </c>
      <c r="H7" s="1240">
        <v>178226</v>
      </c>
      <c r="I7" s="1244">
        <f t="shared" si="2"/>
        <v>6.2310755072360106E-2</v>
      </c>
    </row>
    <row r="8" spans="1:9" ht="15.75">
      <c r="A8" s="1241">
        <v>2007</v>
      </c>
      <c r="B8" s="1240">
        <v>725004</v>
      </c>
      <c r="C8" s="1244">
        <f t="shared" si="3"/>
        <v>0.10320795887872083</v>
      </c>
      <c r="D8" s="1240">
        <v>50569</v>
      </c>
      <c r="E8" s="1244">
        <f t="shared" si="0"/>
        <v>8.5964008074560838E-2</v>
      </c>
      <c r="F8" s="1240">
        <v>132545</v>
      </c>
      <c r="G8" s="1244">
        <f t="shared" si="1"/>
        <v>6.7218593346498557E-3</v>
      </c>
      <c r="H8" s="1240">
        <v>183114</v>
      </c>
      <c r="I8" s="1244">
        <f t="shared" si="2"/>
        <v>2.7425852569209881E-2</v>
      </c>
    </row>
    <row r="9" spans="1:9" ht="15.75">
      <c r="A9" s="1241">
        <v>2008</v>
      </c>
      <c r="B9" s="1240">
        <v>897750</v>
      </c>
      <c r="C9" s="1244">
        <f t="shared" si="3"/>
        <v>0.23826903023983315</v>
      </c>
      <c r="D9" s="1240">
        <v>55901</v>
      </c>
      <c r="E9" s="1244">
        <f t="shared" si="0"/>
        <v>0.10544009175581878</v>
      </c>
      <c r="F9" s="1240">
        <v>134823</v>
      </c>
      <c r="G9" s="1244">
        <f t="shared" si="1"/>
        <v>1.7186615866309554E-2</v>
      </c>
      <c r="H9" s="1240">
        <v>190724</v>
      </c>
      <c r="I9" s="1244">
        <f t="shared" si="2"/>
        <v>4.1558810358574443E-2</v>
      </c>
    </row>
    <row r="10" spans="1:9" ht="15.75">
      <c r="A10" s="1241">
        <v>2009</v>
      </c>
      <c r="B10" s="1240">
        <v>560867</v>
      </c>
      <c r="C10" s="1244">
        <f t="shared" si="3"/>
        <v>-0.37525257588415484</v>
      </c>
      <c r="D10" s="1240">
        <v>44854</v>
      </c>
      <c r="E10" s="1244">
        <f t="shared" si="0"/>
        <v>-0.19761721614997943</v>
      </c>
      <c r="F10" s="1240">
        <v>114102</v>
      </c>
      <c r="G10" s="1244">
        <f t="shared" si="1"/>
        <v>-0.15369039407222804</v>
      </c>
      <c r="H10" s="1240">
        <v>158956</v>
      </c>
      <c r="I10" s="1244">
        <f t="shared" si="2"/>
        <v>-0.16656529854659088</v>
      </c>
    </row>
    <row r="11" spans="1:9" ht="15.75">
      <c r="A11" s="1241">
        <v>2010</v>
      </c>
      <c r="B11" s="1240">
        <v>706722</v>
      </c>
      <c r="C11" s="1244">
        <f t="shared" si="3"/>
        <v>0.26005273977609666</v>
      </c>
      <c r="D11" s="1240">
        <v>54424</v>
      </c>
      <c r="E11" s="1244">
        <f t="shared" si="0"/>
        <v>0.21335889775716771</v>
      </c>
      <c r="F11" s="1240">
        <v>122171</v>
      </c>
      <c r="G11" s="1244">
        <f t="shared" si="1"/>
        <v>7.0717428265937493E-2</v>
      </c>
      <c r="H11" s="1240">
        <v>176594</v>
      </c>
      <c r="I11" s="1244">
        <f t="shared" si="2"/>
        <v>0.11096152394373286</v>
      </c>
    </row>
    <row r="12" spans="1:9" ht="15.75">
      <c r="A12" s="1241">
        <v>2011</v>
      </c>
      <c r="B12" s="1240">
        <v>933407</v>
      </c>
      <c r="C12" s="1244">
        <f t="shared" si="3"/>
        <v>0.32075554461301614</v>
      </c>
      <c r="D12" s="1240">
        <v>59434</v>
      </c>
      <c r="E12" s="1244">
        <f t="shared" si="0"/>
        <v>9.2054975745994416E-2</v>
      </c>
      <c r="F12" s="1240">
        <v>131127</v>
      </c>
      <c r="G12" s="1244">
        <f t="shared" si="1"/>
        <v>7.3307085969665467E-2</v>
      </c>
      <c r="H12" s="1240">
        <v>190561</v>
      </c>
      <c r="I12" s="1244">
        <f t="shared" si="2"/>
        <v>7.9091022345040035E-2</v>
      </c>
    </row>
    <row r="13" spans="1:9" ht="15.75">
      <c r="A13" s="1241">
        <v>2012</v>
      </c>
      <c r="B13" s="1240">
        <v>926777</v>
      </c>
      <c r="C13" s="1244">
        <f t="shared" si="3"/>
        <v>-7.103010798076295E-3</v>
      </c>
      <c r="D13" s="1240">
        <v>59328</v>
      </c>
      <c r="E13" s="1244">
        <f t="shared" si="0"/>
        <v>-1.7834909311168691E-3</v>
      </c>
      <c r="F13" s="1240">
        <v>130542</v>
      </c>
      <c r="G13" s="1244">
        <f t="shared" si="1"/>
        <v>-4.4613237548331011E-3</v>
      </c>
      <c r="H13" s="1240">
        <v>189870</v>
      </c>
      <c r="I13" s="1244">
        <f t="shared" si="2"/>
        <v>-3.6261354631850168E-3</v>
      </c>
    </row>
    <row r="14" spans="1:9" ht="15.75">
      <c r="A14" s="1241">
        <v>2013</v>
      </c>
      <c r="B14" s="1240">
        <v>915282</v>
      </c>
      <c r="C14" s="1244">
        <f t="shared" si="3"/>
        <v>-1.2403199475170403E-2</v>
      </c>
      <c r="D14" s="1240">
        <v>59173</v>
      </c>
      <c r="E14" s="1244">
        <f t="shared" si="0"/>
        <v>-2.6125943905070119E-3</v>
      </c>
      <c r="F14" s="1240">
        <v>131983</v>
      </c>
      <c r="G14" s="1244">
        <f t="shared" si="1"/>
        <v>1.1038592943267301E-2</v>
      </c>
      <c r="H14" s="1240">
        <v>191156</v>
      </c>
      <c r="I14" s="1244">
        <f t="shared" si="2"/>
        <v>6.7730552483278028E-3</v>
      </c>
    </row>
    <row r="15" spans="1:9" ht="15.75">
      <c r="A15" s="1241">
        <v>2014</v>
      </c>
      <c r="B15" s="1240">
        <v>826387</v>
      </c>
      <c r="C15" s="1244">
        <f t="shared" si="3"/>
        <v>-9.712307245198748E-2</v>
      </c>
      <c r="D15" s="1240">
        <v>58914</v>
      </c>
      <c r="E15" s="1244">
        <f t="shared" si="0"/>
        <v>-4.3769962651885154E-3</v>
      </c>
      <c r="F15" s="1240">
        <v>136657</v>
      </c>
      <c r="G15" s="1244">
        <f t="shared" si="1"/>
        <v>3.5413651758180981E-2</v>
      </c>
      <c r="H15" s="1240">
        <v>195571</v>
      </c>
      <c r="I15" s="1244">
        <f t="shared" si="2"/>
        <v>2.3096319236644416E-2</v>
      </c>
    </row>
    <row r="16" spans="1:9" ht="15.75">
      <c r="A16" s="1241">
        <v>2015</v>
      </c>
      <c r="B16" s="1240">
        <v>512675</v>
      </c>
      <c r="C16" s="1244">
        <f t="shared" si="3"/>
        <v>-0.37961875005294132</v>
      </c>
      <c r="D16" s="1240">
        <v>55984</v>
      </c>
      <c r="E16" s="1244">
        <f t="shared" si="0"/>
        <v>-4.9733509861832503E-2</v>
      </c>
      <c r="F16" s="1240">
        <v>137389</v>
      </c>
      <c r="G16" s="1244">
        <f t="shared" si="1"/>
        <v>5.3564764336989689E-3</v>
      </c>
      <c r="H16" s="1240">
        <v>193373</v>
      </c>
      <c r="I16" s="1244">
        <f t="shared" si="2"/>
        <v>-1.1238885110778182E-2</v>
      </c>
    </row>
    <row r="17" spans="1:9" ht="15.75">
      <c r="A17" s="1241">
        <v>2016</v>
      </c>
      <c r="B17" s="1240">
        <v>424436</v>
      </c>
      <c r="C17" s="1244">
        <f t="shared" si="3"/>
        <v>-0.17211488759935631</v>
      </c>
      <c r="D17" s="1240">
        <v>50671</v>
      </c>
      <c r="E17" s="1244">
        <f t="shared" si="0"/>
        <v>-9.4902114889968567E-2</v>
      </c>
      <c r="F17" s="1240">
        <v>139908</v>
      </c>
      <c r="G17" s="1244">
        <f t="shared" si="1"/>
        <v>1.8334801184956583E-2</v>
      </c>
      <c r="H17" s="1240">
        <v>190579</v>
      </c>
      <c r="I17" s="1244">
        <f t="shared" si="2"/>
        <v>-1.4448759651037115E-2</v>
      </c>
    </row>
    <row r="18" spans="1:9" ht="15.75">
      <c r="A18" s="1241">
        <v>2017</v>
      </c>
      <c r="B18" s="1240">
        <v>539652</v>
      </c>
      <c r="C18" s="1244">
        <f t="shared" si="3"/>
        <v>0.2714567096099294</v>
      </c>
      <c r="D18" s="1240">
        <v>50281</v>
      </c>
      <c r="E18" s="1244">
        <f t="shared" si="0"/>
        <v>-7.696710149789821E-3</v>
      </c>
      <c r="F18" s="1240">
        <v>145313</v>
      </c>
      <c r="G18" s="1244">
        <f t="shared" si="1"/>
        <v>3.8632529948251705E-2</v>
      </c>
      <c r="H18" s="1240">
        <v>195594</v>
      </c>
      <c r="I18" s="1244">
        <f t="shared" si="2"/>
        <v>2.6314546723406041E-2</v>
      </c>
    </row>
    <row r="19" spans="1:9" ht="15.75">
      <c r="A19" s="1241">
        <v>2018</v>
      </c>
      <c r="B19" s="1240">
        <v>654608</v>
      </c>
      <c r="C19" s="1244">
        <f t="shared" si="3"/>
        <v>0.21301876023807936</v>
      </c>
      <c r="D19" s="1240">
        <v>54854</v>
      </c>
      <c r="E19" s="1244">
        <f t="shared" si="0"/>
        <v>9.0948867365406416E-2</v>
      </c>
      <c r="F19" s="1240">
        <v>150654</v>
      </c>
      <c r="G19" s="1244">
        <f t="shared" si="1"/>
        <v>3.6755142347897299E-2</v>
      </c>
      <c r="H19" s="1240">
        <v>205508</v>
      </c>
      <c r="I19" s="1244">
        <f t="shared" si="2"/>
        <v>5.0686626379132287E-2</v>
      </c>
    </row>
    <row r="20" spans="1:9" ht="15.75">
      <c r="A20" s="1241">
        <v>2019</v>
      </c>
      <c r="B20" s="1240">
        <v>563515</v>
      </c>
      <c r="C20" s="1244">
        <f t="shared" si="3"/>
        <v>-0.13915656392833572</v>
      </c>
      <c r="D20" s="1240">
        <v>54636</v>
      </c>
      <c r="E20" s="1244">
        <f t="shared" si="0"/>
        <v>-3.9741860210741244E-3</v>
      </c>
      <c r="F20" s="1240">
        <v>156444</v>
      </c>
      <c r="G20" s="1244">
        <f t="shared" si="1"/>
        <v>3.8432434585208494E-2</v>
      </c>
      <c r="H20" s="1240">
        <v>211080</v>
      </c>
      <c r="I20" s="1244">
        <f t="shared" si="2"/>
        <v>2.7113299725558128E-2</v>
      </c>
    </row>
    <row r="21" spans="1:9" ht="15.75">
      <c r="A21" s="1241">
        <v>2020</v>
      </c>
      <c r="B21" s="1240">
        <v>480691</v>
      </c>
      <c r="C21" s="1244">
        <f t="shared" si="3"/>
        <v>-0.14697745401630835</v>
      </c>
      <c r="D21" s="1240">
        <v>21561</v>
      </c>
      <c r="E21" s="1244">
        <f t="shared" si="0"/>
        <v>-0.60537008565780803</v>
      </c>
      <c r="F21" s="1240">
        <v>66590</v>
      </c>
      <c r="G21" s="1244">
        <f t="shared" si="1"/>
        <v>-0.57435248395592031</v>
      </c>
      <c r="H21" s="1240">
        <v>88151</v>
      </c>
      <c r="I21" s="1244">
        <f t="shared" si="2"/>
        <v>-0.5823810877392458</v>
      </c>
    </row>
    <row r="22" spans="1:9" ht="15.75">
      <c r="A22" s="1241">
        <v>2021</v>
      </c>
      <c r="B22" s="1240">
        <v>574647</v>
      </c>
      <c r="C22" s="1244">
        <f t="shared" si="3"/>
        <v>0.19546028529762363</v>
      </c>
      <c r="D22" s="1240">
        <v>30581</v>
      </c>
      <c r="E22" s="1244">
        <f t="shared" si="0"/>
        <v>0.41834794304531331</v>
      </c>
      <c r="F22" s="1240">
        <v>106312</v>
      </c>
      <c r="G22" s="1244">
        <f t="shared" si="1"/>
        <v>0.59651599339240124</v>
      </c>
      <c r="H22" s="1240">
        <v>136892</v>
      </c>
      <c r="I22" s="1244">
        <f t="shared" si="2"/>
        <v>0.55292622885730169</v>
      </c>
    </row>
    <row r="23" spans="1:9" ht="15.75">
      <c r="A23" s="1242">
        <v>2022</v>
      </c>
      <c r="B23" s="1243">
        <v>589316</v>
      </c>
      <c r="C23" s="1245">
        <f t="shared" si="3"/>
        <v>2.5526975691163446E-2</v>
      </c>
      <c r="D23" s="1243">
        <v>44204</v>
      </c>
      <c r="E23" s="1245">
        <f t="shared" si="0"/>
        <v>0.44547267911448285</v>
      </c>
      <c r="F23" s="1243">
        <v>138925</v>
      </c>
      <c r="G23" s="1245">
        <f t="shared" si="1"/>
        <v>0.30676687485890586</v>
      </c>
      <c r="H23" s="1243">
        <v>183129</v>
      </c>
      <c r="I23" s="1245">
        <f t="shared" si="2"/>
        <v>0.33776261578470618</v>
      </c>
    </row>
    <row r="24" spans="1:9" ht="15.75">
      <c r="A24" s="1242">
        <v>2023</v>
      </c>
      <c r="B24" s="1243">
        <v>592747</v>
      </c>
      <c r="C24" s="1245">
        <f t="shared" si="3"/>
        <v>5.8220038145918316E-3</v>
      </c>
      <c r="D24" s="1243">
        <v>50338</v>
      </c>
      <c r="E24" s="1245">
        <f t="shared" si="0"/>
        <v>0.13876572255904443</v>
      </c>
      <c r="F24" s="1243">
        <v>149519</v>
      </c>
      <c r="G24" s="1245">
        <f t="shared" si="1"/>
        <v>7.6256973186971388E-2</v>
      </c>
      <c r="H24" s="1243">
        <v>199857</v>
      </c>
      <c r="I24" s="1245">
        <f t="shared" si="2"/>
        <v>9.1345445014170343E-2</v>
      </c>
    </row>
    <row r="25" spans="1:9" ht="15.75">
      <c r="A25" s="1242">
        <v>2024</v>
      </c>
      <c r="B25" s="1243">
        <v>594875</v>
      </c>
      <c r="C25" s="1245">
        <f t="shared" si="3"/>
        <v>3.5900645638020944E-3</v>
      </c>
      <c r="D25" s="1243">
        <v>52517</v>
      </c>
      <c r="E25" s="1245">
        <f t="shared" si="0"/>
        <v>4.3287377329254244E-2</v>
      </c>
      <c r="F25" s="1243">
        <v>152818</v>
      </c>
      <c r="G25" s="1245">
        <f t="shared" si="1"/>
        <v>2.2064085500839357E-2</v>
      </c>
      <c r="H25" s="1243">
        <v>205334</v>
      </c>
      <c r="I25" s="1245">
        <f t="shared" si="2"/>
        <v>2.7404594284913715E-2</v>
      </c>
    </row>
    <row r="26" spans="1:9" ht="15.75">
      <c r="A26" s="1242">
        <v>2025</v>
      </c>
      <c r="B26" s="1243">
        <v>601991</v>
      </c>
      <c r="C26" s="1245">
        <f t="shared" si="3"/>
        <v>1.1962176927926034E-2</v>
      </c>
      <c r="D26" s="1243">
        <v>54102</v>
      </c>
      <c r="E26" s="1245">
        <f t="shared" si="0"/>
        <v>3.0180703391282822E-2</v>
      </c>
      <c r="F26" s="1243">
        <v>155977</v>
      </c>
      <c r="G26" s="1245">
        <f t="shared" si="1"/>
        <v>2.0671648627779451E-2</v>
      </c>
      <c r="H26" s="1243">
        <v>210079</v>
      </c>
      <c r="I26" s="1245">
        <f t="shared" si="2"/>
        <v>2.3108691205548034E-2</v>
      </c>
    </row>
    <row r="27" spans="1:9" ht="15.75">
      <c r="A27" s="1242">
        <v>2026</v>
      </c>
      <c r="B27" s="1243">
        <v>610118</v>
      </c>
      <c r="C27" s="1245">
        <f t="shared" si="3"/>
        <v>1.3500201830259921E-2</v>
      </c>
      <c r="D27" s="1243">
        <v>55583</v>
      </c>
      <c r="E27" s="1245">
        <f t="shared" si="0"/>
        <v>2.7374219067686962E-2</v>
      </c>
      <c r="F27" s="1243">
        <v>159076</v>
      </c>
      <c r="G27" s="1245">
        <f t="shared" si="1"/>
        <v>1.9868313918077665E-2</v>
      </c>
      <c r="H27" s="1243">
        <v>214660</v>
      </c>
      <c r="I27" s="1245">
        <f t="shared" si="2"/>
        <v>2.1806082473736072E-2</v>
      </c>
    </row>
    <row r="28" spans="1:9" ht="15.75">
      <c r="A28" s="1242">
        <v>2027</v>
      </c>
      <c r="B28" s="1243">
        <v>617080</v>
      </c>
      <c r="C28" s="1245">
        <f t="shared" si="3"/>
        <v>1.1410907398240995E-2</v>
      </c>
      <c r="D28" s="1243">
        <v>56972</v>
      </c>
      <c r="E28" s="1245">
        <f t="shared" si="0"/>
        <v>2.4989655110375476E-2</v>
      </c>
      <c r="F28" s="1243">
        <v>161895</v>
      </c>
      <c r="G28" s="1245">
        <f t="shared" si="1"/>
        <v>1.7721089290653524E-2</v>
      </c>
      <c r="H28" s="1243">
        <v>218867</v>
      </c>
      <c r="I28" s="1245">
        <f t="shared" si="2"/>
        <v>1.9598434733997951E-2</v>
      </c>
    </row>
  </sheetData>
  <mergeCells count="4">
    <mergeCell ref="B1:C1"/>
    <mergeCell ref="D1:E1"/>
    <mergeCell ref="F1:G1"/>
    <mergeCell ref="H1:I1"/>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23"/>
  <dimension ref="A1:D1"/>
  <sheetViews>
    <sheetView workbookViewId="0">
      <selection sqref="A1:D1"/>
    </sheetView>
  </sheetViews>
  <sheetFormatPr defaultColWidth="11.28515625" defaultRowHeight="15"/>
  <sheetData>
    <row r="1" spans="1:4">
      <c r="A1" s="1"/>
      <c r="B1" s="1"/>
      <c r="C1" s="1"/>
      <c r="D1" s="1"/>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FdsFormulaCache xmlns="urn:fdsformulacache" version="2" timestamp="1638157053"><![CDATA[{"DAL-US^JULIAN(FG_PRICE(NOW,-1AY,W).DATES)":[44526,44519,44512,44505,44498,44491,44484,44477,44470,44463,44456,44449,44442,44435,44428,44421,44414,44407,44400,44393,44386,44379,44372,44365,44358,44351,44344,44337,44330,44323,44316,44309,44302,44295,44287,44281,44274,44267,44260,44253,44246,44239,44232,44225,44218,44211,44204,44196,44189,44183,44176,44169,44162],"DAL-US^FG_COMPANY_NAME":"Delta Air Lines, Inc.","SP50^FG_COMPANY_NAME":"S&P 500","FI1320US^FG_COMPANY_NAME":"United States / Telecommunications Equipment -IND","DAL-US^FG_PRICE(NOW,-1AY,W)":[36.38,39.69,42.22,44.29,39.13,39.74,40.99,43.38,45.38,43.53,40.11,39.36,40.25,41.52,38.12,39.9,40.32,39.9,40.41,40.06,42.92,44.15,44.43,44.96,46.5,45.98,47.68,45.21,46.31,46.11,46.92,45.8,46.64,49.27,48.83,47.66,49.0,49.83,46.21,47.94,45.67,43.29,41.15,37.96,40.0,39.98,40.02,40.21,39.73,40.68,41.74,42.36,41.06],"SP50^FG_PRICE(NOW,-1AY,W)":[4594.62,4697.96,4682.85,4697.53,4605.38,4544.9,4471.37,4391.34,4357.04,4455.48,4432.99,4458.58,4535.43,4509.37,4441.67,4468.0,4436.52,4395.26,4411.79,4327.16,4369.55,4352.34,4280.7,4166.45,4247.44,4229.89,4204.11,4155.86,4173.85,4232.6,4181.17,4180.17,4185.47,4128.8,4019.87,3974.54,3913.1,3943.34,3841.94,3811.15,3906.71,3934.83,3886.83,3714.24,3841.47,3768.25,3824.68,3756.07,3703.06,3709.41,3663.46,3699.12,3638.35],"FI1320US^FG_PRICE(NOW,-1AY,W)":[326.09116,323.9831,302.4864,304.66522,297.85107,296.0026,288.81335,284.69247,284.49567,293.3291,291.5757,298.16544,308.46146,298.11862,296.6703,299.1947,293.61282,293.44592,297.61154,292.67938,290.90802,281.64932,268.66522,262.8277,257.88318,255.16832,252.48021,253.24666,254.4189,260.597,262.74677,267.7242,267.80646,265.92474,247.40411,244.13794,241.523,243.31004,243.30214,244.05312,261.12354,271.66605,273.3269,265.26083,278.83524,256.2744,265.03604,265.63043,263.93146,254.07156,245.79385,247.10797,234.96002],"0^FG_COMPANY_NAME":null,"DAL-US^FG_PRICE(0)":36.38,"DAL-US^FG_MKT_VALUE(0)":25402.154,"DAL-US^FF_ENTRPR_VAL(ANN_R,0)":46833.56,"DAL-US^FF_COM_SHS_OUT_EPS_BASIC(ANN_R,0)":636.0,"DAL-US^FF_SALES(ANN_R,0)":17095.0,"DAL-US^FE_ESTIMATE(SALES,MEDIAN,ANN_ROLL,+5,NOW,,,'')":null,"DAL-US^FE_ESTIMATE(EBIT,MEDIAN,ANN_ROLL,+5,NOW,,,'')":null,"DAL-US^FE_ESTIMATE(DEP_AMORT_EXP,MEDIAN,ANN_ROLL,+5,NOW,,,'')":null,"DAL-US^FE_ESTIMATE(EBITDA,MEDIAN,ANN_ROLL,+5,NOW,,,'')":null,"DAL-US^FE_ESTIMATE(EPS,MEDIAN,ANN_ROLL,+5,NOW,,,'')":null,"DAL-US^P_BETA_LOCIDX(-1AY,NOW)":1.1823977,"DAL-US^P_BETA_LOCIDX(-2AY,NOW)":1.3011156,"DAL-US^P_BETA_LOCIDX(-3AY,NOW)":1.2701124,"DAL-US^P_BETA_LOCIDX(-5AY,NOW)":1.2424848,"DAL-US^P_BETA_LOCIDX(-10AY,NOW)":1.2452976,"^FF_ARPT_SERIES('PAYMENTS FOR TAXES RELATED TO NET SHARE SETTLEMENT OF EQUITY AWARDS',ANN_R,-10AY,0,B,\"CF\")":null,"DAL-US^FF_ARPT_SERIES('PAYMENTS FOR TAXES RELATED TO NET SHARE SETTLEMENT OF EQUITY AWARDS',ANN_R,-10AY,0,B,\"CF\")":null,"^FF_ARPT_SERIES('SHARE-BASED COMPENSATION EXPENSE',ANN_R,-10AY,0,B,\"CF\")":null,"DAL-US^FF_ARPT_SERIES('SHARE-BASED COMPENSATION EXPENSE',ANN_R,-10AY,0,B,\"CF\")":null,"DAL-US^FG_BUS_DESC_BRIEF()[0:26]":["Delta Air Lines, Inc. engages in the provision of scheduled air","transportation for passengers and cargo. It operates through the Airline","and Refinery segments. The Airline segment provides scheduled air","transportation for passengers and cargo. The Refinery segment consists of","jet fuel and non-jet fuel products. The company was founded by Collett","Everman Woolman in 1928 and is headquartered in Atlanta, GA.",null,null,null,null,null,null,null,null,null,null,null,null,null,null,null,null,null,null,null,null,null],"DAL-US^FG_GEO_FY(0FY)":"12/2020","DAL-US^FG_GEO_NAMES(0FY)[0:4]":["United States","Atlantic","Latin America","Pacific",null],"DAL-US^FG_PROD_FY(0FY)":"12/2020","DAL-US^FG_PROD_NAMES(0FY)":["Airline","Refinery"],"DAL-US^FG_ADDRESS_L1+\", \"+FG_ADDRESS_L2":"Hartsfield-Jackson Atlanta, Atlanta, Georgia 30354 US","DAL-US^FG_EMPLOYEES":74000.0,"DUMMY^JULIAN(TODAY)":44526,"DAL-US^FG_GEO_REVS(0FY)[0:4]":[13339.0,1649.0,1321.0,786.0,null],"DAL-US^FG_GEO_REVS_PCT(0FY)[0:4]/100":[0.7802866,0.09646095,0.077274054,0.045978356,null],"DAL-US^FG_GEO_OPER(0FY)[0:4]/100":[null,null,null,null,null],"DAL-US^FG_GEO_OPER_PCT(0FY)[0:4]/100":[null,null,null,null,null],"DAL-US^FG_PROD_REVS(0FY)":[15945.0,3143.0],"DAL-US^FG_PROD_REVS_PCT(0FY)/100":[0.8353416,0.16465843],"DAL-US^FG_PROD_OPER(0FY)":[-12253.0,-216.0],"DAL-US^FG_PROD_OPER_PCT(0FY)/100":[0.9826771,0.017322961],"SP50^JULIAN(FG_PRICE(NOW,-10AY).DATES)":[44526,44524,44523,44522,44519,44518,44517,44516,44515,44512,44511,44510,44509,44508,44505,44504,44503,44502,44501,44498,44497,44496,44495,44494,44491,44490,44489,44488,44487,44484,44483,44482,44481,44480,44477,44476,44475,44474,44473,44470,44469,44468,44467,44466,44463,44462,44461,44460,44459,44456,44455,44454,44453,44452,44449,44448,44447,44446,44442,44441,44440,44439,44438,44435,44434,44433,44432,44431,44428,44427,44426,44425,44424,44421,44420,44419,44418,44417,44414,44413,44412,44411,44410,44407,44406,44405,44404,44403,44400,44399,44398,44397,44396,44393,44392,44391,44390,44389,44386,44385,44384,44383,44379,44378,44377,44376,44375,44372,44371,44370,44369,44368,44365,44364,44363,44362,44361,44358,44357,44356,44355,44354,44351,44350,44349,44348,44344,44343,44342,44341,44340,44337,44336,44335,44334,44333,44330,44329,44328,44327,44326,44323,44322,44321,44320,44319,44316,44315,44314,44313,44312,44309,44308,44307,44306,44305,44302,44301,44300,44299,44298,44295,44294,44293,44292,44291,44287,44286,44285,44284,44281,44280,44279,44278,44277,44274,44273,44272,44271,44270,44267,44266,44265,44264,44263,44260,44259,44258,44257,44256,44253,44252,44251,44250,44249,44246,44245,44244,44243,44239,44238,44237,44236,44235,44232,44231,44230,44229,44228,44225,44224,44223,44222,44221,44218,44217,44216,44215,44211,44210,44209,44208,44207,44204,44203,44202,44201,44200,44196,44195,44194,44193,44189,44188,44187,44186,44183,44182,44181,44180,44179,44176,44175,44174,44173,44172,44169,44168,44167,44166,44165,44162,44160,44159,44158,44155,44154,44153,44152,44151,44148,44147,44146,44145,44144,44141,44140,44139,44138,44137,44134,44133,44132,44131,44130,44127,44126,44125,44124,44123,44120,44119,44118,44117,44116,44113,44112,44111,44110,44109,44106,44105,44104,44103,44102,44099,44098,44097,44096,44095,44092,44091,44090,44089,44088,44085,44084,44083,44082,44078,44077,44076,44075,44074,44071,44070,44069,44068,44067,44064,44063,44062,44061,44060,44057,44056,44055,44054,44053,44050,44049,44048,44047,44046,44043,44042,44041,44040,44039,44036,44035,44034,44033,44032,44029,44028,44027,44026,44025,44022,44021,44020,44019,44018,44014,44013,44012,44011,44008,44007,44006,44005,44004,44001,44000,43999,43998,43997,43994,43993,43992,43991,43990,43987,43986,43985,43984,43983,43980,43979,43978,43977,43973,43972,43971,43970,43969,43966,43965,43964,43963,43962,43959,43958,43957,43956,43955,43952,43951,43950,43949,43948,43945,43944,43943,43942,43941,43938,43937,43936,43935,43934,43930,43929,43928,43927,43924,43923,43922,43921,43920,43917,43916,43915,43914,43913,43910,43909,43908,43907,43906,43903,43902,43901,43900,43899,43896,43895,43894,43893,43892,43889,43888,43887,43886,43885,43882,43881,43880,43879,43875,43874,43873,43872,43871,43868,43867,43866,43865,43864,43861,43860,43859,43858,43857,43854,43853,43852,43851,43847,43846,43845,43844,43843,43840,43839,43838,43837,43836,43833,43832,43830,43829,43826,43825,43823,43822,43819,43818,43817,43816,43815,43812,43811,43810,43809,43808,43805,43804,43803,43802,43801,43798,43796,43795,43794,43791,43790,43789,43788,43787,43784,43783,43782,43781,43780,43777,43776,43775,43774,43773,43770,43769,43768,43767,43766,43763,43762,43761,43760,43759,43756,43755,43754,43753,43752,43749,43748,43747,43746,43745,43742,43741,43740,43739,43738,43735,43734,43733,43732,43731,43728,43727,43726,43725,43724,43721,43720,43719,43718,43717,43714,43713,43712,43711,43707,43706,43705,43704,43703,43700,43699,43698,43697,43696,43693,43692,43691,43690,43689,43686,43685,43684,43683,43682,43679,43678,43677,43676,43675,43672,43671,43670,43669,43668,43665,43664,43663,43662,43661,43658,43657,43656,43655,43654,43651,43649,43648,43647,43644,43643,43642,43641,43640,43637,43636,43635,43634,43633,43630,43629,43628,43627,43626,43623,43622,43621,43620,43619,43616,43615,43614,43613,43609,43608,43607,43606,43605,43602,43601,43600,43599,43598,43595,43594,43593,43592,43591,43588,43587,43586,43585,43584,43581,43580,43579,43578,43577,43573,43572,43571,43570,43567,43566,43565,43564,43563,43560,43559,43558,43557,43556,43553,43552,43551,43550,43549,43546,43545,43544,43543,43542,43539,43538,43537,43536,43535,43532,43531,43530,43529,43528,43525,43524,43523,43522,43521,43518,43517,43516,43515,43511,43510,43509,43508,43507,43504,43503,43502,43501,43500,43497,43496,43495,43494,43493,43490,43489,43488,43487,43483,43482,43481,43480,43479,43476,43475,43474,43473,43472,43469,43468,43467,43465,43462,43461,43460,43458,43455,43454,43453,43452,43451,43448,43447,43446,43445,43444,43441,43440,43438,43437,43434,43433,43432,43431,43430,43427,43425,43424,43423,43420,43419,43418,43417,43416,43413,43412,43411,43410,43409,43406,43405,43404,43403,43402,43399,43398,43397,43396,43395,43392,43391,43390,43389,43388,43385,43384,43383,43382,43381,43378,43377,43376,43375,43374,43371,43370,43369,43368,43367,43364,43363,43362,43361,43360,43357,43356,43355,43354,43353,43350,43349,43348,43347,43343,43342,43341,43340,43339,43336,43335,43334,43333,43332,43329,43328,43327,43326,43325,43322,43321,43320,43319,43318,43315,43314,43313,43312,43311,43308,43307,43306,43305,43304,43301,43300,43299,43298,43297,43294,43293,43292,43291,43290,43287,43286,43284,43283,43280,43279,43278,43277,43276,43273,43272,43271,43270,43269,43266,43265,43264,43263,43262,43259,43258,43257,43256,43255,43252,43251,43250,43249,43245,43244,43243,43242,43241,43238,43237,43236,43235,43234,43231,43230,43229,43228,43227,43224,43223,43222,43221,43220,43217,43216,43215,43214,43213,43210,43209,43208,43207,43206,43203,43202,43201,43200,43199,43196,43195,43194,43193,43192,43188,43187,43186,43185,43182,43181,43180,43179,43178,43175,43174,43173,43172,43171,43168,43167,43166,43165,43164,43161,43160,43159,43158,43157,43154,43153,43152,43151,43147,43146,43145,43144,43143,43140,43139,43138,43137,43136,43133,43132,43131,43130,43129,43126,43125,43124,43123,43122,43119,43118,43117,43116,43112,43111,43110,43109,43108,43105,43104,43103,43102,43098,43097,43096,43095,43091,43090,43089,43088,43087,43084,43083,43082,43081,43080,43077,43076,43075,43074,43073,43070,43069,43068,43067,43066,43063,43061,43060,43059,43056,43055,43054,43053,43052,43049,43048,43047,43046,43045,43042,43041,43040,43039,43038,43035,43034,43033,43032,43031,43028,43027,43026,43025,43024,43021,43020,43019,43018,43017,43014,43013,43012,43011,43010,43007,43006,43005,43004,43003,43000,42999,42998,42997,42996,42993,42992,42991,42990,42989,42986,42985,42984,42983,42979,42978,42977,42976,42975,42972,42971,42970,42969,42968,42965,42964,42963,42962,42961,42958,42957,42956,42955,42954,42951,42950,42949,42948,42947,42944,42943,42942,42941,42940,42937,42936,42935,42934,42933,42930,42929,42928,42927,42926,42923,42922,42921,42919,42916,42915,42914,42913,42912,42909,42908,42907,42906,42905,42902,42901,42900,42899,42898,42895,42894,42893,42892,42891,42888,42887,42886,42885,42881,42880,42879,42878,42877,42874,42873,42872,42871,42870,42867,42866,42865,42864,42863,42860,42859,42858,42857,42856,42853,42852,42851,42850,42849,42846,42845,42844,42843,42842,42838,42837,42836,42835,42832,42831,42830,42829,42828,42825,42824,42823,42822,42821,42818,42817,42816,42815,42814,42811,42810,42809,42808,42807,42804,42803,42802,42801,42800,42797,42796,42795,42794,42793,42790,42789,42788,42787,42783,42782,42781,42780,42779,42776,42775,42774,42773,42772,42769,42768,42767,42766,42765,42762,42761,42760,42759,42758,42755,42754,42753,42752,42748,42747,42746,42745,42744,42741,42740,42739,42738,42734,42733,42732,42731,42727,42726,42725,42724,42723,42720,42719,42718,42717,42716,42713,42712,42711,42710,42709,42706,42705,42704,42703,42702,42699,42697,42696,42695,42692,42691,42690,42689,42688,42685,42684,42683,42682,42681,42678,42677,42676,42675,42674,42671,42670,42669,42668,42667,42664,42663,42662,42661,42660,42657,42656,42655,42654,42653,42650,42649,42648,42647,42646,42643,42642,42641,42640,42639,42636,42635,42634,42633,42632,42629,42628,42627,42626,42625,42622,42621,42620,42619,42615,42614,42613,42612,42611,42608,42607,42606,42605,42604,42601,42600,42599,42598,42597,42594,42593,42592,42591,42590,42587,42586,42585,42584,42583,42580,42579,42578,42577,42576,42573,42572,42571,42570,42569,42566,42565,42564,42563,42562,42559,42558,42557,42556,42552,42551,42550,42549,42548,42545,42544,42543,42542,42541,42538,42537,42536,42535,42534,42531,42530,42529,42528,42527,42524,42523,42522,42521,42517,42516,42515,42514,42513,42510,42509,42508,42507,42506,42503,42502,42501,42500,42499,42496,42495,42494,42493,42492,42489,42488,42487,42486,42485,42482,42481,42480,42479,42478,42475,42474,42473,42472,42471,42468,42467,42466,42465,42464,42461,42460,42459,42458,42457,42453,42452,42451,42450,42447,42446,42445,42444,42443,42440,42439,42438,42437,42436,42433,42432,42431,42430,42429,42426,42425,42424,42423,42422,42419,42418,42417,42416,42412,42411,42410,42409,42408,42405,42404,42403,42402,42401,42398,42397,42396,42395,42394,42391,42390,42389,42388,42384,42383,42382,42381,42380,42377,42376,42375,42374,42373,42369,42368,42367,42366,42362,42361,42360,42359,42356,42355,42354,42353,42352,42349,42348,42347,42346,42345,42342,42341,42340,42339,42338,42335,42333,42332,42331,42328,42327,42326,42325,42324,42321,42320,42319,42318,42317,42314,42313,42312,42311,42310,42307,42306,42305,42304,42303,42300,42299,42298,42297,42296,42293,42292,42291,42290,42289,42286,42285,42284,42283,42282,42279,42278,42277,42276,42275,42272,42271,42270,42269,42268,42265,42264,42263,42262,42261,42258,42257,42256,42255,42251,42250,42249,42248,42247,42244,42243,42242,42241,42240,42237,42236,42235,42234,42233,42230,42229,42228,42227,42226,42223,42222,42221,42220,42219,42216,42215,42214,42213,42212,42209,42208,42207,42206,42205,42202,42201,42200,42199,42198,42195,42194,42193,42192,42191,42187,42186,42185,42184,42181,42180,42179,42178,42177,42174,42173,42172,42171,42170,42167,42166,42165,42164,42163,42160,42159,42158,42157,42156,42153,42152,42151,42150,42146,42145,42144,42143,42142,42139,42138,42137,42136,42135,42132,42131,42130,42129,42128,42125,42124,42123,42122,42121,42118,42117,42116,42115,42114,42111,42110,42109,42108,42107,42104,42103,42102,42101,42100,42096,42095,42094,42093,42090,42089,42088,42087,42086,42083,42082,42081,42080,42079,42076,42075,42074,42073,42072,42069,42068,42067,42066,42065,42062,42061,42060,42059,42058,42055,42054,42053,42052,42048,42047,42046,42045,42044,42041,42040,42039,42038,42037,42034,42033,42032,42031,42030,42027,42026,42025,42024,42020,42019,42018,42017,42016,42013,42012,42011,42010,42009,42006,42004,42003,42002,41999,41997,41996,41995,41992,41991,41990,41989,41988,41985,41984,41983,41982,41981,41978,41977,41976,41975,41974,41971,41969,41968,41967,41964,41963,41962,41961,41960,41957,41956,41955,41954,41953,41950,41949,41948,41947,41946,41943,41942,41941,41940,41939,41936,41935,41934,41933,41932,41929,41928,41927,41926,41925,41922,41921,41920,41919,41918,41915,41914,41913,41912,41911,41908,41907,41906,41905,41904,41901,41900,41899,41898,41897,41894,41893,41892,41891,41890,41887,41886,41885,41884,41880,41879,41878,41877,41876,41873,41872,41871,41870,41869,41866,41865,41864,41863,41862,41859,41858,41857,41856,41855,41852,41851,41850,41849,41848,41845,41844,41843,41842,41841,41838,41837,41836,41835,41834,41831,41830,41829,41828,41827,41823,41822,41821,41820,41817,41816,41815,41814,41813,41810,41809,41808,41807,41806,41803,41802,41801,41800,41799,41796,41795,41794,41793,41792,41789,41788,41787,41786,41782,41781,41780,41779,41778,41775,41774,41773,41772,41771,41768,41767,41766,41765,41764,41761,41760,41759,41758,41757,41754,41753,41752,41751,41750,41746,41745,41744,41743,41740,41739,41738,41737,41736,41733,41732,41731,41730,41729,41726,41725,41724,41723,41722,41719,41718,41717,41716,41715,41712,41711,41710,41709,41708,41705,41704,41703,41702,41701,41698,41697,41696,41695,41694,41691,41690,41689,41688,41684,41683,41682,41681,41680,41677,41676,41675,41674,41673,41670,41669,41668,41667,41666,41663,41662,41661,41660,41656,41655,41654,41653,41652,41649,41648,41647,41646,41645,41642,41641,41639,41638,41635,41634,41632,41631,41628,41627,41626,41625,41624,41621,41620,41619,41618,41617,41614,41613,41612,41611,41610,41607,41605,41604,41603,41600,41599,41598,41597,41596,41593,41592,41591,41590,41589,41586,41585,41584,41583,41582,41579,41578,41577,41576,41575,41572,41571,41570,41569,41568,41565,41564,41563,41562,41561,41558,41557,41556,41555,41554,41551,41550,41549,41548,41547,41544,41543,41542,41541,41540,41537,41536,41535,41534,41533,41530,41529,41528,41527,41526,41523,41522,41521,41520,41516,41515,41514,41513,41512,41509,41508,41507,41506,41505,41502,41501,41500,41499,41498,41495,41494,41493,41492,41491,41488,41487,41486,41485,41484,41481,41480,41479,41478,41477,41474,41473,41472,41471,41470,41467,41466,41465,41464,41463,41460,41458,41457,41456,41453,41452,41451,41450,41449,41446,41445,41444,41443,41442,41439,41438,41437,41436,41435,41432,41431,41430,41429,41428,41425,41424,41423,41422,41418,41417,41416,41415,41414,41411,41410,41409,41408,41407,41404,41403,41402,41401,41400,41397,41396,41395,41394,41393,41390,41389,41388,41387,41386,41383,41382,41381,41380,41379,41376,41375,41374,41373,41372,41369,41368,41367,41366,41365,41361,41360,41359,41358,41355,41354,41353,41352,41351,41348,41347,41346,41345,41344,41341,41340,41339,41338,41337,41334,41333,41332,41331,41330,41327,41326,41325,41324,41320,41319,41318,41317,41316,41313,41312,41311,41310,41309,41306,41305,41304,41303,41302,41299,41298,41297,41296,41292,41291,41290,41289,41288,41285,41284,41283,41282,41281,41278,41277,41276,41274,41271,41270,41269,41267,41264,41263,41262,41261,41260,41257,41256,41255,41254,41253,41250,41249,41248,41247,41246,41243,41242,41241,41240,41239,41236,41234,41233,41232,41229,41228,41227,41226,41225,41222,41221,41220,41219,41218,41215,41214,41213,41208,41207,41206,41205,41204,41201,41200,41199,41198,41197,41194,41193,41192,41191,41190,41187,41186,41185,41184,41183,41180,41179,41178,41177,41176,41173,41172,41171,41170,41169,41166,41165,41164,41163,41162,41159,41158,41157,41156,41152,41151,41150,41149,41148,41145,41144,41143,41142,41141,41138,41137,41136,41135,41134,41131,41130,41129,41128,41127,41124,41123,41122,41121,41120,41117,41116,41115,41114,41113,41110,41109,41108,41107,41106,41103,41102,41101,41100,41099,41096,41095,41093,41092,41089,41088,41087,41086,41085,41082,41081,41080,41079,41078,41075,41074,41073,41072,41071,41068,41067,41066,41065,41064,41061,41060,41059,41058,41054,41053,41052,41051,41050,41047,41046,41045,41044,41043,41040,41039,41038,41037,41036,41033,41032,41031,41030,41029,41026,41025,41024,41023,41022,41019,41018,41017,41016,41015,41012,41011,41010,41009,41008,41004,41003,41002,41001,40998,40997,40996,40995,40994,40991,40990,40989,40988,40987,40984,40983,40982,40981,40980,40977,40976,40975,40974,40973,40970,40969,40968,40967,40966,40963,40962,40961,40960,40956,40955,40954,40953,40952,40949,40948,40947,40946,40945,40942,40941,40940,40939,40938,40935,40934,40933,40932,40931,40928,40927,40926,40925,40921,40920,40919,40918,40917,40914,40913,40912,40911,40907,40906,40905,40904,40900,40899,40898,40897,40896,40893,40892,40891,40890,40889,40886,40885,40884,40883,40882,40879,40878,40877,40876,40875,40872,40870],"SP50^FG_PRICE(NOW,-10AY)":[4594.62,4701.46,4690.7,4682.94,4697.96,4704.54,4688.67,4700.9,4682.8,4682.85,4649.27,4646.71,4685.25,4701.7,4697.53,4680.06,4660.57,4630.65,4613.67,4605.38,4596.42,4551.68,4574.79,4566.48,4544.9,4549.78,4536.19,4519.63,4486.46,4471.37,4438.26,4363.8,4350.65,4361.19,4391.34,4399.76,4363.55,4345.72,4300.46,4357.04,4307.54,4359.461,4352.63,4443.11,4455.48,4448.98,4395.64,4354.19,4357.73,4432.99,4473.75,4480.7,4443.05,4468.73,4458.58,4493.28,4514.07,4520.03,4535.43,4536.95,4524.09,4522.68,4528.79,4509.37,4470.0,4496.19,4486.23,4479.53,4441.67,4405.8,4400.27,4448.08,4479.71,4468.0,4460.83,4447.7,4436.75,4432.35,4436.52,4429.1,4402.66,4423.15,4387.16,4395.26,4419.15,4400.64,4401.46,4422.3,4411.79,4367.48,4358.69,4323.06,4258.49,4327.16,4360.03,4374.3,4369.21,4384.63,4369.55,4320.82,4358.13,4343.54,4352.34,4319.94,4297.5,4291.8,4290.61,4280.7,4266.49,4241.84,4246.44,4224.79,4166.45,4221.86,4223.7,4246.59,4255.15,4247.44,4239.18,4219.55,4227.26,4226.52,4229.89,4192.85,4208.12,4202.04,4204.11,4200.88,4195.99,4188.13,4197.05,4155.86,4159.12,4115.68,4127.83,4163.29,4173.85,4112.5,4063.04,4152.1,4188.43,4232.6,4201.62,4167.59,4164.66,4192.66,4181.17,4211.47,4183.18,4186.72,4187.62,4180.17,4134.98,4173.42,4134.94,4163.26,4185.47,4170.42,4124.66,4141.59,4127.99,4128.8,4097.17,4079.95,4073.94,4077.91,4019.87,3972.89,3958.55,3971.09,3974.54,3909.52,3889.14,3910.52,3940.59,3913.1,3915.46,3974.12,3962.71,3968.94,3943.34,3939.34,3898.81,3875.44,3821.35,3841.94,3768.47,3819.72,3870.29,3901.82,3811.15,3829.34,3925.43,3881.37,3876.5,3906.71,3913.97,3931.33,3932.59,3934.83,3916.38,3909.88,3911.23,3915.59,3886.83,3871.74,3830.17,3826.31,3773.86,3714.24,3787.38,3750.77,3849.62,3855.36,3841.47,3853.07,3851.85,3798.91,3768.25,3795.54,3809.84,3801.19,3799.61,3824.68,3803.79,3748.14,3726.86,3700.65,3756.07,3732.04,3727.04,3735.36,3703.06,3690.01,3687.26,3694.92,3709.41,3722.48,3701.17,3694.62,3647.49,3663.46,3668.1,3672.82,3702.25,3691.96,3699.12,3666.72,3669.01,3662.45,3621.63,3638.35,3629.65,3635.41,3577.59,3557.54,3581.87,3567.79,3609.53,3626.91,3585.15,3537.01,3572.66,3545.53,3550.5,3509.44,3510.45,3443.44,3369.1567,3310.24,3269.96,3310.11,3271.03,3390.68,3400.97,3465.39,3453.49,3435.56,3443.12,3426.92,3483.81,3483.34,3488.67,3511.93,3534.22,3477.13,3446.83,3419.45,3360.95,3408.63,3348.44,3380.8,3363.0,3335.47,3351.6,3298.46,3246.59,3236.92,3315.57,3281.06,3319.47,3357.01,3385.49,3401.2,3383.54,3340.97,3339.19,3398.96,3331.84,3426.96,3455.06,3580.84,3526.65,3500.31,3508.01,3484.55,3478.73,3443.62,3431.28,3397.16,3385.51,3374.85,3389.78,3381.99,3372.85,3373.43,3380.35,3333.69,3360.47,3351.28,3349.16,3327.77,3306.51,3294.61,3271.12,3246.22,3258.44,3218.44,3239.41,3215.63,3235.66,3276.02,3257.3,3251.84,3224.73,3215.57,3226.56,3197.52,3155.22,3185.04,3152.05,3169.94,3145.32,3179.72,3130.01,3115.86,3100.29,3053.24,3009.05,3083.76,3050.33,3131.29,3117.86,3097.74,3115.34,3113.49,3124.74,3066.59,3041.31,3002.1,3190.14,3207.18,3232.39,3193.93,3112.35,3122.87,3080.82,3055.73,3044.31,3029.73,3036.13,2991.77,2955.45,2948.51,2971.61,2922.94,2953.91,2863.7,2852.5,2820.0,2870.12,2930.32,2929.8,2881.19,2848.42,2868.44,2842.74,2830.71,2912.43,2939.51,2863.39,2878.48,2836.74,2797.8,2799.31,2736.56,2823.16,2874.56,2799.55,2783.36,2846.06,2761.63,2789.82,2749.98,2659.41,2663.68,2488.65,2526.9,2470.5,2584.59,2626.65,2541.47,2630.07,2475.56,2447.33,2237.4,2304.92,2409.39,2398.1,2529.19,2386.13,2711.02,2480.64,2741.38,2882.23,2746.56,2972.37,3023.94,3130.12,3003.37,3090.23,2954.22,2978.76,3116.39,3128.21,3225.89,3337.75,3373.23,3386.15,3370.29,3380.16,3373.94,3379.45,3357.75,3352.09,3327.71,3345.78,3334.69,3297.59,3248.92,3225.52,3283.66,3273.4,3276.24,3243.63,3295.47,3325.54,3321.75,3320.79,3329.62,3316.81,3289.29,3283.15,3288.13,3265.35,3274.7,3253.05,3237.18,3246.28,3234.85,3257.85,3230.78,3221.29,3240.02,3239.91,3223.38,3224.01,3221.22,3205.37,3191.14,3192.52,3191.45,3168.8,3168.57,3141.63,3132.52,3135.96,3145.91,3117.43,3112.76,3093.2,3113.87,3140.98,3153.63,3140.52,3133.64,3110.29,3103.54,3108.46,3120.18,3122.03,3120.46,3096.63,3094.04,3091.84,3087.01,3093.08,3085.18,3076.78,3074.62,3078.27,3066.91,3037.56,3046.77,3036.89,3039.42,3022.55,3010.29,3004.52,2995.99,3006.72,2986.2,2997.95,2989.69,2995.68,2966.15,2970.27,2938.13,2919.4,2893.06,2938.79,2952.01,2910.63,2887.61,2940.25,2976.74,2961.79,2977.62,2984.87,2966.6,2991.78,2992.07,3006.79,3006.73,3005.7,2997.96,3007.39,3009.57,3000.93,2979.39,2978.43,2978.71,2976.0,2937.78,2906.27,2926.46,2924.58,2887.94,2869.16,2878.38,2847.11,2922.95,2924.43,2900.51,2923.65,2888.68,2847.6,2840.6,2926.32,2883.75,2918.65,2938.09,2883.98,2881.77,2844.74,2932.05,2953.56,2980.38,3013.18,3020.97,3025.86,3003.67,3019.56,3005.47,2985.03,2976.61,2995.11,2984.42,3004.04,3014.3,3013.77,2999.91,2993.07,2979.63,2975.95,2990.41,2995.82,2973.01,2964.33,2941.76,2924.92,2913.78,2917.38,2945.35,2950.46,2954.18,2926.46,2917.75,2889.67,2886.98,2891.64,2879.84,2885.72,2886.73,2873.34,2843.49,2826.15,2803.27,2744.45,2752.06,2788.86,2783.02,2802.39,2826.06,2822.24,2856.27,2864.36,2840.23,2859.53,2876.32,2850.96,2834.41,2811.87,2881.4,2870.72,2879.42,2884.05,2932.47,2945.64,2917.52,2923.73,2945.83,2943.03,2939.88,2926.17,2927.25,2933.68,2907.97,2905.03,2900.45,2907.06,2905.58,2907.41,2888.32,2888.21,2878.2,2895.77,2892.74,2879.39,2873.4,2867.24,2867.19,2834.4,2815.44,2805.37,2818.46,2798.36,2800.71,2854.88,2824.23,2832.57,2832.94,2822.48,2808.48,2810.92,2791.52,2783.3,2743.07,2748.93,2771.45,2789.65,2792.81,2803.69,2784.49,2792.38,2793.9,2796.11,2792.67,2774.88,2784.7,2779.76,2775.6,2745.73,2753.03,2744.73,2709.8,2707.88,2706.05,2731.61,2737.7,2724.87,2706.53,2704.1,2681.05,2640.0,2643.85,2664.76,2642.33,2638.7,2632.9,2670.71,2635.96,2616.1,2610.3,2582.61,2596.26,2596.64,2584.96,2574.41,2549.69,2531.94,2447.89,2510.03,2506.85,2485.74,2488.83,2467.7,2351.1,2416.62,2467.42,2506.96,2546.16,2545.94,2599.95,2650.54,2651.07,2636.78,2637.72,2633.08,2695.95,2700.06,2790.37,2760.17,2737.76,2743.79,2682.17,2673.45,2632.56,2649.93,2641.89,2690.73,2736.27,2730.2,2701.58,2722.18,2726.22,2781.01,2806.83,2813.89,2755.45,2738.31,2723.06,2740.37,2711.74,2682.63,2641.25,2658.69,2705.57,2656.1,2740.69,2755.88,2767.78,2768.78,2809.21,2809.92,2750.79,2767.13,2728.37,2785.68,2880.34,2884.43,2885.57,2901.61,2925.51,2923.43,2924.59,2913.98,2914.0,2905.97,2915.56,2919.37,2929.67,2930.75,2907.95,2904.31,2888.8,2904.98,2904.18,2888.92,2887.89,2877.13,2871.68,2878.05,2888.6,2896.72,2901.52,2901.13,2914.04,2897.52,2896.74,2874.69,2856.98,2861.82,2862.96,2857.05,2850.13,2840.69,2818.37,2839.96,2821.93,2833.28,2853.58,2857.7,2858.45,2850.4,2840.35,2827.22,2813.36,2816.29,2802.6,2818.82,2837.44,2846.07,2820.4,2806.98,2801.83,2804.49,2815.62,2809.55,2798.43,2801.31,2798.29,2774.02,2793.84,2784.17,2759.82,2736.61,2713.22,2726.71,2718.37,2716.31,2699.63,2723.06,2717.07,2754.88,2749.76,2767.32,2762.59,2773.75,2779.66,2782.49,2775.63,2786.85,2782.0,2779.03,2770.37,2772.35,2748.8,2746.87,2734.62,2705.27,2724.01,2689.86,2721.33,2727.76,2733.29,2724.44,2733.01,2712.97,2720.13,2722.46,2711.45,2730.13,2727.72,2723.07,2697.79,2671.92,2672.63,2663.42,2629.73,2635.67,2654.8,2648.05,2669.91,2666.94,2639.4,2634.56,2670.29,2670.14,2693.13,2708.64,2706.39,2677.84,2656.3,2663.99,2642.19,2656.87,2613.16,2604.47,2662.84,2644.69,2614.45,2581.88,2640.87,2605.0,2612.62,2658.55,2588.26,2643.69,2711.93,2716.94,2712.92,2752.01,2747.33,2749.48,2765.31,2783.02,2786.57,2738.97,2726.8,2728.12,2720.94,2691.25,2677.67,2713.83,2744.28,2779.6,2747.3,2703.96,2701.33,2716.26,2732.22,2731.2,2698.63,2662.94,2656.0,2619.55,2581.0,2681.66,2695.14,2648.94,2762.13,2821.98,2823.81,2822.43,2853.53,2872.87,2839.25,2837.54,2839.13,2832.97,2810.3,2798.03,2802.56,2776.42,2786.24,2767.56,2748.23,2751.29,2747.71,2743.15,2723.99,2713.06,2695.81,2673.61,2687.54,2682.62,2680.5,2683.34,2684.57,2679.25,2681.47,2690.16,2675.81,2652.01,2662.85,2664.11,2659.99,2651.5,2636.98,2629.27,2629.57,2639.44,2642.22,2647.58,2626.07,2627.04,2601.42,2602.42,2597.08,2599.03,2582.14,2578.85,2585.64,2564.62,2578.87,2584.84,2582.3,2584.62,2594.38,2590.64,2591.13,2587.84,2579.85,2579.36,2575.26,2572.83,2581.07,2560.4,2557.15,2569.13,2564.98,2575.21,2562.1,2561.26,2559.36,2557.64,2553.17,2550.93,2555.24,2550.64,2544.73,2549.33,2552.07,2537.74,2534.58,2529.12,2519.36,2510.06,2507.04,2496.84,2496.66,2502.22,2500.6,2508.24,2506.65,2503.87,2500.23,2495.62,2498.37,2496.48,2488.11,2461.43,2465.1,2465.54,2457.85,2476.55,2471.65,2457.59,2446.3,2444.24,2443.05,2438.97,2444.04,2452.51,2428.37,2425.55,2430.01,2468.11,2464.61,2465.84,2441.32,2438.21,2474.02,2474.92,2480.91,2476.83,2472.16,2477.57,2476.35,2470.3,2472.1,2475.42,2477.83,2477.13,2469.91,2472.54,2473.45,2473.83,2460.61,2459.14,2459.27,2447.83,2443.25,2425.53,2427.43,2425.18,2409.75,2432.54,2429.01,2423.41,2419.7,2440.69,2419.38,2439.07,2438.3,2434.5,2435.61,2437.03,2453.46,2433.15,2432.46,2437.92,2440.35,2429.39,2431.77,2433.79,2433.14,2429.33,2436.1,2439.07,2430.06,2411.8,2412.91,2415.82,2415.07,2404.39,2398.42,2394.02,2381.73,2365.72,2357.03,2400.67,2402.32,2390.9,2394.44,2399.63,2396.92,2399.38,2399.29,2389.52,2388.13,2391.17,2388.33,2384.2,2388.77,2387.45,2388.61,2374.15,2348.69,2355.84,2338.17,2342.19,2349.01,2328.95,2344.93,2353.78,2357.16,2355.54,2357.49,2352.95,2360.16,2358.84,2362.72,2368.06,2361.13,2358.57,2341.59,2343.98,2345.96,2348.45,2344.02,2373.47,2378.25,2381.38,2385.26,2365.45,2373.47,2372.6,2364.87,2362.98,2368.39,2375.31,2383.12,2381.92,2395.96,2363.64,2369.75,2367.34,2363.81,2362.82,2365.38,2351.16,2347.22,2349.25,2337.58,2328.25,2316.1,2307.87,2294.67,2293.08,2292.56,2297.42,2280.85,2279.55,2278.87,2280.9,2294.69,2296.68,2298.37,2280.07,2265.2,2271.31,2263.69,2271.89,2267.89,2274.64,2270.44,2275.32,2268.9,2268.9,2276.98,2269.0,2270.75,2257.83,2238.83,2249.26,2249.92,2268.88,2263.79,2260.96,2265.18,2270.76,2262.53,2258.07,2262.03,2253.28,2271.72,2256.96,2259.53,2246.19,2241.35,2212.23,2204.71,2191.95,2191.08,2198.81,2204.66,2201.72,2213.35,2204.72,2202.94,2198.18,2181.9,2187.12,2176.94,2180.39,2164.2,2164.45,2167.48,2163.26,2139.56,2131.52,2085.18,2088.66,2097.94,2111.72,2126.15,2126.41,2133.04,2139.43,2143.16,2151.33,2141.16,2141.34,2144.29,2139.6,2126.5,2132.98,2132.55,2139.18,2136.73,2163.66,2153.74,2160.77,2159.73,2150.49,2161.2,2168.27,2151.13,2171.37,2159.93,2146.1,2164.69,2177.18,2163.12,2139.76,2139.12,2139.16,2147.26,2125.77,2127.02,2159.04,2127.81,2181.3,2186.16,2186.48,2179.98,2170.86,2170.95,2176.12,2180.38,2169.04,2172.47,2175.44,2186.9,2182.64,2183.87,2187.02,2182.22,2178.15,2190.15,2184.05,2185.79,2175.49,2181.74,2180.89,2182.87,2164.25,2163.79,2157.03,2170.84,2173.6,2170.06,2166.58,2169.18,2168.48,2175.03,2165.17,2173.02,2163.78,2166.89,2161.74,2163.75,2152.43,2152.14,2137.16,2129.9,2097.9,2099.73,2088.55,2102.95,2098.86,2070.77,2036.09,2000.54,2037.41,2113.32,2085.45,2088.9,2083.25,2071.22,2077.99,2071.5,2075.32,2079.06,2096.07,2115.48,2119.12,2112.13,2109.41,2099.13,2105.26,2099.33,2096.96,2099.06,2090.1,2090.54,2076.06,2048.04,2052.32,2040.04,2047.63,2047.21,2066.66,2046.61,2064.11,2064.46,2084.39,2058.69,2057.14,2050.63,2051.12,2063.37,2081.43,2065.3,2075.81,2095.15,2091.7,2087.79,2091.58,2091.48,2102.4,2100.8,2094.34,2080.73,2082.78,2082.42,2061.72,2041.99,2047.6,2041.91,2066.66,2045.17,2066.13,2072.78,2059.74,2063.95,2055.01,2037.05,2035.94,2036.71,2049.8,2051.6,2049.58,2040.59,2027.22,2015.93,2019.64,2022.19,1989.57,1989.26,1979.26,2001.76,1999.99,1993.4,1986.45,1978.35,1932.23,1948.05,1951.7,1929.8,1921.27,1945.5,1917.78,1917.83,1926.82,1895.58,1864.78,1829.08,1851.86,1852.21,1853.44,1880.05,1915.45,1912.53,1903.03,1939.38,1940.24,1893.36,1882.95,1903.63,1877.08,1906.9,1868.99,1859.33,1881.33,1880.33,1921.84,1890.28,1938.68,1923.67,1922.03,1943.09,1990.26,2016.71,2012.66,2043.94,2063.36,2078.36,2056.5,2060.99,2064.29,2038.97,2021.15,2005.55,2041.89,2073.07,2043.41,2021.94,2012.37,2052.23,2047.62,2063.59,2077.07,2091.69,2049.62,2079.51,2102.63,2080.41,2090.11,2088.87,2089.14,2086.59,2089.17,2081.24,2083.58,2050.44,2053.19,2023.04,2045.97,2075.0,2081.72,2078.58,2099.2,2099.93,2102.31,2109.79,2104.05,2079.36,2089.41,2090.35,2065.89,2071.18,2075.15,2052.51,2018.94,2030.77,2033.66,2033.11,2023.86,1994.24,2003.69,2017.46,2014.89,2013.43,1995.83,1979.92,1987.05,1951.36,1923.82,1920.03,1884.09,1881.77,1931.34,1932.24,1938.76,1942.74,1966.97,1958.03,1990.2,1995.31,1978.09,1953.03,1961.05,1952.29,1942.04,1969.41,1921.22,1951.13,1948.86,1913.85,1972.18,1988.87,1987.66,1940.51,1867.61,1893.21,1970.89,2035.73,2079.61,2096.92,2102.44,2091.54,2083.39,2086.05,2084.07,2104.18,2077.57,2083.56,2099.84,2093.32,2098.04,2103.84,2108.63,2108.57,2093.25,2067.64,2079.65,2102.15,2114.15,2119.21,2128.28,2126.64,2124.29,2107.4,2108.95,2099.6,2076.62,2051.31,2046.68,2081.34,2068.76,2076.78,2077.42,2063.11,2057.64,2101.49,2102.31,2108.58,2124.2,2122.85,2109.99,2121.24,2100.44,2096.29,2084.43,2094.11,2108.86,2105.2,2080.15,2079.28,2092.83,2095.84,2114.07,2109.6,2111.73,2107.39,2120.79,2123.48,2104.2,2126.06,2130.82,2125.85,2127.83,2129.2,2122.73,2121.1,2098.48,2099.12,2105.33,2116.1,2088.0,2080.15,2089.46,2114.49,2108.29,2085.51,2106.85,2114.76,2108.92,2117.69,2112.93,2107.96,2097.29,2100.4,2081.18,2104.99,2106.63,2095.84,2092.43,2102.06,2091.18,2081.9,2076.33,2080.62,2066.96,2059.69,2067.89,2086.24,2061.02,2056.15,2061.05,2091.5,2104.42,2108.1,2089.27,2099.5,2074.28,2081.19,2053.4,2065.95,2040.24,2044.16,2079.43,2071.26,2101.04,2098.53,2107.78,2117.39,2104.5,2110.74,2113.86,2115.48,2109.66,2110.3,2097.45,2099.68,2100.34,2096.99,2088.48,2068.53,2068.59,2046.74,2055.47,2062.52,2041.51,2050.03,2020.85,1994.99,2021.25,2002.16,2029.55,2057.09,2051.82,2063.15,2032.12,2022.55,2019.42,1992.67,2011.27,2023.03,2028.26,2044.81,2062.14,2025.9,2002.61,2020.58,2058.2,2058.9,2080.35,2090.57,2088.77,2081.88,2082.17,2078.54,2070.65,2061.23,2012.89,1972.74,1989.63,2002.33,2035.33,2026.14,2059.82,2060.31,2075.37,2071.92,2074.33,2066.55,2053.44,2067.56,2072.83,2067.03,2069.41,2063.5,2052.75,2048.72,2051.8,2041.32,2039.82,2039.33,2038.25,2039.68,2038.26,2031.92,2031.21,2023.57,2012.1,2017.81,2018.05,1994.65,1982.3,1985.05,1961.63,1964.58,1950.82,1927.11,1941.28,1904.01,1886.76,1862.76,1862.49,1877.7,1874.74,1906.13,1928.21,1968.89,1935.1,1964.82,1967.9,1946.17,1946.16,1972.29,1977.8,1982.85,1965.99,1998.3,1982.77,1994.29,2010.4,2011.36,2001.57,1998.98,1984.13,1985.54,1997.45,1995.69,1988.44,2001.54,2007.71,1997.65,2000.72,2002.28,2003.37,1996.74,2000.12,2000.02,1997.92,1988.4,1992.37,1986.51,1981.6,1971.74,1955.06,1955.18,1946.72,1933.75,1936.92,1931.59,1909.57,1920.24,1920.21,1938.99,1925.15,1930.67,1970.07,1969.95,1978.91,1978.34,1987.98,1987.01,1983.53,1973.63,1978.22,1958.12,1981.57,1973.28,1977.1,1967.57,1964.68,1972.83,1963.71,1977.65,1985.44,1974.62,1973.32,1960.23,1960.96,1957.22,1959.53,1949.98,1962.61,1962.87,1959.48,1956.98,1941.99,1937.78,1936.16,1930.11,1943.89,1950.79,1951.27,1949.44,1940.46,1927.88,1924.24,1924.97,1923.57,1920.03,1909.78,1911.91,1900.53,1892.49,1888.03,1872.83,1885.08,1877.86,1870.85,1888.53,1897.45,1896.65,1878.48,1875.63,1878.21,1867.72,1884.66,1881.14,1883.68,1883.95,1878.33,1869.43,1863.4,1878.61,1875.39,1879.55,1871.89,1864.85,1862.31,1842.98,1830.61,1815.69,1833.08,1872.18,1851.96,1845.04,1865.09,1888.77,1890.9,1885.52,1872.34,1857.62,1849.04,1852.56,1865.62,1857.44,1866.52,1872.01,1860.77,1872.25,1858.83,1841.13,1846.34,1868.2,1867.63,1877.17,1878.04,1877.03,1873.81,1873.91,1845.73,1859.45,1854.29,1845.16,1845.12,1847.61,1836.25,1839.78,1828.75,1840.76,1838.63,1829.83,1819.26,1819.75,1799.84,1797.02,1773.43,1751.64,1755.2,1741.89,1782.59,1794.19,1774.2,1792.5,1781.56,1790.29,1828.46,1844.86,1843.8,1838.7,1845.89,1848.38,1838.88,1819.2,1842.37,1838.13,1837.49,1837.88,1826.77,1831.37,1831.98,1848.36,1841.07,1841.4,1842.02,1833.32,1827.99,1818.32,1809.6,1810.65,1781.0,1786.54,1775.32,1775.5,1782.22,1802.62,1808.37,1805.09,1785.03,1792.81,1795.15,1800.9,1805.81,1807.23,1802.75,1802.48,1804.76,1795.85,1781.37,1787.87,1791.53,1798.18,1790.62,1782.0,1767.69,1771.89,1770.61,1747.15,1770.49,1762.97,1767.93,1761.64,1756.54,1763.31,1771.95,1762.11,1759.77,1752.07,1746.38,1754.67,1744.66,1744.5,1733.15,1721.54,1698.06,1710.14,1703.2,1692.56,1656.4,1655.45,1676.12,1690.5,1678.66,1693.87,1695.0,1681.55,1691.75,1698.67,1692.77,1697.42,1701.84,1709.91,1722.34,1725.52,1704.76,1697.6,1687.99,1683.42,1689.13,1683.99,1671.71,1655.17,1655.08,1653.08,1639.77,1632.97,1638.17,1634.96,1630.48,1656.78,1663.5,1656.96,1642.8,1652.35,1646.06,1655.83,1661.32,1685.39,1694.16,1689.47,1691.42,1697.48,1690.91,1697.37,1707.14,1709.67,1706.87,1685.73,1685.96,1685.33,1691.65,1690.25,1685.94,1692.39,1695.53,1692.09,1689.37,1680.91,1676.26,1682.5,1680.19,1675.02,1652.62,1652.32,1640.46,1631.89,1615.41,1614.08,1614.96,1606.28,1613.2,1603.26,1588.03,1573.09,1592.43,1588.19,1628.93,1651.81,1639.04,1626.73,1636.36,1612.52,1626.13,1642.81,1643.38,1622.56,1608.9,1631.38,1640.42,1630.74,1654.41,1648.36,1660.06,1649.6,1650.51,1655.35,1669.16,1666.29,1667.47,1650.47,1658.78,1650.34,1633.77,1633.7,1626.67,1632.69,1625.96,1617.5,1614.42,1597.59,1582.7,1597.57,1593.61,1582.24,1585.16,1578.79,1578.78,1562.5,1555.25,1541.61,1552.01,1574.57,1552.36,1588.85,1593.37,1587.73,1568.61,1563.07,1553.28,1559.98,1553.69,1570.25,1562.17,1569.19,1562.85,1563.77,1551.69,1556.89,1545.8,1558.71,1548.34,1552.1,1560.7,1563.23,1554.52,1552.48,1556.22,1551.18,1544.26,1541.46,1539.79,1525.2,1518.2,1514.68,1515.99,1496.94,1487.85,1515.6,1502.42,1511.95,1530.94,1519.79,1521.38,1520.33,1519.43,1517.01,1517.93,1509.39,1512.12,1511.29,1495.71,1513.17,1498.11,1501.96,1507.84,1500.18,1502.96,1494.82,1494.81,1492.56,1485.98,1480.94,1472.63,1472.34,1470.68,1472.05,1472.12,1461.02,1457.15,1461.89,1466.47,1459.37,1462.42,1426.19,1402.43,1418.1,1419.83,1426.66,1430.15,1443.69,1435.81,1446.79,1430.36,1413.58,1419.45,1428.48,1427.84,1418.55,1418.07,1413.94,1409.28,1407.05,1409.46,1416.18,1415.95,1409.93,1398.94,1406.29,1409.15,1391.03,1387.81,1386.89,1359.88,1353.33,1355.49,1374.53,1380.029,1379.85,1377.51,1394.53,1428.39,1417.26,1414.2,1427.5891,1412.16,1411.94,1412.97,1408.75,1413.11,1433.819,1433.19,1457.34,1460.91,1454.92,1440.13,1428.59,1432.84,1432.56,1441.48,1455.88,1460.93,1461.4,1450.99,1445.75,1444.49,1440.67,1447.15,1433.32,1441.59,1456.89,1460.15,1460.26,1461.05,1459.32,1461.19,1465.77,1459.99,1436.56,1433.56,1429.08,1437.92,1432.12,1403.44,1404.94,1406.58,1399.48,1410.49,1409.3,1410.44,1411.13,1402.08,1413.49,1413.17,1418.13,1418.16,1415.51,1405.53,1403.93,1404.11,1405.87,1402.8,1402.22,1401.35,1394.23,1390.99,1365.0,1375.136,1379.32,1385.3,1385.97,1360.02,1337.89,1338.31,1350.52,1362.66,1376.51,1372.78,1363.67,1353.64,1356.78,1334.76,1341.45,1341.47,1352.46,1354.68,1367.58,1374.02,1365.51,1362.16,1329.04,1331.85,1319.99,1313.72,1335.02,1325.51,1355.69,1357.98,1344.78,1342.84,1329.1,1314.88,1324.18,1308.93,1325.66,1314.99,1315.13,1285.5,1278.18,1278.04,1310.33,1313.32,1332.42,1317.82,1320.679,1318.86,1316.63,1315.99,1295.22,1304.86,1324.8,1330.66,1338.35,1353.39,1357.99,1354.58,1363.72,1369.58,1369.1,1391.57,1402.31,1405.82,1397.91,1403.36,1399.98,1390.69,1371.97,1366.94,1378.53,1376.92,1385.14,1390.78,1369.57,1370.26,1387.57,1368.71,1358.59,1382.2,1398.08,1398.96,1413.38,1419.04,1408.47,1403.28,1405.54,1412.52,1416.51,1397.11,1392.78,1402.89,1405.52,1409.75,1404.17,1402.6,1394.28,1395.95,1371.09,1370.87,1365.91,1352.63,1343.36,1364.33,1369.63,1374.09,1365.68,1372.18,1367.59,1365.74,1363.46,1357.66,1362.21,1361.23,1358.04,1343.23,1350.5,1351.77,1342.64,1351.95,1349.96,1347.05,1344.33,1344.9,1325.54,1324.09,1312.41,1313.01,1316.33,1318.43,1326.06,1314.65,1316.0,1315.38,1314.5,1308.04,1293.67,1289.09,1295.5,1292.48,1292.08,1280.7,1277.81,1281.06,1277.3,1277.06,1257.6,1263.02,1249.64,1265.43,1265.33,1254.0,1243.72,1241.3,1205.35,1219.66,1215.75,1211.82,1225.73,1236.47,1255.19,1234.35,1261.01,1258.47,1257.08,1244.28,1244.58,1246.96,1195.19,1192.55,1158.67,1161.79],"DAL-US^FG_PRICE(NOW,-10AY)":[36.38,39.69,39.53,39.77,39.69,40.12,40.71,41.04,42.38,42.22,43.45,43.71,44.53,44.65,44.29,40.99,41.24,40.39,40.42,39.13,39.15,39.07,39.71,39.51,39.74,40.4,40.3,40.45,41.01,40.99,41.2,41.03,43.54,43.19,43.38,43.68,44.02,44.74,44.96,45.38,42.61,43.36,43.44,43.78,43.53,42.59,41.59,40.36,40.78,40.11,40.22,39.64,39.44,40.18,39.36,41.09,39.65,40.35,40.25,40.82,40.4,40.44,39.91,41.52,40.77,41.3,40.53,39.21,38.12,37.93,38.65,38.78,39.93,39.9,40.53,41.3,40.46,39.29,40.32,39.99,38.35,39.77,39.45,39.9,41.23,41.3,40.96,41.67,40.41,41.06,41.61,40.66,38.56,40.06,41.35,40.68,41.33,42.85,42.92,42.07,42.54,43.24,44.15,44.23,43.26,42.87,43.12,44.43,44.91,45.27,45.37,45.77,44.96,44.57,45.52,45.53,45.9,46.5,46.28,46.52,47.04,46.08,45.98,46.13,47.77,47.7,47.68,48.05,47.49,46.67,46.17,45.21,45.41,46.14,46.73,46.75,46.31,43.97,43.03,44.52,45.43,46.11,44.93,45.2,44.66,46.57,46.92,46.38,46.44,46.34,46.61,45.8,44.65,45.7,44.45,46.15,46.64,46.82,48.17,48.26,48.82,49.27,49.81,50.2,51.65,50.25,48.83,48.28,48.9,47.32,47.66,47.01,45.61,45.64,47.97,49.0,49.18,50.44,49.39,50.99,49.83,48.32,47.8,47.62,47.88,46.21,46.96,48.35,48.23,48.06,47.94,48.25,49.6,48.34,47.74,45.67,44.38,44.39,44.65,43.29,42.72,42.9,42.51,43.24,41.15,40.93,39.78,38.8,37.82,37.96,40.08,38.52,39.32,38.9,40.0,40.67,41.62,40.31,39.98,41.47,40.45,40.3,39.41,40.02,40.23,40.38,39.55,38.73,40.21,40.56,40.03,40.15,39.73,40.24,38.94,40.14,40.68,41.11,41.08,41.85,40.69,41.74,42.62,42.11,42.41,42.35,42.36,42.95,41.07,39.96,40.25,41.06,41.29,41.26,38.79,37.13,37.91,37.91,37.6,38.0,36.46,34.38,35.02,37.04,36.77,31.42,31.98,30.43,30.9,30.22,30.64,30.76,29.65,30.71,31.93,34.0,33.72,31.5,31.98,31.5,31.47,31.34,31.76,31.77,32.64,32.81,32.68,32.15,31.06,32.0,31.75,31.1,30.58,30.61,31.34,29.78,29.01,29.56,30.22,29.82,32.84,33.96,34.57,33.51,32.82,31.7,31.79,31.76,32.54,31.77,31.22,31.14,30.71,30.85,31.99,30.82,29.95,30.1,29.8,27.27,27.62,27.67,27.63,28.02,28.95,28.7,29.09,29.64,29.34,27.18,27.08,26.47,25.67,25.2,24.97,24.94,25.72,25.94,25.5,25.96,26.78,26.25,26.43,26.22,27.05,27.26,28.6,26.11,26.82,27.09,25.65,27.01,27.01,28.44,27.72,27.7,28.05,28.61,26.91,28.01,27.34,29.64,29.31,29.51,30.79,30.72,31.3,30.46,30.43,27.2,31.64,34.17,36.97,34.16,32.38,28.47,26.41,26.17,25.21,25.66,26.32,25.65,22.69,23.16,22.72,21.76,21.86,19.19,19.38,19.41,21.03,22.01,22.72,21.68,21.0,21.71,22.57,24.12,25.91,27.32,24.34,22.16,22.41,22.48,22.47,23.1,23.64,24.27,22.78,24.35,24.54,23.25,24.39,23.23,22.25,22.32,22.48,22.68,23.87,28.53,28.67,29.55,31.7,31.1,26.89,22.22,21.35,21.51,23.49,31.74,35.81,38.36,33.71,42.67,45.47,43.52,45.89,45.01,48.5,46.18,47.16,46.13,48.19,49.59,50.89,54.23,57.87,58.38,58.51,58.72,58.9,59.13,59.47,58.66,57.71,57.92,58.18,58.89,57.93,56.04,55.74,57.1,56.65,57.48,56.83,58.81,60.27,59.64,60.34,62.03,61.88,61.62,61.45,59.49,59.24,58.96,58.85,57.61,57.66,58.06,59.04,58.48,58.66,59.08,59.56,59.39,59.44,58.97,59.14,58.58,58.69,58.42,56.73,56.69,55.08,55.53,55.8,56.14,55.88,56.06,55.62,56.75,57.31,57.07,57.46,56.35,56.11,55.31,55.67,57.07,57.08,56.85,56.55,56.5,57.22,57.21,57.58,57.66,57.58,57.51,56.88,56.02,55.08,55.32,55.38,55.17,54.6,53.79,53.81,54.65,54.58,53.83,53.37,53.17,53.64,52.99,52.95,53.1,53.92,53.2,53.36,53.81,52.83,54.35,57.01,57.6,58.28,58.78,58.31,58.0,58.02,58.63,58.69,59.31,59.37,59.07,60.01,59.44,58.78,58.64,58.11,57.98,58.19,57.23,57.29,57.86,57.88,56.68,56.14,56.28,56.2,57.96,58.01,57.68,58.19,58.04,57.11,57.23,58.84,58.66,59.53,60.03,59.24,58.79,57.82,60.13,60.32,61.04,62.63,62.46,62.16,62.23,63.16,63.09,61.29,60.91,62.66,62.25,63.16,61.7,61.65,60.16,59.47,58.96,59.37,58.7,59.15,58.54,57.79,56.75,56.82,56.38,55.92,56.07,55.99,55.97,56.36,56.03,55.67,55.99,56.52,55.45,54.88,54.73,55.07,54.69,54.94,54.31,52.1,51.5,53.03,53.21,53.88,54.12,54.0,54.06,54.83,54.28,54.89,55.38,55.05,55.25,54.8,56.62,56.59,56.45,57.17,57.73,57.8,57.66,57.18,58.29,57.73,57.11,56.71,57.85,58.24,57.75,58.17,58.43,58.11,57.45,58.05,58.39,57.86,56.95,57.71,57.73,57.22,57.0,55.33,52.18,51.65,50.32,49.97,49.09,49.03,49.76,50.3,49.87,50.96,50.74,51.19,50.94,51.02,50.67,51.12,49.59,49.59,49.71,49.72,48.79,48.96,49.58,50.43,51.12,51.41,51.52,51.48,51.24,51.82,51.08,50.48,50.41,49.89,50.61,50.47,50.41,50.52,50.54,50.34,49.92,49.43,50.27,48.22,48.01,47.69,47.52,47.3,47.1,48.11,48.22,47.5,47.83,47.75,48.56,48.73,48.47,47.47,47.85,47.79,45.61,50.09,49.9,50.18,50.5,50.41,47.96,49.45,50.91,51.93,52.95,52.39,53.51,53.55,56.27,55.89,56.32,56.07,58.08,56.94,60.12,60.71,58.86,58.87,58.31,56.71,57.16,55.97,55.41,56.19,55.9,56.1,56.43,56.82,56.7,56.65,56.73,56.79,55.47,56.05,56.12,56.04,54.73,55.12,53.42,53.28,53.71,51.51,53.45,54.24,53.39,53.13,54.3,53.11,51.84,52.05,51.48,49.71,50.86,52.14,52.7,53.56,54.32,54.69,56.6,57.83,58.0,57.51,57.1,57.41,59.61,58.13,57.9,57.83,57.96,57.93,57.82,57.39,58.27,57.56,56.86,56.44,57.21,58.88,58.48,58.44,58.52,58.79,57.75,57.18,56.94,56.91,57.6,57.42,55.65,55.45,55.23,54.76,54.22,54.71,55.34,55.23,54.7,54.42,54.26,53.91,53.59,54.42,53.79,54.46,53.98,51.66,51.68,52.24,51.99,53.0,52.8,51.14,50.67,50.77,50.73,49.84,50.6,50.51,49.58,49.26,48.78,49.92,49.54,49.8,49.89,51.07,51.31,52.72,53.73,53.84,53.78,54.8,55.18,54.9,54.65,54.55,54.89,54.09,53.46,54.17,54.67,55.19,54.42,54.05,54.31,54.23,55.87,54.4,53.4,53.52,53.98,52.95,53.1,53.48,52.37,52.09,52.9,52.06,51.62,52.37,51.9,52.34,51.79,52.36,52.74,52.22,53.5,53.13,54.65,53.81,54.61,55.4,55.07,55.21,54.55,54.3,52.92,52.98,51.47,52.36,52.56,53.05,54.21,53.86,53.72,51.95,54.81,53.93,54.26,55.06,53.9,54.67,55.95,56.5,55.96,56.69,56.34,56.15,56.59,56.16,56.09,54.64,53.53,53.84,53.79,53.26,53.35,53.9,53.62,54.69,53.46,52.55,53.16,52.47,52.85,52.95,52.2,52.17,52.05,50.46,51.23,53.85,53.1,52.52,54.62,56.42,56.77,56.12,55.76,55.26,54.81,56.8,59.93,60.13,60.01,59.45,59.72,59.35,59.83,58.52,55.86,54.17,54.68,55.97,55.69,55.69,56.74,56.0,56.35,56.12,56.43,56.03,56.03,56.22,55.75,56.07,56.1,55.25,53.63,53.62,54.37,53.46,53.41,52.3,52.39,52.91,52.06,52.92,52.1,50.58,49.59,50.11,50.41,50.67,49.79,49.82,50.45,49.33,48.9,48.86,48.89,49.19,50.06,49.91,50.57,50.4,50.34,50.35,50.03,50.33,50.56,50.93,52.24,53.18,52.28,53.27,52.27,52.86,52.76,53.62,53.96,53.11,53.07,52.7,51.74,52.01,51.68,51.56,51.25,48.07,48.22,48.31,47.72,48.5,48.32,48.47,48.16,48.04,47.9,47.96,48.25,48.27,48.98,49.04,48.82,47.45,47.12,47.39,45.84,47.52,47.19,46.83,46.62,46.95,46.68,45.21,46.18,47.15,47.81,47.53,47.53,50.13,49.92,50.07,49.48,49.04,49.67,50.31,50.75,50.61,50.57,50.01,50.07,49.36,50.33,50.08,51.13,51.14,51.53,52.26,52.83,53.79,53.96,54.64,55.13,54.5,55.48,54.28,54.81,55.46,54.37,54.33,54.06,53.74,53.87,53.84,52.84,52.87,52.92,52.81,52.27,51.76,52.51,52.0,51.56,51.91,51.87,52.25,53.01,52.84,52.27,51.23,51.39,51.19,49.85,49.13,49.06,50.8,50.4,48.87,48.59,48.49,48.2,47.66,47.74,49.51,49.51,48.99,49.69,49.97,49.56,48.52,48.7,48.64,48.31,47.83,45.4,45.44,45.74,46.37,46.73,46.81,45.53,45.93,45.08,44.41,44.35,44.03,45.05,45.29,44.97,45.17,45.26,45.08,45.11,46.32,45.96,46.27,45.95,46.53,46.1,46.0,45.92,45.74,45.52,46.85,46.51,47.41,47.19,46.28,47.35,47.91,47.25,47.67,47.64,48.85,50.13,49.96,51.03,49.93,50.44,50.46,50.48,50.93,51.21,51.23,50.83,51.17,49.86,50.06,49.26,49.33,48.1,48.15,48.26,47.81,47.38,47.26,47.24,47.67,49.7,50.9,50.19,49.44,48.77,50.5,49.7,50.3,50.33,51.23,50.89,51.44,50.93,49.69,49.68,49.73,50.7,49.48,49.19,49.31,49.51,50.36,49.89,49.8,50.92,50.76,50.42,50.16,50.5,49.82,49.66,49.97,51.78,51.35,51.1,49.43,47.82,48.31,47.77,48.18,48.59,48.49,49.24,49.21,48.9,48.61,48.9,48.51,47.38,47.65,47.47,46.38,45.95,45.25,44.53,44.21,42.88,41.92,41.93,41.88,41.77,41.34,41.47,41.4,41.21,41.37,41.17,41.46,40.9,39.46,39.35,40.04,40.01,39.27,38.94,39.77,38.95,39.94,40.32,40.15,39.98,39.36,39.03,39.23,39.21,38.04,38.78,38.5,38.05,37.63,37.57,36.77,37.29,37.12,37.53,38.44,37.75,39.29,38.9,36.82,37.17,36.82,36.75,37.16,36.55,36.09,36.47,36.77,36.69,36.61,36.77,37.07,37.51,36.94,36.92,36.35,36.7,36.48,37.15,37.44,37.67,36.54,36.48,36.39,39.48,38.75,39.36,38.54,39.03,38.96,38.96,38.52,40.21,40.53,40.1,39.98,40.98,39.56,40.21,38.12,37.37,36.37,35.58,35.62,36.77,36.43,36.24,34.67,33.36,35.18,38.31,38.55,38.67,38.09,38.01,38.02,38.89,39.11,40.57,42.04,42.4,41.85,42.1,41.28,41.57,42.45,43.51,43.46,43.12,42.76,43.5,43.63,42.95,43.1,43.1,43.86,43.67,43.0,41.6,41.07,42.3,42.95,42.4,42.04,41.75,41.43,42.92,42.17,41.67,42.86,43.69,43.59,43.93,44.62,44.97,46.6,46.87,46.55,47.5,48.49,48.04,46.63,46.55,46.29,45.8,47.2,47.16,47.15,47.01,48.68,49.33,49.13,48.2,47.84,48.91,49.39,50.12,50.05,48.62,48.77,47.76,47.89,47.69,47.0,46.74,46.22,48.39,48.67,48.79,48.55,48.9,48.24,47.86,49.2,48.94,48.95,48.82,46.72,46.46,46.1,44.58,42.99,42.7,43.27,41.98,40.77,42.01,44.04,43.8,43.61,45.21,44.29,43.2,44.72,46.11,45.94,46.76,46.52,45.69,45.96,44.5,45.34,44.94,46.96,46.74,46.61,47.0,48.93,48.57,48.66,50.69,51.17,52.17,51.95,52.26,51.74,51.75,51.46,49.96,51.03,52.12,51.15,50.18,49.28,51.28,49.51,50.27,51.78,49.78,48.22,48.33,47.67,46.46,47.14,46.87,47.24,48.74,48.76,48.51,47.75,47.77,47.93,48.99,49.98,49.98,50.3,50.63,51.2,50.54,50.66,51.0,50.7,50.84,50.5,50.14,50.87,51.32,51.0,50.81,49.44,50.15,50.27,49.12,48.93,48.59,47.73,48.5,47.21,45.96,45.99,45.09,46.96,44.87,45.41,44.87,44.04,44.66,46.04,45.91,46.59,46.46,47.25,46.67,47.49,47.09,46.89,46.89,46.92,46.49,46.01,46.59,45.4,45.06,45.99,43.77,43.78,43.94,43.86,43.7,41.37,42.15,43.6,45.71,47.08,47.36,47.99,47.63,47.45,46.6,47.1,46.32,46.35,46.04,46.3,46.35,45.73,44.34,44.03,44.18,44.91,43.93,44.1,45.16,45.22,44.65,44.09,44.94,44.47,43.99,43.66,43.37,42.46,40.55,40.17,41.18,40.48,40.0,40.27,41.08,41.12,42.35,42.6,42.66,43.1,42.93,41.99,41.35,40.8,40.57,40.7,41.14,40.8,41.06,40.72,40.75,42.9,42.92,43.24,43.21,44.35,42.92,42.25,42.53,41.85,43.18,43.75,43.62,46.21,47.37,47.0,47.4,46.78,46.1,46.81,46.17,45.36,44.06,43.9,45.29,45.66,44.64,45.03,46.2,46.45,46.98,46.43,46.53,46.23,45.73,44.76,44.99,44.2,43.08,43.07,43.23,43.14,43.29,41.64,41.76,42.25,43.26,44.96,45.56,44.88,44.09,44.52,46.03,46.58,47.42,47.26,45.81,46.65,46.16,45.5,45.33,44.02,43.42,44.57,43.78,44.39,45.15,45.78,45.39,44.52,45.92,46.84,48.03,47.19,47.44,45.92,45.27,44.76,44.5,44.81,44.98,45.32,44.45,45.51,46.14,46.96,46.01,46.51,47.31,50.21,48.46,49.18,50.15,50.56,50.7,49.18,49.17,45.84,45.05,45.31,46.61,46.06,46.88,48.19,46.97,47.22,48.36,49.18,49.19,49.23,48.78,48.39,48.05,47.13,47.41,47.38,46.77,46.17,45.38,47.8,47.68,48.33,46.22,46.33,47.34,47.28,46.42,44.75,44.67,45.62,46.67,44.24,44.08,43.51,43.09,43.96,44.45,44.79,43.43,43.75,44.08,43.4,43.84,43.37,42.69,42.9,41.87,42.32,40.61,40.23,39.14,39.58,39.84,39.75,39.44,37.92,37.3,37.48,36.04,34.39,33.32,32.38,32.79,30.9,32.91,33.71,34.81,35.27,36.11,36.95,35.28,34.9,36.15,36.0,36.52,36.66,37.66,37.7,37.95,38.64,39.44,38.94,39.52,39.2,39.69,39.56,39.55,38.82,39.04,39.22,39.29,38.82,40.93,39.58,39.89,40.16,39.9,40.52,40.41,39.91,40.52,39.54,39.51,38.53,38.4,37.27,36.51,36.69,36.24,35.61,36.02,36.23,37.28,37.58,37.46,37.84,37.68,38.19,38.06,38.07,39.15,37.68,37.15,37.18,36.57,37.87,38.03,37.38,37.23,37.45,36.96,36.44,36.9,38.6,38.24,40.31,38.72,39.33,39.3,39.35,38.57,39.07,39.57,39.62,39.75,39.49,38.84,39.24,38.5,40.71,41.92,41.87,42.23,41.5,42.17,41.15,40.77,39.91,40.14,40.27,39.46,39.16,38.63,38.34,37.83,38.39,37.86,38.13,38.44,38.78,38.65,37.67,37.7,38.24,37.69,37.55,37.23,37.12,36.83,36.74,35.84,36.07,36.73,37.09,34.95,33.94,33.76,33.62,31.91,31.73,32.52,33.01,34.73,33.51,33.99,34.61,35.37,35.7,35.75,34.65,33.53,34.13,33.96,34.43,33.32,32.73,33.64,33.73,34.07,34.2,34.12,33.58,34.5,34.92,35.17,35.36,35.37,34.72,34.45,32.59,33.21,33.32,33.51,33.24,32.45,31.76,31.84,30.57,30.92,31.34,31.35,31.13,31.41,31.21,31.65,30.89,30.02,29.94,29.38,30.61,30.58,29.92,30.9,30.59,31.11,32.5,32.84,32.08,31.07,31.58,31.5,32.01,30.92,31.47,31.06,29.8,28.78,29.29,29.23,27.7,27.47,27.19,27.03,27.88,27.84,27.57,27.55,27.51,27.11,26.94,27.92,28.37,28.21,27.66,28.77,28.88,28.23,27.94,27.61,28.05,29.0,28.98,29.34,29.04,29.17,28.6,28.04,27.71,27.85,28.12,28.12,27.94,27.79,28.12,27.47,26.89,26.68,26.88,27.46,27.44,26.7,26.38,26.48,26.35,26.14,26.31,26.32,25.61,25.49,24.69,25.01,24.79,24.42,24.02,24.11,24.4,24.51,24.25,24.23,24.85,25.19,24.54,24.25,24.21,23.59,23.57,24.01,23.81,23.76,23.32,23.3,23.45,23.31,23.32,23.15,22.47,22.17,22.42,22.63,21.76,19.89,20.25,20.31,19.84,19.73,19.64,19.13,19.11,20.27,20.12,20.25,19.56,19.19,19.13,19.83,19.53,19.04,19.55,21.04,20.57,21.06,20.98,20.98,21.71,21.95,22.05,21.23,21.19,21.32,21.9,21.48,20.8,20.45,20.37,20.29,20.56,19.92,19.29,19.44,19.29,18.86,18.7,19.33,19.03,19.0,18.41,18.99,19.36,18.71,18.69,18.41,18.15,17.36,18.28,18.41,18.69,18.97,18.82,18.85,18.71,18.07,18.52,18.59,18.38,17.49,17.56,18.09,17.81,18.01,18.1,18.08,18.72,18.93,18.49,18.18,18.13,18.36,18.54,18.64,18.96,18.25,17.89,18.13,17.7,18.66,18.08,18.06,17.96,17.49,16.84,17.14,16.95,16.81,16.29,16.47,16.72,15.14,15.26,15.15,15.53,15.87,14.91,15.48,15.55,15.25,14.8,14.93,14.39,14.75,14.56,14.94,16.25,16.51,16.59,16.55,16.31,16.71,16.84,17.07,16.54,16.27,16.0,16.28,16.36,16.03,16.23,16.24,15.9,15.67,15.86,15.65,14.82,14.27,14.27,13.9,14.02,13.75,13.56,13.82,14.3,14.45,14.24,14.78,14.5,14.69,14.62,14.86,14.47,13.93,13.86,13.82,13.89,13.84,13.68,13.94,14.17,13.93,13.78,14.01,13.61,13.83,13.92,13.63,13.44,13.35,13.3,13.11,12.98,12.99,12.98,12.58,12.23,11.87,11.5,11.57,11.65,11.78,11.86,11.94,11.83,11.53,11.23,11.22,11.29,10.72,10.66,10.14,10.11,10.02,9.71,9.73,9.62,10.0,10.05,10.0,9.82,9.8,9.84,9.72,9.68,9.55,9.33,9.49,9.56,10.21,10.3,10.19,10.29,9.94,10.04,9.77,9.7,9.7,9.63,9.64,9.64,10.04,10.15,10.14,10.0,10.21,10.19,9.99,10.11,10.02,9.75,9.84,9.89,10.13,10.28,10.14,10.16,9.77,9.47,9.16,9.23,9.16,9.02,9.13,9.065,9.15,9.37,8.96,9.23,9.27,9.45,9.5,9.28,9.38,9.28,9.2,8.88,8.56,8.65,8.55,8.61,8.7,9.06,9.11,9.15,9.53,9.71,9.46,9.13,9.03,9.26,9.28,9.26,9.06,9.07,9.39,9.32,9.37,9.29,9.23,9.48,9.65,9.47,9.42,9.41,9.47,9.33,9.66,9.94,10.0,10.23,10.8,10.97,10.82,10.75,11.09,10.72,10.91,11.0,10.63,10.76,11.12,10.95,11.16,11.07,11.14,10.52,11.04,11.23,11.21,10.91,10.63,10.26,10.45,10.29,10.04,10.17,10.38,10.28,10.61,10.58,10.18,11.51,12.1,11.75,11.8,11.37,11.27,10.74,10.54,10.58,10.14,10.41,11.39,11.17,11.43,11.37,11.03,10.91,11.17,11.17,11.0,10.96,10.87,11.05,10.96,10.82,10.4,10.48,10.48,10.39,10.75,10.82,10.53,10.44,10.25,10.13,10.26,9.91,9.81,10.29,10.37,10.48,10.32,10.01,9.915,10.07,10.0,9.81,9.88,9.62,9.53,9.74,9.53,9.31,9.21,9.63,9.3,9.31,9.19,9.37,9.47,9.37,9.36,9.67,9.77,9.64,9.81,9.9,9.66,9.53,9.69,9.93,10.05,10.83,10.93,10.83,10.94,11.15,10.89,11.12,10.99,10.97,10.99,11.3,11.1,10.9,10.55,10.77,10.39,10.17,9.96,9.38,9.29,9.41,9.33,8.92,8.73,8.85,8.87,8.61,8.27,8.28,8.32,8.33,8.01,8.04,8.09,8.09,8.12,8.18,8.33,8.36,8.47,8.63,8.51,9.02,8.59,8.15,7.99,8.5,8.5,8.18,8.56,8.47,8.61,8.41,8.52,8.12,7.8,7.43,7.12,7.12],"SP50^FG_PRICE(NOW,-5AY)":[4594.62,4701.46,4690.7,4682.94,4697.96,4704.54,4688.67,4700.9,4682.8,4682.85,4649.27,4646.71,4685.25,4701.7,4697.53,4680.06,4660.57,4630.65,4613.67,4605.38,4596.42,4551.68,4574.79,4566.48,4544.9,4549.78,4536.19,4519.63,4486.46,4471.37,4438.26,4363.8,4350.65,4361.19,4391.34,4399.76,4363.55,4345.72,4300.46,4357.04,4307.54,4359.461,4352.63,4443.11,4455.48,4448.98,4395.64,4354.19,4357.73,4432.99,4473.75,4480.7,4443.05,4468.73,4458.58,4493.28,4514.07,4520.03,4535.43,4536.95,4524.09,4522.68,4528.79,4509.37,4470.0,4496.19,4486.23,4479.53,4441.67,4405.8,4400.27,4448.08,4479.71,4468.0,4460.83,4447.7,4436.75,4432.35,4436.52,4429.1,4402.66,4423.15,4387.16,4395.26,4419.15,4400.64,4401.46,4422.3,4411.79,4367.48,4358.69,4323.06,4258.49,4327.16,4360.03,4374.3,4369.21,4384.63,4369.55,4320.82,4358.13,4343.54,4352.34,4319.94,4297.5,4291.8,4290.61,4280.7,4266.49,4241.84,4246.44,4224.79,4166.45,4221.86,4223.7,4246.59,4255.15,4247.44,4239.18,4219.55,4227.26,4226.52,4229.89,4192.85,4208.12,4202.04,4204.11,4200.88,4195.99,4188.13,4197.05,4155.86,4159.12,4115.68,4127.83,4163.29,4173.85,4112.5,4063.04,4152.1,4188.43,4232.6,4201.62,4167.59,4164.66,4192.66,4181.17,4211.47,4183.18,4186.72,4187.62,4180.17,4134.98,4173.42,4134.94,4163.26,4185.47,4170.42,4124.66,4141.59,4127.99,4128.8,4097.17,4079.95,4073.94,4077.91,4019.87,3972.89,3958.55,3971.09,3974.54,3909.52,3889.14,3910.52,3940.59,3913.1,3915.46,3974.12,3962.71,3968.94,3943.34,3939.34,3898.81,3875.44,3821.35,3841.94,3768.47,3819.72,3870.29,3901.82,3811.15,3829.34,3925.43,3881.37,3876.5,3906.71,3913.97,3931.33,3932.59,3934.83,3916.38,3909.88,3911.23,3915.59,3886.83,3871.74,3830.17,3826.31,3773.86,3714.24,3787.38,3750.77,3849.62,3855.36,3841.47,3853.07,3851.85,3798.91,3768.25,3795.54,3809.84,3801.19,3799.61,3824.68,3803.79,3748.14,3726.86,3700.65,3756.07,3732.04,3727.04,3735.36,3703.06,3690.01,3687.26,3694.92,3709.41,3722.48,3701.17,3694.62,3647.49,3663.46,3668.1,3672.82,3702.25,3691.96,3699.12,3666.72,3669.01,3662.45,3621.63,3638.35,3629.65,3635.41,3577.59,3557.54,3581.87,3567.79,3609.53,3626.91,3585.15,3537.01,3572.66,3545.53,3550.5,3509.44,3510.45,3443.44,3369.1567,3310.24,3269.96,3310.11,3271.03,3390.68,3400.97,3465.39,3453.49,3435.56,3443.12,3426.92,3483.81,3483.34,3488.67,3511.93,3534.22,3477.13,3446.83,3419.45,3360.95,3408.63,3348.44,3380.8,3363.0,3335.47,3351.6,3298.46,3246.59,3236.92,3315.57,3281.06,3319.47,3357.01,3385.49,3401.2,3383.54,3340.97,3339.19,3398.96,3331.84,3426.96,3455.06,3580.84,3526.65,3500.31,3508.01,3484.55,3478.73,3443.62,3431.28,3397.16,3385.51,3374.85,3389.78,3381.99,3372.85,3373.43,3380.35,3333.69,3360.47,3351.28,3349.16,3327.77,3306.51,3294.61,3271.12,3246.22,3258.44,3218.44,3239.41,3215.63,3235.66,3276.02,3257.3,3251.84,3224.73,3215.57,3226.56,3197.52,3155.22,3185.04,3152.05,3169.94,3145.32,3179.72,3130.01,3115.86,3100.29,3053.24,3009.05,3083.76,3050.33,3131.29,3117.86,3097.74,3115.34,3113.49,3124.74,3066.59,3041.31,3002.1,3190.14,3207.18,3232.39,3193.93,3112.35,3122.87,3080.82,3055.73,3044.31,3029.73,3036.13,2991.77,2955.45,2948.51,2971.61,2922.94,2953.91,2863.7,2852.5,2820.0,2870.12,2930.32,2929.8,2881.19,2848.42,2868.44,2842.74,2830.71,2912.43,2939.51,2863.39,2878.48,2836.74,2797.8,2799.31,2736.56,2823.16,2874.56,2799.55,2783.36,2846.06,2761.63,2789.82,2749.98,2659.41,2663.68,2488.65,2526.9,2470.5,2584.59,2626.65,2541.47,2630.07,2475.56,2447.33,2237.4,2304.92,2409.39,2398.1,2529.19,2386.13,2711.02,2480.64,2741.38,2882.23,2746.56,2972.37,3023.94,3130.12,3003.37,3090.23,2954.22,2978.76,3116.39,3128.21,3225.89,3337.75,3373.23,3386.15,3370.29,3380.16,3373.94,3379.45,3357.75,3352.09,3327.71,3345.78,3334.69,3297.59,3248.92,3225.52,3283.66,3273.4,3276.24,3243.63,3295.47,3325.54,3321.75,3320.79,3329.62,3316.81,3289.29,3283.15,3288.13,3265.35,3274.7,3253.05,3237.18,3246.28,3234.85,3257.85,3230.78,3221.29,3240.02,3239.91,3223.38,3224.01,3221.22,3205.37,3191.14,3192.52,3191.45,3168.8,3168.57,3141.63,3132.52,3135.96,3145.91,3117.43,3112.76,3093.2,3113.87,3140.98,3153.63,3140.52,3133.64,3110.29,3103.54,3108.46,3120.18,3122.03,3120.46,3096.63,3094.04,3091.84,3087.01,3093.08,3085.18,3076.78,3074.62,3078.27,3066.91,3037.56,3046.77,3036.89,3039.42,3022.55,3010.29,3004.52,2995.99,3006.72,2986.2,2997.95,2989.69,2995.68,2966.15,2970.27,2938.13,2919.4,2893.06,2938.79,2952.01,2910.63,2887.61,2940.25,2976.74,2961.79,2977.62,2984.87,2966.6,2991.78,2992.07,3006.79,3006.73,3005.7,2997.96,3007.39,3009.57,3000.93,2979.39,2978.43,2978.71,2976.0,2937.78,2906.27,2926.46,2924.58,2887.94,2869.16,2878.38,2847.11,2922.95,2924.43,2900.51,2923.65,2888.68,2847.6,2840.6,2926.32,2883.75,2918.65,2938.09,2883.98,2881.77,2844.74,2932.05,2953.56,2980.38,3013.18,3020.97,3025.86,3003.67,3019.56,3005.47,2985.03,2976.61,2995.11,2984.42,3004.04,3014.3,3013.77,2999.91,2993.07,2979.63,2975.95,2990.41,2995.82,2973.01,2964.33,2941.76,2924.92,2913.78,2917.38,2945.35,2950.46,2954.18,2926.46,2917.75,2889.67,2886.98,2891.64,2879.84,2885.72,2886.73,2873.34,2843.49,2826.15,2803.27,2744.45,2752.06,2788.86,2783.02,2802.39,2826.06,2822.24,2856.27,2864.36,2840.23,2859.53,2876.32,2850.96,2834.41,2811.87,2881.4,2870.72,2879.42,2884.05,2932.47,2945.64,2917.52,2923.73,2945.83,2943.03,2939.88,2926.17,2927.25,2933.68,2907.97,2905.03,2900.45,2907.06,2905.58,2907.41,2888.32,2888.21,2878.2,2895.77,2892.74,2879.39,2873.4,2867.24,2867.19,2834.4,2815.44,2805.37,2818.46,2798.36,2800.71,2854.88,2824.23,2832.57,2832.94,2822.48,2808.48,2810.92,2791.52,2783.3,2743.07,2748.93,2771.45,2789.65,2792.81,2803.69,2784.49,2792.38,2793.9,2796.11,2792.67,2774.88,2784.7,2779.76,2775.6,2745.73,2753.03,2744.73,2709.8,2707.88,2706.05,2731.61,2737.7,2724.87,2706.53,2704.1,2681.05,2640.0,2643.85,2664.76,2642.33,2638.7,2632.9,2670.71,2635.96,2616.1,2610.3,2582.61,2596.26,2596.64,2584.96,2574.41,2549.69,2531.94,2447.89,2510.03,2506.85,2485.74,2488.83,2467.7,2351.1,2416.62,2467.42,2506.96,2546.16,2545.94,2599.95,2650.54,2651.07,2636.78,2637.72,2633.08,2695.95,2700.06,2790.37,2760.17,2737.76,2743.79,2682.17,2673.45,2632.56,2649.93,2641.89,2690.73,2736.27,2730.2,2701.58,2722.18,2726.22,2781.01,2806.83,2813.89,2755.45,2738.31,2723.06,2740.37,2711.74,2682.63,2641.25,2658.69,2705.57,2656.1,2740.69,2755.88,2767.78,2768.78,2809.21,2809.92,2750.79,2767.13,2728.37,2785.68,2880.34,2884.43,2885.57,2901.61,2925.51,2923.43,2924.59,2913.98,2914.0,2905.97,2915.56,2919.37,2929.67,2930.75,2907.95,2904.31,2888.8,2904.98,2904.18,2888.92,2887.89,2877.13,2871.68,2878.05,2888.6,2896.72,2901.52,2901.13,2914.04,2897.52,2896.74,2874.69,2856.98,2861.82,2862.96,2857.05,2850.13,2840.69,2818.37,2839.96,2821.93,2833.28,2853.58,2857.7,2858.45,2850.4,2840.35,2827.22,2813.36,2816.29,2802.6,2818.82,2837.44,2846.07,2820.4,2806.98,2801.83,2804.49,2815.62,2809.55,2798.43,2801.31,2798.29,2774.02,2793.84,2784.17,2759.82,2736.61,2713.22,2726.71,2718.37,2716.31,2699.63,2723.06,2717.07,2754.88,2749.76,2767.32,2762.59,2773.75,2779.66,2782.49,2775.63,2786.85,2782.0,2779.03,2770.37,2772.35,2748.8,2746.87,2734.62,2705.27,2724.01,2689.86,2721.33,2727.76,2733.29,2724.44,2733.01,2712.97,2720.13,2722.46,2711.45,2730.13,2727.72,2723.07,2697.79,2671.92,2672.63,2663.42,2629.73,2635.67,2654.8,2648.05,2669.91,2666.94,2639.4,2634.56,2670.29,2670.14,2693.13,2708.64,2706.39,2677.84,2656.3,2663.99,2642.19,2656.87,2613.16,2604.47,2662.84,2644.69,2614.45,2581.88,2640.87,2605.0,2612.62,2658.55,2588.26,2643.69,2711.93,2716.94,2712.92,2752.01,2747.33,2749.48,2765.31,2783.02,2786.57,2738.97,2726.8,2728.12,2720.94,2691.25,2677.67,2713.83,2744.28,2779.6,2747.3,2703.96,2701.33,2716.26,2732.22,2731.2,2698.63,2662.94,2656.0,2619.55,2581.0,2681.66,2695.14,2648.94,2762.13,2821.98,2823.81,2822.43,2853.53,2872.87,2839.25,2837.54,2839.13,2832.97,2810.3,2798.03,2802.56,2776.42,2786.24,2767.56,2748.23,2751.29,2747.71,2743.15,2723.99,2713.06,2695.81,2673.61,2687.54,2682.62,2680.5,2683.34,2684.57,2679.25,2681.47,2690.16,2675.81,2652.01,2662.85,2664.11,2659.99,2651.5,2636.98,2629.27,2629.57,2639.44,2642.22,2647.58,2626.07,2627.04,2601.42,2602.42,2597.08,2599.03,2582.14,2578.85,2585.64,2564.62,2578.87,2584.84,2582.3,2584.62,2594.38,2590.64,2591.13,2587.84,2579.85,2579.36,2575.26,2572.83,2581.07,2560.4,2557.15,2569.13,2564.98,2575.21,2562.1,2561.26,2559.36,2557.64,2553.17,2550.93,2555.24,2550.64,2544.73,2549.33,2552.07,2537.74,2534.58,2529.12,2519.36,2510.06,2507.04,2496.84,2496.66,2502.22,2500.6,2508.24,2506.65,2503.87,2500.23,2495.62,2498.37,2496.48,2488.11,2461.43,2465.1,2465.54,2457.85,2476.55,2471.65,2457.59,2446.3,2444.24,2443.05,2438.97,2444.04,2452.51,2428.37,2425.55,2430.01,2468.11,2464.61,2465.84,2441.32,2438.21,2474.02,2474.92,2480.91,2476.83,2472.16,2477.57,2476.35,2470.3,2472.1,2475.42,2477.83,2477.13,2469.91,2472.54,2473.45,2473.83,2460.61,2459.14,2459.27,2447.83,2443.25,2425.53,2427.43,2425.18,2409.75,2432.54,2429.01,2423.41,2419.7,2440.69,2419.38,2439.07,2438.3,2434.5,2435.61,2437.03,2453.46,2433.15,2432.46,2437.92,2440.35,2429.39,2431.77,2433.79,2433.14,2429.33,2436.1,2439.07,2430.06,2411.8,2412.91,2415.82,2415.07,2404.39,2398.42,2394.02,2381.73,2365.72,2357.03,2400.67,2402.32,2390.9,2394.44,2399.63,2396.92,2399.38,2399.29,2389.52,2388.13,2391.17,2388.33,2384.2,2388.77,2387.45,2388.61,2374.15,2348.69,2355.84,2338.17,2342.19,2349.01,2328.95,2344.93,2353.78,2357.16,2355.54,2357.49,2352.95,2360.16,2358.84,2362.72,2368.06,2361.13,2358.57,2341.59,2343.98,2345.96,2348.45,2344.02,2373.47,2378.25,2381.38,2385.26,2365.45,2373.47,2372.6,2364.87,2362.98,2368.39,2375.31,2383.12,2381.92,2395.96,2363.64,2369.75,2367.34,2363.81,2362.82,2365.38,2351.16,2347.22,2349.25,2337.58,2328.25,2316.1,2307.87,2294.67,2293.08,2292.56,2297.42,2280.85,2279.55,2278.87,2280.9,2294.69,2296.68,2298.37,2280.07,2265.2,2271.31,2263.69,2271.89,2267.89,2274.64,2270.44,2275.32,2268.9,2268.9,2276.98,2269.0,2270.75,2257.83,2238.83,2249.26,2249.92,2268.88,2263.79,2260.96,2265.18,2270.76,2262.53,2258.07,2262.03,2253.28,2271.72,2256.96,2259.53,2246.19,2241.35,2212.23,2204.71,2191.95,2191.08,2198.81,2204.66,2201.72,2213.35,2204.72],"DAL-US^FG_PRICE(NOW,-5AY)":[36.38,39.69,39.53,39.77,39.69,40.12,40.71,41.04,42.38,42.22,43.45,43.71,44.53,44.65,44.29,40.99,41.24,40.39,40.42,39.13,39.15,39.07,39.71,39.51,39.74,40.4,40.3,40.45,41.01,40.99,41.2,41.03,43.54,43.19,43.38,43.68,44.02,44.74,44.96,45.38,42.61,43.36,43.44,43.78,43.53,42.59,41.59,40.36,40.78,40.11,40.22,39.64,39.44,40.18,39.36,41.09,39.65,40.35,40.25,40.82,40.4,40.44,39.91,41.52,40.77,41.3,40.53,39.21,38.12,37.93,38.65,38.78,39.93,39.9,40.53,41.3,40.46,39.29,40.32,39.99,38.35,39.77,39.45,39.9,41.23,41.3,40.96,41.67,40.41,41.06,41.61,40.66,38.56,40.06,41.35,40.68,41.33,42.85,42.92,42.07,42.54,43.24,44.15,44.23,43.26,42.87,43.12,44.43,44.91,45.27,45.37,45.77,44.96,44.57,45.52,45.53,45.9,46.5,46.28,46.52,47.04,46.08,45.98,46.13,47.77,47.7,47.68,48.05,47.49,46.67,46.17,45.21,45.41,46.14,46.73,46.75,46.31,43.97,43.03,44.52,45.43,46.11,44.93,45.2,44.66,46.57,46.92,46.38,46.44,46.34,46.61,45.8,44.65,45.7,44.45,46.15,46.64,46.82,48.17,48.26,48.82,49.27,49.81,50.2,51.65,50.25,48.83,48.28,48.9,47.32,47.66,47.01,45.61,45.64,47.97,49.0,49.18,50.44,49.39,50.99,49.83,48.32,47.8,47.62,47.88,46.21,46.96,48.35,48.23,48.06,47.94,48.25,49.6,48.34,47.74,45.67,44.38,44.39,44.65,43.29,42.72,42.9,42.51,43.24,41.15,40.93,39.78,38.8,37.82,37.96,40.08,38.52,39.32,38.9,40.0,40.67,41.62,40.31,39.98,41.47,40.45,40.3,39.41,40.02,40.23,40.38,39.55,38.73,40.21,40.56,40.03,40.15,39.73,40.24,38.94,40.14,40.68,41.11,41.08,41.85,40.69,41.74,42.62,42.11,42.41,42.35,42.36,42.95,41.07,39.96,40.25,41.06,41.29,41.26,38.79,37.13,37.91,37.91,37.6,38.0,36.46,34.38,35.02,37.04,36.77,31.42,31.98,30.43,30.9,30.22,30.64,30.76,29.65,30.71,31.93,34.0,33.72,31.5,31.98,31.5,31.47,31.34,31.76,31.77,32.64,32.81,32.68,32.15,31.06,32.0,31.75,31.1,30.58,30.61,31.34,29.78,29.01,29.56,30.22,29.82,32.84,33.96,34.57,33.51,32.82,31.7,31.79,31.76,32.54,31.77,31.22,31.14,30.71,30.85,31.99,30.82,29.95,30.1,29.8,27.27,27.62,27.67,27.63,28.02,28.95,28.7,29.09,29.64,29.34,27.18,27.08,26.47,25.67,25.2,24.97,24.94,25.72,25.94,25.5,25.96,26.78,26.25,26.43,26.22,27.05,27.26,28.6,26.11,26.82,27.09,25.65,27.01,27.01,28.44,27.72,27.7,28.05,28.61,26.91,28.01,27.34,29.64,29.31,29.51,30.79,30.72,31.3,30.46,30.43,27.2,31.64,34.17,36.97,34.16,32.38,28.47,26.41,26.17,25.21,25.66,26.32,25.65,22.69,23.16,22.72,21.76,21.86,19.19,19.38,19.41,21.03,22.01,22.72,21.68,21.0,21.71,22.57,24.12,25.91,27.32,24.34,22.16,22.41,22.48,22.47,23.1,23.64,24.27,22.78,24.35,24.54,23.25,24.39,23.23,22.25,22.32,22.48,22.68,23.87,28.53,28.67,29.55,31.7,31.1,26.89,22.22,21.35,21.51,23.49,31.74,35.81,38.36,33.71,42.67,45.47,43.52,45.89,45.01,48.5,46.18,47.16,46.13,48.19,49.59,50.89,54.23,57.87,58.38,58.51,58.72,58.9,59.13,59.47,58.66,57.71,57.92,58.18,58.89,57.93,56.04,55.74,57.1,56.65,57.48,56.83,58.81,60.27,59.64,60.34,62.03,61.88,61.62,61.45,59.49,59.24,58.96,58.85,57.61,57.66,58.06,59.04,58.48,58.66,59.08,59.56,59.39,59.44,58.97,59.14,58.58,58.69,58.42,56.73,56.69,55.08,55.53,55.8,56.14,55.88,56.06,55.62,56.75,57.31,57.07,57.46,56.35,56.11,55.31,55.67,57.07,57.08,56.85,56.55,56.5,57.22,57.21,57.58,57.66,57.58,57.51,56.88,56.02,55.08,55.32,55.38,55.17,54.6,53.79,53.81,54.65,54.58,53.83,53.37,53.17,53.64,52.99,52.95,53.1,53.92,53.2,53.36,53.81,52.83,54.35,57.01,57.6,58.28,58.78,58.31,58.0,58.02,58.63,58.69,59.31,59.37,59.07,60.01,59.44,58.78,58.64,58.11,57.98,58.19,57.23,57.29,57.86,57.88,56.68,56.14,56.28,56.2,57.96,58.01,57.68,58.19,58.04,57.11,57.23,58.84,58.66,59.53,60.03,59.24,58.79,57.82,60.13,60.32,61.04,62.63,62.46,62.16,62.23,63.16,63.09,61.29,60.91,62.66,62.25,63.16,61.7,61.65,60.16,59.47,58.96,59.37,58.7,59.15,58.54,57.79,56.75,56.82,56.38,55.92,56.07,55.99,55.97,56.36,56.03,55.67,55.99,56.52,55.45,54.88,54.73,55.07,54.69,54.94,54.31,52.1,51.5,53.03,53.21,53.88,54.12,54.0,54.06,54.83,54.28,54.89,55.38,55.05,55.25,54.8,56.62,56.59,56.45,57.17,57.73,57.8,57.66,57.18,58.29,57.73,57.11,56.71,57.85,58.24,57.75,58.17,58.43,58.11,57.45,58.05,58.39,57.86,56.95,57.71,57.73,57.22,57.0,55.33,52.18,51.65,50.32,49.97,49.09,49.03,49.76,50.3,49.87,50.96,50.74,51.19,50.94,51.02,50.67,51.12,49.59,49.59,49.71,49.72,48.79,48.96,49.58,50.43,51.12,51.41,51.52,51.48,51.24,51.82,51.08,50.48,50.41,49.89,50.61,50.47,50.41,50.52,50.54,50.34,49.92,49.43,50.27,48.22,48.01,47.69,47.52,47.3,47.1,48.11,48.22,47.5,47.83,47.75,48.56,48.73,48.47,47.47,47.85,47.79,45.61,50.09,49.9,50.18,50.5,50.41,47.96,49.45,50.91,51.93,52.95,52.39,53.51,53.55,56.27,55.89,56.32,56.07,58.08,56.94,60.12,60.71,58.86,58.87,58.31,56.71,57.16,55.97,55.41,56.19,55.9,56.1,56.43,56.82,56.7,56.65,56.73,56.79,55.47,56.05,56.12,56.04,54.73,55.12,53.42,53.28,53.71,51.51,53.45,54.24,53.39,53.13,54.3,53.11,51.84,52.05,51.48,49.71,50.86,52.14,52.7,53.56,54.32,54.69,56.6,57.83,58.0,57.51,57.1,57.41,59.61,58.13,57.9,57.83,57.96,57.93,57.82,57.39,58.27,57.56,56.86,56.44,57.21,58.88,58.48,58.44,58.52,58.79,57.75,57.18,56.94,56.91,57.6,57.42,55.65,55.45,55.23,54.76,54.22,54.71,55.34,55.23,54.7,54.42,54.26,53.91,53.59,54.42,53.79,54.46,53.98,51.66,51.68,52.24,51.99,53.0,52.8,51.14,50.67,50.77,50.73,49.84,50.6,50.51,49.58,49.26,48.78,49.92,49.54,49.8,49.89,51.07,51.31,52.72,53.73,53.84,53.78,54.8,55.18,54.9,54.65,54.55,54.89,54.09,53.46,54.17,54.67,55.19,54.42,54.05,54.31,54.23,55.87,54.4,53.4,53.52,53.98,52.95,53.1,53.48,52.37,52.09,52.9,52.06,51.62,52.37,51.9,52.34,51.79,52.36,52.74,52.22,53.5,53.13,54.65,53.81,54.61,55.4,55.07,55.21,54.55,54.3,52.92,52.98,51.47,52.36,52.56,53.05,54.21,53.86,53.72,51.95,54.81,53.93,54.26,55.06,53.9,54.67,55.95,56.5,55.96,56.69,56.34,56.15,56.59,56.16,56.09,54.64,53.53,53.84,53.79,53.26,53.35,53.9,53.62,54.69,53.46,52.55,53.16,52.47,52.85,52.95,52.2,52.17,52.05,50.46,51.23,53.85,53.1,52.52,54.62,56.42,56.77,56.12,55.76,55.26,54.81,56.8,59.93,60.13,60.01,59.45,59.72,59.35,59.83,58.52,55.86,54.17,54.68,55.97,55.69,55.69,56.74,56.0,56.35,56.12,56.43,56.03,56.03,56.22,55.75,56.07,56.1,55.25,53.63,53.62,54.37,53.46,53.41,52.3,52.39,52.91,52.06,52.92,52.1,50.58,49.59,50.11,50.41,50.67,49.79,49.82,50.45,49.33,48.9,48.86,48.89,49.19,50.06,49.91,50.57,50.4,50.34,50.35,50.03,50.33,50.56,50.93,52.24,53.18,52.28,53.27,52.27,52.86,52.76,53.62,53.96,53.11,53.07,52.7,51.74,52.01,51.68,51.56,51.25,48.07,48.22,48.31,47.72,48.5,48.32,48.47,48.16,48.04,47.9,47.96,48.25,48.27,48.98,49.04,48.82,47.45,47.12,47.39,45.84,47.52,47.19,46.83,46.62,46.95,46.68,45.21,46.18,47.15,47.81,47.53,47.53,50.13,49.92,50.07,49.48,49.04,49.67,50.31,50.75,50.61,50.57,50.01,50.07,49.36,50.33,50.08,51.13,51.14,51.53,52.26,52.83,53.79,53.96,54.64,55.13,54.5,55.48,54.28,54.81,55.46,54.37,54.33,54.06,53.74,53.87,53.84,52.84,52.87,52.92,52.81,52.27,51.76,52.51,52.0,51.56,51.91,51.87,52.25,53.01,52.84,52.27,51.23,51.39,51.19,49.85,49.13,49.06,50.8,50.4,48.87,48.59,48.49,48.2,47.66,47.74,49.51,49.51,48.99,49.69,49.97,49.56,48.52,48.7,48.64,48.31,47.83,45.4,45.44,45.74,46.37,46.73,46.81,45.53,45.93,45.08,44.41,44.35,44.03,45.05,45.29,44.97,45.17,45.26,45.08,45.11,46.32,45.96,46.27,45.95,46.53,46.1,46.0,45.92,45.74,45.52,46.85,46.51,47.41,47.19,46.28,47.35,47.91,47.25,47.67,47.64,48.85,50.13,49.96,51.03,49.93,50.44,50.46,50.48,50.93,51.21,51.23,50.83,51.17,49.86,50.06,49.26,49.33,48.1,48.15,48.26,47.81,47.38,47.26,47.24,47.67,49.7,50.9,50.19,49.44,48.77,50.5,49.7,50.3,50.33,51.23,50.89,51.44,50.93,49.69,49.68,49.73,50.7,49.48,49.19,49.31,49.51,50.36,49.89,49.8,50.92,50.76,50.42,50.16,50.5,49.82,49.66,49.97,51.78,51.35,51.1,49.43,47.82,48.31,47.77,48.18,48.59,48.49,49.24,49.21],"SP50^FG_PRICE(NOW,-3AY)":[4594.62,4701.46,4690.7,4682.94,4697.96,4704.54,4688.67,4700.9,4682.8,4682.85,4649.27,4646.71,4685.25,4701.7,4697.53,4680.06,4660.57,4630.65,4613.67,4605.38,4596.42,4551.68,4574.79,4566.48,4544.9,4549.78,4536.19,4519.63,4486.46,4471.37,4438.26,4363.8,4350.65,4361.19,4391.34,4399.76,4363.55,4345.72,4300.46,4357.04,4307.54,4359.461,4352.63,4443.11,4455.48,4448.98,4395.64,4354.19,4357.73,4432.99,4473.75,4480.7,4443.05,4468.73,4458.58,4493.28,4514.07,4520.03,4535.43,4536.95,4524.09,4522.68,4528.79,4509.37,4470.0,4496.19,4486.23,4479.53,4441.67,4405.8,4400.27,4448.08,4479.71,4468.0,4460.83,4447.7,4436.75,4432.35,4436.52,4429.1,4402.66,4423.15,4387.16,4395.26,4419.15,4400.64,4401.46,4422.3,4411.79,4367.48,4358.69,4323.06,4258.49,4327.16,4360.03,4374.3,4369.21,4384.63,4369.55,4320.82,4358.13,4343.54,4352.34,4319.94,4297.5,4291.8,4290.61,4280.7,4266.49,4241.84,4246.44,4224.79,4166.45,4221.86,4223.7,4246.59,4255.15,4247.44,4239.18,4219.55,4227.26,4226.52,4229.89,4192.85,4208.12,4202.04,4204.11,4200.88,4195.99,4188.13,4197.05,4155.86,4159.12,4115.68,4127.83,4163.29,4173.85,4112.5,4063.04,4152.1,4188.43,4232.6,4201.62,4167.59,4164.66,4192.66,4181.17,4211.47,4183.18,4186.72,4187.62,4180.17,4134.98,4173.42,4134.94,4163.26,4185.47,4170.42,4124.66,4141.59,4127.99,4128.8,4097.17,4079.95,4073.94,4077.91,4019.87,3972.89,3958.55,3971.09,3974.54,3909.52,3889.14,3910.52,3940.59,3913.1,3915.46,3974.12,3962.71,3968.94,3943.34,3939.34,3898.81,3875.44,3821.35,3841.94,3768.47,3819.72,3870.29,3901.82,3811.15,3829.34,3925.43,3881.37,3876.5,3906.71,3913.97,3931.33,3932.59,3934.83,3916.38,3909.88,3911.23,3915.59,3886.83,3871.74,3830.17,3826.31,3773.86,3714.24,3787.38,3750.77,3849.62,3855.36,3841.47,3853.07,3851.85,3798.91,3768.25,3795.54,3809.84,3801.19,3799.61,3824.68,3803.79,3748.14,3726.86,3700.65,3756.07,3732.04,3727.04,3735.36,3703.06,3690.01,3687.26,3694.92,3709.41,3722.48,3701.17,3694.62,3647.49,3663.46,3668.1,3672.82,3702.25,3691.96,3699.12,3666.72,3669.01,3662.45,3621.63,3638.35,3629.65,3635.41,3577.59,3557.54,3581.87,3567.79,3609.53,3626.91,3585.15,3537.01,3572.66,3545.53,3550.5,3509.44,3510.45,3443.44,3369.1567,3310.24,3269.96,3310.11,3271.03,3390.68,3400.97,3465.39,3453.49,3435.56,3443.12,3426.92,3483.81,3483.34,3488.67,3511.93,3534.22,3477.13,3446.83,3419.45,3360.95,3408.63,3348.44,3380.8,3363.0,3335.47,3351.6,3298.46,3246.59,3236.92,3315.57,3281.06,3319.47,3357.01,3385.49,3401.2,3383.54,3340.97,3339.19,3398.96,3331.84,3426.96,3455.06,3580.84,3526.65,3500.31,3508.01,3484.55,3478.73,3443.62,3431.28,3397.16,3385.51,3374.85,3389.78,3381.99,3372.85,3373.43,3380.35,3333.69,3360.47,3351.28,3349.16,3327.77,3306.51,3294.61,3271.12,3246.22,3258.44,3218.44,3239.41,3215.63,3235.66,3276.02,3257.3,3251.84,3224.73,3215.57,3226.56,3197.52,3155.22,3185.04,3152.05,3169.94,3145.32,3179.72,3130.01,3115.86,3100.29,3053.24,3009.05,3083.76,3050.33,3131.29,3117.86,3097.74,3115.34,3113.49,3124.74,3066.59,3041.31,3002.1,3190.14,3207.18,3232.39,3193.93,3112.35,3122.87,3080.82,3055.73,3044.31,3029.73,3036.13,2991.77,2955.45,2948.51,2971.61,2922.94,2953.91,2863.7,2852.5,2820.0,2870.12,2930.32,2929.8,2881.19,2848.42,2868.44,2842.74,2830.71,2912.43,2939.51,2863.39,2878.48,2836.74,2797.8,2799.31,2736.56,2823.16,2874.56,2799.55,2783.36,2846.06,2761.63,2789.82,2749.98,2659.41,2663.68,2488.65,2526.9,2470.5,2584.59,2626.65,2541.47,2630.07,2475.56,2447.33,2237.4,2304.92,2409.39,2398.1,2529.19,2386.13,2711.02,2480.64,2741.38,2882.23,2746.56,2972.37,3023.94,3130.12,3003.37,3090.23,2954.22,2978.76,3116.39,3128.21,3225.89,3337.75,3373.23,3386.15,3370.29,3380.16,3373.94,3379.45,3357.75,3352.09,3327.71,3345.78,3334.69,3297.59,3248.92,3225.52,3283.66,3273.4,3276.24,3243.63,3295.47,3325.54,3321.75,3320.79,3329.62,3316.81,3289.29,3283.15,3288.13,3265.35,3274.7,3253.05,3237.18,3246.28,3234.85,3257.85,3230.78,3221.29,3240.02,3239.91,3223.38,3224.01,3221.22,3205.37,3191.14,3192.52,3191.45,3168.8,3168.57,3141.63,3132.52,3135.96,3145.91,3117.43,3112.76,3093.2,3113.87,3140.98,3153.63,3140.52,3133.64,3110.29,3103.54,3108.46,3120.18,3122.03,3120.46,3096.63,3094.04,3091.84,3087.01,3093.08,3085.18,3076.78,3074.62,3078.27,3066.91,3037.56,3046.77,3036.89,3039.42,3022.55,3010.29,3004.52,2995.99,3006.72,2986.2,2997.95,2989.69,2995.68,2966.15,2970.27,2938.13,2919.4,2893.06,2938.79,2952.01,2910.63,2887.61,2940.25,2976.74,2961.79,2977.62,2984.87,2966.6,2991.78,2992.07,3006.79,3006.73,3005.7,2997.96,3007.39,3009.57,3000.93,2979.39,2978.43,2978.71,2976.0,2937.78,2906.27,2926.46,2924.58,2887.94,2869.16,2878.38,2847.11,2922.95,2924.43,2900.51,2923.65,2888.68,2847.6,2840.6,2926.32,2883.75,2918.65,2938.09,2883.98,2881.77,2844.74,2932.05,2953.56,2980.38,3013.18,3020.97,3025.86,3003.67,3019.56,3005.47,2985.03,2976.61,2995.11,2984.42,3004.04,3014.3,3013.77,2999.91,2993.07,2979.63,2975.95,2990.41,2995.82,2973.01,2964.33,2941.76,2924.92,2913.78,2917.38,2945.35,2950.46,2954.18,2926.46,2917.75,2889.67,2886.98,2891.64,2879.84,2885.72,2886.73,2873.34,2843.49,2826.15,2803.27,2744.45,2752.06,2788.86,2783.02,2802.39,2826.06,2822.24,2856.27,2864.36,2840.23,2859.53,2876.32,2850.96,2834.41,2811.87,2881.4,2870.72,2879.42,2884.05,2932.47,2945.64,2917.52,2923.73,2945.83,2943.03,2939.88,2926.17,2927.25,2933.68,2907.97,2905.03,2900.45,2907.06,2905.58,2907.41,2888.32,2888.21,2878.2,2895.77,2892.74,2879.39,2873.4,2867.24,2867.19,2834.4,2815.44,2805.37,2818.46,2798.36,2800.71,2854.88,2824.23,2832.57,2832.94,2822.48,2808.48,2810.92,2791.52,2783.3,2743.07,2748.93,2771.45,2789.65,2792.81,2803.69,2784.49,2792.38,2793.9,2796.11,2792.67,2774.88,2784.7,2779.76,2775.6,2745.73,2753.03,2744.73,2709.8,2707.88,2706.05,2731.61,2737.7,2724.87,2706.53,2704.1,2681.05,2640.0,2643.85,2664.76,2642.33,2638.7,2632.9,2670.71,2635.96,2616.1,2610.3,2582.61,2596.26,2596.64,2584.96,2574.41,2549.69,2531.94,2447.89,2510.03,2506.85,2485.74,2488.83,2467.7,2351.1,2416.62,2467.42,2506.96,2546.16,2545.94,2599.95,2650.54,2651.07,2636.78,2637.72,2633.08,2695.95,2700.06,2790.37,2760.17,2737.76,2743.79,2682.17,2673.45,2632.56],"DAL-US^FG_PRICE(NOW,-3AY)":[36.38,39.69,39.53,39.77,39.69,40.12,40.71,41.04,42.38,42.22,43.45,43.71,44.53,44.65,44.29,40.99,41.24,40.39,40.42,39.13,39.15,39.07,39.71,39.51,39.74,40.4,40.3,40.45,41.01,40.99,41.2,41.03,43.54,43.19,43.38,43.68,44.02,44.74,44.96,45.38,42.61,43.36,43.44,43.78,43.53,42.59,41.59,40.36,40.78,40.11,40.22,39.64,39.44,40.18,39.36,41.09,39.65,40.35,40.25,40.82,40.4,40.44,39.91,41.52,40.77,41.3,40.53,39.21,38.12,37.93,38.65,38.78,39.93,39.9,40.53,41.3,40.46,39.29,40.32,39.99,38.35,39.77,39.45,39.9,41.23,41.3,40.96,41.67,40.41,41.06,41.61,40.66,38.56,40.06,41.35,40.68,41.33,42.85,42.92,42.07,42.54,43.24,44.15,44.23,43.26,42.87,43.12,44.43,44.91,45.27,45.37,45.77,44.96,44.57,45.52,45.53,45.9,46.5,46.28,46.52,47.04,46.08,45.98,46.13,47.77,47.7,47.68,48.05,47.49,46.67,46.17,45.21,45.41,46.14,46.73,46.75,46.31,43.97,43.03,44.52,45.43,46.11,44.93,45.2,44.66,46.57,46.92,46.38,46.44,46.34,46.61,45.8,44.65,45.7,44.45,46.15,46.64,46.82,48.17,48.26,48.82,49.27,49.81,50.2,51.65,50.25,48.83,48.28,48.9,47.32,47.66,47.01,45.61,45.64,47.97,49.0,49.18,50.44,49.39,50.99,49.83,48.32,47.8,47.62,47.88,46.21,46.96,48.35,48.23,48.06,47.94,48.25,49.6,48.34,47.74,45.67,44.38,44.39,44.65,43.29,42.72,42.9,42.51,43.24,41.15,40.93,39.78,38.8,37.82,37.96,40.08,38.52,39.32,38.9,40.0,40.67,41.62,40.31,39.98,41.47,40.45,40.3,39.41,40.02,40.23,40.38,39.55,38.73,40.21,40.56,40.03,40.15,39.73,40.24,38.94,40.14,40.68,41.11,41.08,41.85,40.69,41.74,42.62,42.11,42.41,42.35,42.36,42.95,41.07,39.96,40.25,41.06,41.29,41.26,38.79,37.13,37.91,37.91,37.6,38.0,36.46,34.38,35.02,37.04,36.77,31.42,31.98,30.43,30.9,30.22,30.64,30.76,29.65,30.71,31.93,34.0,33.72,31.5,31.98,31.5,31.47,31.34,31.76,31.77,32.64,32.81,32.68,32.15,31.06,32.0,31.75,31.1,30.58,30.61,31.34,29.78,29.01,29.56,30.22,29.82,32.84,33.96,34.57,33.51,32.82,31.7,31.79,31.76,32.54,31.77,31.22,31.14,30.71,30.85,31.99,30.82,29.95,30.1,29.8,27.27,27.62,27.67,27.63,28.02,28.95,28.7,29.09,29.64,29.34,27.18,27.08,26.47,25.67,25.2,24.97,24.94,25.72,25.94,25.5,25.96,26.78,26.25,26.43,26.22,27.05,27.26,28.6,26.11,26.82,27.09,25.65,27.01,27.01,28.44,27.72,27.7,28.05,28.61,26.91,28.01,27.34,29.64,29.31,29.51,30.79,30.72,31.3,30.46,30.43,27.2,31.64,34.17,36.97,34.16,32.38,28.47,26.41,26.17,25.21,25.66,26.32,25.65,22.69,23.16,22.72,21.76,21.86,19.19,19.38,19.41,21.03,22.01,22.72,21.68,21.0,21.71,22.57,24.12,25.91,27.32,24.34,22.16,22.41,22.48,22.47,23.1,23.64,24.27,22.78,24.35,24.54,23.25,24.39,23.23,22.25,22.32,22.48,22.68,23.87,28.53,28.67,29.55,31.7,31.1,26.89,22.22,21.35,21.51,23.49,31.74,35.81,38.36,33.71,42.67,45.47,43.52,45.89,45.01,48.5,46.18,47.16,46.13,48.19,49.59,50.89,54.23,57.87,58.38,58.51,58.72,58.9,59.13,59.47,58.66,57.71,57.92,58.18,58.89,57.93,56.04,55.74,57.1,56.65,57.48,56.83,58.81,60.27,59.64,60.34,62.03,61.88,61.62,61.45,59.49,59.24,58.96,58.85,57.61,57.66,58.06,59.04,58.48,58.66,59.08,59.56,59.39,59.44,58.97,59.14,58.58,58.69,58.42,56.73,56.69,55.08,55.53,55.8,56.14,55.88,56.06,55.62,56.75,57.31,57.07,57.46,56.35,56.11,55.31,55.67,57.07,57.08,56.85,56.55,56.5,57.22,57.21,57.58,57.66,57.58,57.51,56.88,56.02,55.08,55.32,55.38,55.17,54.6,53.79,53.81,54.65,54.58,53.83,53.37,53.17,53.64,52.99,52.95,53.1,53.92,53.2,53.36,53.81,52.83,54.35,57.01,57.6,58.28,58.78,58.31,58.0,58.02,58.63,58.69,59.31,59.37,59.07,60.01,59.44,58.78,58.64,58.11,57.98,58.19,57.23,57.29,57.86,57.88,56.68,56.14,56.28,56.2,57.96,58.01,57.68,58.19,58.04,57.11,57.23,58.84,58.66,59.53,60.03,59.24,58.79,57.82,60.13,60.32,61.04,62.63,62.46,62.16,62.23,63.16,63.09,61.29,60.91,62.66,62.25,63.16,61.7,61.65,60.16,59.47,58.96,59.37,58.7,59.15,58.54,57.79,56.75,56.82,56.38,55.92,56.07,55.99,55.97,56.36,56.03,55.67,55.99,56.52,55.45,54.88,54.73,55.07,54.69,54.94,54.31,52.1,51.5,53.03,53.21,53.88,54.12,54.0,54.06,54.83,54.28,54.89,55.38,55.05,55.25,54.8,56.62,56.59,56.45,57.17,57.73,57.8,57.66,57.18,58.29,57.73,57.11,56.71,57.85,58.24,57.75,58.17,58.43,58.11,57.45,58.05,58.39,57.86,56.95,57.71,57.73,57.22,57.0,55.33,52.18,51.65,50.32,49.97,49.09,49.03,49.76,50.3,49.87,50.96,50.74,51.19,50.94,51.02,50.67,51.12,49.59,49.59,49.71,49.72,48.79,48.96,49.58,50.43,51.12,51.41,51.52,51.48,51.24,51.82,51.08,50.48,50.41,49.89,50.61,50.47,50.41,50.52,50.54,50.34,49.92,49.43,50.27,48.22,48.01,47.69,47.52,47.3,47.1,48.11,48.22,47.5,47.83,47.75,48.56,48.73,48.47,47.47,47.85,47.79,45.61,50.09,49.9,50.18,50.5,50.41,47.96,49.45,50.91,51.93,52.95,52.39,53.51,53.55,56.27,55.89,56.32,56.07,58.08,56.94,60.12,60.71,58.86,58.87,58.31,56.71,57.16],"SP50^FG_PRICE(NOW,-1AY)":[4594.62,4701.46,4690.7,4682.94,4697.96,4704.54,4688.67,4700.9,4682.8,4682.85,4649.27,4646.71,4685.25,4701.7,4697.53,4680.06,4660.57,4630.65,4613.67,4605.38,4596.42,4551.68,4574.79,4566.48,4544.9,4549.78,4536.19,4519.63,4486.46,4471.37,4438.26,4363.8,4350.65,4361.19,4391.34,4399.76,4363.55,4345.72,4300.46,4357.04,4307.54,4359.461,4352.63,4443.11,4455.48,4448.98,4395.64,4354.19,4357.73,4432.99,4473.75,4480.7,4443.05,4468.73,4458.58,4493.28,4514.07,4520.03,4535.43,4536.95,4524.09,4522.68,4528.79,4509.37,4470.0,4496.19,4486.23,4479.53,4441.67,4405.8,4400.27,4448.08,4479.71,4468.0,4460.83,4447.7,4436.75,4432.35,4436.52,4429.1,4402.66,4423.15,4387.16,4395.26,4419.15,4400.64,4401.46,4422.3,4411.79,4367.48,4358.69,4323.06,4258.49,4327.16,4360.03,4374.3,4369.21,4384.63,4369.55,4320.82,4358.13,4343.54,4352.34,4319.94,4297.5,4291.8,4290.61,4280.7,4266.49,4241.84,4246.44,4224.79,4166.45,4221.86,4223.7,4246.59,4255.15,4247.44,4239.18,4219.55,4227.26,4226.52,4229.89,4192.85,4208.12,4202.04,4204.11,4200.88,4195.99,4188.13,4197.05,4155.86,4159.12,4115.68,4127.83,4163.29,4173.85,4112.5,4063.04,4152.1,4188.43,4232.6,4201.62,4167.59,4164.66,4192.66,4181.17,4211.47,4183.18,4186.72,4187.62,4180.17,4134.98,4173.42,4134.94,4163.26,4185.47,4170.42,4124.66,4141.59,4127.99,4128.8,4097.17,4079.95,4073.94,4077.91,4019.87,3972.89,3958.55,3971.09,3974.54,3909.52,3889.14,3910.52,3940.59,3913.1,3915.46,3974.12,3962.71,3968.94,3943.34,3939.34,3898.81,3875.44,3821.35,3841.94,3768.47,3819.72,3870.29,3901.82,3811.15,3829.34,3925.43,3881.37,3876.5,3906.71,3913.97,3931.33,3932.59,3934.83,3916.38,3909.88,3911.23,3915.59,3886.83,3871.74,3830.17,3826.31,3773.86,3714.24,3787.38,3750.77,3849.62,3855.36,3841.47,3853.07,3851.85,3798.91,3768.25,3795.54,3809.84,3801.19,3799.61,3824.68,3803.79,3748.14,3726.86,3700.65,3756.07,3732.04,3727.04,3735.36,3703.06,3690.01,3687.26,3694.92,3709.41,3722.48,3701.17,3694.62,3647.49,3663.46,3668.1,3672.82,3702.25,3691.96,3699.12,3666.72,3669.01,3662.45,3621.63,3638.35,3629.65,3635.41],"DAL-US^FG_PRICE(NOW,-1AY)":[36.38,39.69,39.53,39.77,39.69,40.12,40.71,41.04,42.38,42.22,43.45,43.71,44.53,44.65,44.29,40.99,41.24,40.39,40.42,39.13,39.15,39.07,39.71,39.51,39.74,40.4,40.3,40.45,41.01,40.99,41.2,41.03,43.54,43.19,43.38,43.68,44.02,44.74,44.96,45.38,42.61,43.36,43.44,43.78,43.53,42.59,41.59,40.36,40.78,40.11,40.22,39.64,39.44,40.18,39.36,41.09,39.65,40.35,40.25,40.82,40.4,40.44,39.91,41.52,40.77,41.3,40.53,39.21,38.12,37.93,38.65,38.78,39.93,39.9,40.53,41.3,40.46,39.29,40.32,39.99,38.35,39.77,39.45,39.9,41.23,41.3,40.96,41.67,40.41,41.06,41.61,40.66,38.56,40.06,41.35,40.68,41.33,42.85,42.92,42.07,42.54,43.24,44.15,44.23,43.26,42.87,43.12,44.43,44.91,45.27,45.37,45.77,44.96,44.57,45.52,45.53,45.9,46.5,46.28,46.52,47.04,46.08,45.98,46.13,47.77,47.7,47.68,48.05,47.49,46.67,46.17,45.21,45.41,46.14,46.73,46.75,46.31,43.97,43.03,44.52,45.43,46.11,44.93,45.2,44.66,46.57,46.92,46.38,46.44,46.34,46.61,45.8,44.65,45.7,44.45,46.15,46.64,46.82,48.17,48.26,48.82,49.27,49.81,50.2,51.65,50.25,48.83,48.28,48.9,47.32,47.66,47.01,45.61,45.64,47.97,49.0,49.18,50.44,49.39,50.99,49.83,48.32,47.8,47.62,47.88,46.21,46.96,48.35,48.23,48.06,47.94,48.25,49.6,48.34,47.74,45.67,44.38,44.39,44.65,43.29,42.72,42.9,42.51,43.24,41.15,40.93,39.78,38.8,37.82,37.96,40.08,38.52,39.32,38.9,40.0,40.67,41.62,40.31,39.98,41.47,40.45,40.3,39.41,40.02,40.23,40.38,39.55,38.73,40.21,40.56,40.03,40.15,39.73,40.24,38.94,40.14,40.68,41.11,41.08,41.85,40.69,41.74,42.62,42.11,42.41,42.35,42.36,42.95,41.07,39.96,40.25,41.06,41.29,41.26],"DAL-US^FG_COMPANY_NAME()":"Delta Air Lines, Inc.","AC-CA^FG_COMPANY_NAME()":"Air Canada","AAL-US^FG_COMPANY_NAME()":"American Airlines Group, Inc.","LUV-US^FG_COMPANY_NAME()":"Southwest Airlines Co.","ALK-US^FG_COMPANY_NAME()":"Alaska Air Group, Inc.","SKYW-US^FG_COMPANY_NAME()":"SkyWest, Inc","DAL-US^FF_COM_SHS_OUT_EPS_DIL(ANN_R,0)":636.0,"AC-CA^FF_COM_SHS_OUT_EPS_DIL(ANN_R,0)":282.0,"AAL-US^FF_COM_SHS_OUT_EPS_DIL(ANN_R,0)":483.888,"LUV-US^FF_COM_SHS_OUT_EPS_DIL(ANN_R,0)":565.0,"ALK-US^FF_COM_SHS_OUT_EPS_DIL(ANN_R,0)":123.45,"SKYW-US^FF_COM_SHS_OUT_EPS_DIL(ANN_R,0)":50.195,"DAL-US^FF_NET_INC(ANN_R,0)":-12385.0,"AC-CA^FF_NET_INC(ANN_R,0)":-4647.0,"AAL-US^FF_NET_INC(ANN_R,0)":-8885.0,"LUV-US^FF_NET_INC(ANN_R,0)":-3074.0,"ALK-US^FF_NET_INC(ANN_R,0)":-1324.0,"SKYW-US^FF_NET_INC(ANN_R,0)":-8.515,"DAL-US^FF_PAY_OUT_RATIO(ANN_R,0)":null,"AC-CA^FF_PAY_OUT_RATIO(ANN_R,0)":null,"AAL-US^FF_PAY_OUT_RATIO(ANN_R,0)":null,"LUV-US^FF_PAY_OUT_RATIO(ANN_R,0)":null,"ALK-US^FF_PAY_OUT_RATIO(ANN_R,0)":null,"SKYW-US^FF_PAY_OUT_RATIO(ANN_R,0)":null,"AAL-US^FF_ROE(ANN_R,0)":null,"LUV-US^FF_ROE(ANN_R,0)":-32.8629463331195,"ALK-US^FF_ROE(ANN_R,0)":-36.1798059844241,"SKYW-US^FF_ROE(ANN_R,0)":-0.394710096675002,"DAL-US^FF_PE(ANN_R,0)":null,"AC-CA^FF_PE(ANN_R,0)":null,"AAL-US^FF_PE(ANN_R,0)":null,"LUV-US^FF_PE(ANN_R,0)":null,"ALK-US^FF_PE(ANN_R,0)":null,"SKYW-US^FF_PE(ANN_R,0)":null,"DAL-US^FF_ENTRPR_VAL_EBITDA_OPER(ANN_R,0)":null,"AC-CA^FF_ENTRPR_VAL_EBITDA_OPER(ANN_R,0)":null,"AAL-US^FF_ENTRPR_VAL_EBITDA_OPER(ANN_R,0)":null,"LUV-US^FF_ENTRPR_VAL_EBITDA_OPER(ANN_R,0)":null,"ALK-US^FF_ENTRPR_VAL_EBITDA_OPER(ANN_R,0)":null,"SKYW-US^FF_ENTRPR_VAL_EBITDA_OPER(ANN_R,0)":18.4712655810635,"DAL-US^FF_ENTRPR_VAL_EBIT_OPER(ANN_R,0)":null,"AC-CA^FF_ENTRPR_VAL_EBIT_OPER(ANN_R,0)":null,"AAL-US^FF_ENTRPR_VAL_EBIT_OPER(ANN_R,0)":null,"LUV-US^FF_ENTRPR_VAL_EBIT_OPER(ANN_R,0)":null,"ALK-US^FF_ENTRPR_VAL_EBIT_OPER(ANN_R,0)":null,"SKYW-US^FF_ENTRPR_VAL_EBIT_OPER(ANN_R,0)":null,"DAL-US^FF_EBITDA_OPER(ANN_R,0)":-5969.0,"AC-CA^FF_EBITDA_OPER(ANN_R,0)":-2057.0,"AAL-US^FF_EBITDA_OPER(ANN_R,0)":-9022.0,"LUV-US^FF_EBITDA_OPER(ANN_R,0)":-3458.0,"ALK-US^FF_EBITDA_OPER(ANN_R,0)":-1271.0,"SKYW-US^FF_EBITDA_OPER(ANN_R,0)":238.27,"DAL-US^FF_MIN_INT_ACCUM(ANN_R,0)":0.0,"AC-CA^FF_MIN_INT_ACCUM(ANN_R,0)":0.0,"AAL-US^FF_MIN_INT_ACCUM(ANN_R,0)":0.0,"LUV-US^FF_MIN_INT_ACCUM(ANN_R,0)":0.0,"ALK-US^FF_MIN_INT_ACCUM(ANN_R,0)":0.0,"SKYW-US^FF_MIN_INT_ACCUM(ANN_R,0)":0.0,"DAL-US^FF_PFD_STK(ANN_R,0)":0.0,"AC-CA^FF_PFD_STK(ANN_R,0)":0.0,"AAL-US^FF_PFD_STK(ANN_R,0)":0.0,"LUV-US^FF_PFD_STK(ANN_R,0)":0.0,"ALK-US^FF_PFD_STK(ANN_R,0)":0.0,"SKYW-US^FF_PFD_STK(ANN_R,0)":0.0,"DAL-US^FF_DEBT(ANN_R,0)":35548.0,"AC-CA^FF_DEBT(ANN_R,0)":12989.0,"AAL-US^FF_DEBT(ANN_R,0)":41021.0,"LUV-US^FF_DEBT(ANN_R,0)":12199.0,"ALK-US^FF_DEBT(ANN_R,0)":5053.0,"SKYW-US^FF_DEBT(ANN_R,0)":3492.182,"DAL-US^FF_CASH_ST(ANN_R,0)":14288.0,"AC-CA^FF_CASH_ST(ANN_R,0)":7607.0,"AAL-US^FF_CASH_ST(ANN_R,0)":7473.0,"LUV-US^FF_CASH_ST(ANN_R,0)":13334.0,"ALK-US^FF_CASH_ST(ANN_R,0)":3346.0,"SKYW-US^FF_CASH_ST(ANN_R,0)":825.908,"AC-CA^FG_PRICE(0)":23.32,"AAL-US^FG_PRICE(0)":19.46,"LUV-US^FG_PRICE(0)":46.99,"ALK-US^FG_PRICE(0)":52.91,"SKYW-US^FG_PRICE(0)":44.23,"DAL-US^FF_CAPEX(ANN_R,0)":1899.0,"DAL-US^FF_INVEN(ANN_R,-1)":1251.0,"DAL-US^FF_INVEN(ANN_R,0)":732.0,"DAL-US^FF_PAY_ACCT(ANN_R,-1)":3266.0,"DAL-US^FF_PAY_ACCT(ANN_R,0)":2840.0,"AC-CA^FF_SALES(ANN_R,0)":5833.0,"AAL-US^FF_SALES(ANN_R,0)":17337.0,"LUV-US^FF_SALES(ANN_R,0)":9048.0,"ALK-US^FF_SALES(ANN_R,0)":3566.0,"SKYW-US^FF_SALES(ANN_R,0)":2127.106,"DAL-US^FF_COGS(ANN_R,0)":23631.0,"AC-CA^FF_COGS(ANN_R,0)":7660.0,"AAL-US^FF_COGS(ANN_R,0)":24655.0,"LUV-US^FF_COGS(ANN_R,0)":11835.0,"ALK-US^FF_COGS(ANN_R,0)":4749.0,"SKYW-US^FF_COGS(ANN_R,0)":2140.998,"DAL-US^FF_SGA(ANN_R,0)":582.0,"AC-CA^FF_SGA(ANN_R,0)":2051.0,"AAL-US^FF_SGA(ANN_R,0)":666.0,"LUV-US^FF_SGA(ANN_R,0)":1926.0,"ALK-US^FF_SGA(ANN_R,0)":101.0,"SKYW-US^FF_SGA(ANN_R,0)":222.797,"DAL-US^FF_INT_EXP_NET(ANN_R,0)":929.0,"AC-CA^FF_INT_EXP_NET(ANN_R,0)":631.0,"AAL-US^FF_INT_EXP_NET(ANN_R,0)":1227.0,"LUV-US^FF_INT_EXP_NET(ANN_R,0)":302.0,"ALK-US^FF_INT_EXP_NET(ANN_R,0)":87.0,"SKYW-US^FF_INT_EXP_NET(ANN_R,0)":123.173,"DAL-US^FF_ASSETS(ANN_R,-1)":64532.0,"AC-CA^FF_ASSETS(ANN_R,-1)":27759.0,"AAL-US^FF_ASSETS(ANN_R,-1)":59995.0,"LUV-US^FF_ASSETS(ANN_R,-1)":27013.0,"ALK-US^FF_ASSETS(ANN_R,-1)":14001.0,"SKYW-US^FF_ASSETS(ANN_R,-1)":6657.129,"DAL-US^FF_ASSETS(ANN_R,0)":71996.0,"AC-CA^FF_ASSETS(ANN_R,0)":28913.0,"AAL-US^FF_ASSETS(ANN_R,0)":62008.0,"LUV-US^FF_ASSETS(ANN_R,0)":36573.0,"ALK-US^FF_ASSETS(ANN_R,0)":15228.0,"SKYW-US^FF_ASSETS(ANN_R,0)":7211.762,"DAL-US^FF_ASSETS_CURR(ANN_R,-1)":8249.0,"AC-CA^FF_ASSETS_CURR(ANN_R,-1)":7516.0,"AAL-US^FF_ASSETS_CURR(ANN_R,-1)":8206.0,"LUV-US^FF_ASSETS_CURR(ANN_R,-1)":5974.0,"ALK-US^FF_ASSETS_CURR(ANN_R,-1)":2037.0,"SKYW-US^FF_ASSETS_CURR(ANN_R,-1)":760.346,"DAL-US^FF_ASSETS_CURR(ANN_R,0)":17404.0,"AC-CA^FF_ASSETS_CURR(ANN_R,0)":8671.0,"AAL-US^FF_ASSETS_CURR(ANN_R,0)":11095.0,"LUV-US^FF_ASSETS_CURR(ANN_R,0)":15173.0,"ALK-US^FF_ASSETS_CURR(ANN_R,0)":4006.0,"SKYW-US^FF_ASSETS_CURR(ANN_R,0)":982.802,"DAL-US^FF_EBIT_OPER(ANN_R,0)":-8281.0,"AC-CA^FF_EBIT_OPER(ANN_R,0)":-3892.0,"AAL-US^FF_EBIT_OPER(ANN_R,0)":-11387.0,"LUV-US^FF_EBIT_OPER(ANN_R,0)":-4713.0,"ALK-US^FF_EBIT_OPER(ANN_R,0)":-1691.0,"SKYW-US^FF_EBIT_OPER(ANN_R,0)":-236.689,"DAL-US^FF_NET_INC(ANN_R,0,,,,,M)":-12385.0,"AC-CA^FF_NET_INC(ANN_R,0,,,,,M)":-4647.0,"AAL-US^FF_NET_INC(ANN_R,0,,,,,M)":-8885.0,"LUV-US^FF_NET_INC(ANN_R,0,,,,,M)":-3074.0,"ALK-US^FF_NET_INC(ANN_R,0,,,,,M)":-1324.0,"SKYW-US^FF_NET_INC(ANN_R,0,,,,,M)":-8.515,"AC-CA^FF_CAPEX(ANN_R,0)":1202.0,"AAL-US^FF_CAPEX(ANN_R,0)":1958.0,"LUV-US^FF_CAPEX(ANN_R,0)":515.0,"ALK-US^FF_CAPEX(ANN_R,0)":206.0,"SKYW-US^FF_CAPEX(ANN_R,0)":509.491,"AC-CA^FF_INVEN(ANN_R,-1)":212.0,"AAL-US^FF_INVEN(ANN_R,-1)":1851.0,"LUV-US^FF_INVEN(ANN_R,-1)":529.0,"ALK-US^FF_INVEN(ANN_R,-1)":72.0,"SKYW-US^FF_INVEN(ANN_R,-1)":110.503,"AC-CA^FF_INVEN(ANN_R,0)":166.0,"AAL-US^FF_INVEN(ANN_R,0)":1614.0,"LUV-US^FF_INVEN(ANN_R,0)":414.0,"ALK-US^FF_INVEN(ANN_R,0)":57.0,"SKYW-US^FF_INVEN(ANN_R,0)":91.196,"AC-CA^FF_PAY_ACCT(ANN_R,-1)":2456.0,"AAL-US^FF_PAY_ACCT(ANN_R,-1)":2062.0,"LUV-US^FF_PAY_ACCT(ANN_R,-1)":595.0,"ALK-US^FF_PAY_ACCT(ANN_R,-1)":146.0,"SKYW-US^FF_PAY_ACCT(ANN_R,-1)":284.473,"AC-CA^FF_PAY_ACCT(ANN_R,0)":2465.0,"AAL-US^FF_PAY_ACCT(ANN_R,0)":1196.0,"LUV-US^FF_PAY_ACCT(ANN_R,0)":272.0,"ALK-US^FF_PAY_ACCT(ANN_R,0)":108.0,"SKYW-US^FF_PAY_ACCT(ANN_R,0)":278.677,"DAL-US^FF_OPER_CF(ANN_R,0)":-3793.0,"AC-CA^FF_OPER_CF(ANN_R,0)":-2353.0,"AAL-US^FF_OPER_CF(ANN_R,0)":-6543.0,"LUV-US^FF_OPER_CF(ANN_R,0)":-1127.0,"ALK-US^FF_OPER_CF(ANN_R,0)":-234.0,"SKYW-US^FF_OPER_CF(ANN_R,0)":699.12,"DAL-US^FF_INVEST_CF(ANN_R,0)":-9238.0,"AC-CA^FF_INVEST_CF(ANN_R,0)":-733.0,"AAL-US^FF_INVEST_CF(ANN_R,0)":-4342.0,"LUV-US^FF_INVEST_CF(ANN_R,0)":-16.0,"ALK-US^FF_INVEST_CF(ANN_R,0)":-593.0,"SKYW-US^FF_INVEST_CF(ANN_R,0)":-683.471,"DAL-US^FF_FIN_CF(ANN_R,0)":19356.0,"AC-CA^FF_FIN_CF(ANN_R,0)":4702.0,"AAL-US^FF_FIN_CF(ANN_R,0)":10994.0,"LUV-US^FF_FIN_CF(ANN_R,0)":9658.0,"ALK-US^FF_FIN_CF(ANN_R,0)":1981.0,"SKYW-US^FF_FIN_CF(ANN_R,0)":112.868,"DAL-US^FF_CHG_CASH_CF(ANN_R,0)":6325.0,"AC-CA^FF_CHG_CASH_CF(ANN_R,0)":1568.0,"AAL-US^FF_CHG_CASH_CF(ANN_R,0)":109.0,"LUV-US^FF_CHG_CASH_CF(ANN_R,0)":8515.0,"ALK-US^FF_CHG_CASH_CF(ANN_R,0)":1154.0,"SKYW-US^FF_CHG_CASH_CF(ANN_R,0)":128.517,"DAL-US^FF_DEP_AMORT_EXP(ANN_R,0Y)":2312.0,"AC-CA^FF_DEP_AMORT_EXP(ANN_R,0Y)":1835.0,"AAL-US^FF_DEP_AMORT_EXP(ANN_R,0Y)":2365.0,"LUV-US^FF_DEP_AMORT_EXP(ANN_R,0Y)":1255.0,"ALK-US^FF_DEP_AMORT_EXP(ANN_R,0Y)":420.0,"SKYW-US^FF_DEP_AMORT_EXP(ANN_R,0Y)":474.959,"DAL-US^FF_TAX_RATE(ANN_R,0)":null,"AC-CA^FF_TAX_RATE(ANN_R,0)":null,"AAL-US^FF_TAX_RATE(ANN_R,0)":null,"LUV-US^FF_TAX_RATE(ANN_R,0)":null,"ALK-US^FF_TAX_RATE(ANN_R,0)":null,"SKYW-US^FF_TAX_RATE(ANN_R,0)":null,"DAL-US^FF_PPE_NET(ANN_R,-1,,,,M)":36937.0,"AC-CA^FF_PPE_NET(ANN_R,-1,,,,M)":12834.0,"AAL-US^FF_PPE_NET(ANN_R,-1,,,,M)":43732.0,"LUV-US^FF_PPE_NET(ANN_R,-1,,,,M)":18374.0,"ALK-US^FF_PPE_NET(ANN_R,-1,,,,M)":8613.0,"SKYW-US^FF_PPE_NET(ANN_R,-1,,,,M)":5730.69,"DAL-US^FF_PPE_NET(ANN_R,0,,,,,M)":32262.0,"AC-CA^FF_PPE_NET(ANN_R,0,,,,,M)":12137.0,"AAL-US^FF_PPE_NET(ANN_R,0,,,,,M)":39738.0,"LUV-US^FF_PPE_NET(ANN_R,0,,,,,M)":17723.0,"ALK-US^FF_PPE_NET(ANN_R,0,,,,,M)":7611.0,"SKYW-US^FF_PPE_NET(ANN_R,0,,,,,M)":5644.41,"DAL-US^FF_DEBT(ANN_R,-1,,,,,M)":17255.0,"AC-CA^FF_DEBT(ANN_R,-1,,,,,M)":9242.0,"AAL-US^FF_DEBT(ANN_R,-1,,,,,M)":33444.0,"LUV-US^FF_DEBT(ANN_R,-1,,,,,M)":3996.0,"ALK-US^FF_DEBT(ANN_R,-1,,,,,M)":3207.0,"SKYW-US^FF_DEBT(ANN_R,-1,,,,,M)":3347.158,"DAL-US^FF_DEBT(ANN_R,0,,,,,M)":35548.0,"AC-CA^FF_DEBT(ANN_R,0,,,,,M)":12989.0,"AAL-US^FF_DEBT(ANN_R,0,,,,,M)":41021.0,"LUV-US^FF_DEBT(ANN_R,0,,,,,M)":12199.0,"ALK-US^FF_DEBT(ANN_R,0,,,,,M)":5053.0,"SKYW-US^FF_DEBT(ANN_R,0,,,,,M)":3492.182,"DAL-US^FF_DEBT_LT(ANN_R,-1,,,,,M)":14167.0,"AC-CA^FF_DEBT_LT(ANN_R,-1,,,,,M)":8024.0,"AAL-US^FF_DEBT_LT(ANN_R,-1,,,,,M)":28875.0,"LUV-US^FF_DEBT_LT(ANN_R,-1,,,,,M)":2824.0,"ALK-US^FF_DEBT_LT(ANN_R,-1,,,,,M)":2703.0,"SKYW-US^FF_DEBT_LT(ANN_R,-1,,,,,M)":2888.226,"DAL-US^FF_DEBT_LT(ANN_R,0,,,,,M)":33138.0,"AC-CA^FF_DEBT_LT(ANN_R,0,,,,,M)":11201.0,"AAL-US^FF_DEBT_LT(ANN_R,0,,,,,M)":36573.0,"LUV-US^FF_DEBT_LT(ANN_R,0,,,,,M)":11673.0,"ALK-US^FF_DEBT_LT(ANN_R,0,,,,,M)":3625.0,"SKYW-US^FF_DEBT_LT(ANN_R,0,,,,,M)":3007.383,"DAL-US^FF_SHLDRS_EQ(ANN_R,-1,,,,,M)":15358.0,"AC-CA^FF_SHLDRS_EQ(ANN_R,-1,,,,,M)":4400.0,"AAL-US^FF_SHLDRS_EQ(ANN_R,-1,,,,,M)":-118.0,"LUV-US^FF_SHLDRS_EQ(ANN_R,-1,,,,,M)":9832.0,"ALK-US^FF_SHLDRS_EQ(ANN_R,-1,,,,,M)":4331.0,"SKYW-US^FF_SHLDRS_EQ(ANN_R,-1,,,,,M)":2175.014,"DAL-US^FF_SHLDRS_EQ(ANN_R,0,,,,,M)":1534.0,"AC-CA^FF_SHLDRS_EQ(ANN_R,0,,,,,M)":1715.0,"AAL-US^FF_SHLDRS_EQ(ANN_R,0,,,,,M)":-6867.0,"LUV-US^FF_SHLDRS_EQ(ANN_R,0,,,,,M)":8876.0,"ALK-US^FF_SHLDRS_EQ(ANN_R,0,,,,,M)":2988.0,"SKYW-US^FF_SHLDRS_EQ(ANN_R,0,,,,,M)":2139.545,"DAL-US^FF_CASH_ST(ANN_R,-1,,,,,M)":3094.0,"AC-CA^FF_CASH_ST(ANN_R,-1,,,,,M)":6046.0,"AAL-US^FF_CASH_ST(ANN_R,-1,,,,,M)":3984.0,"LUV-US^FF_CASH_ST(ANN_R,-1,,,,,M)":4072.0,"ALK-US^FF_CASH_ST(ANN_R,-1,,,,,M)":1521.0,"SKYW-US^FF_CASH_ST(ANN_R,-1,,,,,M)":520.172,"DAL-US^FF_CASH_ST(ANN_R,0,,,,,M)":14288.0,"AC-CA^FF_CASH_ST(ANN_R,0,,,,,M)":7607.0,"AAL-US^FF_CASH_ST(ANN_R,0,,,,,M)":7473.0,"LUV-US^FF_CASH_ST(ANN_R,0,,,,,M)":13334.0,"ALK-US^FF_CASH_ST(ANN_R,0,,,,,M)":3346.0,"SKYW-US^FF_CASH_ST(ANN_R,0,,,,,M)":825.908,"DAL-US^JULIAN(FG_PRICE(0Y).DATES)":44196,"AC-CA^JULIAN(FG_PRICE(0Y).DATES)":44196,"AAL-US^JULIAN(FG_PRICE(0Y).DATES)":44196,"LUV-US^JULIAN(FG_PRICE(0Y).DATES)":44196,"ALK-US^JULIAN(FG_PRICE(0Y).DATES)":44196,"SKYW-US^JULIAN(FG_PRICE(0Y).DATES)":44196,"DAL-US^FG_PRICE(-1Y)":58.48,"AC-CA^FG_PRICE(-1Y)":48.51,"AAL-US^FG_PRICE(-1Y)":28.68,"LUV-US^FG_PRICE(-1Y)":53.98,"ALK-US^FG_PRICE(-1Y)":67.75,"SKYW-US^FG_PRICE(-1Y)":64.63,"DAL-US^FG_PRICE(0Y)":40.21,"AC-CA^FG_PRICE(0Y)":22.77,"AAL-US^FG_PRICE(0Y)":15.77,"LUV-US^FG_PRICE(0Y)":46.61,"ALK-US^FG_PRICE(0Y)":52.0,"SKYW-US^FG_PRICE(0Y)":40.31,"DAL-US^FF_COM_SHS_OUT_EPS_DIL(ANN_R,-1Y)":653.0,"AC-CA^FF_COM_SHS_OUT_EPS_DIL(ANN_R,-1Y)":272.0,"AAL-US^FF_COM_SHS_OUT_EPS_DIL(ANN_R,-1Y)":444.269,"LUV-US^FF_COM_SHS_OUT_EPS_DIL(ANN_R,-1Y)":539.0,"ALK-US^FF_COM_SHS_OUT_EPS_DIL(ANN_R,-1Y)":124.289,"SKYW-US^FF_COM_SHS_OUT_EPS_DIL(ANN_R,-1Y)":51.375,"DAL-US^FF_COM_SHS_OUT_EPS_DIL(ANN_R,0Y)":636.0,"AC-CA^FF_COM_SHS_OUT_EPS_DIL(ANN_R,0Y)":282.0,"AAL-US^FF_COM_SHS_OUT_EPS_DIL(ANN_R,0Y)":483.888,"LUV-US^FF_COM_SHS_OUT_EPS_DIL(ANN_R,0Y)":565.0,"ALK-US^FF_COM_SHS_OUT_EPS_DIL(ANN_R,0Y)":123.45,"SKYW-US^FF_COM_SHS_OUT_EPS_DIL(ANN_R,0Y)":50.195,"DAL-US^FI_WAVG_COST_DEBT(0,,,YTM)":2.490924,"AC-CA^FI_WAVG_COST_DEBT(0,,,YTM)":4.2963395,"AAL-US^FI_WAVG_COST_DEBT(0,,,YTM)":4.698739,"LUV-US^FI_WAVG_COST_DEBT(0,,,YTM)":1.9773685,"DAL-US^FF_OPER_LEASE_COMMIT_YR1(ANN_R,0)":746.0,"AC-CA^FF_OPER_LEASE_COMMIT_YR1(ANN_R,0)":544.0,"AAL-US^FF_OPER_LEASE_COMMIT_YR1(ANN_R,0)":812.0,"LUV-US^FF_OPER_LEASE_COMMIT_YR1(ANN_R,0)":156.0,"ALK-US^FF_OPER_LEASE_COMMIT_YR1(ANN_R,0)":338.0,"SKYW-US^FF_OPER_LEASE_COMMIT_YR1(ANN_R,0)":85.869,"DAL-US^FF_OPER_LEASE_COMMIT_YR2(ANN_R,0)":949.0,"AC-CA^FF_OPER_LEASE_COMMIT_YR2(ANN_R,0)":471.0,"AAL-US^FF_OPER_LEASE_COMMIT_YR2(ANN_R,0)":1946.0,"LUV-US^FF_OPER_LEASE_COMMIT_YR2(ANN_R,0)":371.0,"ALK-US^FF_OPER_LEASE_COMMIT_YR2(ANN_R,0)":288.0,"SKYW-US^FF_OPER_LEASE_COMMIT_YR2(ANN_R,0)":77.78,"DAL-US^FF_OPER_LEASE_COMMIT_YR3(ANN_R,0)":848.0,"AC-CA^FF_OPER_LEASE_COMMIT_YR3(ANN_R,0)":465.0,"AAL-US^FF_OPER_LEASE_COMMIT_YR3(ANN_R,0)":1777.0,"LUV-US^FF_OPER_LEASE_COMMIT_YR3(ANN_R,0)":253.0,"ALK-US^FF_OPER_LEASE_COMMIT_YR3(ANN_R,0)":228.0,"SKYW-US^FF_OPER_LEASE_COMMIT_YR3(ANN_R,0)":69.53,"DAL-US^FF_OPER_LEASE_COMMIT_YR4(ANN_R,0)":837.0,"AC-CA^FF_OPER_LEASE_COMMIT_YR4(ANN_R,0)":430.0,"AAL-US^FF_OPER_LEASE_COMMIT_YR4(ANN_R,0)":1586.0,"LUV-US^FF_OPER_LEASE_COMMIT_YR4(ANN_R,0)":219.0,"ALK-US^FF_OPER_LEASE_COMMIT_YR4(ANN_R,0)":175.0,"SKYW-US^FF_OPER_LEASE_COMMIT_YR4(ANN_R,0)":28.091,"DAL-US^FF_OPER_LEASE_COMMIT_YR5(ANN_R,0)":770.0,"AC-CA^FF_OPER_LEASE_COMMIT_YR5(ANN_R,0)":410.0,"AAL-US^FF_OPER_LEASE_COMMIT_YR5(ANN_R,0)":1192.0,"LUV-US^FF_OPER_LEASE_COMMIT_YR5(ANN_R,0)":193.0,"ALK-US^FF_OPER_LEASE_COMMIT_YR5(ANN_R,0)":166.0,"SKYW-US^FF_OPER_LEASE_COMMIT_YR5(ANN_R,0)":15.751,"DAL-US^FF_OPER_LEASE_COMMIT_5YR(ANN_R,0)":4450.0,"AC-CA^FF_OPER_LEASE_COMMIT_5YR(ANN_R,0)":1276.0,"AAL-US^FF_OPER_LEASE_COMMIT_5YR(ANN_R,0)":3307.0,"LUV-US^FF_OPER_LEASE_COMMIT_5YR(ANN_R,0)":1156.0,"ALK-US^FF_OPER_LEASE_COMMIT_5YR(ANN_R,0)":605.0,"SKYW-US^FF_OPER_LEASE_COMMIT_5YR(ANN_R,0)":82.719,"DAL-US^FF_EBIT_OPER_INT_COVG(ANN_R,0)":-8.91388589881593,"AC-CA^FF_EBIT_OPER_INT_COVG(ANN_R,0)":-5.93292682926829,"AAL-US^FF_EBIT_OPER_INT_COVG(ANN_R,0)":-9.28035859820701,"LUV-US^FF_EBIT_OPER_INT_COVG(ANN_R,0)":-13.9851632047478,"ALK-US^FF_EBIT_OPER_INT_COVG(ANN_R,0)":-17.2551020408163,"SKYW-US^FF_EBIT_OPER_INT_COVG(ANN_R,0)":-1.89543776476901,"DAL-US^FF_OPER_LEASE_COMMIT_YR1(ANN_R,-2)":1172.0,"AC-CA^FF_OPER_LEASE_COMMIT_YR1(ANN_R,-2)":null,"AAL-US^FF_OPER_LEASE_COMMIT_YR1(ANN_R,-2)":1912.0,"LUV-US^FF_OPER_LEASE_COMMIT_YR1(ANN_R,-2)":256.0,"ALK-US^FF_OPER_LEASE_COMMIT_YR1(ANN_R,-2)":350.0,"SKYW-US^FF_OPER_LEASE_COMMIT_5YR(ANN_R,-9)":907.252,"DAL-US^FF_OPER_LEASE_COMMIT_YR1(ANN_R,-1)":1003.0,"AC-CA^FF_OPER_LEASE_COMMIT_YR1(ANN_R,-1)":631.0,"AAL-US^FF_OPER_LEASE_COMMIT_YR1(ANN_R,-1)":1990.0,"LUV-US^FF_OPER_LEASE_COMMIT_YR1(ANN_R,-1)":392.0,"ALK-US^FF_OPER_LEASE_COMMIT_YR1(ANN_R,-1)":335.0,"SKYW-US^FF_OPER_LEASE_COMMIT_YR1(ANN_R,-1)":94.806,"DAL-US^FF_OPER_LEASE_COMMIT_YR2(ANN_R,-1)":836.0,"AC-CA^FF_OPER_LEASE_COMMIT_YR2(ANN_R,-1)":483.0,"AAL-US^FF_OPER_LEASE_COMMIT_YR2(ANN_R,-1)":1817.0,"LUV-US^FF_OPER_LEASE_COMMIT_YR2(ANN_R,-1)":257.0,"ALK-US^FF_OPER_LEASE_COMMIT_YR2(ANN_R,-1)":303.0,"SKYW-US^FF_OPER_LEASE_COMMIT_YR2(ANN_R,-1)":84.285,"DAL-US^FF_OPER_LEASE_COMMIT_YR3(ANN_R,-1)":729.0,"AC-CA^FF_OPER_LEASE_COMMIT_YR3(ANN_R,-1)":408.0,"AAL-US^FF_OPER_LEASE_COMMIT_YR3(ANN_R,-1)":1620.0,"LUV-US^FF_OPER_LEASE_COMMIT_YR3(ANN_R,-1)":141.0,"ALK-US^FF_OPER_LEASE_COMMIT_YR3(ANN_R,-1)":276.0,"SKYW-US^FF_OPER_LEASE_COMMIT_YR3(ANN_R,-1)":73.96,"DAL-US^FF_OPER_LEASE_COMMIT_YR4(ANN_R,-1)":698.0,"AC-CA^FF_OPER_LEASE_COMMIT_YR4(ANN_R,-1)":400.0,"AAL-US^FF_OPER_LEASE_COMMIT_YR4(ANN_R,-1)":1429.0,"LUV-US^FF_OPER_LEASE_COMMIT_YR4(ANN_R,-1)":113.0,"ALK-US^FF_OPER_LEASE_COMMIT_YR4(ANN_R,-1)":219.0,"SKYW-US^FF_OPER_LEASE_COMMIT_YR4(ANN_R,-1)":68.581,"DAL-US^FF_OPER_LEASE_COMMIT_YR5(ANN_R,-1)":628.0,"AC-CA^FF_OPER_LEASE_COMMIT_YR5(ANN_R,-1)":364.0,"AAL-US^FF_OPER_LEASE_COMMIT_YR5(ANN_R,-1)":1030.0,"LUV-US^FF_OPER_LEASE_COMMIT_YR5(ANN_R,-1)":92.0,"ALK-US^FF_OPER_LEASE_COMMIT_YR5(ANN_R,-1)":167.0,"SKYW-US^FF_OPER_LEASE_COMMIT_YR5(ANN_R,-1)":27.282,"DAL-US^FF_OPER_LEASE_COMMIT_5YR(ANN_R,-1)":3821.0,"AC-CA^FF_OPER_LEASE_COMMIT_5YR(ANN_R,-1)":1173.0,"AAL-US^FF_OPER_LEASE_COMMIT_5YR(ANN_R,-1)":3276.0,"LUV-US^FF_OPER_LEASE_COMMIT_5YR(ANN_R,-1)":661.0,"ALK-US^FF_OPER_LEASE_COMMIT_5YR(ANN_R,-1)":745.0,"SKYW-US^FF_OPER_LEASE_COMMIT_5YR(ANN_R,-1)":94.746,"DAL-US^FF_CURR_RATIO(ANN_R,0)":1.0927356062033,"DAL-US^FF_RECEIV_ST(ANN_R,0)":1396.0,"DAL-US^FF_LIABS_CURR(ANN_R,0)":15927.0,"DAL-US^FF_QUICK_RATIO(ANN_R,0)":1.0467759151127,"DAL-US^FF_CASH_RATIO(ANN_R,0)":0.897092986752056,"DAL-US^FF_RECEIV_TURN(ANN_R,0)":8.04470588235294,"DAL-US^FF_INVEN_TURN(ANN_R,0)":23.8335854765507,"DAL-US^FF_PAY_TURN(ANN_R,0)":7.5703,"DAL-US^FF_INVEN_DAYS(ANN_R,0)":15.3145232956709,"DAL-US^FF_PAY_TURN_DAYS(ANN_R,0)":48.2147338942975,"DAL-US^FF_CASH_CONV_CYCLE(ANN_R,0)":12.4712430427891,"DAL-US^FF_WKCAP(ANN_R,0)":1477.0,"DAL-US^FF_WKCAP(ANN_R,-1)":-11955.0,"DAL-US^FF_GROSS_MGN(ANN_R,0)":-38.2334015794092,"DAL-US^FF_NET_MGN(ANN_R,0)":-72.4480842351565,"DAL-US^FF_PTX_INC(ANN_R,0)":-15587.0,"DAL-US^FF_ASSET_TURN(ANN_R,0)":0.250424821282081,"DAL-US^FF_AVG_ASSETS(ANN_R,0)":68264.0,"DAL-US^FF_AVG_SHLDRS_EQ(ANN_R,0)":8446.0,"DAL-US^FF_TOT_DEBT_TCAP_STD(ANN_R,0)":95.8632220484332,"DAL-US^FF_DEBT_EQ(ANN_R,0)":2317.34028683181,"AC-CA^FF_CURR_RATIO(ANN_R,0)":1.21459588177616,"AAL-US^FF_CURR_RATIO(ANN_R,0)":0.669623996620194,"LUV-US^FF_CURR_RATIO(ANN_R,0)":2.02144950706102,"ALK-US^FF_CURR_RATIO(ANN_R,0)":0.933146983461449,"SKYW-US^FF_CURR_RATIO(ANN_R,0)":1.04362221547336,"AC-CA^FF_RECEIV_ST(ANN_R,0)":644.0,"AC-CA^FF_LIABS_CURR(ANN_R,0)":7139.0,"AAL-US^FF_RECEIV_ST(ANN_R,0)":1342.0,"AAL-US^FF_LIABS_CURR(ANN_R,0)":16569.0,"LUV-US^FF_RECEIV_ST(ANN_R,0)":1130.0,"LUV-US^FF_LIABS_CURR(ANN_R,0)":7506.0,"ALK-US^FF_RECEIV_ST(ANN_R,0)":480.0,"ALK-US^FF_LIABS_CURR(ANN_R,0)":4293.0,"SKYW-US^FF_RECEIV_ST(ANN_R,0)":38.378,"SKYW-US^FF_LIABS_CURR(ANN_R,0)":941.722,"AC-CA^FF_QUICK_RATIO(ANN_R,0)":1.19134332539571,"AAL-US^FF_QUICK_RATIO(ANN_R,0)":0.572213169171344,"LUV-US^FF_QUICK_RATIO(ANN_R,0)":1.96629363176126,"ALK-US^FF_QUICK_RATIO(ANN_R,0)":0.919869555089681,"SKYW-US^FF_QUICK_RATIO(ANN_R,0)":0.946782596137714,"AC-CA^FF_CASH_RATIO(ANN_R,0)":1.06555539991595,"AAL-US^FF_CASH_RATIO(ANN_R,0)":0.45102299474923,"LUV-US^FF_CASH_RATIO(ANN_R,0)":1.77644551025846,"ALK-US^FF_CASH_RATIO(ANN_R,0)":0.779408339156767,"SKYW-US^FF_CASH_RATIO(ANN_R,0)":0.8770189079155,"AC-CA^FF_RECEIV_TURN(ANN_R,0)":7.43057324840764,"AAL-US^FF_RECEIV_TURN(ANN_R,0)":11.2141009055627,"LUV-US^FF_RECEIV_TURN(ANN_R,0)":8.16606498194946,"ALK-US^FF_RECEIV_TURN(ANN_R,0)":8.88169364881694,"SKYW-US^FF_RECEIV_TURN(ANN_R,0)":32.1082296824055,"AC-CA^FF_INVEN_TURN(ANN_R,0)":40.5291005291005,"AAL-US^FF_INVEN_TURN(ANN_R,0)":14.2308802308802,"LUV-US^FF_INVEN_TURN(ANN_R,0)":25.1007423117709,"ALK-US^FF_INVEN_TURN(ANN_R,0)":73.6279069767442,"SKYW-US^FF_INVEN_TURN(ANN_R,0)":21.2296342569869,"AC-CA^FF_PAY_TURN(ANN_R,0)":3.0945,"AAL-US^FF_PAY_TURN(ANN_R,0)":14.9896,"LUV-US^FF_PAY_TURN(ANN_R,0)":27.0358,"ALK-US^FF_PAY_TURN(ANN_R,0)":37.2756,"SKYW-US^FF_PAY_TURN(ANN_R,0)":7.5351,"AC-CA^FF_INVEN_DAYS(ANN_R,0)":9.00587467362924,"AAL-US^FF_INVEN_DAYS(ANN_R,0)":25.6484485905496,"LUV-US^FF_INVEN_DAYS(ANN_R,0)":14.5414026193494,"ALK-US^FF_INVEN_DAYS(ANN_R,0)":4.95735944409349,"SKYW-US^FF_INVEN_DAYS(ANN_R,0)":17.1929481017731,"AC-CA^FF_PAY_TURN_DAYS(ANN_R,0)":117.951203748586,"AAL-US^FF_PAY_TURN_DAYS(ANN_R,0)":24.3502161498639,"LUV-US^FF_PAY_TURN_DAYS(ANN_R,0)":13.5006176994947,"ALK-US^FF_PAY_TURN_DAYS(ANN_R,0)":9.79192823187286,"SKYW-US^FF_PAY_TURN_DAYS(ANN_R,0)":48.4399676182134,"AC-CA^FF_CASH_CONV_CYCLE(ANN_R,0)":-59.823950710479,"AAL-US^FF_CASH_CONV_CYCLE(ANN_R,0)":33.8465395295707,"LUV-US^FF_CASH_CONV_CYCLE(ANN_R,0)":45.7379555653011,"ALK-US^FF_CASH_CONV_CYCLE(ANN_R,0)":36.2611967758774,"SKYW-US^FF_CASH_CONV_CYCLE(ANN_R,0)":-19.8792174416965,"AC-CA^FF_WKCAP(ANN_R,0)":1532.0,"AC-CA^FF_WKCAP(ANN_R,-1)":-259.0,"AAL-US^FF_WKCAP(ANN_R,0)":-5474.0,"AAL-US^FF_WKCAP(ANN_R,-1)":-10105.0,"LUV-US^FF_WKCAP(ANN_R,0)":7667.0,"LUV-US^FF_WKCAP(ANN_R,-1)":-2978.0,"ALK-US^FF_WKCAP(ANN_R,0)":-287.0,"ALK-US^FF_WKCAP(ANN_R,-1)":-1164.0,"SKYW-US^FF_WKCAP(ANN_R,0)":41.08,"SKYW-US^FF_WKCAP(ANN_R,-1)":-164.33,"AC-CA^FF_GROSS_MGN(ANN_R,0)":-31.3217898165609,"AAL-US^FF_GROSS_MGN(ANN_R,0)":-42.2103016669551,"LUV-US^FF_GROSS_MGN(ANN_R,0)":-30.8023872679045,"ALK-US^FF_GROSS_MGN(ANN_R,0)":-33.1744251261918,"SKYW-US^FF_GROSS_MGN(ANN_R,0)":-0.653093921976609,"AC-CA^FF_NET_MGN(ANN_R,0)":-79.6674095662609,"AAL-US^FF_NET_MGN(ANN_R,0)":-51.2487742977447,"LUV-US^FF_NET_MGN(ANN_R,0)":-33.974358974359,"ALK-US^FF_NET_MGN(ANN_R,0)":-37.1284352215367,"SKYW-US^FF_NET_MGN(ANN_R,0)":-0.400309152435281,"AC-CA^FF_PTX_INC(ANN_R,0)":-4853.0,"AAL-US^FF_PTX_INC(ANN_R,0)":-11453.0,"LUV-US^FF_PTX_INC(ANN_R,0)":-4256.0,"ALK-US^FF_PTX_INC(ANN_R,0)":-1840.0,"SKYW-US^FF_PTX_INC(ANN_R,0)":-7.327,"AC-CA^FF_ASSET_TURN(ANN_R,0)":0.205851214003388,"AAL-US^FF_ASSET_TURN(ANN_R,0)":0.284206126078867,"LUV-US^FF_ASSET_TURN(ANN_R,0)":0.284590947692888,"ALK-US^FF_ASSET_TURN(ANN_R,0)":0.244004242362038,"SKYW-US^FF_ASSET_TURN(ANN_R,0)":0.306744930074077,"AC-CA^FF_AVG_ASSETS(ANN_R,0)":28336.0,"AC-CA^FF_AVG_SHLDRS_EQ(ANN_R,0)":3057.5,"AAL-US^FF_AVG_ASSETS(ANN_R,0)":61001.5,"AAL-US^FF_AVG_SHLDRS_EQ(ANN_R,0)":-3492.5,"LUV-US^FF_AVG_ASSETS(ANN_R,0)":31793.0,"LUV-US^FF_AVG_SHLDRS_EQ(ANN_R,0)":9354.0,"ALK-US^FF_AVG_ASSETS(ANN_R,0)":14614.5,"ALK-US^FF_AVG_SHLDRS_EQ(ANN_R,0)":3659.5,"SKYW-US^FF_AVG_ASSETS(ANN_R,0)":6934.4455,"SKYW-US^FF_AVG_SHLDRS_EQ(ANN_R,0)":2157.2795,"AC-CA^FF_TOT_DEBT_TCAP_STD(ANN_R,0)":88.3365070729053,"AAL-US^FF_TOT_DEBT_TCAP_STD(ANN_R,0)":120.105990513556,"LUV-US^FF_TOT_DEBT_TCAP_STD(ANN_R,0)":57.8837485172005,"ALK-US^FF_TOT_DEBT_TCAP_STD(ANN_R,0)":62.8404427310036,"SKYW-US^FF_TOT_DEBT_TCAP_STD(ANN_R,0)":62.0090782099345,"AC-CA^FF_SHLDRS_EQ(ANN_R,0)":1715.0,"AAL-US^FF_DEBT_EQ(ANN_R,0)":null,"LUV-US^FF_DEBT_EQ(ANN_R,0)":137.438035150969,"ALK-US^FF_DEBT_EQ(ANN_R,0)":169.109772423025,"SKYW-US^FF_DEBT_EQ(ANN_R,0)":163.220778249581,"DAL-US^FORMULA_DESCRIPTION(\"FF_SALES\")":"Sales","DAL-US^FORMULA_DESCRIPTION(\"FF_RECEIV_TURN\")":"Receivables Turnover","DAL-US^FORMULA_DESCRIPTION(\"FF_INVEN_TURN\")":"Inventory Turnover","DAL-US^FORMULA_DESCRIPTION(\"FF_PAY_TURN\")":"Payables Turnover","DAL-US^FORMULA_DESCRIPTION(\"FF_INVEN_DAYS\")":"Inventories - Days Held","DAL-US^FORMULA_DESCRIPTION(\"FF_RECEIV_TURN_DAYS\")":"Receivables Days","DAL-US^FORMULA_DESCRIPTION(\"FF_PAY_TURN_DAYS\")":"Days of Payables Outstanding","DAL-US^FORMULA_DESCRIPTION(\"FF_CASH_CONV_CYCLE\")":"Cash Conversion Cycle","DAL-US^FORMULA_DESCRIPTION(\"FF_TAX_RATE\")":"Tax Rate","DAL-US^FF_INT_EXP_NET(ANN_R,2020,2012)":[929.0,301.0,311.0,396.0,388.0,481.0,619.0,852.0,1000.0],"DAL-US^FF_TAX_RATE(ANN_R,2020,2012)":[null,23.0880929332043,23.6070665890118,41.7272727272727,34.1018685955395,36.7612127986587,38.5261194029851,-317.095370003957,1.5609756097561],"DAL-US^FF_COM_SHS_OUT_EPS_BASIC(ANN_R,0,-7AY,FY,,,M)":[636.0,651.0,691.0,720.0,751.0,797.0,836.0,849.0],"DAL-US^FF_COM_SHS_OUT_EPS_DIL(ANN_R,0,-7AY,FY,,,M)":[636.0,653.0,694.0,723.0,755.0,804.0,845.0,858.0],"DAL-US^FF_PRICE_CLOSE_FP(ANN,0,-7AY,FY)":[40.21,58.48,49.9,56.0,49.19,50.69,49.19,27.47],"DAL-US^LIF(SWP_GET_LANGUAGE_QUICK==\"JP\",PROPER(CONVERT_DATE(FF_FP_END_DATE(ANN,2020,2012,Y,RP),\"M/DD/YYYY\")),PROPER(CONVERT_DATE(FF_FP_END_DATE(ANN,2020,2012,Y,RP),\"MMM 'YY\")))":["Dec '20","Dec '19","Dec '18","Dec '17","Dec '16","Dec '15","Dec '14","Dec '13","Dec '12"],"DAL-US^CONCAT(INT_ARRAY(FF_FY_LENGTH_DAYS(ANN,2020,2012,Y)))+\" DAYS\"":["366 DAYS","365 DAYS","365 DAYS","365 DAYS","366 DAYS","365 DAYS","365 DAYS","365 DAYS","366 DAYS"],"DAL-US^FORMULA_DESCRIPTION(\"FF_ASSETS_CURR\")":"Total Current Assets","DAL-US^FF_ASSETS_CURR(ANN_R,2020,2012)":[17404.0,8249.0,6340.0,7804.0,7451.0,9056.0,12465.0,9651.0,8272.0],"DAL-US^FORMULA_DESCRIPTION(\"FF_LIABS_CURR\")":"Total Current Liabilities","DAL-US^FF_LIABS_CURR(ANN_R,2020,2012)":[15927.0,20204.0,18578.0,18959.0,15239.0,17526.0,16879.0,14152.0,13270.0],"DAL-US^FORMULA_DESCRIPTION(\"FF_INVEN\")":"Inventories","DAL-US^FF_INVEN(ANN_R,2020,2012)":[732.0,1251.0,1055.0,1329.0,891.0,697.0,852.0,1063.0,1023.0],"DAL-US^FORMULA_DESCRIPTION(\"FF_RECEIV_ST\")":"Short-Term Receivables","DAL-US^FF_RECEIV_ST(ANN_R,2020,2012)":[1396.0,2854.0,2314.0,2377.0,2064.0,2139.0,3222.0,1609.0,1693.0],"DAL-US^FORMULA_DESCRIPTION(\"FF_CASH_ST\")":"Cash & Short Term Investments","DAL-US^FF_CASH_ST(ANN_R,2020,2012)":[14288.0,3094.0,1815.0,2639.0,3642.0,5424.0,4383.0,3925.0,3749.0],"DAL-US^FF_CURR_RATIO(ANN_R,2020,2012)":[1.0927356062033,0.408285488022174,0.341263860480138,0.411625085711272,0.488942844018636,0.516718018943284,0.738491616801943,0.681953080836631,0.623360964581763],"DAL-US^FORMULA_DESCRIPTION(\"FF_QUICK_RATIO\")":"Quick Ratio","DAL-US^FF_QUICK_RATIO(ANN_R,2020,2012)":[1.0467759151127,0.346367056028509,0.284476262245667,0.341526451817079,0.430474440580091,0.476948533607212,0.688014692813555,0.606840022611645,0.546269781461944],"DAL-US^FORMULA_DESCRIPTION(\"FF_CASH_RATIO\")":"Cash Ratio","DAL-US^FF_CASH_RATIO(ANN_R,2020,2012)":[0.897092986752056,0.153137992476737,0.0976961998062224,0.139195105227069,0.238992059846447,0.309483053748716,0.259671781503644,0.277345958168457,0.282516955538809],"DAL-US^FF_SALES(ANN_R,2020,2012)":[17095.0,47006.0,44441.0,41128.0,39602.0,40506.0,40204.0,37638.0,36695.0],"DAL-US^FF_WKCAP(ANN_R,2020,2012)":[1477.0,-11955.0,-12238.0,-11155.0,-7788.0,-8470.0,-4414.0,-4501.0,-4998.0],"DAL-US^FF_COGS(ANN_R,2020,2012)":[23631.0,36584.0,35510.0,31655.0,28625.0,28456.0,31943.0,31341.0,30795.0],"DAL-US^FORMULA_DESCRIPTION(\"FF_PAY_ACCT\")":"Accounts Payable","DAL-US^FF_PAY_ACCT(ANN_R,2020,2012)":[2840.0,3266.0,2976.0,3634.0,2572.0,2743.0,2622.0,2300.0,2293.0],"DAL-US^FF_RECEIV_TURN(ANN_R,2020,2012)":[8.04470588235294,18.1911764705882,18.947345981667,18.5219545147489,18.8446347846776,15.1113598209289,16.6441730490582,22.7970926711084,22.5399262899263],"DAL-US^FF_INVEN_TURN(ANN_R,2020,2012)":[23.8335854765507,31.7294015611448,29.7902684563758,28.518018018018,36.051637279597,36.7411233053583,33.3608355091384,30.0488974113135,44.3093525179856],"DAL-US^FF_PAY_TURN(ANN_R,2020,2012)":[7.5703,11.7847,10.6614,10.3426,10.8444,10.5502,12.8939,13.6647,16.1577],"DAL-US^FF_INVEN_DAYS(ANN_R,2020,2012)":[15.3145232956709,11.5035261316422,12.2523232892143,12.7989259200758,10.1243668122271,9.93437236435198,10.9409729831262,12.1468683194538,8.23753856145478],"DAL-US^FF_RECEIV_TURN_DAYS(ANN_R,2020,2012)":[45.3714536414156,20.0646725949879,19.263911703157,19.7063436101926,19.3689081359527,24.1540142201155,21.9295965575565,16.0108135395079,16.1934868510696],"DAL-US^FF_PAY_TURN_DAYS(ANN_R,2020,2012)":[48.2147338942975,30.9723624699823,34.2356538540905,35.2909326474968,33.6579248275608,34.5965005402741,28.3079595777848,26.7111608743697,22.589848802738],"DAL-US^FF_CASH_CONV_CYCLE(ANN_R,2020,2012)":[12.4712430427891,0.595836256647861,-2.71941886171916,-2.78566311722838,-4.16464987938097,-0.508113955806593,4.56260996289781,1.44652098459197,1.8411766097864],"DAL-US^FF_SALES_WKCAP(ANN_R,2020,2012)":[11.5741367637102,null,null,null,null,null,null,null,null],"DAL-US^FF_ASSETS(ANN_R,2020,2012,FY)":[71996.0,64532.0,60266.0,53671.0,58899.0,60634.0,54121.0,59394.0,44550.0],"DAL-US^FF_PPE_NET(ANN_R,2020,2012,FY)":[32262.0,36937.0,34329.0,26563.0,24375.0,23039.0,21929.0,21854.0,20713.0],"DAL-US^FF_ASSET_TURN(ANN_R,2020,2012)":[0.250424821282081,0.753313354380679,0.780097773330876,0.730709780580972,0.662611998360285,0.705956167487255,0.708346914504691,0.724197644885708,0.833513157446422],"DAL-US^FORMULA_DESCRIPTION(\"FF_OPER_CF\")":"Net Cash from Operating Activities","DAL-US^FF_OPER_CF(ANN_R,2020,2012)":[-3793.0,8425.0,7014.0,5023.0,7216.0,7920.0,4885.0,4273.0,2476.0],"DAL-US^FORMULA_DESCRIPTION(\"FF_CAPEX\")":"Capital Expenditures - Total","DAL-US^FF_CAPEX(ANN_R,2020,2012)":[1899.0,4936.0,5168.0,3891.0,3391.0,2945.0,2249.0,2568.0,1968.0],"DAL-US^FF_EBIT_OPER_INT_COVG(ANN_R,2020,2012)":[-8.91388589881593,22.1196013289037,16.935691318328,15.2449494949495,16.5102040816327,16.2088974854932,7.30674846625767,3.60272417707151,2.66209598432909],"DAL-US^FF_NET_INC(ANN_R,2020,2012)":[-12385.0,4767.0,3935.0,3205.0,4373.0,4526.0,659.0,10540.0,1009.0],"DAL-US^FF_GROSS_MGN(ANN_R,2020,2012)":[-38.2334015794092,22.171637663277,20.0963074638284,23.0329702392531,27.7182970557043,29.7486792080186,20.5477066958512,16.7304320102025,16.0784848071944],"DAL-US^FF_NET_MGN(ANN_R,2020,2012)":[-72.4480842351565,10.1412585627367,8.85443621880696,7.79274460221747,11.0423715973941,11.1736532859329,1.63914038404139,28.003613369467,2.7496934187219],"DAL-US^FORMULA_DESCRIPTION(\"FF_EBIT_OPER\")":"EBIT","DAL-US^FF_EBIT_OPER(ANN_R,2020,2012)":[-8281.0,6658.0,5267.0,6037.0,7281.0,8380.0,4764.0,3174.0,2718.0],"DAL-US^FORMULA_DESCRIPTION(\"FF_NET_INC\")":"Net Income","DAL-US^FORMULA_DESCRIPTION(\"FF_ASSETS\")":"Total Assets","DAL-US^FF_ASSETS(ANN_R,2020,2012)":[71996.0,64532.0,60266.0,53671.0,58899.0,60634.0,54121.0,59394.0,44550.0],"DAL-US^FORMULA_DESCRIPTION(\"FF_SHLDRS_EQ\")":"Total Shareholders' Equity","DAL-US^FF_SHLDRS_EQ(ANN_R,2020,2012)":[1534.0,15358.0,13687.0,12530.0,12287.0,10850.0,8813.0,11643.0,-2131.0],"DAL-US^FORMULA_DESCRIPTION(\"FF_DEBT_LT\")":"Long-Term Debt","DAL-US^FF_DEBT_LT(ANN_R,2020,2012)":[33138.0,14167.0,14054.0,6592.0,6201.0,6766.0,8561.0,9795.0,11082.0],"DAL-US^FORMULA_DESCRIPTION(\"FF_DEBT_ST\")":"Short-Term Debt (incl. Current Portion of LTD)","DAL-US^FF_DEBT_ST(ANN_R,2020,2012)":[2410.0,3088.0,2473.0,2242.0,1131.0,1563.0,1216.0,1547.0,1627.0],"DAL-US^FORMULA_DESCRIPTION(\"FF_ROA\")":"Return on Average Assets","DAL-US^FF_ROA(ANN_R,2020,2012)":[-18.1427985468182,7.63954550553695,6.90732597839157,5.69423469840988,7.31680791078614,7.8881094505686,1.16108003347575,20.2801508504579,2.29190564344853],"DAL-US^FORMULA_DESCRIPTION(\"FF_ROE\")":"Return on Average Total Equity","DAL-US^FF_ROE(ANN_R,2020,2012)":[-146.637461520246,32.8249268376657,30.0186901628714,25.8290687834952,37.8009249254441,46.0357015714794,6.44309737974189,221.61480235492,null],"DAL-US^FORMULA_DESCRIPTION(\"FF_ROTC\")":"Return on Average Total Capital","DAL-US^FF_ROTC(ANN_R,2020,2012)":[-23.7635411435541,21.1947092810416,20.4234363488309,29.4609960227411,37.5328625186865,44.3750165479626,22.9176187612748,18.913684712332,23.6625603969878],"DAL-US^FORMULA_DESCRIPTION(\"FF_ROIC\")":"Return on Average Invested Capital","DAL-US^FF_ROIC(ANN_R,2020,2012)":[-38.5843575244949,16.6486222191178,16.7936325032542,17.0433395373571,24.2244626634168,25.8702486424693,3.39585695145831,69.3672052387377,10.4009895887022],"DAL-US^FF_NET_INC(ANN_R,2020,2012,FY)":[-12385.0,4767.0,3935.0,3205.0,4373.0,4526.0,659.0,10540.0,1009.0],"DAL-US^FF_PTX_INC(ANN_R,2020,2012)":[-15587.0,6198.0,5151.0,5500.0,6636.0,7157.0,1072.0,2527.0,1025.0],"DAL-US^FF_EBIT_OPER(ANN_R,2020,2012,FY)":[-8281.0,6658.0,5267.0,6037.0,7281.0,8380.0,4764.0,3174.0,2718.0],"DAL-US^FF_SALES(ANN_R,2020,2012,FY)":[17095.0,47006.0,44441.0,41128.0,39602.0,40506.0,40204.0,37638.0,36695.0],"DAL-US^FF_SHLDRS_EQ(ANN_R,2020,2012,FY)":[1534.0,15358.0,13687.0,12530.0,12287.0,10850.0,8813.0,11643.0,-2131.0],"DAL-US^FORMULA_DESCRIPTION(\"FF_DEBT\")":"Total Debt","DAL-US^FF_DEBT(ANN_R,2020,2012,FY)":[35548.0,17255.0,16527.0,8834.0,7332.0,8329.0,9777.0,11342.0,12709.0],"DAL-US^FF_DEBT_LT(ANN_R,2020,2012,FY)":[33138.0,14167.0,14054.0,6592.0,6201.0,6766.0,8561.0,9795.0,11082.0],"DAL-US^FF_DEBT_ST(ANN_R,2020,2012,FY)":[2410.0,3088.0,2473.0,2242.0,1131.0,1563.0,1216.0,1547.0,1627.0],"DAL-US^FORMULA_DESCRIPTION(\"FREF_MARKET_VALUE_COMPANY\")":"Market Value - Company Level","DAL-US^FREF_MARKET_VALUE_COMPANY(2020,2012,FY,,,0)":[25643.2961806632,37821.5220916399,34212.3748437786,39926.49609375,36838.7844762921,39866.3659304404,41169.1256078386,23501.8485958928,10094.8415475712],"DAL-US^FORMULA_DESCRIPTION(\"FF_TOT_DEBT_TCAP_STD\")":"Total Debt % Total Capital","DAL-US^FF_TOT_DEBT_TCAP_STD(ANN_R,2020,2012)":[95.8632220484332,52.9083494312084,54.6998080360098,41.3499344692005,37.3719353687752,43.4277073882893,52.5927918235611,49.3452251468349,120.145585176782],"^FORMULA_DESCRIPTION(\"FF_DEBT_EQ\")":"Total Debt % Equity","DAL-US^FF_DEBT_EQ(ANN_R,2020,2012)":[2317.34028683181,112.351868732908,120.749616424344,70.5027932960894,59.6728249369252,76.7649769585253,110.938386474526,97.41475564717,null],"SKYW-US^FF_OPER_LEASE_COMMIT_YR5(ANN_R,-9)":239.698,"SKYW-US^FF_OPER_LEASE_COMMIT_YR4(ANN_R,-9)":305.828,"SKYW-US^FF_OPER_LEASE_COMMIT_YR3(ANN_R,-9)":348.323,"SKYW-US^FF_OPER_LEASE_COMMIT_YR2(ANN_R,-9)":369.002,"SKYW-US^FF_OPER_LEASE_COMMIT_YR1(ANN_R,-9)":392.165,"SKYW-US^FF_OPER_LEASE_COMMIT_YR1(ANN_R,-10)":373.166,"SKYW-US^FF_OPER_LEASE_COMMIT_5YR(ANN_R,-8)":720.733,"SKYW-US^FF_OPER_LEASE_COMMIT_5YR(ANN_R,-7)":571.783,"SKYW-US^FF_OPER_LEASE_COMMIT_5YR(ANN_R,-6)":453.507,"SKYW-US^FF_OPER_LEASE_COMMIT_YR5(ANN_R,-8)":182.291,"SKYW-US^FF_OPER_LEASE_COMMIT_YR5(ANN_R,-7)":153.294,"SKYW-US^FF_OPER_LEASE_COMMIT_YR5(ANN_R,-6)":118.273,"SKYW-US^FF_OPER_LEASE_COMMIT_YR4(ANN_R,-8)":239.989,"SKYW-US^FF_OPER_LEASE_COMMIT_YR4(ANN_R,-7)":194.258,"SKYW-US^FF_OPER_LEASE_COMMIT_YR4(ANN_R,-6)":153.338,"SKYW-US^FF_OPER_LEASE_COMMIT_YR3(ANN_R,-8)":309.378,"SKYW-US^FF_OPER_LEASE_COMMIT_YR3(ANN_R,-7)":258.464,"SKYW-US^FF_OPER_LEASE_COMMIT_YR3(ANN_R,-6)":199.009,"SKYW-US^FF_OPER_LEASE_COMMIT_YR2(ANN_R,-8)":360.797,"SKYW-US^FF_OPER_LEASE_COMMIT_YR2(ANN_R,-7)":331.151,"SKYW-US^FF_OPER_LEASE_COMMIT_YR2(ANN_R,-6)":269.21,"SKYW-US^FF_OPER_LEASE_COMMIT_YR1(ANN_R,-8)":387.999,"SKYW-US^FF_OPER_LEASE_COMMIT_YR1(ANN_R,-7)":380.413,"SKYW-US^FF_OPER_LEASE_COMMIT_YR1(ANN_R,-6)":342.984,"SKYW-US^FF_OPER_LEASE_COMMIT_5YR(ANN_R,-2)":59.82,"SKYW-US^FF_OPER_LEASE_COMMIT_YR5(ANN_R,-2)":65.749,"SKYW-US^FF_OPER_LEASE_COMMIT_YR4(ANN_R,-2)":72.593,"SKYW-US^FF_OPER_LEASE_COMMIT_YR3(ANN_R,-2)":90.787,"SKYW-US^FF_OPER_LEASE_COMMIT_YR2(ANN_R,-2)":101.741,"SKYW-US^FF_OPER_LEASE_COMMIT_YR1(ANN_R,-2)":87.256,"ALK-US^FF_OPER_LEASE_COMMIT_YR2(ANN_R,-2)":320.0,"ALK-US^FF_OPER_LEASE_COMMIT_YR3(ANN_R,-2)":286.0,"ALK-US^FF_OPER_LEASE_COMMIT_YR4(ANN_R,-2)":262.0,"ALK-US^FF_OPER_LEASE_COMMIT_YR5(ANN_R,-2)":208.0,"ALK-US^FF_OPER_LEASE_COMMIT_5YR(ANN_R,-2)":847.0,"ALK-US^FF_OPER_LEASE_COMMIT_YR1(ANN_R,-4)":425.0,"ALK-US^FF_OPER_LEASE_COMMIT_YR2(ANN_R,-4)":389.0,"ALK-US^FF_OPER_LEASE_COMMIT_YR3(ANN_R,-4)":368.0,"ALK-US^FF_OPER_LEASE_COMMIT_YR4(ANN_R,-4)":336.0,"ALK-US^FF_OPER_LEASE_COMMIT_YR5(ANN_R,-4)":292.0,"ALK-US^FF_OPER_LEASE_COMMIT_5YR(ANN_R,-4)":1124.0,"ALK-US^FF_OPER_LEASE_COMMIT_YR1(ANN_R,-6)":206.0,"ALK-US^FF_OPER_LEASE_COMMIT_YR1(ANN_R,-7)":221.0,"ALK-US^FF_OPER_LEASE_COMMIT_YR1(ANN_R,-8)":189.0,"ALK-US^FF_OPER_LEASE_COMMIT_YR2(ANN_R,-6)":195.0,"ALK-US^FF_OPER_LEASE_COMMIT_YR2(ANN_R,-7)":186.0,"ALK-US^FF_OPER_LEASE_COMMIT_YR2(ANN_R,-8)":168.0,"ALK-US^FF_OPER_LEASE_COMMIT_YR3(ANN_R,-6)":161.0,"ALK-US^FF_OPER_LEASE_COMMIT_YR3(ANN_R,-7)":154.0,"ALK-US^FF_OPER_LEASE_COMMIT_YR3(ANN_R,-8)":135.0,"ALK-US^FF_OPER_LEASE_COMMIT_YR4(ANN_R,-6)":98.0,"ALK-US^FF_OPER_LEASE_COMMIT_YR4(ANN_R,-7)":119.0,"ALK-US^FF_OPER_LEASE_COMMIT_YR4(ANN_R,-8)":104.0,"ALK-US^FF_OPER_LEASE_COMMIT_YR5(ANN_R,-6)":86.0,"ALK-US^FF_OPER_LEASE_COMMIT_YR5(ANN_R,-7)":55.0,"ALK-US^FF_OPER_LEASE_COMMIT_YR5(ANN_R,-8)":69.0,"ALK-US^FF_OPER_LEASE_COMMIT_5YR(ANN_R,-6)":360.0,"ALK-US^FF_OPER_LEASE_COMMIT_5YR(ANN_R,-7)":160.0,"ALK-US^FF_OPER_LEASE_COMMIT_5YR(ANN_R,-8)":209.0,"ALK-US^FF_OPER_LEASE_COMMIT_YR1(ANN_R,-10)":214.5,"ALK-US^FF_OPER_LEASE_COMMIT_YR1(ANN_R,-9)":200.1,"ALK-US^FF_OPER_LEASE_COMMIT_YR2(ANN_R,-9)":166.7,"ALK-US^FF_OPER_LEASE_COMMIT_YR3(ANN_R,-9)":153.3,"ALK-US^FF_OPER_LEASE_COMMIT_YR4(ANN_R,-9)":121.7,"ALK-US^FF_OPER_LEASE_COMMIT_YR5(ANN_R,-9)":90.8,"ALK-US^FF_OPER_LEASE_COMMIT_5YR(ANN_R,-9)":242.2,"ALK-US^FF_OPER_LEASE_COMMIT_YR1(ANN_R,-3)":null,"LUV-US^FF_OPER_LEASE_COMMIT_YR2(ANN_R,-2)":279.0,"LUV-US^FF_OPER_LEASE_COMMIT_YR3(ANN_R,-2)":203.0,"LUV-US^FF_OPER_LEASE_COMMIT_YR4(ANN_R,-2)":155.0,"LUV-US^FF_OPER_LEASE_COMMIT_YR5(ANN_R,-2)":139.0,"LUV-US^FF_OPER_LEASE_COMMIT_5YR(ANN_R,-2)":473.0,"LUV-US^FF_OPER_LEASE_COMMIT_YR1(ANN_R,-4)":671.0,"LUV-US^FF_OPER_LEASE_COMMIT_YR1(ANN_R,-5)":557.0,"LUV-US^FF_OPER_LEASE_COMMIT_YR2(ANN_R,-4)":562.0,"LUV-US^FF_OPER_LEASE_COMMIT_YR2(ANN_R,-5)":545.0,"LUV-US^FF_OPER_LEASE_COMMIT_YR3(ANN_R,-4)":491.0,"LUV-US^FF_OPER_LEASE_COMMIT_YR3(ANN_R,-5)":474.0,"LUV-US^FF_OPER_LEASE_COMMIT_YR4(ANN_R,-4)":377.0,"LUV-US^FF_OPER_LEASE_COMMIT_YR4(ANN_R,-5)":407.0,"LUV-US^FF_OPER_LEASE_COMMIT_YR5(ANN_R,-4)":232.0,"LUV-US^FF_OPER_LEASE_COMMIT_YR5(ANN_R,-5)":307.0,"LUV-US^FF_OPER_LEASE_COMMIT_5YR(ANN_R,-4)":715.0,"LUV-US^FF_OPER_LEASE_COMMIT_5YR(ANN_R,-5)":1529.0,"LUV-US^FF_OPER_LEASE_COMMIT_YR1(ANN_R,-7)":637.0,"LUV-US^FF_OPER_LEASE_COMMIT_YR1(ANN_R,-8)":688.0,"LUV-US^FF_OPER_LEASE_COMMIT_YR2(ANN_R,-7)":565.0,"LUV-US^FF_OPER_LEASE_COMMIT_YR2(ANN_R,-8)":614.0,"LUV-US^FF_OPER_LEASE_COMMIT_YR3(ANN_R,-7)":438.0,"LUV-US^FF_OPER_LEASE_COMMIT_YR3(ANN_R,-8)":507.0,"LUV-US^FF_OPER_LEASE_COMMIT_YR4(ANN_R,-7)":410.0,"LUV-US^FF_OPER_LEASE_COMMIT_YR4(ANN_R,-8)":392.0,"LUV-US^FF_OPER_LEASE_COMMIT_YR5(ANN_R,-7)":327.0,"LUV-US^FF_OPER_LEASE_COMMIT_YR5(ANN_R,-8)":369.0,"LUV-US^FF_OPER_LEASE_COMMIT_5YR(ANN_R,-7)":1513.0,"LUV-US^FF_OPER_LEASE_COMMIT_5YR(ANN_R,-8)":1823.0,"LUV-US^FF_OPER_LEASE_COMMIT_YR1(ANN_R,-10)":386.0,"LUV-US^FF_OPER_LEASE_COMMIT_YR1(ANN_R,-9)":640.0,"LUV-US^FF_OPER_LEASE_COMMIT_YR2(ANN_R,-9)":717.0,"LUV-US^FF_OPER_LEASE_COMMIT_YR3(ANN_R,-9)":642.0,"LUV-US^FF_OPER_LEASE_COMMIT_YR4(ANN_R,-9)":579.0,"LUV-US^FF_OPER_LEASE_COMMIT_YR5(ANN_R,-9)":489.0,"LUV-US^FF_OPER_LEASE_COMMIT_5YR(ANN_R,-9)":2516.0,"AAL-US^FF_OPER_LEASE_COMMIT_YR1(ANN_R,-3)":2572.0,"AAL-US^FF_OPER_LEASE_COMMIT_YR1(ANN_R,-4)":2250.0,"AAL-US^FF_OPER_LEASE_COMMIT_YR1(ANN_R,-5)":2198.0,"AAL-US^FF_OPER_LEASE_COMMIT_YR2(ANN_R,-3)":2329.0,"AAL-US^FF_OPER_LEASE_COMMIT_YR2(ANN_R,-4)":2016.0,"AAL-US^FF_OPER_LEASE_COMMIT_YR2(ANN_R,-5)":2078.0,"AAL-US^FF_OPER_LEASE_COMMIT_YR3(ANN_R,-3)":2104.0,"AAL-US^FF_OPER_LEASE_COMMIT_YR3(ANN_R,-4)":1815.0,"AAL-US^FF_OPER_LEASE_COMMIT_YR3(ANN_R,-5)":1829.0,"AAL-US^FF_OPER_LEASE_COMMIT_YR4(ANN_R,-3)":1621.0,"AAL-US^FF_OPER_LEASE_COMMIT_YR4(ANN_R,-4)":1639.0,"AAL-US^FF_OPER_LEASE_COMMIT_YR4(ANN_R,-5)":1643.0,"AAL-US^FF_OPER_LEASE_COMMIT_YR5(ANN_R,-3)":1398.0,"AAL-US^FF_OPER_LEASE_COMMIT_YR5(ANN_R,-4)":1214.0,"AAL-US^FF_OPER_LEASE_COMMIT_YR5(ANN_R,-5)":1493.0,"AAL-US^FF_OPER_LEASE_COMMIT_5YR(ANN_R,-3)":3965.0,"AAL-US^FF_OPER_LEASE_COMMIT_5YR(ANN_R,-4)":3793.0,"AAL-US^FF_OPER_LEASE_COMMIT_5YR(ANN_R,-5)":4704.0,"AAL-US^FF_OPER_LEASE_COMMIT_YR1(ANN_R,-7)":2267.0,"AAL-US^FF_OPER_LEASE_COMMIT_YR1(ANN_R,-8)":1033.0,"AAL-US^FF_OPER_LEASE_COMMIT_YR2(ANN_R,-7)":1934.0,"AAL-US^FF_OPER_LEASE_COMMIT_YR2(ANN_R,-8)":962.0,"AAL-US^FF_OPER_LEASE_COMMIT_YR3(ANN_R,-7)":1751.0,"AAL-US^FF_OPER_LEASE_COMMIT_YR3(ANN_R,-8)":892.0,"AAL-US^FF_OPER_LEASE_COMMIT_YR4(ANN_R,-7)":1650.0,"AAL-US^FF_OPER_LEASE_COMMIT_YR4(ANN_R,-8)":816.0,"AAL-US^FF_OPER_LEASE_COMMIT_YR5(ANN_R,-7)":1426.0,"AAL-US^FF_OPER_LEASE_COMMIT_YR5(ANN_R,-8)":777.0,"AAL-US^FF_OPER_LEASE_COMMIT_5YR(ANN_R,-7)":6664.0,"AAL-US^FF_OPER_LEASE_COMMIT_5YR(ANN_R,-8)":4531.0,"AAL-US^FF_OPER_LEASE_COMMIT_YR1(ANN_R,-10)":1254.0,"AAL-US^FF_OPER_LEASE_COMMIT_YR1(ANN_R,-9)":1176.0,"AAL-US^FF_OPER_LEASE_COMMIT_YR2(ANN_R,-9)":1091.0,"AAL-US^FF_OPER_LEASE_COMMIT_YR3(ANN_R,-9)":942.0,"AAL-US^FF_OPER_LEASE_COMMIT_YR4(ANN_R,-9)":779.0,"AAL-US^FF_OPER_LEASE_COMMIT_YR5(ANN_R,-9)":685.0,"AAL-US^FF_OPER_LEASE_COMMIT_5YR(ANN_R,-9)":5940.0,"AC-CA^FF_OPER_LEASE_COMMIT_YR1(ANN_R,-3)":606.0,"AC-CA^FF_OPER_LEASE_COMMIT_YR1(ANN_R,-4)":572.0,"AC-CA^FF_OPER_LEASE_COMMIT_YR1(ANN_R,-5)":536.0,"AC-CA^FF_OPER_LEASE_COMMIT_YR1(ANN_R,-6)":359.0,"AC-CA^FF_OPER_LEASE_COMMIT_YR1(ANN_R,-7)":359.0,"AC-CA^FF_OPER_LEASE_COMMIT_YR2(ANN_R,-3)":520.0,"AC-CA^FF_OPER_LEASE_COMMIT_YR2(ANN_R,-4)":507.0,"AC-CA^FF_OPER_LEASE_COMMIT_YR2(ANN_R,-5)":477.0,"AC-CA^FF_OPER_LEASE_COMMIT_YR2(ANN_R,-6)":300.0,"AC-CA^FF_OPER_LEASE_COMMIT_YR2(ANN_R,-7)":306.0,"AC-CA^FF_OPER_LEASE_COMMIT_YR3(ANN_R,-3)":397.0,"AC-CA^FF_OPER_LEASE_COMMIT_YR3(ANN_R,-4)":420.0,"AC-CA^FF_OPER_LEASE_COMMIT_YR3(ANN_R,-5)":420.0,"AC-CA^FF_OPER_LEASE_COMMIT_YR3(ANN_R,-6)":266.0,"AC-CA^FF_OPER_LEASE_COMMIT_YR3(ANN_R,-7)":250.0,"AC-CA^FF_OPER_LEASE_COMMIT_YR4(ANN_R,-3)":288.0,"AC-CA^FF_OPER_LEASE_COMMIT_YR4(ANN_R,-4)":305.0,"AC-CA^FF_OPER_LEASE_COMMIT_YR4(ANN_R,-5)":333.0,"AC-CA^FF_OPER_LEASE_COMMIT_YR4(ANN_R,-6)":227.0,"AC-CA^FF_OPER_LEASE_COMMIT_YR4(ANN_R,-7)":219.0,"AC-CA^FF_OPER_LEASE_COMMIT_YR5(ANN_R,-3)":210.0,"AC-CA^FF_OPER_LEASE_COMMIT_YR5(ANN_R,-4)":206.0,"AC-CA^FF_OPER_LEASE_COMMIT_YR5(ANN_R,-5)":228.0,"AC-CA^FF_OPER_LEASE_COMMIT_YR5(ANN_R,-6)":185.0,"AC-CA^FF_OPER_LEASE_COMMIT_YR5(ANN_R,-7)":191.0,"AC-CA^FF_OPER_LEASE_COMMIT_5YR(ANN_R,-3)":882.0,"AC-CA^FF_OPER_LEASE_COMMIT_5YR(ANN_R,-4)":508.0,"AC-CA^FF_OPER_LEASE_COMMIT_5YR(ANN_R,-5)":346.0,"AC-CA^FF_OPER_LEASE_COMMIT_5YR(ANN_R,-6)":296.0,"AC-CA^FF_OPER_LEASE_COMMIT_5YR(ANN_R,-7)":419.0,"AC-CA^FF_OPER_LEASE_COMMIT_YR1(ANN_R,-10)":null,"AC-CA^FF_OPER_LEASE_COMMIT_YR1(ANN_R,-9)":395.0,"AC-CA^FF_OPER_LEASE_COMMIT_YR2(ANN_R,-9)":362.0,"AC-CA^FF_OPER_LEASE_COMMIT_YR3(ANN_R,-9)":296.0,"AC-CA^FF_OPER_LEASE_COMMIT_YR4(ANN_R,-9)":247.0,"AC-CA^FF_OPER_LEASE_COMMIT_YR5(ANN_R,-9)":205.0,"AC-CA^FF_OPER_LEASE_COMMIT_5YR(ANN_R,-9)":612.0,"SKYW-US^FF_ARPT_SERIES('RESEARCH AND DEVELOPMENT',ANN,0,,B,\"IS\")":null,"SKYW-US^FF_ARPT_SERIES('RESEARCH AND DEVELOPMENT',ANN,-1,,B,\"IS\")":null,"SKYW-US^FF_ARPT_SERIES('RESEARCH AND DEVELOPMENT',ANN,-2,,B,\"IS\")":null,"SKYW-US^FF_ARPT_SERIES('RESEARCH AND DEVELOPMENT',ANN,-3,,B,\"IS\")":null,"SKYW-US^FF_ARPT_SERIES('RESEARCH AND DEVELOPMENT',ANN,-4,,B,\"IS\")":null,"SKYW-US^FF_ARPT_SERIES('RESEARCH AND DEVELOPMENT',ANN,-5,,B,\"IS\")":null,"SKYW-US^FF_ARPT_SERIES('RESEARCH AND DEVELOPMENT',ANN,-6,,B,\"IS\")":null,"SKYW-US^FF_ARPT_SERIES('RESEARCH AND DEVELOPMENT',ANN,-7,,B,\"IS\")":null,"SKYW-US^FF_ARPT_SERIES('RESEARCH AND DEVELOPMENT',ANN,-8,,B,\"IS\")":null,"SKYW-US^FF_ARPT_SERIES('RESEARCH AND DEVELOPMENT',ANN,-9,,B,\"IS\")":null,"SKYW-US^FF_ARPT_SERIES('RESEARCH AND DEVELOPMENT',ANN,-10,,B,\"IS\")":null,"SKYW-US^FF_ARPT_SERIES('RESEARCH AND DEVELOPMENT',ANN,-11,,B,\"IS\")":null,"SKYW-US^FF_ARPT_SERIES('RESEARCH AND DEVELOPMENT',ANN,-12,,B,\"IS\")":null,"SKYW-US^FF_ARPT_SERIES('RESEARCH AND DEVELOPMENT',ANN,-13,,B,\"IS\")":null,"SKYW-US^FF_ARPT_SERIES('RESEARCH AND DEVELOPMENT',ANN,-14,,B,\"IS\")":null,"SKYW-US^FF_ARPT_SERIES('RESEARCH AND DEVELOPMENT',ANN,-15,,B,\"IS\")":null,"SKYW-US^FF_ARPT_SERIES('RESEARCH AND DEVELOPMENT',ANN,-16,,B,\"IS\")":null,"SKYW-US^FF_ARPT_SERIES('RESEARCH AND DEVELOPMENT',ANN,-17,,B,\"IS\")":null,"SKYW-US^FF_ARPT_SERIES('RESEARCH AND DEVELOPMENT',ANN,-18,,B,\"IS\")":null,"SKYW-US^FF_ARPT_SERIES('RESEARCH AND DEVELOPMENT',ANN,-117,,B,\"IS\")":null,"SKYW-US^FF_ARPT_SERIES('RESEARCH AND DEVELOPMENT',ANN,-19,,B,\"IS\")":null,"ALK-US^FF_ARPT_SERIES('RESEARCH AND DEVELOPMENT',ANN,0,,B,\"IS\")":null,"ALK-US^FF_ARPT_SERIES('RESEARCH AND DEVELOPMENT',ANN,-1,,B,\"IS\")":null,"ALK-US^FF_ARPT_SERIES('RESEARCH AND DEVELOPMENT',ANN,-2,,B,\"IS\")":null,"ALK-US^FF_ARPT_SERIES('RESEARCH AND DEVELOPMENT',ANN,-3,,B,\"IS\")":null,"ALK-US^FF_ARPT_SERIES('RESEARCH AND DEVELOPMENT',ANN,-4,,B,\"IS\")":null,"ALK-US^FF_ARPT_SERIES('RESEARCH AND DEVELOPMENT',ANN,-5,,B,\"IS\")":null,"ALK-US^FF_ARPT_SERIES('RESEARCH AND DEVELOPMENT',ANN,-6,,B,\"IS\")":null,"ALK-US^FF_ARPT_SERIES('RESEARCH AND DEVELOPMENT',ANN,-7,,B,\"IS\")":null,"ALK-US^FF_ARPT_SERIES('RESEARCH AND DEVELOPMENT',ANN,-8,,B,\"IS\")":null,"ALK-US^FF_ARPT_SERIES('RESEARCH AND DEVELOPMENT',ANN,-9,,B,\"IS\")":null,"ALK-US^FF_ARPT_SERIES('RESEARCH AND DEVELOPMENT',ANN,-10,,B,\"IS\")":null,"ALK-US^FF_ARPT_SERIES('RESEARCH AND DEVELOPMENT',ANN,-11,,B,\"IS\")":null,"ALK-US^FF_ARPT_SERIES('RESEARCH AND DEVELOPMENT',ANN,-12,,B,\"IS\")":null,"ALK-US^FF_ARPT_SERIES('RESEARCH AND DEVELOPMENT',ANN,-13,,B,\"IS\")":null,"ALK-US^FF_ARPT_SERIES('RESEARCH AND DEVELOPMENT',ANN,-14,,B,\"IS\")":null,"ALK-US^FF_ARPT_SERIES('RESEARCH AND DEVELOPMENT',ANN,-15,,B,\"IS\")":null,"ALK-US^FF_ARPT_SERIES('RESEARCH AND DEVELOPMENT',ANN,-16,,B,\"IS\")":null,"ALK-US^FF_ARPT_SERIES('RESEARCH AND DEVELOPMENT',ANN,-17,,B,\"IS\")":null,"ALK-US^FF_ARPT_SERIES('RESEARCH AND DEVELOPMENT',ANN,-18,,B,\"IS\")":null,"ALK-US^FF_ARPT_SERIES('RESEARCH AND DEVELOPMENT',ANN,-117,,B,\"IS\")":null,"ALK-US^FF_ARPT_SERIES('RESEARCH AND DEVELOPMENT',ANN,-19,,B,\"IS\")":null,"LUV-US^FF_ARPT_SERIES('RESEARCH AND DEVELOPMENT',ANN,0,,B,\"IS\")":null,"LUV-US^FF_ARPT_SERIES('RESEARCH AND DEVELOPMENT',ANN,-1,,B,\"IS\")":null,"LUV-US^FF_ARPT_SERIES('RESEARCH AND DEVELOPMENT',ANN,-2,,B,\"IS\")":null,"LUV-US^FF_ARPT_SERIES('RESEARCH AND DEVELOPMENT',ANN,-3,,B,\"IS\")":null,"LUV-US^FF_ARPT_SERIES('RESEARCH AND DEVELOPMENT',ANN,-4,,B,\"IS\")":null,"LUV-US^FF_ARPT_SERIES('RESEARCH AND DEVELOPMENT',ANN,-5,,B,\"IS\")":null,"LUV-US^FF_ARPT_SERIES('RESEARCH AND DEVELOPMENT',ANN,-6,,B,\"IS\")":null,"LUV-US^FF_ARPT_SERIES('RESEARCH AND DEVELOPMENT',ANN,-7,,B,\"IS\")":null,"LUV-US^FF_ARPT_SERIES('RESEARCH AND DEVELOPMENT',ANN,-8,,B,\"IS\")":null,"LUV-US^FF_ARPT_SERIES('RESEARCH AND DEVELOPMENT',ANN,-9,,B,\"IS\")":null,"LUV-US^FF_ARPT_SERIES('RESEARCH AND DEVELOPMENT',ANN,-10,,B,\"IS\")":null,"LUV-US^FF_ARPT_SERIES('RESEARCH AND DEVELOPMENT',ANN,-11,,B,\"IS\")":null,"LUV-US^FF_ARPT_SERIES('RESEARCH AND DEVELOPMENT',ANN,-12,,B,\"IS\")":null,"LUV-US^FF_ARPT_SERIES('RESEARCH AND DEVELOPMENT',ANN,-13,,B,\"IS\")":null,"LUV-US^FF_ARPT_SERIES('RESEARCH AND DEVELOPMENT',ANN,-14,,B,\"IS\")":null,"LUV-US^FF_ARPT_SERIES('RESEARCH AND DEVELOPMENT',ANN,-15,,B,\"IS\")":null,"LUV-US^FF_ARPT_SERIES('RESEARCH AND DEVELOPMENT',ANN,-16,,B,\"IS\")":null,"LUV-US^FF_ARPT_SERIES('RESEARCH AND DEVELOPMENT',ANN,-17,,B,\"IS\")":null,"LUV-US^FF_ARPT_SERIES('RESEARCH AND DEVELOPMENT',ANN,-18,,B,\"IS\")":null,"LUV-US^FF_ARPT_SERIES('RESEARCH AND DEVELOPMENT',ANN,-117,,B,\"IS\")":null,"LUV-US^FF_ARPT_SERIES('RESEARCH AND DEVELOPMENT',ANN,-19,,B,\"IS\")":null,"AAL-US^FF_ARPT_SERIES('RESEARCH AND DEVELOPMENT',ANN,0,,B,\"IS\")":null,"AAL-US^FF_ARPT_SERIES('RESEARCH AND DEVELOPMENT',ANN,-1,,B,\"IS\")":null,"AAL-US^FF_ARPT_SERIES('RESEARCH AND DEVELOPMENT',ANN,-2,,B,\"IS\")":null,"AAL-US^FF_ARPT_SERIES('RESEARCH AND DEVELOPMENT',ANN,-3,,B,\"IS\")":null,"AAL-US^FF_ARPT_SERIES('RESEARCH AND DEVELOPMENT',ANN,-4,,B,\"IS\")":null,"AAL-US^FF_ARPT_SERIES('RESEARCH AND DEVELOPMENT',ANN,-5,,B,\"IS\")":null,"AAL-US^FF_ARPT_SERIES('RESEARCH AND DEVELOPMENT',ANN,-6,,B,\"IS\")":null,"AAL-US^FF_ARPT_SERIES('RESEARCH AND DEVELOPMENT',ANN,-7,,B,\"IS\")":null,"AAL-US^FF_ARPT_SERIES('RESEARCH AND DEVELOPMENT',ANN,-8,,B,\"IS\")":null,"AAL-US^FF_ARPT_SERIES('RESEARCH AND DEVELOPMENT',ANN,-9,,B,\"IS\")":null,"AAL-US^FF_ARPT_SERIES('RESEARCH AND DEVELOPMENT',ANN,-10,,B,\"IS\")":null,"AAL-US^FF_ARPT_SERIES('RESEARCH AND DEVELOPMENT',ANN,-11,,B,\"IS\")":null,"AAL-US^FF_ARPT_SERIES('RESEARCH AND DEVELOPMENT',ANN,-12,,B,\"IS\")":null,"AAL-US^FF_ARPT_SERIES('RESEARCH AND DEVELOPMENT',ANN,-13,,B,\"IS\")":null,"AAL-US^FF_ARPT_SERIES('RESEARCH AND DEVELOPMENT',ANN,-14,,B,\"IS\")":null,"AAL-US^FF_ARPT_SERIES('RESEARCH AND DEVELOPMENT',ANN,-15,,B,\"IS\")":null,"AAL-US^FF_ARPT_SERIES('RESEARCH AND DEVELOPMENT',ANN,-16,,B,\"IS\")":null,"AAL-US^FF_ARPT_SERIES('RESEARCH AND DEVELOPMENT',ANN,-17,,B,\"IS\")":null,"AAL-US^FF_ARPT_SERIES('RESEARCH AND DEVELOPMENT',ANN,-18,,B,\"IS\")":null,"AAL-US^FF_ARPT_SERIES('RESEARCH AND DEVELOPMENT',ANN,-117,,B,\"IS\")":null,"AAL-US^FF_ARPT_SERIES('RESEARCH AND DEVELOPMENT',ANN,-19,,B,\"IS\")":null,"AC-CA^FF_ARPT_SERIES('RESEARCH AND DEVELOPMENT',ANN,0,,B,\"IS\")":null,"AC-CA^FF_ARPT_SERIES('RESEARCH AND DEVELOPMENT',ANN,-1,,B,\"IS\")":null,"AC-CA^FF_ARPT_SERIES('RESEARCH AND DEVELOPMENT',ANN,-2,,B,\"IS\")":null,"AC-CA^FF_ARPT_SERIES('RESEARCH AND DEVELOPMENT',ANN,-3,,B,\"IS\")":null,"AC-CA^FF_ARPT_SERIES('RESEARCH AND DEVELOPMENT',ANN,-4,,B,\"IS\")":null,"AC-CA^FF_ARPT_SERIES('RESEARCH AND DEVELOPMENT',ANN,-5,,B,\"IS\")":null,"AC-CA^FF_ARPT_SERIES('RESEARCH AND DEVELOPMENT',ANN,-6,,B,\"IS\")":null,"AC-CA^FF_ARPT_SERIES('RESEARCH AND DEVELOPMENT',ANN,-7,,B,\"IS\")":null,"AC-CA^FF_ARPT_SERIES('RESEARCH AND DEVELOPMENT',ANN,-8,,B,\"IS\")":null,"AC-CA^FF_ARPT_SERIES('RESEARCH AND DEVELOPMENT',ANN,-9,,B,\"IS\")":null,"AC-CA^FF_ARPT_SERIES('RESEARCH AND DEVELOPMENT',ANN,-10,,B,\"IS\")":null,"AC-CA^FF_ARPT_SERIES('RESEARCH AND DEVELOPMENT',ANN,-11,,B,\"IS\")":null,"AC-CA^FF_ARPT_SERIES('RESEARCH AND DEVELOPMENT',ANN,-12,,B,\"IS\")":null,"AC-CA^FF_ARPT_SERIES('RESEARCH AND DEVELOPMENT',ANN,-13,,B,\"IS\")":null,"AC-CA^FF_ARPT_SERIES('RESEARCH AND DEVELOPMENT',ANN,-14,,B,\"IS\")":null,"AC-CA^FF_ARPT_SERIES('RESEARCH AND DEVELOPMENT',ANN,-15,,B,\"IS\")":null,"AC-CA^FF_ARPT_SERIES('RESEARCH AND DEVELOPMENT',ANN,-16,,B,\"IS\")":null,"AC-CA^FF_ARPT_SERIES('RESEARCH AND DEVELOPMENT',ANN,-17,,B,\"IS\")":null,"AC-CA^FF_ARPT_SERIES('RESEARCH AND DEVELOPMENT',ANN,-18,,B,\"IS\")":null,"AC-CA^FF_ARPT_SERIES('RESEARCH AND DEVELOPMENT',ANN,-117,,B,\"IS\")":null,"AC-CA^FF_ARPT_SERIES('RESEARCH AND DEVELOPMENT',ANN,-19,,B,\"IS\")":null,"DAL-US^FF_ARPT_SERIES('RESEARCH AND DEVELOPMENT',ANN,0,,B,\"IS\")":null,"DAL-US^FF_ARPT_SERIES('RESEARCH AND DEVELOPMENT',ANN,-1,,B,\"IS\")":null,"DAL-US^FF_ARPT_SERIES('RESEARCH AND DEVELOPMENT',ANN,-2,,B,\"IS\")":null,"DAL-US^FF_ARPT_SERIES('RESEARCH AND DEVELOPMENT',ANN,-3,,B,\"IS\")":null,"DAL-US^FF_ARPT_SERIES('RESEARCH AND DEVELOPMENT',ANN,-4,,B,\"IS\")":null,"DAL-US^FF_ARPT_SERIES('RESEARCH AND DEVELOPMENT',ANN,-5,,B,\"IS\")":null,"DAL-US^FF_ARPT_SERIES('RESEARCH AND DEVELOPMENT',ANN,-6,,B,\"IS\")":null,"DAL-US^FF_ARPT_SERIES('RESEARCH AND DEVELOPMENT',ANN,-7,,B,\"IS\")":null,"DAL-US^FF_ARPT_SERIES('RESEARCH AND DEVELOPMENT',ANN,-8,,B,\"IS\")":null,"DAL-US^FF_ARPT_SERIES('RESEARCH AND DEVELOPMENT',ANN,-9,,B,\"IS\")":null,"DAL-US^FF_ARPT_SERIES('RESEARCH AND DEVELOPMENT',ANN,-10,,B,\"IS\")":null,"DAL-US^FF_ARPT_SERIES('RESEARCH AND DEVELOPMENT',ANN,-11,,B,\"IS\")":null,"DAL-US^FF_ARPT_SERIES('RESEARCH AND DEVELOPMENT',ANN,-12,,B,\"IS\")":null,"DAL-US^FF_ARPT_SERIES('RESEARCH AND DEVELOPMENT',ANN,-13,,B,\"IS\")":null,"DAL-US^FF_ARPT_SERIES('RESEARCH AND DEVELOPMENT',ANN,-14,,B,\"IS\")":null,"DAL-US^FF_ARPT_SERIES('RESEARCH AND DEVELOPMENT',ANN,-15,,B,\"IS\")":null,"DAL-US^FF_ARPT_SERIES('RESEARCH AND DEVELOPMENT',ANN,-16,,B,\"IS\")":null,"DAL-US^FF_ARPT_SERIES('RESEARCH AND DEVELOPMENT',ANN,-17,,B,\"IS\")":null,"DAL-US^FF_ARPT_SERIES('RESEARCH AND DEVELOPMENT',ANN,-18,,B,\"IS\")":null,"DAL-US^FF_ARPT_SERIES('RESEARCH AND DEVELOPMENT',ANN,-117,,B,\"IS\")":null,"DAL-US^FF_ARPT_SERIES('RESEARCH AND DEVELOPMENT',ANN,-19,,B,\"IS\")":null,"DAL-US^FF_INC_TAX(ANN_R,0,,,,,B)":-3.202,"DAL-US^FF_EBIT_OPER(ANN_R,0,,,,,B)":-8.281,"AC-CA^FF_INC_TAX(ANN_R,0,,,,,B)":-0.206,"AAL-US^FF_INC_TAX(ANN_R,0,,,,,B)":-2.568,"LUV-US^FF_INC_TAX(ANN_R,0,,,,,B)":-1.182,"ALK-US^FF_INC_TAX(ANN_R,0,,,,,B)":-0.516,"AC-CA^FF_EBIT_OPER(ANN_R,0,,,,,B)":-3.892,"AAL-US^FF_EBIT_OPER(ANN_R,0,,,,,B)":-11.387,"LUV-US^FF_EBIT_OPER(ANN_R,0,,,,,B)":-4.713,"ALK-US^FF_EBIT_OPER(ANN_R,0,,,,,B)":-1.691,"DAL-US^CE_NAME()":"Delta Air Lines, Inc.","DAL-US^CE_TICKER_HEADER()":"DAL   247361702   B1W9D46   NYSE    Common stock    ","DAL-US^FF_FP_END_DATE('LTM','0','0',,RP)":"09/2021","DAL-US^FF_FP_END_DATE('ANN','0','-9',,RP)":["12/2020","12/2019","12/2018","12/2017","12/2016","12/2015","12/2014","12/2013","12/2012","12/2011"],"DAL-US^INT_ARRAY(FF_FY_LENGTH_DAYS('ANN','0','-9'))+\" DAYS\"":["366 DAYS","365 DAYS","365 DAYS","365 DAYS","366 DAYS","365 DAYS","365 DAYS","365 DAYS","366 DAYS","365 DAYS"],"DAL-US^FF_NET_INC_CF('LTM','0','0','QUARTERLY',RP,'LOCAL','B')":null,"DAL-US^FF_NET_INC_CF('ANN','0','-9','YEARLY',RP,'LOCAL','B')":[-12.385,4.767,3.935,3.577,4.373,4.526,0.659,10.54,1.009,0.854],"DAL-US^FF_DEP_EXP_CF('LTM','0','0','QUARTERLY',RP,'LOCAL','B')":null,"DAL-US^FF_DEP_EXP_CF('ANN','0','-9','YEARLY',RP,'LOCAL','B')":[2.312,2.581,2.329,2.235,1.902,1.835,1.771,1.658,1.565,1.523],"DAL-US^FF_DFD_TAX_CF('LTM','0','0','QUARTERLY',RP,'LOCAL','B')":-3.11,"DAL-US^FF_DFD_TAX_CF('ANN','0','-9','YEARLY',RP,'LOCAL','B')":[-3.11,1.473,1.364,2.071,2.223,2.581,0.414,-7.991,0.017,-0.002],"DAL-US^FF_NON_CASH('LTM','0','0','QUARTERLY',RP,'LOCAL','B')":null,"DAL-US^FF_NON_CASH('ANN','0','-9','YEARLY',RP,'LOCAL','B')":[7.441,-0.922,-0.79,-3.31,-1.219,-2.357,2.654,-0.447,-0.263,0.302],"DAL-US^FF_FUNDS_OPER_GROSS('LTM','0','0','QUARTERLY',RP,'LOCAL','B')":null,"DAL-US^FF_FUNDS_OPER_GROSS('ANN','0','-9','YEARLY',RP,'LOCAL','B')":[-5.742,7.899,6.838,4.573,7.279,6.585,5.498,3.76,2.328,2.677],"DAL-US^FF_WKCAP_CHG('LTM','0','0','QUARTERLY',RP,'LOCAL','B')":null,"DAL-US^FF_WKCAP_CHG('ANN','0','-9','YEARLY',RP,'LOCAL','B')":[1.949,0.526,0.176,0.575,-0.063,1.335,-0.613,0.513,0.148,0.157],"DAL-US^FF_OPER_CF('LTM','0','0','QUARTERLY',RP,'LOCAL','B')":1.422,"DAL-US^FF_OPER_CF('ANN','0','-9','YEARLY',RP,'LOCAL','B')":[-3.793,8.425,7.014,5.148,7.216,7.92,4.885,4.273,2.476,2.834],"DAL-US^-1.000000 * FF_CAPEX('LTM','0','0','QUARTERLY',RP,'LOCAL','B')":-2.577,"DAL-US^-1.000000 * FF_CAPEX('ANN','0','-9','YEARLY',RP,'LOCAL','B')":[-1.899,-4.936,-5.168,-3.891,-3.391,-2.945,-2.249,-2.568,-1.968,-1.254],"DAL-US^-FF_ACQ_BUS_CF('LTM','0','0','QUARTERLY',RP,'LOCAL','B')":0.0,"DAL-US^-FF_ACQ_BUS_CF('ANN','0','-9','YEARLY',RP,'LOCAL','B')":[0.0,0.0,0.0,0.0,0.0,-0.276,0.0,0.0,0.0,0.0],"DAL-US^FF_INVEST_PURCH_SALE_CF('LTM','0','0','QUARTERLY',RP,'LOCAL','B')":0.613000000000001,"DAL-US^FF_INVEST_PURCH_SALE_CF('ANN','0','-9','YEARLY',RP,'LOCAL','B')":[-7.891,0.315,0.621,-1.586,0.979,-0.759,-0.262,-0.202,0.0610000000000001,-0.234],"DAL-US^SUMAV(FF_INVEST_USES_CF('LTM','0','0','QUARTERLY',RP,'LOCAL','B'),FF_INVEST_SOURCES_CF('LTM','0','0','QUARTERLY',RP,'LOCAL','B'))":0.498,"DAL-US^SUMAV(FF_INVEST_USES_CF('ANN','0','-9','YEARLY',RP,'LOCAL','B'),FF_INVEST_SOURCES_CF('ANN','0','-9','YEARLY',RP,'LOCAL','B'))":[0.087,0.058,0.154,0.111,0.031,0.025,0.048,0.014,-0.055,-0.01],"DAL-US^FF_INVEST_CF('LTM','0','0','QUARTERLY',RP,'LOCAL','B')":-1.466,"DAL-US^FF_INVEST_CF('ANN','0','-9','YEARLY',RP,'LOCAL','B')":[-9.238,-4.563,-4.393,-5.366,-2.155,-3.955,-2.463,-2.756,-1.962,-1.498],"DAL-US^-FF_DIV_CF('LTM','0','0','QUARTERLY',RP,'LOCAL','B')":0.0,"DAL-US^-FF_DIV_CF('ANN','0','-9','YEARLY',RP,'LOCAL','B')":[-0.26,-0.98,-0.909,-0.731,-0.509,-0.359,-0.251,-0.102,0.0,0.0],"DAL-US^FF_STK_CHG_CF('LTM','0','0','QUARTERLY',RP,'LOCAL','B')":0.0,"DAL-US^FF_STK_CHG_CF('ANN','0','-9','YEARLY',RP,'LOCAL','B')":[-0.344,-2.027,-1.575,-1.677,-2.601,-2.2,-1.1,-0.25,0.0,0.0],"DAL-US^FF_DEBT_CF('LTM','0','0','QUARTERLY',RP,'LOCAL','B')":-8.715,"DAL-US^FF_DEBT_CF('ANN','0','-9','YEARLY',RP,'LOCAL','B')":[19.798,0.487,0.693,1.196,-1.259,-1.52,-1.908,-1.193,-0.94,-1.777],"DAL-US^FF_FIN_ACTIV_OTH_CF('LTM','0','0','QUARTERLY',RP,'LOCAL','B')":0.073,"DAL-US^FF_FIN_ACTIV_OTH_CF('ANN','0','-9','YEARLY',RP,'LOCAL','B')":[0.162,-0.36,0.065,0.482,0.109,-0.009,0.019,0.225,0.185,0.206],"DAL-US^FF_FIN_CF('LTM','0','0','QUARTERLY',RP,'LOCAL','B')":-8.642,"DAL-US^FF_FIN_CF('ANN','0','-9','YEARLY',RP,'LOCAL','B')":[19.356,-2.88,-1.726,-0.73,-4.26,-4.088,-3.24,-1.32,-0.755,-1.571],"DAL-US^FF_CHG_CASH_CF('LTM','0','0','QUARTERLY',RP,'LOCAL','B')":-8.686,"DAL-US^FF_CHG_CASH_CF('ANN','0','-9','YEARLY',RP,'LOCAL','B')":[6.325,0.982,0.895,-0.948,0.801,-0.123,-0.818,0.197,-0.241,-0.235],"DAL-US^FF_FREE_CF('LTM' + '_FCFE','0','0','QUARTERLY',RP,'LOCAL','B')":-1.155,"DAL-US^FF_FREE_CF('ANN' + '_FCFE','0','-9','YEARLY',RP,'LOCAL','B')":[-5.692,3.489,1.846,1.257,3.825,4.975,2.636,1.705,0.508,1.58],"DAL-US^FF_FREE_PS_CF('LTM' + '_FCFE','0','0','QUARTERLY',RP,'LOCAL','B')":-1.801872074883,"DAL-US^FF_FREE_PS_CF('ANN' + '_FCFE','0','-9','YEARLY',RP,'LOCAL','B')":[-8.94968553459119,5.34303215926493,2.65994236311239,1.73858921161826,5.06622516556291,6.18781094527363,3.11952662721894,1.98717948717949,0.597647058823529,1.87203791469194],"DAL-US^FF_FCF_YLD('LTM' + '_FCFE','0','0','QUARTERLY',RP)":-4.22875398939919,"DAL-US^FF_FCF_YLD('ANN' + '_FCFE','0','-9','YEARLY',RP)":[-22.2573626823954,9.13651190024783,5.3305458178605,3.10462359217546,10.2992989745129,12.2071630405872,6.34179025659471,7.23399886122857,5.03493731106596,23.1401472767855],"DAL-US^FF_INT_CF('LTM','0','0','QUARTERLY',RP,'LOCAL','B')":null,"DAL-US^FF_INT_CF('ANN','0','-9','YEARLY',RP,'LOCAL','B')":[0.761,0.481,0.376,0.39,0.385,0.452,0.56,0.698,0.834,0.925],"DAL-US^FF_TAX_CF('LTM','0','0','QUARTERLY',RP,'LOCAL','B')":null,"DAL-US^FF_TAX_CF('ANN','0','-9','YEARLY',RP,'LOCAL','B')":[null,null,null,null,null,null,null,null,null,null],"DAL-US^PCTCHG(FF_NET_INC_CF('LTM','0','0','QUARTERLY',RP,'LOCAL','B'),FF_NET_INC_CF('LTM','-4','-4','QUARTERLY',RP,'LOCAL','B'))":null,"DAL-US^PCTCHG(FF_NET_INC_CF('ANN','0','-9','YEARLY',RP,'LOCAL','B'),FF_NET_INC_CF('ANN','-1','-10','YEARLY',RP,'LOCAL','B'))":[-359.80704,21.14359,10.008388,-18.202612,-3.3804657,586.79816,-93.74763,944.59863,18.14988,44.01349],"DAL-US^PCTCHG(FF_DEP_EXP_CF('LTM','0','0','QUARTERLY',RP,'LOCAL','B'),FF_DEP_EXP_CF('LTM','-4','-4','QUARTERLY',RP,'LOCAL','B'))":null,"DAL-US^PCTCHG(FF_DEP_EXP_CF('ANN','0','-9','YEARLY',RP,'LOCAL','B'),FF_DEP_EXP_CF('ANN','-1','-10','YEARLY',RP,'LOCAL','B'))":[-10.422318,10.820098,4.205821,17.507883,3.6512213,3.613778,6.815442,5.9424877,2.7577186,0.7941737],"DAL-US^PCTCHG(FF_DFD_TAX_CF('LTM','0','0','QUARTERLY',RP,'LOCAL','B'),FF_DFD_TAX_CF('LTM','-4','-4','QUARTERLY',RP,'LOCAL','B'))":-311.13376,"DAL-US^PCTCHG(FF_DFD_TAX_CF('ANN','0','-9','YEARLY',RP,'LOCAL','B'),FF_DFD_TAX_CF('ANN','-1','-10','YEARLY',RP,'LOCAL','B'))":[-311.13376,7.991209,-34.138103,-6.8376045,-13.870594,523.43,null,-47105.887,null,-122.22222],"DAL-US^PCTCHG(FF_NON_CASH('LTM','0','0','QUARTERLY',RP,'LOCAL','B'),FF_NON_CASH('LTM','-4','-4','QUARTERLY',RP,'LOCAL','B'))":null,"DAL-US^PCTCHG(FF_NON_CASH('ANN','0','-9','YEARLY',RP,'LOCAL','B'),FF_NON_CASH('ANN','-1','-10','YEARLY',RP,'LOCAL','B'))":[null,-16.708857,76.13293,-171.53404,48.28172,-188.80934,null,-69.96197,-187.08609,-31.51928],"DAL-US^PCTCHG(FF_FUNDS_OPER_GROSS('LTM','0','0','QUARTERLY',RP,'LOCAL','B'),FF_FUNDS_OPER_GROSS('LTM','-4','-4','QUARTERLY',RP,'LOCAL','B'))":null,"DAL-US^PCTCHG(FF_FUNDS_OPER_GROSS('ANN','0','-9','YEARLY',RP,'LOCAL','B'),FF_FUNDS_OPER_GROSS('ANN','-1','-10','YEARLY',RP,'LOCAL','B'))":[-172.69276,15.516238,49.529846,-37.175434,10.539101,19.770824,46.223408,61.512028,-13.036981,4.8159804],"DAL-US^PCTCHG(FF_WKCAP_CHG('LTM','0','0','QUARTERLY',RP,'LOCAL','B'),FF_WKCAP_CHG('LTM','-4','-4','QUARTERLY',RP,'LOCAL','B'))":null,"DAL-US^PCTCHG(FF_WKCAP_CHG('ANN','0','-9','YEARLY',RP,'LOCAL','B'),FF_WKCAP_CHG('ANN','-1','-10','YEARLY',RP,'LOCAL','B'))":[270.53232,198.86366,-69.391304,null,-104.7191,null,-219.49316,246.62163,-5.7324862,-43.525177],"DAL-US^PCTCHG(FF_OPER_CF('LTM','0','0','QUARTERLY',RP,'LOCAL','B'),FF_OPER_CF('LTM','-4','-4','QUARTERLY',RP,'LOCAL','B'))":null,"DAL-US^PCTCHG(FF_OPER_CF('ANN','0','-9','YEARLY',RP,'LOCAL','B'),FF_OPER_CF('ANN','-1','-10','YEARLY',RP,'LOCAL','B'))":[-145.02077,20.116913,36.24709,-28.65854,-8.888889,62.128967,14.322501,72.57672,-12.632323,0.07062477],"DAL-US^PCTCHG(-1.000000 * FF_CAPEX('LTM','0','0','QUARTERLY',RP,'LOCAL','B'),-1.000000 * FF_CAPEX('LTM','-4','-4','QUARTERLY',RP,'LOCAL','B'))":-6.3557496,"DAL-US^PCTCHG(-1.000000 * FF_CAPEX('ANN','0','-9','YEARLY',RP,'LOCAL','B'),-1.000000 * FF_CAPEX('ANN','-1','-10','YEARLY',RP,'LOCAL','B'))":[61.52755,4.489171,-32.819332,-14.744913,-15.144316,-30.947079,12.422119,-30.487806,-56.937805,6.5573816],"DAL-US^PCTCHG(-FF_ACQ_BUS_CF('LTM','0','0','QUARTERLY',RP,'LOCAL','B'),-FF_ACQ_BUS_CF('LTM','-4','-4','QUARTERLY',RP,'LOCAL','B'))":null,"DAL-US^PCTCHG(-FF_ACQ_BUS_CF('ANN','0','-9','YEARLY',RP,'LOCAL','B'),-FF_ACQ_BUS_CF('ANN','-1','-10','YEARLY',RP,'LOCAL','B'))":[null,null,null,null,null,null,null,null,null,null],"DAL-US^PCTCHG(FF_INVEST_PURCH_SALE_CF('LTM','0','0','QUARTERLY',RP,'LOCAL','B'),FF_INVEST_PURCH_SALE_CF('LTM','-4','-4','QUARTERLY',RP,'LOCAL','B'))":null,"DAL-US^PCTCHG(FF_INVEST_PURCH_SALE_CF('ANN','0','-9','YEARLY',RP,'LOCAL','B'),FF_INVEST_PURCH_SALE_CF('ANN','-1','-10','YEARLY',RP,'LOCAL','B'))":[-2605.079,-49.27536,null,-262.00204,null,-189.69466,-29.702963,-431.14755,null,67.945206],"DAL-US^PCTCHG(FF_INVEST_USES_CF('LTM','0','0','QUARTERLY',RP,'LOCAL','B'),FF_INVEST_USES_CF('LTM','-4','-4','QUARTERLY',RP,'LOCAL','B'))":null,"DAL-US^PCTCHG(FF_INVEST_USES_CF('ANN','0','-9','YEARLY',RP,'LOCAL','B'),FF_INVEST_USES_CF('ANN','-1','-10','YEARLY',RP,'LOCAL','B'))":[null,null,null,null,null,null,null,null,-450.0,-399.99997],"DAL-US^PCTCHG(FF_INVEST_CF('LTM','0','0','QUARTERLY',RP,'LOCAL','B'),FF_INVEST_CF('LTM','-4','-4','QUARTERLY',RP,'LOCAL','B'))":83.63291,"DAL-US^PCTCHG(FF_INVEST_CF('ANN','0','-9','YEARLY',RP,'LOCAL','B'),FF_INVEST_CF('ANN','-1','-10','YEARLY',RP,'LOCAL','B'))":[-102.45452,-3.8697946,18.132687,-149.00232,45.51201,-60.576523,10.63135,-40.46891,-30.974632,26.061205],"DAL-US^PCTCHG(-FF_DIV_CF('LTM','0','0','QUARTERLY',RP,'LOCAL','B'),-FF_DIV_CF('LTM','-4','-4','QUARTERLY',RP,'LOCAL','B'))":null,"DAL-US^PCTCHG(-FF_DIV_CF('ANN','0','-9','YEARLY',RP,'LOCAL','B'),-FF_DIV_CF('ANN','-1','-10','YEARLY',RP,'LOCAL','B'))":[73.46939,-7.8107853,-24.3502,-43.614933,-41.782734,-43.027893,-146.07841,null,null,null],"DAL-US^PCTCHG(FF_STK_CHG_CF('LTM','0','0','QUARTERLY',RP,'LOCAL','B'),FF_STK_CHG_CF('LTM','-4','-4','QUARTERLY',RP,'LOCAL','B'))":null,"DAL-US^PCTCHG(FF_STK_CHG_CF('ANN','0','-9','YEARLY',RP,'LOCAL','B'),FF_STK_CHG_CF('ANN','-1','-10','YEARLY',RP,'LOCAL','B'))":[83.029106,-28.698406,6.0822897,35.5248,-18.227274,-100.0,-340.0,null,null,null],"DAL-US^PCTCHG(FF_DEBT_CF('LTM','0','0','QUARTERLY',RP,'LOCAL','B'),FF_DEBT_CF('LTM','-4','-4','QUARTERLY',RP,'LOCAL','B'))":-132.55267,"DAL-US^PCTCHG(FF_DEBT_CF('ANN','0','-9','YEARLY',RP,'LOCAL','B'),FF_DEBT_CF('ANN','-1','-10','YEARLY',RP,'LOCAL','B'))":[3965.2979,-29.725832,-42.05685,null,17.171055,20.335432,-59.93294,-26.914888,47.101856,31.442905],"DAL-US^PCTCHG(FF_FIN_ACTIV_OTH_CF('LTM','0','0','QUARTERLY',RP,'LOCAL','B'),FF_FIN_ACTIV_OTH_CF('LTM','-4','-4','QUARTERLY',RP,'LOCAL','B'))":-84.50106,"DAL-US^PCTCHG(FF_FIN_ACTIV_OTH_CF('ANN','0','-9','YEARLY',RP,'LOCAL','B'),FF_FIN_ACTIV_OTH_CF('ANN','-1','-10','YEARLY',RP,'LOCAL','B'))":[null,-653.8461,-86.51453,342.20184,null,-147.36842,-91.55556,21.621616,-10.194175,190.14082],"DAL-US^PCTCHG(FF_FIN_CF('LTM','0','0','QUARTERLY',RP,'LOCAL','B'),FF_FIN_CF('LTM','-4','-4','QUARTERLY',RP,'LOCAL','B'))":-133.04149,"DAL-US^PCTCHG(FF_FIN_CF('ANN','0','-9','YEARLY',RP,'LOCAL','B'),FF_FIN_CF('ANN','-1','-10','YEARLY',RP,'LOCAL','B'))":[null,-66.8598,-136.43834,82.86385,-4.207446,-26.172832,-145.45454,-74.83445,51.941437,37.683456],"DAL-US^PCTCHG(FF_CHG_CASH_CF('LTM','0','0','QUARTERLY',RP,'LOCAL','B'),FF_CHG_CASH_CF('LTM','-4','-4','QUARTERLY',RP,'LOCAL','B'))":-155.5087,"DAL-US^PCTCHG(FF_CHG_CASH_CF('ANN','0','-9','YEARLY',RP,'LOCAL','B'),FF_CHG_CASH_CF('ANN','-1','-10','YEARLY',RP,'LOCAL','B'))":[544.0937,9.720672,null,-218.35207,null,84.963326,-515.22845,null,-2.5531902,86.29738],"DAL-US^PCTCHG(FF_FREE_CF('LTM' + '_FCFE','0','0','QUARTERLY',RP,'LOCAL','B'),FF_FREE_CF('LTM' + '_FCFE','-4','-4','QUARTERLY',RP,'LOCAL','B'))":70.92877,"DAL-US^PCTCHG(FF_FREE_CF('ANN' + '_FCFE','0','-9','YEARLY',RP,'LOCAL','B'),FF_FREE_CF('ANN' + '_FCFE','-1','-10','YEARLY',RP,'LOCAL','B'))":[-263.1413,89.00326,46.857597,-67.13726,-23.115576,88.732925,54.6041,235.62993,-67.84811,6.0402713],"DAL-US^FORMULA_DESCRIPTION(\"FF_COM_EQ_RETAIN_EARN\")":"Retained Earnings","DAL-US^FF_SALES('LTM','0','0','QUARTERLY',RP,'LOCAL','B')":24.403,"DAL-US^FF_SALES('ANN','0','-9','YEARLY',RP,'LOCAL','B')":[17.095,47.006,44.441,41.234,39.602,40.506,40.204,37.638,36.695,35.115],"DAL-US^FF_COGS('LTM','0','0','QUARTERLY',RP,'LOCAL','B')":27.09,"DAL-US^FF_COGS('ANN','0','-9','YEARLY',RP,'LOCAL','B')":[23.631,36.584,35.51,31.013,28.625,28.456,31.943,31.341,30.795,29.744],"DAL-US^FF_GROSS_INC('LTM','0','0','QUARTERLY',RP,'LOCAL','B')":-2.687,"DAL-US^FF_GROSS_INC('ANN','0','-9','YEARLY',RP,'LOCAL','B')":[-6.536,10.422,8.931,10.221,10.977,12.05,8.261,6.297,5.9,5.371],"DAL-US^FF_SGA('LTM','0','0','QUARTERLY',RP,'LOCAL','B')":0.724,"DAL-US^FF_SGA('ANN','0','-9','YEARLY',RP,'LOCAL','B')":[0.582,1.993,1.941,1.787,1.71,1.672,1.7,1.603,1.59,1.682],"DAL-US^FF_EBIT_OPER('LTM','0','0','QUARTERLY',RP,'LOCAL','B')":-4.638,"DAL-US^FF_EBIT_OPER('ANN','0','-9','YEARLY',RP,'LOCAL','B')":[-8.281,6.658,5.267,6.185,7.281,8.38,4.764,3.174,2.718,1.797],"DAL-US^FF_NON_OPER_INC('LTM','0','0','QUARTERLY',RP,'LOCAL','B')":0.371,"DAL-US^FF_NON_OPER_INC('ANN','0','-9','YEARLY',RP,'LOCAL','B')":[0.274,-0.128,0.181,-0.007,-0.006,0.008,0.045,0.114,-0.042,-0.001],"DAL-US^FF_INT_EXP_NET('LTM','0','0','QUARTERLY',RP,'LOCAL','B')":1.378,"DAL-US^FF_INT_EXP_NET('ANN','0','-9','YEARLY',RP,'LOCAL','B')":[0.929,0.301,0.311,0.396,0.388,0.481,0.619,0.852,1.0,1.094],"DAL-US^FF_UNUSUAL_EXP('LTM','0','0','QUARTERLY',RP,'LOCAL','B')":-5.33,"DAL-US^FF_UNUSUAL_EXP('ANN','0','-9','YEARLY',RP,'LOCAL','B')":[6.651,0.031,-0.014,0.081,0.251,0.75,3.118,-0.091,0.651,-0.067],"DAL-US^FF_INC_TAX('LTM','0','0','QUARTERLY',RP,'LOCAL','B')":-0.247,"DAL-US^FF_INC_TAX('ANN','0','-9','YEARLY',RP,'LOCAL','B')":[-3.202,1.431,1.216,2.124,2.263,2.631,0.413,-8.013,0.016,-0.085],"DAL-US^FF_CONSOL_NET_INC('LTM','0','0','QUARTERLY',RP,'LOCAL','B')":-0.068,"DAL-US^FF_CONSOL_NET_INC('ANN','0','-9','YEARLY',RP,'LOCAL','B')":[-12.385,4.767,3.935,3.577,4.373,4.526,0.659,10.54,1.009,0.854],"DAL-US^FF_NET_INC('LTM','0','0','QUARTERLY',RP,'LOCAL','B')":-0.068,"DAL-US^FF_NET_INC('ANN','0','-9','YEARLY',RP,'LOCAL','B')":[-12.385,4.767,3.935,3.577,4.373,4.526,0.659,10.54,1.009,0.854],"DAL-US^FF_NET_INC_BASIC('LTM','0','0','QUARTERLY',RP,'LOCAL','B')":-0.068,"DAL-US^FF_NET_INC_BASIC('ANN','0','-9','YEARLY',RP,'LOCAL','B')":[-12.385,4.767,3.935,3.577,4.373,4.526,0.659,10.54,1.009,0.854],"DAL-US^FF_EPS_DIL_BEF_UNUSUAL('LTM','0','0','QUARTERLY',RP,'LOCAL','B')":-5.92667706708268,"DAL-US^FF_EPS_DIL_BEF_UNUSUAL('ANN','0','-9','YEARLY',RP,'LOCAL','B')":[-12.1529874213836,7.3333843797856,5.65590778097983,5.02586445366528,6.02476821192053,6.28233830845771,3.36284023668639,12.2101398601399,1.72317647058824,0.956279620853081],"DAL-US^FF_EPS_DIL('LTM','0','0','QUARTERLY',RP,'LOCAL','B')":-0.1332,"DAL-US^FF_EPS_DIL('ANN','0','-9','YEARLY',RP,'LOCAL','B')":[-19.4733,7.3002,5.67,4.95,5.79,5.63,0.78,12.2844,1.19,1.01],"DAL-US^FF_EARN_PERST('LTM','0','0','QUARTERLY',RP,'LOCAL','B')":null,"DAL-US^FF_EARN_PERST('ANN','0','-9','YEARLY',RP,'LOCAL','B')":[81.258,90.657,77.782,76.609,84.377,90.49,77.738,54.804,81.325,77.632],"DAL-US^FF_DPS('LTM','0','0','QUARTERLY',RP,'LOCAL','B')":0.0,"DAL-US^FF_DPS('ANN','0','-9','YEARLY',RP,'LOCAL','B')":[0.4025,1.505,1.31,1.015,0.675,0.45,0.3,0.12,0.0,0.0],"DAL-US^FF_EBITDA_OPER('LTM','0','0','QUARTERLY',RP,'LOCAL','B')":-2.645,"DAL-US^FF_EBITDA_OPER('ANN','0','-9','YEARLY',RP,'LOCAL','B')":[-5.969,9.239,7.596,8.42,9.183,10.215,6.535,4.832,4.283,3.32],"DAL-US^FF_OPER_LEASE_EXP('LTM','0','0','QUARTERLY',RP,'LOCAL','B')":null,"DAL-US^FF_OPER_LEASE_EXP('ANN','0','-9','YEARLY',RP,'LOCAL','B')":[2.689,2.969,2.879,1.3,1.3,1.2,1.2,1.1,1.1,1.1],"DAL-US^FF_STK_OPT_EXP('LTM','0','0','QUARTERLY',RP,'LOCAL','B')":null,"DAL-US^FF_STK_OPT_EXP('ANN','0','-9','YEARLY',RP,'LOCAL','B')":[0.08687,0.11753,0.12561,0.08532,0.063,0.0456,0.0486,0.054,0.0324,0.043],"DAL-US^FF_TAX_RATE('LTM','0','0','QUARTERLY',RP,'LOCAL','B')":null,"DAL-US^FF_TAX_RATE('ANN','0','-9','YEARLY',RP,'LOCAL','B')":[null,23.0880929332043,23.6070665890118,37.2566216453254,34.1018685955395,36.7612127986587,38.5261194029851,-317.095370003957,1.5609756097561,-11.0533159947984],"DAL-US^PCTCHG(FF_SALES('LTM','0','0','QUARTERLY',RP,'LOCAL','B'),FF_SALES('LTM','-4','-4','QUARTERLY',RP,'LOCAL','B'))":-0.63924915,"DAL-US^PCTCHG(FF_SALES('ANN','0','-9','YEARLY',RP,'LOCAL','B'),FF_SALES('ANN','-1','-10','YEARLY',RP,'LOCAL','B'))":[-63.6323,5.7716947,7.777564,4.121004,-2.2317665,0.7511739,6.8175726,2.5698345,4.499496,10.581018],"DAL-US^PCTCHG(FF_COGS('LTM','0','0','QUARTERLY',RP,'LOCAL','B'),FF_COGS('LTM','-4','-4','QUARTERLY',RP,'LOCAL','B'))":-0.67463523,"DAL-US^PCTCHG(FF_COGS('ANN','0','-9','YEARLY',RP,'LOCAL','B'),FF_COGS('ANN','-1','-10','YEARLY',RP,'LOCAL','B'))":[-35.406185,3.0245037,14.500363,8.34236,0.5939016,-10.916324,1.9208105,1.7730136,3.5334878,16.096794],"DAL-US^PCTCHG(FF_GROSS_INC('LTM','0','0','QUARTERLY',RP,'LOCAL','B'),FF_GROSS_INC('LTM','-4','-4','QUARTERLY',RP,'LOCAL','B'))":0.9948397,"DAL-US^PCTCHG(FF_GROSS_INC('ANN','0','-9','YEARLY',RP,'LOCAL','B'),FF_GROSS_INC('ANN','-1','-10','YEARLY',RP,'LOCAL','B'))":[-162.71349,16.694662,-12.621075,-6.887132,-8.904564,45.866123,31.189451,6.7288103,9.8491955,-12.453144],"DAL-US^PCTCHG(FF_SGA('LTM','0','0','QUARTERLY',RP,'LOCAL','B'),FF_SGA('LTM','-4','-4','QUARTERLY',RP,'LOCAL','B'))":-26.497465,"DAL-US^PCTCHG(FF_SGA('ANN','0','-9','YEARLY',RP,'LOCAL','B'),FF_SGA('ANN','-1','-10','YEARLY',RP,'LOCAL','B'))":[-70.79779,2.6790338,8.617798,4.5029182,2.2727265,-1.6470586,6.0511546,0.81761074,-5.4696794,11.464553],"DAL-US^PCTCHG(FF_EBIT_OPER('LTM','0','0','QUARTERLY',RP,'LOCAL','B'),FF_EBIT_OPER('LTM','-4','-4','QUARTERLY',RP,'LOCAL','B'))":9.040988,"DAL-US^PCTCHG(FF_EBIT_OPER('ANN','0','-9','YEARLY',RP,'LOCAL','B'),FF_EBIT_OPER('ANN','-1','-10','YEARLY',RP,'LOCAL','B'))":[-224.3767,26.409718,-14.842356,-15.05288,-13.114558,75.9026,50.094513,16.777046,51.252083,-48.774227],"DAL-US^PCTCHG(FF_NON_OPER_INC('LTM','0','0','QUARTERLY',RP,'LOCAL','B'),FF_NON_OPER_INC('LTM','-4','-4','QUARTERLY',RP,'LOCAL','B'))":null,"DAL-US^PCTCHG(FF_NON_OPER_INC('ANN','0','-9','YEARLY',RP,'LOCAL','B'),FF_NON_OPER_INC('ANN','-1','-10','YEARLY',RP,'LOCAL','B'))":[null,-170.71825,null,-16.66667,-175.00002,-82.22222,-60.526314,null,-4100.0,99.88081],"DAL-US^PCTCHG(FF_INT_EXP_NET('LTM','0','0','QUARTERLY',RP,'LOCAL','B'),FF_INT_EXP_NET('LTM','-4','-4','QUARTERLY',RP,'LOCAL','B'))":116.66667,"DAL-US^PCTCHG(FF_INT_EXP_NET('ANN','0','-9','YEARLY',RP,'LOCAL','B'),FF_INT_EXP_NET('ANN','-1','-10','YEARLY',RP,'LOCAL','B'))":[208.63788,-3.215431,-21.46465,2.0618522,-19.334717,-22.294024,-27.347414,-14.8,-8.5923195,-10.327872],"DAL-US^PCTCHG(FF_UNUSUAL_EXP('LTM','0','0','QUARTERLY',RP,'LOCAL','B'),FF_UNUSUAL_EXP('LTM','-4','-4','QUARTERLY',RP,'LOCAL','B'))":-172.91382,"DAL-US^PCTCHG(FF_UNUSUAL_EXP('ANN','0','-9','YEARLY',RP,'LOCAL','B'),FF_UNUSUAL_EXP('ANN','-1','-10','YEARLY',RP,'LOCAL','B'))":[21354.838,null,-117.28395,-67.72907,-66.53333,-75.94612,null,-113.9785,null,-107.966705],"DAL-US^PCTCHG(FF_PTX_INC('LTM','0','0','QUARTERLY',RP,'LOCAL','B'),FF_PTX_INC('LTM','-4','-4','QUARTERLY',RP,'LOCAL','B'))":97.59229,"DAL-US^PCTCHG(FF_PTX_INC('ANN','0','-9','YEARLY',RP,'LOCAL','B'),FF_PTX_INC('ANN','-1','-10','YEARLY',RP,'LOCAL','B'))":[-351.48434,20.32615,-9.647434,-14.089811,-7.279585,567.6306,-57.578156,146.53659,33.289986,26.480267],"DAL-US^PCTCHG(FF_INC_TAX('LTM','0','0','QUARTERLY',RP,'LOCAL','B'),FF_INC_TAX('LTM','-4','-4','QUARTERLY',RP,'LOCAL','B'))":90.32132,"DAL-US^PCTCHG(FF_INC_TAX('ANN','0','-9','YEARLY',RP,'LOCAL','B'),FF_INC_TAX('ANN','-1','-10','YEARLY',RP,'LOCAL','B'))":[-323.7596,17.680923,-42.749535,-6.1422863,-13.987079,537.04596,null,-50181.242,null,-666.6667],"DAL-US^PCTCHG(FF_CONSOL_NET_INC('LTM','0','0','QUARTERLY',RP,'LOCAL','B'),FF_CONSOL_NET_INC('LTM','-4','-4','QUARTERLY',RP,'LOCAL','B'))":99.35429,"DAL-US^PCTCHG(FF_CONSOL_NET_INC('ANN','0','-9','YEARLY',RP,'LOCAL','B'),FF_CONSOL_NET_INC('ANN','-1','-10','YEARLY',RP,'LOCAL','B'))":[-359.80704,21.14359,10.008388,-18.202612,-3.3804657,586.79816,-93.74763,944.59863,18.14988,44.01349],"DAL-US^PCTCHG(FF_NET_INC('LTM','0','0','QUARTERLY',RP,'LOCAL','B'),FF_NET_INC('LTM','-4','-4','QUARTERLY',RP,'LOCAL','B'))":99.35429,"DAL-US^PCTCHG(FF_NET_INC('ANN','0','-9','YEARLY',RP,'LOCAL','B'),FF_NET_INC('ANN','-1','-10','YEARLY',RP,'LOCAL','B'))":[-359.80704,21.14359,10.008388,-18.202612,-3.3804657,586.79816,-93.74763,944.59863,18.14988,44.01349],"DAL-US^PCTCHG(FF_EPS_DIL_BEF_UNUSUAL('LTM','0','0','QUARTERLY',RP,'LOCAL','B'),FF_EPS_DIL_BEF_UNUSUAL('LTM','-4','-4','QUARTERLY',RP,'LOCAL','B'))":30.486881,"DAL-US^PCTCHG(FF_EPS_DIL_BEF_UNUSUAL('ANN','0','-9','YEARLY',RP,'LOCAL','B'),FF_EPS_DIL_BEF_UNUSUAL('ANN','-1','-10','YEARLY',RP,'LOCAL','B'))":[-265.7214,29.658844,12.536013,-16.579952,-4.0999036,86.81644,-72.458626,608.5832,80.19587,-31.781017],"DAL-US^PCTCHG(FF_EPS_DIL('LTM','0','0','QUARTERLY',RP,'LOCAL','B'),FF_EPS_DIL('LTM','-4','-4','QUARTERLY',RP,'LOCAL','B'))":99.197876,"DAL-US^PCTCHG(FF_EPS_DIL('ANN','0','-9','YEARLY',RP,'LOCAL','B'),FF_EPS_DIL('ANN','-1','-10','YEARLY',RP,'LOCAL','B'))":[-366.7502,28.751322,14.545461,-14.507774,2.8419156,621.7949,-93.65049,932.3026,17.82179,44.285713],"DAL-US^PCTCHG(FF_DPS('LTM','0','0','QUARTERLY',RP,'LOCAL','B'),FF_DPS('LTM','-4','-4','QUARTERLY',RP,'LOCAL','B'))":-100.0,"DAL-US^PCTCHG(FF_DPS('ANN','0','-9','YEARLY',RP,'LOCAL','B'),FF_DPS('ANN','-1','-10','YEARLY',RP,'LOCAL','B'))":[-73.25581,14.885501,29.064035,50.370365,50.000004,49.999992,150.0,null,null,null],"DAL-US^PCTCHG(FF_EBITDA_OPER('LTM','0','0','QUARTERLY',RP,'LOCAL','B'),FF_EBITDA_OPER('LTM','-4','-4','QUARTERLY',RP,'LOCAL','B'))":0.67593414,"DAL-US^PCTCHG(FF_EBITDA_OPER('ANN','0','-9','YEARLY',RP,'LOCAL','B'),FF_EBITDA_OPER('ANN','-1','-10','YEARLY',RP,'LOCAL','B'))":[-164.60655,21.629808,-9.786222,-8.308827,-10.102796,56.31217,35.244205,12.818113,29.006023,-33.851368],"DAL-US^FF_COM_SHS_OUT('QTR','0','0','QUARTERLY',RF,,'M')":649.758099,"DAL-US^FF_COM_SHS_OUT_EPS_BASIC('ANN','0','-9','YEARLY',RF,,'M')":[636.0,651.0,691.0,720.0,751.0,797.0,836.0,849.0,845.0,838.0],"DAL-US^FF_COM_SHS_OUT_EPS_DIL('ANN','0','-9','YEARLY',RF,,'M')":[636.0,653.0,694.0,723.0,755.0,804.0,845.0,858.0,850.0,844.0],"DAL-US^JULIAN(FF_COM_EQ_RETAIN_EARN(ANN_R,0,-10AY,,,,B).DATES)":[44196,43830,43465,43098,42734,42369,42004,41639,41274,40907,40543],"DAL-US^FF_COM_EQ_RETAIN_EARN(ANN_R,0,-10AY,,,,B)":[-0.428,12.454,10.039,8.256,7.903,7.623,3.456,3.049,-7.389,-8.398,-9.252],"DAL-US^FF_CASH_ST('ANN','0','-9','YEARLY',RP,'LOCAL','B')":[14.288,3.094,1.815,2.639,3.642,5.424,4.383,3.925,3.749,3.92],"DAL-US^FF_RECEIV_ST('ANN','0','-9','YEARLY',RP,'LOCAL','B')":[1.396,2.854,2.314,2.377,2.064,2.139,3.222,1.609,1.693,1.563],"DAL-US^FF_INVEN('ANN','0','-9','YEARLY',RP,'LOCAL','B')":[0.732,1.251,1.055,1.329,0.891,0.697,0.852,1.063,1.023,0.367],"DAL-US^FF_ASSETS_CURR_OTH('ANN','0','-9','YEARLY',RP,'LOCAL','B')":[0.988,1.05,1.156,1.499,0.854,0.796,4.008,3.054,1.807,1.879],"DAL-US^FF_ASSETS_CURR('ANN','0','-9','YEARLY',RP,'LOCAL','B')":[17.404,8.249,6.34,7.844,7.451,9.056,12.465,9.651,8.272,7.729],"DAL-US^FF_PPE_NET('ANN','0','-9','YEARLY',RP,'LOCAL','B')":[32.262,36.937,34.329,26.563,24.375,23.039,21.929,21.854,20.713,20.223],"DAL-US^FF_INVEST_ADV('ANN','0','-9','YEARLY',RP,'LOCAL','B')":[3.241,1.788,2.024,0.522,0.146,0.179,0.17,0.238,0.277,0.133],"DAL-US^FF_INTANG('ANN','0','-9','YEARLY',RP,'LOCAL','B')":[15.764,14.944,14.611,14.641,14.638,14.655,14.397,14.452,14.473,14.545],"DAL-US^FF_DFD_TAX_DB('ANN','0','-9','YEARLY',RP,'LOCAL','B')":[1.988,0.12,0.242,6.115,10.702,12.456,4.32,12.134,null,null],"DAL-US^FF_ASSETS_OTH('ANN','0','-9','YEARLY',RP,'LOCAL','B')":[1.337,2.494,2.72,2.787,1.587,1.249,0.84,1.065,0.815,0.869],"DAL-US^FF_ASSETS('ANN','0','-9','YEARLY',RP,'LOCAL','B')":[71.996,64.532,60.266,58.472,58.899,60.634,54.121,59.394,44.55,43.499],"DAL-US^FF_DEBT_ST('ANN','0','-9','YEARLY',RP,'LOCAL','B')":[2.41,3.088,2.473,2.242,1.131,1.563,1.216,1.547,1.627,1.944],"DAL-US^FF_PAY_ACCT('ANN','0','-9','YEARLY',RP,'LOCAL','B')":[2.84,3.266,2.976,3.674,2.572,2.743,2.622,2.3,2.293,1.6],"DAL-US^FF_PAY_TAX('ANN','0','-9','YEARLY',RP,'LOCAL','B')":[null,null,null,null,null,null,null,0.673,0.585,0.594],"DAL-US^FF_LIABS_CURR_OTH('ANN','0','-9','YEARLY',RP,'LOCAL','B')":[10.677,13.85,13.129,12.657,11.536,13.22,13.041,9.632,8.765,8.563],"DAL-US^FF_LIABS_CURR('ANN','0','-9','YEARLY',RP,'LOCAL','B')":[15.927,20.204,18.578,18.573,15.239,17.526,16.879,14.152,13.27,12.701],"DAL-US^FF_DEBT_LT('ANN','0','-9','YEARLY',RP,'LOCAL','B')":[33.138,14.167,14.054,6.592,6.201,6.766,8.561,9.795,11.082,11.847],"DAL-US^FF_PROV_RISK('ANN','0','-9','YEARLY',RP,'LOCAL','B')":[10.63,8.452,9.163,9.81,13.378,13.855,15.138,12.392,16.005,14.2],"DAL-US^FF_DFD_TAX_CR('ANN','0','-9','YEARLY',RP,'LOCAL','B')":[null,1.456,null,5.18,7.638,7.5,null,7.142,2.047,2.028],"DAL-US^FF_LIABS_OTH('ANN','0','-9','YEARLY',RP,'LOCAL','B')":[10.767,4.895,4.784,4.407,4.156,4.137,4.73,4.27,4.277,4.119],"DAL-US^FF_LIABS('ANN','0','-9','YEARLY',RP,'LOCAL','B')":[70.462,49.174,46.579,44.562,46.612,49.784,45.308,47.751,46.681,44.895],"DAL-US^FF_COM_EQ('ANN','0','-9','YEARLY',RP,'LOCAL','B')":[1.534,15.358,13.687,13.91,12.287,10.85,8.813,11.643,-2.131,-1.396],"DAL-US^FF_SHLDRS_EQ('ANN','0','-9','YEARLY',RP,'LOCAL','B')":[1.534,15.358,13.687,13.91,12.287,10.85,8.813,11.643,-2.131,-1.396],"DAL-US^FF_EQ_TOT('ANN','0','-9','YEARLY',RP,'LOCAL','B')":[1.534,15.358,13.687,13.91,12.287,10.85,8.813,11.643,-2.131,-1.396],"DAL-US^FF_LIABS_SHLDRS_EQ('ANN','0','-9','YEARLY',RP,'LOCAL','B')":[71.996,64.532,60.266,58.472,58.899,60.634,54.121,59.394,44.55,43.499],"DAL-US^FF_BPS('ANN','0','-9','YEARLY',RP,'LOCAL','B')":[2.4037,23.8934,20.12958,19.66917,16.81451,13.93198,10.67908,13.67443,-2.50293,-1.65159],"DAL-US^FF_BPS_TANG('ANN','0','-9','YEARLY',RP,'LOCAL','B')":[-22.2976962766075,0.644085593106989,-1.35893449240837,-1.0336568000854,-3.21729667299816,-4.88582205588764,-6.76636691002875,-3.29910465083286,-19.5019501439222,-18.859599542615],"DAL-US^FF_WKCAP('ANN','0','-9','YEARLY',RP,'LOCAL','B')":[1.477,-11.955,-12.238,-10.729,-7.788,-8.47,-4.414,-4.501,-4.998,-4.972],"DAL-US^FF_TCAP('ANN','0','-9','YEARLY',RP,'LOCAL','B')":[37.082,32.613,30.214,22.744,19.619,19.179,18.59,22.985,10.578,12.395],"DAL-US^FF_DEBT('ANN','0','-9','YEARLY',RP,'LOCAL','B')":[35.548,17.255,16.527,8.834,7.332,8.329,9.777,11.342,12.709,13.791],"DAL-US^FF_NET_DEBT('ANN','0','-9','YEARLY',RP,'LOCAL','B')":[21.26,14.161,14.712,6.195,3.69,2.905,5.394,7.417,8.96,9.871],"DAL-US^FF_INVEN_DAYS('ANN','0','-9','YEARLY',RP,'LOCAL','B')":[15.3145232956709,11.5035261316422,12.2523232892143,13.0638764389127,10.1243668122271,9.93437236435198,10.9409729831262,12.1468683194538,8.23753856145478,4.20294849381388],"DAL-US^FF_RECEIV_TURN_DAYS('ANN','0','-9','YEARLY',RP,'LOCAL','B')":[45.3714536414156,20.0646725949879,19.263911703157,19.6556846291895,19.3689081359527,24.1540142201155,21.9295965575565,16.0108135395079,16.1934868510696,15.6903744838388],"DAL-US^FF_PAY_TURN_DAYS('ANN','0','-9','YEARLY',RP,'LOCAL','B')":[48.2147338942975,30.9723624699823,34.4427354137375,36.2433967510029,33.6579248275608,34.5965005402741,28.3079595777848,26.7111608743697,22.589848802738,20.2941258235801],"DAL-US^FF_COM_EQ_HEDG_GL('ANN','0','-9','YEARLY',RP,'LOCAL','B')":[0.04,0.106,0.1,0.07,0.097,0.14,0.222,0.219,-0.286,-0.413],"DAL-US^FF_OW_NUM_START('ANN' + '_OPT_NQO','0','-9','YEARLY',RP,'LOCAL','B')":[0.0039,0.0025,0.0019,null,null,null,null,null,null,null],"DAL-US^FF_OW_NUM_END('ANN' + '_OPT_NQO','0','-9','YEARLY',RP,'LOCAL','B')":[0.0054,0.0039,0.0025,0.0019,0.0028,0.0053,0.007,0.008,0.014,0.018],"DAL-US^FF_OW_INTRVAL_EXE_RPT_DATE('ANN' + '_OPT_NQO','0','-9','YEARLY',RP,'LOCAL','B')":[null,null,null,null,null,null,null,null,null,null],"DAL-US^FF_OW_NUM_VEST('ANN' + '_OPT_NQO','0','-9','YEARLY',RP,'LOCAL','B')":[null,null,null,null,null,null,null,null,null,null],"DAL-US^FF_OPER_LEASE_COMMIT_TOT('ANN','0','-9','YEARLY',RP,'LOCAL','B')":[8.6,7.715,8.537,16.236,13.095,12.761,12.741,11.494,13.846,14.268],"DAL-US^FF_OPER_LEASE_COMMIT_YR1('ANN','0','-9','YEARLY',RP,'LOCAL','B')":[0.746,1.003,1.172,1.735,1.572,1.583,1.707,1.429,1.507,1.462],"DAL-US^FF_OPER_LEASE_COMMIT_YR2('ANN','0','-9','YEARLY',RP,'LOCAL','B')":[0.949,0.836,1.0,1.589,1.443,1.44,1.493,1.356,1.433,1.441],"DAL-US^FF_OPER_LEASE_COMMIT_YR3('ANN','0','-9','YEARLY',RP,'LOCAL','B')":[0.848,0.729,0.819,1.43,1.304,1.307,1.323,1.186,1.332,1.38],"DAL-US^FF_OPER_LEASE_COMMIT_YR4('ANN','0','-9','YEARLY',RP,'LOCAL','B')":[0.837,0.698,0.692,1.156,1.133,1.158,1.12,1.026,1.159,1.271],"DAL-US^FF_OPER_LEASE_COMMIT_YR5('ANN','0','-9','YEARLY',RP,'LOCAL','B')":[0.77,0.628,0.654,1.036,0.862,1.053,0.929,0.831,1.0,1.126],"DAL-US^FF_OPER_LEASE_COMMIT_5YR('ANN','0','-9','YEARLY',RP,'LOCAL','B')":[4.45,3.821,4.2,9.29,6.781,6.22,6.169,5.666,7.415,7.588],"DAL-US^FF_DEBT_LT_CURR('ANN','0','-9','YEARLY',RP,'LOCAL','B')":[1.732,2.287,1.518,2.242,1.131,1.563,1.216,1.547,1.627,1.944],"DAL-US^PCTCHG(FF_CASH_ST('ANN','0','-9','YEARLY',RP,'LOCAL','B'),FF_CASH_ST('ANN','-1','-10','YEARLY',RP,'LOCAL','B'))":[361.79703,70.46832,-31.223946,-27.539814,-32.853977,23.750853,11.668789,4.694582,-4.362245,-2.4632988],"DAL-US^PCTCHG(FF_CASH_ONLY('ANN','0','-9','YEARLY',RP,'LOCAL','B'),FF_CASH_ONLY('ANN','-1','-10','YEARLY',RP,'LOCAL','B'))":[174.69295,91.93549,-11.135613,-34.32296,40.060856,-5.555558,-29.602158,6.270161,-5.773126,-10.269623],"DAL-US^PCTCHG(FF_RECEIV_ST('ANN','0','-9','YEARLY',RP,'LOCAL','B'),FF_RECEIV_ST('ANN','-1','-10','YEARLY',RP,'LOCAL','B'))":[-51.086193,23.336224,-2.650408,15.164739,-3.5063138,-33.612663,100.2486,-4.9616065,8.317338,7.3489003],"DAL-US^PCTCHG(FF_INVEN('ANN','0','-9','YEARLY',RP,'LOCAL','B'),FF_INVEN('ANN','-1','-10','YEARLY',RP,'LOCAL','B'))":[-41.486816,18.578209,-20.617008,49.158253,27.833565,-18.192484,-19.84948,3.9100647,178.7466,15.4088125],"DAL-US^PCTCHG(FF_ASSETS_CURR_OTH('ANN','0','-9','YEARLY',RP,'LOCAL','B'),FF_ASSETS_CURR_OTH('ANN','-1','-10','YEARLY',RP,'LOCAL','B'))":[-5.90476,-9.169556,-22.881918,75.52693,7.2864285,-80.13972,31.23772,69.0094,-3.8318205,24.108316],"DAL-US^PCTCHG(FF_ASSETS_CURR('ANN','0','-9','YEARLY',RP,'LOCAL','B'),FF_ASSETS_CURR('ANN','-1','-10','YEARLY',RP,'LOCAL','B'))":[110.98315,30.110403,-19.173885,5.274455,-17.723051,-27.348577,29.157602,16.67069,7.025491,5.775283],"DAL-US^PCTCHG(FF_PPE_NET('ANN','0','-9','YEARLY',RP,'LOCAL','B'),FF_PPE_NET('ANN','-1','-10','YEARLY',RP,'LOCAL','B'))":[-12.656684,7.59708,29.23615,8.976409,5.7988644,5.0617843,0.3431901,5.508621,2.4229827,-0.41364864],"DAL-US^PCTCHG(FF_INVEST_ADV('ANN','0','-9','YEARLY',RP,'LOCAL','B'),FF_INVEST_ADV('ANN','-1','-10','YEARLY',RP,'LOCAL','B'))":[81.26398,-11.660076,287.7394,257.53427,-18.435759,5.2941194,-28.571428,-14.079425,108.27068,null],"DAL-US^PCTCHG(FF_INTANG('ANN','0','-9','YEARLY',RP,'LOCAL','B'),FF_INTANG('ANN','-1','-10','YEARLY',RP,'LOCAL','B'))":[5.48715,2.2791061,-0.20490222,0.020496376,-0.116002716,1.7920359,-0.38056567,-0.14509714,-0.49501893,0.013751323],"DAL-US^PCTCHG(FF_DFD_TAX_DB('ANN','0','-9','YEARLY',RP,'LOCAL','B'),FF_DFD_TAX_DB('ANN','-1','-10','YEARLY',RP,'LOCAL','B'))":[1556.6666,-50.413223,-96.04252,-42.861145,-14.081573,188.33333,-64.39756,null,null,null],"DAL-US^PCTCHG(FF_ASSETS_OTH('ANN','0','-9','YEARLY',RP,'LOCAL','B'),FF_ASSETS_OTH('ANN','-1','-10','YEARLY',RP,'LOCAL','B'))":[-46.39134,-8.3088255,-2.4040155,75.61436,27.061655,48.690475,-21.126768,30.674854,-6.214041,-15.7129],"DAL-US^PCTCHG(FF_ASSETS('ANN','0','-9','YEARLY',RP,'LOCAL','B'),FF_ASSETS('ANN','-1','-10','YEARLY',RP,'LOCAL','B'))":[11.566361,7.078616,3.0681329,-0.7249667,-2.8614318,12.034146,-8.878006,33.319866,2.4161446,-9.893322],"DAL-US^PCTCHG(FF_DEBT_ST('ANN','0','-9','YEARLY',RP,'LOCAL','B'),FF_DEBT_ST('ANN','-1','-10','YEARLY',RP,'LOCAL','B'))":[-21.955957,24.86858,10.303298,98.23166,-27.63915,28.536184,-21.396257,-4.9170203,-16.306585,-6.222863],"DAL-US^PCTCHG(FF_PAY_ACCT('ANN','0','-9','YEARLY',RP,'LOCAL','B'),FF_PAY_ACCT('ANN','-1','-10','YEARLY',RP,'LOCAL','B'))":[-13.043483,9.744622,-18.998365,42.846035,-6.2340503,4.6148,14.000002,0.3052756,43.312496,-6.596616],"DAL-US^PCTCHG(FF_PAY_TAX('ANN','0','-9','YEARLY',RP,'LOCAL','B'),FF_PAY_TAX('ANN','-1','-10','YEARLY',RP,'LOCAL','B'))":[null,null,null,null,null,null,null,15.042735,-1.5151521,2.590671],"DAL-US^PCTCHG(FF_LIABS_CURR_OTH('ANN','0','-9','YEARLY',RP,'LOCAL','B'),FF_LIABS_CURR_OTH('ANN','-1','-10','YEARLY',RP,'LOCAL','B'))":[-22.90975,5.491665,3.7291627,9.717401,-12.738276,1.3725934,35.392445,9.891611,2.3589935,21.980053],"DAL-US^PCTCHG(FF_LIABS_CURR('ANN','0','-9','YEARLY',RP,'LOCAL','B'),FF_LIABS_CURR('ANN','-1','-10','YEARLY',RP,'LOCAL','B'))":[-21.169077,8.752295,0.02691628,21.878073,-13.049176,3.8331616,19.269356,6.646571,4.4799643,11.559069],"DAL-US^PCTCHG(FF_DEBT_LT('ANN','0','-9','YEARLY',RP,'LOCAL','B'),FF_DEBT_LT('ANN','-1','-10','YEARLY',RP,'LOCAL','B'))":[133.90979,0.80404097,113.197815,6.3054314,-8.350571,-20.967176,-12.598267,-11.613424,-6.4573336,-10.106987],"DAL-US^PCTCHG(FF_PROV_RISK('ANN','0','-9','YEARLY',RP,'LOCAL','B'),FF_PROV_RISK('ANN','-1','-10','YEARLY',RP,'LOCAL','B'))":[25.769054,-7.7594724,-6.595314,-26.670652,-3.4427953,-8.47536,22.159454,-22.57419,12.711264,23.553465],"DAL-US^PCTCHG(FF_DFD_TAX_CR('ANN','0','-9','YEARLY',RP,'LOCAL','B'),FF_DFD_TAX_CR('ANN','-1','-10','YEARLY',RP,'LOCAL','B'))":[null,null,null,-32.181202,1.8400002,null,null,248.90085,0.9368745,-71.07403],"DAL-US^PCTCHG(FF_LIABS_OTH('ANN','0','-9','YEARLY',RP,'LOCAL','B'),FF_LIABS_OTH('ANN','-1','-10','YEARLY',RP,'LOCAL','B'))":[119.959145,2.3202353,8.554569,6.039459,0.45927128,-12.536997,10.772835,-0.16366541,3.8358822,-4.431554],"DAL-US^PCTCHG(FF_LIABS('ANN','0','-9','YEARLY',RP,'LOCAL','B'),FF_LIABS('ANN','-1','-10','YEARLY',RP,'LOCAL','B'))":[43.291164,5.5711827,4.526274,-4.3980074,-6.3715262,9.879053,-5.116125,2.2921524,3.9781697,-5.2408247],"DAL-US^PCTCHG(FF_COM_EQ('ANN','0','-9','YEARLY',RP,'LOCAL','B'),FF_COM_EQ('ANN','-1','-10','YEARLY',RP,'LOCAL','B'))":[-90.01171,12.208661,-1.6031601,13.2090845,13.244234,23.11359,-24.30645,null,-52.65043,-255.62988],"DAL-US^PCTCHG(FF_SHLDRS_EQ('ANN','0','-9','YEARLY',RP,'LOCAL','B'),FF_SHLDRS_EQ('ANN','-1','-10','YEARLY',RP,'LOCAL','B'))":[-90.01171,12.208661,-1.6031601,13.2090845,13.244234,23.11359,-24.30645,null,-52.65043,-255.62988],"DAL-US^PCTCHG(FF_EQ_TOT('ANN','0','-9','YEARLY',RP,'LOCAL','B'),FF_EQ_TOT('ANN','-1','-10','YEARLY',RP,'LOCAL','B'))":[-90.01171,12.208661,-1.6031601,13.2090845,13.244234,23.11359,-24.30645,null,-52.65043,-255.62988],"DAL-US^PCTCHG(FF_LIABS_SHLDRS_EQ('ANN','0','-9','YEARLY',RP,'LOCAL','B'),FF_LIABS_SHLDRS_EQ('ANN','-1','-10','YEARLY',RP,'LOCAL','B'))":[11.566361,7.078616,3.0681329,-0.7249667,-2.8614318,12.034146,-8.878006,33.319866,2.4161446,-9.893322],"DAL-US^PCTCHG(FF_DEBT('ANN','0','-9','YEARLY',RP,'LOCAL','B'),FF_DEBT('ANN','-1','-10','YEARLY',RP,'LOCAL','B'))":[106.015656,4.4049053,87.084,20.48554,-11.970233,-14.810268,-13.798267,-10.756155,-7.8457017,-9.579068],"DAL-US^FE_ESTIMATE_DATE(FISCALPERIODEND,EPS,ANNUAL,-1,'YYYY',NOW)":"2019","DAL-US^FE_ESTIMATE_DATE(FISCALPERIODEND,EPS,ANNUAL,0,'YYYY',NOW)":"2020","DAL-US^FE_ESTIMATE_DATE(FISCALPERIODEND,EPS,ANNUAL,+1,'YYYY',NOW)":"2021","DAL-US^FE_ESTIMATE_DATE(FISCALPERIODEND,EPS,ANNUAL,+2,'YYYY',NOW)":"2022","VOLV.B-SE^FE_ESTIMATE_DATE(FISCALPERIODEND,,ANNUAL,+1,'YYYY',NOW,,,'')":"2021","DAL-US^FE_ESTIMATE_DATE(FISCALPERIODEND,EPS,ANNUAL,+3,'YYYY',NOW)":"2023","DAL-US^FE_ESTIMATE_DATE(FISCALPERIODEND,EPS,ANNUAL,+4,'YYYY',NOW)":"2024","DAL-US^FE_ESTIMATE_DATE(FISCALPERIODEND,EPS,ANNUAL,+5,'YYYY',NOW)":"2025","DAL-US^FF_CO_NAME":"Delta Air Lines, Inc.","^P_SYMBOL":null,"^FF_CO_NAME":null,"DAL-US^CS_EVENT_DATEJ_N(\"ER\",1)":44579,"DAL-US^P_CURRENCY(\"ISO\")":"USD","DAL-US^P_EXCHANGE('NAME','FS')":"NYSE","DAL-US^FG_FACTSET_SECTOR":"Transportation","^FF_ADDRESS":null,"^FF_ADDRESS2":null,"^FF_CITY":null,"^FF_POSTAL":null,"^FF_STATE_PROVINCE":null,"^FF_COUNTRY":null,"^FF_SALES(ANN_R,0)":null,"^FF_EMP_NUM(ANN,0)":null,"^OS_TOP_HLDR_ULTPRNT(1,0D,,MTD,,F,SEC)[0]":null,"^FF_BUS_DESC_EXT":null,"^HOMEPAGE":null,"^FG_EXCHANGE":null,"DAL-US^P_SYMBOL":"DAL-US","DAL-US^HOMEPAGE":"http://www.delta.com","DAL-US^FG_BUS_DESC_BRIEF(\"ARRAY\")[0]":"Delta Air Lines, Inc. engages in the provision of scheduled air","DAL-US^FG_BUS_DESC_BRIEF(\"ARRAY\")[1]":"transportation for passengers and cargo. It operates through the Airline","DAL-US^FG_BUS_DESC_BRIEF(\"ARRAY\")[2]":"and Refinery segments. The Airline segment provides scheduled air","DAL-US^FG_BUS_DESC_BRIEF(\"ARRAY\")[3]":"transportation for passengers and cargo. The Refinery segment consists of","DAL-US^FG_BUS_DESC_BRIEF(\"ARRAY\")[4]":"jet fuel and non-jet fuel products. The company was founded by Collett","DAL-US^FG_BUS_DESC_BRIEF(\"ARRAY\")[5]":"Everman Woolman in 1928 and is headquartered in Atlanta, GA.","DAL-US^FG_BUS_DESC_BRIEF(\"ARRAY\")[6]":null,"DAL-US^FG_BUS_DESC_BRIEF(\"ARRAY\")[7]":null,"DAL-US^FG_BUS_DESC_BRIEF(\"ARRAY\")[8]":null,"DAL-US^FG_BUS_DESC_BRIEF(\"ARRAY\")[9]":null,"DAL-US^FG_BUS_DESC_BRIEF(\"ARRAY\")[10]":null,"DAL-US^FG_BUS_DESC_BRIEF(\"ARRAY\")[11]":null,"DAL-US^FG_BUS_DESC_BRIEF(\"ARRAY\")[12]":null,"DAL-US^FG_BUS_DESC_BRIEF(\"ARRAY\")[13]":null,"DAL-US^FG_BUS_DESC_BRIEF(\"ARRAY\")[14]":null,"DAL-US^FG_ADDRESS_L1":"Hartsfield-Jackson Atlanta","DAL-US^FG_ADDRESS_L2":"Atlanta, Georgia 30354 US","DAL-US^PROPER(FG_COUNTRY)":"United States","^JULIAN(DATE_YYYYMMDD(0/0/-1, NOW, D))":[44159,44160,44162,44165,44166,44167,44168,44169,44172,44173,44174,44175,44176,44179,44180,44181,44182,44183,44186,44187,44188,44189,44193,44194,44195,44196,44200,44201,44202,44203,44204,44207,44208,44209,44210,44211,44215,44216,44217,44218,44221,44222,44223,44224,44225,44228,44229,44230,44231,44232,44235,44236,44237,44238,44239,44243,44244,44245,44246,44249,44250,44251,44252,44253,44256,44257,44258,44259,44260,44263,44264,44265,44266,44267,44270,44271,44272,44273,44274,44277,44278,44279,44280,44281,44284,44285,44286,44287,44291,44292,44293,44294,44295,44298,44299,44300,44301,44302,44305,44306,44307,44308,44309,44312,44313,44314,44315,44316,44319,44320,44321,44322,44323,44326,44327,44328,44329,44330,44333,44334,44335,44336,44337,44340,44341,44342,44343,44344,44348,44349,44350,44351,44354,44355,44356,44357,44358,44361,44362,44363,44364,44365,44368,44369,44370,44371,44372,44375,44376,44377,44378,44379,44383,44384,44385,44386,44389,44390,44391,44392,44393,44396,44397,44398,44399,44400,44403,44404,44405,44406,44407,44410,44411,44412,44413,44414,44417,44418,44419,44420,44421,44424,44425,44426,44427,44428,44431,44432,44433,44434,44435,44438,44439,44440,44441,44442,44446,44447,44448,44449,44452,44453,44454,44455,44456,44459,44460,44461,44462,44463,44466,44467,44468,44469,44470,44473,44474,44475,44476,44477,44480,44481,44482,44483,44484,44487,44488,44489,44490,44491,44494,44495,44496,44497,44498,44501,44502,44503,44504,44505,44508,44509,44510,44511,44512,44515,44516,44517,44518,44519,44522,44523,44524,44526],"DAL-US^FG_PRICE_ICS(0/0/-1,NOW,D,LOCAL,SPLIT,0,,,5)":[41.26,41.29,41.06,40.25,39.96,41.07,42.95,42.36,42.35,42.41,42.11,42.62,41.74,40.69,41.85,41.08,41.11,40.68,40.14,38.94,40.24,39.73,40.15,40.03,40.56,40.21,38.73,39.55,40.38,40.23,40.02,39.41,40.3,40.45,41.47,39.98,40.31,41.62,40.67,40.0,38.9,39.32,38.52,40.08,37.96,37.82,38.8,39.78,40.93,41.15,43.24,42.51,42.9,42.72,43.29,44.65,44.39,44.38,45.67,47.74,48.34,49.6,48.25,47.94,48.06,48.23,48.35,46.96,46.21,47.88,47.62,47.8,48.32,49.83,50.99,49.39,50.44,49.18,49.0,47.97,45.64,45.61,47.01,47.66,47.32,48.9,48.28,48.83,50.25,51.65,50.2,49.81,49.27,48.82,48.26,48.17,46.82,46.64,46.15,44.45,45.7,44.65,45.8,46.61,46.34,46.44,46.38,46.92,46.57,44.66,45.2,44.93,46.11,45.43,44.52,43.03,43.97,46.31,46.75,46.73,46.14,45.41,45.21,46.17,46.67,47.49,48.05,47.68,47.7,47.77,46.13,45.98,46.08,47.04,46.52,46.28,46.5,45.9,45.53,45.52,44.57,44.96,45.77,45.37,45.27,44.91,44.43,43.12,42.87,43.26,44.23,44.15,43.24,42.54,42.07,42.92,42.85,41.33,40.68,41.35,40.06,38.56,40.66,41.61,41.06,40.41,41.67,40.96,41.3,41.23,39.9,39.45,39.77,38.35,39.99,40.32,39.29,40.46,41.3,40.53,39.9,39.93,38.78,38.65,37.93,38.12,39.21,40.53,41.3,40.77,41.52,39.91,40.44,40.4,40.82,40.25,40.35,39.65,41.09,39.36,40.18,39.44,39.64,40.22,40.11,40.78,40.36,41.59,42.59,43.53,43.78,43.44,43.36,42.61,45.38,44.96,44.74,44.02,43.68,43.38,43.19,43.54,41.03,41.2,40.99,41.01,40.45,40.3,40.4,39.74,39.51,39.71,39.07,39.15,39.13,40.42,40.39,41.24,40.99,44.29,44.65,44.53,43.71,43.45,42.22,42.38,41.04,40.71,40.12,39.69,39.77,39.53,39.69,36.38],"=FDS(IDENTIFIER,\"P_LOCAL_INDEX\")^FG_PRICE_ICS(0/0/-1,NOW,D,LOCAL,SPLIT,0,,,5)":null,"DAL-US^FG_VOLUME(0/0/-1,NOW,D,SPLIT)":[23.81797,14.58887,10.51662,16.73262,13.22363,12.93735,24.52676,18.45338,13.16911,11.53028,16.3483,10.68066,12.22311,12.44516,11.45377,11.01059,9.656677,14.31242,16.97684,13.51998,12.65968,5.176408,10.65438,8.142801,8.504632,8.705736,15.12345,12.31722,12.88108,9.136267,9.497467,11.7549,9.72501,10.85247,17.65831,15.46554,11.53069,11.3357,11.15511,11.31006,15.9649,10.59937,16.95339,21.65401,17.98971,10.33293,11.85426,12.41597,11.4318,10.11194,18.2963,10.43207,12.01106,8.549181,11.49011,13.77548,10.94565,8.756266,14.58772,21.57351,19.19379,17.0209,15.72978,14.82802,13.81292,11.56675,13.64268,18.06248,20.61179,17.27299,11.71007,10.71932,11.31857,15.89175,19.70079,14.2815,13.69438,13.42357,12.12355,10.91109,13.61682,12.12076,14.46913,12.36141,9.824194,10.78754,9.469208,9.569985,14.59992,14.65246,12.24435,13.54695,9.785393,11.07027,18.2876,12.52042,22.26788,12.23639,9.57943,15.62777,16.26712,17.30322,9.179962,11.25998,8.151614,7.209179,8.22225,9.175237,9.382638,14.79036,10.700063,9.665669,11.19507,9.054157,14.13912,12.18725,11.77805,11.53747,11.05988,10.684,11.54581,12.34171,9.894445,8.409089,14.65698,9.746239,8.680657,8.377637,11.98619,9.108623,11.55561,7.699447,6.120194,10.71413,6.741165,9.780818,8.216059,11.18416,7.89845,8.565506,10.14456,15.21935,9.861427,8.499821,7.406091,9.300309,23.93039,17.44151,9.477763,7.845521,9.87382,5.763839,7.880986,11.85833,10.3639,7.70707,10.62597,14.61036,31.08574,20.89631,16.72665,27.07381,17.69065,19.14526,10.85062,10.10162,10.01485,10.5082,7.538565,8.3574,12.20233,11.08482,14.67063,23.02366,15.65237,11.71605,10.98505,13.74534,12.452,9.817507,7.211842,10.93087,11.442,8.612344,12.29401,8.21308,8.584655,10.80498,12.45586,10.03288,7.936095,11.88214,8.627205,8.434606,9.354744,6.652346,8.233895,7.156097,15.50937,12.50122,11.5563,8.837721,8.17581,9.485227,11.03191,16.6339,11.83758,11.59931,12.65102,13.47851,14.46745,9.434737,9.141128,9.798589,19.20566,13.34246,9.596003,10.14578,8.881219,7.340562,9.085651,10.51525,28.23694,16.28539,13.86029,10.14021,11.31445,15.1626,10.69437,9.46186,9.090457,8.951153,8.341786,7.415961,9.343837,11.40128,7.611246,10.01059,9.990287,23.65119,15.00665,9.359055,8.698662,6.370673,10.03886,6.938449,11.05548,9.025303,11.62129,15.04007,11.9914,11.08393,7.580451,38.02264],"DAL-US^P_PRICE(NOW)":36.38,"DAL-US^P_PRICE_HIGH(-52AW,0,,,,\"PRICE\",\"INTRA\")":52.28,"DAL-US^P_PRICE_LOW(-52AW,0,,,,\"PRICE\",\"INTRA\")":37.3064,"DAL-US^P_PRICE_CHANGE(0CY,NOW,RANGE)/100":-0.09524989,"DAL-US^P_PRICE_CHANGE(-1AY,NOW,RANGE)/100":-0.11827427,"DAL-US^BETA(\"SP50\",-60AM,0,AM)":1.3736221,"DAL-US^FF_FISCAL_DATE(ANN,-4FY,,,RP,\"DATEM\")":"12/2016","DAL-US^FF_FISCAL_DATE(ANN,-3FY,,,RP,\"DATEM\")":"12/2017","DAL-US^FF_FISCAL_DATE(ANN,-2FY,,,RP,\"DATEM\")":"12/2018","DAL-US^FF_FISCAL_DATE(ANN,-1FY,,,RP,\"DATEM\")":"12/2019","DAL-US^FF_FISCAL_DATE(ANN,0FY,,,RP,\"DATEM\")":"12/2020","DAL-US^FF_FISCAL_DATE(QTR,0,,,RP,\"DATEM\")@FF_FISCAL_DATE(SEMI,0,,,RP,\"DATEM\")":"09/2021","DAL-US^FF_SALES(ANN,-4FY,0FY,,RP)":[39602.0,41234.0,44441.0,47006.0,17095.0],"DAL-US^FF_SALES(ANN,-5FY,,,RP)":40506.0,"DAL-US^FF_SALES(LTM,0)@FF_SALES(LTM_SEMI,0)":24403.0,"DAL-US^FF_COGS(ANN,-4FY,0FY,,RP)":[28625.0,31013.0,35510.0,36584.0,23631.0],"DAL-US^FF_COGS(LTM,0)@FF_COGS(LTM_SEMI,0)":27090.0,"DAL-US^FF_SGA(ANN,-4FY,0FY,,RP)":[1710.0,1787.0,1941.0,1993.0,582.0],"DAL-US^FF_SGA(ANN,-5FY,,,RP)":1672.0,"DAL-US^FF_SGA(LTM,0)@FF_SGA(LTM_SEMI,0)":724.0,"DAL-US^FF_EBITDA_OPER(ANN,-4FY,0FY,,RP)":[9183.0,8420.0,7596.0,9239.0,-5969.0],"DAL-US^FF_EBITDA_OPER(ANN,-5FY,,,RP)":10215.0,"DAL-US^FF_EBITDA_OPER(LTM,0)@FF_EBITDA_OPER(LTM_SEMI,0)":-2645.0,"DAL-US^FF_EBIT_OPER(ANN,-4FY,0FY,,RP)":[7281.0,6185.0,5267.0,6658.0,-8281.0],"DAL-US^FF_EBIT_OPER(ANN,-5FY,,,RP)":8380.0,"DAL-US^FF_EBIT_OPER(LTM,0)@FF_EBIT_OPER(LTM_SEMI,0)":-4638.0,"DAL-US^FF_INT_EXP_NET(ANN,-4FY,,,RP)":388.0,"DAL-US^FF_INT_EXP_NET(ANN,-3FY,,,RP)":396.0,"DAL-US^FF_INT_EXP_NET(ANN,-2FY,,,RP)":311.0,"DAL-US^FF_INT_EXP_NET(ANN,-1FY,,,RP)":301.0,"DAL-US^FF_INT_EXP_NET(ANN,0FY,,,RP)":929.0,"DAL-US^FF_INT_EXP_NET(LTM,0)":1378.0,"DAL-US^FF_PTX_INC(ANN,-4FY,0FY,,RP)":[6636.0,5701.0,5151.0,6198.0,-15587.0],"DAL-US^FF_PTX_INC(LTM,0)@FF_PTX_INC(LTM_SEMI,0)":-315.0,"DAL-US^FF_NET_INC(ANN,-4FY,0FY,,RP)":[4373.0,3577.0,3935.0,4767.0,-12385.0],"DAL-US^FF_NET_INC(ANN,-5FY,,,RP)":4526.0,"DAL-US^FF_NET_INC(LTM,0)@FF_NET_INC(LTM_SEMI,0)":-68.0,"DAL-US^FF_EPS_DIL(ANN,-4FY,0FY,,RP)":[5.79,4.95,5.67,7.3002,-19.4733],"DAL-US^FF_EPS_DIL(ANN,-5FY,,,RP)":5.63,"DAL-US^FF_EPS_DIL(LTM,0)@FF_EPS_DIL(LTM_SEMI,0)":-0.1332,"DAL-US^FF_COM_SHS_OUT(ANN,-4FY,,,RP)":730.737709,"DAL-US^FF_COM_SHS_OUT(ANN,-3FY,,,RP)":707.197979,"DAL-US^FF_COM_SHS_OUT(ANN,-2FY,,,RP)":679.944475,"DAL-US^FF_COM_SHS_OUT(ANN,-1FY,,,RP)":642.771713,"DAL-US^FF_COM_SHS_OUT(ANN,0FY,,,RP)":638.18252,"DAL-US^FF_COM_SHS_OUT(LTM,0)":null,"DAL-US^FF_CAPEX(ANN,-4FY,0FY,,RP)":[3391.0,3891.0,5168.0,4936.0,1899.0],"DAL-US^FF_CAPEX(LTM,0)@FF_CAPEX(LTM_SEMI,0)":2577.0,"DAL-US^FF_FISCAL_DATE(LTM,0,,,RP,\"DATEM\")":"09/2021","DAL-US^FF_CASH_ST(ANN,-4FY,0FY,,RP)":[3642.0,2639.0,1815.0,3094.0,14288.0],"DAL-US^FF_CASH_ST(QTR,0)@FF_CASH_ST(SEMI,0)":13364.0,"DAL-US^FF_RECEIV_TOT(ANN,-4FY,0FY,,RP)":[2064.0,2377.0,2314.0,2854.0,1396.0],"DAL-US^FF_RECEIV_TOT(ANN,-5FY,,,RP)":2139.0,"DAL-US^FF_RECEIV_TOT(QTR,0,,,RP)@FF_RECEIV_TOT(SEMI,0,,,RP)":2183.0,"DAL-US^FF_INVEN(ANN,-4FY,,,RP)":891.0,"DAL-US^FF_INVEN(ANN,-5FY,,,RP)":697.0,"DAL-US^FF_INVEN(ANN,-3FY,,,RP)":1329.0,"DAL-US^FF_INVEN(ANN,-2FY,,,RP)":1055.0,"DAL-US^FF_INVEN(ANN,-1FY,,,RP)":1251.0,"DAL-US^FF_INVEN(ANN,0FY,,,RP)":732.0,"DAL-US^FF_INVEN(QTR,0)@FF_INVEN(SEMI,0)":1012.0,"DAL-US^FF_ASSETS_CURR(ANN,-4FY,0FY,,RP)":[7451.0,7844.0,6340.0,8249.0,17404.0],"DAL-US^FF_ASSETS_CURR(QTR,0)@FF_ASSETS_CURR(SEMI,0)":17471.0,"DAL-US^FF_PPE_NET(ANN,-4FY,0FY,,RP)":[24375.0,26563.0,34329.0,36937.0,32262.0],"DAL-US^FF_PPE_NET(QTR,0)@FF_PPE_NET(SEMI,0)":33643.0,"DAL-US^FF_ASSETS(ANN,-4FY,0FY,,RP)":[58899.0,58472.0,60266.0,64532.0,71996.0],"DAL-US^FF_ASSETS(ANN,-5FY,,,RP)":60634.0,"DAL-US^FF_ASSETS(QTR,0)":72783.0,"DAL-US^FF_DEBT_ST(ANN,-4FY,0FY,,RP)":[1131.0,2242.0,2473.0,3088.0,2410.0],"DAL-US^FF_DEBT_ST(QTR,0)@FF_DEBT_ST(SEMI,0)":2932.0,"DAL-US^FF_PAY_ACCT(ANN,-4FY,0FY,,RP)":[2572.0,3674.0,2976.0,3266.0,2840.0],"DAL-US^FF_PAY_ACCT(ANN,-6FY,,,RP)":2622.0,"DAL-US^FF_PAY_ACCT(QTR,0)@FF_PAY_ACCT(SEMI,0)":4017.0,"DAL-US^FF_LIABS_CURR(ANN,-4FY,0FY,,RP)":[15239.0,18573.0,18578.0,20204.0,15927.0],"DAL-US^FF_LIABS_CURR(QTR,0)@FF_LIABS_CURR(SEMI,0)":20924.0,"DAL-US^FF_DEBT_LT(ANN,-4FY,0FY,,RP)":[6201.0,6592.0,14054.0,14167.0,33138.0],"DAL-US^FF_DEBT_LT(QTR,0)":31265.0,"DAL-US^FF_LIABS(ANN,-4FY,0FY,,RP)":[46612.0,44562.0,46579.0,49174.0,70462.0],"DAL-US^FF_LIABS(QTR,0)@FF_LIABS(SEMI,0)":70177.0,"DAL-US^FF_PFD_STK(ANN,-4FY,0FY,,RP)":[0.0,0.0,0.0,0.0,0.0],"DAL-US^FF_PFD_STK(QTR,0)@FF_PFD_STK(SEMI,0)":0.0,"DAL-US^FF_SHLDRS_EQ(ANN,-4FY,0FY,,RP)":[12287.0,13910.0,13687.0,15358.0,1534.0],"DAL-US^FF_SHLDRS_EQ(ANN,-5FY,,,RP)":10850.0,"DAL-US^FF_SHLDRS_EQ(QTR,0)@FF_SHLDRS_EQ(SEMI,0)":2606.0,"DAL-US^FF_LIABS_SHLDRS_EQ(ANN,-4FY,0FY,,RP)":[58899.0,58472.0,60266.0,64532.0,71996.0],"DAL-US^FF_LIABS_SHLDRS_EQ(QTR,0,,,RP)@FF_LIABS_SHLDRS_EQ(SEMI,0,,,RP)":72783.0,"DAL-US^FG_PRICE(-4FY,,)":49.19,"DAL-US^FG_PRICE(-3FY,,)":56.0,"DAL-US^FG_PRICE(-2FY,,)":49.9,"DAL-US^FG_PRICE(-1FY,,)":58.48,"DAL-US^FG_PRICE(-0FY,,)":40.21,"DAL-US^FG_PRICE(0M,,)":39.13,"DAL-US^FE_ESTIMATE(EPS,MEAN,ANNUAL,+1,NOW)":-4.5392437,"DAL-US^FE_ESTIMATE(EPS,MEAN,NTMA,,NOW)":2.6970112,"DAL-US^FE_ESTIMATE(EPS_LTG,MEAN,,,NOW,,,'')/100":null,"DAL-US^FF_BPS(ANN_R,0)":2.4037,"DAL-US^FG_FACTSET_IND":"Airlines","DAL-US^FF_COM_SHS_OUT(CURR,0)":640.014,"DAL-US^FF_DPS(LTM,0)":0.0,"DAL-US^P(NOW)":36.38,"DAL-US^FF_RELATED_COMPANY(COMPT,PUB,FEID,0,\"OTHER\")":["0D665Z-E","000BNX-E","05HXPW-E","05ZC3N-E","002GBQ-E","0BNHW2-E","05HWHC-E","000PVJ-E","07BR90-E","09CV3L-E","003XC8-E","09ZKC0-E","000WJH-E","0019S0-E","0BCBB7-E","06D8MS-E","06NMC4-E","003Q64-E","000WR8-E","0088V7-E","0GYD8Q-E","05RYHC-E"],"DAL-US^FF_COGS(ANN,-5FY,,,RP)":28456.0,"DAL-US^REBASE(FG_PRICE_ICS(,,,LOCAL,SPLIT,0,,,5), 41.26, 0/0/-1) : 0/0/-1,NOW,D":[41.26,41.29,41.06,40.25,39.96,41.07,42.95,42.36,42.35,42.41,42.11,42.62,41.74,40.69,41.85,41.08,41.11,40.68,40.14,38.94,40.24,39.73,40.15,40.03,40.56,40.21,38.73,39.55,40.38,40.23,40.02,39.41,40.3,40.45,41.47,39.98,40.31,41.62,40.67,40.0,38.9,39.32,38.52,40.08,37.96,37.82,38.8,39.78,40.93,41.15,43.24,42.51,42.9,42.72,43.29,44.65,44.39,44.38,45.67,47.74,48.34,49.6,48.25,47.94,48.06,48.23,48.35,46.96,46.21,47.88,47.62,47.8,48.32,49.83,50.99,49.39,50.44,49.18,49.0,47.97,45.64,45.61,47.01,47.66,47.32,48.9,48.28,48.83,50.25,51.65,50.2,49.81,49.27,48.82,48.26,48.17,46.82,46.64,46.15,44.45,45.7,44.65,45.8,46.61,46.34,46.44,46.38,46.92,46.57,44.66,45.2,44.93,46.11,45.43,44.52,43.03,43.97,46.31,46.75,46.73,46.14,45.41,45.21,46.17,46.67,47.49,48.05,47.68,47.7,47.77,46.13,45.98,46.08,47.04,46.52,46.28,46.5,45.9,45.53,45.52,44.57,44.96,45.77,45.37,45.27,44.91,44.43,43.12,42.87,43.26,44.23,44.15,43.24,42.54,42.07,42.92,42.85,41.33,40.68,41.35,40.06,38.56,40.66,41.61,41.06,40.41,41.67,40.96,41.3,41.23,39.9,39.45,39.77,38.35,39.99,40.32,39.29,40.46,41.3,40.53,39.9,39.93,38.78,38.65,37.93,38.12,39.21,40.53,41.3,40.77,41.52,39.91,40.44,40.4,40.82,40.25,40.35,39.65,41.09,39.36,40.18,39.44,39.64,40.22,40.11,40.78,40.36,41.59,42.59,43.53,43.78,43.44,43.36,42.61,45.38,44.96,44.74,44.02,43.68,43.38,43.19,43.54,41.03,41.2,40.99,41.01,40.45,40.3,40.4,39.74,39.51,39.71,39.07,39.15,39.13,40.42,40.39,41.24,40.99,44.29,44.65,44.53,43.71,43.45,42.22,42.38,41.04,40.71,40.12,39.69,39.77,39.53,39.69,36.38],"=FDS(IDENTIFIER,\"P_LOCAL_INDEX\")^REBASE(FG_PRICE_ICS(,,,LOCAL,SPLIT,0,,,5), 41.26, 0/0/-1) : 0/0/-1,NOW,D":null,"DAL-US^FF_ADDRESS":"International Airport","DAL-US^FF_ADDRESS2":"Hartsfield-Jackson Atlanta","DAL-US^FF_CITY":"Atlanta","DAL-US^FF_POSTAL":"30354","DAL-US^FF_STATE_PROVINCE":"Georgia","DAL-US^FF_COUNTRY":"UNITED STATES","DAL-US^FF_EMP_NUM(ANN,0)":74000.0,"DAL-US^OS_TOP_HLDR_ULTPRNT(1,0D,,MTD,,F,SEC)[0]":"The Vanguard Group, Inc.","DAL-US^FF_BUS_DESC_EXT":"Delta Air Lines, Inc. engages in the provision of scheduled air transportation for passengers and cargo. It operates through the Airline and Refinery segments. The Airline segment provides scheduled air transportation for passengers and cargo. The Refinery segment consists of jet fuel and non-jet fuel products. The company was founded by Collett Everman Woolman in 1928 and is headquartered in Atlanta, GA.","DAL-US^FG_EXCHANGE":"NYSE","DAL-US^FF_PBK(ANN_R,0)":16.7283770853268,"DAL-US^FF_ROE(ANN_R,0)":-146.637461520246,"0D665Z-E^P_SYMBOL":"AAL-US","000BNX-E^P_SYMBOL":"ALK-US","05HXPW-E^P_SYMBOL":"2610-TW","05ZC3N-E^P_SYMBOL":"ELAL-IL","002GBQ-E^P_SYMBOL":"1055-HK","0BNHW2-E^P_SYMBOL":"PFAVH-CO","05HWHC-E^P_SYMBOL":"QAN-AU","000PVJ-E^P_SYMBOL":"MESA-US","07BR90-E^P_SYMBOL":"VOLARA-MX","09CV3L-E^P_SYMBOL":"AEROMEX-MX","003XC8-E^P_SYMBOL":"HA-US","09ZKC0-E^P_SYMBOL":"LTM-CL","000WJH-E^P_SYMBOL":"SKYW-US","0019S0-E^P_SYMBOL":"AC-CA","0BCBB7-E^P_SYMBOL":"CHR-CA","06D8MS-E^P_SYMBOL":"CPA-US","06NMC4-E^P_SYMBOL":"PAL-PH","003Q64-E^P_SYMBOL":"TRZ-CA","000WR8-E^P_SYMBOL":"LUV-US","0088V7-E^P_SYMBOL":"ALGT-US","0GYD8Q-E^P_SYMBOL":"ULCC-US","05RYHC-E^P_SYMBOL":"SAVE-US","AC-CA^FF_PROV_RISK(ANN_R,12/2020,,,,,B)":4.055,"AC-CA^FF_PROV_RISK(ANN_R,12/2019,,,,,B)":4.17,"AC-CA^FF_PROV_RISK(ANN_R,12/2018,,,,,B)":3.854,"AC-CA^FF_PROV_RISK(ANN_R,12/2017,,,,,B)":3.595,"AC-CA^FF_PROV_RISK(ANN_R,12/2016,,,,,B)":3.383,"AC-CA^FF_PROV_RISK(ANN_R,12/2015,,,,,B)":3.158,"AC-CA^FF_PROV_RISK(ANN_R,12/2014,,,,,B)":3.199,"AC-CA^FF_PROV_RISK(ANN_R,12/2013,,,,,B)":3.343,"AC-CA^FF_PROV_RISK(ANN_R,12/2012,,,,,B)":5.257,"AC-CA^FF_PROV_RISK(ANN_R,12/2011,,,,,B)":6.111,"AC-CA^FF_DFD_TAX_CR(ANN_R,12/2020,,,,,B,\"FILING_DATE=1\")":0.073,"AC-CA^FF_DFD_TAX_CR(ANN_R,12/2019,,,,,B,\"FILING_DATE=1\")":0.052,"AC-CA^FF_DFD_TAX_CR(ANN_R,12/2018,,,,,B,\"FILING_DATE=1\")":0.049,"AC-CA^FF_DFD_TAX_CR(ANN_R,12/2017,,,,,B,\"FILING_DATE=1\")":0.049,"AC-CA^FF_DFD_TAX_CR(ANN_R,12/2016,,,,,B,\"FILING_DATE=1\")":null,"AC-CA^FF_DFD_TAX_CR(ANN_R,12/2015,,,,,B,\"FILING_DATE=1\")":0.049,"AC-CA^FF_DFD_TAX_CR(ANN_R,12/2014,,,,,B,\"FILING_DATE=1\")":null,"AC-CA^FF_DFD_TAX_CR(ANN_R,12/2013,,,,,B,\"FILING_DATE=1\")":null,"AC-CA^FF_DFD_TAX_CR(ANN_R,12/2012,,,,,B,\"FILING_DATE=1\")":0.048,"AC-CA^FF_DFD_TAX_CR(ANN_R,12/2011,,,,,B,\"FILING_DATE=1\")":0.048,"AC-CA^FF_LIABS_OTH(ANN_R,12/2020,,,,,B,\"FILING_DATE=1\")":3.317,"AC-CA^FF_LIABS_OTH(ANN_R,12/2019,,,,,B,\"FILING_DATE=1\")":0.151,"AC-CA^FF_LIABS_OTH(ANN_R,12/2018,,,,,B,\"FILING_DATE=1\")":0.167,"AC-CA^FF_LIABS_OTH(ANN_R,12/2017,,,,,B,\"FILING_DATE=1\")":0.128,"AC-CA^FF_LIABS_OTH(ANN_R,12/2016,,,,,B,\"FILING_DATE=1\")":0.23,"AC-CA^FF_LIABS_OTH(ANN_R,12/2015,,,,,B,\"FILING_DATE=1\")":0.264,"AC-CA^FF_LIABS_OTH(ANN_R,12/2014,,,,,B,\"FILING_DATE=1\")":0.375,"AC-CA^FF_LIABS_OTH(ANN_R,12/2013,,,,,B,\"FILING_DATE=1\")":0.419,"AC-CA^FF_LIABS_OTH(ANN_R,12/2012,,,,,B,\"FILING_DATE=1\")":0.421,"AC-CA^FF_LIABS_OTH(ANN_R,12/2011,,,,,B,\"FILING_DATE=1\")":0.42,"AC-CA^FF_LIABS(ANN_R,12/2020,,,,,B)":27.198,"AC-CA^FF_LIABS(ANN_R,12/2019,,,,,B)":23.359,"AC-CA^FF_LIABS(ANN_R,12/2018,,,,,B)":18.606,"AC-CA^FF_LIABS(ANN_R,12/2017,,,,,B)":14.36,"AC-CA^FF_LIABS(ANN_R,12/2016,,,,,B)":13.895,"AC-CA^FF_LIABS(ANN_R,12/2015,,,,,B)":13.087,"AC-CA^FF_LIABS(ANN_R,12/2014,,,,,B)":11.781,"AC-CA^FF_LIABS(ANN_R,12/2013,,,,,B)":10.867,"AC-CA^FF_LIABS(ANN_R,12/2012,,,,,B)":12.194,"AC-CA^FF_LIABS(ANN_R,12/2011,,,,,B)":13.639,"AC-CA^FF_DEBT_ST(ANN_R,12/2020,,,,,B,\"FILING_DATE=1\")":1.218,"AC-CA^FF_DEBT_ST(ANN_R,12/2019,,,,,B,\"FILING_DATE=1\")":1.048,"AC-CA^FF_DEBT_ST(ANN_R,12/2018,,,,,B,\"FILING_DATE=1\")":0.671,"AC-CA^FF_DEBT_ST(ANN_R,12/2017,,,,,B,\"FILING_DATE=1\")":0.707,"AC-CA^FF_DEBT_ST(ANN_R,12/2016,,,,,B,\"FILING_DATE=1\")":0.524,"AC-CA^FF_DEBT_ST(ANN_R,12/2015,,,,,B,\"FILING_DATE=1\")":0.484,"AC-CA^FF_DEBT_ST(ANN_R,12/2014,,,,,B,\"FILING_DATE=1\")":0.374,"AC-CA^FF_DEBT_ST(ANN_R,12/2013,,,,,B,\"FILING_DATE=1\")":0.499,"AC-CA^FF_DEBT_ST(ANN_R,12/2012,,,,,B,\"FILING_DATE=1\")":0.424,"AC-CA^FF_DEBT_ST(ANN_R,12/2011,,,,,B,\"FILING_DATE=1\")":0.567,"AC-CA^FF_PAY_ACCT(ANN_R,12/2020,,,,,B,\"FILING_DATE=1\")":2.456,"AC-CA^FF_PAY_ACCT(ANN_R,12/2019,,,,,B,\"FILING_DATE=1\")":1.911,"AC-CA^FF_PAY_ACCT(ANN_R,12/2018,,,,,B,\"FILING_DATE=1\")":1.815,"AC-CA^FF_PAY_ACCT(ANN_R,12/2017,,,,,B,\"FILING_DATE=1\")":1.471,"AC-CA^FF_PAY_ACCT(ANN_R,12/2016,,,,,B,\"FILING_DATE=1\")":1.468,"AC-CA^FF_PAY_ACCT(ANN_R,12/2015,,,,,B,\"FILING_DATE=1\")":1.23,"AC-CA^FF_PAY_ACCT(ANN_R,12/2014,,,,,B,\"FILING_DATE=1\")":1.1,"AC-CA^FF_PAY_ACCT(ANN_R,12/2013,,,,,B,\"FILING_DATE=1\")":1.1,"AC-CA^FF_PAY_ACCT(ANN_R,12/2012,,,,,B,\"FILING_DATE=1\")":1.103,"AC-CA^FF_PAY_ACCT(ANN_R,12/2011,,,,,B,\"FILING_DATE=1\")":1.112,"AC-CA^FF_INC_PAY_TAX(ANN_R,12/2020,,,,,B,\"FILING_DATE=1\")":"#NUM","AC-CA^FF_INC_PAY_TAX(ANN_R,12/2019,,,,,B,\"FILING_DATE=1\")":"#NUM","AC-CA^FF_INC_PAY_TAX(ANN_R,12/2018,,,,,B,\"FILING_DATE=1\")":"#NUM","AC-CA^FF_INC_PAY_TAX(ANN_R,12/2017,,,,,B,\"FILING_DATE=1\")":"#NUM","AC-CA^FF_INC_PAY_TAX(ANN_R,12/2016,,,,,B,\"FILING_DATE=1\")":"#NUM","AC-CA^FF_INC_PAY_TAX(ANN_R,12/2015,,,,,B,\"FILING_DATE=1\")":"#NUM","AC-CA^FF_INC_PAY_TAX(ANN_R,12/2014,,,,,B,\"FILING_DATE=1\")":"#NUM","AC-CA^FF_INC_PAY_TAX(ANN_R,12/2013,,,,,B,\"FILING_DATE=1\")":"#NUM","AC-CA^FF_INC_PAY_TAX(ANN_R,12/2012,,,,,B,\"FILING_DATE=1\")":"#NUM","AC-CA^FF_INC_PAY_TAX(ANN_R,12/2011,,,,,B,\"FILING_DATE=1\")":"#NUM","AC-CA^FF_LIABS_CURR_OTH(ANN_R,12/2020,,,,,B,\"FILING_DATE=1\")":4.101,"AC-CA^FF_LIABS_CURR_OTH(ANN_R,12/2019,,,,,B,\"FILING_DATE=1\")":2.717,"AC-CA^FF_LIABS_CURR_OTH(ANN_R,12/2018,,,,,B,\"FILING_DATE=1\")":2.615,"AC-CA^FF_LIABS_CURR_OTH(ANN_R,12/2017,,,,,B,\"FILING_DATE=1\")":2.246,"AC-CA^FF_LIABS_CURR_OTH(ANN_R,12/2016,,,,,B,\"FILING_DATE=1\")":1.837,"AC-CA^FF_LIABS_CURR_OTH(ANN_R,12/2015,,,,,B,\"FILING_DATE=1\")":1.823,"AC-CA^FF_LIABS_CURR_OTH(ANN_R,12/2014,,,,,B,\"FILING_DATE=1\")":1.716,"AC-CA^FF_LIABS_CURR_OTH(ANN_R,12/2013,,,,,B,\"FILING_DATE=1\")":1.66,"AC-CA^FF_LIABS_CURR_OTH(ANN_R,12/2012,,,,,B,\"FILING_DATE=1\")":1.626,"AC-CA^FF_LIABS_CURR_OTH(ANN_R,12/2011,,,,,B,\"FILING_DATE=1\")":1.445,"AC-CA^FF_LIABS_CURR(ANN_R,12/2020,,,,,B,\"FILING_DATE=1\")":7.775,"AC-CA^FF_LIABS_CURR(ANN_R,12/2019,,,,,B,\"FILING_DATE=1\")":5.676,"AC-CA^FF_LIABS_CURR(ANN_R,12/2018,,,,,B,\"FILING_DATE=1\")":5.101,"AC-CA^FF_LIABS_CURR(ANN_R,12/2017,,,,,B,\"FILING_DATE=1\")":4.424,"AC-CA^FF_LIABS_CURR(ANN_R,12/2016,,,,,B,\"FILING_DATE=1\")":3.829,"AC-CA^FF_LIABS_CURR(ANN_R,12/2015,,,,,B,\"FILING_DATE=1\")":3.537,"AC-CA^FF_LIABS_CURR(ANN_R,12/2014,,,,,B,\"FILING_DATE=1\")":3.19,"AC-CA^FF_LIABS_CURR(ANN_R,12/2013,,,,,B,\"FILING_DATE=1\")":3.259,"AC-CA^FF_LIABS_CURR(ANN_R,12/2012,,,,,B,\"FILING_DATE=1\")":3.153,"AC-CA^FF_LIABS_CURR(ANN_R,12/2011,,,,,B,\"FILING_DATE=1\")":3.124,"AC-CA^FF_DEBT_LT(ANN_R,12/2020,,,,,B,\"FILING_DATE=1\")":8.024,"AC-CA^FF_DEBT_LT(ANN_R,12/2019,,,,,B,\"FILING_DATE=1\")":8.873,"AC-CA^FF_DEBT_LT(ANN_R,12/2018,,,,,B,\"FILING_DATE=1\")":5.448,"AC-CA^FF_DEBT_LT(ANN_R,12/2017,,,,,B,\"FILING_DATE=1\")":5.911,"AC-CA^FF_DEBT_LT(ANN_R,12/2016,,,,,B,\"FILING_DATE=1\")":5.87,"AC-CA^FF_DEBT_LT(ANN_R,12/2015,,,,,B,\"FILING_DATE=1\")":4.732,"AC-CA^FF_DEBT_LT(ANN_R,12/2014,,,,,B,\"FILING_DATE=1\")":3.959,"AC-CA^FF_DEBT_LT(ANN_R,12/2013,,,,,B,\"FILING_DATE=1\")":3.259,"AC-CA^FF_DEBT_LT(ANN_R,12/2012,,,,,B,\"FILING_DATE=1\")":3.906,"AC-CA^FF_DEBT_LT(ANN_R,12/2011,,,,,B,\"FILING_DATE=1\")":4.028,"AC-CA^FF_CASH_ST(ANN_R,12/2020,,,,,B,\"FILING_DATE=1\")":6.046,"AC-CA^FF_CASH_ST(ANN_R,12/2019,,,,,B,\"FILING_DATE=1\")":4.868,"AC-CA^FF_CASH_ST(ANN_R,12/2018,,,,,B,\"FILING_DATE=1\")":3.952,"AC-CA^FF_CASH_ST(ANN_R,12/2017,,,,,B,\"FILING_DATE=1\")":3.105,"AC-CA^FF_CASH_ST(ANN_R,12/2016,,,,,B,\"FILING_DATE=1\")":2.763,"AC-CA^FF_CASH_ST(ANN_R,12/2015,,,,,B,\"FILING_DATE=1\")":2.364,"AC-CA^FF_CASH_ST(ANN_R,12/2014,,,,,B,\"FILING_DATE=1\")":2.3,"AC-CA^FF_CASH_ST(ANN_R,12/2013,,,,,B,\"FILING_DATE=1\")":2.069,"AC-CA^FF_CASH_ST(ANN_R,12/2012,,,,,B,\"FILING_DATE=1\")":2.186,"AC-CA^FF_CASH_ST(ANN_R,12/2011,,,,,B,\"FILING_DATE=1\")":2.272,"AC-CA^FF_RECEIV_ST(ANN_R,12/2020,,,,,B)":0.644,"AC-CA^FF_RECEIV_ST(ANN_R,12/2019,,,,,B)":0.926,"AC-CA^FF_RECEIV_ST(ANN_R,12/2018,,,,,B)":0.796,"AC-CA^FF_RECEIV_ST(ANN_R,12/2017,,,,,B)":0.814,"AC-CA^FF_RECEIV_ST(ANN_R,12/2016,,,,,B)":0.707,"AC-CA^FF_RECEIV_ST(ANN_R,12/2015,,,,,B)":0.797,"AC-CA^FF_RECEIV_ST(ANN_R,12/2014,,,,,B)":0.656,"AC-CA^FF_RECEIV_ST(ANN_R,12/2013,,,,,B)":0.589,"AC-CA^FF_RECEIV_ST(ANN_R,12/2012,,,,,B)":0.55,"AC-CA^FF_RECEIV_ST(ANN_R,12/2011,,,,,B)":0.712,"AC-CA^FF_INVEN(ANN_R,12/2020,,,,,B)":0.166,"AC-CA^FF_INVEN(ANN_R,12/2019,,,,,B)":0.212,"AC-CA^FF_INVEN(ANN_R,12/2018,,,,,B)":0.22,"AC-CA^FF_INVEN(ANN_R,12/2017,,,,,B)":0.206,"AC-CA^FF_INVEN(ANN_R,12/2016,,,,,B)":0.186,"AC-CA^FF_INVEN(ANN_R,12/2015,,,,,B)":0.182,"AC-CA^FF_INVEN(ANN_R,12/2014,,,,,B)":0.163,"AC-CA^FF_INVEN(ANN_R,12/2013,,,,,B)":0.136,"AC-CA^FF_INVEN(ANN_R,12/2012,,,,,B)":0.15,"AC-CA^FF_INVEN(ANN_R,12/2011,,,,,B)":0.185,"AC-CA^FF_ASSETS_CURR_OTH(ANN_R,12/2020,,,,,B,\"FILING_DATE=1\")":0.332,"AC-CA^FF_ASSETS_CURR_OTH(ANN_R,12/2019,,,,,B,\"FILING_DATE=1\")":0.417,"AC-CA^FF_ASSETS_CURR_OTH(ANN_R,12/2018,,,,,B,\"FILING_DATE=1\")":0.425,"AC-CA^FF_ASSETS_CURR_OTH(ANN_R,12/2017,,,,,B,\"FILING_DATE=1\")":0.349,"AC-CA^FF_ASSETS_CURR_OTH(ANN_R,12/2016,,,,,B,\"FILING_DATE=1\")":0.383,"AC-CA^FF_ASSETS_CURR_OTH(ANN_R,12/2015,,,,,B,\"FILING_DATE=1\")":0.295,"AC-CA^FF_ASSETS_CURR_OTH(ANN_R,12/2014,,,,,B,\"FILING_DATE=1\")":0.263,"AC-CA^FF_ASSETS_CURR_OTH(ANN_R,12/2013,,,,,B,\"FILING_DATE=1\")":0.232,"AC-CA^FF_ASSETS_CURR_OTH(ANN_R,12/2012,,,,,B,\"FILING_DATE=1\")":0.244,"AC-CA^FF_ASSETS_CURR_OTH(ANN_R,12/2011,,,,,B,\"FILING_DATE=1\")":0.279,"AC-CA^FF_ASSETS_CURR(ANN_R,12/2020,,,,,B,\"FILING_DATE=1\")":7.516,"AC-CA^FF_ASSETS_CURR(ANN_R,12/2019,,,,,B,\"FILING_DATE=1\")":6.301,"AC-CA^FF_ASSETS_CURR(ANN_R,12/2018,,,,,B,\"FILING_DATE=1\")":5.397,"AC-CA^FF_ASSETS_CURR(ANN_R,12/2017,,,,,B,\"FILING_DATE=1\")":4.347,"AC-CA^FF_ASSETS_CURR(ANN_R,12/2016,,,,,B,\"FILING_DATE=1\")":4.125,"AC-CA^FF_ASSETS_CURR(ANN_R,12/2015,,,,,B,\"FILING_DATE=1\")":3.478,"AC-CA^FF_ASSETS_CURR(ANN_R,12/2014,,,,,B,\"FILING_DATE=1\")":3.288,"AC-CA^FF_ASSETS_CURR(ANN_R,12/2013,,,,,B,\"FILING_DATE=1\")":3.001,"AC-CA^FF_ASSETS_CURR(ANN_R,12/2012,,,,,B,\"FILING_DATE=1\")":3.327,"AC-CA^FF_ASSETS_CURR(ANN_R,12/2011,,,,,B,\"FILING_DATE=1\")":3.347,"AC-CA^FF_PPE_NET(ANN_R,12/2020,,,,,B,\"FILING_DATE=1\")":12.834,"AC-CA^FF_PPE_NET(ANN_R,12/2019,,,,,B,\"FILING_DATE=1\")":12.183,"AC-CA^FF_PPE_NET(ANN_R,12/2018,,,,,B,\"FILING_DATE=1\")":9.252,"AC-CA^FF_PPE_NET(ANN_R,12/2017,,,,,B,\"FILING_DATE=1\")":8.52,"AC-CA^FF_PPE_NET(ANN_R,12/2016,,,,,B,\"FILING_DATE=1\")":7.03,"AC-CA^FF_PPE_NET(ANN_R,12/2015,,,,,B,\"FILING_DATE=1\")":5.998,"AC-CA^FF_PPE_NET(ANN_R,12/2014,,,,,B,\"FILING_DATE=1\")":5.073,"AC-CA^FF_PPE_NET(ANN_R,12/2013,,,,,B,\"FILING_DATE=1\")":4.711,"AC-CA^FF_PPE_NET(ANN_R,12/2012,,,,,B,\"FILING_DATE=1\")":5.088,"AC-CA^FF_PPE_NET(ANN_R,12/2011,,,,,B,\"FILING_DATE=1\")":5.629,"AC-CA^FF_INVEST_ADV(ANN_R,12/2020,,,,,B)":0.671,"AC-CA^FF_INVEST_ADV(ANN_R,12/2019,,,,,B)":0.767,"AC-CA^FF_INVEST_ADV(ANN_R,12/2018,,,,,B)":0.188,"AC-CA^FF_INVEST_ADV(ANN_R,12/2017,,,,,B)":0.0,"AC-CA^FF_INVEST_ADV(ANN_R,12/2016,,,,,B)":0.0,"AC-CA^FF_INVEST_ADV(ANN_R,12/2015,,,,,B)":0.0,"AC-CA^FF_INVEST_ADV(ANN_R,12/2014,,,,,B)":0.299,"AC-CA^FF_INVEST_ADV(ANN_R,12/2013,,,,,B)":0.274,"AC-CA^FF_INVEST_ADV(ANN_R,12/2012,,,,,B)":0.293,"AC-CA^FF_INVEST_ADV(ANN_R,12/2011,,,,,B)":0.257,"AC-CA^FF_INTANG_ASSETS(ANN,12/2020,,,,,B)":0.0,"AC-CA^FF_INTANG_ASSETS(ANN,12/2019,,,,,B)":0.0,"AC-CA^FF_INTANG_ASSETS(ANN,12/2018,,,,,B)":0.0,"AC-CA^FF_INTANG_ASSETS(ANN,12/2017,,,,,B)":0.0,"AC-CA^FF_INTANG_ASSETS(ANN,12/2016,,,,,B)":0.0,"AC-CA^FF_INTANG_ASSETS(ANN,12/2015,,,,,B)":0.0,"AC-CA^FF_INTANG_ASSETS(ANN,12/2014,,,,,B)":0.0,"AC-CA^FF_INTANG_ASSETS(ANN,12/2013,,,,,B)":0.0,"AC-CA^FF_INTANG_ASSETS(ANN,12/2012,,,,,B)":0.0,"AC-CA^FF_INTANG_ASSETS(ANN,12/2011,,,,,B)":0.0,"AC-CA^FF_DFD_TAX_DB(ANN_R,12/2020,,,,,B)":0.025,"AC-CA^FF_DFD_TAX_DB(ANN_R,12/2019,,,,,B)":0.134,"AC-CA^FF_DFD_TAX_DB(ANN_R,12/2018,,,,,B)":0.314,"AC-CA^FF_DFD_TAX_DB(ANN_R,12/2017,,,,,B)":0.456,"AC-CA^FF_DFD_TAX_DB(ANN_R,12/2016,,,,,B)":null,"AC-CA^FF_DFD_TAX_DB(ANN_R,12/2015,,,,,B)":null,"AC-CA^FF_DFD_TAX_DB(ANN_R,12/2014,,,,,B)":null,"AC-CA^FF_DFD_TAX_DB(ANN_R,12/2013,,,,,B)":null,"AC-CA^FF_DFD_TAX_DB(ANN_R,12/2012,,,,,B)":null,"AC-CA^FF_DFD_TAX_DB(ANN_R,12/2011,,,,,B)":null,"AC-CA^FF_ASSETS(ANN_R,12/2020,,,,,B)":28.913,"AC-CA^FF_ASSETS(ANN_R,12/2019,,,,,B)":27.759,"AC-CA^FF_ASSETS(ANN_R,12/2018,,,,,B)":21.883,"AC-CA^FF_ASSETS(ANN_R,12/2017,,,,,B)":17.782,"AC-CA^FF_ASSETS(ANN_R,12/2016,,,,,B)":15.114,"AC-CA^FF_ASSETS(ANN_R,12/2015,,,,,B)":13.127,"AC-CA^FF_ASSETS(ANN_R,12/2014,,,,,B)":10.648,"AC-CA^FF_ASSETS(ANN_R,12/2013,,,,,B)":9.47,"AC-CA^FF_ASSETS(ANN_R,12/2012,,,,,B)":8.847,"AC-CA^FF_ASSETS(ANN_R,12/2011,,,,,B)":9.633,"AAL-US^FF_PROV_RISK(ANN_R,12/2020,,,,,B)":7.069,"AAL-US^FF_PROV_RISK(ANN_R,12/2019,,,,,B)":6.052,"AAL-US^FF_PROV_RISK(ANN_R,12/2018,,,,,B)":6.907,"AAL-US^FF_PROV_RISK(ANN_R,12/2017,,,,,B)":7.497,"AAL-US^FF_PROV_RISK(ANN_R,12/2016,,,,,B)":7.842,"AAL-US^FF_PROV_RISK(ANN_R,12/2015,,,,,B)":7.45,"AAL-US^FF_PROV_RISK(ANN_R,12/2014,,,,,B)":7.562,"AAL-US^FF_PROV_RISK(ANN_R,12/2013,,,,,B)":5.828,"AAL-US^FF_PROV_RISK(ANN_R,12/2012,,,,,B)":6.78,"AAL-US^FF_PROV_RISK(ANN_R,12/2011,,,,,B)":9.204,"AAL-US^FF_DFD_TAX_CR(ANN_R,12/2020,,,,,B,\"FILING_DATE=1\")":null,"AAL-US^FF_DFD_TAX_CR(ANN_R,12/2019,,,,,B,\"FILING_DATE=1\")":null,"AAL-US^FF_DFD_TAX_CR(ANN_R,12/2018,,,,,B,\"FILING_DATE=1\")":null,"AAL-US^FF_DFD_TAX_CR(ANN_R,12/2017,,,,,B,\"FILING_DATE=1\")":null,"AAL-US^FF_DFD_TAX_CR(ANN_R,12/2016,,,,,B,\"FILING_DATE=1\")":null,"AAL-US^FF_DFD_TAX_CR(ANN_R,12/2015,,,,,B,\"FILING_DATE=1\")":null,"AAL-US^FF_DFD_TAX_CR(ANN_R,12/2014,,,,,B,\"FILING_DATE=1\")":null,"AAL-US^FF_DFD_TAX_CR(ANN_R,12/2013,,,,,B,\"FILING_DATE=1\")":null,"AAL-US^FF_DFD_TAX_CR(ANN_R,12/2012,,,,,B,\"FILING_DATE=1\")":null,"AAL-US^FF_DFD_TAX_CR(ANN_R,12/2011,,,,,B,\"FILING_DATE=1\")":null,"AAL-US^FF_LIABS_OTH(ANN_R,12/2020,,,,,B,\"FILING_DATE=1\")":6.875,"AAL-US^FF_LIABS_OTH(ANN_R,12/2019,,,,,B,\"FILING_DATE=1\")":6.665,"AAL-US^FF_LIABS_OTH(ANN_R,12/2018,,,,,B,\"FILING_DATE=1\")":8.199,"AAL-US^FF_LIABS_OTH(ANN_R,12/2017,,,,,B,\"FILING_DATE=1\")":3.286,"AAL-US^FF_LIABS_OTH(ANN_R,12/2016,,,,,B,\"FILING_DATE=1\")":3.395,"AAL-US^FF_LIABS_OTH(ANN_R,12/2015,,,,,B,\"FILING_DATE=1\")":4.195,"AAL-US^FF_LIABS_OTH(ANN_R,12/2014,,,,,B,\"FILING_DATE=1\")":6.189,"AAL-US^FF_LIABS_OTH(ANN_R,12/2013,,,,,B,\"FILING_DATE=1\")":8.297,"AAL-US^FF_LIABS_OTH(ANN_R,12/2012,,,,,B,\"FILING_DATE=1\")":6.423,"AAL-US^FF_LIABS_OTH(ANN_R,12/2011,,,,,B,\"FILING_DATE=1\")":3.123,"AAL-US^FF_LIABS(ANN_R,12/2020,,,,,B)":68.875,"AAL-US^FF_LIABS(ANN_R,12/2019,,,,,B)":60.113,"AAL-US^FF_LIABS(ANN_R,12/2018,,,,,B)":60.749,"AAL-US^FF_LIABS(ANN_R,12/2017,,,,,B)":53.565,"AAL-US^FF_LIABS(ANN_R,12/2016,,,,,B)":47.489,"AAL-US^FF_LIABS(ANN_R,12/2015,,,,,B)":42.78,"AAL-US^FF_LIABS(ANN_R,12/2014,,,,,B)":41.204,"AAL-US^FF_LIABS(ANN_R,12/2013,,,,,B)":45.009,"AAL-US^FF_LIABS(ANN_R,12/2012,,,,,B)":31.497,"AAL-US^FF_LIABS(ANN_R,12/2011,,,,,B)":30.959,"AAL-US^FF_DEBT_ST(ANN_R,12/2020,,,,,B,\"FILING_DATE=1\")":4.569,"AAL-US^FF_DEBT_ST(ANN_R,12/2019,,,,,B,\"FILING_DATE=1\")":4.948,"AAL-US^FF_DEBT_ST(ANN_R,12/2018,,,,,B,\"FILING_DATE=1\")":2.554,"AAL-US^FF_DEBT_ST(ANN_R,12/2017,,,,,B,\"FILING_DATE=1\")":1.855,"AAL-US^FF_DEBT_ST(ANN_R,12/2016,,,,,B,\"FILING_DATE=1\")":2.231,"AAL-US^FF_DEBT_ST(ANN_R,12/2015,,,,,B,\"FILING_DATE=1\")":1.677,"AAL-US^FF_DEBT_ST(ANN_R,12/2014,,,,,B,\"FILING_DATE=1\")":1.446,"AAL-US^FF_DEBT_ST(ANN_R,12/2013,,,,,B,\"FILING_DATE=1\")":1.419,"AAL-US^FF_DEBT_ST(ANN_R,12/2012,,,,,B,\"FILING_DATE=1\")":1.518,"AAL-US^FF_DEBT_ST(ANN_R,12/2011,,,,,B,\"FILING_DATE=1\")":1.883,"AAL-US^FF_PAY_ACCT(ANN_R,12/2020,,,,,B,\"FILING_DATE=1\")":2.062,"AAL-US^FF_PAY_ACCT(ANN_R,12/2019,,,,,B,\"FILING_DATE=1\")":1.773,"AAL-US^FF_PAY_ACCT(ANN_R,12/2018,,,,,B,\"FILING_DATE=1\")":1.688,"AAL-US^FF_PAY_ACCT(ANN_R,12/2017,,,,,B,\"FILING_DATE=1\")":1.592,"AAL-US^FF_PAY_ACCT(ANN_R,12/2016,,,,,B,\"FILING_DATE=1\")":1.563,"AAL-US^FF_PAY_ACCT(ANN_R,12/2015,,,,,B,\"FILING_DATE=1\")":1.377,"AAL-US^FF_PAY_ACCT(ANN_R,12/2014,,,,,B,\"FILING_DATE=1\")":1.368,"AAL-US^FF_PAY_ACCT(ANN_R,12/2013,,,,,B,\"FILING_DATE=1\")":1.244,"AAL-US^FF_PAY_ACCT(ANN_R,12/2012,,,,,B,\"FILING_DATE=1\")":1.007,"AAL-US^FF_PAY_ACCT(ANN_R,12/2011,,,,,B,\"FILING_DATE=1\")":1.156,"AAL-US^FF_INC_PAY_TAX(ANN_R,12/2020,,,,,B,\"FILING_DATE=1\")":"#NUM","AAL-US^FF_INC_PAY_TAX(ANN_R,12/2019,,,,,B,\"FILING_DATE=1\")":"#NUM","AAL-US^FF_INC_PAY_TAX(ANN_R,12/2018,,,,,B,\"FILING_DATE=1\")":"#NUM","AAL-US^FF_INC_PAY_TAX(ANN_R,12/2017,,,,,B,\"FILING_DATE=1\")":"#NUM","AAL-US^FF_INC_PAY_TAX(ANN_R,12/2016,,,,,B,\"FILING_DATE=1\")":"#NUM","AAL-US^FF_INC_PAY_TAX(ANN_R,12/2015,,,,,B,\"FILING_DATE=1\")":"#NUM","AAL-US^FF_INC_PAY_TAX(ANN_R,12/2014,,,,,B,\"FILING_DATE=1\")":"#NUM","AAL-US^FF_INC_PAY_TAX(ANN_R,12/2013,,,,,B,\"FILING_DATE=1\")":"#NUM","AAL-US^FF_INC_PAY_TAX(ANN_R,12/2012,,,,,B,\"FILING_DATE=1\")":"#NUM","AAL-US^FF_INC_PAY_TAX(ANN_R,12/2011,,,,,B,\"FILING_DATE=1\")":"#NUM","AAL-US^FF_LIABS_CURR_OTH(ANN_R,12/2020,,,,,B,\"FILING_DATE=1\")":11.68,"AAL-US^FF_LIABS_CURR_OTH(ANN_R,12/2019,,,,,B,\"FILING_DATE=1\")":11.375,"AAL-US^FF_LIABS_CURR_OTH(ANN_R,12/2018,,,,,B,\"FILING_DATE=1\")":11.116,"AAL-US^FF_LIABS_CURR_OTH(ANN_R,12/2017,,,,,B,\"FILING_DATE=1\")":10.425,"AAL-US^FF_LIABS_CURR_OTH(ANN_R,12/2016,,,,,B,\"FILING_DATE=1\")":9.811,"AAL-US^FF_LIABS_CURR_OTH(ANN_R,12/2015,,,,,B,\"FILING_DATE=1\")":10.35,"AAL-US^FF_LIABS_CURR_OTH(ANN_R,12/2014,,,,,B,\"FILING_DATE=1\")":10.992,"AAL-US^FF_LIABS_CURR_OTH(ANN_R,12/2013,,,,,B,\"FILING_DATE=1\")":6.641,"AAL-US^FF_LIABS_CURR_OTH(ANN_R,12/2012,,,,,B,\"FILING_DATE=1\")":6.105,"AAL-US^FF_LIABS_CURR_OTH(ANN_R,12/2011,,,,,B,\"FILING_DATE=1\")":5.741,"AAL-US^FF_LIABS_CURR(ANN_R,12/2020,,,,,B,\"FILING_DATE=1\")":18.311,"AAL-US^FF_LIABS_CURR(ANN_R,12/2019,,,,,B,\"FILING_DATE=1\")":18.096,"AAL-US^FF_LIABS_CURR(ANN_R,12/2018,,,,,B,\"FILING_DATE=1\")":15.358,"AAL-US^FF_LIABS_CURR(ANN_R,12/2017,,,,,B,\"FILING_DATE=1\")":13.872,"AAL-US^FF_LIABS_CURR(ANN_R,12/2016,,,,,B,\"FILING_DATE=1\")":13.605,"AAL-US^FF_LIABS_CURR(ANN_R,12/2015,,,,,B,\"FILING_DATE=1\")":13.404,"AAL-US^FF_LIABS_CURR(ANN_R,12/2014,,,,,B,\"FILING_DATE=1\")":13.806,"AAL-US^FF_LIABS_CURR(ANN_R,12/2013,,,,,B,\"FILING_DATE=1\")":9.304,"AAL-US^FF_LIABS_CURR(ANN_R,12/2012,,,,,B,\"FILING_DATE=1\")":8.63,"AAL-US^FF_LIABS_CURR(ANN_R,12/2011,,,,,B,\"FILING_DATE=1\")":8.78,"AAL-US^FF_DEBT_LT(ANN_R,12/2020,,,,,B,\"FILING_DATE=1\")":28.875,"AAL-US^FF_DEBT_LT(ANN_R,12/2019,,,,,B,\"FILING_DATE=1\")":29.081,"AAL-US^FF_DEBT_LT(ANN_R,12/2018,,,,,B,\"FILING_DATE=1\")":22.511,"AAL-US^FF_DEBT_LT(ANN_R,12/2017,,,,,B,\"FILING_DATE=1\")":22.489,"AAL-US^FF_DEBT_LT(ANN_R,12/2016,,,,,B,\"FILING_DATE=1\")":18.33,"AAL-US^FF_DEBT_LT(ANN_R,12/2015,,,,,B,\"FILING_DATE=1\")":16.043,"AAL-US^FF_DEBT_LT(ANN_R,12/2014,,,,,B,\"FILING_DATE=1\")":19.186,"AAL-US^FF_DEBT_LT(ANN_R,12/2013,,,,,B,\"FILING_DATE=1\")":7.116,"AAL-US^FF_DEBT_LT(ANN_R,12/2012,,,,,B,\"FILING_DATE=1\")":6.702,"AAL-US^FF_DEBT_LT(ANN_R,12/2011,,,,,B,\"FILING_DATE=1\")":9.253,"AAL-US^FF_CASH_ST(ANN_R,12/2020,,,,,B,\"FILING_DATE=1\")":3.984,"AAL-US^FF_CASH_ST(ANN_R,12/2019,,,,,B,\"FILING_DATE=1\")":4.914,"AAL-US^FF_CASH_ST(ANN_R,12/2018,,,,,B,\"FILING_DATE=1\")":5.384,"AAL-US^FF_CASH_ST(ANN_R,12/2017,,,,,B,\"FILING_DATE=1\")":6.997,"AAL-US^FF_CASH_ST(ANN_R,12/2016,,,,,B,\"FILING_DATE=1\")":6.949,"AAL-US^FF_CASH_ST(ANN_R,12/2015,,,,,B,\"FILING_DATE=1\")":8.077,"AAL-US^FF_CASH_ST(ANN_R,12/2014,,,,,B,\"FILING_DATE=1\")":10.286,"AAL-US^FF_CASH_ST(ANN_R,12/2013,,,,,B,\"FILING_DATE=1\")":4.807,"AAL-US^FF_CASH_ST(ANN_R,12/2012,,,,,B,\"FILING_DATE=1\")":4.739,"AAL-US^FF_CASH_ST(ANN_R,12/2011,,,,,B,\"FILING_DATE=1\")":4.946,"AAL-US^FF_RECEIV_ST(ANN_R,12/2020,,,,,B)":1.342,"AAL-US^FF_RECEIV_ST(ANN_R,12/2019,,,,,B)":1.75,"AAL-US^FF_RECEIV_ST(ANN_R,12/2018,,,,,B)":1.706,"AAL-US^FF_RECEIV_ST(ANN_R,12/2017,,,,,B)":1.752,"AAL-US^FF_RECEIV_ST(ANN_R,12/2016,,,,,B)":1.594,"AAL-US^FF_RECEIV_ST(ANN_R,12/2015,,,,,B)":1.425,"AAL-US^FF_RECEIV_ST(ANN_R,12/2014,,,,,B)":1.771,"AAL-US^FF_RECEIV_ST(ANN_R,12/2013,,,,,B)":1.56,"AAL-US^FF_RECEIV_ST(ANN_R,12/2012,,,,,B)":1.124,"AAL-US^FF_RECEIV_ST(ANN_R,12/2011,,,,,B)":0.999,"AAL-US^FF_INVEN(ANN_R,12/2020,,,,,B)":1.614,"AAL-US^FF_INVEN(ANN_R,12/2019,,,,,B)":1.851,"AAL-US^FF_INVEN(ANN_R,12/2018,,,,,B)":1.522,"AAL-US^FF_INVEN(ANN_R,12/2017,,,,,B)":1.359,"AAL-US^FF_INVEN(ANN_R,12/2016,,,,,B)":1.094,"AAL-US^FF_INVEN(ANN_R,12/2015,,,,,B)":0.863,"AAL-US^FF_INVEN(ANN_R,12/2014,,,,,B)":1.004,"AAL-US^FF_INVEN(ANN_R,12/2013,,,,,B)":1.012,"AAL-US^FF_INVEN(ANN_R,12/2012,,,,,B)":0.58,"AAL-US^FF_INVEN(ANN_R,12/2011,,,,,B)":0.617,"AAL-US^FF_ASSETS_CURR_OTH(ANN_R,12/2020,,,,,B,\"FILING_DATE=1\")":0.621,"AAL-US^FF_ASSETS_CURR_OTH(ANN_R,12/2019,,,,,B,\"FILING_DATE=1\")":0.495,"AAL-US^FF_ASSETS_CURR_OTH(ANN_R,12/2018,,,,,B,\"FILING_DATE=1\")":0.651,"AAL-US^FF_ASSETS_CURR_OTH(ANN_R,12/2017,,,,,B,\"FILING_DATE=1\")":0.639,"AAL-US^FF_ASSETS_CURR_OTH(ANN_R,12/2016,,,,,B,\"FILING_DATE=1\")":0.748,"AAL-US^FF_ASSETS_CURR_OTH(ANN_R,12/2015,,,,,B,\"FILING_DATE=1\")":0.898,"AAL-US^FF_ASSETS_CURR_OTH(ANN_R,12/2014,,,,,B,\"FILING_DATE=1\")":1.465,"AAL-US^FF_ASSETS_CURR_OTH(ANN_R,12/2013,,,,,B,\"FILING_DATE=1\")":0.561,"AAL-US^FF_ASSETS_CURR_OTH(ANN_R,12/2012,,,,,B,\"FILING_DATE=1\")":0.402,"AAL-US^FF_ASSETS_CURR_OTH(ANN_R,12/2011,,,,,B,\"FILING_DATE=1\")":0.56,"AAL-US^FF_ASSETS_CURR(ANN_R,12/2020,,,,,B,\"FILING_DATE=1\")":8.206,"AAL-US^FF_ASSETS_CURR(ANN_R,12/2019,,,,,B,\"FILING_DATE=1\")":8.637,"AAL-US^FF_ASSETS_CURR(ANN_R,12/2018,,,,,B,\"FILING_DATE=1\")":9.146,"AAL-US^FF_ASSETS_CURR(ANN_R,12/2017,,,,,B,\"FILING_DATE=1\")":10.324,"AAL-US^FF_ASSETS_CURR(ANN_R,12/2016,,,,,B,\"FILING_DATE=1\")":9.985,"AAL-US^FF_ASSETS_CURR(ANN_R,12/2015,,,,,B,\"FILING_DATE=1\")":11.75,"AAL-US^FF_ASSETS_CURR(ANN_R,12/2014,,,,,B,\"FILING_DATE=1\")":14.323,"AAL-US^FF_ASSETS_CURR(ANN_R,12/2013,,,,,B,\"FILING_DATE=1\")":7.072,"AAL-US^FF_ASSETS_CURR(ANN_R,12/2012,,,,,B,\"FILING_DATE=1\")":6.757,"AAL-US^FF_ASSETS_CURR(ANN_R,12/2011,,,,,B,\"FILING_DATE=1\")":6.838,"AAL-US^FF_PPE_NET(ANN_R,12/2020,,,,,B,\"FILING_DATE=1\")":43.732,"AAL-US^FF_PPE_NET(ANN_R,12/2019,,,,,B,\"FILING_DATE=1\")":43.249,"AAL-US^FF_PPE_NET(ANN_R,12/2018,,,,,B,\"FILING_DATE=1\")":34.156,"AAL-US^FF_PPE_NET(ANN_R,12/2017,,,,,B,\"FILING_DATE=1\")":31.159,"AAL-US^FF_PPE_NET(ANN_R,12/2016,,,,,B,\"FILING_DATE=1\")":27.51,"AAL-US^FF_PPE_NET(ANN_R,12/2015,,,,,B,\"FILING_DATE=1\")":23.084,"AAL-US^FF_PPE_NET(ANN_R,12/2014,,,,,B,\"FILING_DATE=1\")":19.259,"AAL-US^FF_PPE_NET(ANN_R,12/2013,,,,,B,\"FILING_DATE=1\")":13.402,"AAL-US^FF_PPE_NET(ANN_R,12/2012,,,,,B,\"FILING_DATE=1\")":14.306,"AAL-US^FF_PPE_NET(ANN_R,12/2011,,,,,B,\"FILING_DATE=1\")":14.707,"AAL-US^FF_INVEST_ADV(ANN_R,12/2020,,,,,B)":0.161,"AAL-US^FF_INVEST_ADV(ANN_R,12/2019,,,,,B)":0.204,"AAL-US^FF_INVEST_ADV(ANN_R,12/2018,,,,,B)":0.0,"AAL-US^FF_INVEST_ADV(ANN_R,12/2017,,,,,B)":0.0,"AAL-US^FF_INVEST_ADV(ANN_R,12/2016,,,,,B)":0.0,"AAL-US^FF_INVEST_ADV(ANN_R,12/2015,,,,,B)":0.0,"AAL-US^FF_INVEST_ADV(ANN_R,12/2014,,,,,B)":0.0,"AAL-US^FF_INVEST_ADV(ANN_R,12/2013,,,,,B)":0.0,"AAL-US^FF_INVEST_ADV(ANN_R,12/2012,,,,,B)":0.0,"AAL-US^FF_INVEST_ADV(ANN_R,12/2011,,,,,B)":0.0,"AAL-US^FF_INTANG_ASSETS(ANN,12/2020,,,,,B)":0.0,"AAL-US^FF_INTANG_ASSETS(ANN,12/2019,,,,,B)":0.0,"AAL-US^FF_INTANG_ASSETS(ANN,12/2018,,,,,B)":6.2279997,"AAL-US^FF_INTANG_ASSETS(ANN,12/2017,,,,,B)":6.294,"AAL-US^FF_INTANG_ASSETS(ANN,12/2016,,,,,B)":6.264,"AAL-US^FF_INTANG_ASSETS(ANN,12/2015,,,,,B)":6.3399997,"AAL-US^FF_INTANG_ASSETS(ANN,12/2014,,,,,B)":6.331,"AAL-US^FF_INTANG_ASSETS(ANN,12/2013,,,,,B)":6.397,"AAL-US^FF_INTANG_ASSETS(ANN,12/2012,,,,,B)":0.161,"AAL-US^FF_INTANG_ASSETS(ANN,12/2011,,,,,B)":0.186,"AAL-US^FF_DFD_TAX_DB(ANN_R,12/2020,,,,,B)":3.239,"AAL-US^FF_DFD_TAX_DB(ANN_R,12/2019,,,,,B)":0.645,"AAL-US^FF_DFD_TAX_DB(ANN_R,12/2018,,,,,B)":1.145,"AAL-US^FF_DFD_TAX_DB(ANN_R,12/2017,,,,,B)":1.816,"AAL-US^FF_DFD_TAX_DB(ANN_R,12/2016,,,,,B)":1.498,"AAL-US^FF_DFD_TAX_DB(ANN_R,12/2015,,,,,B)":2.477,"AAL-US^FF_DFD_TAX_DB(ANN_R,12/2014,,,,,B)":0.0,"AAL-US^FF_DFD_TAX_DB(ANN_R,12/2013,,,,,B)":null,"AAL-US^FF_DFD_TAX_DB(ANN_R,12/2012,,,,,B)":null,"AAL-US^FF_DFD_TAX_DB(ANN_R,12/2011,,,,,B)":0.0,"AAL-US^FF_ASSETS(ANN_R,12/2020,,,,,B)":62.008,"AAL-US^FF_ASSETS(ANN_R,12/2019,,,,,B)":59.995,"AAL-US^FF_ASSETS(ANN_R,12/2018,,,,,B)":60.58,"AAL-US^FF_ASSETS(ANN_R,12/2017,,,,,B)":52.785,"AAL-US^FF_ASSETS(ANN_R,12/2016,,,,,B)":51.274,"AAL-US^FF_ASSETS(ANN_R,12/2015,,,,,B)":48.415,"AAL-US^FF_ASSETS(ANN_R,12/2014,,,,,B)":43.225,"AAL-US^FF_ASSETS(ANN_R,12/2013,,,,,B)":42.278,"AAL-US^FF_ASSETS(ANN_R,12/2012,,,,,B)":23.51,"AAL-US^FF_ASSETS(ANN_R,12/2011,,,,,B)":23.848,"ALK-US^FF_DEBT_ST(ANN_R,12/2020,,,,,B,\"FILING_DATE=1\")":0.504,"ALK-US^FF_DEBT_ST(ANN_R,12/2019,,,,,B,\"FILING_DATE=1\")":0.486,"ALK-US^FF_DEBT_ST(ANN_R,12/2018,,,,,B,\"FILING_DATE=1\")":0.307,"ALK-US^FF_DEBT_ST(ANN_R,12/2017,,,,,B,\"FILING_DATE=1\")":0.319,"ALK-US^FF_DEBT_ST(ANN_R,12/2016,,,,,B,\"FILING_DATE=1\")":0.114,"ALK-US^FF_DEBT_ST(ANN_R,12/2015,,,,,B,\"FILING_DATE=1\")":0.117,"ALK-US^FF_DEBT_ST(ANN_R,12/2014,,,,,B,\"FILING_DATE=1\")":0.117,"ALK-US^FF_DEBT_ST(ANN_R,12/2013,,,,,B,\"FILING_DATE=1\")":0.161,"ALK-US^FF_DEBT_ST(ANN_R,12/2012,,,,,B,\"FILING_DATE=1\")":0.2079,"ALK-US^FF_DEBT_ST(ANN_R,12/2011,,,,,B,\"FILING_DATE=1\")":0.2212,"ALK-US^FF_PAY_ACCT(ANN_R,12/2020,,,,,B,\"FILING_DATE=1\")":0.146,"ALK-US^FF_PAY_ACCT(ANN_R,12/2019,,,,,B,\"FILING_DATE=1\")":0.132,"ALK-US^FF_PAY_ACCT(ANN_R,12/2018,,,,,B,\"FILING_DATE=1\")":0.12,"ALK-US^FF_PAY_ACCT(ANN_R,12/2017,,,,,B,\"FILING_DATE=1\")":0.092,"ALK-US^FF_PAY_ACCT(ANN_R,12/2016,,,,,B,\"FILING_DATE=1\")":0.063,"ALK-US^FF_PAY_ACCT(ANN_R,12/2015,,,,,B,\"FILING_DATE=1\")":0.062,"ALK-US^FF_PAY_ACCT(ANN_R,12/2014,,,,,B,\"FILING_DATE=1\")":0.064,"ALK-US^FF_PAY_ACCT(ANN_R,12/2013,,,,,B,\"FILING_DATE=1\")":0.065,"ALK-US^FF_PAY_ACCT(ANN_R,12/2012,,,,,B,\"FILING_DATE=1\")":0.1036,"ALK-US^FF_PAY_ACCT(ANN_R,12/2011,,,,,B,\"FILING_DATE=1\")":0.0602,"ALK-US^FF_INC_PAY_TAX(ANN_R,12/2020,,,,,B,\"FILING_DATE=1\")":"#NUM","ALK-US^FF_INC_PAY_TAX(ANN_R,12/2019,,,,,B,\"FILING_DATE=1\")":"#NUM","ALK-US^FF_INC_PAY_TAX(ANN_R,12/2018,,,,,B,\"FILING_DATE=1\")":"#NUM","ALK-US^FF_INC_PAY_TAX(ANN_R,12/2017,,,,,B,\"FILING_DATE=1\")":"#NUM","ALK-US^FF_INC_PAY_TAX(ANN_R,12/2016,,,,,B,\"FILING_DATE=1\")":"#NUM","ALK-US^FF_INC_PAY_TAX(ANN_R,12/2015,,,,,B,\"FILING_DATE=1\")":"#NUM","ALK-US^FF_INC_PAY_TAX(ANN_R,12/2014,,,,,B,\"FILING_DATE=1\")":"#NUM","ALK-US^FF_INC_PAY_TAX(ANN_R,12/2013,,,,,B,\"FILING_DATE=1\")":"#NUM","ALK-US^FF_INC_PAY_TAX(ANN_R,12/2012,,,,,B,\"FILING_DATE=1\")":"#NUM","ALK-US^FF_INC_PAY_TAX(ANN_R,12/2011,,,,,B,\"FILING_DATE=1\")":"#NUM","ALK-US^FF_LIABS_CURR_OTH(ANN_R,12/2020,,,,,B,\"FILING_DATE=1\")":2.551,"ALK-US^FF_LIABS_CURR_OTH(ANN_R,12/2019,,,,,B,\"FILING_DATE=1\")":2.324,"ALK-US^FF_LIABS_CURR_OTH(ANN_R,12/2018,,,,,B,\"FILING_DATE=1\")":2.259,"ALK-US^FF_LIABS_CURR_OTH(ANN_R,12/2017,,,,,B,\"FILING_DATE=1\")":2.124,"ALK-US^FF_LIABS_CURR_OTH(ANN_R,12/2016,,,,,B,\"FILING_DATE=1\")":1.628,"ALK-US^FF_LIABS_CURR_OTH(ANN_R,12/2015,,,,,B,\"FILING_DATE=1\")":1.492,"ALK-US^FF_LIABS_CURR_OTH(ANN_R,12/2014,,,,,B,\"FILING_DATE=1\")":1.399,"ALK-US^FF_LIABS_CURR_OTH(ANN_R,12/2013,,,,,B,\"FILING_DATE=1\")":1.275,"ALK-US^FF_LIABS_CURR_OTH(ANN_R,12/2012,,,,,B,\"FILING_DATE=1\")":1.1981,"ALK-US^FF_LIABS_CURR_OTH(ANN_R,12/2011,,,,,B,\"FILING_DATE=1\")":1.1433,"ALK-US^FF_LIABS_CURR(ANN_R,12/2020,,,,,B,\"FILING_DATE=1\")":3.201,"ALK-US^FF_LIABS_CURR(ANN_R,12/2019,,,,,B,\"FILING_DATE=1\")":2.942,"ALK-US^FF_LIABS_CURR(ANN_R,12/2018,,,,,B,\"FILING_DATE=1\")":2.686,"ALK-US^FF_LIABS_CURR(ANN_R,12/2017,,,,,B,\"FILING_DATE=1\")":2.535,"ALK-US^FF_LIABS_CURR(ANN_R,12/2016,,,,,B,\"FILING_DATE=1\")":1.805,"ALK-US^FF_LIABS_CURR(ANN_R,12/2015,,,,,B,\"FILING_DATE=1\")":1.671,"ALK-US^FF_LIABS_CURR(ANN_R,12/2014,,,,,B,\"FILING_DATE=1\")":1.58,"ALK-US^FF_LIABS_CURR(ANN_R,12/2013,,,,,B,\"FILING_DATE=1\")":1.501,"ALK-US^FF_LIABS_CURR(ANN_R,12/2012,,,,,B,\"FILING_DATE=1\")":1.5096,"ALK-US^FF_LIABS_CURR(ANN_R,12/2011,,,,,B,\"FILING_DATE=1\")":1.4247,"ALK-US^FF_DEBT_LT(ANN_R,12/2020,,,,,B,\"FILING_DATE=1\")":2.703,"ALK-US^FF_DEBT_LT(ANN_R,12/2019,,,,,B,\"FILING_DATE=1\")":1.617,"ALK-US^FF_DEBT_LT(ANN_R,12/2018,,,,,B,\"FILING_DATE=1\")":2.262,"ALK-US^FF_DEBT_LT(ANN_R,12/2017,,,,,B,\"FILING_DATE=1\")":2.645,"ALK-US^FF_DEBT_LT(ANN_R,12/2016,,,,,B,\"FILING_DATE=1\")":0.569,"ALK-US^FF_DEBT_LT(ANN_R,12/2015,,,,,B,\"FILING_DATE=1\")":0.686,"ALK-US^FF_DEBT_LT(ANN_R,12/2014,,,,,B,\"FILING_DATE=1\")":0.754,"ALK-US^FF_DEBT_LT(ANN_R,12/2013,,,,,B,\"FILING_DATE=1\")":0.871,"ALK-US^FF_DEBT_LT(ANN_R,12/2012,,,,,B,\"FILING_DATE=1\")":1.099,"ALK-US^FF_DEBT_LT(ANN_R,12/2011,,,,,B,\"FILING_DATE=1\")":1.313,"ALK-US^FF_CASH_ST(ANN_R,12/2020,,,,,B,\"FILING_DATE=1\")":1.521,"ALK-US^FF_CASH_ST(ANN_R,12/2019,,,,,B,\"FILING_DATE=1\")":1.236,"ALK-US^FF_CASH_ST(ANN_R,12/2018,,,,,B,\"FILING_DATE=1\")":1.621,"ALK-US^FF_CASH_ST(ANN_R,12/2017,,,,,B,\"FILING_DATE=1\")":1.58,"ALK-US^FF_CASH_ST(ANN_R,12/2016,,,,,B,\"FILING_DATE=1\")":1.328,"ALK-US^FF_CASH_ST(ANN_R,12/2015,,,,,B,\"FILING_DATE=1\")":1.217,"ALK-US^FF_CASH_ST(ANN_R,12/2014,,,,,B,\"FILING_DATE=1\")":1.342,"ALK-US^FF_CASH_ST(ANN_R,12/2013,,,,,B,\"FILING_DATE=1\")":1.278,"ALK-US^FF_CASH_ST(ANN_R,12/2012,,,,,B,\"FILING_DATE=1\")":1.1876,"ALK-US^FF_CASH_ST(ANN_R,12/2011,,,,,B,\"FILING_DATE=1\")":1.2696,"ALK-US^FF_RECEIV_ST(ANN_R,12/2020,,,,,B)":0.48,"ALK-US^FF_RECEIV_ST(ANN_R,12/2019,,,,,B)":0.323,"ALK-US^FF_RECEIV_ST(ANN_R,12/2018,,,,,B)":0.366,"ALK-US^FF_RECEIV_ST(ANN_R,12/2017,,,,,B)":0.341,"ALK-US^FF_RECEIV_ST(ANN_R,12/2016,,,,,B)":0.302,"ALK-US^FF_RECEIV_ST(ANN_R,12/2015,,,,,B)":0.212,"ALK-US^FF_RECEIV_ST(ANN_R,12/2014,,,,,B)":0.259,"ALK-US^FF_RECEIV_ST(ANN_R,12/2013,,,,,B)":0.152,"ALK-US^FF_RECEIV_ST(ANN_R,12/2012,,,,,B)":0.13,"ALK-US^FF_RECEIV_ST(ANN_R,12/2011,,,,,B)":0.1364,"ALK-US^FF_INVEN(ANN_R,12/2020,,,,,B)":0.057,"ALK-US^FF_INVEN(ANN_R,12/2019,,,,,B)":0.072,"ALK-US^FF_INVEN(ANN_R,12/2018,,,,,B)":0.06,"ALK-US^FF_INVEN(ANN_R,12/2017,,,,,B)":0.057,"ALK-US^FF_INVEN(ANN_R,12/2016,,,,,B)":0.047,"ALK-US^FF_INVEN(ANN_R,12/2015,,,,,B)":0.051,"ALK-US^FF_INVEN(ANN_R,12/2014,,,,,B)":0.058,"ALK-US^FF_INVEN(ANN_R,12/2013,,,,,B)":0.06,"ALK-US^FF_INVEN(ANN_R,12/2012,,,,,B)":0.058,"ALK-US^FF_INVEN(ANN_R,12/2011,,,,,B)":0.0443,"ALK-US^FF_ASSETS_CURR_OTH(ANN_R,12/2020,,,,,B,\"FILING_DATE=1\")":0.121,"ALK-US^FF_ASSETS_CURR_OTH(ANN_R,12/2019,,,,,B,\"FILING_DATE=1\")":0.125,"ALK-US^FF_ASSETS_CURR_OTH(ANN_R,12/2018,,,,,B,\"FILING_DATE=1\")":0.133,"ALK-US^FF_ASSETS_CURR_OTH(ANN_R,12/2017,,,,,B,\"FILING_DATE=1\")":0.121,"ALK-US^FF_ASSETS_CURR_OTH(ANN_R,12/2016,,,,,B,\"FILING_DATE=1\")":0.072,"ALK-US^FF_ASSETS_CURR_OTH(ANN_R,12/2015,,,,,B,\"FILING_DATE=1\")":0.222,"ALK-US^FF_ASSETS_CURR_OTH(ANN_R,12/2014,,,,,B,\"FILING_DATE=1\")":0.208,"ALK-US^FF_ASSETS_CURR_OTH(ANN_R,12/2013,,,,,B,\"FILING_DATE=1\")":0.271,"ALK-US^FF_ASSETS_CURR_OTH(ANN_R,12/2012,,,,,B,\"FILING_DATE=1\")":0.2272,"ALK-US^FF_ASSETS_CURR_OTH(ANN_R,12/2011,,,,,B,\"FILING_DATE=1\")":0.2272,"ALK-US^FF_ASSETS_CURR(ANN_R,12/2020,,,,,B,\"FILING_DATE=1\")":2.037,"ALK-US^FF_ASSETS_CURR(ANN_R,12/2019,,,,,B,\"FILING_DATE=1\")":1.787,"ALK-US^FF_ASSETS_CURR(ANN_R,12/2018,,,,,B,\"FILING_DATE=1\")":2.152,"ALK-US^FF_ASSETS_CURR(ANN_R,12/2017,,,,,B,\"FILING_DATE=1\")":2.05,"ALK-US^FF_ASSETS_CURR(ANN_R,12/2016,,,,,B,\"FILING_DATE=1\")":1.663,"ALK-US^FF_ASSETS_CURR(ANN_R,12/2015,,,,,B,\"FILING_DATE=1\")":1.756,"ALK-US^FF_ASSETS_CURR(ANN_R,12/2014,,,,,B,\"FILING_DATE=1\")":1.762,"ALK-US^FF_ASSETS_CURR(ANN_R,12/2013,,,,,B,\"FILING_DATE=1\")":1.737,"ALK-US^FF_ASSETS_CURR(ANN_R,12/2012,,,,,B,\"FILING_DATE=1\")":1.5955,"ALK-US^FF_ASSETS_CURR(ANN_R,12/2011,,,,,B,\"FILING_DATE=1\")":1.662,"ALK-US^FF_PPE_NET(ANN_R,12/2020,,,,,B,\"FILING_DATE=1\")":8.613,"ALK-US^FF_PPE_NET(ANN_R,12/2019,,,,,B,\"FILING_DATE=1\")":6.781,"ALK-US^FF_PPE_NET(ANN_R,12/2018,,,,,B,\"FILING_DATE=1\")":6.284,"ALK-US^FF_PPE_NET(ANN_R,12/2017,,,,,B,\"FILING_DATE=1\")":5.666,"ALK-US^FF_PPE_NET(ANN_R,12/2016,,,,,B,\"FILING_DATE=1\")":4.802,"ALK-US^FF_PPE_NET(ANN_R,12/2015,,,,,B,\"FILING_DATE=1\")":4.299,"ALK-US^FF_PPE_NET(ANN_R,12/2014,,,,,B,\"FILING_DATE=1\")":3.893,"ALK-US^FF_PPE_NET(ANN_R,12/2013,,,,,B,\"FILING_DATE=1\")":3.609,"ALK-US^FF_PPE_NET(ANN_R,12/2012,,,,,B,\"FILING_DATE=1\")":3.4015,"ALK-US^FF_PPE_NET(ANN_R,12/2011,,,,,B,\"FILING_DATE=1\")":3.1171,"ALK-US^FF_INVEST_ADV(ANN_R,12/2020,,,,,B)":0.02,"ALK-US^FF_INVEST_ADV(ANN_R,12/2019,,,,,B)":0.016,"ALK-US^FF_INVEST_ADV(ANN_R,12/2018,,,,,B)":0.018,"ALK-US^FF_INVEST_ADV(ANN_R,12/2017,,,,,B)":0.014,"ALK-US^FF_INVEST_ADV(ANN_R,12/2016,,,,,B)":0.003,"ALK-US^FF_INVEST_ADV(ANN_R,12/2015,,,,,B)":0.0,"ALK-US^FF_INVEST_ADV(ANN_R,12/2014,,,,,B)":0.004,"ALK-US^FF_INVEST_ADV(ANN_R,12/2013,,,,,B)":0.004,"ALK-US^FF_INVEST_ADV(ANN_R,12/2012,,,,,B)":0.039,"ALK-US^FF_INVEST_ADV(ANN_R,12/2011,,,,,B)":0.1532,"ALK-US^FF_INTANG_ASSETS(ANN,12/2020,,,,,B)":0.0,"ALK-US^FF_INTANG_ASSETS(ANN,12/2019,,,,,B)":0.0,"ALK-US^FF_INTANG_ASSETS(ANN,12/2018,,,,,B)":2.07,"ALK-US^FF_INTANG_ASSETS(ANN,12/2017,,,,,B)":2.076,"ALK-US^FF_INTANG_ASSETS(ANN,12/2016,,,,,B)":2.077,"ALK-US^FF_INTANG_ASSETS(ANN,12/2015,,,,,B)":0.0,"ALK-US^FF_INTANG_ASSETS(ANN,12/2014,,,,,B)":0.0,"ALK-US^FF_INTANG_ASSETS(ANN,12/2013,,,,,B)":0.0,"ALK-US^FF_INTANG_ASSETS(ANN,12/2012,,,,,B)":0.0,"ALK-US^FF_INTANG_ASSETS(ANN,12/2011,,,,,B)":0.0,"ALK-US^FF_DFD_TAX_DB(ANN_R,12/2020,,,,,B)":1.182,"ALK-US^FF_DFD_TAX_DB(ANN_R,12/2019,,,,,B)":1.008,"ALK-US^FF_DFD_TAX_DB(ANN_R,12/2018,,,,,B)":0.612,"ALK-US^FF_DFD_TAX_DB(ANN_R,12/2017,,,,,B)":0.696,"ALK-US^FF_DFD_TAX_DB(ANN_R,12/2016,,,,,B)":null,"ALK-US^FF_DFD_TAX_DB(ANN_R,12/2015,,,,,B)":null,"ALK-US^FF_DFD_TAX_DB(ANN_R,12/2014,,,,,B)":null,"ALK-US^FF_DFD_TAX_DB(ANN_R,12/2013,,,,,B)":null,"ALK-US^FF_DFD_TAX_DB(ANN_R,12/2012,,,,,B)":null,"ALK-US^FF_DFD_TAX_DB(ANN_R,12/2011,,,,,B)":null,"ALK-US^FF_ASSETS(ANN_R,12/2020,,,,,B)":15.228,"ALK-US^FF_ASSETS(ANN_R,12/2019,,,,,B)":14.001,"ALK-US^FF_ASSETS(ANN_R,12/2018,,,,,B)":11.524,"ALK-US^FF_ASSETS(ANN_R,12/2017,,,,,B)":11.442,"ALK-US^FF_ASSETS(ANN_R,12/2016,,,,,B)":9.962,"ALK-US^FF_ASSETS(ANN_R,12/2015,,,,,B)":6.53,"ALK-US^FF_ASSETS(ANN_R,12/2014,,,,,B)":6.181,"ALK-US^FF_ASSETS(ANN_R,12/2013,,,,,B)":5.838,"ALK-US^FF_ASSETS(ANN_R,12/2012,,,,,B)":5.505,"ALK-US^FF_ASSETS(ANN_R,12/2011,,,,,B)":5.195,"ALK-US^FF_PROV_RISK(ANN_R,12/2020,,,,,B)":0.665,"ALK-US^FF_PROV_RISK(ANN_R,12/2019,,,,,B)":0.571,"ALK-US^FF_PROV_RISK(ANN_R,12/2018,,,,,B)":0.503,"ALK-US^FF_PROV_RISK(ANN_R,12/2017,,,,,B)":0.453,"ALK-US^FF_PROV_RISK(ANN_R,12/2016,,,,,B)":0.331,"ALK-US^FF_PROV_RISK(ANN_R,12/2015,,,,,B)":0.27,"ALK-US^FF_PROV_RISK(ANN_R,12/2014,,,,,B)":0.246,"ALK-US^FF_PROV_RISK(ANN_R,12/2013,,,,,B)":0.123,"ALK-US^FF_PROV_RISK(ANN_R,12/2012,,,,,B)":0.489,"ALK-US^FF_PROV_RISK(ANN_R,12/2011,,,,,B)":0.4634,"ALK-US^FF_DFD_TAX_CR(ANN_R,12/2020,,,,,B,\"FILING_DATE=1\")":1.723,"ALK-US^FF_DFD_TAX_CR(ANN_R,12/2019,,,,,B,\"FILING_DATE=1\")":1.124,"ALK-US^FF_DFD_TAX_CR(ANN_R,12/2018,,,,,B,\"FILING_DATE=1\")":1.066,"ALK-US^FF_DFD_TAX_CR(ANN_R,12/2017,,,,,B,\"FILING_DATE=1\")":0.463,"ALK-US^FF_DFD_TAX_CR(ANN_R,12/2016,,,,,B,\"FILING_DATE=1\")":0.682,"ALK-US^FF_DFD_TAX_CR(ANN_R,12/2015,,,,,B,\"FILING_DATE=1\")":0.75,"ALK-US^FF_DFD_TAX_CR(ANN_R,12/2014,,,,,B,\"FILING_DATE=1\")":0.709,"ALK-US^FF_DFD_TAX_CR(ANN_R,12/2013,,,,,B,\"FILING_DATE=1\")":0.446,"ALK-US^FF_DFD_TAX_CR(ANN_R,12/2012,,,,,B,\"FILING_DATE=1\")":0.3629,"ALK-US^FF_DFD_TAX_CR(ANN_R,12/2011,,,,,B,\"FILING_DATE=1\")":0.2799,"ALK-US^FF_LIABS_OTH(ANN_R,12/2020,,,,,B,\"FILING_DATE=1\")":1.472,"ALK-US^FF_LIABS_OTH(ANN_R,12/2019,,,,,B,\"FILING_DATE=1\")":1.587,"ALK-US^FF_LIABS_OTH(ANN_R,12/2018,,,,,B,\"FILING_DATE=1\")":1.515,"ALK-US^FF_LIABS_OTH(ANN_R,12/2017,,,,,B,\"FILING_DATE=1\")":1.057,"ALK-US^FF_LIABS_OTH(ANN_R,12/2016,,,,,B,\"FILING_DATE=1\")":0.793,"ALK-US^FF_LIABS_OTH(ANN_R,12/2015,,,,,B,\"FILING_DATE=1\")":0.701,"ALK-US^FF_LIABS_OTH(ANN_R,12/2014,,,,,B,\"FILING_DATE=1\")":0.643,"ALK-US^FF_LIABS_OTH(ANN_R,12/2013,,,,,B,\"FILING_DATE=1\")":0.777,"ALK-US^FF_LIABS_OTH(ANN_R,12/2012,,,,,B,\"FILING_DATE=1\")":0.5869,"ALK-US^FF_LIABS_OTH(ANN_R,12/2011,,,,,B,\"FILING_DATE=1\")":0.5265,"ALK-US^FF_LIABS(ANN_R,12/2020,,,,,B)":12.24,"ALK-US^FF_LIABS(ANN_R,12/2019,,,,,B)":9.67,"ALK-US^FF_LIABS(ANN_R,12/2018,,,,,B)":7.773,"ALK-US^FF_LIABS(ANN_R,12/2017,,,,,B)":7.982,"ALK-US^FF_LIABS(ANN_R,12/2016,,,,,B)":7.031,"ALK-US^FF_LIABS(ANN_R,12/2015,,,,,B)":4.119,"ALK-US^FF_LIABS(ANN_R,12/2014,,,,,B)":4.054,"ALK-US^FF_LIABS(ANN_R,12/2013,,,,,B)":3.809,"ALK-US^FF_LIABS(ANN_R,12/2012,,,,,B)":4.084,"ALK-US^FF_LIABS(ANN_R,12/2011,,,,,B)":4.0218,"SKYW-US^FF_DEBT_ST(ANN_R,12/2020,,,,,B,\"FILING_DATE=1\")":0.458932,"SKYW-US^FF_DEBT_ST(ANN_R,12/2019,,,,,B,\"FILING_DATE=1\")":0.350206,"SKYW-US^FF_DEBT_ST(ANN_R,12/2018,,,,,B,\"FILING_DATE=1\")":0.309678,"SKYW-US^FF_DEBT_ST(ANN_R,12/2017,,,,,B,\"FILING_DATE=1\")":0.30546,"SKYW-US^FF_DEBT_ST(ANN_R,12/2016,,,,,B,\"FILING_DATE=1\")":0.268667,"SKYW-US^FF_DEBT_ST(ANN_R,12/2015,,,,,B,\"FILING_DATE=1\")":0.211821,"SKYW-US^FF_DEBT_ST(ANN_R,12/2014,,,,,B,\"FILING_DATE=1\")":0.177389,"SKYW-US^FF_DEBT_ST(ANN_R,12/2013,,,,,B,\"FILING_DATE=1\")":0.171454,"SKYW-US^FF_DEBT_ST(ANN_R,12/2012,,,,,B,\"FILING_DATE=1\")":0.208398,"SKYW-US^FF_DEBT_ST(ANN_R,12/2011,,,,,B,\"FILING_DATE=1\")":0.159039,"SKYW-US^FF_PAY_ACCT(ANN_R,12/2020,,,,,B,\"FILING_DATE=1\")":0.284473,"SKYW-US^FF_PAY_ACCT(ANN_R,12/2019,,,,,B,\"FILING_DATE=1\")":0.331982,"SKYW-US^FF_PAY_ACCT(ANN_R,12/2018,,,,,B,\"FILING_DATE=1\")":0.288904,"SKYW-US^FF_PAY_ACCT(ANN_R,12/2017,,,,,B,\"FILING_DATE=1\")":0.241215,"SKYW-US^FF_PAY_ACCT(ANN_R,12/2016,,,,,B,\"FILING_DATE=1\")":0.279864,"SKYW-US^FF_PAY_ACCT(ANN_R,12/2015,,,,,B,\"FILING_DATE=1\")":0.270097,"SKYW-US^FF_PAY_ACCT(ANN_R,12/2014,,,,,B,\"FILING_DATE=1\")":0.245518,"SKYW-US^FF_PAY_ACCT(ANN_R,12/2013,,,,,B,\"FILING_DATE=1\")":0.222671,"SKYW-US^FF_PAY_ACCT(ANN_R,12/2012,,,,,B,\"FILING_DATE=1\")":0.220784,"SKYW-US^FF_PAY_ACCT(ANN_R,12/2011,,,,,B,\"FILING_DATE=1\")":0.20649,"SKYW-US^FF_INC_PAY_TAX(ANN_R,12/2020,,,,,B,\"FILING_DATE=1\")":"#NUM","SKYW-US^FF_INC_PAY_TAX(ANN_R,12/2019,,,,,B,\"FILING_DATE=1\")":"#NUM","SKYW-US^FF_INC_PAY_TAX(ANN_R,12/2018,,,,,B,\"FILING_DATE=1\")":"#NUM","SKYW-US^FF_INC_PAY_TAX(ANN_R,12/2017,,,,,B,\"FILING_DATE=1\")":"#NUM","SKYW-US^FF_INC_PAY_TAX(ANN_R,12/2016,,,,,B,\"FILING_DATE=1\")":"#NUM","SKYW-US^FF_INC_PAY_TAX(ANN_R,12/2015,,,,,B,\"FILING_DATE=1\")":"#NUM","SKYW-US^FF_INC_PAY_TAX(ANN_R,12/2014,,,,,B,\"FILING_DATE=1\")":"#NUM","SKYW-US^FF_INC_PAY_TAX(ANN_R,12/2013,,,,,B,\"FILING_DATE=1\")":"#NUM","SKYW-US^FF_INC_PAY_TAX(ANN_R,12/2012,,,,,B,\"FILING_DATE=1\")":"#NUM","SKYW-US^FF_INC_PAY_TAX(ANN_R,12/2011,,,,,B,\"FILING_DATE=1\")":"#NUM","SKYW-US^FF_LIABS_CURR_OTH(ANN_R,12/2020,,,,,B,\"FILING_DATE=1\")":0.181271,"SKYW-US^FF_LIABS_CURR_OTH(ANN_R,12/2019,,,,,B,\"FILING_DATE=1\")":0.242638,"SKYW-US^FF_LIABS_CURR_OTH(ANN_R,12/2018,,,,,B,\"FILING_DATE=1\")":0.222243,"SKYW-US^FF_LIABS_CURR_OTH(ANN_R,12/2017,,,,,B,\"FILING_DATE=1\")":0.20059,"SKYW-US^FF_LIABS_CURR_OTH(ANN_R,12/2016,,,,,B,\"FILING_DATE=1\")":0.199495,"SKYW-US^FF_LIABS_CURR_OTH(ANN_R,12/2015,,,,,B,\"FILING_DATE=1\")":0.202437,"SKYW-US^FF_LIABS_CURR_OTH(ANN_R,12/2014,,,,,B,\"FILING_DATE=1\")":0.197557,"SKYW-US^FF_LIABS_CURR_OTH(ANN_R,12/2013,,,,,B,\"FILING_DATE=1\")":0.196045,"SKYW-US^FF_LIABS_CURR_OTH(ANN_R,12/2012,,,,,B,\"FILING_DATE=1\")":0.17378,"SKYW-US^FF_LIABS_CURR_OTH(ANN_R,12/2011,,,,,B,\"FILING_DATE=1\")":0.171965,"SKYW-US^FF_LIABS_CURR(ANN_R,12/2020,,,,,B,\"FILING_DATE=1\")":0.924676,"SKYW-US^FF_LIABS_CURR(ANN_R,12/2019,,,,,B,\"FILING_DATE=1\")":0.924826,"SKYW-US^FF_LIABS_CURR(ANN_R,12/2018,,,,,B,\"FILING_DATE=1\")":0.820825,"SKYW-US^FF_LIABS_CURR(ANN_R,12/2017,,,,,B,\"FILING_DATE=1\")":0.747265,"SKYW-US^FF_LIABS_CURR(ANN_R,12/2016,,,,,B,\"FILING_DATE=1\")":0.748026,"SKYW-US^FF_LIABS_CURR(ANN_R,12/2015,,,,,B,\"FILING_DATE=1\")":0.684355,"SKYW-US^FF_LIABS_CURR(ANN_R,12/2014,,,,,B,\"FILING_DATE=1\")":0.620464,"SKYW-US^FF_LIABS_CURR(ANN_R,12/2013,,,,,B,\"FILING_DATE=1\")":0.591425,"SKYW-US^FF_LIABS_CURR(ANN_R,12/2012,,,,,B,\"FILING_DATE=1\")":0.624148,"SKYW-US^FF_LIABS_CURR(ANN_R,12/2011,,,,,B,\"FILING_DATE=1\")":0.56264,"SKYW-US^FF_DEBT_LT(ANN_R,12/2020,,,,,B,\"FILING_DATE=1\")":2.888226,"SKYW-US^FF_DEBT_LT(ANN_R,12/2019,,,,,B,\"FILING_DATE=1\")":2.809768,"SKYW-US^FF_DEBT_LT(ANN_R,12/2018,,,,,B,\"FILING_DATE=1\")":2.377346,"SKYW-US^FF_DEBT_LT(ANN_R,12/2017,,,,,B,\"FILING_DATE=1\")":2.240051,"SKYW-US^FF_DEBT_LT(ANN_R,12/2016,,,,,B,\"FILING_DATE=1\")":1.659234,"SKYW-US^FF_DEBT_LT(ANN_R,12/2015,,,,,B,\"FILING_DATE=1\")":1.53399,"SKYW-US^FF_DEBT_LT(ANN_R,12/2014,,,,,B,\"FILING_DATE=1\")":1.293179,"SKYW-US^FF_DEBT_LT(ANN_R,12/2013,,,,,B,\"FILING_DATE=1\")":1.470568,"SKYW-US^FF_DEBT_LT(ANN_R,12/2012,,,,,B,\"FILING_DATE=1\")":1.606993,"SKYW-US^FF_DEBT_LT(ANN_R,12/2011,,,,,B,\"FILING_DATE=1\")":1.738936,"SKYW-US^FF_CASH_ST(ANN_R,12/2020,,,,,B,\"FILING_DATE=1\")":0.520172,"SKYW-US^FF_CASH_ST(ANN_R,12/2019,,,,,B,\"FILING_DATE=1\")":0.689329,"SKYW-US^FF_CASH_ST(ANN_R,12/2018,,,,,B,\"FILING_DATE=1\")":0.685295,"SKYW-US^FF_CASH_ST(ANN_R,12/2017,,,,,B,\"FILING_DATE=1\")":0.564907,"SKYW-US^FF_CASH_ST(ANN_R,12/2016,,,,,B,\"FILING_DATE=1\")":0.497919,"SKYW-US^FF_CASH_ST(ANN_R,12/2015,,,,,B,\"FILING_DATE=1\")":0.55913,"SKYW-US^FF_CASH_ST(ANN_R,12/2014,,,,,B,\"FILING_DATE=1\")":0.670094,"SKYW-US^FF_CASH_ST(ANN_R,12/2013,,,,,B,\"FILING_DATE=1\")":0.709442,"SKYW-US^FF_CASH_ST(ANN_R,12/2012,,,,,B,\"FILING_DATE=1\")":0.646512,"SKYW-US^FF_CASH_ST(ANN_R,12/2011,,,,,B,\"FILING_DATE=1\")":0.804852,"SKYW-US^FF_RECEIV_ST(ANN_R,12/2020,,,,,B)":0.038378,"SKYW-US^FF_RECEIV_ST(ANN_R,12/2019,,,,,B)":0.094118,"SKYW-US^FF_RECEIV_ST(ANN_R,12/2018,,,,,B)":0.09013,"SKYW-US^FF_RECEIV_ST(ANN_R,12/2017,,,,,B)":0.048047,"SKYW-US^FF_RECEIV_ST(ANN_R,12/2016,,,,,B)":0.053905,"SKYW-US^FF_RECEIV_ST(ANN_R,12/2015,,,,,B)":0.065033,"SKYW-US^FF_RECEIV_ST(ANN_R,12/2014,,,,,B)":0.085878,"SKYW-US^FF_RECEIV_ST(ANN_R,12/2013,,,,,B)":0.112026,"SKYW-US^FF_RECEIV_ST(ANN_R,12/2012,,,,,B)":0.081102,"SKYW-US^FF_RECEIV_ST(ANN_R,12/2011,,,,,B)":0.132078,"SKYW-US^FF_INVEN(ANN_R,12/2020,,,,,B)":0.091196,"SKYW-US^FF_INVEN(ANN_R,12/2019,,,,,B)":0.110503,"SKYW-US^FF_INVEN(ANN_R,12/2018,,,,,B)":0.12769,"SKYW-US^FF_INVEN(ANN_R,12/2017,,,,,B)":0.119755,"SKYW-US^FF_INVEN(ANN_R,12/2016,,,,,B)":0.118509,"SKYW-US^FF_INVEN(ANN_R,12/2015,,,,,B)":0.140312,"SKYW-US^FF_INVEN(ANN_R,12/2014,,,,,B)":0.137452,"SKYW-US^FF_INVEN(ANN_R,12/2013,,,,,B)":0.138094,"SKYW-US^FF_INVEN(ANN_R,12/2012,,,,,B)":0.113581,"SKYW-US^FF_INVEN(ANN_R,12/2011,,,,,B)":0.115211,"SKYW-US^FF_ASSETS_CURR_OTH(ANN_R,12/2020,,,,,B,\"FILING_DATE=1\")":0.035553,"SKYW-US^FF_ASSETS_CURR_OTH(ANN_R,12/2019,,,,,B,\"FILING_DATE=1\")":0.113645,"SKYW-US^FF_ASSETS_CURR_OTH(ANN_R,12/2018,,,,,B,\"FILING_DATE=1\")":0.142036,"SKYW-US^FF_ASSETS_CURR_OTH(ANN_R,12/2017,,,,,B,\"FILING_DATE=1\")":0.180471,"SKYW-US^FF_ASSETS_CURR_OTH(ANN_R,12/2016,,,,,B,\"FILING_DATE=1\")":0.314306,"SKYW-US^FF_ASSETS_CURR_OTH(ANN_R,12/2015,,,,,B,\"FILING_DATE=1\")":0.508543,"SKYW-US^FF_ASSETS_CURR_OTH(ANN_R,12/2014,,,,,B,\"FILING_DATE=1\")":0.544223,"SKYW-US^FF_ASSETS_CURR_OTH(ANN_R,12/2013,,,,,B,\"FILING_DATE=1\")":0.480915,"SKYW-US^FF_ASSETS_CURR_OTH(ANN_R,12/2012,,,,,B,\"FILING_DATE=1\")":0.386663,"SKYW-US^FF_ASSETS_CURR_OTH(ANN_R,12/2011,,,,,B,\"FILING_DATE=1\")":0.344578,"SKYW-US^FF_ASSETS_CURR(ANN_R,12/2020,,,,,B,\"FILING_DATE=1\")":0.760346,"SKYW-US^FF_ASSETS_CURR(ANN_R,12/2019,,,,,B,\"FILING_DATE=1\")":1.020794,"SKYW-US^FF_ASSETS_CURR(ANN_R,12/2018,,,,,B,\"FILING_DATE=1\")":0.995133,"SKYW-US^FF_ASSETS_CURR(ANN_R,12/2017,,,,,B,\"FILING_DATE=1\")":0.917792,"SKYW-US^FF_ASSETS_CURR(ANN_R,12/2016,,,,,B,\"FILING_DATE=1\")":1.01757,"SKYW-US^FF_ASSETS_CURR(ANN_R,12/2015,,,,,B,\"FILING_DATE=1\")":1.291003,"SKYW-US^FF_ASSETS_CURR(ANN_R,12/2014,,,,,B,\"FILING_DATE=1\")":1.464437,"SKYW-US^FF_ASSETS_CURR(ANN_R,12/2013,,,,,B,\"FILING_DATE=1\")":1.38504,"SKYW-US^FF_ASSETS_CURR(ANN_R,12/2012,,,,,B,\"FILING_DATE=1\")":1.280464,"SKYW-US^FF_ASSETS_CURR(ANN_R,12/2011,,,,,B,\"FILING_DATE=1\")":1.369565,"SKYW-US^FF_PPE_NET(ANN_R,12/2020,,,,,B,\"FILING_DATE=1\")":5.73069,"SKYW-US^FF_PPE_NET(ANN_R,12/2019,,,,,B,\"FILING_DATE=1\")":5.005744,"SKYW-US^FF_PPE_NET(ANN_R,12/2018,,,,,B,\"FILING_DATE=1\")":4.183003,"SKYW-US^FF_PPE_NET(ANN_R,12/2017,,,,,B,\"FILING_DATE=1\")":3.821697,"SKYW-US^FF_PPE_NET(ANN_R,12/2016,,,,,B,\"FILING_DATE=1\")":3.470747,"SKYW-US^FF_PPE_NET(ANN_R,12/2015,,,,,B,\"FILING_DATE=1\")":3.021188,"SKYW-US^FF_PPE_NET(ANN_R,12/2014,,,,,B,\"FILING_DATE=1\")":2.651793,"SKYW-US^FF_PPE_NET(ANN_R,12/2013,,,,,B,\"FILING_DATE=1\")":2.710996,"SKYW-US^FF_PPE_NET(ANN_R,12/2012,,,,,B,\"FILING_DATE=1\")":2.883475,"SKYW-US^FF_PPE_NET(ANN_R,12/2011,,,,,B,\"FILING_DATE=1\")":2.942819,"SKYW-US^FF_INVEST_ADV(ANN_R,12/2020,,,,,B)":0.0255,"SKYW-US^FF_INVEST_ADV(ANN_R,12/2019,,,,,B)":0.0239,"SKYW-US^FF_INVEST_ADV(ANN_R,12/2018,,,,,B)":0.0,"SKYW-US^FF_INVEST_ADV(ANN_R,12/2017,,,,,B)":0.0,"SKYW-US^FF_INVEST_ADV(ANN_R,12/2016,,,,,B)":0.0,"SKYW-US^FF_INVEST_ADV(ANN_R,12/2015,,,,,B)":0.0023,"SKYW-US^FF_INVEST_ADV(ANN_R,12/2014,,,,,B)":0.002309,"SKYW-US^FF_INVEST_ADV(ANN_R,12/2013,,,,,B)":0.0213,"SKYW-US^FF_INVEST_ADV(ANN_R,12/2012,,,,,B)":0.005544,"SKYW-US^FF_INVEST_ADV(ANN_R,12/2011,,,,,B)":0.0038,"SKYW-US^FF_INTANG_ASSETS(ANN,12/2020,,,,,B)":0.0,"SKYW-US^FF_INTANG_ASSETS(ANN,12/2019,,,,,B)":0.0,"SKYW-US^FF_INTANG_ASSETS(ANN,12/2018,,,,,B)":0.0,"SKYW-US^FF_INTANG_ASSETS(ANN,12/2017,,,,,B)":0.0,"SKYW-US^FF_INTANG_ASSETS(ANN,12/2016,,,,,B)":0.008249,"SKYW-US^FF_INTANG_ASSETS(ANN,12/2015,,,,,B)":0.010499,"SKYW-US^FF_INTANG_ASSETS(ANN,12/2014,,,,,B)":0.012748,"SKYW-US^FF_INTANG_ASSETS(ANN,12/2013,,,,,B)":0.014998,"SKYW-US^FF_INTANG_ASSETS(ANN,12/2012,,,,,B)":0.017248,"SKYW-US^FF_INTANG_ASSETS(ANN,12/2011,,,,,B)":0.019497,"SKYW-US^FF_DFD_TAX_DB(ANN_R,12/2020,,,,,B)":0.32414,"SKYW-US^FF_DFD_TAX_DB(ANN_R,12/2019,,,,,B)":null,"SKYW-US^FF_DFD_TAX_DB(ANN_R,12/2018,,,,,B)":null,"SKYW-US^FF_DFD_TAX_DB(ANN_R,12/2017,,,,,B)":null,"SKYW-US^FF_DFD_TAX_DB(ANN_R,12/2016,,,,,B)":null,"SKYW-US^FF_DFD_TAX_DB(ANN_R,12/2015,,,,,B)":null,"SKYW-US^FF_DFD_TAX_DB(ANN_R,12/2014,,,,,B)":null,"SKYW-US^FF_DFD_TAX_DB(ANN_R,12/2013,,,,,B)":null,"SKYW-US^FF_DFD_TAX_DB(ANN_R,12/2012,,,,,B)":null,"SKYW-US^FF_DFD_TAX_DB(ANN_R,12/2011,,,,,B)":0.0,"SKYW-US^FF_ASSETS(ANN_R,12/2020,,,,,B)":7.211762,"SKYW-US^FF_ASSETS(ANN_R,12/2019,,,,,B)":6.657129,"SKYW-US^FF_ASSETS(ANN_R,12/2018,,,,,B)":6.313212,"SKYW-US^FF_ASSETS(ANN_R,12/2017,,,,,B)":5.4744,"SKYW-US^FF_ASSETS(ANN_R,12/2016,,,,,B)":5.007966,"SKYW-US^FF_ASSETS(ANN_R,12/2015,,,,,B)":4.781984,"SKYW-US^FF_ASSETS(ANN_R,12/2014,,,,,B)":4.409928,"SKYW-US^FF_ASSETS(ANN_R,12/2013,,,,,B)":4.233219,"SKYW-US^FF_ASSETS(ANN_R,12/2012,,,,,B)":4.254637,"SKYW-US^FF_ASSETS(ANN_R,12/2011,,,,,B)":4.281908,"SKYW-US^FF_PROV_RISK(ANN_R,12/2020,,,,,B)":0.0,"SKYW-US^FF_PROV_RISK(ANN_R,12/2019,,,,,B)":0.0,"SKYW-US^FF_PROV_RISK(ANN_R,12/2018,,,,,B)":0.0,"SKYW-US^FF_PROV_RISK(ANN_R,12/2017,,,,,B)":0.0,"SKYW-US^FF_PROV_RISK(ANN_R,12/2016,,,,,B)":0.0,"SKYW-US^FF_PROV_RISK(ANN_R,12/2015,,,,,B)":0.0,"SKYW-US^FF_PROV_RISK(ANN_R,12/2014,,,,,B)":0.0,"SKYW-US^FF_PROV_RISK(ANN_R,12/2013,,,,,B)":0.0,"SKYW-US^FF_PROV_RISK(ANN_R,12/2012,,,,,B)":0.0,"SKYW-US^FF_PROV_RISK(ANN_R,12/2011,,,,,B)":0.0,"SKYW-US^FF_DFD_TAX_CR(ANN_R,12/2020,,,,,B,\"FILING_DATE=1\")":0.62358,"SKYW-US^FF_DFD_TAX_CR(ANN_R,12/2019,,,,,B,\"FILING_DATE=1\")":0.518159,"SKYW-US^FF_DFD_TAX_CR(ANN_R,12/2018,,,,,B,\"FILING_DATE=1\")":0.41902,"SKYW-US^FF_DFD_TAX_CR(ANN_R,12/2017,,,,,B,\"FILING_DATE=1\")":0.565404,"SKYW-US^FF_DFD_TAX_CR(ANN_R,12/2016,,,,,B,\"FILING_DATE=1\")":0.749575,"SKYW-US^FF_DFD_TAX_CR(ANN_R,12/2015,,,,,B,\"FILING_DATE=1\")":0.669385,"SKYW-US^FF_DFD_TAX_CR(ANN_R,12/2014,,,,,B,\"FILING_DATE=1\")":0.727358,"SKYW-US^FF_DFD_TAX_CR(ANN_R,12/2013,,,,,B,\"FILING_DATE=1\")":0.65762,"SKYW-US^FF_DFD_TAX_CR(ANN_R,12/2012,,,,,B,\"FILING_DATE=1\")":0.567874,"SKYW-US^FF_DFD_TAX_CR(ANN_R,12/2011,,,,,B,\"FILING_DATE=1\")":0.569847,"SKYW-US^FF_LIABS_OTH(ANN_R,12/2020,,,,,B,\"FILING_DATE=1\")":0.04563,"SKYW-US^FF_LIABS_OTH(ANN_R,12/2019,,,,,B,\"FILING_DATE=1\")":0.09618,"SKYW-US^FF_LIABS_OTH(ANN_R,12/2018,,,,,B,\"FILING_DATE=1\")":0.10289,"SKYW-US^FF_LIABS_OTH(ANN_R,12/2017,,,,,B,\"FILING_DATE=1\")":0.1043,"SKYW-US^FF_LIABS_OTH(ANN_R,12/2016,,,,,B,\"FILING_DATE=1\")":0.11871,"SKYW-US^FF_LIABS_OTH(ANN_R,12/2015,,,,,B,\"FILING_DATE=1\")":0.12185,"SKYW-US^FF_LIABS_OTH(ANN_R,12/2014,,,,,B,\"FILING_DATE=1\")":0.15728,"SKYW-US^FF_LIABS_OTH(ANN_R,12/2013,,,,,B,\"FILING_DATE=1\")":0.14785,"SKYW-US^FF_LIABS_OTH(ANN_R,12/2012,,,,,B,\"FILING_DATE=1\")":0.14863,"SKYW-US^FF_LIABS_OTH(ANN_R,12/2011,,,,,B,\"FILING_DATE=1\")":0.15416,"SKYW-US^FF_LIABS(ANN_R,12/2020,,,,,B)":5.072217,"SKYW-US^FF_LIABS(ANN_R,12/2019,,,,,B)":4.482115,"SKYW-US^FF_LIABS(ANN_R,12/2018,,,,,B)":4.348931,"SKYW-US^FF_LIABS(ANN_R,12/2017,,,,,B)":3.720078,"SKYW-US^FF_LIABS(ANN_R,12/2016,,,,,B)":3.657023,"SKYW-US^FF_LIABS(ANN_R,12/2015,,,,,B)":3.275549,"SKYW-US^FF_LIABS(ANN_R,12/2014,,,,,B)":3.009582,"SKYW-US^FF_LIABS(ANN_R,12/2013,,,,,B)":2.79828,"SKYW-US^FF_LIABS(ANN_R,12/2012,,,,,B)":2.867462,"SKYW-US^FF_LIABS(ANN_R,12/2011,,,,,B)":2.947647,"DAL-US^FF_EBITDA_OPER(ANN_R,12/2011,,,,,B)":3.32,"DAL-US^FF_EBITDA_OPER(ANN_R,12/2012,,,,,B)":4.283,"DAL-US^FF_EBITDA_OPER(ANN_R,12/2013,,,,,B)":4.832,"DAL-US^FF_EBITDA_OPER(ANN_R,12/2014,,,,,B)":6.535,"DAL-US^FF_EBITDA_OPER(ANN_R,12/2015,,,,,B)":10.215,"DAL-US^FF_EBITDA_OPER(ANN_R,12/2016,,,,,B)":9.183,"DAL-US^FF_EBITDA_OPER(ANN_R,12/2017,,,,,B)":8.259,"DAL-US^FF_EBITDA_OPER(ANN_R,12/2018,,,,,B)":7.596,"DAL-US^FF_EBITDA_OPER(ANN_R,12/2019,,,,,B)":9.239,"DAL-US^FF_EBITDA_OPER(ANN_R,12/2020,,,,,B)":-5.969,"AAL-US^FF_NON_OPER_INC(ANN_R,12/2011,,,,,B)":-0.746,"AAL-US^FF_NON_OPER_INC(ANN_R,12/2012,,,,,B)":0.265,"AAL-US^FF_NON_OPER_INC(ANN_R,12/2013,,,,,B)":-0.034,"AAL-US^FF_NON_OPER_INC(ANN_R,12/2014,,,,,B)":0.024,"AAL-US^FF_NON_OPER_INC(ANN_R,12/2015,,,,,B)":-0.717,"AAL-US^FF_NON_OPER_INC(ANN_R,12/2016,,,,,B)":0.055,"AAL-US^FF_NON_OPER_INC(ANN_R,12/2017,,,,,B)":0.239,"AAL-US^FF_NON_OPER_INC(ANN_R,12/2018,,,,,B)":0.397,"AAL-US^FF_NON_OPER_INC(ANN_R,12/2019,,,,,B)":0.289,"AAL-US^FF_NON_OPER_INC(ANN_R,12/2020,,,,,B)":0.365,"AAL-US^FF_UNUSUAL_EXP(ANN_R,12/2011,,,,,B)":0.502,"AAL-US^FF_UNUSUAL_EXP(ANN_R,12/2012,,,,,B)":2.596,"AAL-US^FF_UNUSUAL_EXP(ANN_R,12/2013,,,,,B)":3.222,"AAL-US^FF_UNUSUAL_EXP(ANN_R,12/2014,,,,,B)":0.824,"AAL-US^FF_UNUSUAL_EXP(ANN_R,12/2015,,,,,B)":1.08,"AAL-US^FF_UNUSUAL_EXP(ANN_R,12/2016,,,,,B)":0.772,"AAL-US^FF_UNUSUAL_EXP(ANN_R,12/2017,,,,,B)":0.756,"AAL-US^FF_UNUSUAL_EXP(ANN_R,12/2018,,,,,B)":0.906,"AAL-US^FF_UNUSUAL_EXP(ANN_R,12/2019,,,,,B)":0.644,"AAL-US^FF_UNUSUAL_EXP(ANN_R,12/2020,,,,,B)":-0.796,"AAL-US^FF_EBITDA_OPER(ANN_R,12/2019,,,,,B)":6.024,"AAL-US^FF_EBITDA_OPER(ANN_R,12/2020,,,,,B)":-9.022,"AAL-US^FF_EBIT_OPER(ANN_R,12/2011,,,,,B)":0.055,"AAL-US^FF_INC_TAX(ANN_R,12/2011,,,,,B)":0.0,"AAL-US^FF_EBIT_OPER(ANN_R,12/2012,,,,,B)":0.498,"AAL-US^FF_INC_TAX(ANN_R,12/2012,,,,,B)":-0.569,"AAL-US^FF_EBIT_OPER(ANN_R,12/2013,,,,,B)":1.932,"AAL-US^FF_INC_TAX(ANN_R,12/2013,,,,,B)":-0.346,"AAL-US^FF_EBIT_OPER(ANN_R,12/2014,,,,,B)":5.077,"AAL-US^FF_INC_TAX(ANN_R,12/2014,,,,,B)":0.33,"AAL-US^FF_EBIT_OPER(ANN_R,12/2015,,,,,B)":7.293,"AAL-US^FF_INC_TAX(ANN_R,12/2015,,,,,B)":-2.994,"AAL-US^FF_EBIT_OPER(ANN_R,12/2016,,,,,B)":6.007,"AAL-US^FF_INC_TAX(ANN_R,12/2016,,,,,B)":1.623,"AAL-US^FF_EBIT_OPER(ANN_R,12/2017,,,,,B)":4.965,"AAL-US^FF_INC_TAX(ANN_R,12/2017,,,,,B)":2.113,"AAL-US^FF_EBIT_OPER(ANN_R,12/2018,,,,,B)":3.449,"AAL-US^FF_INC_TAX(ANN_R,12/2018,,,,,B)":0.472,"AAL-US^FF_EBIT_OPER(ANN_R,12/2019,,,,,B)":3.706,"AAL-US^FF_INC_TAX(ANN_R,12/2019,,,,,B)":0.57,"AAL-US^FF_COGS(ANN_R,12/2019,,,,,B)":34.345,"AAL-US^FF_COGS(ANN_R,12/2020,,,,,B)":24.655,"AAL-US^FF_SALES(ANN_R,12/2011,,,,,B)":23.979,"AAL-US^FF_SALES(ANN_R,12/2012,,,,,B)":24.855,"AAL-US^FF_SALES(ANN_R,12/2013,,,,,B)":26.743,"AAL-US^FF_SALES(ANN_R,12/2014,,,,,B)":42.65,"AAL-US^FF_SALES(ANN_R,12/2015,,,,,B)":40.99,"AAL-US^FF_SALES(ANN_R,12/2016,,,,,B)":40.18,"AAL-US^FF_SALES(ANN_R,12/2017,,,,,B)":42.622,"AAL-US^FF_SALES(ANN_R,12/2018,,,,,B)":44.541,"AAL-US^FF_EBIT_OPER(ANN_R,12/2020,,,,,B)":-11.387,"AAL-US^FF_INC_TAX(ANN_R,12/2020,,,,,B)":-2.568,"AAL-US^FF_INT_EXP_NET(ANN_R,12/2011,,,,,B)":0.786,"AAL-US^FF_INT_EXP_NET(ANN_R,12/2012,,,,,B)":0.612,"AAL-US^FF_INT_EXP_NET(ANN_R,12/2013,,,,,B)":0.856,"AAL-US^FF_INT_EXP_NET(ANN_R,12/2014,,,,,B)":0.887,"AAL-US^FF_INT_EXP_NET(ANN_R,12/2015,,,,,B)":0.88,"AAL-US^FF_INT_EXP_NET(ANN_R,12/2016,,,,,B)":0.991,"AAL-US^FF_INT_EXP_NET(ANN_R,12/2017,,,,,B)":1.053,"AAL-US^FF_INT_EXP_NET(ANN_R,12/2018,,,,,B)":1.056,"AAL-US^FF_INT_EXP_NET(ANN_R,12/2019,,,,,B)":1.095,"AAL-US^FF_INT_EXP_NET(ANN_R,12/2020,,,,,B)":1.227,"AAL-US^FF_SGA(ANN_R,12/2011,,,,,B)":1.062,"AAL-US^FF_SGA(ANN_R,12/2012,,,,,B)":1.586,"AAL-US^FF_SGA(ANN_R,12/2013,,,,,B)":1.312,"AAL-US^FF_SGA(ANN_R,12/2014,,,,,B)":1.851,"AAL-US^FF_SGA(ANN_R,12/2015,,,,,B)":1.727,"AAL-US^FF_SGA(ANN_R,12/2016,,,,,B)":1.67,"AAL-US^FF_SGA(ANN_R,12/2017,,,,,B)":1.838,"AAL-US^FF_SGA(ANN_R,12/2018,,,,,B)":1.889,"AAL-US^FF_SGA(ANN_R,12/2019,,,,,B)":2.004,"AAL-US^FF_SGA(ANN_R,12/2020,,,,,B)":0.666,"AAL-US^FF_COGS(ANN_R,12/2011,,,,,B)":20.68,"AAL-US^FF_COGS(ANN_R,12/2012,,,,,B)":19.879,"AAL-US^FF_COGS(ANN_R,12/2013,,,,,B)":20.139,"AAL-US^FF_COGS(ANN_R,12/2014,,,,,B)":31.081,"AAL-US^FF_COGS(ANN_R,12/2015,,,,,B)":27.014,"AAL-US^FF_COGS(ANN_R,12/2016,,,,,B)":27.521,"AAL-US^FF_COGS(ANN_R,12/2017,,,,,B)":30.417,"AAL-US^FF_COGS(ANN_R,12/2018,,,,,B)":33.522,"48.2147338942975^FORMULA_DESCRIPTION(\"FF_CURR_RATIO\")":"Current Ratio","35548^FORMULA_DESCRIPTION(\"FF_EBIT_OPER_INT_COVG\")":"EBIT Interest Coverage","DAL-US^JULIAN(FG_PRICE(44196).DATES)":44196,"AC-CA^JULIAN(FG_PRICE(44196).DATES)":44196,"AAL-US^JULIAN(FG_PRICE(44196).DATES)":44196,"LUV-US^JULIAN(FG_PRICE(44196).DATES)":44196,"ALK-US^JULIAN(FG_PRICE(44196).DATES)":44196,"SKYW-US^JULIAN(FG_PRICE(44196).DATES)":44196,"DAL-US^FG_PRICE(44196)":40.21,"AC-CA^FG_PRICE(44196)":22.77,"AAL-US^FG_PRICE(44196)":15.77,"LUV-US^FG_PRICE(44196)":46.61,"ALK-US^FG_PRICE(44196)":52.0,"SKYW-US^FG_PRICE(44196)":40.31,"DAL-US^FF_ENTRPR_VAL_DAILY(44196,,,,,\"DIL\")":46833.56,"AC-CA^FF_ENTRPR_VAL_DAILY(44196,,,,,\"DIL\")":11803.14,"AAL-US^FF_ENTRPR_VAL_DAILY(44196,,,,,\"DIL\")":41178.91376,"LUV-US^FF_ENTRPR_VAL_DAILY(44196,,,,,\"DIL\")":25199.65,"ALK-US^FF_ENTRPR_VAL_DAILY(44196,,,,,\"DIL\")":8126.4,"SKYW-US^FF_ENTRPR_VAL_DAILY(44196,,,,,\"DIL\")":4689.63445,"DAL-US^P_PRICE(44196,44196)":40.21,"AC-CA^P_PRICE(44196,44196)":22.77,"AAL-US^P_PRICE(44196,44196)":15.77,"LUV-US^P_PRICE(44196,44196)":46.61,"ALK-US^P_PRICE(44196,44196)":52.0,"SKYW-US^P_PRICE(44196,44196)":40.31,"TRYUS3M-FDS^FG_YIELD(12/2020,12/2013,AY,,\"YTM\")":[0.0775,1.5488,2.4484,1.3861,0.4593,0.1856,0.0228,0.0583],"SKYW-US^FF_PBK(ANN_R,0)":0.945439398296192,"LUV-US^FF_CO_NAME":"Southwest Airlines Co.","LUV-US^FF_ADDRESS":"Suite 400","LUV-US^FF_ADDRESS2":"2702 Love Field Drive","LUV-US^FF_CITY":"Dallas","LUV-US^FF_POSTAL":"75235-1611","LUV-US^FF_STATE_PROVINCE":"Texas","LUV-US^FF_COUNTRY":"UNITED STATES","CPA-US^FF_CO_NAME":"Copa Holdings SA","CPA-US^FF_ADDRESS":"Costa del Este, Complejo Business","CPA-US^FF_ADDRESS2":"Av. Principal y Av. de la Rotonda","CPA-US^FF_CITY":"Panama City","CPA-US^FF_POSTAL":"0831-0206","CPA-US^FF_STATE_PROVINCE":"Panama","CPA-US^FF_COUNTRY":"PANAMA","CPA-US^FF_SALES(ANN_R,0)":801.003,"CPA-US^FF_EMP_NUM(ANN,0)":5667.0,"CPA-US^OS_TOP_HLDR_ULTPRNT(1,0D,,MTD,,F,SEC)[0]":"Baillie Gifford & Co.","CPA-US^FF_BUS_DESC_EXT":"Copa Holdings SA engages in the provision of air transportation. It involves in an airline operation which provides passenger and cargo services through the Copa Airlines and Copa Colombia principal operating subsidiaries. The firm offers international flights to Costa Rica, Jamaica, Colombia and other cities. The company was founded on May 6, 1998 and is headquartered in Panama.","CPA-US^HOMEPAGE":"http://www.copaair.com","CPA-US^FG_EXCHANGE":"NYSE","AC-CA^FF_PBK(ANN_R,0)":4.41024369646987,"AC-CA^FF_ROE(ANN_R,0)":-151.98691741619,"SKYW-US^FF_CO_NAME":"Sky West, Inc.","SKYW-US^FF_ADDRESS":null,"SKYW-US^FF_ADDRESS2":"444 South River Road","SKYW-US^FF_CITY":"St. George","SKYW-US^FF_POSTAL":"84790","SKYW-US^FF_STATE_PROVINCE":"Utah","SKYW-US^FF_COUNTRY":"UNITED STATES","AC-CA^FF_CO_NAME":"Air Canada","AC-CA^FF_ADDRESS":"7373 Côte-Vertu Boulevard West","AC-CA^FF_ADDRESS2":"Air Canada Centre","AC-CA^FF_CITY":"Saint-Laurent","AC-CA^FF_POSTAL":"H4S 1Z3","AC-CA^FF_STATE_PROVINCE":"Québec","AC-CA^FF_COUNTRY":"CANADA","ALGT-US^FF_CO_NAME":"Allegiant Travel Co.","ALGT-US^FF_ADDRESS":null,"ALGT-US^FF_ADDRESS2":"1201 North Town Center Drive","ALGT-US^FF_CITY":"Las Vegas","ALGT-US^FF_POSTAL":"89144","ALGT-US^FF_STATE_PROVINCE":"Nevada","ALGT-US^FF_COUNTRY":"UNITED STATES","ALGT-US^FF_SALES(ANN_R,0)":990.073,"ALGT-US^FF_EMP_NUM(ANN,0)":3863.0,"ALGT-US^OS_TOP_HLDR_ULTPRNT(1,0D,,MTD,,F,SEC)[0]":"BlackRock, Inc.","ALGT-US^FF_BUS_DESC_EXT":"Allegiant Travel Co. engages in the provision of travel services. It includes scheduled service air transportation, air-related travel services and product, third party travel products, and fixed fee contract air transportation. It operates through the following segments: Airline, Sunseeker Resort, and Other non-Airline.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represents activity related to the development and construction of Sunseeker Resort in Southwest Florida, as well as the operation of Kingsway Golf Course. The Other non-Airline segment includes the Teesnap golf course management solution and Allegiant Nonstop family entertainment centers. The company was founded in January 1997 and is headquartered in Las Vegas, NV.","ALGT-US^HOMEPAGE":"http://www.allegiantair.com","ALGT-US^FG_EXCHANGE":"NASDAQ","ULCC-US^FF_CO_NAME":"Frontier Group Holdings, Inc.","ULCC-US^FF_ADDRESS":null,"ULCC-US^FF_ADDRESS2":"4545 Airport Way","ULCC-US^FF_CITY":"Denver","ULCC-US^FF_POSTAL":"80239","ULCC-US^FF_STATE_PROVINCE":"Colorado","ULCC-US^FF_COUNTRY":"UNITED STATES","ULCC-US^FF_SALES(ANN_R,0)":1250.0,"ULCC-US^FF_EMP_NUM(ANN,0)":5005.0,"ULCC-US^OS_TOP_HLDR_ULTPRNT(1,0D,,MTD,,F,SEC)[0]":"JPMorgan Chase & Co.","ULCC-US^FF_BUS_DESC_EXT":"Frontier Group Holdings, Inc. engages in the operation of passenger airline. It offers flights throughout the United States and selected international Mexico, and the Caribbean. The company was founded on September 2013 and is headquartered in Denver, CO.","ULCC-US^HOMEPAGE":"http://ir.flyfrontier.com","ULCC-US^FG_EXCHANGE":"NASDAQ","SAVE-US^FF_CO_NAME":"Spirit Airlines, Inc.","SAVE-US^FF_ADDRESS":null,"SAVE-US^FF_ADDRESS2":"2800 Executive Way","SAVE-US^FF_CITY":"Miramar","SAVE-US^FF_POSTAL":"33025","SAVE-US^FF_STATE_PROVINCE":"Florida","SAVE-US^FF_COUNTRY":"UNITED STATES","SAVE-US^FF_SALES(ANN_R,0)":1810.022,"SAVE-US^FF_EMP_NUM(ANN,0)":8692.0,"SAVE-US^OS_TOP_HLDR_ULTPRNT(1,0D,,MTD,,F,SEC)[0]":"The Vanguard Group, Inc.","SAVE-US^FF_BUS_DESC_EXT":"Spirit Airlines, Inc. is an airline that offers travel to price-conscious customers. Its customers start with an unbundled base fares that remove components included in the price of an airline ticket. The company was founded by Ned Homfeld in 1964 and is headquartered in Miramar, FL.","SAVE-US^HOMEPAGE":"http://www.spirit.com","SAVE-US^FG_EXCHANGE":"NYSE","CHR-CA^FF_PBK(ANN_R,0)":0.933836427192307,"CHR-CA^FF_ROE(ANN_R,0)":6.65727380096539,"CHR-CA^FF_PE(ANN_R,0)":14.4137125048695,"CPA-US^FF_PBK(ANN_R,0)":2.54870861689903,"CPA-US^FF_ROE(ANN_R,0)":-37.723709197928,"CPA-US^FF_PE(ANN_R,0)":null,"CHR-CA^FF_CO_NAME":"Chorus Aviation, Inc.","CHR-CA^FF_ADDRESS":"Suite 380","CHR-CA^FF_ADDRESS2":"3 Spectacle Lake Drive","CHR-CA^FF_CITY":"Dartmouth","CHR-CA^FF_POSTAL":"B3B 1W8","CHR-CA^FF_STATE_PROVINCE":"Nova Scotia","CHR-CA^FF_COUNTRY":"CANADA","CHR-CA^FF_SALES(ANN_R,0)":948.721,"AAL-US^FF_PBK(ANN_R,0)":null,"ALK-US^FF_PBK(ANN_R,0)":2.16175228314299,"AAL-US^FF_CO_NAME":"American Airlines Group, Inc.","AAL-US^FF_ADDRESS":null,"AAL-US^FF_ADDRESS2":"1 Skyview Drive","AAL-US^FF_CITY":"Fort Worth","AAL-US^FF_POSTAL":"76155","AAL-US^FF_STATE_PROVINCE":"Texas","AAL-US^FF_COUNTRY":"UNITED STATES","ALK-US^FF_CO_NAME":"Alaska Air Group, Inc.","ALK-US^FF_ADDRESS":null,"ALK-US^FF_ADDRESS2":"19300 International Boulevard","ALK-US^FF_CITY":"Seattle","ALK-US^FF_POSTAL":"98188-5304","ALK-US^FF_STATE_PROVINCE":"Washington","ALK-US^FF_COUNTRY":"UNITED STATES","ELAL-IL^FF_CO_NAME":"El Al Israel Airlines Ltd.","ELAL-IL^FF_ADDRESS":null,"ELAL-IL^FF_ADDRESS2":"Ben Guron Airport","ELAL-IL^FF_CITY":"Lod","ELAL-IL^FF_POSTAL":"7015001","ELAL-IL^FF_STATE_PROVINCE":"HaMerkaz","ELAL-IL^FF_COUNTRY":"ISRAEL","ELAL-IL^FF_SALES(ANN_R,0)":2142.77332857255,"ELAL-IL^FF_EMP_NUM(ANN,0)":1472.0,"ELAL-IL^OS_TOP_HLDR_ULTPRNT(1,0D,,MTD,,F,SEC)[0]":"The Charles Schwab Corp.","ELAL-IL^FF_BUS_DESC_EXT":"El Al Israel Airlines Ltd. engages in the provision of commercial flights and air cargo services. The company was founded in 1948 and is headquartered in Lod, Israel.","ELAL-IL^HOMEPAGE":"http://elal.com","ELAL-IL^FG_EXCHANGE":"Tel Aviv","1055-HK^FF_CO_NAME":"China Southern Airlines Co. Ltd.","1055-HK^FF_ADDRESS":"68 Qixin Road","1055-HK^FF_ADDRESS2":"China Southern Airlines Building","1055-HK^FF_CITY":"Guangzhou","1055-HK^FF_POSTAL":"510403","1055-HK^FF_STATE_PROVINCE":"Guangdong","1055-HK^FF_COUNTRY":"CHINA","1055-HK^FF_SALES(ANN_R,0)":104010.18187226,"1055-HK^FF_EMP_NUM(ANN,0)":100431.0,"1055-HK^OS_TOP_HLDR_ULTPRNT(1,0D,,MTD,,F,SEC)[0]":"GF Securities Co., Ltd.","1055-HK^FF_BUS_DESC_EXT":"China Southern Airlines Co. Ltd. engages in the provision of domestic, international, and regional scheduled and unscheduled air transportation of passenger, cargo, mail and baggage, general aviation, and aircraft maintenance. The company operates through the following segments: Airline Transportation Operations and Other segments. The Airline Transportation Operations segment engages in the passenger and cargo and mail operations. The other segment includes hotel and tour operation, ground services, cargo handling and other miscellaneous services. The company was founded on March 25, 1995 and is headquartered in Guangzhou, China.","1055-HK^HOMEPAGE":"http://www.csair.com","1055-HK^FG_EXCHANGE":"Hong Kong","PFAVH-CO^FF_CO_NAME":"Avianca Holdings SA","PFAVH-CO^FF_ADDRESS":"Santa María Business District","PFAVH-CO^FF_ADDRESS2":"West Boulevard","PFAVH-CO^FF_CITY":"Panama City","PFAVH-CO^FF_POSTAL":null,"PFAVH-CO^FF_STATE_PROVINCE":"Panama","PFAVH-CO^FF_COUNTRY":"PANAMA","PFAVH-CO^FF_SALES(ANN_R,0)":6326017.76349383,"PFAVH-CO^FF_EMP_NUM(ANN,0)":null,"PFAVH-CO^OS_TOP_HLDR_ULTPRNT(1,0D,,MTD,,F,SEC)[0]":"GFH HFEVA LLC","PFAVH-CO^FF_BUS_DESC_EXT":"Avianca Holdings SA engages in the provision of air transport services. The company offers passenger airlines, cargo airlines, loyalty program, as well as related activities including tourism, engineering, and specialized maintenance services. It operates through the Air Transportation and Loyalty segments. The Air Transportation segment corresponds to passenger and cargo operating revenues on scheduled flights and freight transport, including flights operated by other airlines under code-sharing agreements. The Loyalty segment refers to the traveler program for the firm's frequent passengers. The company was founded on October 5, 2009 and is headquartered in Panama City, Panama.","PFAVH-CO^HOMEPAGE":"http://www.aviancaholdings.com","PFAVH-CO^FG_EXCHANGE":"Colombia","QAN-AU^FF_CO_NAME":"Qantas Airways Ltd.","QAN-AU^FF_ADDRESS":null,"QAN-AU^FF_ADDRESS2":"10 Bourke Road","QAN-AU^FF_CITY":"Mascot","QAN-AU^FF_POSTAL":"2020","QAN-AU^FF_STATE_PROVINCE":"New South Wales (NSW)","QAN-AU^FF_COUNTRY":"AUSTRALIA","QAN-AU^FF_SALES(ANN_R,0)":5385.0,"QAN-AU^FF_EMP_NUM(ANN,0)":25000.0,"QAN-AU^OS_TOP_HLDR_ULTPRNT(1,0D,,MTD,,F,SEC)[0]":"Mitsubishi UFJ Financial Group, Inc.","QAN-AU^FF_BUS_DESC_EXT":"Qantas Airways Ltd. provides air transportation services. The firm engages in the international and domestic air transportation services; sale of worldwide and domestic holiday tours; and associated support activities including catering, information technology, ground handling, and engineering and maintenance. It operates its business through the following segments: Qantas Domestic, Qantas International, Jetstar Group, Qantas Loyalty, and Corporate. The Qantas Domestic segment engages in the Australian domestic passenger flying business of Qantas brands. The Qantas International segment includes international passenger flying business of Qantas brands. The Jetstar Group deals with the Jetstar passenger flying business. The Qantas Loyalty segment operates the Qantas customer loyalty program for Qantas brands. The Corporate segment is a centralised management and governance of the Qantas Group. The company was founded on November 16, 1920 and is headquartered in Mascot, Australia.","QAN-AU^HOMEPAGE":"http://qantas.com","QAN-AU^FG_EXCHANGE":"ASX","MESA-US^FF_CO_NAME":"Mesa Air Group, Inc.","MESA-US^FF_ADDRESS":"Suite 700","MESA-US^FF_ADDRESS2":"410 North 44th Street","MESA-US^FF_CITY":"Phoenix","MESA-US^FF_POSTAL":"85008","MESA-US^FF_STATE_PROVINCE":"Arizona","MESA-US^FF_COUNTRY":"UNITED STATES","MESA-US^FF_SALES(ANN_R,0)":545.07,"MESA-US^FF_EMP_NUM(ANN,0)":3200.0,"MESA-US^OS_TOP_HLDR_ULTPRNT(1,0D,,MTD,,F,SEC)[0]":"BlackRock, Inc.","MESA-US^FF_BUS_DESC_EXT":"Mesa Air Group, Inc. operates as a holding company. The firm engages in the provision of regional air carrier and passenger transportation services. Its fleet includes American Eagle and United Express flights. The company was founded in 1982 and is headquartered in Phoenix, AZ.","MESA-US^HOMEPAGE":"http://www.mesa-air.com","MESA-US^FG_EXCHANGE":"NASDAQ","VOLARA-MX^FF_CO_NAME":"Controladora Vuela Compañía de Aviación SAB de CV","VOLARA-MX^FF_ADDRESS":"Colonia Zedec Santa Fe","VOLARA-MX^FF_ADDRESS2":"Av. Antonio Dovalí Jaime No. 70","VOLARA-MX^FF_CITY":"Mexico City","VOLARA-MX^FF_POSTAL":"01210","VOLARA-MX^FF_STATE_PROVINCE":"Distrito Federal","VOLARA-MX^FF_COUNTRY":"MEXICO","VOLARA-MX^FF_SALES(ANN_R,0)":22570.813,"VOLARA-MX^FF_EMP_NUM(ANN,0)":4846.0,"VOLARA-MX^OS_TOP_HLDR_ULTPRNT(1,0D,,MTD,,F,SEC)[0]":"BPCE SA","VOLARA-MX^FF_BUS_DESC_EXT":"Controladora Vuela Compañía de Aviación SAB de CV is a holding company, which engages in the provision of air transportation and related services. It also offers cargo services. The company was founded by Roberto Jose Kriete Avila and Carlos Mendoza Valencia on October 27, 2005 and is headquartered in Mexico City.","VOLARA-MX^HOMEPAGE":"http://www.volaris.com","VOLARA-MX^FG_EXCHANGE":"Mexico","AEROMEX-MX^FF_CO_NAME":"Grupo Aeroméxico SAB de CV","AEROMEX-MX^FF_ADDRESS":"piso 25 Cuauhtemoc","AEROMEX-MX^FF_ADDRESS2":"Av. Paseo de la Reforma 243","AEROMEX-MX^FF_CITY":"Mexico City","AEROMEX-MX^FF_POSTAL":"06500","AEROMEX-MX^FF_STATE_PROVINCE":"Distrito Federal","AEROMEX-MX^FF_COUNTRY":"MEXICO","AEROMEX-MX^FF_SALES(ANN_R,0)":28522.135,"AEROMEX-MX^FF_EMP_NUM(ANN,0)":null,"AEROMEX-MX^OS_TOP_HLDR_ULTPRNT(1,0D,,MTD,,F,SEC)[0]":"Corporativo GBM SAB de CV","AEROMEX-MX^FF_BUS_DESC_EXT":"Grupo Aeroméxico SAB de CV engages in the provision of air transportation services. It operates through the following geographical segments: Mexico; North, Central and South America; and Europe and Asia. It offers flight schedules, ticket sales, vacation packages, in-flight dining and entertainment and cargo handling. The company was founded on March 19, 2002 and is headquartered in Mexico City, Mexico.","AEROMEX-MX^HOMEPAGE":"http://www.aeromexico.com","AEROMEX-MX^FG_EXCHANGE":"Mexico","HA-US^FF_CO_NAME":"Hawaiian Holdings, Inc.","HA-US^FF_ADDRESS":"Suite G-350","HA-US^FF_ADDRESS2":"3375 Koapaka Street","HA-US^FF_CITY":"Honolulu","HA-US^FF_POSTAL":"96819-1804","HA-US^FF_STATE_PROVINCE":"Hawaii","HA-US^FF_COUNTRY":"UNITED STATES","HA-US^FF_SALES(ANN_R,0)":841.738,"HA-US^FF_EMP_NUM(ANN,0)":5278.0,"HA-US^OS_TOP_HLDR_ULTPRNT(1,0D,,MTD,,F,SEC)[0]":"BlackRock, Inc.","HA-US^FF_BUS_DESC_EXT":"Hawaiian Holdings, Inc. is a holding company, which engages in the provision of air transportation services. It offers cargo handling and passenger flights between the Hawaiian Islands and its neighbor island routes through its subsidiary, Hawaiian Airlines, Inc. The company was founded on January 30, 1929 and is headquartered in Honolulu, HI.","HA-US^HOMEPAGE":"http://www.hawaiianairlines.com","HA-US^FG_EXCHANGE":"NASDAQ","AAL-US^FF_EMP_NUM(ANN,0)":102700.0,"AAL-US^OS_TOP_HLDR_ULTPRNT(1,0D,,MTD,,F,SEC)[0]":"The Vanguard Group, Inc.","AAL-US^FF_BUS_DESC_EXT":"American Airlines Group, Inc. is a holding company, which engages in the operation of a network carrier through its principal wholly-owned mainline operating subsidiary, American. The firm offers air transportation for passengers and cargo. It operates through the following geographical segments: Department of Transportation Domestic; Department of Transportation Latin America; Department of Transportation Atlantic; and Department of Transportation Pacific. The company was founded on December 9, 2013 and is headquartered in Fort Worth, TX.","AAL-US^HOMEPAGE":"http://www.aa.com","AAL-US^FG_EXCHANGE":"NASDAQ","ALK-US^FF_EMP_NUM(ANN,0)":21997.0,"ALK-US^OS_TOP_HLDR_ULTPRNT(1,0D,,MTD,,F,SEC)[0]":"The Vanguard Group, Inc.","ALK-US^FF_BUS_DESC_EXT":"Alaska Air Group, Inc. is a holding company, which engages in the provision of air transportation services. It operates through the following segments: Mainline, Regional and Horizon. The Mainline segment includes Alaska's Boeing or Airbus jet aircraft for passengers and cargo throughout the U.S., and in parts of Canada, Mexico, and Costa Rica. The Regional segment consists of Horizon's and other third-party carriers’ scheduled air transportation for passengers across a shorter distance network within the U.S. and Canada under capacity purchase agreements (CPAs). The Horizon segment comprises of the the capacity sold to Alaska under CPA. The company was founded in 1985 and is headquartered in Seattle, WA.","ALK-US^HOMEPAGE":"http://www.alaskaair.com","ALK-US^FG_EXCHANGE":"NYSE","2610-TW^FF_EMP_NUM(ANN,0)":null,"2610-TW^OS_TOP_HLDR_ULTPRNT(1,0D,,MTD,,F,SEC)[0]":"The Vanguard Group, Inc.","2610-TW^FF_BUS_DESC_EXT":"China Airlines Ltd. engages in the provision of international air passenger transport and freight services. Its business includes air passenger transport in regular or occasional international charter contract; air cargo services; civil aviation international airport and transit of aircraft handling services; aircraft merchandise sales; aircraft catering; aircraft internal products such as cloth laundry washing and hospitality industry general business; in, out, and transit air cargo warehousing services; and aircraft airframe maintenance. The company was founded on September 07, 1959 and is headquartered in Taoyuan, Taiwan.","2610-TW^HOMEPAGE":"http://china-airlines.com","2610-TW^FG_EXCHANGE":"Taiwan","2610-TW^FF_CO_NAME":"China Airlines Ltd.","2610-TW^FF_ADDRESS":"Dayuan District","2610-TW^FF_ADDRESS2":"No. 1 Hangzhan South Road","2610-TW^FF_CITY":"Taoyuan","2610-TW^FF_POSTAL":"337 58","2610-TW^FF_STATE_PROVINCE":"Taipei City","2610-TW^FF_COUNTRY":"TAIWAN","2610-TW^FF_SALES(ANN_R,0)":115250.55,"2610-TW^FF_PBK(ANN_R,0)":1.13444116298577,"2610-TW^FF_ROE(ANN_R,0)":0.245370268335611,"2610-TW^FF_PE(ANN_R,0)":467.054263565892,"ELAL-IL^FF_PBK(ANN_R,0)":null,"ELAL-IL^FF_ROE(ANN_R,0)":null,"ELAL-IL^FF_PE(ANN_R,0)":null,"1055-HK^FF_PBK(ANN_R,0)":0.724018060368454,"1055-HK^FF_ROE(ANN_R,0)":-15.8078994468866,"1055-HK^FF_PE(ANN_R,0)":null,"PFAVH-CO^FF_PBK(ANN_R,0)":null,"PFAVH-CO^FF_ROE(ANN_R,0)":null,"PFAVH-CO^FF_PE(ANN_R,0)":null,"QAN-AU^FF_PBK(ANN_R,0)":17.1040557900532,"QAN-AU^FF_ROE(ANN_R,0)":-169.744597249509,"QAN-AU^FF_PE(ANN_R,0)":null,"MESA-US^FF_PBK(ANN_R,0)":0.228901134884067,"MESA-US^FF_ROE(ANN_R,0)":6.21549415147438,"MESA-US^FF_PE(ANN_R,0)":3.79274877860633,"VOLARA-MX^FF_PBK(ANN_R,0)":10.1602172325816,"VOLARA-MX^FF_ROE(ANN_R,0)":-103.143383969095,"VOLARA-MX^FF_PE(ANN_R,0)":null,"AEROMEX-MX^FF_PBK(ANN_R,0)":null,"AEROMEX-MX^FF_ROE(ANN_R,0)":null,"AEROMEX-MX^FF_PE(ANN_R,0)":null,"HA-US^FF_PBK(ANN_R,0)":1.41990872473746,"HA-US^FF_ROE(ANN_R,0)":-60.7549675882739,"HA-US^FF_PE(ANN_R,0)":null,"LTM-CL^FF_PBK(ANN_R,0)":null,"LTM-CL^FF_ROE(ANN_R,0)":-1154.11078303383,"LTM-CL^FF_PE(ANN_R,0)":null,"LTM-CL^FF_EMP_NUM(ANN,0)":29115.0,"LTM-CL^OS_TOP_HLDR_ULTPRNT(1,0D,,MTD,,F,SEC)[0]":"The Vanguard Group, Inc.","LTM-CL^FF_BUS_DESC_EXT":"LATAM Airlines Group SA is holding company, which engages in the provision of passenger air transportation and cargo services. The Air Transportation segment corresponds to the route network for air transport. The Multiplus Coalition and Loyalty Program segment offers a coalition system, interrelated among its members, along with being a government entity with a separately business and not directly related to air transport. The company was founded in 1929 and is headquartered in Las Condes, Chile.","LTM-CL^HOMEPAGE":"http://www.latamairlinesgroup.net","LTM-CL^FG_EXCHANGE":"Santiago","SKYW-US^FF_EMP_NUM(ANN,0)":12502.0,"SKYW-US^OS_TOP_HLDR_ULTPRNT(1,0D,,MTD,,F,SEC)[0]":"BlackRock, Inc.","SKYW-US^FF_BUS_DESC_EXT":"Sky West, Inc. is a holding company, which engages in the provision of scheduled passenger services in the United States of America, Canada, Mexico and the Caribbean. It operates through the following three segments: SkyWest Airlines and SkyWest Leasing. The SkyWest Airlines segment provides as well as Mexico and Canada. The SkyWest Leasing segment includes revenue attributed from ownership cost earned under the applicable cost and fixed-fee flying contracts. The company was founded in 1972 and is headquartered in St. George, UT.","SKYW-US^HOMEPAGE":"http://www.skywest.com","SKYW-US^FG_EXCHANGE":"NASDAQ","AC-CA^FF_EMP_NUM(ANN,0)":null,"AC-CA^OS_TOP_HLDR_ULTPRNT(1,0D,,MTD,,F,SEC)[0]":"FMR LLC","AC-CA^FF_BUS_DESC_EXT":"Air Canada provides airline transportation services. It engages in full-service airline, scheduled passenger and cargo services, serving more than two hundred airports on six continents. It operates through the following geographical segments: Canada, U.S. Transborder, Atlantic, Pacific, and Other. The company was founded on April 11, 1936 and is headquartered in Saint-Laurent, Canada.","AC-CA^HOMEPAGE":"http://aircanada.com","AC-CA^FG_EXCHANGE":"Toronto","CHR-CA^FF_EMP_NUM(ANN,0)":2875.0,"CHR-CA^OS_TOP_HLDR_ULTPRNT(1,0D,,MTD,,F,SEC)[0]":"Connor, Clark & Lunn Financial Group Ltd.","CHR-CA^FF_BUS_DESC_EXT":"Chorus Aviation, Inc. is a holding company, which engages in the provision of aviation services. It operates through the Regional Aviation Services and Regional Aircraft Leasing segments. The Regional Aviation Services segment includes contract flying operations; aircraft leasing under the capacity purchase agreement; and maintenance, repair, overhaul, part sales, and technical services. The Regional Aircraft Leasing segment provides aircraft leasing to third-party air operators through its subsidiary Chorus Aviation Capital. The company was founded on November 25, 2005 and is headquartered in Dartmouth, Canada.","CHR-CA^HOMEPAGE":"http://www.chorusaviation.com","CHR-CA^FG_EXCHANGE":"Toronto","LTM-CL^FF_CO_NAME":"LATAM Airlines Group SA","LTM-CL^FF_ADDRESS":"20th Floor","LTM-CL^FF_ADDRESS2":"Avenida Presidente Riesco 5711","LTM-CL^FF_CITY":"Las Condes","LTM-CL^FF_POSTAL":"7550000","LTM-CL^FF_STATE_PROVINCE":"Santiago (Metropolitana)","LTM-CL^FF_COUNTRY":"CHILE","LTM-CL^FF_SALES(ANN_R,0)":3106055.84591991,"PAL-PH^FF_EMP_NUM(ANN,0)":6238.0,"PAL-PH^OS_TOP_HLDR_ULTPRNT(1,0D,,MTD,,F,SEC)[0]":null,"PAL-PH^FF_BUS_DESC_EXT":"PAL Holdings, Inc. engages in the provision of airline business services. Its services include group booking, charter, transfer, corporate sales, general sales agent, travel insurance, and cargo. The company was founded on May 10, 1930 and is headquartered in Pasay City, Philippines.","PAL-PH^HOMEPAGE":"http://www.philippineairlines.com","PAL-PH^FG_EXCHANGE":"Philippines","TRZ-CA^FF_EMP_NUM(ANN,0)":1785.0,"TRZ-CA^OS_TOP_HLDR_ULTPRNT(1,0D,,MTD,,F,SEC)[0]":"Letko, Brosseau & Associates Inc.","TRZ-CA^FF_BUS_DESC_EXT":"Transat A.T., Inc. develops and markets holiday travel services in packages, including air travel and hotel stays, and air-only formats. The firm operates through Holiday Travel segment, which develops and markets holiday travel services in packages, including air travel and hotel stays, and air-only formats. It operates under the Transat and Air Transat brands. The company was founded by Jean-Marc Eustache, Lina De Cesare and Philippe Sureau on February 13, 1987 and is headquartered in Montreal, Canada.","TRZ-CA^HOMEPAGE":"http://www.transat.com","TRZ-CA^FG_EXCHANGE":"Toronto","LUV-US^FF_EMP_NUM(ANN,0)":56500.0,"LUV-US^OS_TOP_HLDR_ULTPRNT(1,0D,,MTD,,F,SEC)[0]":"PRIMECAP Management Co.","LUV-US^FF_BUS_DESC_EXT":"Southwest Airlines Co. engages in the management of a passenger airline. It offers ancillary services such as earlybird check-in, upgraded boarding, and transportation of pets and unaccompanied minors. The firm operates in U.S. states, District of Columbia, the Commonwealth of Puerto Rico, Mexico, Jamaica, The Bahamas, Aruba, Dominican Republic, Costa Rica, Belize, Cuba, the Cayman Islands, and Turks and Caicos. The company was founded by Rollin W. King and Herbert D. Kelleher on March 15, 1967 and is headquartered in Dallas, TX.","LUV-US^HOMEPAGE":"http://www.southwest.com","LUV-US^FG_EXCHANGE":"NYSE","PAL-PH^FF_CO_NAME":"PAL Holdings, Inc.","PAL-PH^FF_ADDRESS":"President Diosdado Macapagal Avenue","PAL-PH^FF_ADDRESS2":"PNB Financial Center, CCP Complex","PAL-PH^FF_CITY":"Pasay City","PAL-PH^FF_POSTAL":"1307","PAL-PH^FF_STATE_PROVINCE":"Metropolitan Manila","PAL-PH^FF_COUNTRY":"PHILIPPINES","PAL-PH^FF_SALES(ANN_R,0)":55263.966,"TRZ-CA^FF_CO_NAME":"Transat A.T., Inc.","TRZ-CA^FF_ADDRESS":"300 Léo-Pariseau Street","TRZ-CA^FF_ADDRESS2":"Place du Parc","TRZ-CA^FF_CITY":"Montréal","TRZ-CA^FF_POSTAL":"H2X 4C2","TRZ-CA^FF_STATE_PROVINCE":"Québec","TRZ-CA^FF_COUNTRY":"CANADA","TRZ-CA^FF_SALES(ANN_R,0)":1302.069,"SKYW-US^FE_ESTIMATE(SALES,MEDIAN,ANN_ROLL,+5,NOW,,,'')":null,"SKYW-US^FF_EBIT_OPER(ANN_R,NOW)":-236.689,"SKYW-US^FE_ESTIMATE(EBIT,MEDIAN,ANN_ROLL,+5,NOW,,,'')":null,"SKYW-US^FF_DEP_AMORT_EXP(ANN_R,0)":474.959,"SKYW-US^FE_ESTIMATE(DEP_AMORT_EXP,MEDIAN,ANN_ROLL,+5,NOW,,,'')":null,"SKYW-US^FF_EBITDA_OPER(ANN,NOW)":238.27,"SKYW-US^FE_ESTIMATE(EBITDA,MEDIAN,ANN_ROLL,+5,NOW,,,'')":null,"SKYW-US^FF_EPS(ANN_R,NOW)":-0.1696,"SKYW-US^FE_ESTIMATE(EPS,MEDIAN,ANN_ROLL,+5,NOW,,,'')":null,"AC-CA^FE_ESTIMATE(SALES,MEDIAN,ANN_ROLL,+5,NOW,,,'')":20662.5,"AC-CA^FF_EBIT_OPER(ANN_R,NOW)":-3892.0,"AC-CA^FE_ESTIMATE(EBIT,MEDIAN,ANN_ROLL,+5,NOW,,,'')":2550.0,"AC-CA^FF_DEP_AMORT_EXP(ANN_R,0)":1835.0,"AC-CA^FE_ESTIMATE(DEP_AMORT_EXP,MEDIAN,ANN_ROLL,+5,NOW,,,'')":1857.0,"AC-CA^FF_EBITDA_OPER(ANN,NOW)":-2057.0,"AC-CA^FE_ESTIMATE(EBITDA,MEDIAN,ANN_ROLL,+5,NOW,,,'')":4365.5,"AC-CA^FF_EPS(ANN_R,NOW)":-16.4787,"AC-CA^FE_ESTIMATE(EPS,MEDIAN,ANN_ROLL,+5,NOW,,,'')":5.125,"SKYW-US^FF_COM_SHS_OUT_EPS_BASIC(ANN_R,0)":50.195,"AC-CA^FF_COM_SHS_OUT_EPS_BASIC(ANN_R,0)":282.0,"SKYW-US^FG_MKT_VALUE(0)":2228.303,"SKYW-US^FF_ENTRPR_VAL(ANN_R,0)":4689.63445,"AC-CA^FG_MKT_VALUE(0)":8342.275,"AC-CA^FF_ENTRPR_VAL(ANN_R,0)":11803.14,"SKYW-US^FG_COMPANY_NAME":"SkyWest, Inc","AC-CA^FG_COMPANY_NAME":"Air Canada","AAL-US^FE_ESTIMATE(SALES,MEDIAN,ANN_ROLL,+5,NOW,,,'')":null,"AAL-US^FF_EBIT_OPER(ANN_R,NOW)":-11387.0,"AAL-US^FE_ESTIMATE(EBIT,MEDIAN,ANN_ROLL,+5,NOW,,,'')":null,"AAL-US^FF_DEP_AMORT_EXP(ANN_R,0)":2365.0,"AAL-US^FE_ESTIMATE(DEP_AMORT_EXP,MEDIAN,ANN_ROLL,+5,NOW,,,'')":null,"AAL-US^FF_EBITDA_OPER(ANN,NOW)":-9022.0,"AAL-US^FE_ESTIMATE(EBITDA,MEDIAN,ANN_ROLL,+5,NOW,,,'')":null,"AAL-US^FF_EPS(ANN_R,NOW)":-18.3617,"AAL-US^FE_ESTIMATE(EPS,MEDIAN,ANN_ROLL,+5,NOW,,,'')":null,"ALK-US^FE_ESTIMATE(SALES,MEDIAN,ANN_ROLL,+5,NOW,,,'')":null,"ALK-US^FF_EBIT_OPER(ANN_R,NOW)":-1691.0,"ALK-US^FE_ESTIMATE(EBIT,MEDIAN,ANN_ROLL,+5,NOW,,,'')":null,"ALK-US^FF_DEP_AMORT_EXP(ANN_R,0)":420.0,"ALK-US^FE_ESTIMATE(DEP_AMORT_EXP,MEDIAN,ANN_ROLL,+5,NOW,,,'')":null,"ALK-US^FF_EBITDA_OPER(ANN,NOW)":-1271.0,"ALK-US^FE_ESTIMATE(EBITDA,MEDIAN,ANN_ROLL,+5,NOW,,,'')":null,"ALK-US^FF_EPS(ANN_R,NOW)":-10.725,"ALK-US^FE_ESTIMATE(EPS,MEDIAN,ANN_ROLL,+5,NOW,,,'')":null,"AAL-US^FF_COM_SHS_OUT_EPS_BASIC(ANN_R,0)":483.888,"ALK-US^FF_COM_SHS_OUT_EPS_BASIC(ANN_R,0)":123.45,"AAL-US^FG_MKT_VALUE(0)":12600.621,"AAL-US^FF_ENTRPR_VAL(ANN_R,0)":41178.91376,"ALK-US^FG_MKT_VALUE(0)":6630.2046,"ALK-US^FF_ENTRPR_VAL(ANN_R,0)":8126.4,"AAL-US^FG_COMPANY_NAME":"American Airlines Group, Inc.","ALK-US^FG_COMPANY_NAME":"Alaska Air Group, Inc.","CHR-CA^FF_COM_SHS_OUT_EPS_BASIC(ANN_R,0)":161.585547,"CHR-CA^FE_ESTIMATE(SALES,MEDIAN,ANN_ROLL,+5,NOW,,,'')":1652.457,"CHR-CA^FF_EBIT_OPER(ANN_R,NOW)":114.547,"CHR-CA^FE_ESTIMATE(EBIT,MEDIAN,ANN_ROLL,+5,NOW,,,'')":339.581,"CHR-CA^FF_DEP_AMORT_EXP(ANN_R,0)":224.354,"CHR-CA^FE_ESTIMATE(DEP_AMORT_EXP,MEDIAN,ANN_ROLL,+5,NOW,,,'')":null,"CHR-CA^FF_EBITDA_OPER(ANN,NOW)":338.901,"CHR-CA^FE_ESTIMATE(EBITDA,MEDIAN,ANN_ROLL,+5,NOW,,,'')":509.622,"CHR-CA^FF_EPS(ANN_R,NOW)":0.2567,"CHR-CA^FE_ESTIMATE(EPS,MEDIAN,ANN_ROLL,+5,NOW,,,'')":1.09,"CPA-US^FF_COM_SHS_OUT_EPS_BASIC(ANN_R,0)":42.508,"CPA-US^FE_ESTIMATE(SALES,MEDIAN,ANN_ROLL,+5,NOW,,,'')":null,"CPA-US^FF_EBIT_OPER(ANN_R,NOW)":-217.843,"CPA-US^FE_ESTIMATE(EBIT,MEDIAN,ANN_ROLL,+5,NOW,,,'')":null,"CPA-US^FF_DEP_AMORT_EXP(ANN_R,0)":259.336,"CPA-US^FE_ESTIMATE(DEP_AMORT_EXP,MEDIAN,ANN_ROLL,+5,NOW,,,'')":null,"CPA-US^FF_EBITDA_OPER(ANN,NOW)":41.493,"CPA-US^FE_ESTIMATE(EBITDA,MEDIAN,ANN_ROLL,+5,NOW,,,'')":null,"CPA-US^FF_EPS(ANN_R,NOW)":-14.2811,"CPA-US^FE_ESTIMATE(EPS,MEDIAN,ANN_ROLL,+5,NOW,,,'')":null,"PAL-PH^FF_COM_SHS_OUT_EPS_BASIC(ANN_R,0)":11610.978242,"PAL-PH^FE_ESTIMATE(SALES,MEDIAN,ANN_ROLL,+5,NOW,,,'')":null,"PAL-PH^FF_EBIT_OPER(ANN_R,NOW)":-26576.538,"PAL-PH^FE_ESTIMATE(EBIT,MEDIAN,ANN_ROLL,+5,NOW,,,'')":null,"PAL-PH^FF_DEP_AMORT_EXP(ANN_R,0)":25853.203,"PAL-PH^FE_ESTIMATE(DEP_AMORT_EXP,MEDIAN,ANN_ROLL,+5,NOW,,,'')":null,"PAL-PH^FF_EBITDA_OPER(ANN,NOW)":-723.335,"PAL-PH^FE_ESTIMATE(EBITDA,MEDIAN,ANN_ROLL,+5,NOW,,,'')":null,"PAL-PH^FF_EPS(ANN_R,NOW)":-6.1847,"PAL-PH^FE_ESTIMATE(EPS,MEDIAN,ANN_ROLL,+5,NOW,,,'')":null,"TRZ-CA^FF_COM_SHS_OUT_EPS_BASIC(ANN_R,0)":37.747,"TRZ-CA^FE_ESTIMATE(SALES,MEDIAN,ANN_ROLL,+5,NOW,,,'')":2953.394,"TRZ-CA^FF_EBIT_OPER(ANN_R,NOW)":null,"TRZ-CA^FE_ESTIMATE(EBIT,MEDIAN,ANN_ROLL,+5,NOW,,,'')":null,"TRZ-CA^FF_DEP_AMORT_EXP(ANN_R,0)":204.11,"TRZ-CA^FE_ESTIMATE(DEP_AMORT_EXP,MEDIAN,ANN_ROLL,+5,NOW,,,'')":178.706,"TRZ-CA^FF_EBITDA_OPER(ANN,NOW)":null,"TRZ-CA^FE_ESTIMATE(EBITDA,MEDIAN,ANN_ROLL,+5,NOW,,,'')":212.986,"TRZ-CA^FF_EPS(ANN_R,NOW)":null,"TRZ-CA^FE_ESTIMATE(EPS,MEDIAN,ANN_ROLL,+5,NOW,,,'')":-1.08,"CHR-CA^FG_COMPANY_NAME":"Chorus Aviation Inc.","CHR-CA^FG_PRICE(0)":3.9,"CHR-CA^FG_MKT_VALUE(0)":692.8389,"CHR-CA^FF_ENTRPR_VAL(ANN_R,0)":2634.3681368,"CPA-US^FG_COMPANY_NAME":"Copa Holdings, S.A. Class A","CPA-US^FG_PRICE(0)":77.39,"CPA-US^FG_MKT_VALUE(0)":3287.8386,"CPA-US^FF_ENTRPR_VAL(ANN_R,0)":3787.42184,"PAL-PH^FG_COMPANY_NAME":"PAL Holdings, Inc.","PAL-PH^FG_PRICE(0)":6.05,"PAL-PH^FG_MKT_VALUE(0)":null,"PAL-PH^FF_ENTRPR_VAL(ANN_R,0)":275621.3134851,"TRZ-CA^FG_COMPANY_NAME":"Transat A.T. Inc.","TRZ-CA^FG_PRICE(0)":4.86,"TRZ-CA^FG_MKT_VALUE(0)":183.45091,"TRZ-CA^FF_ENTRPR_VAL(ANN_R,0)":643.21955,"2610-TW^FF_COM_SHS_OUT_EPS_BASIC(ANN_R,0)":5418.776,"2610-TW^FE_ESTIMATE(SALES,MEDIAN,ANN_ROLL,+5,NOW,,,'')":null,"2610-TW^FF_EBIT_OPER(ANN_R,NOW)":2184.686,"2610-TW^FE_ESTIMATE(EBIT,MEDIAN,ANN_ROLL,+5,NOW,,,'')":null,"2610-TW^FF_DEP_AMORT_EXP(ANN_R,0)":31373.913,"2610-TW^FE_ESTIMATE(DEP_AMORT_EXP,MEDIAN,ANN_ROLL,+5,NOW,,,'')":null,"2610-TW^FF_EBITDA_OPER(ANN,NOW)":33558.599,"2610-TW^FE_ESTIMATE(EBITDA,MEDIAN,ANN_ROLL,+5,NOW,,,'')":null,"2610-TW^FF_EPS(ANN_R,NOW)":0.0258,"2610-TW^FE_ESTIMATE(EPS,MEDIAN,ANN_ROLL,+5,NOW,,,'')":null,"ELAL-IL^FF_COM_SHS_OUT_EPS_BASIC(ANN_R,0)":89.312625,"ELAL-IL^FE_ESTIMATE(SALES,MEDIAN,ANN_ROLL,+5,NOW,,,'')":null,"ELAL-IL^FF_EBIT_OPER(ANN_R,NOW)":-1325.65647,"ELAL-IL^FE_ESTIMATE(EBIT,MEDIAN,ANN_ROLL,+5,NOW,,,'')":null,"ELAL-IL^FF_DEP_AMORT_EXP(ANN_R,0)":826.766773826812,"ELAL-IL^FE_ESTIMATE(DEP_AMORT_EXP,MEDIAN,ANN_ROLL,+5,NOW,,,'')":null,"ELAL-IL^FF_EBITDA_OPER(ANN,NOW)":-498.8897,"ELAL-IL^FE_ESTIMATE(EBITDA,MEDIAN,ANN_ROLL,+5,NOW,,,'')":null,"ELAL-IL^FF_EPS(ANN_R,NOW)":-20.4479,"ELAL-IL^FE_ESTIMATE(EPS,MEDIAN,ANN_ROLL,+5,NOW,,,'')":null,"1055-HK^FF_COM_SHS_OUT_EPS_BASIC(ANN_R,0)":14057.0,"1055-HK^FE_ESTIMATE(SALES,MEDIAN,ANN_ROLL,+5,NOW,,,'')":null,"1055-HK^FF_EBIT_OPER(ANN_R,NOW)":-14146.17582,"1055-HK^FE_ESTIMATE(EBIT,MEDIAN,ANN_ROLL,+5,NOW,,,'')":null,"1055-HK^FF_DEP_AMORT_EXP(ANN_R,0)":27558.5798599536,"1055-HK^FE_ESTIMATE(DEP_AMORT_EXP,MEDIAN,ANN_ROLL,+5,NOW,,,'')":null,"1055-HK^FF_EBITDA_OPER(ANN,NOW)":13412.40404,"1055-HK^FE_ESTIMATE(EBITDA,MEDIAN,ANN_ROLL,+5,NOW,,,'')":null,"1055-HK^FF_EPS(ANN_R,NOW)":-0.7713,"1055-HK^FE_ESTIMATE(EPS,MEDIAN,ANN_ROLL,+5,NOW,,,'')":null,"PFAVH-CO^FF_COM_SHS_OUT_EPS_BASIC(ANN_R,0)":996.987,"PFAVH-CO^FE_ESTIMATE(SALES,MEDIAN,ANN_ROLL,+5,NOW,,,'')":null,"PFAVH-CO^FF_EBIT_OPER(ANN_R,NOW)":-1889003.3056,"PFAVH-CO^FE_ESTIMATE(EBIT,MEDIAN,ANN_ROLL,+5,NOW,,,'')":null,"PFAVH-CO^FF_DEP_AMORT_EXP(ANN_R,0)":1969945.70052649,"PFAVH-CO^FE_ESTIMATE(DEP_AMORT_EXP,MEDIAN,ANN_ROLL,+5,NOW,,,'')":null,"PFAVH-CO^FF_EBITDA_OPER(ANN,NOW)":80942.39493,"PFAVH-CO^FE_ESTIMATE(EBITDA,MEDIAN,ANN_ROLL,+5,NOW,,,'')":null,"PFAVH-CO^FF_EPS(ANN_R,NOW)":-4029.4529,"PFAVH-CO^FE_ESTIMATE(EPS,MEDIAN,ANN_ROLL,+5,NOW,,,'')":null,"QAN-AU^FF_COM_SHS_OUT_EPS_BASIC(ANN_R,0)":1882.0,"QAN-AU^FE_ESTIMATE(SALES,MEDIAN,ANN_ROLL,+5,NOW,,,'')":20351.0,"QAN-AU^FF_EBIT_OPER(ANN_R,NOW)":-2671.0,"QAN-AU^FE_ESTIMATE(EBIT,MEDIAN,ANN_ROLL,+5,NOW,,,'')":2252.0,"QAN-AU^FF_DEP_AMORT_EXP(ANN_R,0)":1939.0,"QAN-AU^FE_ESTIMATE(DEP_AMORT_EXP,MEDIAN,ANN_ROLL,+5,NOW,,,'')":null,"QAN-AU^FF_EBITDA_OPER(ANN,NOW)":-732.0,"QAN-AU^FE_ESTIMATE(EBITDA,MEDIAN,ANN_ROLL,+5,NOW,,,'')":4329.0,"QAN-AU^FF_EPS(ANN_R,NOW)":-0.9182,"QAN-AU^FE_ESTIMATE(EPS,MEDIAN,ANN_ROLL,+5,NOW,,,'')":0.832,"MESA-US^FF_COM_SHS_OUT_EPS_BASIC(ANN_R,0)":35.237,"MESA-US^FE_ESTIMATE(SALES,MEDIAN,ANN_ROLL,+5,NOW,,,'')":null,"MESA-US^FF_EBIT_OPER(ANN_R,NOW)":null,"MESA-US^FE_ESTIMATE(EBIT,MEDIAN,ANN_ROLL,+5,NOW,,,'')":null,"MESA-US^FF_DEP_AMORT_EXP(ANN_R,0)":82.296,"MESA-US^FE_ESTIMATE(DEP_AMORT_EXP,MEDIAN,ANN_ROLL,+5,NOW,,,'')":null,"MESA-US^FF_EBITDA_OPER(ANN,NOW)":null,"MESA-US^FE_ESTIMATE(EBITDA,MEDIAN,ANN_ROLL,+5,NOW,,,'')":null,"MESA-US^FF_EPS(ANN_R,NOW)":null,"MESA-US^FE_ESTIMATE(EPS,MEDIAN,ANN_ROLL,+5,NOW,,,'')":null,"VOLARA-MX^FF_COM_SHS_OUT_EPS_BASIC(ANN_R,0)":1021.561,"VOLARA-MX^FE_ESTIMATE(SALES,MEDIAN,ANN_ROLL,+5,NOW,,,'')":null,"VOLARA-MX^FF_EBIT_OPER(ANN_R,NOW)":-3572.707,"VOLARA-MX^FE_ESTIMATE(EBIT,MEDIAN,ANN_ROLL,+5,NOW,,,'')":null,"VOLARA-MX^FF_DEP_AMORT_EXP(ANN_R,0)":5947.421,"VOLARA-MX^FE_ESTIMATE(DEP_AMORT_EXP,MEDIAN,ANN_ROLL,+5,NOW,,,'')":null,"VOLARA-MX^FF_EBITDA_OPER(ANN,NOW)":2374.714,"VOLARA-MX^FE_ESTIMATE(EBITDA,MEDIAN,ANN_ROLL,+5,NOW,,,'')":null,"VOLARA-MX^FF_EPS(ANN_R,NOW)":-4.2032,"VOLARA-MX^FE_ESTIMATE(EPS,MEDIAN,ANN_ROLL,+5,NOW,,,'')":null,"AEROMEX-MX^FF_COM_SHS_OUT_EPS_BASIC(ANN_R,0)":682.275305,"AEROMEX-MX^FE_ESTIMATE(SALES,MEDIAN,ANN_ROLL,+5,NOW,,,'')":null,"AEROMEX-MX^FF_EBIT_OPER(ANN_R,NOW)":-17638.447,"AEROMEX-MX^FE_ESTIMATE(EBIT,MEDIAN,ANN_ROLL,+5,NOW,,,'')":null,"AEROMEX-MX^FF_DEP_AMORT_EXP(ANN_R,0)":12767.821,"AEROMEX-MX^FE_ESTIMATE(DEP_AMORT_EXP,MEDIAN,ANN_ROLL,+5,NOW,,,'')":null,"AEROMEX-MX^FF_EBITDA_OPER(ANN,NOW)":-4870.626,"AEROMEX-MX^FE_ESTIMATE(EBITDA,MEDIAN,ANN_ROLL,+5,NOW,,,'')":null,"AEROMEX-MX^FF_EPS(ANN_R,NOW)":-62.3347,"AEROMEX-MX^FE_ESTIMATE(EPS,MEDIAN,ANN_ROLL,+5,NOW,,,'')":null,"HA-US^FF_COM_SHS_OUT_EPS_BASIC(ANN_R,0)":46.1,"HA-US^FE_ESTIMATE(SALES,MEDIAN,ANN_ROLL,+5,NOW,,,'')":null,"HA-US^FF_EBIT_OPER(ANN_R,NOW)":-466.575,"HA-US^FE_ESTIMATE(EBIT,MEDIAN,ANN_ROLL,+5,NOW,,,'')":null,"HA-US^FF_DEP_AMORT_EXP(ANN_R,0)":151.665,"HA-US^FE_ESTIMATE(DEP_AMORT_EXP,MEDIAN,ANN_ROLL,+5,NOW,,,'')":null,"HA-US^FF_EBITDA_OPER(ANN,NOW)":-314.91,"HA-US^FE_ESTIMATE(EBITDA,MEDIAN,ANN_ROLL,+5,NOW,,,'')":null,"HA-US^FF_EPS(ANN_R,NOW)":-11.0832,"HA-US^FE_ESTIMATE(EPS,MEDIAN,ANN_ROLL,+5,NOW,,,'')":null,"LTM-CL^FF_COM_SHS_OUT_EPS_BASIC(ANN_R,0)":606.407693,"LTM-CL^FE_ESTIMATE(SALES,MEDIAN,ANN_ROLL,+5,NOW,,,'')":null,"LTM-CL^FF_EBIT_OPER(ANN_R,NOW)":-1389557.86161,"LTM-CL^FE_ESTIMATE(EBIT,MEDIAN,ANN_ROLL,+5,NOW,,,'')":null,"LTM-CL^FF_DEP_AMORT_EXP(ANN_R,0)":1099866.65727221,"LTM-CL^FE_ESTIMATE(DEP_AMORT_EXP,MEDIAN,ANN_ROLL,+5,NOW,,,'')":null,"LTM-CL^FF_EBITDA_OPER(ANN,NOW)":-289691.20434,"LTM-CL^FE_ESTIMATE(EBITDA,MEDIAN,ANN_ROLL,+5,NOW,,,'')":null,"LTM-CL^FF_EPS(ANN_R,NOW)":-5934.3209,"LTM-CL^FE_ESTIMATE(EPS,MEDIAN,ANN_ROLL,+5,NOW,,,'')":null,"2610-TW^FG_COMPANY_NAME":"China Airlines Ltd.","2610-TW^FG_PRICE(0)":29.65,"2610-TW^FG_MKT_VALUE(0)":168093.11,"2610-TW^FF_ENTRPR_VAL(ANN_R,0)":175128.1438,"ELAL-IL^FG_COMPANY_NAME":"El Al Israel Airlines Ltd","ELAL-IL^FG_PRICE(0)":3.183,"ELAL-IL^FG_MKT_VALUE(0)":537.2999,"ELAL-IL^FF_ENTRPR_VAL(ANN_R,0)":7300.6517806,"1055-HK^FG_COMPANY_NAME":"China Southern Airlines Company Limited Class H","1055-HK^FG_PRICE(0)":4.73,"1055-HK^FG_MKT_VALUE(0)":80166.164,"1055-HK^FF_ENTRPR_VAL(ANN_R,0)":279407.498161051,"PFAVH-CO^FG_COMPANY_NAME":"Avianca Holdings SA Pfd","PFAVH-CO^FG_PRICE(0)":42.5,"PFAVH-CO^FG_MKT_VALUE(0)":42371.95,"PFAVH-CO^FF_ENTRPR_VAL(ANN_R,0)":18292073.2128244,"QAN-AU^FG_COMPANY_NAME":"Qantas Airways Limited","QAN-AU^FG_PRICE(0)":5.29,"QAN-AU^FG_MKT_VALUE(0)":9960.756,"QAN-AU^FF_ENTRPR_VAL(ANN_R,0)":14781.12,"MESA-US^FG_COMPANY_NAME":"Mesa Air Group Inc","MESA-US^FG_PRICE(0)":7.68,"MESA-US^FG_MKT_VALUE(0)":275.64285,"MESA-US^FF_ENTRPR_VAL(ANN_R,0)":839.5046,"VOLARA-MX^FG_COMPANY_NAME":"Controladora Vuela Compania de Aviacion SAB de CV Class A","VOLARA-MX^FG_PRICE(0)":33.01,"VOLARA-MX^FG_MKT_VALUE(0)":38136.6,"VOLARA-MX^FF_ENTRPR_VAL(ANN_R,0)":64685.85597,"AEROMEX-MX^FG_COMPANY_NAME":"Grupo Aeromexico SA de CV","AEROMEX-MX^FG_PRICE(0)":5.38,"AEROMEX-MX^FG_MKT_VALUE(0)":3669.8057,"AEROMEX-MX^FF_ENTRPR_VAL(ANN_R,0)":69822.89455275,"HA-US^FG_COMPANY_NAME":"Hawaiian Holdings, Inc.","HA-US^FG_PRICE(0)":19.82,"HA-US^FG_MKT_VALUE(0)":1015.03766,"HA-US^FF_ENTRPR_VAL(ANN_R,0)":1829.111,"LTM-CL^FG_COMPANY_NAME":"LATAM Airlines Group SA","LTM-CL^FG_PRICE(0)":907.83,"LTM-CL^FG_MKT_VALUE(0)":550515.4,"LTM-CL^FF_ENTRPR_VAL(ANN_R,0)":7272713.82855622,"AAL-US^FF_SALES(ANN_R,12/2019,,,,,B)":45.768,"AAL-US^FF_SALES(ANN_R,12/2020,,,,,B)":17.337,"AAL-US^FF_EBITDA_OPER(ANN_R,12/2018,,,,,B)":5.606,"AAL-US^FF_EBITDA_OPER(ANN_R,12/2017,,,,,B)":6.982,"AAL-US^FF_EBITDA_OPER(ANN_R,12/2016,,,,,B)":7.833,"AAL-US^FF_EBITDA_OPER(ANN_R,12/2015,,,,,B)":8.9,"AAL-US^FF_EBITDA_OPER(ANN_R,12/2014,,,,,B)":6.589,"AAL-US^FF_EBITDA_OPER(ANN_R,12/2013,,,,,B)":2.953,"AAL-US^FF_EBITDA_OPER(ANN_R,12/2012,,,,,B)":1.513,"AAL-US^FF_EBITDA_OPER(ANN_R,12/2011,,,,,B)":1.141,"AAL-US^FF_COM_SHS_OUT(ANN_R,12/2020)":621.479522,"AAL-US^FF_COM_SHS_OUT(ANN_R,12/2019)":428.202506,"AAL-US^FF_COM_SHS_OUT(ANN_R,12/2018)":460.61087,"AAL-US^FF_COM_SHS_OUT(ANN_R,12/2017)":475.507887,"AAL-US^FF_COM_SHS_OUT(ANN_R,12/2016)":507.294153,"AAL-US^FF_COM_SHS_OUT(ANN_R,12/2015)":624.622381,"AAL-US^FF_COM_SHS_OUT(ANN_R,12/2014)":697.474535,"AAL-US^FF_COM_SHS_OUT(ANN_R,12/2013)":261.069,"AAL-US^FF_COM_SHS_OUT(ANN_R,12/2012)":335.292238,"AAL-US^FF_COM_SHS_OUT(ANN_R,12/2011)":335.267398,"DAL-US^FF_INC_TAX(ANN_R,12/2020,,,,,B)":-3.202,"DAL-US^FF_EBIT_OPER(ANN_R,12/2020,,,,,B)":-8.281,"DAL-US^FF_INC_TAX(ANN_R,12/2019,,,,,B)":1.431,"DAL-US^FF_EBIT_OPER(ANN_R,12/2019,,,,,B)":6.658,"DAL-US^FF_INC_TAX(ANN_R,12/2018,,,,,B)":1.216,"DAL-US^FF_EBIT_OPER(ANN_R,12/2018,,,,,B)":5.267,"DAL-US^FF_INC_TAX(ANN_R,12/2017,,,,,B)":2.295,"DAL-US^FF_EBIT_OPER(ANN_R,12/2017,,,,,B)":6.037,"AAL-US^FF_TAX_RATE(ANN_R,12/2020)":null,"LUV-US^FF_NON_OPER_INC(ANN_R,12/2020,,,,,B)":-0.147,"LUV-US^FF_NON_OPER_INC(ANN_R,12/2019,,,,,B)":0.029,"LUV-US^FF_NON_OPER_INC(ANN_R,12/2018,,,,,B)":0.078,"LUV-US^FF_NON_OPER_INC(ANN_R,12/2017,,,,,B)":-0.433,"LUV-US^FF_NON_OPER_INC(ANN_R,12/2016,,,,,B)":0.003,"LUV-US^FF_NON_OPER_INC(ANN_R,12/2015,,,,,B)":-0.033,"LUV-US^FF_NON_OPER_INC(ANN_R,12/2014,,,,,B)":0.263,"LUV-US^FF_NON_OPER_INC(ANN_R,12/2013,,,,,B)":0.188,"LUV-US^FF_NON_OPER_INC(ANN_R,12/2012,,,,,B)":-0.177,"LUV-US^FF_NON_OPER_INC(ANN_R,12/2011,,,,,B)":-0.171,"LUV-US^FF_UNUSUAL_EXP(ANN_R,12/2020,,,,,B)":-0.906,"LUV-US^FF_UNUSUAL_EXP(ANN_R,12/2019,,,,,B)":0.024,"LUV-US^FF_UNUSUAL_EXP(ANN_R,12/2018,,,,,B)":0.029,"LUV-US^FF_UNUSUAL_EXP(ANN_R,12/2017,,,,,B)":0.225,"LUV-US^FF_UNUSUAL_EXP(ANN_R,12/2016,,,,,B)":null,"LUV-US^FF_UNUSUAL_EXP(ANN_R,12/2015,,,,,B)":0.988,"LUV-US^FF_UNUSUAL_EXP(ANN_R,12/2014,,,,,B)":0.634,"LUV-US^FF_UNUSUAL_EXP(ANN_R,12/2013,,,,,B)":0.043,"LUV-US^FF_UNUSUAL_EXP(ANN_R,12/2012,,,,,B)":-0.081,"LUV-US^FF_UNUSUAL_EXP(ANN_R,12/2011,,,,,B)":0.262,"LUV-US^FF_SALES(ANN_R,12/2020,,,,,B)":9.048,"LUV-US^FF_SALES(ANN_R,12/2019,,,,,B)":22.428,"LUV-US^FF_SALES(ANN_R,12/2018,,,,,B)":21.965,"LUV-US^FF_SALES(ANN_R,12/2017,,,,,B)":21.146,"LUV-US^FF_SALES(ANN_R,12/2016,,,,,B)":20.289,"LUV-US^FF_SALES(ANN_R,12/2015,,,,,B)":19.82,"LUV-US^FF_SALES(ANN_R,12/2014,,,,,B)":18.605,"LUV-US^FF_SALES(ANN_R,12/2013,,,,,B)":17.699,"LUV-US^FF_SALES(ANN_R,12/2012,,,,,B)":17.088,"LUV-US^FF_SALES(ANN_R,12/2011,,,,,B)":15.658,"LUV-US^FF_COGS(ANN_R,12/2020,,,,,B)":11.835,"LUV-US^FF_COGS(ANN_R,12/2019,,,,,B)":16.397,"LUV-US^FF_COGS(ANN_R,12/2018,,,,,B)":15.94,"LUV-US^FF_COGS(ANN_R,12/2017,,,,,B)":14.34,"LUV-US^FF_COGS(ANN_R,12/2016,,,,,B)":14.064,"LUV-US^FF_COGS(ANN_R,12/2015,,,,,B)":13.045,"LUV-US^FF_COGS(ANN_R,12/2014,,,,,B)":14.083,"LUV-US^FF_COGS(ANN_R,12/2013,,,,,B)":14.374,"LUV-US^FF_COGS(ANN_R,12/2012,,,,,B)":14.142,"LUV-US^FF_COGS(ANN_R,12/2011,,,,,B)":12.841,"LUV-US^FF_SGA(ANN_R,12/2020,,,,,B)":1.926,"LUV-US^FF_SGA(ANN_R,12/2019,,,,,B)":3.026,"LUV-US^FF_SGA(ANN_R,12/2018,,,,,B)":2.852,"LUV-US^FF_SGA(ANN_R,12/2017,,,,,B)":2.847,"LUV-US^FF_SGA(ANN_R,12/2016,,,,,B)":2.703,"LUV-US^FF_SGA(ANN_R,12/2015,,,,,B)":2.205,"LUV-US^FF_SGA(ANN_R,12/2014,,,,,B)":2.205,"LUV-US^FF_SGA(ANN_R,12/2013,,,,,B)":2.126,"LUV-US^FF_SGA(ANN_R,12/2012,,,,,B)":2.039,"LUV-US^FF_SGA(ANN_R,12/2011,,,,,B)":1.879,"LUV-US^FF_INT_EXP_NET(ANN_R,12/2020,,,,,B)":0.302,"LUV-US^FF_INT_EXP_NET(ANN_R,12/2019,,,,,B)":0.053,"LUV-US^FF_INT_EXP_NET(ANN_R,12/2018,,,,,B)":0.058,"LUV-US^FF_INT_EXP_NET(ANN_R,12/2017,,,,,B)":0.036,"LUV-US^FF_INT_EXP_NET(ANN_R,12/2016,,,,,B)":0.075,"LUV-US^FF_INT_EXP_NET(ANN_R,12/2015,,,,,B)":0.07,"LUV-US^FF_INT_EXP_NET(ANN_R,12/2014,,,,,B)":0.13,"LUV-US^FF_INT_EXP_NET(ANN_R,12/2013,,,,,B)":0.135,"LUV-US^FF_INT_EXP_NET(ANN_R,12/2012,,,,,B)":0.126,"LUV-US^FF_INT_EXP_NET(ANN_R,12/2011,,,,,B)":0.182,"LUV-US^FF_INC_TAX(ANN_R,12/2020,,,,,B)":-1.182,"LUV-US^FF_EBIT_OPER(ANN_R,12/2020,,,,,B)":-4.713,"LUV-US^FF_INC_TAX(ANN_R,12/2019,,,,,B)":0.657,"LUV-US^FF_EBIT_OPER(ANN_R,12/2019,,,,,B)":3.005,"LUV-US^FF_INC_TAX(ANN_R,12/2018,,,,,B)":0.699,"LUV-US^FF_EBIT_OPER(ANN_R,12/2018,,,,,B)":3.173,"LUV-US^FF_INC_TAX(ANN_R,12/2017,,,,,B)":-0.092,"LUV-US^FF_EBIT_OPER(ANN_R,12/2017,,,,,B)":3.959,"LUV-US^FF_INC_TAX(ANN_R,12/2016,,,,,B)":1.267,"LUV-US^FF_EBIT_OPER(ANN_R,12/2016,,,,,B)":3.522,"LUV-US^FF_INC_TAX(ANN_R,12/2015,,,,,B)":1.298,"LUV-US^FF_EBIT_OPER(ANN_R,12/2015,,,,,B)":4.57,"LUV-US^FF_INC_TAX(ANN_R,12/2014,,,,,B)":0.68,"LUV-US^FF_EBIT_OPER(ANN_R,12/2014,,,,,B)":2.317,"LUV-US^FF_INC_TAX(ANN_R,12/2013,,,,,B)":0.455,"LUV-US^FF_EBIT_OPER(ANN_R,12/2013,,,,,B)":1.199,"LUV-US^FF_INC_TAX(ANN_R,12/2012,,,,,B)":0.264,"LUV-US^FF_EBIT_OPER(ANN_R,12/2012,,,,,B)":0.907,"LUV-US^FF_INC_TAX(ANN_R,12/2011,,,,,B)":0.145,"LUV-US^FF_EBIT_OPER(ANN_R,12/2011,,,,,B)":0.938,"LUV-US^FF_EBITDA_OPER(ANN_R,12/2020,,,,,B)":-3.458,"LUV-US^FF_EBITDA_OPER(ANN_R,12/2019,,,,,B)":4.224,"LUV-US^FF_EBITDA_OPER(ANN_R,12/2018,,,,,B)":4.374,"LUV-US^FF_EBITDA_OPER(ANN_R,12/2017,,,,,B)":5.177,"LUV-US^FF_EBITDA_OPER(ANN_R,12/2016,,,,,B)":4.743,"LUV-US^FF_EBITDA_OPER(ANN_R,12/2015,,,,,B)":5.585,"LUV-US^FF_EBITDA_OPER(ANN_R,12/2014,,,,,B)":3.255,"LUV-US^FF_EBITDA_OPER(ANN_R,12/2013,,,,,B)":2.066,"LUV-US^FF_EBITDA_OPER(ANN_R,12/2012,,,,,B)":1.751,"LUV-US^FF_EBITDA_OPER(ANN_R,12/2011,,,,,B)":1.653,"LUV-US^FF_COM_SHS_OUT(ANN_R,12/2020)":590.474337,"LUV-US^FF_COM_SHS_OUT(ANN_R,12/2019)":519.064316,"LUV-US^FF_COM_SHS_OUT(ANN_R,12/2018)":552.603359,"LUV-US^FF_COM_SHS_OUT(ANN_R,12/2017)":588.550778,"LUV-US^FF_COM_SHS_OUT(ANN_R,12/2016)":647.601617,"LUV-US^FF_COM_SHS_OUT(ANN_R,12/2015)":647.601617,"LUV-US^FF_COM_SHS_OUT(ANN_R,12/2014)":675.594084,"LUV-US^FF_COM_SHS_OUT(ANN_R,12/2013)":700.474688,"LUV-US^FF_COM_SHS_OUT(ANN_R,12/2012)":730.319489,"LUV-US^FF_COM_SHS_OUT(ANN_R,12/2011)":772.560643,"ALK-US^FF_COM_SHS_OUT(ANN_R,12/2012)":140.753086,"ALK-US^FF_COM_SHS_OUT(ANN_R,12/2013)":137.491906,"ALK-US^FF_COM_SHS_OUT(ANN_R,12/2014)":131.481473,"ALK-US^FF_EBITDA_OPER(ANN_R,12/2012,,,,,B)":0.864,"ALK-US^FF_EBITDA_OPER(ANN_R,12/2013,,,,,B)":0.966,"ALK-US^FF_EBITDA_OPER(ANN_R,12/2014,,,,,B)":1.25,"ALK-US^FF_EBITDA_OPER(ANN_R,12/2015,,,,,B)":1.675,"ALK-US^FF_COM_SHS_OUT(ANN_R,12/2015)":125.175325,"ALK-US^FF_COM_SHS_OUT(ANN_R,12/2016)":123.328051,"ALK-US^FF_EBIT_OPER(ANN_R,12/2011,,,,,B)":0.5027,"ALK-US^FF_INC_TAX(ANN_R,12/2011,,,,,B)":0.1492,"ALK-US^FF_EBIT_OPER(ANN_R,12/2012,,,,,B)":0.6,"ALK-US^FF_INC_TAX(ANN_R,12/2012,,,,,B)":0.198,"ALK-US^FF_EBIT_OPER(ANN_R,12/2013,,,,,B)":0.696,"ALK-US^FF_INC_TAX(ANN_R,12/2013,,,,,B)":0.308,"ALK-US^FF_EBIT_OPER(ANN_R,12/2014,,,,,B)":0.956,"ALK-US^FF_INC_TAX(ANN_R,12/2014,,,,,B)":0.37,"ALK-US^FF_EBIT_OPER(ANN_R,12/2015,,,,,B)":1.355,"ALK-US^FF_INC_TAX(ANN_R,12/2015,,,,,B)":0.464,"ALK-US^FF_EBIT_OPER(ANN_R,12/2016,,,,,B)":1.475,"ALK-US^FF_INC_TAX(ANN_R,12/2016,,,,,B)":0.531,"ALK-US^FF_EBIT_OPER(ANN_R,12/2017,,,,,B)":1.339,"ALK-US^FF_INC_TAX(ANN_R,12/2017,,,,,B)":0.199,"ALK-US^FF_EBIT_OPER(ANN_R,12/2018,,,,,B)":0.732,"ALK-US^FF_INC_TAX(ANN_R,12/2018,,,,,B)":0.148,"ALK-US^FF_EBIT_OPER(ANN_R,12/2019,,,,,B)":1.12,"ALK-US^FF_INC_TAX(ANN_R,12/2019,,,,,B)":0.247,"ALK-US^FF_EBIT_OPER(ANN_R,12/2020,,,,,B)":-1.691,"ALK-US^FF_INC_TAX(ANN_R,12/2020,,,,,B)":-0.516,"ALK-US^FF_INT_EXP_NET(ANN_R,12/2011,,,,,B)":0.0748,"ALK-US^FF_INT_EXP_NET(ANN_R,12/2012,,,,,B)":0.046,"ALK-US^FF_INT_EXP_NET(ANN_R,12/2013,,,,,B)":0.035,"ALK-US^FF_INT_EXP_NET(ANN_R,12/2014,,,,,B)":0.028,"ALK-US^FF_INT_EXP_NET(ANN_R,12/2015,,,,,B)":0.008,"ALK-US^FF_INT_EXP_NET(ANN_R,12/2016,,,,,B)":0.03,"ALK-US^FF_INT_EXP_NET(ANN_R,12/2017,,,,,B)":0.086,"ALK-US^FF_INT_EXP_NET(ANN_R,12/2018,,,,,B)":0.073,"ALK-US^FF_INT_EXP_NET(ANN_R,12/2019,,,,,B)":0.063,"ALK-US^FF_INT_EXP_NET(ANN_R,12/2020,,,,,B)":0.087,"ALK-US^FF_COM_SHS_OUT(ANN_R,12/2017)":123.060638,"ALK-US^FF_COM_SHS_OUT(ANN_R,12/2018)":123.19443,"ALK-US^FF_COM_SHS_OUT(ANN_R,12/2019)":123.000307,"ALK-US^FF_COM_SHS_OUT(ANN_R,12/2020)":124.21759,"ALK-US^FF_EBITDA_OPER(ANN_R,12/2011,,,,,B)":0.7496,"ALK-US^FF_EBITDA_OPER(ANN_R,12/2016,,,,,B)":1.838,"ALK-US^FF_EBITDA_OPER(ANN_R,12/2017,,,,,B)":1.711,"ALK-US^FF_EBITDA_OPER(ANN_R,12/2018,,,,,B)":1.13,"ALK-US^FF_EBITDA_OPER(ANN_R,12/2019,,,,,B)":1.543,"ALK-US^FF_EBITDA_OPER(ANN_R,12/2020,,,,,B)":-1.271,"ALK-US^FF_SGA(ANN_R,12/2011,,,,,B)":0.1753,"ALK-US^FF_SGA(ANN_R,12/2012,,,,,B)":0.168,"ALK-US^FF_SGA(ANN_R,12/2013,,,,,B)":0.179,"ALK-US^FF_SGA(ANN_R,12/2014,,,,,B)":0.199,"ALK-US^FF_SGA(ANN_R,12/2015,,,,,B)":0.211,"ALK-US^FF_SGA(ANN_R,12/2016,,,,,B)":0.225,"ALK-US^FF_SGA(ANN_R,12/2017,,,,,B)":0.368,"ALK-US^FF_SGA(ANN_R,12/2018,,,,,B)":0.326,"ALK-US^FF_SGA(ANN_R,12/2019,,,,,B)":0.313,"ALK-US^FF_SGA(ANN_R,12/2020,,,,,B)":0.101,"ALK-US^FF_COGS(ANN_R,12/2011,,,,,B)":3.4045,"ALK-US^FF_COGS(ANN_R,12/2012,,,,,B)":3.641,"ALK-US^FF_COGS(ANN_R,12/2013,,,,,B)":3.811,"ALK-US^FF_COGS(ANN_R,12/2014,,,,,B)":3.905,"ALK-US^FF_COGS(ANN_R,12/2015,,,,,B)":3.676,"ALK-US^FF_COGS(ANN_R,12/2016,,,,,B)":3.866,"ALK-US^FF_COGS(ANN_R,12/2017,,,,,B)":5.625,"ALK-US^FF_COGS(ANN_R,12/2018,,,,,B)":6.634,"ALK-US^FF_COGS(ANN_R,12/2019,,,,,B)":6.789,"ALK-US^FF_COGS(ANN_R,12/2020,,,,,B)":4.749,"ALK-US^FF_SALES(ANN_R,12/2011,,,,,B)":4.3178,"ALK-US^FF_SALES(ANN_R,12/2012,,,,,B)":4.657,"ALK-US^FF_SALES(ANN_R,12/2013,,,,,B)":4.964,"ALK-US^FF_SALES(ANN_R,12/2014,,,,,B)":5.368,"ALK-US^FF_SALES(ANN_R,12/2015,,,,,B)":5.598,"ALK-US^FF_SALES(ANN_R,12/2016,,,,,B)":5.931,"ALK-US^FF_SALES(ANN_R,12/2017,,,,,B)":7.894,"ALK-US^FF_SALES(ANN_R,12/2018,,,,,B)":8.264,"ALK-US^FF_SALES(ANN_R,12/2019,,,,,B)":8.781,"ALK-US^FF_SALES(ANN_R,12/2020,,,,,B)":3.566,"ALK-US^FF_UNUSUAL_EXP(ANN_R,12/2011,,,,,B)":0.0451,"ALK-US^FF_UNUSUAL_EXP(ANN_R,12/2012,,,,,B)":0.038,"ALK-US^FF_UNUSUAL_EXP(ANN_R,12/2013,,,,,B)":-0.2,"ALK-US^FF_UNUSUAL_EXP(ANN_R,12/2014,,,,,B)":-0.053,"ALK-US^FF_UNUSUAL_EXP(ANN_R,12/2015,,,,,B)":0.032,"ALK-US^FF_UNUSUAL_EXP(ANN_R,12/2016,,,,,B)":0.104,"ALK-US^FF_UNUSUAL_EXP(ANN_R,12/2017,,,,,B)":0.109,"ALK-US^FF_UNUSUAL_EXP(ANN_R,12/2018,,,,,B)":0.11,"ALK-US^FF_UNUSUAL_EXP(ANN_R,12/2019,,,,,B)":0.038,"ALK-US^FF_UNUSUAL_EXP(ANN_R,12/2020,,,,,B)":0.089,"ALK-US^FF_NON_OPER_INC(ANN_R,12/2011,,,,,B)":0.0109,"ALK-US^FF_NON_OPER_INC(ANN_R,12/2012,,,,,B)":-0.002,"ALK-US^FF_NON_OPER_INC(ANN_R,12/2013,,,,,B)":-0.045,"ALK-US^FF_NON_OPER_INC(ANN_R,12/2014,,,,,B)":-0.006,"ALK-US^FF_NON_OPER_INC(ANN_R,12/2015,,,,,B)":-0.003,"ALK-US^FF_NON_OPER_INC(ANN_R,12/2016,,,,,B)":0.004,"ALK-US^FF_NON_OPER_INC(ANN_R,12/2017,,,,,B)":0.015,"ALK-US^FF_NON_OPER_INC(ANN_R,12/2018,,,,,B)":0.036,"ALK-US^FF_NON_OPER_INC(ANN_R,12/2019,,,,,B)":-0.003,"ALK-US^FF_NON_OPER_INC(ANN_R,12/2020,,,,,B)":0.027,"ALK-US^FF_COM_SHS_OUT(ANN_R,12/2011)":141.8991,"SKYW-US^FF_NON_OPER_INC(ANN_R,12/2020,,,,,B)":0.007039,"SKYW-US^FF_NON_OPER_INC(ANN_R,12/2019,,,,,B)":0.061801,"SKYW-US^FF_NON_OPER_INC(ANN_R,12/2018,,,,,B)":0.012443,"SKYW-US^FF_NON_OPER_INC(ANN_R,12/2017,,,,,B)":0.004909,"SKYW-US^FF_NON_OPER_INC(ANN_R,12/2016,,,,,B)":0.000773,"SKYW-US^FF_NON_OPER_INC(ANN_R,12/2015,,,,,B)":0.001997,"SKYW-US^FF_NON_OPER_INC(ANN_R,12/2014,,,,,B)":0.024806,"SKYW-US^FF_NON_OPER_INC(ANN_R,12/2013,,,,,B)":0.014079,"SKYW-US^FF_NON_OPER_INC(ANN_R,12/2012,,,,,B)":-0.002712,"SKYW-US^FF_NON_OPER_INC(ANN_R,12/2011,,,,,B)":-0.005184,"SKYW-US^FF_UNUSUAL_EXP(ANN_R,12/2020,,,,,B)":-0.345491,"SKYW-US^FF_UNUSUAL_EXP(ANN_R,12/2019,,,,,B)":0.021869,"SKYW-US^FF_UNUSUAL_EXP(ANN_R,12/2018,,,,,B)":0.0,"SKYW-US^FF_UNUSUAL_EXP(ANN_R,12/2017,,,,,B)":0.0,"SKYW-US^FF_UNUSUAL_EXP(ANN_R,12/2016,,,,,B)":0.46437,"SKYW-US^FF_UNUSUAL_EXP(ANN_R,12/2015,,,,,B)":-0.03366,"SKYW-US^FF_UNUSUAL_EXP(ANN_R,12/2014,,,,,B)":0.074777,"SKYW-US^FF_UNUSUAL_EXP(ANN_R,12/2013,,,,,B)":0.0,"SKYW-US^FF_UNUSUAL_EXP(ANN_R,12/2012,,,,,B)":0.0,"SKYW-US^FF_UNUSUAL_EXP(ANN_R,12/2011,,,,,B)":0.011481,"SKYW-US^FF_SALES(ANN_R,12/2020,,,,,B)":2.127106,"SKYW-US^FF_SALES(ANN_R,12/2019,,,,,B)":2.971963,"SKYW-US^FF_SALES(ANN_R,12/2018,,,,,B)":3.221679,"SKYW-US^FF_SALES(ANN_R,12/2017,,,,,B)":3.122592,"SKYW-US^FF_SALES(ANN_R,12/2016,,,,,B)":3.121206,"SKYW-US^FF_SALES(ANN_R,12/2015,,,,,B)":3.095563,"SKYW-US^FF_SALES(ANN_R,12/2014,,,,,B)":3.237447,"SKYW-US^FF_SALES(ANN_R,12/2013,,,,,B)":3.297725,"SKYW-US^FF_SALES(ANN_R,12/2012,,,,,B)":3.534372,"SKYW-US^FF_SALES(ANN_R,12/2011,,,,,B)":3.654923,"SKYW-US^FF_COGS(ANN_R,12/2020,,,,,B)":2.140998,"SKYW-US^FF_COGS(ANN_R,12/2019,,,,,B)":2.194107,"SKYW-US^FF_COGS(ANN_R,12/2018,,,,,B)":2.474573,"SKYW-US^FF_COGS(ANN_R,12/2017,,,,,B)":2.483615,"SKYW-US^FF_COGS(ANN_R,12/2016,,,,,B)":2.5232,"SKYW-US^FF_COGS(ANN_R,12/2015,,,,,B)":2.601363,"SKYW-US^FF_COGS(ANN_R,12/2014,,,,,B)":2.874092,"SKYW-US^FF_COGS(ANN_R,12/2013,,,,,B)":2.905373,"SKYW-US^FF_COGS(ANN_R,12/2012,,,,,B)":3.138543,"SKYW-US^FF_COGS(ANN_R,12/2011,,,,,B)":3.367856,"SKYW-US^FF_SGA(ANN_R,12/2020,,,,,B)":0.222797,"SKYW-US^FF_SGA(ANN_R,12/2019,,,,,B)":0.243729,"SKYW-US^FF_SGA(ANN_R,12/2018,,,,,B)":0.272827,"SKYW-US^FF_SGA(ANN_R,12/2017,,,,,B)":0.250778,"SKYW-US^FF_SGA(ANN_R,12/2016,,,,,B)":0.305041,"SKYW-US^FF_SGA(ANN_R,12/2015,,,,,B)":0.259685,"SKYW-US^FF_SGA(ANN_R,12/2014,,,,,B)":0.26373,"SKYW-US^FF_SGA(ANN_R,12/2013,,,,,B)":0.239241,"SKYW-US^FF_SGA(ANN_R,12/2012,,,,,B)":null,"SKYW-US^FF_SGA(ANN_R,12/2011,,,,,B)":null,"SKYW-US^FF_INT_EXP_NET(ANN_R,12/2020,,,,,B)":0.123173,"SKYW-US^FF_INT_EXP_NET(ANN_R,12/2019,,,,,B)":0.127755,"SKYW-US^FF_INT_EXP_NET(ANN_R,12/2018,,,,,B)":0.120409,"SKYW-US^FF_INT_EXP_NET(ANN_R,12/2017,,,,,B)":0.104925,"SKYW-US^FF_INT_EXP_NET(ANN_R,12/2016,,,,,B)":0.078177,"SKYW-US^FF_INT_EXP_NET(ANN_R,12/2015,,,,,B)":0.07585,"SKYW-US^FF_INT_EXP_NET(ANN_R,12/2014,,,,,B)":0.065995,"SKYW-US^FF_INT_EXP_NET(ANN_R,12/2013,,,,,B)":0.068658,"SKYW-US^FF_INT_EXP_NET(ANN_R,12/2012,,,,,B)":0.07738,"SKYW-US^FF_INT_EXP_NET(ANN_R,12/2011,,,,,B)":0.080383,"SKYW-US^FF_INC_TAX(ANN_R,12/2020,,,,,B)":0.001188,"SKYW-US^FF_EBIT_OPER(ANN_R,12/2020,,,,,B)":-0.23669,"SKYW-US^FF_INC_TAX(ANN_R,12/2019,,,,,B)":0.106206,"SKYW-US^FF_EBIT_OPER(ANN_R,12/2019,,,,,B)":0.53413,"SKYW-US^FF_INC_TAX(ANN_R,12/2018,,,,,B)":0.085942,"SKYW-US^FF_EBIT_OPER(ANN_R,12/2018,,,,,B)":0.47428,"SKYW-US^FF_INC_TAX(ANN_R,12/2017,,,,,B)":-0.140724,"SKYW-US^FF_EBIT_OPER(ANN_R,12/2017,,,,,B)":0.3882,"SKYW-US^FF_INC_TAX(ANN_R,12/2016,,,,,B)":-0.087226,"SKYW-US^FF_EBIT_OPER(ANN_R,12/2016,,,,,B)":0.29297,"SKYW-US^FF_INC_TAX(ANN_R,12/2015,,,,,B)":0.076505,"SKYW-US^FF_EBIT_OPER(ANN_R,12/2015,,,,,B)":0.23451,"SKYW-US^FF_INC_TAX(ANN_R,12/2014,,,,,B)":0.007811,"SKYW-US^FF_EBIT_OPER(ANN_R,12/2014,,,,,B)":0.09963,"SKYW-US^FF_INC_TAX(ANN_R,12/2013,,,,,B)":0.039576,"SKYW-US^FF_EBIT_OPER(ANN_R,12/2013,,,,,B)":0.15311,"SKYW-US^FF_INC_TAX(ANN_R,12/2012,,,,,B)":0.034739,"SKYW-US^FF_EBIT_OPER(ANN_R,12/2012,,,,,B)":0.16599,"SKYW-US^FF_INC_TAX(ANN_R,12/2011,,,,,B)":-0.022835,"SKYW-US^FF_EBIT_OPER(ANN_R,12/2011,,,,,B)":0.04688,"SKYW-US^FF_EBITDA_OPER(ANN_R,12/2020,,,,,B)":0.23827,"SKYW-US^FF_EBITDA_OPER(ANN_R,12/2019,,,,,B)":0.90223,"SKYW-US^FF_EBITDA_OPER(ANN_R,12/2018,,,,,B)":0.80887,"SKYW-US^FF_EBITDA_OPER(ANN_R,12/2017,,,,,B)":0.68097,"SKYW-US^FF_EBITDA_OPER(ANN_R,12/2016,,,,,B)":0.57794,"SKYW-US^FF_EBITDA_OPER(ANN_R,12/2015,,,,,B)":0.49902,"SKYW-US^FF_EBITDA_OPER(ANN_R,12/2014,,,,,B)":0.35927,"SKYW-US^FF_EBITDA_OPER(ANN_R,12/2013,,,,,B)":0.39812,"SKYW-US^FF_EBITDA_OPER(ANN_R,12/2012,,,,,B)":0.41795,"SKYW-US^FF_EBITDA_OPER(ANN_R,12/2011,,,,,B)":0.30106,"SKYW-US^FF_COM_SHS_OUT(ANN_R,12/2020)":50.18135,"SKYW-US^FF_COM_SHS_OUT(ANN_R,12/2019)":50.322758,"SKYW-US^FF_COM_SHS_OUT(ANN_R,12/2018)":51.38829,"SKYW-US^FF_COM_SHS_OUT(ANN_R,12/2017)":51.754569,"SKYW-US^FF_COM_SHS_OUT(ANN_R,12/2016)":51.765919,"SKYW-US^FF_COM_SHS_OUT(ANN_R,12/2015)":51.004985,"SKYW-US^FF_COM_SHS_OUT(ANN_R,12/2014)":51.186025,"SKYW-US^FF_COM_SHS_OUT(ANN_R,12/2013)":51.230066,"SKYW-US^FF_COM_SHS_OUT(ANN_R,12/2012)":51.43279,"SKYW-US^FF_COM_SHS_OUT(ANN_R,12/2011)":50.612215,"AC-CA^FF_NON_OPER_INC(ANN_R,12/2020,,,,,B)":-0.2,"AC-CA^FF_NON_OPER_INC(ANN_R,12/2019,,,,,B)":-0.125,"AC-CA^FF_NON_OPER_INC(ANN_R,12/2018,,,,,B)":-1.32,"AC-CA^FF_NON_OPER_INC(ANN_R,12/2017,,,,,B)":-0.421,"AC-CA^FF_NON_OPER_INC(ANN_R,12/2016,,,,,B)":-0.625,"AC-CA^FF_NON_OPER_INC(ANN_R,12/2015,,,,,B)":-0.836,"AC-CA^FF_NON_OPER_INC(ANN_R,12/2014,,,,,B)":-0.511,"AC-CA^FF_NON_OPER_INC(ANN_R,12/2013,,,,,B)":-0.309,"AC-CA^FF_NON_OPER_INC(ANN_R,12/2012,,,,,B)":-0.255,"AC-CA^FF_NON_OPER_INC(ANN_R,12/2011,,,,,B)":-0.072,"AC-CA^FF_UNUSUAL_EXP(ANN_R,12/2020,,,,,B)":0.13,"AC-CA^FF_UNUSUAL_EXP(ANN_R,12/2019,,,,,B)":-0.029,"AC-CA^FF_UNUSUAL_EXP(ANN_R,12/2018,,,,,B)":-0.008,"AC-CA^FF_UNUSUAL_EXP(ANN_R,12/2017,,,,,B)":-0.014,"AC-CA^FF_UNUSUAL_EXP(ANN_R,12/2016,,,,,B)":0.176,"AC-CA^FF_UNUSUAL_EXP(ANN_R,12/2015,,,,,B)":0.053,"AC-CA^FF_UNUSUAL_EXP(ANN_R,12/2014,,,,,B)":-0.057,"AC-CA^FF_UNUSUAL_EXP(ANN_R,12/2013,,,,,B)":-0.11899997,"AC-CA^FF_UNUSUAL_EXP(ANN_R,12/2012,,,,,B)":-0.103,"AC-CA^FF_UNUSUAL_EXP(ANN_R,12/2011,,,,,B)":0.063,"AC-CA^FF_SALES(ANN_R,12/2020,,,,,B)":5.833,"AC-CA^FF_SALES(ANN_R,12/2019,,,,,B)":19.131,"AC-CA^FF_SALES(ANN_R,12/2018,,,,,B)":18.003,"AC-CA^FF_SALES(ANN_R,12/2017,,,,,B)":16.252,"AC-CA^FF_SALES(ANN_R,12/2016,,,,,B)":14.677,"AC-CA^FF_SALES(ANN_R,12/2015,,,,,B)":13.868,"AC-CA^FF_SALES(ANN_R,12/2014,,,,,B)":13.272,"AC-CA^FF_SALES(ANN_R,12/2013,,,,,B)":12.382,"AC-CA^FF_SALES(ANN_R,12/2012,,,,,B)":12.114,"AC-CA^FF_SALES(ANN_R,12/2011,,,,,B)":11.612,"AC-CA^FF_COGS(ANN_R,12/2020,,,,,B)":7.66,"AC-CA^FF_COGS(ANN_R,12/2019,,,,,B)":13.869,"AC-CA^FF_COGS(ANN_R,12/2018,,,,,B)":13.304,"AC-CA^FF_COGS(ANN_R,12/2017,,,,,B)":12.546,"AC-CA^FF_COGS(ANN_R,12/2016,,,,,B)":11.094,"AC-CA^FF_COGS(ANN_R,12/2015,,,,,B)":10.414,"AC-CA^FF_COGS(ANN_R,12/2014,,,,,B)":9.79,"AC-CA^FF_COGS(ANN_R,12/2013,,,,,B)":9.40899997,"AC-CA^FF_COGS(ANN_R,12/2012,,,,,B)":9.369,"AC-CA^FF_COGS(ANN_R,12/2011,,,,,B)":9.094,"AC-CA^FF_SGA(ANN_R,12/2020,,,,,B)":2.051,"AC-CA^FF_SGA(ANN_R,12/2019,,,,,B)":2.892,"AC-CA^FF_SGA(ANN_R,12/2018,,,,,B)":2.611,"AC-CA^FF_SGA(ANN_R,12/2017,,,,,B)":1.738,"AC-CA^FF_SGA(ANN_R,12/2016,,,,,B)":1.589,"AC-CA^FF_SGA(ANN_R,12/2015,,,,,B)":1.415,"AC-CA^FF_SGA(ANN_R,12/2014,,,,,B)":1.562,"AC-CA^FF_SGA(ANN_R,12/2013,,,,,B)":1.092,"AC-CA^FF_SGA(ANN_R,12/2012,,,,,B)":1.082,"AC-CA^FF_SGA(ANN_R,12/2011,,,,,B)":1.083,"AC-CA^FF_INT_EXP_NET(ANN_R,12/2020,,,,,B)":0.631,"AC-CA^FF_INT_EXP_NET(ANN_R,12/2019,,,,,B)":0.48,"AC-CA^FF_INT_EXP_NET(ANN_R,12/2018,,,,,B)":0.532,"AC-CA^FF_INT_EXP_NET(ANN_R,12/2017,,,,,B)":0.275,"AC-CA^FF_INT_EXP_NET(ANN_R,12/2016,,,,,B)":0.316,"AC-CA^FF_INT_EXP_NET(ANN_R,12/2015,,,,,B)":0.332,"AC-CA^FF_INT_EXP_NET(ANN_R,12/2014,,,,,B)":0.292,"AC-CA^FF_INT_EXP_NET(ANN_R,12/2013,,,,,B)":0.351,"AC-CA^FF_INT_EXP_NET(ANN_R,12/2012,,,,,B)":0.286,"AC-CA^FF_INT_EXP_NET(ANN_R,12/2011,,,,,B)":0.32,"AC-CA^FF_INC_TAX(ANN_R,12/2020,,,,,B)":-0.206,"AC-CA^FF_EBIT_OPER(ANN_R,12/2020,,,,,B)":-3.892,"AC-CA^FF_INC_TAX(ANN_R,12/2019,,,,,B)":0.299,"AC-CA^FF_EBIT_OPER(ANN_R,12/2019,,,,,B)":2.351,"AC-CA^FF_INC_TAX(ANN_R,12/2018,,,,,B)":0.191,"AC-CA^FF_EBIT_OPER(ANN_R,12/2018,,,,,B)":2.072,"AC-CA^FF_INC_TAX(ANN_R,12/2017,,,,,B)":-0.743,"AC-CA^FF_EBIT_OPER(ANN_R,12/2017,,,,,B)":1.968,"AC-CA^FF_INC_TAX(ANN_R,12/2016,,,,,B)":0.001,"AC-CA^FF_EBIT_OPER(ANN_R,12/2016,,,,,B)":1.994,"AC-CA^FF_INC_TAX(ANN_R,12/2015,,,,,B)":0.0,"AC-CA^FF_EBIT_OPER(ANN_R,12/2015,,,,,B)":1.531,"AC-CA^FF_INC_TAX(ANN_R,12/2014,,,,,B)":0.0,"AC-CA^FF_EBIT_OPER(ANN_R,12/2014,,,,,B)":0.851,"AC-CA^FF_INC_TAX(ANN_R,12/2013,,,,,B)":-0.008,"AC-CA^FF_EBIT_OPER(ANN_R,12/2013,,,,,B)":0.543,"AC-CA^FF_INC_TAX(ANN_R,12/2012,,,,,B)":0.001,"AC-CA^FF_EBIT_OPER(ANN_R,12/2012,,,,,B)":0.358,"AC-CA^FF_INC_TAX(ANN_R,12/2011,,,,,B)":-0.001,"AC-CA^FF_EBIT_OPER(ANN_R,12/2011,,,,,B)":0.205,"AC-CA^FF_EBITDA_OPER(ANN_R,12/2020,,,,,B)":-2.057,"AC-CA^FF_EBITDA_OPER(ANN_R,12/2019,,,,,B)":4.318,"AC-CA^FF_EBITDA_OPER(ANN_R,12/2018,,,,,B)":3.773,"AC-CA^FF_EBITDA_OPER(ANN_R,12/2017,,,,,B)":2.952,"AC-CA^FF_EBITDA_OPER(ANN_R,12/2016,,,,,B)":2.81,"AC-CA^FF_EBITDA_OPER(ANN_R,12/2015,,,,,B)":2.186,"AC-CA^FF_EBITDA_OPER(ANN_R,12/2014,,,,,B)":1.394,"AC-CA^FF_EBITDA_OPER(ANN_R,12/2013,,,,,B)":1.121,"AC-CA^FF_EBITDA_OPER(ANN_R,12/2012,,,,,B)":1.027,"AC-CA^FF_EBITDA_OPER(ANN_R,12/2011,,,,,B)":0.933,"AC-CA^FF_COM_SHS_OUT(ANN_R,12/2020)":332.172288,"AC-CA^FF_COM_SHS_OUT(ANN_R,12/2019)":263.816578,"AC-CA^FF_COM_SHS_OUT(ANN_R,12/2018)":270.729911,"AC-CA^FF_COM_SHS_OUT(ANN_R,12/2017)":273.076646,"AC-CA^FF_COM_SHS_OUT(ANN_R,12/2016)":273.212802,"AC-CA^FF_COM_SHS_OUT(ANN_R,12/2015)":282.782178,"AC-CA^FF_COM_SHS_OUT(ANN_R,12/2014)":286.489294,"AC-CA^FF_COM_SHS_OUT(ANN_R,12/2013)":284.532439,"AC-CA^FF_COM_SHS_OUT(ANN_R,12/2012)":274.443803,"AC-CA^FF_COM_SHS_OUT(ANN_R,12/2011)":277.371493,"AC-CA^FF_TAX_RATE(ANN_R,12/2020)":null,"AC-CA^FF_DFD_TAX(ANN_R,12/2020,,,,,B)":0.05,"AC-CA^FF_DFD_TAX(ANN_R,12/2019,,,,,B)":-0.061,"^-FF_ACQ_BUS_CF('ANN','0','-9','YEARLY',RP,'LOCAL','B')":null,"AC-CA^FF_DFD_TAX(ANN_R,12/2018,,,,,B)":-0.262,"AC-CA^FF_DFD_TAX(ANN_R,12/2017,,,,,B)":-0.407,"AC-CA^FF_DFD_TAX(ANN_R,12/2016,,,,,B)":0.049,"AC-CA^FF_DFD_TAX(ANN_R,12/2015,,,,,B)":null,"AC-CA^FF_DFD_TAX(ANN_R,12/2013,,,,,B)":null,"AC-CA^FF_DFD_TAX(ANN_R,12/2012,,,,,B)":null,"AC-CA^FF_DFD_TAX(ANN_R,12/2011,,,,,B)":0.048,"^FF_NON_CASH('ANN','0','-9','YEARLY',RP,'LOCAL','B')":null,"AC-CA^FF_INT_EXP_OTH_BORR(ANN_R,12/2020,,,,,B)":null,"DAL-US^FF_INT_EXP_OTH_BORR(ANN_R,12/2020,,,,,B)":null,"AC-CA^FF_CAPEX(ANN_R,12/2020,,,,,B)":1.202,"AC-CA^FF_CAPEX(ANN_R,12/2019,,,,,B)":2.025,"AC-CA^FF_DEP_AMORT_EXP(ANN_R,12/2011,,,,,B)":0.728,"AC-CA^FF_DEP_AMORT_EXP(ANN_R,12/2012,,,,,B)":0.669,"AC-CA^FF_DEP_AMORT_EXP(ANN_R,12/2013,,,,,B)":0.57799997,"AC-CA^FF_DEP_AMORT_EXP(ANN_R,12/2014,,,,,B)":0.543,"AC-CA^FF_DEP_AMORT_EXP(ANN_R,12/2015,,,,,B)":0.655,"AC-CA^FF_DEP_AMORT_EXP(ANN_R,12/2016,,,,,B)":0.816,"AC-CA^FF_DFD_TAX(ANN_R,12/2014,,,,,B)":0.049,"AC-CA^FF_INVEST_ACTIV_OTH(ANN_R,12/2020,,,,,B)":0.035,"AC-CA^FF_CAPEX(ANN_R,12/2017,,,,,B)":2.422,"DAL-US^FF_INVEST_ACTIV_OTH(ANN_R,12/2020,,,,,B)":0.087,"DAL-US^FF_INVEST_ACTIV_OTH(ANN_R,12/2019,,,,,B)":0.058,"AC-CA^FF_CAPEX(ANN_R,12/2018,,,,,B)":2.436,"DAL-US^FF_INVEST_ACTIV_OTH(ANN_R,12/2018,,,,,B)":0.154,"AC-CA^FF_CAPEX(ANN_R,12/2016,,,,,B)":2.921,"AC-CA^FF_CAPEX(ANN_R,12/2015,,,,,B)":1.815,"AC-CA^FF_DEP_AMORT_EXP(ANN_R,12/2017,,,,,B)":0.984,"AC-CA^FF_DEP_AMORT_EXP(ANN_R,12/2018,,,,,B)":1.701,"AC-CA^FF_DEP_AMORT_EXP(ANN_R,12/2019,,,,,B)":1.967,"AC-CA^FF_DEP_AMORT_EXP(ANN_R,12/2020,,,,,B)":1.835,"AC-CA^FF_FIN_ACTIV_OTH_CF('ANN','0','-9','YEARLY',RP,'LOCAL','B')":[0.0,0.0,0.0,0.0,-0.032,-0.051,0.0,-0.015,-0.016,-0.052],"AC-CA^FF_DEBT_CF('ANN','0','-9','YEARLY',RP,'LOCAL','B')":[4.128,-0.433,0.028,-0.107,0.261,0.179,0.501,0.327,-0.316,-0.376],"AC-CA^FF_STK_CHG_CF('ANN','0','-9','YEARLY',RP,'LOCAL','B')":[1.237,-0.364,-0.068,-0.062,-0.092,-0.059,0.001,0.014,-0.005,0.0],"AC-CA^-FF_DIV_CF('ANN','0','-9','YEARLY',RP,'LOCAL','B')":[0.0,0.0,0.0,0.0,0.0,0.0,0.0,0.0,0.0,0.0],"AC-CA^SUMAV(FF_INVEST_USES_CF('ANN','0','-9','YEARLY',RP,'LOCAL','B'),FF_INVEST_SOURCES_CF('ANN','0','-9','YEARLY',RP,'LOCAL','B'))":[0.035,0.075,0.047,-0.016,-0.009,0.002,-0.003,0.041,0.032,-0.037],"AC-CA^FF_INVEST_PURCH_SALE_CF('ANN','0','-9','YEARLY',RP,'LOCAL','B')":[-0.063,-0.352,-0.848,-0.998,-0.099,-0.398,-0.1,-0.21,-0.022,-0.149],"AC-CA^FF_CAPEX(ANN_R,12/2014,,,,,B)":1.501,"AC-CA^-FF_ACQ_BUS_CF('ANN','0','-9','YEARLY',RP,'LOCAL','B')":[0.0,-0.517,null,null,null,null,null,null,null,0.0],"AC-CA^FF_CAPEX(ANN_R,12/2013,,,,,B)":0.962,"AC-CA^FF_WKCAP_CHG('ANN','0','-9','YEARLY',RP,'LOCAL','B')":[-0.236,0.566,0.267,0.349,0.194,0.191,0.04,0.033,0.22,0.06],"AC-CA^FF_CAPEX(ANN_R,12/2012,,,,,B)":0.444,"AC-CA^FF_NON_CASH('ANN','0','-9','YEARLY',RP,'LOCAL','B')":[0.859,1.456,0.911,0.142,0.512,0.856,0.253,0.11000003,-0.38,0.047],"AC-CA^FF_CAPEX(ANN_R,12/2011,,,,,B)":0.22,"AAL-US^FF_NON_CASH('ANN','0','-9','YEARLY',RP,'LOCAL','B')":[1.323,0.118,0.088,0.077,0.165,0.23,0.025,1.675,1.802,1.063],"AAL-US^FF_WKCAP_CHG('ANN','0','-9','YEARLY',RP,'LOCAL','B')":[1.217,-0.867,-0.566,-0.41,0.254,-0.186,-1.686,0.138,0.338,0.51],"AAL-US^-FF_ACQ_BUS_CF('ANN','0','-9','YEARLY',RP,'LOCAL','B')":[0.0,0.0,0.0,null,0.0,0.0,0.0,0.0,0.0,0.0],"AAL-US^FF_INVEST_PURCH_SALE_CF('ANN','0','-9','YEARLY',RP,'LOCAL','B')":[-3.337,0.957,0.572,1.079,-0.149,0.443000000000001,1.799,-1.181,0.306,0.61],"AAL-US^SUMAV(FF_INVEST_USES_CF('ANN','0','-9','YEARLY',RP,'LOCAL','B'),FF_INVEST_SOURCES_CF('ANN','0','-9','YEARLY',RP,'LOCAL','B'))":[-0.063,0.164,-0.007,0.0,0.002,0.0,0.307,0.0,0.0,-0.288],"AAL-US^-FF_DIV_CF('ANN','0','-9','YEARLY',RP,'LOCAL','B')":[-0.043,-0.178,-0.186,-0.198,-0.224,-0.278,-0.144,0.0,0.0,0.0],"AAL-US^FF_STK_CHG_CF('ANN','0','-9','YEARLY',RP,'LOCAL','B')":[2.797,-1.097,-0.837,-1.615,-4.5,-3.846,-1.052,0.0,0.0,0.0],"AAL-US^FF_DEBT_CF('ANN','0','-9','YEARLY',RP,'LOCAL','B')":[8.152,-0.291,-0.646,0.641,3.797,2.769,0.0640000000000001,2.088,0.489,0.024],"AAL-US^FF_FIN_ACTIV_OTH_CF('ANN','0','-9','YEARLY',RP,'LOCAL','B')":[0.088,-0.002,-0.003,0.027,0.033,0.096,0.817,1.711,0.0,0.703],"AAL-US^FF_DEP_AMORT_EXP(ANN_R,12/2020,,,,,B)":2.365,"AAL-US^FF_DEP_AMORT_EXP(ANN_R,12/2019,,,,,B)":2.318,"AAL-US^FF_DEP_AMORT_EXP(ANN_R,12/2018,,,,,B)":2.157,"AAL-US^FF_DEP_AMORT_EXP(ANN_R,12/2017,,,,,B)":2.017,"AAL-US^FF_DEP_AMORT_EXP(ANN_R,12/2016,,,,,B)":1.826,"AAL-US^FF_DEP_AMORT_EXP(ANN_R,12/2015,,,,,B)":1.607,"AAL-US^FF_DEP_AMORT_EXP(ANN_R,12/2014,,,,,B)":1.512,"AAL-US^FF_DEP_AMORT_EXP(ANN_R,12/2013,,,,,B)":1.021,"AAL-US^FF_DEP_AMORT_EXP(ANN_R,12/2012,,,,,B)":1.015,"AAL-US^FF_DEP_AMORT_EXP(ANN_R,12/2011,,,,,B)":1.086,"AAL-US^FF_DFD_TAX(ANN_R,12/2020,,,,,B)":-3.239,"AAL-US^FF_DFD_TAX(ANN_R,12/2019,,,,,B)":-0.645,"AAL-US^FF_DFD_TAX(ANN_R,12/2018,,,,,B)":-1.145,"AAL-US^FF_DFD_TAX(ANN_R,12/2017,,,,,B)":-1.816,"AAL-US^FF_DFD_TAX(ANN_R,12/2016,,,,,B)":-1.498,"AAL-US^FF_DFD_TAX(ANN_R,12/2015,,,,,B)":-2.477,"AAL-US^FF_DFD_TAX(ANN_R,12/2014,,,,,B)":0.0,"AAL-US^FF_DFD_TAX(ANN_R,12/2013,,,,,B)":null,"AAL-US^FF_DFD_TAX(ANN_R,12/2012,,,,,B)":null,"AAL-US^FF_DFD_TAX(ANN_R,12/2011,,,,,B)":0.0,"AAL-US^FF_CAPEX(ANN_R,12/2020,,,,,B)":1.958,"AAL-US^FF_CAPEX(ANN_R,12/2019,,,,,B)":4.268,"AAL-US^FF_CAPEX(ANN_R,12/2018,,,,,B)":3.745,"AAL-US^FF_CAPEX(ANN_R,12/2017,,,,,B)":5.971,"AAL-US^FF_CAPEX(ANN_R,12/2016,,,,,B)":5.731,"AAL-US^FF_CAPEX(ANN_R,12/2015,,,,,B)":6.151,"AAL-US^FF_CAPEX(ANN_R,12/2014,,,,,B)":5.311,"AAL-US^FF_CAPEX(ANN_R,12/2013,,,,,B)":3.114,"AAL-US^FF_CAPEX(ANN_R,12/2012,,,,,B)":1.888,"AAL-US^FF_CAPEX(ANN_R,12/2011,,,,,B)":1.614,"LUV-US^FF_NON_CASH('ANN','0','-9','YEARLY',RP,'LOCAL','B')":[-0.175,0.0,-0.014,0.013,-0.179,0.113,0.279,-0.005,-0.201,0.077],"LUV-US^FF_WKCAP_CHG('ANN','0','-9','YEARLY',RP,'LOCAL','B')":[1.583,0.523,0.94,0.422,0.552,0.038,0.048,0.811,0.749,0.292],"LUV-US^-FF_ACQ_BUS_CF('ANN','0','-9','YEARLY',RP,'LOCAL','B')":[0.0,0.0,0.0,0.0,0.0,0.0,0.0,0.0,0.0,-0.035],"LUV-US^FF_INVEST_PURCH_SALE_CF('ANN','0','-9','YEARLY',RP,'LOCAL','B')":[-0.744,0.324,-0.0670000000000002,-0.159,-0.125,0.237,0.105,0.0629999999999997,0.515,-0.048],"LUV-US^SUMAV(FF_INVEST_USES_CF('ANN','0','-9','YEARLY',RP,'LOCAL','B'),FF_INVEST_SOURCES_CF('ANN','0','-9','YEARLY',RP,'LOCAL','B'))":[0.428,0.4,0.005,0.0,0.0,-0.007,-0.004,0.0,0.0,0.0],"LUV-US^-FF_DIV_CF('ANN','0','-9','YEARLY',RP,'LOCAL','B')":[-0.188,-0.372,-0.332,-0.274,-0.222,-0.18,-0.139,-0.071,-0.022,-0.014],"LUV-US^FF_STK_CHG_CF('ANN','0','-9','YEARLY',RP,'LOCAL','B')":[1.891,-1.96,-1.965,-1.571,-1.721,-1.134,-0.845,-0.444,-0.373,-0.205],"LUV-US^FF_DEBT_CF('ANN','0','-9','YEARLY',RP,'LOCAL','B')":[7.965,-0.615,-0.342,0.00800000000000001,-0.076,0.287,-0.261,-0.318,-0.578,-0.621],"LUV-US^FF_FIN_ACTIV_OTH_CF('ANN','0','-9','YEARLY',RP,'LOCAL','B')":[-0.01,-0.043,0.143,0.131,0.095,0.003,-0.003,-0.018,0.026,0.074],"LUV-US^FF_DEP_AMORT_EXP(ANN_R,12/2020,,,,,B)":1.255,"LUV-US^FF_DEP_AMORT_EXP(ANN_R,12/2019,,,,,B)":1.219,"LUV-US^FF_DEP_AMORT_EXP(ANN_R,12/2018,,,,,B)":1.201,"LUV-US^FF_DEP_AMORT_EXP(ANN_R,12/2017,,,,,B)":1.218,"LUV-US^FF_DEP_AMORT_EXP(ANN_R,12/2016,,,,,B)":1.221,"LUV-US^FF_DEP_AMORT_EXP(ANN_R,12/2015,,,,,B)":1.015,"LUV-US^FF_DEP_AMORT_EXP(ANN_R,12/2014,,,,,B)":0.938,"LUV-US^FF_DEP_AMORT_EXP(ANN_R,12/2013,,,,,B)":0.867,"LUV-US^FF_DEP_AMORT_EXP(ANN_R,12/2012,,,,,B)":0.844,"LUV-US^FF_DEP_AMORT_EXP(ANN_R,12/2011,,,,,B)":0.715,"LUV-US^FF_DFD_TAX(ANN_R,12/2020,,,,,B)":1.634,"LUV-US^FF_DFD_TAX(ANN_R,12/2019,,,,,B)":2.364,"LUV-US^FF_DFD_TAX(ANN_R,12/2018,,,,,B)":2.427,"LUV-US^FF_DFD_TAX(ANN_R,12/2017,,,,,B)":2.119,"LUV-US^FF_DFD_TAX(ANN_R,12/2016,,,,,B)":3.374,"LUV-US^FF_DFD_TAX(ANN_R,12/2015,,,,,B)":2.49,"LUV-US^FF_DFD_TAX(ANN_R,12/2014,,,,,B)":3.259,"LUV-US^FF_DFD_TAX(ANN_R,12/2013,,,,,B)":2.934,"LUV-US^FF_DFD_TAX(ANN_R,12/2012,,,,,B)":2.884,"LUV-US^FF_DFD_TAX(ANN_R,12/2011,,,,,B)":2.566,"LUV-US^FF_CAPEX(ANN_R,12/2020,,,,,B)":0.515,"LUV-US^FF_CAPEX(ANN_R,12/2019,,,,,B)":1.027,"LUV-US^FF_CAPEX(ANN_R,12/2018,,,,,B)":1.976,"LUV-US^FF_CAPEX(ANN_R,12/2017,,,,,B)":2.249,"LUV-US^FF_CAPEX(ANN_R,12/2016,,,,,B)":2.147,"LUV-US^FF_CAPEX(ANN_R,12/2015,,,,,B)":2.143,"LUV-US^FF_CAPEX(ANN_R,12/2014,,,,,B)":1.828,"LUV-US^FF_CAPEX(ANN_R,12/2013,,,,,B)":1.447,"LUV-US^FF_CAPEX(ANN_R,12/2012,,,,,B)":1.348,"LUV-US^FF_CAPEX(ANN_R,12/2011,,,,,B)":0.968,"ALK-US^FF_NON_CASH('ANN','0','-9','YEARLY',RP,'LOCAL','B')":[0.871,0.029,0.047,0.055,0.026,0.025,0.006,-0.115,0.053,0.0698],"ALK-US^FF_WKCAP_CHG('ANN','0','-9','YEARLY',RP,'LOCAL','B')":[0.099,0.292,0.167,0.11,0.089,0.335,0.011,0.172,0.026,-0.01],"ALK-US^-FF_ACQ_BUS_CF('ANN','0','-9','YEARLY',RP,'LOCAL','B')":[0.0,0.0,0.0,0.0,-1.951,null,0.0,0.0,0.0,0.0],"ALK-US^FF_INVEST_PURCH_SALE_CF('ANN','0','-9','YEARLY',RP,'LOCAL','B')":[-0.644,-0.136,0.282,-0.181,0.002,-0.152,0.143,-0.129,-0.0820000000000001,0.0722],"ALK-US^SUMAV(FF_INVEST_USES_CF('ANN','0','-9','YEARLY',RP,'LOCAL','B'),FF_INVEST_SOURCES_CF('ANN','0','-9','YEARLY',RP,'LOCAL','B'))":[-0.022,0.041,0.0,0.0,0.0,0.0,0.0,0.0,-0.056,-0.1089],"ALK-US^-FF_DIV_CF('ANN','0','-9','YEARLY',RP,'LOCAL','B')":[-0.045,-0.173,-0.158,-0.148,-0.136,-0.102,-0.068,-0.028,0.0,0.0],"ALK-US^FF_STK_CHG_CF('ANN','0','-9','YEARLY',RP,'LOCAL','B')":[-0.031,-0.075,-0.05,-0.075,-0.193,-0.505,-0.321,-0.135,-0.029,-0.0601],"ALK-US^FF_DEBT_CF('ANN','0','-9','YEARLY',RP,'LOCAL','B')":[1.999,-0.608,-0.468,-0.397,1.795,-0.116,-0.068,-0.161,-0.275,-0.227],"ALK-US^FF_FIN_ACTIV_OTH_CF('ANN','0','-9','YEARLY',RP,'LOCAL','B')":[0.058,0.043,0.029,0.028,0.025,0.035,-0.005,-0.001,0.216,0.0071],"ALK-US^FF_DEP_AMORT_EXP(ANN_R,12/2020,,,,,B)":0.42,"ALK-US^FF_DEP_AMORT_EXP(ANN_R,12/2019,,,,,B)":0.423,"ALK-US^FF_DEP_AMORT_EXP(ANN_R,12/2018,,,,,B)":0.398,"ALK-US^FF_DEP_AMORT_EXP(ANN_R,12/2017,,,,,B)":0.372,"ALK-US^FF_DEP_AMORT_EXP(ANN_R,12/2016,,,,,B)":0.363,"ALK-US^FF_DEP_AMORT_EXP(ANN_R,12/2015,,,,,B)":0.32,"ALK-US^FF_DEP_AMORT_EXP(ANN_R,12/2014,,,,,B)":0.294,"ALK-US^FF_DEP_AMORT_EXP(ANN_R,12/2013,,,,,B)":0.27,"ALK-US^FF_DEP_AMORT_EXP(ANN_R,12/2012,,,,,B)":0.264,"ALK-US^FF_DEP_AMORT_EXP(ANN_R,12/2011,,,,,B)":0.2469,"ALK-US^FF_DFD_TAX(ANN_R,12/2020,,,,,B)":0.407,"ALK-US^FF_DFD_TAX(ANN_R,12/2019,,,,,B)":0.715,"ALK-US^FF_DFD_TAX(ANN_R,12/2018,,,,,B)":0.512,"ALK-US^FF_DFD_TAX(ANN_R,12/2017,,,,,B)":0.37,"ALK-US^FF_DFD_TAX(ANN_R,12/2016,,,,,B)":0.463,"ALK-US^FF_DFD_TAX(ANN_R,12/2015,,,,,B)":0.682,"ALK-US^FF_DFD_TAX(ANN_R,12/2014,,,,,B)":0.75,"ALK-US^FF_DFD_TAX(ANN_R,12/2013,,,,,B)":0.709,"ALK-US^FF_DFD_TAX(ANN_R,12/2012,,,,,B)":0.446,"ALK-US^FF_DFD_TAX(ANN_R,12/2011,,,,,B)":0.3629,"ALK-US^FF_CAPEX(ANN_R,12/2020,,,,,B)":0.206,"ALK-US^FF_CAPEX(ANN_R,12/2019,,,,,B)":0.696,"ALK-US^FF_CAPEX(ANN_R,12/2018,,,,,B)":0.96,"ALK-US^FF_CAPEX(ANN_R,12/2017,,,,,B)":1.026,"ALK-US^FF_CAPEX(ANN_R,12/2016,,,,,B)":0.678,"ALK-US^FF_CAPEX(ANN_R,12/2015,,,,,B)":0.831,"ALK-US^FF_CAPEX(ANN_R,12/2014,,,,,B)":0.694,"ALK-US^FF_CAPEX(ANN_R,12/2013,,,,,B)":0.569,"ALK-US^FF_CAPEX(ANN_R,12/2012,,,,,B)":0.518,"ALK-US^FF_CAPEX(ANN_R,12/2011,,,,,B)":0.3874,"SKYW-US^FF_NON_CASH('ANN','0','-9','YEARLY',RP,'LOCAL','B')":[0.027589,-0.014382,0.013105,0.01058,0.471938,-0.028292,0.040377,-0.036073,-0.010229,0.006528],"SKYW-US^FF_WKCAP_CHG('ANN','0','-9','YEARLY',RP,'LOCAL','B')":[0.198987,-0.082439,0.075329,0.089143,-0.005188,-0.011138,0.00462,-0.023339,-0.038862,-0.049712],"SKYW-US^-FF_ACQ_BUS_CF('ANN','0','-9','YEARLY',RP,'LOCAL','B')":[0.0,0.0,null,null,null,null,null,null,0.0,0.0],"SKYW-US^FF_INVEST_PURCH_SALE_CF('ANN','0','-9','YEARLY',RP,'LOCAL','B')":[-0.177219,-0.0719889999999999,0.142576,-0.0935840000000001,-0.12322,0.12863,0.088421,0.0855179999999999,-0.0504680000000001,0.173635],"SKYW-US^SUMAV(FF_INVEST_USES_CF('ANN','0','-9','YEARLY',RP,'LOCAL','B'),FF_INVEST_SOURCES_CF('ANN','0','-9','YEARLY',RP,'LOCAL','B'))":[0.0,0.004133,0.0,0.036533,0.097097,0.012622,-0.007681,0.000229,0.0,-0.012683],"SKYW-US^-FF_DIV_CF('ANN','0','-9','YEARLY',RP,'LOCAL','B')":[-0.013059,-0.023467,-0.019744,-0.015015,-0.009256,-0.00826,-0.008195,-0.008258,-0.008177,-0.008466],"SKYW-US^FF_STK_CHG_CF('ANN','0','-9','YEARLY',RP,'LOCAL','B')":[-0.017181,-0.08835,-0.049236,-0.015348,0.008142,-0.008972,-0.005722,-0.007354,0.005329,-0.056235],"SKYW-US^FF_DEBT_CF('ANN','0','-9','YEARLY',RP,'LOCAL','B')":[0.149273,-0.184044,0.409998,0.137682,0.615258,0.237604,0.275243,-0.171453,-0.17337,-0.082584],"SKYW-US^FF_FIN_ACTIV_OTH_CF('ANN','0','-9','YEARLY',RP,'LOCAL','B')":[-0.006165,-0.009313,-0.013556,-0.00508,0.0,0.0,0.0,0.0,0.0,0.0139],"SKYW-US^FF_DEP_AMORT_EXP(ANN_R,12/2020,,,,,B)":0.474959,"SKYW-US^FF_DEP_AMORT_EXP(ANN_R,12/2019,,,,,B)":0.368098,"SKYW-US^FF_DEP_AMORT_EXP(ANN_R,12/2018,,,,,B)":0.334589,"SKYW-US^FF_DEP_AMORT_EXP(ANN_R,12/2017,,,,,B)":0.292768,"SKYW-US^FF_DEP_AMORT_EXP(ANN_R,12/2016,,,,,B)":0.284969,"SKYW-US^FF_DEP_AMORT_EXP(ANN_R,12/2015,,,,,B)":0.264507,"SKYW-US^FF_DEP_AMORT_EXP(ANN_R,12/2014,,,,,B)":0.259642,"SKYW-US^FF_DEP_AMORT_EXP(ANN_R,12/2013,,,,,B)":0.245005,"SKYW-US^FF_DEP_AMORT_EXP(ANN_R,12/2012,,,,,B)":0.251958,"SKYW-US^FF_DEP_AMORT_EXP(ANN_R,12/2011,,,,,B)":0.254182,"SKYW-US^FF_DFD_TAX(ANN_R,12/2020,,,,,B)":0.625931,"SKYW-US^FF_DFD_TAX(ANN_R,12/2019,,,,,B)":0.62358,"SKYW-US^FF_DFD_TAX(ANN_R,12/2018,,,,,B)":0.518159,"SKYW-US^FF_DFD_TAX(ANN_R,12/2017,,,,,B)":0.41902,"SKYW-US^FF_DFD_TAX(ANN_R,12/2016,,,,,B)":0.565404,"SKYW-US^FF_DFD_TAX(ANN_R,12/2015,,,,,B)":0.749575,"SKYW-US^FF_DFD_TAX(ANN_R,12/2014,,,,,B)":0.669385,"SKYW-US^FF_DFD_TAX(ANN_R,12/2013,,,,,B)":0.727358,"SKYW-US^FF_DFD_TAX(ANN_R,12/2012,,,,,B)":0.65762,"SKYW-US^FF_DFD_TAX(ANN_R,12/2011,,,,,B)":0.567874,"SKYW-US^FF_CAPEX(ANN_R,12/2020,,,,,B)":0.509491,"SKYW-US^FF_CAPEX(ANN_R,12/2019,,,,,B)":0.668386,"SKYW-US^FF_CAPEX(ANN_R,12/2018,,,,,B)":1.12598,"SKYW-US^FF_CAPEX(ANN_R,12/2017,,,,,B)":0.709747,"SKYW-US^FF_CAPEX(ANN_R,12/2016,,,,,B)":1.153963,"SKYW-US^FF_CAPEX(ANN_R,12/2015,,,,,B)":0.721276,"SKYW-US^FF_CAPEX(ANN_R,12/2014,,,,,B)":0.675439,"SKYW-US^FF_CAPEX(ANN_R,12/2013,,,,,B)":0.152001,"SKYW-US^FF_CAPEX(ANN_R,12/2012,,,,,B)":0.073157,"SKYW-US^FF_CAPEX(ANN_R,12/2011,,,,,B)":0.172698,"LUV-US^FF_INVEST_ADV(ANN_R,12/2020,,,,,B)":0.211,"LUV-US^FF_INVEST_ADV(ANN_R,12/2019,,,,,B)":0.049,"LUV-US^FF_INVEST_ADV(ANN_R,12/2018,,,,,B)":0.095,"LUV-US^FF_INVEST_ADV(ANN_R,12/2017,,,,,B)":0.136,"LUV-US^FF_INVEST_ADV(ANN_R,12/2016,,,,,B)":0.12,"LUV-US^FF_INVEST_ADV(ANN_R,12/2015,,,,,B)":0.049,"LUV-US^FF_INVEST_ADV(ANN_R,12/2014,,,,,B)":0.048,"LUV-US^FF_INVEST_ADV(ANN_R,12/2013,,,,,B)":0.189,"LUV-US^FF_INVEST_ADV(ANN_R,12/2012,,,,,B)":0.347,"LUV-US^FF_INVEST_ADV(ANN_R,12/2011,,,,,B)":0.35,"LUV-US^FF_INTANG_ASSETS(ANN,12/2020,,,,,B)":0.0,"LUV-US^FF_INTANG_ASSETS(ANN,12/2019,,,,,B)":0.0,"LUV-US^FF_INTANG_ASSETS(ANN,12/2018,,,,,B)":1.37,"LUV-US^FF_INTANG_ASSETS(ANN,12/2017,,,,,B)":1.3830001,"LUV-US^FF_INTANG_ASSETS(ANN,12/2016,,,,,B)":1.396,"LUV-US^FF_INTANG_ASSETS(ANN,12/2015,,,,,B)":1.434,"LUV-US^FF_INTANG_ASSETS(ANN,12/2014,,,,,B)":1.3329998,"LUV-US^FF_INTANG_ASSETS(ANN,12/2013,,,,,B)":1.136,"LUV-US^FF_INTANG_ASSETS(ANN,12/2012,,,,,B)":1.108,"LUV-US^FF_INTANG_ASSETS(ANN,12/2011,,,,,B)":1.125,"LUV-US^FF_DFD_TAX_DB(ANN_R,12/2020,,,,,B)":1.985,"LUV-US^FF_DFD_TAX_DB(ANN_R,12/2019,,,,,B)":1.118,"LUV-US^FF_DFD_TAX_DB(ANN_R,12/2018,,,,,B)":1.06,"LUV-US^FF_DFD_TAX_DB(ANN_R,12/2017,,,,,B)":1.087,"LUV-US^FF_DFD_TAX_DB(ANN_R,12/2016,,,,,B)":1.486,"LUV-US^FF_DFD_TAX_DB(ANN_R,12/2015,,,,,B)":2.001,"LUV-US^FF_DFD_TAX_DB(ANN_R,12/2014,,,,,B)":null,"LUV-US^FF_DFD_TAX_DB(ANN_R,12/2013,,,,,B)":null,"LUV-US^FF_DFD_TAX_DB(ANN_R,12/2012,,,,,B)":null,"LUV-US^FF_DFD_TAX_DB(ANN_R,12/2011,,,,,B)":null,"LUV-US^FF_ASSETS_CURR_OTH(ANN_R,12/2020,,,,,B,\"FILING_DATE=1\")":0.287,"LUV-US^FF_ASSETS_CURR_OTH(ANN_R,12/2019,,,,,B,\"FILING_DATE=1\")":0.31,"LUV-US^FF_ASSETS_CURR_OTH(ANN_R,12/2018,,,,,B,\"FILING_DATE=1\")":0.46,"LUV-US^FF_ASSETS_CURR_OTH(ANN_R,12/2017,,,,,B,\"FILING_DATE=1\")":0.31,"LUV-US^FF_ASSETS_CURR_OTH(ANN_R,12/2016,,,,,B,\"FILING_DATE=1\")":0.188,"LUV-US^FF_ASSETS_CURR_OTH(ANN_R,12/2015,,,,,B,\"FILING_DATE=1\")":0.709,"LUV-US^FF_ASSETS_CURR_OTH(ANN_R,12/2014,,,,,B,\"FILING_DATE=1\")":0.418,"LUV-US^FF_ASSETS_CURR_OTH(ANN_R,12/2013,,,,,B,\"FILING_DATE=1\")":0.456,"LUV-US^FF_ASSETS_CURR_OTH(ANN_R,12/2012,,,,,B,\"FILING_DATE=1\")":0.501,"LUV-US^FF_ASSETS_CURR_OTH(ANN_R,12/2011,,,,,B,\"FILING_DATE=1\")":0.303,"LUV-US^FF_ASSETS(ANN_R,12/2020,,,,,B)":36.573,"LUV-US^FF_ASSETS(ANN_R,12/2019,,,,,B)":27.013,"LUV-US^FF_ASSETS(ANN_R,12/2018,,,,,B)":27.303,"LUV-US^FF_ASSETS(ANN_R,12/2017,,,,,B)":26.197,"LUV-US^FF_ASSETS(ANN_R,12/2016,,,,,B)":24.772,"LUV-US^FF_ASSETS(ANN_R,12/2015,,,,,B)":23.313,"LUV-US^FF_ASSETS(ANN_R,12/2014,,,,,B)":20.2,"LUV-US^FF_ASSETS(ANN_R,12/2013,,,,,B)":19.345,"LUV-US^FF_ASSETS(ANN_R,12/2012,,,,,B)":18.596,"LUV-US^FF_ASSETS(ANN_R,12/2011,,,,,B)":18.068,"LUV-US^FF_CASH_ST(ANN_R,12/2020,,,,,B,\"FILING_DATE=1\")":4.072,"LUV-US^FF_CASH_ST(ANN_R,12/2019,,,,,B,\"FILING_DATE=1\")":3.689,"LUV-US^FF_CASH_ST(ANN_R,12/2018,,,,,B,\"FILING_DATE=1\")":3.273,"LUV-US^FF_CASH_ST(ANN_R,12/2017,,,,,B,\"FILING_DATE=1\")":3.305,"LUV-US^FF_CASH_ST(ANN_R,12/2016,,,,,B,\"FILING_DATE=1\")":3.051,"LUV-US^FF_CASH_ST(ANN_R,12/2015,,,,,B,\"FILING_DATE=1\")":2.988,"LUV-US^FF_CASH_ST(ANN_R,12/2014,,,,,B,\"FILING_DATE=1\")":3.152,"LUV-US^FF_CASH_ST(ANN_R,12/2013,,,,,B,\"FILING_DATE=1\")":2.97,"LUV-US^FF_CASH_ST(ANN_R,12/2012,,,,,B,\"FILING_DATE=1\")":3.144,"LUV-US^FF_CASH_ST(ANN_R,12/2011,,,,,B,\"FILING_DATE=1\")":3.538,"LUV-US^FF_RECEIV_ST(ANN_R,12/2020,,,,,B)":1.13,"LUV-US^FF_RECEIV_ST(ANN_R,12/2019,,,,,B)":1.086,"LUV-US^FF_RECEIV_ST(ANN_R,12/2018,,,,,B)":0.568,"LUV-US^FF_RECEIV_ST(ANN_R,12/2017,,,,,B)":0.662,"LUV-US^FF_RECEIV_ST(ANN_R,12/2016,,,,,B)":0.546,"LUV-US^FF_RECEIV_ST(ANN_R,12/2015,,,,,B)":0.474,"LUV-US^FF_RECEIV_ST(ANN_R,12/2014,,,,,B)":0.365,"LUV-US^FF_RECEIV_ST(ANN_R,12/2013,,,,,B)":0.419,"LUV-US^FF_RECEIV_ST(ANN_R,12/2012,,,,,B)":0.332,"LUV-US^FF_RECEIV_ST(ANN_R,12/2011,,,,,B)":0.299,"LUV-US^FF_INVEN(ANN_R,12/2020,,,,,B)":0.414,"LUV-US^FF_INVEN(ANN_R,12/2019,,,,,B)":0.529,"LUV-US^FF_INVEN(ANN_R,12/2018,,,,,B)":0.461,"LUV-US^FF_INVEN(ANN_R,12/2017,,,,,B)":0.42,"LUV-US^FF_INVEN(ANN_R,12/2016,,,,,B)":0.337,"LUV-US^FF_INVEN(ANN_R,12/2015,,,,,B)":0.311,"LUV-US^FF_INVEN(ANN_R,12/2014,,,,,B)":0.342,"LUV-US^FF_INVEN(ANN_R,12/2013,,,,,B)":0.467,"LUV-US^FF_INVEN(ANN_R,12/2012,,,,,B)":0.469,"LUV-US^FF_INVEN(ANN_R,12/2011,,,,,B)":0.401,"LUV-US^FF_ASSETS_CURR(ANN_R,12/2020,,,,,B,\"FILING_DATE=1\")":5.974,"LUV-US^FF_ASSETS_CURR(ANN_R,12/2019,,,,,B,\"FILING_DATE=1\")":5.028,"LUV-US^FF_ASSETS_CURR(ANN_R,12/2018,,,,,B,\"FILING_DATE=1\")":4.815,"LUV-US^FF_ASSETS_CURR(ANN_R,12/2017,,,,,B,\"FILING_DATE=1\")":4.498,"LUV-US^FF_ASSETS_CURR(ANN_R,12/2016,,,,,B,\"FILING_DATE=1\")":4.024,"LUV-US^FF_ASSETS_CURR(ANN_R,12/2015,,,,,B,\"FILING_DATE=1\")":4.404,"LUV-US^FF_ASSETS_CURR(ANN_R,12/2014,,,,,B,\"FILING_DATE=1\")":4.456,"LUV-US^FF_ASSETS_CURR(ANN_R,12/2013,,,,,B,\"FILING_DATE=1\")":4.227,"LUV-US^FF_ASSETS_CURR(ANN_R,12/2012,,,,,B,\"FILING_DATE=1\")":4.345,"LUV-US^FF_ASSETS_CURR(ANN_R,12/2011,,,,,B,\"FILING_DATE=1\")":4.279,"LUV-US^FF_PPE_NET(ANN_R,12/2020,,,,,B,\"FILING_DATE=1\")":18.374,"LUV-US^FF_PPE_NET(ANN_R,12/2019,,,,,B,\"FILING_DATE=1\")":19.525,"LUV-US^FF_PPE_NET(ANN_R,12/2018,,,,,B,\"FILING_DATE=1\")":18.539,"LUV-US^FF_PPE_NET(ANN_R,12/2017,,,,,B,\"FILING_DATE=1\")":17.044,"LUV-US^FF_PPE_NET(ANN_R,12/2016,,,,,B,\"FILING_DATE=1\")":15.601,"LUV-US^FF_PPE_NET(ANN_R,12/2015,,,,,B,\"FILING_DATE=1\")":14.292,"LUV-US^FF_PPE_NET(ANN_R,12/2014,,,,,B,\"FILING_DATE=1\")":13.389,"LUV-US^FF_PPE_NET(ANN_R,12/2013,,,,,B,\"FILING_DATE=1\")":12.766,"LUV-US^FF_PPE_NET(ANN_R,12/2012,,,,,B,\"FILING_DATE=1\")":12.127,"LUV-US^FF_PPE_NET(ANN_R,12/2011,,,,,B,\"FILING_DATE=1\")":10.578,"LUV-US^FF_DEBT_ST(ANN_R,12/2020,,,,,B,\"FILING_DATE=1\")":1.172,"LUV-US^FF_DEBT_ST(ANN_R,12/2019,,,,,B,\"FILING_DATE=1\")":0.606,"LUV-US^FF_DEBT_ST(ANN_R,12/2018,,,,,B,\"FILING_DATE=1\")":0.348,"LUV-US^FF_DEBT_ST(ANN_R,12/2017,,,,,B,\"FILING_DATE=1\")":0.566,"LUV-US^FF_DEBT_ST(ANN_R,12/2016,,,,,B,\"FILING_DATE=1\")":0.637,"LUV-US^FF_DEBT_ST(ANN_R,12/2015,,,,,B,\"FILING_DATE=1\")":0.258,"LUV-US^FF_DEBT_ST(ANN_R,12/2014,,,,,B,\"FILING_DATE=1\")":0.629,"LUV-US^FF_DEBT_ST(ANN_R,12/2013,,,,,B,\"FILING_DATE=1\")":0.271,"LUV-US^FF_DEBT_ST(ANN_R,12/2012,,,,,B,\"FILING_DATE=1\")":0.644,"LUV-US^FF_DEBT_ST(ANN_R,12/2011,,,,,B,\"FILING_DATE=1\")":0.505,"LUV-US^FF_PAY_ACCT(ANN_R,12/2020,,,,,B,\"FILING_DATE=1\")":0.595,"LUV-US^FF_PAY_ACCT(ANN_R,12/2019,,,,,B,\"FILING_DATE=1\")":0.454,"LUV-US^FF_PAY_ACCT(ANN_R,12/2018,,,,,B,\"FILING_DATE=1\")":0.347,"LUV-US^FF_PAY_ACCT(ANN_R,12/2017,,,,,B,\"FILING_DATE=1\")":0.259,"LUV-US^FF_PAY_ACCT(ANN_R,12/2016,,,,,B,\"FILING_DATE=1\")":0.394,"LUV-US^FF_PAY_ACCT(ANN_R,12/2015,,,,,B,\"FILING_DATE=1\")":0.522,"LUV-US^FF_PAY_ACCT(ANN_R,12/2014,,,,,B,\"FILING_DATE=1\")":0.622,"LUV-US^FF_PAY_ACCT(ANN_R,12/2013,,,,,B,\"FILING_DATE=1\")":1.107,"LUV-US^FF_PAY_ACCT(ANN_R,12/2012,,,,,B,\"FILING_DATE=1\")":1.057,"LUV-US^FF_PAY_ACCT(ANN_R,12/2011,,,,,B,\"FILING_DATE=1\")":0.739,"LUV-US^FF_INC_PAY_TAX(ANN_R,12/2020,,,,,B,\"FILING_DATE=1\")":"#NUM","LUV-US^FF_INC_PAY_TAX(ANN_R,12/2019,,,,,B,\"FILING_DATE=1\")":"#NUM","LUV-US^FF_INC_PAY_TAX(ANN_R,12/2018,,,,,B,\"FILING_DATE=1\")":"#NUM","LUV-US^FF_INC_PAY_TAX(ANN_R,12/2017,,,,,B,\"FILING_DATE=1\")":"#NUM","LUV-US^FF_INC_PAY_TAX(ANN_R,12/2016,,,,,B,\"FILING_DATE=1\")":"#NUM","LUV-US^FF_INC_PAY_TAX(ANN_R,12/2015,,,,,B,\"FILING_DATE=1\")":"#NUM","LUV-US^FF_INC_PAY_TAX(ANN_R,12/2014,,,,,B,\"FILING_DATE=1\")":"#NUM","LUV-US^FF_INC_PAY_TAX(ANN_R,12/2013,,,,,B,\"FILING_DATE=1\")":"#NUM","LUV-US^FF_INC_PAY_TAX(ANN_R,12/2012,,,,,B,\"FILING_DATE=1\")":"#NUM","LUV-US^FF_INC_PAY_TAX(ANN_R,12/2011,,,,,B,\"FILING_DATE=1\")":"#NUM","LUV-US^FF_LIABS_CURR_OTH(ANN_R,12/2020,,,,,B,\"FILING_DATE=1\")":7.106,"LUV-US^FF_LIABS_CURR_OTH(ANN_R,12/2019,,,,,B,\"FILING_DATE=1\")":6.625,"LUV-US^FF_LIABS_CURR_OTH(ANN_R,12/2018,,,,,B,\"FILING_DATE=1\")":5.965,"LUV-US^FF_LIABS_CURR_OTH(ANN_R,12/2017,,,,,B,\"FILING_DATE=1\")":5.835,"LUV-US^FF_LIABS_CURR_OTH(ANN_R,12/2016,,,,,B,\"FILING_DATE=1\")":6.196,"LUV-US^FF_LIABS_CURR_OTH(ANN_R,12/2015,,,,,B,\"FILING_DATE=1\")":4.98,"LUV-US^FF_LIABS_CURR_OTH(ANN_R,12/2014,,,,,B,\"FILING_DATE=1\")":4.279,"LUV-US^FF_LIABS_CURR_OTH(ANN_R,12/2013,,,,,B,\"FILING_DATE=1\")":3.272,"LUV-US^FF_LIABS_CURR_OTH(ANN_R,12/2012,,,,,B,\"FILING_DATE=1\")":2.832,"LUV-US^FF_LIABS_CURR_OTH(ANN_R,12/2011,,,,,B,\"FILING_DATE=1\")":2.061,"LUV-US^FF_LIABS_CURR(ANN_R,12/2020,,,,,B,\"FILING_DATE=1\")":8.952,"LUV-US^FF_LIABS_CURR(ANN_R,12/2019,,,,,B,\"FILING_DATE=1\")":7.905,"LUV-US^FF_LIABS_CURR(ANN_R,12/2018,,,,,B,\"FILING_DATE=1\")":6.863,"LUV-US^FF_LIABS_CURR(ANN_R,12/2017,,,,,B,\"FILING_DATE=1\")":6.844,"LUV-US^FF_LIABS_CURR(ANN_R,12/2016,,,,,B,\"FILING_DATE=1\")":7.406,"LUV-US^FF_LIABS_CURR(ANN_R,12/2015,,,,,B,\"FILING_DATE=1\")":5.923,"LUV-US^FF_LIABS_CURR(ANN_R,12/2014,,,,,B,\"FILING_DATE=1\")":5.676,"LUV-US^FF_LIABS_CURR(ANN_R,12/2013,,,,,B,\"FILING_DATE=1\")":4.65,"LUV-US^FF_LIABS_CURR(ANN_R,12/2012,,,,,B,\"FILING_DATE=1\")":4.533,"LUV-US^FF_LIABS_CURR(ANN_R,12/2011,,,,,B,\"FILING_DATE=1\")":3.305,"LUV-US^FF_DEBT_LT(ANN_R,12/2020,,,,,B,\"FILING_DATE=1\")":2.824,"LUV-US^FF_DEBT_LT(ANN_R,12/2019,,,,,B,\"FILING_DATE=1\")":2.819,"LUV-US^FF_DEBT_LT(ANN_R,12/2018,,,,,B,\"FILING_DATE=1\")":3.405,"LUV-US^FF_DEBT_LT(ANN_R,12/2017,,,,,B,\"FILING_DATE=1\")":2.946,"LUV-US^FF_DEBT_LT(ANN_R,12/2016,,,,,B,\"FILING_DATE=1\")":2.706,"LUV-US^FF_DEBT_LT(ANN_R,12/2015,,,,,B,\"FILING_DATE=1\")":2.627,"LUV-US^FF_DEBT_LT(ANN_R,12/2014,,,,,B,\"FILING_DATE=1\")":2.481,"LUV-US^FF_DEBT_LT(ANN_R,12/2013,,,,,B,\"FILING_DATE=1\")":3.259,"LUV-US^FF_DEBT_LT(ANN_R,12/2012,,,,,B,\"FILING_DATE=1\")":3.418,"LUV-US^FF_DEBT_LT(ANN_R,12/2011,,,,,B,\"FILING_DATE=1\")":2.875,"LUV-US^FF_PROV_RISK(ANN_R,12/2020,,,,,B)":0.428,"LUV-US^FF_PROV_RISK(ANN_R,12/2019,,,,,B)":0.288,"LUV-US^FF_PROV_RISK(ANN_R,12/2018,,,,,B)":0.232,"LUV-US^FF_PROV_RISK(ANN_R,12/2017,,,,,B)":0.275,"LUV-US^FF_PROV_RISK(ANN_R,12/2016,,,,,B)":0.256,"LUV-US^FF_PROV_RISK(ANN_R,12/2015,,,,,B)":0.201,"LUV-US^FF_PROV_RISK(ANN_R,12/2014,,,,,B)":0.169,"LUV-US^FF_PROV_RISK(ANN_R,12/2013,,,,,B)":0.138,"LUV-US^FF_PROV_RISK(ANN_R,12/2012,,,,,B)":0.148,"LUV-US^FF_PROV_RISK(ANN_R,12/2011,,,,,B)":0.107,"LUV-US^FF_DFD_TAX_CR(ANN_R,12/2020,,,,,B,\"FILING_DATE=1\")":3.482,"LUV-US^FF_DFD_TAX_CR(ANN_R,12/2019,,,,,B,\"FILING_DATE=1\")":3.487,"LUV-US^FF_DFD_TAX_CR(ANN_R,12/2018,,,,,B,\"FILING_DATE=1\")":3.206,"LUV-US^FF_DFD_TAX_CR(ANN_R,12/2017,,,,,B,\"FILING_DATE=1\")":4.86,"LUV-US^FF_DFD_TAX_CR(ANN_R,12/2016,,,,,B,\"FILING_DATE=1\")":4.491,"LUV-US^FF_DFD_TAX_CR(ANN_R,12/2015,,,,,B,\"FILING_DATE=1\")":3.259,"LUV-US^FF_DFD_TAX_CR(ANN_R,12/2014,,,,,B,\"FILING_DATE=1\")":2.934,"LUV-US^FF_DFD_TAX_CR(ANN_R,12/2013,,,,,B,\"FILING_DATE=1\")":2.884,"LUV-US^FF_DFD_TAX_CR(ANN_R,12/2012,,,,,B,\"FILING_DATE=1\")":2.566,"LUV-US^FF_DFD_TAX_CR(ANN_R,12/2011,,,,,B,\"FILING_DATE=1\")":2.493,"LUV-US^FF_LIABS_OTH(ANN_R,12/2020,,,,,B,\"FILING_DATE=1\")":1.635,"LUV-US^FF_LIABS_OTH(ANN_R,12/2019,,,,,B,\"FILING_DATE=1\")":3.007,"LUV-US^FF_LIABS_OTH(ANN_R,12/2018,,,,,B,\"FILING_DATE=1\")":2.807,"LUV-US^FF_LIABS_OTH(ANN_R,12/2017,,,,,B,\"FILING_DATE=1\")":1.425,"LUV-US^FF_LIABS_OTH(ANN_R,12/2016,,,,,B,\"FILING_DATE=1\")":1.151,"LUV-US^FF_LIABS_OTH(ANN_R,12/2015,,,,,B,\"FILING_DATE=1\")":1.447,"LUV-US^FF_LIABS_OTH(ANN_R,12/2014,,,,,B,\"FILING_DATE=1\")":0.78,"LUV-US^FF_LIABS_OTH(ANN_R,12/2013,,,,,B,\"FILING_DATE=1\")":0.663,"LUV-US^FF_LIABS_OTH(ANN_R,12/2012,,,,,B,\"FILING_DATE=1\")":0.567,"LUV-US^FF_LIABS_OTH(ANN_R,12/2011,,,,,B,\"FILING_DATE=1\")":0.462,"LUV-US^FF_LIABS(ANN_R,12/2020,,,,,B)":27.697,"LUV-US^FF_LIABS(ANN_R,12/2019,,,,,B)":17.181,"LUV-US^FF_LIABS(ANN_R,12/2018,,,,,B)":17.45,"LUV-US^FF_LIABS(ANN_R,12/2017,,,,,B)":16.556,"LUV-US^FF_LIABS(ANN_R,12/2016,,,,,B)":16.331,"LUV-US^FF_LIABS(ANN_R,12/2015,,,,,B)":15.955,"LUV-US^FF_LIABS(ANN_R,12/2014,,,,,B)":13.425,"LUV-US^FF_LIABS(ANN_R,12/2013,,,,,B)":12.009,"LUV-US^FF_LIABS(ANN_R,12/2012,,,,,B)":11.604,"LUV-US^FF_LIABS(ANN_R,12/2011,,,,,B)":11.191,"AC-CA^FF_LEASES(ANN_R,SEP '20,,,,,,\"D=1\")":"#NUM","AC-CA^FF_LEASES(ANN_R,0,,,,,,\"D=1\")":null,"AC-CA^FB_LOAN_PLEDGE(ANN,0,,,RF)":null,"AC-CA^FB_INT_INC_LEASE(ANN,0,,,RF)":null,"SKYW-US^FF_OPER_LEASE_COMMIT_YR1(ANN_R,-3)":null,"DAL-US^FF_EBIT_OPER(ANN_R,SEP '20)":"#NUM","AC-CA^FF_SHLDRS_EQ(ANN_R,12/2017,,,,,B)":3.422,"AC-CA^FF_SHLDRS_EQ(ANN_R,12/2020,,,,,B)":1.715,"AAL-US^FF_SHLDRS_EQ(ANN_R,12/2020,,,,,B)":-6.867,"ALK-US^FF_EBIT_OPER(ANN_R,12/2020)":-1691.0,"DAL-US^FF_OPER_MGN(ANN_R,12/2020)":-48.4410646387833,"AAL-US^FREF_MARKET_VALUE_COMPANY(12/2012,,,,,0,,\"LEGACY\")":null,"DAL-US^FF_FISCAL_DATE(ANN_R,C5,,,,\"DATEM\")":null,"AAL-US^FF_SHLDRS_EQ(ANN_R,12/2017,,,,,B)":-0.78,"AC-CA^FF_SHLDRS_EQ(ANN_R,12/2014,,,,,B)":-1.201,"AAL-US^FF_SHLDRS_EQ(ANN_R,12/2014,,,,,B)":2.021,"AAL-US^FF_SHLDRS_EQ(ANN_R,12/2020)":-6867.0,"AAL-US^FF_EBIT_OPER(ANN_R,12/2019)":3706.0,"DAL-US^FF_SHLDRS_EQ(ANN_R,12/2014,,,,,B)":8.813,"DAL-US^FF_SHLDRS_EQ(ANN_R,12/2017,,,,,B)":12.53,"AC-CA^FF_EBIT_OPER(ANN_R,12/2020)":-3892.0,"AAL-US^FF_EBIT_OPER(ANN_R,12/2020)":-11387.0,"SKYW-US^FF_SHLDRS_EQ(ANN_R,12/2019,,,,,B)":2.175014,"AC-CA^FREF_MARKET_VALUE_COMPANY(12/2012,,,,,0,,\"LEGACY\")":484.303253927173,"SKYW-US^FF_SHLDRS_EQ(ANN_R,12/2013,,,,,B)":1.434939,"SKYW-US^FF_SHLDRS_EQ(ANN_R,12/2016,,,,,B)":1.350943,"DAL-US^FF_SHLDRS_EQ(ANN_R,12/2012)":-2131.0,"AC-CA^FF_SHLDRS_EQ(ANN_R,12/2012)":-3406.0,"AC-CA^FF_SHLDRS_EQ(ANN_R,12/2020)":1715.0,"AC-CA^FF_EBIT_OPER(ANN_R,12/2019)":2351.0,"DAL-US^FREF_MARKET_VALUE_COMPANY(12/2012,,,,,0,,\"LEGACY\")":10094.8415475712,"DAL-US^FF_EBIT_OPER(ANN_R,12/2019)":6658.0,"ALK-US^FF_SHLDRS_EQ(ANN_R,12/2020,,,,,B)":2.988,"LUV-US^FF_SHLDRS_EQ(ANN_R,12/2020,,,,,B)":8.876,"ALK-US^FF_SHLDRS_EQ(ANN_R,12/2017,,,,,B)":3.46,"LUV-US^FF_SHLDRS_EQ(ANN_R,12/2017,,,,,B)":9.641,"ALK-US^FF_SHLDRS_EQ(ANN_R,12/2014,,,,,B)":2.127,"LUV-US^FF_SHLDRS_EQ(ANN_R,12/2014,,,,,B)":6.775,"AAL-US^FF_SHLDRS_EQ(ANN_R,12/2019)":-118.0,"AAL-US^FF_EBIT_OPER(ANN_R,12/2018)":3449.0,"AC-CA^FF_SHLDRS_EQ(ANN_R,12/2019)":4400.0,"AC-CA^FF_EBIT_OPER(ANN_R,12/2018)":2072.0,"DAL-US^FF_SHLDRS_EQ(ANN_R,12/2019)":15358.0,"DAL-US^FF_EBIT_OPER(ANN_R,12/2018)":5267.0,"SKYW-US^FF_SHLDRS_EQ(ANN_R,12/2020,,,,,B)":2.139545,"AAL-US^FF_EBIT_OPER(ANN_R,12/2017)":4965.0,"SKYW-US^FF_SHLDRS_EQ(ANN_R,12/2017,,,,,B)":1.754322,"DAL-US^FF_SHLDRS_EQ(ANN_R,12/2018,,,,,B)":13.687,"SKYW-US^FF_SHLDRS_EQ(ANN_R,12/2014,,,,,B)":1.400346,"DAL-US^FF_SHLDRS_EQ(ANN_R,12/2015,,,,,B)":10.85,"AAL-US^FF_SHLDRS_EQ(ANN_R,12/2018)":-169.0,"DAL-US^FF_SHLDRS_EQ(ANN_R,12/2012,,,,,B)":-2.131,"AC-CA^FF_SHLDRS_EQ(ANN_R,12/2018)":3277.0,"AC-CA^FF_EBIT_OPER(ANN_R,12/2017)":1968.0,"DAL-US^FF_SHLDRS_EQ(ANN_R,12/2018)":13687.0,"DAL-US^FF_EBIT_OPER(ANN_R,12/2017)":6037.0,"AAL-US^FF_SHLDRS_EQ(ANN_R,12/2017)":-780.0,"AAL-US^FF_EBIT_OPER(ANN_R,12/2016)":6007.0,"AC-CA^FF_SHLDRS_EQ(ANN_R,12/2018,,,,,B)":3.277,"AAL-US^FF_SHLDRS_EQ(ANN_R,12/2018,,,,,B)":-0.169,"AC-CA^FF_SHLDRS_EQ(ANN_R,12/2015,,,,,B)":0.013,"AAL-US^FF_SHLDRS_EQ(ANN_R,12/2015,,,,,B)":5.635,"AC-CA^FF_SHLDRS_EQ(ANN_R,12/2012,,,,,B)":-3.406,"AAL-US^FF_SHLDRS_EQ(ANN_R,12/2012,,,,,B)":-7.987,"AC-CA^FF_SHLDRS_EQ(ANN_R,12/2017)":3422.0,"AC-CA^FF_EBIT_OPER(ANN_R,12/2016)":1994.0,"DAL-US^FF_SHLDRS_EQ(ANN_R,12/2017)":12530.0,"DAL-US^FF_EBIT_OPER(ANN_R,12/2016)":7281.0,"AAL-US^FF_SHLDRS_EQ(ANN_R,12/2016)":3785.0,"AAL-US^FF_EBIT_OPER(ANN_R,12/2015)":7293.0,"ALK-US^FF_SHLDRS_EQ(ANN_R,12/2018,,,,,B)":3.751,"LUV-US^FF_SHLDRS_EQ(ANN_R,12/2018,,,,,B)":9.853,"ALK-US^FF_SHLDRS_EQ(ANN_R,12/2015,,,,,B)":2.411,"LUV-US^FF_SHLDRS_EQ(ANN_R,12/2015,,,,,B)":7.358,"ALK-US^FF_SHLDRS_EQ(ANN_R,12/2012,,,,,B)":1.421,"LUV-US^FF_SHLDRS_EQ(ANN_R,12/2012,,,,,B)":6.992,"AC-CA^FF_SHLDRS_EQ(ANN_R,12/2016)":1219.0,"AC-CA^FF_EBIT_OPER(ANN_R,12/2015)":1531.0,"DAL-US^FF_SHLDRS_EQ(ANN_R,12/2016)":12287.0,"DAL-US^FF_EBIT_OPER(ANN_R,12/2015)":8380.0,"AAL-US^FF_SHLDRS_EQ(ANN_R,12/2015)":5635.0,"AAL-US^FF_EBIT_OPER(ANN_R,12/2014)":5077.0,"SKYW-US^FF_SHLDRS_EQ(ANN_R,12/2018,,,,,B)":1.964281,"DAL-US^FF_SHLDRS_EQ(ANN_R,12/2019,,,,,B)":15.358,"SKYW-US^FF_SHLDRS_EQ(ANN_R,12/2015,,,,,B)":1.506435,"DAL-US^FF_SHLDRS_EQ(ANN_R,12/2016,,,,,B)":12.287,"SKYW-US^FF_SHLDRS_EQ(ANN_R,12/2012,,,,,B)":1.387175,"DAL-US^FF_SHLDRS_EQ(ANN_R,12/2013,,,,,B)":11.643,"AC-CA^FF_SHLDRS_EQ(ANN_R,12/2015)":13.0,"AC-CA^FF_EBIT_OPER(ANN_R,12/2014)":851.0,"DAL-US^FF_SHLDRS_EQ(ANN_R,12/2015)":10850.0,"DAL-US^FF_EBIT_OPER(ANN_R,12/2014)":4764.0,"AAL-US^FF_SHLDRS_EQ(ANN_R,12/2014)":2021.0,"AAL-US^FF_EBIT_OPER(ANN_R,12/2013)":1932.0,"AC-CA^FF_SHLDRS_EQ(ANN_R,12/2019,,,,,B)":4.4,"AAL-US^FF_SHLDRS_EQ(ANN_R,12/2019,,,,,B)":-0.118,"AC-CA^FF_SHLDRS_EQ(ANN_R,12/2016,,,,,B)":1.219,"AAL-US^FF_SHLDRS_EQ(ANN_R,12/2016,,,,,B)":3.785,"AC-CA^FF_SHLDRS_EQ(ANN_R,12/2013,,,,,B)":-1.46,"AAL-US^FF_SHLDRS_EQ(ANN_R,12/2013,,,,,B)":-2.731,"AC-CA^FF_SHLDRS_EQ(ANN_R,12/2014)":-1201.0,"AC-CA^FF_EBIT_OPER(ANN_R,12/2013)":543.00003,"DAL-US^FF_SHLDRS_EQ(ANN_R,12/2014)":8813.0,"DAL-US^FF_EBIT_OPER(ANN_R,12/2013)":3174.0,"AAL-US^FF_SHLDRS_EQ(ANN_R,12/2013)":-2731.0,"AAL-US^FF_EBIT_OPER(ANN_R,12/2012)":498.0,"ALK-US^FF_SHLDRS_EQ(ANN_R,12/2019,,,,,B)":4.331,"LUV-US^FF_SHLDRS_EQ(ANN_R,12/2019,,,,,B)":9.832,"ALK-US^FF_SHLDRS_EQ(ANN_R,12/2016,,,,,B)":2.931,"LUV-US^FF_SHLDRS_EQ(ANN_R,12/2016,,,,,B)":8.441,"ALK-US^FF_SHLDRS_EQ(ANN_R,12/2013,,,,,B)":2.029,"LUV-US^FF_SHLDRS_EQ(ANN_R,12/2013,,,,,B)":7.336,"AC-CA^FF_SHLDRS_EQ(ANN_R,12/2013)":-1460.0,"AC-CA^FF_EBIT_OPER(ANN_R,12/2012)":358.0,"DAL-US^FF_SHLDRS_EQ(ANN_R,12/2013)":11643.0,"DAL-US^FF_EBIT_OPER(ANN_R,12/2012)":2718.0,"SKYW-US^FREF_MARKET_VALUE_COMPANY(12/2013,,,,,0,,\"LEGACY\")":759.696423742142,"LUV-US^FREF_MARKET_VALUE_COMPANY(12/2013,,,,,0,,\"LEGACY\")":13126.2239026979,"ALK-US^FREF_MARKET_VALUE_COMPANY(12/2013,,,,,0,,\"LEGACY\")":5095.03315894684,"AAL-US^FREF_MARKET_VALUE_COMPANY(12/2013,,,,,0,,\"LEGACY\")":8473.84929656982,"AC-CA^FREF_MARKET_VALUE_COMPANY(12/2013,,,,,0,,\"LEGACY\")":2138.09993411369,"DAL-US^FREF_MARKET_VALUE_COMPANY(12/2013,,,,,0,,\"LEGACY\")":23501.8485958928,"SKYW-US^FREF_MARKET_VALUE_COMPANY(12/2012,,,,,0,,\"LEGACY\")":638.649768419495,"LUV-US^FREF_MARKET_VALUE_COMPANY(12/2012,,,,,0,,\"LEGACY\")":7556.90483109001,"DAL-US^FF_OPER_MGN(ANN_R,0)":-48.4410646387833,"AC-CA^FF_OPER_MGN(ANN_R,0)":-66.7238127893022,"ALK-US^FREF_MARKET_VALUE_COMPANY(12/2012,,,,,0,,\"LEGACY\")":3029.8303995993,"DAL-US^FF_OPER_MGN(ANN_R,12/2019)":14.1641492575416,"DAL-US^FF_OPER_MGN(ANN_R,12/2018)":11.8516685043091,"DAL-US^FF_OPER_MGN(ANN_R,12/2017)":14.6785644816184,"DAL-US^FF_OPER_MGN(ANN_R,12/2016)":18.3854350790364,"DAL-US^FF_OPER_MGN(ANN_R,12/2015)":20.6882930923814,"DAL-US^FF_OPER_MGN(ANN_R,12/2014)":11.8495672072431,"DAL-US^FF_OPER_MGN(ANN_R,12/2013)":8.432966682608,"DAL-US^FF_OPER_MGN(ANN_R,12/2012)":7.40700367897534,"AC-CA^FF_OPER_MGN(ANN_R,12/2020)":-66.7238127893022,"AC-CA^FF_OPER_MGN(ANN_R,12/2019)":12.2889550990539,"AC-CA^FF_OPER_MGN(ANN_R,12/2018)":11.5091929122924,"AC-CA^FF_OPER_MGN(ANN_R,12/2017)":12.1092788579867,"AC-CA^FF_OPER_MGN(ANN_R,12/2016)":13.5858826735709,"AC-CA^FF_OPER_MGN(ANN_R,12/2015)":11.039803865013,"AC-CA^FF_OPER_MGN(ANN_R,12/2014)":6.41199517781796,"AC-CA^FF_OPER_MGN(ANN_R,12/2013)":4.38539840090454,"AC-CA^FF_OPER_MGN(ANN_R,12/2012)":2.95525837873535,"AAL-US^FF_OPER_MGN(ANN_R,12/2020)":-65.6803368518198,"AAL-US^FF_OPER_MGN(ANN_R,12/2019)":8.09736060129348,"AAL-US^FF_OPER_MGN(ANN_R,12/2018)":7.74342740396489,"AAL-US^FF_OPER_MGN(ANN_R,12/2017)":11.6489137065365,"AAL-US^FF_OPER_MGN(ANN_R,12/2016)":14.9502239920358,"AAL-US^FF_OPER_MGN(ANN_R,12/2015)":17.7921444254696,"AAL-US^FF_OPER_MGN(ANN_R,12/2014)":11.9038686987104,"AAL-US^FF_OPER_MGN(ANN_R,12/2013)":7.22432038290394,"AAL-US^FF_OPER_MGN(ANN_R,12/2012)":2.0036210018105,"ALK-US^FF_OPER_MGN(ANN_R,12/2020)":-47.4200785193494,"ALK-US^FF_OPER_MGN(ANN_R,12/2019)":12.7548115248833,"ALK-US^FF_OPER_MGN(ANN_R,12/2018)":8.85769603097773,"ALK-US^FF_OPER_MGN(ANN_R,12/2017)":16.9622498099823,"ALK-US^FF_OPER_MGN(ANN_R,12/2016)":24.8693306356432,"ALK-US^FF_OPER_MGN(ANN_R,12/2015)":24.205073240443,"ALK-US^FF_OPER_MGN(ANN_R,12/2014)":17.8092399403875,"ALK-US^FF_OPER_MGN(ANN_R,12/2013)":14.0209508460919,"ALK-US^FF_OPER_MGN(ANN_R,12/2012)":12.8838307923556,"LUV-US^FF_OPER_MGN(ANN_R,12/2020)":-52.0888594164456,"LUV-US^FF_OPER_MGN(ANN_R,12/2019)":13.398430533262,"LUV-US^FF_OPER_MGN(ANN_R,12/2018)":14.4457090826315,"LUV-US^FF_OPER_MGN(ANN_R,12/2017)":18.722216967748,"LUV-US^FF_OPER_MGN(ANN_R,12/2016)":17.3591601360343,"LUV-US^FF_OPER_MGN(ANN_R,12/2015)":23.0575176589304,"LUV-US^FF_OPER_MGN(ANN_R,12/2014)":12.453641494222,"LUV-US^FF_OPER_MGN(ANN_R,12/2013)":6.77439403356122,"LUV-US^FF_OPER_MGN(ANN_R,12/2012)":5.30781835205993,"SKYW-US^FF_OPER_MGN(ANN_R,12/2020)":-11.1272780952148,"SKYW-US^FF_OPER_MGN(ANN_R,12/2019)":17.9721954815723,"SKYW-US^FF_OPER_MGN(ANN_R,12/2018)":14.721516327356,"SKYW-US^FF_OPER_MGN(ANN_R,12/2017)":12.431947561513,"SKYW-US^FF_OPER_MGN(ANN_R,12/2016)":9.38627568958922,"SKYW-US^FF_OPER_MGN(ANN_R,12/2015)":7.57584323110206,"SKYW-US^FF_OPER_MGN(ANN_R,12/2014)":3.07727045415724,"SKYW-US^FF_OPER_MGN(ANN_R,12/2013)":4.64292807920612,"SKYW-US^FF_OPER_MGN(ANN_R,12/2012)":4.69636472900985,"0.0469335071707953^FF_SHLDRS_EQ(ANN_R,12/2019)":null,"0.0168588921282799^FF_SHLDRS_EQ(ANN_R,12/2019)":null,"-0.00902985291976118^FF_SHLDRS_EQ(ANN_R,12/2019)":null,"0.00509638554216867^FF_SHLDRS_EQ(ANN_R,12/2019)":null,"0.00412043713384407^FF_SHLDRS_EQ(ANN_R,12/2019)":null,"0.00337069891028233^FF_SHLDRS_EQ(ANN_R,12/2019)":null,"DAL-US^FREF_MARKET_VALUE_COMPANY(12/2014,,,,,0,,\"LEGACY\")":41169.1256078386,"AC-CA^FREF_MARKET_VALUE_COMPANY(12/2014,,,,,0,,\"LEGACY\")":3397.11079610523,"AAL-US^FREF_MARKET_VALUE_COMPANY(12/2014,,,,,0,,\"LEGACY\")":38466.867855354,"ALK-US^FREF_MARKET_VALUE_COMPANY(12/2014,,,,,0,,\"LEGACY\")":7926.08832352416,"LUV-US^FREF_MARKET_VALUE_COMPANY(12/2014,,,,,0,,\"LEGACY\")":28724.4466580981,"SKYW-US^FREF_MARKET_VALUE_COMPANY(12/2014,,,,,0,,\"LEGACY\")":679.657117681389,"DAL-US^FREF_MARKET_VALUE_COMPANY(12/2015,,,,,0,,\"LEGACY\")":39866.3659304404,"AC-CA^FREF_MARKET_VALUE_COMPANY(12/2015,,,,,0,,\"LEGACY\")":919.169056626371,"AAL-US^FREF_MARKET_VALUE_COMPANY(12/2015,,,,,0,,\"LEGACY\")":26694.3046625885,"ALK-US^FREF_MARKET_VALUE_COMPANY(12/2015,,,,,0,,\"LEGACY\")":10117.8527525952,"LUV-US^FREF_MARKET_VALUE_COMPANY(12/2015,,,,,0,,\"LEGACY\")":28004.286352111,"SKYW-US^FREF_MARKET_VALUE_COMPANY(12/2015,,,,,0,,\"LEGACY\")":965.303042336425,"DAL-US^FREF_MARKET_VALUE_COMPANY(12/2016,,,,,0,,\"LEGACY\")":36838.7844762921,"AC-CA^FREF_MARKET_VALUE_COMPANY(12/2016,,,,,0,,\"LEGACY\")":1383.46237054476,"AAL-US^FREF_MARKET_VALUE_COMPANY(12/2016,,,,,0,,\"LEGACY\")":24191.2555384636,"ALK-US^FREF_MARKET_VALUE_COMPANY(12/2016,,,,,0,,\"LEGACY\")":10937.8365741672,"LUV-US^FREF_MARKET_VALUE_COMPANY(12/2016,,,,,0,,\"LEGACY\")":30681.4055333859,"SKYW-US^FREF_MARKET_VALUE_COMPANY(12/2016,,,,,0,,\"LEGACY\")":1885.99596061096,"DAL-US^FREF_MARKET_VALUE_COMPANY(12/2017,,,,,0,,\"LEGACY\")":39926.49609375,"AC-CA^FREF_MARKET_VALUE_COMPANY(12/2017,,,,,0,,\"LEGACY\")":2636.65029444288,"AAL-US^FREF_MARKET_VALUE_COMPANY(12/2017,,,,,0,,\"LEGACY\")":24896.3020175183,"ALK-US^FREF_MARKET_VALUE_COMPANY(12/2017,,,,,0,,\"LEGACY\")":9045.47945681977,"LUV-US^FREF_MARKET_VALUE_COMPANY(12/2017,,,,,0,,\"LEGACY\")":38837.2428210815,"SKYW-US^FREF_MARKET_VALUE_COMPANY(12/2017,,,,,0,,\"LEGACY\")":2752.86314149018,"DAL-US^FREF_MARKET_VALUE_COMPANY(12/2018,,,,,0,,\"LEGACY\")":34212.3748437786,"AC-CA^FREF_MARKET_VALUE_COMPANY(12/2018,,,,,0,,\"LEGACY\")":3970.55365635781,"AAL-US^FREF_MARKET_VALUE_COMPANY(12/2018,,,,,0,,\"LEGACY\")":14789.2716660043,"ALK-US^FREF_MARKET_VALUE_COMPANY(12/2018,,,,,0,,\"LEGACY\")":7500.31012533722,"LUV-US^FREF_MARKET_VALUE_COMPANY(12/2018,,,,,0,,\"LEGACY\")":26136.0294203307,"SKYW-US^FREF_MARKET_VALUE_COMPANY(12/2018,,,,,0,,\"LEGACY\")":2307.77073370514,"DAL-US^FREF_MARKET_VALUE_COMPANY(12/2019,,,,,0,,\"LEGACY\")":37821.5220916399,"AC-CA^FREF_MARKET_VALUE_COMPANY(12/2019,,,,,0,,\"LEGACY\")":6006.11863015263,"AAL-US^FREF_MARKET_VALUE_COMPANY(12/2019,,,,,0,,\"LEGACY\")":12280.7764807739,"ALK-US^FREF_MARKET_VALUE_COMPANY(12/2019,,,,,0,,\"LEGACY\")":8338.46698570251,"LUV-US^FREF_MARKET_VALUE_COMPANY(12/2019,,,,,0,,\"LEGACY\")":28408.3848811602,"SKYW-US^FREF_MARKET_VALUE_COMPANY(12/2019,,,,,0,,\"LEGACY\")":3258.70918421508,"DAL-US^FF_SHLDRS_EQ(ANN_R,12/2020,,,,,B)":1.534,"DAL-US^FREF_MARKET_VALUE_COMPANY(12/2020,,,,,0,,\"LEGACY\")":25643.2961806632,"AC-CA^FREF_MARKET_VALUE_COMPANY(12/2020,,,,,0,,\"LEGACY\")":3178.08800014044,"AAL-US^FREF_MARKET_VALUE_COMPANY(12/2020,,,,,0,,\"LEGACY\")":9800.73187628761,"ALK-US^FREF_MARKET_VALUE_COMPANY(12/2020,,,,,0,,\"LEGACY\")":6430.51657104492,"LUV-US^FREF_MARKET_VALUE_COMPANY(12/2020,,,,,0,,\"LEGACY\")":27512.6282130573,"SKYW-US^FREF_MARKET_VALUE_COMPANY(12/2020,,,,,0,,\"LEGACY\")":2021.15036392388,"DAL-US^FF_SHLDRS_EQ(ANN_R,12/2020)":1534.0,"DAL-US^FF_EBIT_OPER(ANN_R,12/2020)":-8281.0,"DAL-US^FF_FISCAL_DATE(ANN_R,-8,,,,\"DATEM\")":"12/2012","DAL-US^FF_FISCAL_DATE(ANN_R,-7,,,,\"DATEM\")":"12/2013","DAL-US^FF_FISCAL_DATE(ANN_R,-6,,,,\"DATEM\")":"12/2014","DAL-US^FF_FISCAL_DATE(ANN_R,-5,,,,\"DATEM\")":"12/2015","DAL-US^FF_FISCAL_DATE(ANN_R,-4,,,,\"DATEM\")":"12/2016","DAL-US^FF_FISCAL_DATE(ANN_R,-3,,,,\"DATEM\")":"12/2017","DAL-US^FF_FISCAL_DATE(ANN_R,-2,,,,\"DATEM\")":"12/2018","DAL-US^FF_FISCAL_DATE(ANN_R,-1,,,,\"DATEM\")":"12/2019","DAL-US^FF_FISCAL_DATE(ANN_R,0,,,,\"DATEM\")":"12/2020","AAL-US^FF_SHLDRS_EQ(ANN_R,12/2012)":-7987.0,"DAL-US^FREF_MARKET_VALUE_COMPANY(12/2020,,,,,1,,\"LEGACY\")":25643.2961806632,"ALK-US^FF_SHLDRS_EQ(ANN_R,12/2020)":2988.0,"ALK-US^FF_EBIT_OPER(ANN_R,12/2019)":1120.0,"ALK-US^FF_SHLDRS_EQ(ANN_R,12/2019)":4331.0,"ALK-US^FF_EBIT_OPER(ANN_R,12/2018)":732.0,"ALK-US^FF_SHLDRS_EQ(ANN_R,12/2018)":3751.0,"ALK-US^FF_EBIT_OPER(ANN_R,12/2017)":1339.0,"ALK-US^FF_SHLDRS_EQ(ANN_R,12/2017)":3460.0,"ALK-US^FF_EBIT_OPER(ANN_R,12/2016)":1475.0,"ALK-US^FF_SHLDRS_EQ(ANN_R,12/2016)":2931.0,"ALK-US^FF_EBIT_OPER(ANN_R,12/2015)":1355.0,"ALK-US^FF_SHLDRS_EQ(ANN_R,12/2015)":2411.0,"ALK-US^FF_EBIT_OPER(ANN_R,12/2014)":956.0,"ALK-US^FF_SHLDRS_EQ(ANN_R,12/2014)":2127.0,"ALK-US^FF_EBIT_OPER(ANN_R,12/2013)":696.0,"ALK-US^FF_SHLDRS_EQ(ANN_R,12/2013)":2029.0,"ALK-US^FF_EBIT_OPER(ANN_R,12/2012)":600.0,"ALK-US^FF_SHLDRS_EQ(ANN_R,12/2012)":1421.0,"LUV-US^FF_EBIT_OPER(ANN_R,12/2020)":-4713.0,"LUV-US^FF_SHLDRS_EQ(ANN_R,12/2020)":8876.0,"LUV-US^FF_EBIT_OPER(ANN_R,12/2019)":3005.0,"LUV-US^FF_SHLDRS_EQ(ANN_R,12/2019)":9832.0,"LUV-US^FF_EBIT_OPER(ANN_R,12/2018)":3173.0,"LUV-US^FF_SHLDRS_EQ(ANN_R,12/2018)":9853.0,"LUV-US^FF_EBIT_OPER(ANN_R,12/2017)":3959.0,"LUV-US^FF_SHLDRS_EQ(ANN_R,12/2017)":9641.0,"LUV-US^FF_EBIT_OPER(ANN_R,12/2016)":3522.0,"LUV-US^FF_SHLDRS_EQ(ANN_R,12/2016)":8441.0,"LUV-US^FF_EBIT_OPER(ANN_R,12/2015)":4570.0,"LUV-US^FF_SHLDRS_EQ(ANN_R,12/2015)":7358.0,"LUV-US^FF_EBIT_OPER(ANN_R,12/2014)":2317.0,"LUV-US^FF_SHLDRS_EQ(ANN_R,12/2014)":6775.0,"LUV-US^FF_EBIT_OPER(ANN_R,12/2013)":1199.0,"LUV-US^FF_SHLDRS_EQ(ANN_R,12/2013)":7336.0,"LUV-US^FF_EBIT_OPER(ANN_R,12/2012)":907.0,"LUV-US^FF_SHLDRS_EQ(ANN_R,12/2012)":6992.0,"SKYW-US^FF_EBIT_OPER(ANN_R,12/2020)":-236.689,"SKYW-US^FF_SHLDRS_EQ(ANN_R,12/2020)":2139.545,"SKYW-US^FF_EBIT_OPER(ANN_R,12/2019)":534.127,"SKYW-US^FF_SHLDRS_EQ(ANN_R,12/2019)":2175.014,"SKYW-US^FF_EBIT_OPER(ANN_R,12/2018)":474.28,"SKYW-US^FF_SHLDRS_EQ(ANN_R,12/2018)":1964.281,"SKYW-US^FF_EBIT_OPER(ANN_R,12/2017)":388.199,"SKYW-US^FF_SHLDRS_EQ(ANN_R,12/2017)":1754.322,"SKYW-US^FF_EBIT_OPER(ANN_R,12/2016)":292.965,"SKYW-US^FF_SHLDRS_EQ(ANN_R,12/2016)":1350.943,"SKYW-US^FF_EBIT_OPER(ANN_R,12/2015)":234.515,"SKYW-US^FF_SHLDRS_EQ(ANN_R,12/2015)":1506.435,"SKYW-US^FF_EBIT_OPER(ANN_R,12/2014)":99.625,"SKYW-US^FF_SHLDRS_EQ(ANN_R,12/2014)":1400.346,"SKYW-US^FF_EBIT_OPER(ANN_R,12/2013)":153.111,"SKYW-US^FF_SHLDRS_EQ(ANN_R,12/2013)":1434.939,"SKYW-US^FF_EBIT_OPER(ANN_R,12/2012)":165.987,"SKYW-US^FF_SHLDRS_EQ(ANN_R,12/2012)":1387.175,"AAPL-US^FF_COMP_STK_CF(ANN_R,12/2020,,,,,B,\"D=1\")":null,"AAPL-US^FF_COMP_STK_CF(ANN_R,0,,,,,B,\"D=1\")":null,"AAPL-US^FB_NON_INT_EXP_ESOP(ANN,0,,,RF,,B)":null,"DAL-US^FB_NON_INT_EXP_ESOP(ANN,0,,,RF,,B)":null,"AAPL-US^FF_STK_COMPENS_PTX(ANN_R,0,,,,,B,\"D=1\")":null,"DAL-US^FF_STK_COMPENS_PTX(ANN_R,0,,,,,B,\"D=1\")":null,"AAPL-US^FF_STK_OPT_EXP_COGS(ANN_R,0,,,,,B)":null,"DAL-US^FF_STK_OPT_EXP_COGS(ANN_R,0,,,,,B)":null,"AAPL-US^FF_STK_OPT_CF(ANN_R,0,,,,,B)":7.906,"DAL-US^FF_STK_OPT_CF(ANN_R,0,,,,,B)":null,"AAPL-US^FF_STK_OPT_EXP_OTH(ANN_R,0,,,,,B)":null,"DAL-US^FF_STK_OPT_EXP_OTH(ANN_R,0,,,,,B)":null,"AAPL-US^FF_STK_OPT_EXP_GA(ANN_R,0,,,,,B)":null,"DAL-US^FF_STK_OPT_EXP_GA(ANN_R,0,,,,,B)":null,"AAPL-US^FF_COMP_STK_TAX(ANN_R,0,,,,,B,\"D=1\")":null,"DAL-US^FF_COMP_STK_TAX(ANN_R,0,,,,,B,\"D=1\")":null,"DAL-US^FF_COMP_STK_CF(ANN_R,0,,,,,B,\"D=1\")":null,"DAL-US^FE_RATING(MEAN,NOTE,0,NOW,,,'')":1.4347826,"DAL-US^FF_SHLDRS_EQ(ANN_R,0,,,,,B)":1.534}]]></FdsFormulaCache>
</file>

<file path=customXml/item2.xml><?xml version="1.0" encoding="utf-8"?>
<ct:contentTypeSchema xmlns:ct="http://schemas.microsoft.com/office/2006/metadata/contentType" xmlns:ma="http://schemas.microsoft.com/office/2006/metadata/properties/metaAttributes" ct:_="" ma:_="" ma:contentTypeName="Document" ma:contentTypeID="0x01010099E3D28D1918C847965458675B81DE64" ma:contentTypeVersion="4" ma:contentTypeDescription="Create a new document." ma:contentTypeScope="" ma:versionID="b08dc7d088948affcddf889e6e506281">
  <xsd:schema xmlns:xsd="http://www.w3.org/2001/XMLSchema" xmlns:xs="http://www.w3.org/2001/XMLSchema" xmlns:p="http://schemas.microsoft.com/office/2006/metadata/properties" xmlns:ns3="44c82fed-647e-45ad-8b34-50f4cce23aaa" targetNamespace="http://schemas.microsoft.com/office/2006/metadata/properties" ma:root="true" ma:fieldsID="dcb1549466ff33d58ea32ad2617bd9d8" ns3:_="">
    <xsd:import namespace="44c82fed-647e-45ad-8b34-50f4cce23aaa"/>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c82fed-647e-45ad-8b34-50f4cce23aa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05A421C-6880-4F2A-9D85-AF786BEEF43A}">
  <ds:schemaRefs>
    <ds:schemaRef ds:uri="urn:fdsformulacache"/>
  </ds:schemaRefs>
</ds:datastoreItem>
</file>

<file path=customXml/itemProps2.xml><?xml version="1.0" encoding="utf-8"?>
<ds:datastoreItem xmlns:ds="http://schemas.openxmlformats.org/officeDocument/2006/customXml" ds:itemID="{2FF08532-475F-4B5D-AD58-A6554BFAE1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4c82fed-647e-45ad-8b34-50f4cce23a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8AE1D05-C99D-4D07-AA13-16E186FBF31E}">
  <ds:schemaRefs>
    <ds:schemaRef ds:uri="http://schemas.microsoft.com/sharepoint/v3/contenttype/forms"/>
  </ds:schemaRefs>
</ds:datastoreItem>
</file>

<file path=customXml/itemProps4.xml><?xml version="1.0" encoding="utf-8"?>
<ds:datastoreItem xmlns:ds="http://schemas.openxmlformats.org/officeDocument/2006/customXml" ds:itemID="{55CD17DE-ADCF-4DA9-9A63-949DCC18651E}">
  <ds:schemaRefs>
    <ds:schemaRef ds:uri="44c82fed-647e-45ad-8b34-50f4cce23aaa"/>
    <ds:schemaRef ds:uri="http://schemas.microsoft.com/office/2006/documentManagement/types"/>
    <ds:schemaRef ds:uri="http://schemas.microsoft.com/office/2006/metadata/properties"/>
    <ds:schemaRef ds:uri="http://purl.org/dc/dcmitype/"/>
    <ds:schemaRef ds:uri="http://schemas.microsoft.com/office/infopath/2007/PartnerControls"/>
    <ds:schemaRef ds:uri="http://www.w3.org/XML/1998/namespace"/>
    <ds:schemaRef ds:uri="http://purl.org/dc/terms/"/>
    <ds:schemaRef ds:uri="http://purl.org/dc/elements/1.1/"/>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63</vt:i4>
      </vt:variant>
      <vt:variant>
        <vt:lpstr>Named Ranges</vt:lpstr>
      </vt:variant>
      <vt:variant>
        <vt:i4>11</vt:i4>
      </vt:variant>
    </vt:vector>
  </HeadingPairs>
  <TitlesOfParts>
    <vt:vector size="74" baseType="lpstr">
      <vt:lpstr>At a Glance</vt:lpstr>
      <vt:lpstr>Comps</vt:lpstr>
      <vt:lpstr>Estimates</vt:lpstr>
      <vt:lpstr>DCS Detail</vt:lpstr>
      <vt:lpstr>BS</vt:lpstr>
      <vt:lpstr>IS</vt:lpstr>
      <vt:lpstr>CFS</vt:lpstr>
      <vt:lpstr>DAL-US BS-adj</vt:lpstr>
      <vt:lpstr>AC-CA BS-adj</vt:lpstr>
      <vt:lpstr>AAL-US BS-adj</vt:lpstr>
      <vt:lpstr>LUV-US BS-adj</vt:lpstr>
      <vt:lpstr>ALK-US BS-adj</vt:lpstr>
      <vt:lpstr>skyw-US BS-adj</vt:lpstr>
      <vt:lpstr>DAL-US IS-adj</vt:lpstr>
      <vt:lpstr>AC-CA IS-adj</vt:lpstr>
      <vt:lpstr>AAL-US IS-adj</vt:lpstr>
      <vt:lpstr>LUV-US IS-adj</vt:lpstr>
      <vt:lpstr>ALK-US IS-adj</vt:lpstr>
      <vt:lpstr>skyw-US IS-adj</vt:lpstr>
      <vt:lpstr>DAL-US CFS-adj</vt:lpstr>
      <vt:lpstr>AC-CA CFS-adj</vt:lpstr>
      <vt:lpstr>AAL-US CFS-adj</vt:lpstr>
      <vt:lpstr>LUV-US CFS-adj</vt:lpstr>
      <vt:lpstr>ALK-US CFS-adj</vt:lpstr>
      <vt:lpstr>skyw-US CFS-adj</vt:lpstr>
      <vt:lpstr>Historical adj Ratios</vt:lpstr>
      <vt:lpstr>DAL-US R&amp;D</vt:lpstr>
      <vt:lpstr>AC-CA R&amp;D</vt:lpstr>
      <vt:lpstr>AAL-US R&amp;D</vt:lpstr>
      <vt:lpstr>LUV-US R&amp;D</vt:lpstr>
      <vt:lpstr>ALK-US R&amp;D</vt:lpstr>
      <vt:lpstr>skyw-US R&amp;D</vt:lpstr>
      <vt:lpstr>DAL-US Lease</vt:lpstr>
      <vt:lpstr>AC-CA Lease</vt:lpstr>
      <vt:lpstr>AAL-US Lease</vt:lpstr>
      <vt:lpstr>LUV-US Lease</vt:lpstr>
      <vt:lpstr>ALK-US Lease</vt:lpstr>
      <vt:lpstr>skyw-US Lease</vt:lpstr>
      <vt:lpstr>Ratios</vt:lpstr>
      <vt:lpstr>Relative Valuation</vt:lpstr>
      <vt:lpstr>Industry Ratios</vt:lpstr>
      <vt:lpstr>Ind Leases</vt:lpstr>
      <vt:lpstr>Ind R&amp;D</vt:lpstr>
      <vt:lpstr>Help Sheet</vt:lpstr>
      <vt:lpstr>Multiples</vt:lpstr>
      <vt:lpstr>FCF (corrected)</vt:lpstr>
      <vt:lpstr>FCF</vt:lpstr>
      <vt:lpstr>Forecasted FCF (corrected)</vt:lpstr>
      <vt:lpstr>Delta Beta</vt:lpstr>
      <vt:lpstr>Data</vt:lpstr>
      <vt:lpstr>Delta CRP</vt:lpstr>
      <vt:lpstr>ERP and Spreads</vt:lpstr>
      <vt:lpstr>Forecast</vt:lpstr>
      <vt:lpstr>Supp. Schedule</vt:lpstr>
      <vt:lpstr>Growth</vt:lpstr>
      <vt:lpstr>DDM</vt:lpstr>
      <vt:lpstr>DCF</vt:lpstr>
      <vt:lpstr>DCF Comps</vt:lpstr>
      <vt:lpstr>Football field</vt:lpstr>
      <vt:lpstr>D PE</vt:lpstr>
      <vt:lpstr>D EV</vt:lpstr>
      <vt:lpstr>D EV2</vt:lpstr>
      <vt:lpstr>Ind Revenues</vt:lpstr>
      <vt:lpstr>Comps!COMPETITORS_RWIdentifier</vt:lpstr>
      <vt:lpstr>'At a Glance'!CPYATGLANCEFF_RWIdentifier</vt:lpstr>
      <vt:lpstr>'At a Glance'!Identifier</vt:lpstr>
      <vt:lpstr>Comps!Identifier</vt:lpstr>
      <vt:lpstr>'At a Glance'!Print_Area</vt:lpstr>
      <vt:lpstr>Comps!Print_Area</vt:lpstr>
      <vt:lpstr>'DCF Comps'!Print_Area</vt:lpstr>
      <vt:lpstr>Estimates!Print_Area</vt:lpstr>
      <vt:lpstr>'Football field'!Print_Area</vt:lpstr>
      <vt:lpstr>Growth!Print_Area</vt:lpstr>
      <vt:lpstr>'At a Glance'!Relative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Juliane Proelss</dc:creator>
  <cp:keywords/>
  <dc:description/>
  <cp:lastModifiedBy>Paul-Ary Sigwald</cp:lastModifiedBy>
  <cp:revision/>
  <dcterms:created xsi:type="dcterms:W3CDTF">2018-07-11T13:21:49Z</dcterms:created>
  <dcterms:modified xsi:type="dcterms:W3CDTF">2022-03-24T20:07:20Z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dsSearchOrder">
    <vt:i4>0</vt:i4>
  </property>
  <property fmtid="{D5CDD505-2E9C-101B-9397-08002B2CF9AE}" pid="3" name="ContentTypeId">
    <vt:lpwstr>0x01010099E3D28D1918C847965458675B81DE64</vt:lpwstr>
  </property>
</Properties>
</file>